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omments4.xml" ContentType="application/vnd.openxmlformats-officedocument.spreadsheetml.comments+xml"/>
  <Override PartName="/xl/comments5.xml" ContentType="application/vnd.openxmlformats-officedocument.spreadsheetml.comments+xml"/>
  <Override PartName="/xl/drawings/drawing5.xml" ContentType="application/vnd.openxmlformats-officedocument.drawing+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omments6.xml" ContentType="application/vnd.openxmlformats-officedocument.spreadsheetml.comments+xml"/>
  <Override PartName="/xl/comments7.xml" ContentType="application/vnd.openxmlformats-officedocument.spreadsheetml.comments+xml"/>
  <Override PartName="/xl/drawings/drawing6.xml" ContentType="application/vnd.openxmlformats-officedocument.drawing+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omments8.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codeName="DieseArbeitsmappe"/>
  <mc:AlternateContent xmlns:mc="http://schemas.openxmlformats.org/markup-compatibility/2006">
    <mc:Choice Requires="x15">
      <x15ac:absPath xmlns:x15ac="http://schemas.microsoft.com/office/spreadsheetml/2010/11/ac" url="C:\Users\User\Desktop\BBV\Düngebedarfsermittlung\2025\"/>
    </mc:Choice>
  </mc:AlternateContent>
  <workbookProtection workbookAlgorithmName="SHA-512" workbookHashValue="IdjckAJDBEkgnxHc0QSNE0wEDokExm39cmldx47wWu10pKbLOATJKPH9sZdjzLuWIkllnDQ36+zxkZ+CoCQgaA==" workbookSaltValue="8MRvkVxVvaCvfqz1NO9WZA==" workbookSpinCount="100000" lockStructure="1"/>
  <bookViews>
    <workbookView xWindow="0" yWindow="0" windowWidth="28800" windowHeight="12210"/>
  </bookViews>
  <sheets>
    <sheet name="Programminformationen" sheetId="53" r:id="rId1"/>
    <sheet name="Nährstoffe und Lagerraum" sheetId="7" r:id="rId2"/>
    <sheet name="Eigene, abweichende Tierdaten" sheetId="14" r:id="rId3"/>
    <sheet name="Lagerhaltung (freiwillig)" sheetId="39" r:id="rId4"/>
    <sheet name="Tiere" sheetId="12" state="hidden" r:id="rId5"/>
    <sheet name="intern_Formel_Geflügel_Kot" sheetId="56" state="hidden" r:id="rId6"/>
    <sheet name="Datentabellen Diagramme" sheetId="42" state="hidden" r:id="rId7"/>
    <sheet name="Tierprodukte" sheetId="37" state="hidden" r:id="rId8"/>
    <sheet name="Stroh" sheetId="8" state="hidden" r:id="rId9"/>
    <sheet name="Niederschläge" sheetId="31" state="hidden" r:id="rId10"/>
    <sheet name="Abgabebeleg" sheetId="47" r:id="rId11"/>
    <sheet name="Pflanzen" sheetId="32" state="hidden" r:id="rId12"/>
    <sheet name="Abgabeliste" sheetId="46" r:id="rId13"/>
    <sheet name="Notizen" sheetId="38" r:id="rId14"/>
    <sheet name="Gemarkungsniederschläge" sheetId="43" r:id="rId15"/>
    <sheet name="Erläuterungen" sheetId="55" r:id="rId16"/>
    <sheet name="Anrechnung Nachgärer" sheetId="33" r:id="rId17"/>
    <sheet name="Abweichende Schweine" sheetId="49" state="hidden" r:id="rId18"/>
    <sheet name="Schweine_Werte" sheetId="48" state="hidden" r:id="rId19"/>
    <sheet name="Basisdaten" sheetId="35" r:id="rId20"/>
  </sheets>
  <definedNames>
    <definedName name="_xlnm._FilterDatabase" localSheetId="14" hidden="1">Gemarkungsniederschläge!$B$5:$C$7864</definedName>
    <definedName name="_xlnm._FilterDatabase" localSheetId="3" hidden="1">'Lagerhaltung (freiwillig)'!$AC$40:$AP$131</definedName>
    <definedName name="_xlnm.Print_Area" localSheetId="10">Abgabebeleg!$A$1:$K$45</definedName>
    <definedName name="_xlnm.Print_Area" localSheetId="12">Abgabeliste!$A$1:$K$62</definedName>
    <definedName name="_xlnm.Print_Area" localSheetId="2">'Eigene, abweichende Tierdaten'!$A$1:$R$13,'Eigene, abweichende Tierdaten'!$A$14:$Z$33,'Eigene, abweichende Tierdaten'!$A$35:$S$65</definedName>
    <definedName name="_xlnm.Print_Area" localSheetId="3">'Lagerhaltung (freiwillig)'!$A$1:$V$106,'Lagerhaltung (freiwillig)'!$Y$1:$AV$37,'Lagerhaltung (freiwillig)'!$BE$1:$BO$69</definedName>
    <definedName name="_xlnm.Print_Titles" localSheetId="12">Abgabeliste!$1:$5</definedName>
    <definedName name="_xlnm.Print_Titles" localSheetId="2">'Eigene, abweichende Tierdaten'!$A:$B</definedName>
    <definedName name="hj">'Lagerhaltung (freiwillig)'!$AY$13</definedName>
    <definedName name="Z_DDA6E6AA_9473_49A0_A3A2_76E4959B79AF_.wvu.Cols" localSheetId="2" hidden="1">'Eigene, abweichende Tierdaten'!$AA:$AE</definedName>
    <definedName name="Z_DDA6E6AA_9473_49A0_A3A2_76E4959B79AF_.wvu.Cols" localSheetId="1" hidden="1">'Nährstoffe und Lagerraum'!$P:$CP</definedName>
    <definedName name="Z_DDA6E6AA_9473_49A0_A3A2_76E4959B79AF_.wvu.PrintArea" localSheetId="1" hidden="1">'Nährstoffe und Lagerraum'!$A$1:$N$300</definedName>
  </definedNames>
  <calcPr calcId="162913"/>
  <customWorkbookViews>
    <customWorkbookView name="msbo - Persönliche Ansicht" guid="{BBF2F1EA-E8F4-4EE9-83EA-DB847D7BDAAF}" mergeInterval="0" personalView="1" xWindow="5" yWindow="30" windowWidth="1266" windowHeight="787" activeSheetId="1"/>
    <customWorkbookView name="Hierlmeier, Michael (LfL) - Persönliche Ansicht" guid="{DDA6E6AA-9473-49A0-A3A2-76E4959B79AF}" mergeInterval="0" personalView="1" maximized="1" windowWidth="1680" windowHeight="825"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Q5" i="39" l="1"/>
  <c r="HQ6" i="39"/>
  <c r="HQ7" i="39"/>
  <c r="HQ8" i="39"/>
  <c r="HQ9" i="39"/>
  <c r="HQ10" i="39"/>
  <c r="HQ11" i="39"/>
  <c r="HQ12" i="39"/>
  <c r="HQ13" i="39"/>
  <c r="HQ14" i="39"/>
  <c r="HQ15" i="39"/>
  <c r="HQ16" i="39"/>
  <c r="HQ17" i="39"/>
  <c r="HQ18" i="39"/>
  <c r="HQ19" i="39"/>
  <c r="HQ20" i="39"/>
  <c r="HQ21" i="39"/>
  <c r="HQ22" i="39"/>
  <c r="HQ23" i="39"/>
  <c r="HQ24" i="39"/>
  <c r="HQ25" i="39"/>
  <c r="HQ26" i="39"/>
  <c r="HQ27" i="39"/>
  <c r="HQ28" i="39"/>
  <c r="HQ29" i="39"/>
  <c r="HQ30" i="39"/>
  <c r="HQ31" i="39"/>
  <c r="HQ32" i="39"/>
  <c r="HQ33" i="39"/>
  <c r="HQ34" i="39"/>
  <c r="HQ35" i="39"/>
  <c r="HQ36" i="39"/>
  <c r="HQ37" i="39"/>
  <c r="HQ38" i="39"/>
  <c r="HQ39" i="39"/>
  <c r="HQ40" i="39"/>
  <c r="HQ41" i="39"/>
  <c r="HQ42" i="39"/>
  <c r="HQ43" i="39"/>
  <c r="HQ44" i="39"/>
  <c r="HQ45" i="39"/>
  <c r="HQ46" i="39"/>
  <c r="HQ47" i="39"/>
  <c r="HQ48" i="39"/>
  <c r="HQ49" i="39"/>
  <c r="HQ50" i="39"/>
  <c r="HQ51" i="39"/>
  <c r="HQ52" i="39"/>
  <c r="HQ53" i="39"/>
  <c r="HQ54" i="39"/>
  <c r="HQ55" i="39"/>
  <c r="HQ56" i="39"/>
  <c r="HQ57" i="39"/>
  <c r="HQ58" i="39"/>
  <c r="HQ59" i="39"/>
  <c r="HQ60" i="39"/>
  <c r="HQ61" i="39"/>
  <c r="HQ62" i="39"/>
  <c r="HQ63" i="39"/>
  <c r="HQ64" i="39"/>
  <c r="HQ65" i="39"/>
  <c r="HQ66" i="39"/>
  <c r="HQ67" i="39"/>
  <c r="HQ68" i="39"/>
  <c r="HQ69" i="39"/>
  <c r="HQ70" i="39"/>
  <c r="HQ71" i="39"/>
  <c r="HQ72" i="39"/>
  <c r="HQ73" i="39"/>
  <c r="HQ74" i="39"/>
  <c r="HQ75" i="39"/>
  <c r="HQ76" i="39"/>
  <c r="HQ77" i="39"/>
  <c r="HQ78" i="39"/>
  <c r="HQ79" i="39"/>
  <c r="HQ80" i="39"/>
  <c r="HQ81" i="39"/>
  <c r="HQ82" i="39"/>
  <c r="HQ83" i="39"/>
  <c r="HQ84" i="39"/>
  <c r="HQ85" i="39"/>
  <c r="HQ86" i="39"/>
  <c r="HQ87" i="39"/>
  <c r="HQ88" i="39"/>
  <c r="HR5" i="39" l="1" a="1"/>
  <c r="HR5" i="39"/>
  <c r="HS5" i="39" a="1"/>
  <c r="HS5" i="39" s="1"/>
  <c r="HT5" i="39" s="1"/>
  <c r="HU5" i="39" a="1"/>
  <c r="HU5" i="39" s="1"/>
  <c r="HV5" i="39" s="1"/>
  <c r="HW5" i="39" a="1"/>
  <c r="HW5" i="39"/>
  <c r="HX5" i="39" s="1"/>
  <c r="HY5" i="39" a="1"/>
  <c r="HY5" i="39" s="1"/>
  <c r="HZ5" i="39" s="1"/>
  <c r="HR6" i="39" a="1"/>
  <c r="HR6" i="39"/>
  <c r="HW6" i="39" a="1"/>
  <c r="HW6" i="39"/>
  <c r="HY6" i="39" a="1"/>
  <c r="HY6" i="39" s="1"/>
  <c r="HR7" i="39" a="1"/>
  <c r="HR7" i="39"/>
  <c r="HS7" i="39" a="1"/>
  <c r="HS7" i="39" s="1"/>
  <c r="HT7" i="39" s="1"/>
  <c r="HU7" i="39" a="1"/>
  <c r="HU7" i="39" s="1"/>
  <c r="HV7" i="39" s="1"/>
  <c r="HW7" i="39" a="1"/>
  <c r="HW7" i="39"/>
  <c r="HX7" i="39" s="1"/>
  <c r="HY7" i="39" a="1"/>
  <c r="HY7" i="39" s="1"/>
  <c r="HZ7" i="39" s="1"/>
  <c r="HR8" i="39" a="1"/>
  <c r="HR8" i="39"/>
  <c r="HS8" i="39" a="1"/>
  <c r="HS8" i="39" s="1"/>
  <c r="HU8" i="39" a="1"/>
  <c r="HU8" i="39" s="1"/>
  <c r="HW8" i="39" a="1"/>
  <c r="HW8" i="39"/>
  <c r="HY8" i="39" a="1"/>
  <c r="HY8" i="39" s="1"/>
  <c r="HR9" i="39" a="1"/>
  <c r="HR9" i="39"/>
  <c r="HS9" i="39" a="1"/>
  <c r="HS9" i="39" s="1"/>
  <c r="HT9" i="39" s="1"/>
  <c r="HU9" i="39" a="1"/>
  <c r="HU9" i="39" s="1"/>
  <c r="HV9" i="39" s="1"/>
  <c r="HW9" i="39" a="1"/>
  <c r="HW9" i="39"/>
  <c r="HX9" i="39" s="1"/>
  <c r="HY9" i="39" a="1"/>
  <c r="HY9" i="39" s="1"/>
  <c r="HZ9" i="39" s="1"/>
  <c r="HR10" i="39" a="1"/>
  <c r="HR10" i="39"/>
  <c r="HS10" i="39" a="1"/>
  <c r="HS10" i="39" s="1"/>
  <c r="HU10" i="39" a="1"/>
  <c r="HU10" i="39" s="1"/>
  <c r="HW10" i="39" a="1"/>
  <c r="HW10" i="39"/>
  <c r="HY10" i="39" a="1"/>
  <c r="HY10" i="39" s="1"/>
  <c r="HR11" i="39" a="1"/>
  <c r="HR11" i="39"/>
  <c r="HS11" i="39" a="1"/>
  <c r="HS11" i="39" s="1"/>
  <c r="HT11" i="39" s="1"/>
  <c r="HU11" i="39" a="1"/>
  <c r="HU11" i="39" s="1"/>
  <c r="HV11" i="39" s="1"/>
  <c r="HW11" i="39" a="1"/>
  <c r="HW11" i="39"/>
  <c r="HX11" i="39" s="1"/>
  <c r="HY11" i="39" a="1"/>
  <c r="HY11" i="39" s="1"/>
  <c r="HZ11" i="39" s="1"/>
  <c r="HR12" i="39" a="1"/>
  <c r="HR12" i="39"/>
  <c r="HS12" i="39" a="1"/>
  <c r="HS12" i="39" s="1"/>
  <c r="HU12" i="39" a="1"/>
  <c r="HU12" i="39" s="1"/>
  <c r="HW12" i="39" a="1"/>
  <c r="HW12" i="39"/>
  <c r="HY12" i="39" a="1"/>
  <c r="HY12" i="39" s="1"/>
  <c r="HR13" i="39" a="1"/>
  <c r="HR13" i="39"/>
  <c r="HS13" i="39" a="1"/>
  <c r="HS13" i="39" s="1"/>
  <c r="HT13" i="39" s="1"/>
  <c r="HU13" i="39" a="1"/>
  <c r="HU13" i="39" s="1"/>
  <c r="HV13" i="39" s="1"/>
  <c r="HW13" i="39" a="1"/>
  <c r="HW13" i="39"/>
  <c r="HX13" i="39" s="1"/>
  <c r="HY13" i="39" a="1"/>
  <c r="HY13" i="39" s="1"/>
  <c r="HZ13" i="39" s="1"/>
  <c r="HR14" i="39" a="1"/>
  <c r="HR14" i="39"/>
  <c r="HS14" i="39" a="1"/>
  <c r="HS14" i="39" s="1"/>
  <c r="HU14" i="39" a="1"/>
  <c r="HU14" i="39" s="1"/>
  <c r="HW14" i="39" a="1"/>
  <c r="HW14" i="39"/>
  <c r="HY14" i="39" a="1"/>
  <c r="HY14" i="39" s="1"/>
  <c r="HR15" i="39" a="1"/>
  <c r="HR15" i="39"/>
  <c r="HS15" i="39" a="1"/>
  <c r="HS15" i="39" s="1"/>
  <c r="HT15" i="39" s="1"/>
  <c r="HU15" i="39" a="1"/>
  <c r="HU15" i="39" s="1"/>
  <c r="HV15" i="39" s="1"/>
  <c r="HW15" i="39" a="1"/>
  <c r="HW15" i="39"/>
  <c r="HX15" i="39" s="1"/>
  <c r="HY15" i="39" a="1"/>
  <c r="HY15" i="39" s="1"/>
  <c r="HZ15" i="39" s="1"/>
  <c r="HR16" i="39" a="1"/>
  <c r="HR16" i="39"/>
  <c r="HS16" i="39" a="1"/>
  <c r="HS16" i="39" s="1"/>
  <c r="HU16" i="39" a="1"/>
  <c r="HU16" i="39" s="1"/>
  <c r="HW16" i="39" a="1"/>
  <c r="HW16" i="39"/>
  <c r="HY16" i="39" a="1"/>
  <c r="HY16" i="39" s="1"/>
  <c r="HR17" i="39" a="1"/>
  <c r="HR17" i="39"/>
  <c r="HS17" i="39" a="1"/>
  <c r="HS17" i="39" s="1"/>
  <c r="HT17" i="39" s="1"/>
  <c r="HU17" i="39" a="1"/>
  <c r="HU17" i="39" s="1"/>
  <c r="HV17" i="39" s="1"/>
  <c r="HW17" i="39" a="1"/>
  <c r="HW17" i="39"/>
  <c r="HX17" i="39" s="1"/>
  <c r="HY17" i="39" a="1"/>
  <c r="HY17" i="39" s="1"/>
  <c r="HZ17" i="39" s="1"/>
  <c r="HR18" i="39" a="1"/>
  <c r="HR18" i="39"/>
  <c r="HS18" i="39" a="1"/>
  <c r="HS18" i="39" s="1"/>
  <c r="HU18" i="39" a="1"/>
  <c r="HU18" i="39" s="1"/>
  <c r="HW18" i="39" a="1"/>
  <c r="HW18" i="39"/>
  <c r="HY18" i="39" a="1"/>
  <c r="HY18" i="39" s="1"/>
  <c r="HR19" i="39" a="1"/>
  <c r="HR19" i="39"/>
  <c r="HS19" i="39" a="1"/>
  <c r="HS19" i="39" s="1"/>
  <c r="HT19" i="39" s="1"/>
  <c r="HU19" i="39" a="1"/>
  <c r="HU19" i="39" s="1"/>
  <c r="HV19" i="39" s="1"/>
  <c r="HW19" i="39" a="1"/>
  <c r="HW19" i="39"/>
  <c r="HX19" i="39" s="1"/>
  <c r="HY19" i="39" a="1"/>
  <c r="HY19" i="39" s="1"/>
  <c r="HZ19" i="39" s="1"/>
  <c r="HR20" i="39" a="1"/>
  <c r="HR20" i="39"/>
  <c r="HS20" i="39" a="1"/>
  <c r="HS20" i="39" s="1"/>
  <c r="HU20" i="39" a="1"/>
  <c r="HU20" i="39" s="1"/>
  <c r="HW20" i="39" a="1"/>
  <c r="HW20" i="39"/>
  <c r="HY20" i="39" a="1"/>
  <c r="HY20" i="39" s="1"/>
  <c r="HR21" i="39" a="1"/>
  <c r="HR21" i="39"/>
  <c r="HS21" i="39" a="1"/>
  <c r="HS21" i="39" s="1"/>
  <c r="HT21" i="39" s="1"/>
  <c r="HU21" i="39" a="1"/>
  <c r="HU21" i="39" s="1"/>
  <c r="HV21" i="39"/>
  <c r="HW21" i="39" a="1"/>
  <c r="HW21" i="39"/>
  <c r="HX21" i="39" s="1"/>
  <c r="HY21" i="39" a="1"/>
  <c r="HY21" i="39" s="1"/>
  <c r="HZ21" i="39" s="1"/>
  <c r="HR22" i="39" a="1"/>
  <c r="HR22" i="39"/>
  <c r="HS22" i="39" a="1"/>
  <c r="HS22" i="39" s="1"/>
  <c r="HU22" i="39" a="1"/>
  <c r="HU22" i="39" s="1"/>
  <c r="HW22" i="39" a="1"/>
  <c r="HW22" i="39"/>
  <c r="HY22" i="39" a="1"/>
  <c r="HY22" i="39" s="1"/>
  <c r="HR23" i="39" a="1"/>
  <c r="HR23" i="39"/>
  <c r="HS23" i="39" a="1"/>
  <c r="HS23" i="39" s="1"/>
  <c r="HT23" i="39" s="1"/>
  <c r="HU23" i="39" a="1"/>
  <c r="HU23" i="39" s="1"/>
  <c r="HV23" i="39" s="1"/>
  <c r="HW23" i="39" a="1"/>
  <c r="HW23" i="39"/>
  <c r="HX23" i="39" s="1"/>
  <c r="HY23" i="39" a="1"/>
  <c r="HY23" i="39" s="1"/>
  <c r="HZ23" i="39" s="1"/>
  <c r="HR24" i="39" a="1"/>
  <c r="HR24" i="39"/>
  <c r="HS24" i="39" a="1"/>
  <c r="HS24" i="39" s="1"/>
  <c r="HU24" i="39" a="1"/>
  <c r="HU24" i="39" s="1"/>
  <c r="HW24" i="39" a="1"/>
  <c r="HW24" i="39"/>
  <c r="HY24" i="39" a="1"/>
  <c r="HY24" i="39" s="1"/>
  <c r="HR25" i="39" a="1"/>
  <c r="HR25" i="39"/>
  <c r="HS25" i="39" a="1"/>
  <c r="HS25" i="39"/>
  <c r="HT25" i="39" s="1"/>
  <c r="HU25" i="39" a="1"/>
  <c r="HU25" i="39" s="1"/>
  <c r="HV25" i="39"/>
  <c r="HW25" i="39" a="1"/>
  <c r="HW25" i="39"/>
  <c r="HX25" i="39" s="1"/>
  <c r="HY25" i="39" a="1"/>
  <c r="HY25" i="39" s="1"/>
  <c r="HZ25" i="39" s="1"/>
  <c r="HR26" i="39" a="1"/>
  <c r="HR26" i="39"/>
  <c r="HS26" i="39" a="1"/>
  <c r="HS26" i="39" s="1"/>
  <c r="HU26" i="39" a="1"/>
  <c r="HU26" i="39" s="1"/>
  <c r="HW26" i="39" a="1"/>
  <c r="HW26" i="39"/>
  <c r="HY26" i="39" a="1"/>
  <c r="HY26" i="39" s="1"/>
  <c r="HR27" i="39" a="1"/>
  <c r="HR27" i="39"/>
  <c r="HS27" i="39" a="1"/>
  <c r="HS27" i="39" s="1"/>
  <c r="HT27" i="39" s="1"/>
  <c r="HU27" i="39" a="1"/>
  <c r="HU27" i="39" s="1"/>
  <c r="HV27" i="39" s="1"/>
  <c r="HW27" i="39" a="1"/>
  <c r="HW27" i="39"/>
  <c r="HX27" i="39" s="1"/>
  <c r="HY27" i="39" a="1"/>
  <c r="HY27" i="39" s="1"/>
  <c r="HZ27" i="39" s="1"/>
  <c r="HR28" i="39" a="1"/>
  <c r="HR28" i="39"/>
  <c r="HS28" i="39" a="1"/>
  <c r="HS28" i="39" s="1"/>
  <c r="HU28" i="39" a="1"/>
  <c r="HU28" i="39" s="1"/>
  <c r="HW28" i="39" a="1"/>
  <c r="HW28" i="39"/>
  <c r="HY28" i="39" a="1"/>
  <c r="HY28" i="39" s="1"/>
  <c r="HR29" i="39" a="1"/>
  <c r="HR29" i="39"/>
  <c r="HS29" i="39" a="1"/>
  <c r="HS29" i="39"/>
  <c r="HT29" i="39" s="1"/>
  <c r="HU29" i="39" a="1"/>
  <c r="HU29" i="39" s="1"/>
  <c r="HV29" i="39" s="1"/>
  <c r="HW29" i="39" a="1"/>
  <c r="HW29" i="39"/>
  <c r="HX29" i="39" s="1"/>
  <c r="HY29" i="39" a="1"/>
  <c r="HY29" i="39" s="1"/>
  <c r="HZ29" i="39" s="1"/>
  <c r="HR30" i="39" a="1"/>
  <c r="HR30" i="39"/>
  <c r="HS30" i="39" a="1"/>
  <c r="HS30" i="39" s="1"/>
  <c r="HU30" i="39" a="1"/>
  <c r="HU30" i="39" s="1"/>
  <c r="HW30" i="39" a="1"/>
  <c r="HW30" i="39"/>
  <c r="HY30" i="39" a="1"/>
  <c r="HY30" i="39" s="1"/>
  <c r="HR31" i="39" a="1"/>
  <c r="HR31" i="39"/>
  <c r="HS31" i="39" a="1"/>
  <c r="HS31" i="39" s="1"/>
  <c r="HT31" i="39" s="1"/>
  <c r="HU31" i="39" a="1"/>
  <c r="HU31" i="39" s="1"/>
  <c r="HV31" i="39" s="1"/>
  <c r="HW31" i="39" a="1"/>
  <c r="HW31" i="39"/>
  <c r="HX31" i="39" s="1"/>
  <c r="HY31" i="39" a="1"/>
  <c r="HY31" i="39" s="1"/>
  <c r="HZ31" i="39" s="1"/>
  <c r="HR32" i="39" a="1"/>
  <c r="HR32" i="39"/>
  <c r="HS32" i="39" a="1"/>
  <c r="HS32" i="39" s="1"/>
  <c r="HU32" i="39" a="1"/>
  <c r="HU32" i="39" s="1"/>
  <c r="HW32" i="39" a="1"/>
  <c r="HW32" i="39"/>
  <c r="HY32" i="39" a="1"/>
  <c r="HY32" i="39" s="1"/>
  <c r="HR33" i="39" a="1"/>
  <c r="HR33" i="39"/>
  <c r="HS33" i="39" a="1"/>
  <c r="HS33" i="39" s="1"/>
  <c r="HT33" i="39" s="1"/>
  <c r="HU33" i="39" a="1"/>
  <c r="HU33" i="39" s="1"/>
  <c r="HV33" i="39"/>
  <c r="HW33" i="39" a="1"/>
  <c r="HW33" i="39"/>
  <c r="HX33" i="39" s="1"/>
  <c r="HY33" i="39" a="1"/>
  <c r="HY33" i="39" s="1"/>
  <c r="HZ33" i="39" s="1"/>
  <c r="HR34" i="39" a="1"/>
  <c r="HR34" i="39"/>
  <c r="HS34" i="39" a="1"/>
  <c r="HS34" i="39" s="1"/>
  <c r="HU34" i="39" a="1"/>
  <c r="HU34" i="39" s="1"/>
  <c r="HW34" i="39" a="1"/>
  <c r="HW34" i="39"/>
  <c r="HY34" i="39" a="1"/>
  <c r="HY34" i="39" s="1"/>
  <c r="HR35" i="39" a="1"/>
  <c r="HR35" i="39"/>
  <c r="HS35" i="39" a="1"/>
  <c r="HS35" i="39" s="1"/>
  <c r="HT35" i="39" s="1"/>
  <c r="HU35" i="39" a="1"/>
  <c r="HU35" i="39" s="1"/>
  <c r="HV35" i="39" s="1"/>
  <c r="HW35" i="39" a="1"/>
  <c r="HW35" i="39"/>
  <c r="HX35" i="39" s="1"/>
  <c r="HY35" i="39" a="1"/>
  <c r="HY35" i="39" s="1"/>
  <c r="HZ35" i="39" s="1"/>
  <c r="HR36" i="39" a="1"/>
  <c r="HR36" i="39"/>
  <c r="HS36" i="39" a="1"/>
  <c r="HS36" i="39" s="1"/>
  <c r="HU36" i="39" a="1"/>
  <c r="HU36" i="39" s="1"/>
  <c r="HW36" i="39" a="1"/>
  <c r="HW36" i="39"/>
  <c r="HY36" i="39" a="1"/>
  <c r="HY36" i="39" s="1"/>
  <c r="HR37" i="39" a="1"/>
  <c r="HR37" i="39"/>
  <c r="HS37" i="39" a="1"/>
  <c r="HS37" i="39"/>
  <c r="HT37" i="39" s="1"/>
  <c r="HU37" i="39" a="1"/>
  <c r="HU37" i="39" s="1"/>
  <c r="HV37" i="39" s="1"/>
  <c r="HW37" i="39" a="1"/>
  <c r="HW37" i="39"/>
  <c r="HX37" i="39" s="1"/>
  <c r="HY37" i="39" a="1"/>
  <c r="HY37" i="39" s="1"/>
  <c r="HZ37" i="39" s="1"/>
  <c r="HR38" i="39" a="1"/>
  <c r="HR38" i="39"/>
  <c r="HS38" i="39" a="1"/>
  <c r="HS38" i="39" s="1"/>
  <c r="HU38" i="39" a="1"/>
  <c r="HU38" i="39" s="1"/>
  <c r="HW38" i="39" a="1"/>
  <c r="HW38" i="39"/>
  <c r="HY38" i="39" a="1"/>
  <c r="HY38" i="39" s="1"/>
  <c r="HR39" i="39" a="1"/>
  <c r="HR39" i="39"/>
  <c r="HS39" i="39" a="1"/>
  <c r="HS39" i="39" s="1"/>
  <c r="HT39" i="39" s="1"/>
  <c r="HU39" i="39" a="1"/>
  <c r="HU39" i="39" s="1"/>
  <c r="HV39" i="39" s="1"/>
  <c r="HW39" i="39" a="1"/>
  <c r="HW39" i="39"/>
  <c r="HX39" i="39" s="1"/>
  <c r="HY39" i="39" a="1"/>
  <c r="HY39" i="39" s="1"/>
  <c r="HZ39" i="39" s="1"/>
  <c r="HR40" i="39" a="1"/>
  <c r="HR40" i="39"/>
  <c r="HS40" i="39" a="1"/>
  <c r="HS40" i="39" s="1"/>
  <c r="HU40" i="39" a="1"/>
  <c r="HU40" i="39" s="1"/>
  <c r="HW40" i="39" a="1"/>
  <c r="HW40" i="39"/>
  <c r="HY40" i="39" a="1"/>
  <c r="HY40" i="39" s="1"/>
  <c r="HR41" i="39" a="1"/>
  <c r="HR41" i="39"/>
  <c r="HS41" i="39" a="1"/>
  <c r="HS41" i="39" s="1"/>
  <c r="HT41" i="39" s="1"/>
  <c r="HU41" i="39" a="1"/>
  <c r="HU41" i="39" s="1"/>
  <c r="HV41" i="39" s="1"/>
  <c r="HW41" i="39" a="1"/>
  <c r="HW41" i="39"/>
  <c r="HX41" i="39" s="1"/>
  <c r="HY41" i="39" a="1"/>
  <c r="HY41" i="39" s="1"/>
  <c r="HZ41" i="39" s="1"/>
  <c r="HR42" i="39" a="1"/>
  <c r="HR42" i="39"/>
  <c r="HS42" i="39" a="1"/>
  <c r="HS42" i="39" s="1"/>
  <c r="HU42" i="39" a="1"/>
  <c r="HU42" i="39" s="1"/>
  <c r="HW42" i="39" a="1"/>
  <c r="HW42" i="39"/>
  <c r="HY42" i="39" a="1"/>
  <c r="HY42" i="39" s="1"/>
  <c r="HR43" i="39" a="1"/>
  <c r="HR43" i="39"/>
  <c r="HS43" i="39" a="1"/>
  <c r="HS43" i="39" s="1"/>
  <c r="HT43" i="39" s="1"/>
  <c r="HU43" i="39" a="1"/>
  <c r="HU43" i="39" s="1"/>
  <c r="HV43" i="39" s="1"/>
  <c r="HW43" i="39" a="1"/>
  <c r="HW43" i="39"/>
  <c r="HX43" i="39" s="1"/>
  <c r="HY43" i="39" a="1"/>
  <c r="HY43" i="39" s="1"/>
  <c r="HZ43" i="39" s="1"/>
  <c r="HR44" i="39" a="1"/>
  <c r="HR44" i="39"/>
  <c r="HS44" i="39" a="1"/>
  <c r="HS44" i="39" s="1"/>
  <c r="HU44" i="39" a="1"/>
  <c r="HU44" i="39" s="1"/>
  <c r="HW44" i="39" a="1"/>
  <c r="HW44" i="39"/>
  <c r="HY44" i="39" a="1"/>
  <c r="HY44" i="39" s="1"/>
  <c r="HR45" i="39" a="1"/>
  <c r="HR45" i="39"/>
  <c r="HS45" i="39" a="1"/>
  <c r="HS45" i="39" s="1"/>
  <c r="HT45" i="39" s="1"/>
  <c r="HU45" i="39" a="1"/>
  <c r="HU45" i="39" s="1"/>
  <c r="HV45" i="39" s="1"/>
  <c r="HW45" i="39" a="1"/>
  <c r="HW45" i="39"/>
  <c r="HX45" i="39" s="1"/>
  <c r="HY45" i="39" a="1"/>
  <c r="HY45" i="39" s="1"/>
  <c r="HZ45" i="39" s="1"/>
  <c r="HR46" i="39" a="1"/>
  <c r="HR46" i="39"/>
  <c r="HS46" i="39" a="1"/>
  <c r="HS46" i="39"/>
  <c r="HU46" i="39" a="1"/>
  <c r="HU46" i="39" s="1"/>
  <c r="HW46" i="39" a="1"/>
  <c r="HW46" i="39"/>
  <c r="HY46" i="39" a="1"/>
  <c r="HY46" i="39" s="1"/>
  <c r="HR47" i="39" a="1"/>
  <c r="HR47" i="39"/>
  <c r="HS47" i="39" a="1"/>
  <c r="HS47" i="39"/>
  <c r="HT47" i="39" s="1"/>
  <c r="HU47" i="39" a="1"/>
  <c r="HU47" i="39" s="1"/>
  <c r="HV47" i="39" s="1"/>
  <c r="HW47" i="39" a="1"/>
  <c r="HW47" i="39"/>
  <c r="HX47" i="39" s="1"/>
  <c r="HY47" i="39" a="1"/>
  <c r="HY47" i="39" s="1"/>
  <c r="HZ47" i="39" s="1"/>
  <c r="HR48" i="39" a="1"/>
  <c r="HR48" i="39"/>
  <c r="HS48" i="39" a="1"/>
  <c r="HS48" i="39"/>
  <c r="HU48" i="39" a="1"/>
  <c r="HU48" i="39" s="1"/>
  <c r="HW48" i="39" a="1"/>
  <c r="HW48" i="39"/>
  <c r="HY48" i="39" a="1"/>
  <c r="HY48" i="39" s="1"/>
  <c r="HR49" i="39" a="1"/>
  <c r="HR49" i="39"/>
  <c r="HS49" i="39" a="1"/>
  <c r="HS49" i="39" s="1"/>
  <c r="HT49" i="39" s="1"/>
  <c r="HU49" i="39" a="1"/>
  <c r="HU49" i="39" s="1"/>
  <c r="HV49" i="39" s="1"/>
  <c r="HW49" i="39" a="1"/>
  <c r="HW49" i="39"/>
  <c r="HX49" i="39" s="1"/>
  <c r="HY49" i="39" a="1"/>
  <c r="HY49" i="39" s="1"/>
  <c r="HZ49" i="39" s="1"/>
  <c r="HR50" i="39" a="1"/>
  <c r="HR50" i="39"/>
  <c r="HS50" i="39" a="1"/>
  <c r="HS50" i="39" s="1"/>
  <c r="HU50" i="39" a="1"/>
  <c r="HU50" i="39" s="1"/>
  <c r="HW50" i="39" a="1"/>
  <c r="HW50" i="39"/>
  <c r="HY50" i="39" a="1"/>
  <c r="HY50" i="39" s="1"/>
  <c r="HR51" i="39" a="1"/>
  <c r="HR51" i="39"/>
  <c r="HS51" i="39" a="1"/>
  <c r="HS51" i="39" s="1"/>
  <c r="HT51" i="39" s="1"/>
  <c r="HU51" i="39" a="1"/>
  <c r="HU51" i="39" s="1"/>
  <c r="HV51" i="39" s="1"/>
  <c r="HW51" i="39" a="1"/>
  <c r="HW51" i="39"/>
  <c r="HX51" i="39" s="1"/>
  <c r="HY51" i="39" a="1"/>
  <c r="HY51" i="39" s="1"/>
  <c r="HZ51" i="39" s="1"/>
  <c r="HR52" i="39" a="1"/>
  <c r="HR52" i="39"/>
  <c r="HS52" i="39" a="1"/>
  <c r="HS52" i="39" s="1"/>
  <c r="HU52" i="39" a="1"/>
  <c r="HU52" i="39" s="1"/>
  <c r="HW52" i="39" a="1"/>
  <c r="HW52" i="39"/>
  <c r="HY52" i="39" a="1"/>
  <c r="HY52" i="39" s="1"/>
  <c r="HR53" i="39" a="1"/>
  <c r="HR53" i="39"/>
  <c r="HS53" i="39" a="1"/>
  <c r="HS53" i="39" s="1"/>
  <c r="HT53" i="39" s="1"/>
  <c r="HU53" i="39" a="1"/>
  <c r="HU53" i="39" s="1"/>
  <c r="HV53" i="39" s="1"/>
  <c r="HW53" i="39" a="1"/>
  <c r="HW53" i="39" s="1"/>
  <c r="HX53" i="39" s="1"/>
  <c r="HY53" i="39" a="1"/>
  <c r="HY53" i="39" s="1"/>
  <c r="HZ53" i="39" s="1"/>
  <c r="HR54" i="39" a="1"/>
  <c r="HR54" i="39"/>
  <c r="HS54" i="39" a="1"/>
  <c r="HS54" i="39" s="1"/>
  <c r="HU54" i="39" a="1"/>
  <c r="HU54" i="39" s="1"/>
  <c r="HW54" i="39" a="1"/>
  <c r="HW54" i="39"/>
  <c r="HY54" i="39" a="1"/>
  <c r="HY54" i="39" s="1"/>
  <c r="HR55" i="39" a="1"/>
  <c r="HR55" i="39"/>
  <c r="HS55" i="39" a="1"/>
  <c r="HS55" i="39" s="1"/>
  <c r="HT55" i="39" s="1"/>
  <c r="HU55" i="39" a="1"/>
  <c r="HU55" i="39" s="1"/>
  <c r="HV55" i="39" s="1"/>
  <c r="HW55" i="39" a="1"/>
  <c r="HW55" i="39"/>
  <c r="HX55" i="39" s="1"/>
  <c r="HY55" i="39" a="1"/>
  <c r="HY55" i="39" s="1"/>
  <c r="HZ55" i="39" s="1"/>
  <c r="HR56" i="39" a="1"/>
  <c r="HR56" i="39"/>
  <c r="HS56" i="39" a="1"/>
  <c r="HS56" i="39" s="1"/>
  <c r="HU56" i="39" a="1"/>
  <c r="HU56" i="39" s="1"/>
  <c r="HW56" i="39" a="1"/>
  <c r="HW56" i="39" s="1"/>
  <c r="HY56" i="39" a="1"/>
  <c r="HY56" i="39" s="1"/>
  <c r="HR57" i="39" a="1"/>
  <c r="HR57" i="39" s="1"/>
  <c r="HS57" i="39" a="1"/>
  <c r="HS57" i="39" s="1"/>
  <c r="HT57" i="39" s="1"/>
  <c r="HU57" i="39" a="1"/>
  <c r="HU57" i="39" s="1"/>
  <c r="HV57" i="39" s="1"/>
  <c r="HW57" i="39" a="1"/>
  <c r="HW57" i="39" s="1"/>
  <c r="HX57" i="39" s="1"/>
  <c r="HY57" i="39" a="1"/>
  <c r="HY57" i="39" s="1"/>
  <c r="HZ57" i="39" s="1"/>
  <c r="HR58" i="39" a="1"/>
  <c r="HR58" i="39"/>
  <c r="HS58" i="39" a="1"/>
  <c r="HS58" i="39" s="1"/>
  <c r="HU58" i="39" a="1"/>
  <c r="HU58" i="39" s="1"/>
  <c r="HW58" i="39" a="1"/>
  <c r="HW58" i="39"/>
  <c r="HY58" i="39" a="1"/>
  <c r="HY58" i="39" s="1"/>
  <c r="HR59" i="39" a="1"/>
  <c r="HR59" i="39"/>
  <c r="HS59" i="39" a="1"/>
  <c r="HS59" i="39" s="1"/>
  <c r="HT59" i="39" s="1"/>
  <c r="HU59" i="39" a="1"/>
  <c r="HU59" i="39" s="1"/>
  <c r="HV59" i="39" s="1"/>
  <c r="HW59" i="39" a="1"/>
  <c r="HW59" i="39"/>
  <c r="HX59" i="39" s="1"/>
  <c r="HY59" i="39" a="1"/>
  <c r="HY59" i="39" s="1"/>
  <c r="HZ59" i="39" s="1"/>
  <c r="HR60" i="39" a="1"/>
  <c r="HR60" i="39" s="1"/>
  <c r="HS60" i="39" a="1"/>
  <c r="HS60" i="39" s="1"/>
  <c r="HU60" i="39" a="1"/>
  <c r="HU60" i="39" s="1"/>
  <c r="HW60" i="39" a="1"/>
  <c r="HW60" i="39" s="1"/>
  <c r="HY60" i="39" a="1"/>
  <c r="HY60" i="39" s="1"/>
  <c r="HR61" i="39" a="1"/>
  <c r="HR61" i="39" s="1"/>
  <c r="HS61" i="39" a="1"/>
  <c r="HS61" i="39" s="1"/>
  <c r="HT61" i="39" s="1"/>
  <c r="HU61" i="39" a="1"/>
  <c r="HU61" i="39" s="1"/>
  <c r="HV61" i="39" s="1"/>
  <c r="HW61" i="39" a="1"/>
  <c r="HW61" i="39" s="1"/>
  <c r="HX61" i="39" s="1"/>
  <c r="HY61" i="39" a="1"/>
  <c r="HY61" i="39" s="1"/>
  <c r="HZ61" i="39" s="1"/>
  <c r="HR62" i="39" a="1"/>
  <c r="HR62" i="39"/>
  <c r="HS62" i="39" a="1"/>
  <c r="HS62" i="39" s="1"/>
  <c r="HU62" i="39" a="1"/>
  <c r="HU62" i="39" s="1"/>
  <c r="HW62" i="39" a="1"/>
  <c r="HW62" i="39"/>
  <c r="HY62" i="39" a="1"/>
  <c r="HY62" i="39"/>
  <c r="HR63" i="39" a="1"/>
  <c r="HR63" i="39"/>
  <c r="HS63" i="39" a="1"/>
  <c r="HS63" i="39" s="1"/>
  <c r="HT63" i="39" s="1"/>
  <c r="HU63" i="39" a="1"/>
  <c r="HU63" i="39" s="1"/>
  <c r="HV63" i="39" s="1"/>
  <c r="HW63" i="39" a="1"/>
  <c r="HW63" i="39"/>
  <c r="HX63" i="39" s="1"/>
  <c r="HY63" i="39" a="1"/>
  <c r="HY63" i="39" s="1"/>
  <c r="HZ63" i="39" s="1"/>
  <c r="HR64" i="39" a="1"/>
  <c r="HR64" i="39"/>
  <c r="HS64" i="39" a="1"/>
  <c r="HS64" i="39" s="1"/>
  <c r="HU64" i="39" a="1"/>
  <c r="HU64" i="39" s="1"/>
  <c r="HW64" i="39" a="1"/>
  <c r="HW64" i="39"/>
  <c r="HY64" i="39" a="1"/>
  <c r="HY64" i="39" s="1"/>
  <c r="HR65" i="39" a="1"/>
  <c r="HR65" i="39" s="1"/>
  <c r="HS65" i="39" a="1"/>
  <c r="HS65" i="39"/>
  <c r="HT65" i="39" s="1"/>
  <c r="HU65" i="39" a="1"/>
  <c r="HU65" i="39" s="1"/>
  <c r="HV65" i="39" s="1"/>
  <c r="HW65" i="39" a="1"/>
  <c r="HW65" i="39" s="1"/>
  <c r="HX65" i="39" s="1"/>
  <c r="HY65" i="39" a="1"/>
  <c r="HY65" i="39" s="1"/>
  <c r="HZ65" i="39" s="1"/>
  <c r="HR66" i="39" a="1"/>
  <c r="HR66" i="39"/>
  <c r="HS66" i="39" a="1"/>
  <c r="HS66" i="39" s="1"/>
  <c r="HU66" i="39" a="1"/>
  <c r="HU66" i="39" s="1"/>
  <c r="HW66" i="39" a="1"/>
  <c r="HW66" i="39"/>
  <c r="HY66" i="39" a="1"/>
  <c r="HY66" i="39"/>
  <c r="HR67" i="39" a="1"/>
  <c r="HR67" i="39"/>
  <c r="HS67" i="39" a="1"/>
  <c r="HS67" i="39" s="1"/>
  <c r="HT67" i="39" s="1"/>
  <c r="HU67" i="39" a="1"/>
  <c r="HU67" i="39" s="1"/>
  <c r="HV67" i="39" s="1"/>
  <c r="HW67" i="39" a="1"/>
  <c r="HW67" i="39"/>
  <c r="HX67" i="39" s="1"/>
  <c r="HY67" i="39" a="1"/>
  <c r="HY67" i="39" s="1"/>
  <c r="HZ67" i="39" s="1"/>
  <c r="HR68" i="39" a="1"/>
  <c r="HR68" i="39"/>
  <c r="HS68" i="39" a="1"/>
  <c r="HS68" i="39" s="1"/>
  <c r="HU68" i="39" a="1"/>
  <c r="HU68" i="39" s="1"/>
  <c r="HW68" i="39" a="1"/>
  <c r="HW68" i="39" s="1"/>
  <c r="HY68" i="39" a="1"/>
  <c r="HY68" i="39" s="1"/>
  <c r="HR69" i="39" a="1"/>
  <c r="HR69" i="39" s="1"/>
  <c r="HS69" i="39" a="1"/>
  <c r="HS69" i="39" s="1"/>
  <c r="HT69" i="39" s="1"/>
  <c r="HU69" i="39" a="1"/>
  <c r="HU69" i="39" s="1"/>
  <c r="HV69" i="39"/>
  <c r="HW69" i="39" a="1"/>
  <c r="HW69" i="39" s="1"/>
  <c r="HX69" i="39" s="1"/>
  <c r="HY69" i="39" a="1"/>
  <c r="HY69" i="39" s="1"/>
  <c r="HZ69" i="39" s="1"/>
  <c r="HR70" i="39" a="1"/>
  <c r="HR70" i="39"/>
  <c r="HS70" i="39" a="1"/>
  <c r="HS70" i="39" s="1"/>
  <c r="HU70" i="39" a="1"/>
  <c r="HU70" i="39" s="1"/>
  <c r="HW70" i="39" a="1"/>
  <c r="HW70" i="39"/>
  <c r="HY70" i="39" a="1"/>
  <c r="HY70" i="39"/>
  <c r="HR71" i="39" a="1"/>
  <c r="HR71" i="39"/>
  <c r="HS71" i="39" a="1"/>
  <c r="HS71" i="39" s="1"/>
  <c r="HT71" i="39" s="1"/>
  <c r="HU71" i="39" a="1"/>
  <c r="HU71" i="39" s="1"/>
  <c r="HV71" i="39" s="1"/>
  <c r="HW71" i="39" a="1"/>
  <c r="HW71" i="39"/>
  <c r="HX71" i="39" s="1"/>
  <c r="HY71" i="39" a="1"/>
  <c r="HY71" i="39" s="1"/>
  <c r="HZ71" i="39" s="1"/>
  <c r="HR72" i="39" a="1"/>
  <c r="HR72" i="39" s="1"/>
  <c r="HS72" i="39" a="1"/>
  <c r="HS72" i="39"/>
  <c r="HU72" i="39" a="1"/>
  <c r="HU72" i="39" s="1"/>
  <c r="HW72" i="39" a="1"/>
  <c r="HW72" i="39" s="1"/>
  <c r="HY72" i="39" a="1"/>
  <c r="HY72" i="39" s="1"/>
  <c r="HR73" i="39" a="1"/>
  <c r="HR73" i="39" s="1"/>
  <c r="HS73" i="39" a="1"/>
  <c r="HS73" i="39" s="1"/>
  <c r="HT73" i="39" s="1"/>
  <c r="HU73" i="39" a="1"/>
  <c r="HU73" i="39" s="1"/>
  <c r="HV73" i="39" s="1"/>
  <c r="HW73" i="39" a="1"/>
  <c r="HW73" i="39" s="1"/>
  <c r="HX73" i="39" s="1"/>
  <c r="HY73" i="39" a="1"/>
  <c r="HY73" i="39" s="1"/>
  <c r="HZ73" i="39" s="1"/>
  <c r="HR74" i="39" a="1"/>
  <c r="HR74" i="39"/>
  <c r="HS74" i="39" a="1"/>
  <c r="HS74" i="39" s="1"/>
  <c r="HU74" i="39" a="1"/>
  <c r="HU74" i="39" s="1"/>
  <c r="HW74" i="39" a="1"/>
  <c r="HW74" i="39"/>
  <c r="HY74" i="39" a="1"/>
  <c r="HY74" i="39"/>
  <c r="HR75" i="39" a="1"/>
  <c r="HR75" i="39"/>
  <c r="HS75" i="39" a="1"/>
  <c r="HS75" i="39"/>
  <c r="HT75" i="39" s="1"/>
  <c r="HU75" i="39" a="1"/>
  <c r="HU75" i="39" s="1"/>
  <c r="HV75" i="39" s="1"/>
  <c r="HW75" i="39" a="1"/>
  <c r="HW75" i="39"/>
  <c r="HX75" i="39" s="1"/>
  <c r="HY75" i="39" a="1"/>
  <c r="HY75" i="39" s="1"/>
  <c r="HZ75" i="39" s="1"/>
  <c r="HR76" i="39" a="1"/>
  <c r="HR76" i="39" s="1"/>
  <c r="HS76" i="39" a="1"/>
  <c r="HS76" i="39" s="1"/>
  <c r="HU76" i="39" a="1"/>
  <c r="HU76" i="39" s="1"/>
  <c r="HW76" i="39" a="1"/>
  <c r="HW76" i="39" s="1"/>
  <c r="HY76" i="39" a="1"/>
  <c r="HY76" i="39" s="1"/>
  <c r="HR77" i="39" a="1"/>
  <c r="HR77" i="39" s="1"/>
  <c r="HS77" i="39" a="1"/>
  <c r="HS77" i="39" s="1"/>
  <c r="HT77" i="39" s="1"/>
  <c r="HU77" i="39" a="1"/>
  <c r="HU77" i="39" s="1"/>
  <c r="HV77" i="39"/>
  <c r="HW77" i="39" a="1"/>
  <c r="HW77" i="39" s="1"/>
  <c r="HX77" i="39" s="1"/>
  <c r="HY77" i="39" a="1"/>
  <c r="HY77" i="39"/>
  <c r="HZ77" i="39"/>
  <c r="HR78" i="39" a="1"/>
  <c r="HR78" i="39"/>
  <c r="HS78" i="39" a="1"/>
  <c r="HS78" i="39" s="1"/>
  <c r="HU78" i="39" a="1"/>
  <c r="HU78" i="39" s="1"/>
  <c r="HW78" i="39" a="1"/>
  <c r="HW78" i="39"/>
  <c r="HY78" i="39" a="1"/>
  <c r="HY78" i="39"/>
  <c r="HR79" i="39" a="1"/>
  <c r="HR79" i="39"/>
  <c r="HS79" i="39" a="1"/>
  <c r="HS79" i="39"/>
  <c r="HT79" i="39" s="1"/>
  <c r="HU79" i="39" a="1"/>
  <c r="HU79" i="39"/>
  <c r="HV79" i="39" s="1"/>
  <c r="HW79" i="39" a="1"/>
  <c r="HW79" i="39"/>
  <c r="HX79" i="39" s="1"/>
  <c r="HY79" i="39" a="1"/>
  <c r="HY79" i="39" s="1"/>
  <c r="HZ79" i="39" s="1"/>
  <c r="HR80" i="39" a="1"/>
  <c r="HR80" i="39" s="1"/>
  <c r="HS80" i="39" a="1"/>
  <c r="HS80" i="39"/>
  <c r="HU80" i="39" a="1"/>
  <c r="HU80" i="39" s="1"/>
  <c r="HW80" i="39" a="1"/>
  <c r="HW80" i="39" s="1"/>
  <c r="HY80" i="39" a="1"/>
  <c r="HY80" i="39" s="1"/>
  <c r="HR81" i="39" a="1"/>
  <c r="HR81" i="39" s="1"/>
  <c r="HS81" i="39" a="1"/>
  <c r="HS81" i="39" s="1"/>
  <c r="HT81" i="39" s="1"/>
  <c r="HU81" i="39" a="1"/>
  <c r="HU81" i="39" s="1"/>
  <c r="HV81" i="39" s="1"/>
  <c r="HW81" i="39" a="1"/>
  <c r="HW81" i="39" s="1"/>
  <c r="HX81" i="39" s="1"/>
  <c r="HY81" i="39" a="1"/>
  <c r="HY81" i="39"/>
  <c r="HZ81" i="39"/>
  <c r="HR82" i="39" a="1"/>
  <c r="HR82" i="39"/>
  <c r="HS82" i="39" a="1"/>
  <c r="HS82" i="39" s="1"/>
  <c r="HU82" i="39" a="1"/>
  <c r="HU82" i="39" s="1"/>
  <c r="HW82" i="39" a="1"/>
  <c r="HW82" i="39"/>
  <c r="HY82" i="39" a="1"/>
  <c r="HY82" i="39"/>
  <c r="HR83" i="39" a="1"/>
  <c r="HR83" i="39"/>
  <c r="HS83" i="39" a="1"/>
  <c r="HS83" i="39" s="1"/>
  <c r="HT83" i="39" s="1"/>
  <c r="HU83" i="39" a="1"/>
  <c r="HU83" i="39" s="1"/>
  <c r="HV83" i="39" s="1"/>
  <c r="HW83" i="39" a="1"/>
  <c r="HW83" i="39"/>
  <c r="HX83" i="39" s="1"/>
  <c r="HY83" i="39" a="1"/>
  <c r="HY83" i="39" s="1"/>
  <c r="HZ83" i="39" s="1"/>
  <c r="HR84" i="39" a="1"/>
  <c r="HR84" i="39" s="1"/>
  <c r="HS84" i="39" a="1"/>
  <c r="HS84" i="39" s="1"/>
  <c r="HU84" i="39" a="1"/>
  <c r="HU84" i="39" s="1"/>
  <c r="HW84" i="39" a="1"/>
  <c r="HW84" i="39" s="1"/>
  <c r="HY84" i="39" a="1"/>
  <c r="HY84" i="39" s="1"/>
  <c r="HR85" i="39" a="1"/>
  <c r="HR85" i="39" s="1"/>
  <c r="HS85" i="39" a="1"/>
  <c r="HS85" i="39" s="1"/>
  <c r="HT85" i="39" s="1"/>
  <c r="HU85" i="39" a="1"/>
  <c r="HU85" i="39" s="1"/>
  <c r="HV85" i="39"/>
  <c r="HW85" i="39" a="1"/>
  <c r="HW85" i="39" s="1"/>
  <c r="HX85" i="39" s="1"/>
  <c r="HY85" i="39" a="1"/>
  <c r="HY85" i="39"/>
  <c r="HZ85" i="39"/>
  <c r="HR86" i="39" a="1"/>
  <c r="HR86" i="39"/>
  <c r="HS86" i="39" a="1"/>
  <c r="HS86" i="39" s="1"/>
  <c r="HU86" i="39" a="1"/>
  <c r="HU86" i="39" s="1"/>
  <c r="HW86" i="39" a="1"/>
  <c r="HW86" i="39"/>
  <c r="HY86" i="39" a="1"/>
  <c r="HY86" i="39"/>
  <c r="HR87" i="39" a="1"/>
  <c r="HR87" i="39"/>
  <c r="HS87" i="39" a="1"/>
  <c r="HS87" i="39"/>
  <c r="HT87" i="39" s="1"/>
  <c r="HU87" i="39" a="1"/>
  <c r="HU87" i="39" s="1"/>
  <c r="HV87" i="39" s="1"/>
  <c r="HW87" i="39" a="1"/>
  <c r="HW87" i="39"/>
  <c r="HX87" i="39" s="1"/>
  <c r="HY87" i="39" a="1"/>
  <c r="HY87" i="39" s="1"/>
  <c r="HZ87" i="39" s="1"/>
  <c r="HR88" i="39" a="1"/>
  <c r="HR88" i="39" s="1"/>
  <c r="HS88" i="39" a="1"/>
  <c r="HS88" i="39" s="1"/>
  <c r="HU88" i="39" a="1"/>
  <c r="HU88" i="39" s="1"/>
  <c r="HW88" i="39" a="1"/>
  <c r="HW88" i="39" s="1"/>
  <c r="HY88" i="39" a="1"/>
  <c r="HY88" i="39" s="1"/>
  <c r="HZ20" i="39"/>
  <c r="HZ24" i="39"/>
  <c r="HZ28" i="39"/>
  <c r="HZ36" i="39"/>
  <c r="HZ40" i="39"/>
  <c r="HZ44" i="39"/>
  <c r="HZ48" i="39"/>
  <c r="HZ52" i="39"/>
  <c r="HZ62" i="39"/>
  <c r="HZ66" i="39"/>
  <c r="HZ70" i="39"/>
  <c r="HZ76" i="39"/>
  <c r="HZ80" i="39"/>
  <c r="HZ84" i="39"/>
  <c r="HZ88" i="39"/>
  <c r="HO6" i="39"/>
  <c r="HO7" i="39"/>
  <c r="HO8" i="39"/>
  <c r="HO9" i="39"/>
  <c r="HO10" i="39"/>
  <c r="HO11" i="39"/>
  <c r="HO12" i="39"/>
  <c r="HO13" i="39"/>
  <c r="HO14" i="39"/>
  <c r="HO15" i="39"/>
  <c r="HO16" i="39"/>
  <c r="HO17" i="39"/>
  <c r="HO18" i="39"/>
  <c r="HO19" i="39"/>
  <c r="HO20" i="39"/>
  <c r="HO21" i="39"/>
  <c r="HO22" i="39"/>
  <c r="HO23" i="39"/>
  <c r="HO24" i="39"/>
  <c r="HO25" i="39"/>
  <c r="HO26" i="39"/>
  <c r="HO27" i="39"/>
  <c r="HO28" i="39"/>
  <c r="HO29" i="39"/>
  <c r="HO30" i="39"/>
  <c r="HO31" i="39"/>
  <c r="HO32" i="39"/>
  <c r="HO33" i="39"/>
  <c r="HO34" i="39"/>
  <c r="HO35" i="39"/>
  <c r="HO36" i="39"/>
  <c r="HO37" i="39"/>
  <c r="HO38" i="39"/>
  <c r="HO39" i="39"/>
  <c r="HO40" i="39"/>
  <c r="HO41" i="39"/>
  <c r="HO42" i="39"/>
  <c r="HO43" i="39"/>
  <c r="HO44" i="39"/>
  <c r="HO45" i="39"/>
  <c r="HO46" i="39"/>
  <c r="HO47" i="39"/>
  <c r="HO48" i="39"/>
  <c r="HO49" i="39"/>
  <c r="HO50" i="39"/>
  <c r="HO51" i="39"/>
  <c r="HO52" i="39"/>
  <c r="HO53" i="39"/>
  <c r="HO54" i="39"/>
  <c r="HO55" i="39"/>
  <c r="HO56" i="39"/>
  <c r="HO57" i="39"/>
  <c r="HO58" i="39"/>
  <c r="HO59" i="39"/>
  <c r="HO60" i="39"/>
  <c r="HO61" i="39"/>
  <c r="HO62" i="39"/>
  <c r="HO63" i="39"/>
  <c r="HO64" i="39"/>
  <c r="HO65" i="39"/>
  <c r="HO66" i="39"/>
  <c r="HO67" i="39"/>
  <c r="HO68" i="39"/>
  <c r="HO69" i="39"/>
  <c r="HO70" i="39"/>
  <c r="HO71" i="39"/>
  <c r="HO72" i="39"/>
  <c r="HO73" i="39"/>
  <c r="HO74" i="39"/>
  <c r="HO75" i="39"/>
  <c r="HO76" i="39"/>
  <c r="HO77" i="39"/>
  <c r="HO78" i="39"/>
  <c r="HO79" i="39"/>
  <c r="HO80" i="39"/>
  <c r="HO81" i="39"/>
  <c r="HO82" i="39"/>
  <c r="HO83" i="39"/>
  <c r="HO84" i="39"/>
  <c r="HO85" i="39"/>
  <c r="HO86" i="39"/>
  <c r="HO87" i="39"/>
  <c r="HO88" i="39"/>
  <c r="HO5" i="39"/>
  <c r="HV62" i="39" l="1"/>
  <c r="HT50" i="39"/>
  <c r="HZ38" i="39"/>
  <c r="HV10" i="39"/>
  <c r="HT14" i="39"/>
  <c r="HT42" i="39"/>
  <c r="HT30" i="39"/>
  <c r="HV16" i="39"/>
  <c r="HX80" i="39"/>
  <c r="HX78" i="39"/>
  <c r="HX58" i="39"/>
  <c r="HT48" i="39"/>
  <c r="HT46" i="39"/>
  <c r="HZ26" i="39"/>
  <c r="HT16" i="39"/>
  <c r="HT8" i="39"/>
  <c r="HT80" i="39"/>
  <c r="HV78" i="39"/>
  <c r="HV58" i="39"/>
  <c r="HT32" i="39"/>
  <c r="HT68" i="39"/>
  <c r="HT40" i="39"/>
  <c r="HX22" i="39"/>
  <c r="HX84" i="39"/>
  <c r="HZ72" i="39"/>
  <c r="HX70" i="39"/>
  <c r="HZ54" i="39"/>
  <c r="HV8" i="39"/>
  <c r="HT84" i="39"/>
  <c r="HV70" i="39"/>
  <c r="HT20" i="39"/>
  <c r="HV86" i="39"/>
  <c r="HT72" i="39"/>
  <c r="HT64" i="39"/>
  <c r="HV54" i="39"/>
  <c r="HT52" i="39"/>
  <c r="HV36" i="39"/>
  <c r="HV26" i="39"/>
  <c r="HT10" i="39"/>
  <c r="HT22" i="39"/>
  <c r="HT88" i="39"/>
  <c r="HT36" i="39"/>
  <c r="HT26" i="39"/>
  <c r="HT24" i="39"/>
  <c r="HV52" i="39"/>
  <c r="HX68" i="39"/>
  <c r="HT60" i="39"/>
  <c r="HV56" i="39"/>
  <c r="HX48" i="39"/>
  <c r="HX46" i="39"/>
  <c r="HT38" i="39"/>
  <c r="HT12" i="39"/>
  <c r="HT34" i="39"/>
  <c r="HT56" i="39"/>
  <c r="HT28" i="39"/>
  <c r="HV14" i="39"/>
  <c r="HX76" i="39"/>
  <c r="HT76" i="39"/>
  <c r="HX60" i="39"/>
  <c r="HZ50" i="39"/>
  <c r="HT44" i="39"/>
  <c r="HZ34" i="39"/>
  <c r="HV24" i="39"/>
  <c r="HV22" i="39"/>
  <c r="HX20" i="39"/>
  <c r="HZ16" i="39"/>
  <c r="HZ14" i="39"/>
  <c r="HZ12" i="39"/>
  <c r="HZ10" i="39"/>
  <c r="HZ8" i="39"/>
  <c r="HV82" i="39"/>
  <c r="HT86" i="39"/>
  <c r="HT82" i="39"/>
  <c r="HT78" i="39"/>
  <c r="HV74" i="39"/>
  <c r="HT70" i="39"/>
  <c r="HZ64" i="39"/>
  <c r="HV60" i="39"/>
  <c r="HT58" i="39"/>
  <c r="HZ56" i="39"/>
  <c r="HX54" i="39"/>
  <c r="HX52" i="39"/>
  <c r="HX50" i="39"/>
  <c r="HV40" i="39"/>
  <c r="HV38" i="39"/>
  <c r="HX36" i="39"/>
  <c r="HX34" i="39"/>
  <c r="HZ32" i="39"/>
  <c r="HZ30" i="39"/>
  <c r="HX16" i="39"/>
  <c r="HX14" i="39"/>
  <c r="HX12" i="39"/>
  <c r="HX10" i="39"/>
  <c r="HX8" i="39"/>
  <c r="HX82" i="39"/>
  <c r="HZ86" i="39"/>
  <c r="HT74" i="39"/>
  <c r="HZ68" i="39"/>
  <c r="HX64" i="39"/>
  <c r="HX56" i="39"/>
  <c r="HZ46" i="39"/>
  <c r="HX32" i="39"/>
  <c r="HX30" i="39"/>
  <c r="HV20" i="39"/>
  <c r="HV34" i="39"/>
  <c r="HV12" i="39"/>
  <c r="HX88" i="39"/>
  <c r="HX86" i="39"/>
  <c r="HZ82" i="39"/>
  <c r="HZ78" i="39"/>
  <c r="HX72" i="39"/>
  <c r="HV68" i="39"/>
  <c r="HX66" i="39"/>
  <c r="HV64" i="39"/>
  <c r="HX62" i="39"/>
  <c r="HT54" i="39"/>
  <c r="HZ42" i="39"/>
  <c r="HV32" i="39"/>
  <c r="HV30" i="39"/>
  <c r="HX28" i="39"/>
  <c r="HX26" i="39"/>
  <c r="HV50" i="39"/>
  <c r="HV88" i="39"/>
  <c r="HZ74" i="39"/>
  <c r="HV72" i="39"/>
  <c r="HZ58" i="39"/>
  <c r="HV48" i="39"/>
  <c r="HV46" i="39"/>
  <c r="HX44" i="39"/>
  <c r="HX42" i="39"/>
  <c r="HZ22" i="39"/>
  <c r="HX24" i="39"/>
  <c r="HV66" i="39"/>
  <c r="HV28" i="39"/>
  <c r="HV84" i="39"/>
  <c r="HV80" i="39"/>
  <c r="HV76" i="39"/>
  <c r="HX74" i="39"/>
  <c r="HT66" i="39"/>
  <c r="HT62" i="39"/>
  <c r="HZ60" i="39"/>
  <c r="HV44" i="39"/>
  <c r="HV42" i="39"/>
  <c r="HX40" i="39"/>
  <c r="HX38" i="39"/>
  <c r="X70" i="7" l="1"/>
  <c r="X71" i="7"/>
  <c r="X72" i="7"/>
  <c r="X73" i="7"/>
  <c r="X74" i="7"/>
  <c r="X75" i="7"/>
  <c r="X76" i="7"/>
  <c r="X77" i="7"/>
  <c r="X78" i="7"/>
  <c r="X79" i="7"/>
  <c r="X80" i="7"/>
  <c r="X81" i="7"/>
  <c r="X82" i="7"/>
  <c r="X83" i="7"/>
  <c r="X84" i="7"/>
  <c r="X85" i="7"/>
  <c r="X86" i="7"/>
  <c r="X87" i="7"/>
  <c r="V86" i="7"/>
  <c r="V70" i="7"/>
  <c r="V71" i="7"/>
  <c r="V72" i="7"/>
  <c r="V73" i="7"/>
  <c r="V74" i="7"/>
  <c r="V75" i="7"/>
  <c r="V76" i="7"/>
  <c r="V77" i="7"/>
  <c r="V78" i="7"/>
  <c r="V79" i="7"/>
  <c r="V80" i="7"/>
  <c r="V81" i="7"/>
  <c r="V82" i="7"/>
  <c r="V83" i="7"/>
  <c r="V84" i="7"/>
  <c r="V85" i="7"/>
  <c r="V87" i="7"/>
  <c r="AV111" i="12"/>
  <c r="AV112" i="12"/>
  <c r="AV113" i="12"/>
  <c r="AV114" i="12"/>
  <c r="AV110" i="12"/>
  <c r="AW110" i="12"/>
  <c r="AW111" i="12"/>
  <c r="AW112" i="12"/>
  <c r="AW113" i="12"/>
  <c r="AW114" i="12"/>
  <c r="AS111" i="12"/>
  <c r="AS112" i="12"/>
  <c r="AS113" i="12"/>
  <c r="AS114" i="12"/>
  <c r="AS110" i="12"/>
  <c r="EI70" i="7"/>
  <c r="EI71" i="7"/>
  <c r="EI72" i="7"/>
  <c r="EI73" i="7"/>
  <c r="EI74" i="7"/>
  <c r="EI75" i="7"/>
  <c r="EI76" i="7"/>
  <c r="EI77" i="7"/>
  <c r="EI78" i="7"/>
  <c r="EI79" i="7"/>
  <c r="EI80" i="7"/>
  <c r="EI81" i="7"/>
  <c r="EI82" i="7"/>
  <c r="EI83" i="7"/>
  <c r="EI84" i="7"/>
  <c r="EI85" i="7"/>
  <c r="EI86" i="7"/>
  <c r="EI87" i="7"/>
  <c r="CY126" i="39" l="1"/>
  <c r="CZ126" i="39" s="1"/>
  <c r="DA126" i="39"/>
  <c r="GS126" i="39"/>
  <c r="GW126" i="39"/>
  <c r="GX126" i="39"/>
  <c r="O89" i="12"/>
  <c r="N89" i="12"/>
  <c r="M89" i="12"/>
  <c r="O88" i="12"/>
  <c r="N88" i="12"/>
  <c r="M88" i="12"/>
  <c r="O87" i="12"/>
  <c r="N87" i="12"/>
  <c r="M87" i="12"/>
  <c r="O86" i="12"/>
  <c r="N86" i="12"/>
  <c r="M86" i="12"/>
  <c r="O85" i="12"/>
  <c r="N85" i="12"/>
  <c r="M85" i="12"/>
  <c r="O84" i="12"/>
  <c r="N84" i="12"/>
  <c r="M84" i="12"/>
  <c r="O83" i="12"/>
  <c r="N83" i="12"/>
  <c r="M83" i="12"/>
  <c r="O82" i="12"/>
  <c r="N82" i="12"/>
  <c r="M82" i="12"/>
  <c r="O81" i="12"/>
  <c r="N81" i="12"/>
  <c r="M81" i="12"/>
  <c r="O80" i="12"/>
  <c r="N80" i="12"/>
  <c r="M80" i="12"/>
  <c r="O79" i="12"/>
  <c r="N79" i="12"/>
  <c r="M79" i="12"/>
  <c r="O78" i="12"/>
  <c r="N78" i="12"/>
  <c r="M78" i="12"/>
  <c r="O77" i="12"/>
  <c r="N77" i="12"/>
  <c r="M77" i="12"/>
  <c r="AE58" i="14"/>
  <c r="AE57" i="14"/>
  <c r="AU60" i="14"/>
  <c r="AU57" i="14"/>
  <c r="AU56" i="14"/>
  <c r="AU59" i="14"/>
  <c r="AU58" i="14"/>
  <c r="GD126" i="39" l="1"/>
  <c r="FB126" i="39"/>
  <c r="GN126" i="39"/>
  <c r="GE126" i="39"/>
  <c r="FP126" i="39"/>
  <c r="AV57" i="14"/>
  <c r="AV60" i="14"/>
  <c r="AV56" i="14"/>
  <c r="AW56" i="14" s="1"/>
  <c r="AE56" i="14"/>
  <c r="GO126" i="39" l="1" a="1"/>
  <c r="GO126" i="39" s="1"/>
  <c r="GJ126" i="39"/>
  <c r="GK126" i="39"/>
  <c r="W126" i="32"/>
  <c r="HK126" i="39" l="1"/>
  <c r="HA126" i="39" s="1"/>
  <c r="GU126" i="39"/>
  <c r="HE126" i="39" s="1"/>
  <c r="GV126" i="39"/>
  <c r="HH126" i="39"/>
  <c r="GP126" i="39"/>
  <c r="GT126" i="39" s="1"/>
  <c r="K299" i="7" a="1"/>
  <c r="K299" i="7" s="1"/>
  <c r="GL126" i="39" l="1"/>
  <c r="GM126" i="39"/>
  <c r="HF126" i="39"/>
  <c r="HG126" i="39" s="1"/>
  <c r="HC126" i="39"/>
  <c r="HB126" i="39"/>
  <c r="GY126" i="39"/>
  <c r="GZ126" i="39" s="1"/>
  <c r="F32" i="56"/>
  <c r="F26" i="56"/>
  <c r="F27" i="56" s="1"/>
  <c r="F29" i="56" s="1"/>
  <c r="HI126" i="39" l="1" a="1"/>
  <c r="HI126" i="39" s="1"/>
  <c r="HJ126" i="39" a="1"/>
  <c r="HJ126" i="39" s="1"/>
  <c r="AW60" i="14"/>
  <c r="AW57" i="14"/>
  <c r="AV58" i="14" l="1"/>
  <c r="AW58" i="14" s="1"/>
  <c r="AV59" i="14"/>
  <c r="AW59" i="14" s="1"/>
  <c r="AU61" i="14"/>
  <c r="AV61" i="14"/>
  <c r="AW61" i="14" l="1"/>
  <c r="AI61" i="14"/>
  <c r="AH60" i="14"/>
  <c r="AG60" i="14"/>
  <c r="AF60" i="14"/>
  <c r="AE60" i="14"/>
  <c r="AH59" i="14"/>
  <c r="AG59" i="14"/>
  <c r="AF59" i="14"/>
  <c r="AE59" i="14"/>
  <c r="AH58" i="14"/>
  <c r="AG58" i="14"/>
  <c r="AF58" i="14"/>
  <c r="AH57" i="14"/>
  <c r="AG57" i="14"/>
  <c r="AF57" i="14"/>
  <c r="AH56" i="14"/>
  <c r="AG56" i="14"/>
  <c r="AF56" i="14"/>
  <c r="AF61" i="14" l="1"/>
  <c r="AG61" i="14"/>
  <c r="AE61" i="14"/>
  <c r="AE35" i="32"/>
  <c r="AE98" i="32"/>
  <c r="AE99" i="32"/>
  <c r="AE100" i="32"/>
  <c r="AE97" i="32"/>
  <c r="S5" i="7"/>
  <c r="BO113" i="7"/>
  <c r="AF53" i="32" l="1"/>
  <c r="AE7" i="32"/>
  <c r="P138" i="7" l="1"/>
  <c r="N138" i="7" s="1"/>
  <c r="P139" i="7"/>
  <c r="N139" i="7" s="1"/>
  <c r="P140" i="7"/>
  <c r="N140" i="7" s="1"/>
  <c r="P141" i="7"/>
  <c r="N141" i="7" s="1"/>
  <c r="P142" i="7"/>
  <c r="N142" i="7" s="1"/>
  <c r="P143" i="7"/>
  <c r="N143" i="7" s="1"/>
  <c r="P144" i="7"/>
  <c r="N144" i="7" s="1"/>
  <c r="P145" i="7"/>
  <c r="N145" i="7" s="1"/>
  <c r="P146" i="7"/>
  <c r="N146" i="7" s="1"/>
  <c r="P147" i="7"/>
  <c r="N147" i="7" s="1"/>
  <c r="P148" i="7"/>
  <c r="N148" i="7" s="1"/>
  <c r="P149" i="7"/>
  <c r="N149" i="7" s="1"/>
  <c r="P150" i="7"/>
  <c r="N150" i="7" s="1"/>
  <c r="P151" i="7"/>
  <c r="N151" i="7" s="1"/>
  <c r="P152" i="7"/>
  <c r="N152" i="7" s="1"/>
  <c r="P153" i="7"/>
  <c r="N153" i="7" s="1"/>
  <c r="P154" i="7"/>
  <c r="N154" i="7" s="1"/>
  <c r="P155" i="7"/>
  <c r="N155" i="7" s="1"/>
  <c r="P137" i="7"/>
  <c r="N137" i="7" s="1"/>
  <c r="FK137" i="7"/>
  <c r="G156" i="7" l="1"/>
  <c r="BH59" i="12" a="1"/>
  <c r="BH59" i="12" s="1"/>
  <c r="BI59" i="12" a="1"/>
  <c r="BI59" i="12" s="1"/>
  <c r="BJ59" i="12" a="1"/>
  <c r="BJ59" i="12" s="1"/>
  <c r="BH60" i="12" a="1"/>
  <c r="BH60" i="12" s="1"/>
  <c r="BI60" i="12" a="1"/>
  <c r="BI60" i="12" s="1"/>
  <c r="BJ60" i="12" a="1"/>
  <c r="BJ60" i="12" s="1"/>
  <c r="BC59" i="12"/>
  <c r="BE59" i="12" s="1"/>
  <c r="BF59" i="12" s="1"/>
  <c r="AN56" i="12"/>
  <c r="AN59" i="12"/>
  <c r="AN60" i="12"/>
  <c r="BC60" i="12"/>
  <c r="BE60" i="12" s="1"/>
  <c r="BF60" i="12" s="1"/>
  <c r="BD60" i="12"/>
  <c r="BD59" i="12"/>
  <c r="B1" i="46" l="1"/>
  <c r="B2" i="53"/>
  <c r="B37" i="47" l="1"/>
  <c r="B42" i="47" a="1"/>
  <c r="B42" i="47" s="1"/>
  <c r="G10" i="47" l="1"/>
  <c r="I10" i="47"/>
  <c r="B3" i="47"/>
  <c r="CV89" i="39"/>
  <c r="CV88" i="39"/>
  <c r="CV87" i="39"/>
  <c r="CV86" i="39"/>
  <c r="CV85" i="39"/>
  <c r="CV84" i="39"/>
  <c r="CV83" i="39"/>
  <c r="CV82" i="39"/>
  <c r="CV81" i="39"/>
  <c r="CV80" i="39"/>
  <c r="BW99" i="39" l="1"/>
  <c r="E7" i="46"/>
  <c r="F7" i="46" s="1" a="1"/>
  <c r="F7" i="46" s="1"/>
  <c r="E8" i="46"/>
  <c r="F8" i="46" s="1" a="1"/>
  <c r="F8" i="46" s="1"/>
  <c r="E6" i="46"/>
  <c r="J6" i="46" s="1" a="1"/>
  <c r="J6" i="46" s="1"/>
  <c r="AF9" i="14"/>
  <c r="J7" i="46" l="1" a="1"/>
  <c r="J7" i="46" s="1"/>
  <c r="I7" i="46" a="1"/>
  <c r="I7" i="46" s="1"/>
  <c r="J8" i="46" a="1"/>
  <c r="J8" i="46" s="1"/>
  <c r="I8" i="46" a="1"/>
  <c r="I8" i="46" s="1"/>
  <c r="H8" i="46" a="1"/>
  <c r="H8" i="46" s="1"/>
  <c r="H7" i="46" a="1"/>
  <c r="H7" i="46" s="1"/>
  <c r="H6" i="46" a="1"/>
  <c r="H6" i="46" s="1"/>
  <c r="I6" i="46" a="1"/>
  <c r="I6" i="46" s="1"/>
  <c r="F6" i="46" a="1"/>
  <c r="F6" i="46" s="1"/>
  <c r="AI109" i="12"/>
  <c r="AI108" i="12"/>
  <c r="L110" i="12"/>
  <c r="L111" i="12"/>
  <c r="L112" i="12"/>
  <c r="L113" i="12"/>
  <c r="L114" i="12"/>
  <c r="AI104" i="12"/>
  <c r="AI105" i="12"/>
  <c r="AI106" i="12"/>
  <c r="AI107" i="12"/>
  <c r="AI103" i="12"/>
  <c r="GW39" i="39" l="1"/>
  <c r="GX39" i="39"/>
  <c r="AD35" i="32"/>
  <c r="AF35" i="32"/>
  <c r="W35" i="32"/>
  <c r="X35" i="32"/>
  <c r="Y35" i="32"/>
  <c r="Z35" i="32"/>
  <c r="AB35" i="32"/>
  <c r="AC35" i="32"/>
  <c r="A35" i="32"/>
  <c r="B35" i="32" s="1"/>
  <c r="CY39" i="39" l="1"/>
  <c r="CZ39" i="39" s="1"/>
  <c r="DA39" i="39" s="1" a="1"/>
  <c r="DA39" i="39" s="1"/>
  <c r="GS155" i="39"/>
  <c r="GW155" i="39"/>
  <c r="GS156" i="39"/>
  <c r="GW156" i="39"/>
  <c r="GS157" i="39"/>
  <c r="GW157" i="39"/>
  <c r="GS158" i="39"/>
  <c r="GW158" i="39"/>
  <c r="GS159" i="39"/>
  <c r="GW159" i="39"/>
  <c r="GS160" i="39"/>
  <c r="GW160" i="39"/>
  <c r="GS161" i="39"/>
  <c r="GW161" i="39"/>
  <c r="GS162" i="39"/>
  <c r="GW162" i="39"/>
  <c r="GS163" i="39"/>
  <c r="GW163" i="39"/>
  <c r="GS118" i="39"/>
  <c r="GW118" i="39"/>
  <c r="GX118" i="39"/>
  <c r="GS119" i="39"/>
  <c r="GW119" i="39"/>
  <c r="GX119" i="39"/>
  <c r="GS120" i="39"/>
  <c r="GW120" i="39"/>
  <c r="GX120" i="39"/>
  <c r="GS121" i="39"/>
  <c r="GW121" i="39"/>
  <c r="GX121" i="39"/>
  <c r="GS122" i="39"/>
  <c r="GW122" i="39"/>
  <c r="GX122" i="39"/>
  <c r="GS123" i="39"/>
  <c r="GW123" i="39"/>
  <c r="GX123" i="39"/>
  <c r="GS124" i="39"/>
  <c r="GW124" i="39"/>
  <c r="GX124" i="39"/>
  <c r="GS125" i="39"/>
  <c r="GW125" i="39"/>
  <c r="GX125" i="39"/>
  <c r="GS127" i="39"/>
  <c r="GW127" i="39"/>
  <c r="GX127" i="39"/>
  <c r="GS128" i="39"/>
  <c r="GW128" i="39"/>
  <c r="GX128" i="39"/>
  <c r="GS129" i="39"/>
  <c r="GW129" i="39"/>
  <c r="GX129" i="39"/>
  <c r="GS130" i="39"/>
  <c r="GW130" i="39"/>
  <c r="GX130" i="39"/>
  <c r="GS131" i="39"/>
  <c r="GW131" i="39"/>
  <c r="GX131" i="39"/>
  <c r="GS132" i="39"/>
  <c r="GW132" i="39"/>
  <c r="GX132" i="39"/>
  <c r="GS133" i="39"/>
  <c r="GW133" i="39"/>
  <c r="GX133" i="39"/>
  <c r="GS134" i="39"/>
  <c r="GW134" i="39"/>
  <c r="GX134" i="39"/>
  <c r="GS135" i="39"/>
  <c r="GW135" i="39"/>
  <c r="GX135" i="39"/>
  <c r="GS136" i="39"/>
  <c r="GW136" i="39"/>
  <c r="GX136" i="39"/>
  <c r="GS137" i="39"/>
  <c r="GW137" i="39"/>
  <c r="GX137" i="39"/>
  <c r="GS138" i="39"/>
  <c r="GW138" i="39"/>
  <c r="GX138" i="39"/>
  <c r="GS139" i="39"/>
  <c r="GW139" i="39"/>
  <c r="GX139" i="39"/>
  <c r="GS140" i="39"/>
  <c r="GW140" i="39"/>
  <c r="GX140" i="39"/>
  <c r="GS141" i="39"/>
  <c r="GW141" i="39"/>
  <c r="GX141" i="39"/>
  <c r="GS142" i="39"/>
  <c r="GW142" i="39"/>
  <c r="GX142" i="39"/>
  <c r="GS143" i="39"/>
  <c r="GW143" i="39"/>
  <c r="GX143" i="39"/>
  <c r="GS144" i="39"/>
  <c r="GW144" i="39"/>
  <c r="GX144" i="39"/>
  <c r="GS145" i="39"/>
  <c r="GW145" i="39"/>
  <c r="GX145" i="39"/>
  <c r="GS146" i="39"/>
  <c r="GW146" i="39"/>
  <c r="GX146" i="39"/>
  <c r="GS147" i="39"/>
  <c r="GW147" i="39"/>
  <c r="GX147" i="39"/>
  <c r="GS148" i="39"/>
  <c r="GW148" i="39"/>
  <c r="GX148" i="39"/>
  <c r="GS149" i="39"/>
  <c r="GW149" i="39"/>
  <c r="GX149" i="39"/>
  <c r="GS150" i="39"/>
  <c r="GW150" i="39"/>
  <c r="GX150" i="39"/>
  <c r="GS151" i="39"/>
  <c r="GW151" i="39"/>
  <c r="GX151" i="39"/>
  <c r="GS152" i="39"/>
  <c r="GW152" i="39"/>
  <c r="GX152" i="39"/>
  <c r="GS153" i="39"/>
  <c r="GW153" i="39"/>
  <c r="GX153" i="39"/>
  <c r="DA118" i="39"/>
  <c r="DA119" i="39"/>
  <c r="DA120" i="39"/>
  <c r="DA121" i="39"/>
  <c r="DA122" i="39"/>
  <c r="DA123" i="39"/>
  <c r="DA124" i="39"/>
  <c r="DA125" i="39"/>
  <c r="DA127" i="39"/>
  <c r="DA128" i="39"/>
  <c r="DA129" i="39"/>
  <c r="DA130" i="39"/>
  <c r="DA131" i="39"/>
  <c r="DA132" i="39"/>
  <c r="DA133" i="39"/>
  <c r="DA134" i="39"/>
  <c r="DA135" i="39"/>
  <c r="DA136" i="39"/>
  <c r="DA137" i="39"/>
  <c r="DA138" i="39"/>
  <c r="DA139" i="39"/>
  <c r="DA140" i="39"/>
  <c r="DA141" i="39"/>
  <c r="DA142" i="39"/>
  <c r="DA143" i="39"/>
  <c r="DA144" i="39"/>
  <c r="DA145" i="39"/>
  <c r="DA146" i="39"/>
  <c r="DA147" i="39"/>
  <c r="DA148" i="39"/>
  <c r="DA149" i="39"/>
  <c r="DA150" i="39"/>
  <c r="DA151" i="39"/>
  <c r="DA152" i="39"/>
  <c r="DA153" i="39"/>
  <c r="GW85" i="39"/>
  <c r="GX85" i="39"/>
  <c r="GW86" i="39"/>
  <c r="GX86" i="39"/>
  <c r="GW87" i="39"/>
  <c r="GX87" i="39"/>
  <c r="GW88" i="39"/>
  <c r="GX88" i="39"/>
  <c r="GW89" i="39"/>
  <c r="GX89" i="39"/>
  <c r="GW90" i="39"/>
  <c r="GX90" i="39"/>
  <c r="GW91" i="39"/>
  <c r="GX91" i="39"/>
  <c r="GW92" i="39"/>
  <c r="GX92" i="39"/>
  <c r="GW93" i="39"/>
  <c r="GX93" i="39"/>
  <c r="GW94" i="39"/>
  <c r="GX94" i="39"/>
  <c r="GW95" i="39"/>
  <c r="GX95" i="39"/>
  <c r="GW96" i="39"/>
  <c r="GX96" i="39"/>
  <c r="GW97" i="39"/>
  <c r="GX97" i="39"/>
  <c r="GW98" i="39"/>
  <c r="GX98" i="39"/>
  <c r="GW99" i="39"/>
  <c r="GX99" i="39"/>
  <c r="GW100" i="39"/>
  <c r="GX100" i="39"/>
  <c r="GW101" i="39"/>
  <c r="GX101" i="39"/>
  <c r="GW102" i="39"/>
  <c r="GX102" i="39"/>
  <c r="GW103" i="39"/>
  <c r="GX103" i="39"/>
  <c r="GW104" i="39"/>
  <c r="GX104" i="39"/>
  <c r="GW105" i="39"/>
  <c r="GX105" i="39"/>
  <c r="GW106" i="39"/>
  <c r="GX106" i="39"/>
  <c r="GW107" i="39"/>
  <c r="GX107" i="39"/>
  <c r="GW108" i="39"/>
  <c r="GX108" i="39"/>
  <c r="GW109" i="39"/>
  <c r="GX109" i="39"/>
  <c r="GW110" i="39"/>
  <c r="GX110" i="39"/>
  <c r="GW111" i="39"/>
  <c r="GX111" i="39"/>
  <c r="GW112" i="39"/>
  <c r="GX112" i="39"/>
  <c r="GW113" i="39"/>
  <c r="GX113" i="39"/>
  <c r="GW114" i="39"/>
  <c r="GX114" i="39"/>
  <c r="GW115" i="39"/>
  <c r="GX115" i="39"/>
  <c r="GW116" i="39"/>
  <c r="GX116" i="39"/>
  <c r="GW10" i="39"/>
  <c r="GX10" i="39"/>
  <c r="GW11" i="39"/>
  <c r="GX11" i="39"/>
  <c r="GW12" i="39"/>
  <c r="GX12" i="39"/>
  <c r="GW13" i="39"/>
  <c r="GX13" i="39"/>
  <c r="GW14" i="39"/>
  <c r="GX14" i="39"/>
  <c r="GW15" i="39"/>
  <c r="GX15" i="39"/>
  <c r="GW16" i="39"/>
  <c r="GX16" i="39"/>
  <c r="GW17" i="39"/>
  <c r="GX17" i="39"/>
  <c r="GW18" i="39"/>
  <c r="GX18" i="39"/>
  <c r="GW19" i="39"/>
  <c r="GX19" i="39"/>
  <c r="GW20" i="39"/>
  <c r="GX20" i="39"/>
  <c r="GW21" i="39"/>
  <c r="GX21" i="39"/>
  <c r="GW22" i="39"/>
  <c r="GX22" i="39"/>
  <c r="GW23" i="39"/>
  <c r="GX23" i="39"/>
  <c r="GW24" i="39"/>
  <c r="GX24" i="39"/>
  <c r="GW25" i="39"/>
  <c r="GX25" i="39"/>
  <c r="GW26" i="39"/>
  <c r="GX26" i="39"/>
  <c r="GW27" i="39"/>
  <c r="GX27" i="39"/>
  <c r="GW28" i="39"/>
  <c r="GX28" i="39"/>
  <c r="GW29" i="39"/>
  <c r="GX29" i="39"/>
  <c r="GW30" i="39"/>
  <c r="GX30" i="39"/>
  <c r="GW31" i="39"/>
  <c r="GX31" i="39"/>
  <c r="GW32" i="39"/>
  <c r="GX32" i="39"/>
  <c r="GW33" i="39"/>
  <c r="GX33" i="39"/>
  <c r="GW34" i="39"/>
  <c r="GX34" i="39"/>
  <c r="GW35" i="39"/>
  <c r="GX35" i="39"/>
  <c r="GW36" i="39"/>
  <c r="GX36" i="39"/>
  <c r="GW37" i="39"/>
  <c r="GX37" i="39"/>
  <c r="GW38" i="39"/>
  <c r="GX38" i="39"/>
  <c r="GW40" i="39"/>
  <c r="GX40" i="39"/>
  <c r="GW41" i="39"/>
  <c r="GX41" i="39"/>
  <c r="GW42" i="39"/>
  <c r="GX42" i="39"/>
  <c r="GW43" i="39"/>
  <c r="GX43" i="39"/>
  <c r="GW44" i="39"/>
  <c r="GX44" i="39"/>
  <c r="GW45" i="39"/>
  <c r="GX45" i="39"/>
  <c r="GW46" i="39"/>
  <c r="GX46" i="39"/>
  <c r="GW47" i="39"/>
  <c r="GX47" i="39"/>
  <c r="GW48" i="39"/>
  <c r="GX48" i="39"/>
  <c r="GW49" i="39"/>
  <c r="GX49" i="39"/>
  <c r="GW50" i="39"/>
  <c r="GX50" i="39"/>
  <c r="GW51" i="39"/>
  <c r="GX51" i="39"/>
  <c r="GW52" i="39"/>
  <c r="GX52" i="39"/>
  <c r="GW53" i="39"/>
  <c r="GX53" i="39"/>
  <c r="GW54" i="39"/>
  <c r="GX54" i="39"/>
  <c r="GW55" i="39"/>
  <c r="GX55" i="39"/>
  <c r="GW56" i="39"/>
  <c r="GX56" i="39"/>
  <c r="GW57" i="39"/>
  <c r="GX57" i="39"/>
  <c r="GW58" i="39"/>
  <c r="GX58" i="39"/>
  <c r="GW59" i="39"/>
  <c r="GX59" i="39"/>
  <c r="GW60" i="39"/>
  <c r="GX60" i="39"/>
  <c r="GW61" i="39"/>
  <c r="GX61" i="39"/>
  <c r="GW62" i="39"/>
  <c r="GX62" i="39"/>
  <c r="GW63" i="39"/>
  <c r="GX63" i="39"/>
  <c r="GW64" i="39"/>
  <c r="GX64" i="39"/>
  <c r="GW65" i="39"/>
  <c r="GX65" i="39"/>
  <c r="GW66" i="39"/>
  <c r="GX66" i="39"/>
  <c r="GW67" i="39"/>
  <c r="GX67" i="39"/>
  <c r="GW68" i="39"/>
  <c r="GX68" i="39"/>
  <c r="GW69" i="39"/>
  <c r="GX69" i="39"/>
  <c r="GW70" i="39"/>
  <c r="GX70" i="39"/>
  <c r="GW71" i="39"/>
  <c r="GX71" i="39"/>
  <c r="GW72" i="39"/>
  <c r="GX72" i="39"/>
  <c r="GW73" i="39"/>
  <c r="GX73" i="39"/>
  <c r="GW74" i="39"/>
  <c r="GX74" i="39"/>
  <c r="GW75" i="39"/>
  <c r="GX75" i="39"/>
  <c r="GW76" i="39"/>
  <c r="GX76" i="39"/>
  <c r="GW77" i="39"/>
  <c r="GX77" i="39"/>
  <c r="GW78" i="39"/>
  <c r="GX78" i="39"/>
  <c r="GW79" i="39"/>
  <c r="GX79" i="39"/>
  <c r="GW80" i="39"/>
  <c r="GX80" i="39"/>
  <c r="GW81" i="39"/>
  <c r="GX81" i="39"/>
  <c r="GW82" i="39"/>
  <c r="GX82" i="39"/>
  <c r="GW83" i="39"/>
  <c r="GX83" i="39"/>
  <c r="GW84" i="39"/>
  <c r="GX84" i="39"/>
  <c r="CY80" i="39" l="1"/>
  <c r="CY81" i="39"/>
  <c r="CY82" i="39"/>
  <c r="CY83" i="39"/>
  <c r="CY84" i="39"/>
  <c r="B76" i="32"/>
  <c r="B77" i="32"/>
  <c r="B78" i="32"/>
  <c r="B79" i="32"/>
  <c r="G78" i="39" a="1"/>
  <c r="G78" i="39" s="1"/>
  <c r="G79" i="39" a="1"/>
  <c r="G79" i="39" s="1"/>
  <c r="G16" i="39" a="1"/>
  <c r="G16" i="39" s="1"/>
  <c r="G17" i="39" a="1"/>
  <c r="G17" i="39" s="1"/>
  <c r="G18" i="39" a="1"/>
  <c r="G18" i="39" s="1"/>
  <c r="G19" i="39" a="1"/>
  <c r="G19" i="39" s="1"/>
  <c r="G20" i="39" a="1"/>
  <c r="G20" i="39" s="1"/>
  <c r="G21" i="39" a="1"/>
  <c r="G21" i="39" s="1"/>
  <c r="G22" i="39" a="1"/>
  <c r="G22" i="39" s="1"/>
  <c r="G23" i="39" a="1"/>
  <c r="G23" i="39" s="1"/>
  <c r="G24" i="39" a="1"/>
  <c r="G24" i="39" s="1"/>
  <c r="G25" i="39" a="1"/>
  <c r="G25" i="39" s="1"/>
  <c r="G26" i="39" a="1"/>
  <c r="G26" i="39" s="1"/>
  <c r="G27" i="39" a="1"/>
  <c r="G27" i="39" s="1"/>
  <c r="G28" i="39" a="1"/>
  <c r="G28" i="39" s="1"/>
  <c r="G29" i="39" a="1"/>
  <c r="G29" i="39" s="1"/>
  <c r="G30" i="39" a="1"/>
  <c r="G30" i="39" s="1"/>
  <c r="G31" i="39" a="1"/>
  <c r="G31" i="39" s="1"/>
  <c r="G32" i="39" a="1"/>
  <c r="G32" i="39" s="1"/>
  <c r="G33" i="39" a="1"/>
  <c r="G33" i="39" s="1"/>
  <c r="G34" i="39" a="1"/>
  <c r="G34" i="39" s="1"/>
  <c r="G35" i="39" a="1"/>
  <c r="G35" i="39" s="1"/>
  <c r="G36" i="39" a="1"/>
  <c r="G36" i="39" s="1"/>
  <c r="AZ115" i="7"/>
  <c r="AZ116" i="7"/>
  <c r="AZ117" i="7"/>
  <c r="AZ118" i="7"/>
  <c r="AZ119" i="7"/>
  <c r="AZ120" i="7"/>
  <c r="AZ121" i="7"/>
  <c r="AZ122" i="7"/>
  <c r="AZ123" i="7"/>
  <c r="AZ124" i="7"/>
  <c r="AZ125" i="7"/>
  <c r="AZ126" i="7"/>
  <c r="AZ127" i="7"/>
  <c r="AZ128" i="7"/>
  <c r="AZ129" i="7"/>
  <c r="AZ130" i="7"/>
  <c r="AE6" i="14" l="1"/>
  <c r="AE7" i="14"/>
  <c r="AE8" i="14"/>
  <c r="AE9" i="14"/>
  <c r="AE5" i="14"/>
  <c r="AD6" i="14"/>
  <c r="AD7" i="14"/>
  <c r="AD8" i="14"/>
  <c r="AD9" i="14"/>
  <c r="AD5" i="14"/>
  <c r="AT111" i="12"/>
  <c r="AU111" i="12"/>
  <c r="AX111" i="12"/>
  <c r="AT112" i="12"/>
  <c r="AU112" i="12"/>
  <c r="AX112" i="12"/>
  <c r="AT113" i="12"/>
  <c r="AU113" i="12"/>
  <c r="AX113" i="12"/>
  <c r="AT114" i="12"/>
  <c r="AU114" i="12"/>
  <c r="AX114" i="12"/>
  <c r="AT110" i="12"/>
  <c r="AU110" i="12"/>
  <c r="AX110" i="12"/>
  <c r="AN109" i="12"/>
  <c r="AN108" i="12"/>
  <c r="AN107" i="12"/>
  <c r="AN106" i="12"/>
  <c r="AN105" i="12"/>
  <c r="AN104" i="12"/>
  <c r="AN103" i="12"/>
  <c r="DR82" i="7"/>
  <c r="DS82" i="7"/>
  <c r="DT82" i="7"/>
  <c r="DU82" i="7"/>
  <c r="DV82" i="7"/>
  <c r="DW82" i="7"/>
  <c r="DY82" i="7"/>
  <c r="DZ82" i="7"/>
  <c r="EA82" i="7"/>
  <c r="FH82" i="7" a="1"/>
  <c r="FH82" i="7" s="1"/>
  <c r="DR83" i="7"/>
  <c r="DS83" i="7"/>
  <c r="DT83" i="7"/>
  <c r="DU83" i="7"/>
  <c r="DV83" i="7"/>
  <c r="DW83" i="7"/>
  <c r="DY83" i="7"/>
  <c r="DZ83" i="7"/>
  <c r="EA83" i="7"/>
  <c r="FH83" i="7" a="1"/>
  <c r="FH83" i="7" s="1"/>
  <c r="DR84" i="7"/>
  <c r="DS84" i="7"/>
  <c r="DT84" i="7"/>
  <c r="DU84" i="7"/>
  <c r="DV84" i="7"/>
  <c r="DW84" i="7"/>
  <c r="DY84" i="7"/>
  <c r="DZ84" i="7"/>
  <c r="EA84" i="7"/>
  <c r="FH84" i="7" a="1"/>
  <c r="FH84" i="7" s="1"/>
  <c r="DR85" i="7"/>
  <c r="DS85" i="7"/>
  <c r="DT85" i="7"/>
  <c r="DU85" i="7"/>
  <c r="DV85" i="7"/>
  <c r="DW85" i="7"/>
  <c r="DY85" i="7"/>
  <c r="DZ85" i="7"/>
  <c r="EA85" i="7"/>
  <c r="FH85" i="7" a="1"/>
  <c r="FH85" i="7" s="1"/>
  <c r="DR86" i="7"/>
  <c r="DS86" i="7"/>
  <c r="DT86" i="7"/>
  <c r="DU86" i="7"/>
  <c r="DV86" i="7"/>
  <c r="DW86" i="7"/>
  <c r="DY86" i="7"/>
  <c r="DZ86" i="7"/>
  <c r="EA86" i="7"/>
  <c r="FH86" i="7" a="1"/>
  <c r="FH86" i="7" s="1"/>
  <c r="DR87" i="7"/>
  <c r="DS87" i="7"/>
  <c r="DT87" i="7"/>
  <c r="DU87" i="7"/>
  <c r="DV87" i="7"/>
  <c r="DW87" i="7"/>
  <c r="DY87" i="7"/>
  <c r="DZ87" i="7"/>
  <c r="EA87" i="7"/>
  <c r="FH87" i="7" a="1"/>
  <c r="FH87" i="7" s="1"/>
  <c r="CO82" i="7"/>
  <c r="CT82" i="7"/>
  <c r="CV82" i="7"/>
  <c r="CW82" i="7"/>
  <c r="CX82" i="7"/>
  <c r="CO83" i="7"/>
  <c r="CT83" i="7"/>
  <c r="CV83" i="7"/>
  <c r="CW83" i="7"/>
  <c r="CX83" i="7"/>
  <c r="CO84" i="7"/>
  <c r="CT84" i="7"/>
  <c r="CV84" i="7"/>
  <c r="CW84" i="7"/>
  <c r="CX84" i="7"/>
  <c r="CO85" i="7"/>
  <c r="CT85" i="7"/>
  <c r="CV85" i="7"/>
  <c r="CW85" i="7"/>
  <c r="CX85" i="7"/>
  <c r="CO86" i="7"/>
  <c r="CT86" i="7"/>
  <c r="CV86" i="7"/>
  <c r="CW86" i="7"/>
  <c r="CX86" i="7"/>
  <c r="CO87" i="7"/>
  <c r="CT87" i="7"/>
  <c r="CV87" i="7"/>
  <c r="CW87" i="7"/>
  <c r="CX87" i="7"/>
  <c r="BO82" i="7"/>
  <c r="BP82" i="7" s="1"/>
  <c r="BR82" i="7"/>
  <c r="FF82" i="7" s="1"/>
  <c r="BS82" i="7"/>
  <c r="BT82" i="7"/>
  <c r="DC82" i="7" s="1"/>
  <c r="BU82" i="7"/>
  <c r="Z82" i="7" s="1"/>
  <c r="BV82" i="7"/>
  <c r="BF82" i="7" s="1"/>
  <c r="BW82" i="7"/>
  <c r="BG82" i="7" s="1"/>
  <c r="BX82" i="7"/>
  <c r="BY82" i="7"/>
  <c r="BZ82" i="7"/>
  <c r="CA82" i="7"/>
  <c r="CB82" i="7"/>
  <c r="CC82" i="7"/>
  <c r="CD82" i="7"/>
  <c r="CE82" i="7"/>
  <c r="BO83" i="7"/>
  <c r="BP83" i="7" s="1"/>
  <c r="BR83" i="7"/>
  <c r="FF83" i="7" s="1"/>
  <c r="BS83" i="7"/>
  <c r="DB83" i="7" s="1"/>
  <c r="BT83" i="7"/>
  <c r="BU83" i="7"/>
  <c r="AA83" i="7" s="1"/>
  <c r="BV83" i="7"/>
  <c r="BF83" i="7" s="1"/>
  <c r="BW83" i="7"/>
  <c r="BG83" i="7" s="1"/>
  <c r="BX83" i="7"/>
  <c r="BY83" i="7"/>
  <c r="BZ83" i="7"/>
  <c r="CA83" i="7"/>
  <c r="CB83" i="7"/>
  <c r="CC83" i="7"/>
  <c r="CD83" i="7"/>
  <c r="CE83" i="7"/>
  <c r="BO84" i="7"/>
  <c r="BQ84" i="7" s="1"/>
  <c r="BR84" i="7"/>
  <c r="FF84" i="7" s="1"/>
  <c r="BS84" i="7"/>
  <c r="FG84" i="7" s="1"/>
  <c r="BT84" i="7"/>
  <c r="DC84" i="7" s="1"/>
  <c r="BU84" i="7"/>
  <c r="Z84" i="7" s="1"/>
  <c r="BC84" i="7" s="1"/>
  <c r="BV84" i="7"/>
  <c r="BF84" i="7" s="1"/>
  <c r="BW84" i="7"/>
  <c r="BG84" i="7" s="1"/>
  <c r="BX84" i="7"/>
  <c r="BY84" i="7"/>
  <c r="BZ84" i="7"/>
  <c r="CA84" i="7"/>
  <c r="CB84" i="7"/>
  <c r="CC84" i="7"/>
  <c r="CD84" i="7"/>
  <c r="CE84" i="7"/>
  <c r="BO85" i="7"/>
  <c r="BP85" i="7" s="1"/>
  <c r="CB85" i="7"/>
  <c r="BO86" i="7"/>
  <c r="BP86" i="7" s="1"/>
  <c r="BR86" i="7"/>
  <c r="FF86" i="7" s="1"/>
  <c r="BS86" i="7"/>
  <c r="DB86" i="7" s="1"/>
  <c r="BT86" i="7"/>
  <c r="DC86" i="7" s="1"/>
  <c r="BU86" i="7"/>
  <c r="AA86" i="7" s="1"/>
  <c r="BV86" i="7"/>
  <c r="BF86" i="7" s="1"/>
  <c r="BW86" i="7"/>
  <c r="BX86" i="7"/>
  <c r="BY86" i="7"/>
  <c r="BZ86" i="7"/>
  <c r="CA86" i="7"/>
  <c r="CB86" i="7"/>
  <c r="CC86" i="7"/>
  <c r="CD86" i="7"/>
  <c r="CE86" i="7"/>
  <c r="BO87" i="7"/>
  <c r="BQ87" i="7" s="1"/>
  <c r="BR87" i="7"/>
  <c r="FF87" i="7" s="1"/>
  <c r="BS87" i="7"/>
  <c r="BT87" i="7"/>
  <c r="DC87" i="7" s="1"/>
  <c r="BU87" i="7"/>
  <c r="Z87" i="7" s="1"/>
  <c r="AZ87" i="7" s="1"/>
  <c r="BV87" i="7"/>
  <c r="BF87" i="7" s="1"/>
  <c r="BW87" i="7"/>
  <c r="BX87" i="7"/>
  <c r="BY87" i="7"/>
  <c r="BZ87" i="7"/>
  <c r="CA87" i="7"/>
  <c r="CB87" i="7"/>
  <c r="CC87" i="7"/>
  <c r="CD87" i="7"/>
  <c r="CE87" i="7"/>
  <c r="AJ82" i="7"/>
  <c r="AK82" i="7"/>
  <c r="AR82" i="7" a="1"/>
  <c r="AR82" i="7" s="1"/>
  <c r="EE82" i="7" s="1"/>
  <c r="BH82" i="7"/>
  <c r="BI82" i="7"/>
  <c r="BJ82" i="7"/>
  <c r="BL82" i="7" a="1"/>
  <c r="BL82" i="7" s="1"/>
  <c r="BK82" i="7" s="1"/>
  <c r="AJ83" i="7"/>
  <c r="AK83" i="7"/>
  <c r="AR83" i="7" a="1"/>
  <c r="AR83" i="7" s="1"/>
  <c r="EE83" i="7" s="1"/>
  <c r="BH83" i="7"/>
  <c r="BI83" i="7"/>
  <c r="BJ83" i="7"/>
  <c r="BL83" i="7" a="1"/>
  <c r="BL83" i="7" s="1"/>
  <c r="BK83" i="7" s="1"/>
  <c r="AJ84" i="7"/>
  <c r="AK84" i="7"/>
  <c r="AR84" i="7" a="1"/>
  <c r="AR84" i="7" s="1"/>
  <c r="EE84" i="7" s="1"/>
  <c r="BH84" i="7"/>
  <c r="BI84" i="7"/>
  <c r="BJ84" i="7"/>
  <c r="BL84" i="7" a="1"/>
  <c r="BL84" i="7" s="1"/>
  <c r="BK84" i="7" s="1"/>
  <c r="AK85" i="7"/>
  <c r="BH85" i="7"/>
  <c r="BI85" i="7"/>
  <c r="BJ85" i="7"/>
  <c r="BL85" i="7" a="1"/>
  <c r="BL85" i="7" s="1"/>
  <c r="BK85" i="7" s="1"/>
  <c r="AJ86" i="7"/>
  <c r="AK86" i="7"/>
  <c r="AR86" i="7" a="1"/>
  <c r="AR86" i="7" s="1"/>
  <c r="EE86" i="7" s="1"/>
  <c r="BH86" i="7"/>
  <c r="BI86" i="7"/>
  <c r="BJ86" i="7"/>
  <c r="BL86" i="7" a="1"/>
  <c r="BL86" i="7" s="1"/>
  <c r="BK86" i="7" s="1"/>
  <c r="AJ87" i="7"/>
  <c r="AK87" i="7"/>
  <c r="AR87" i="7" a="1"/>
  <c r="AR87" i="7" s="1"/>
  <c r="EE87" i="7" s="1"/>
  <c r="BH87" i="7"/>
  <c r="BI87" i="7"/>
  <c r="BJ87" i="7"/>
  <c r="BL87" i="7" a="1"/>
  <c r="BL87" i="7" s="1"/>
  <c r="BK87" i="7" s="1"/>
  <c r="BM88" i="7"/>
  <c r="FE86" i="7" l="1"/>
  <c r="FD86" i="7"/>
  <c r="FD83" i="7"/>
  <c r="FE83" i="7"/>
  <c r="BG87" i="7"/>
  <c r="BG86" i="7"/>
  <c r="BE82" i="7"/>
  <c r="BB82" i="7"/>
  <c r="BB83" i="7"/>
  <c r="EZ83" i="7" s="1"/>
  <c r="BE83" i="7"/>
  <c r="FA83" i="7" s="1"/>
  <c r="BE84" i="7"/>
  <c r="BB84" i="7"/>
  <c r="BE87" i="7"/>
  <c r="BB87" i="7"/>
  <c r="BB85" i="7"/>
  <c r="BE85" i="7"/>
  <c r="BB86" i="7"/>
  <c r="EZ86" i="7" s="1"/>
  <c r="BE86" i="7"/>
  <c r="FA86" i="7" s="1"/>
  <c r="DO82" i="7"/>
  <c r="DO83" i="7"/>
  <c r="DO84" i="7"/>
  <c r="BD86" i="7"/>
  <c r="AQ86" i="7" s="1"/>
  <c r="BD83" i="7"/>
  <c r="AP83" i="7" s="1"/>
  <c r="DO87" i="7"/>
  <c r="DO85" i="7"/>
  <c r="DO86" i="7"/>
  <c r="AA87" i="7"/>
  <c r="DA82" i="7"/>
  <c r="Z86" i="7"/>
  <c r="AA84" i="7"/>
  <c r="BA86" i="7"/>
  <c r="AN86" i="7" s="1"/>
  <c r="DA83" i="7"/>
  <c r="DA84" i="7"/>
  <c r="DA87" i="7"/>
  <c r="BP87" i="7"/>
  <c r="BQ86" i="7"/>
  <c r="AZ84" i="7"/>
  <c r="CQ84" i="7" s="1"/>
  <c r="BQ85" i="7"/>
  <c r="BP84" i="7"/>
  <c r="BQ83" i="7"/>
  <c r="FG86" i="7"/>
  <c r="EJ82" i="7"/>
  <c r="EZ82" i="7"/>
  <c r="FA82" i="7"/>
  <c r="EJ83" i="7"/>
  <c r="DC83" i="7"/>
  <c r="DB87" i="7"/>
  <c r="FG87" i="7"/>
  <c r="DB82" i="7"/>
  <c r="DB84" i="7"/>
  <c r="FG82" i="7"/>
  <c r="FG83" i="7"/>
  <c r="DA86" i="7"/>
  <c r="EJ84" i="7"/>
  <c r="EJ87" i="7"/>
  <c r="BC82" i="7"/>
  <c r="AZ82" i="7"/>
  <c r="Z83" i="7"/>
  <c r="AA82" i="7"/>
  <c r="BQ82" i="7"/>
  <c r="BC87" i="7"/>
  <c r="CQ87" i="7" s="1"/>
  <c r="AG83" i="7"/>
  <c r="AC83" i="7"/>
  <c r="AG82" i="7"/>
  <c r="AC82" i="7"/>
  <c r="AG84" i="7"/>
  <c r="AC84" i="7"/>
  <c r="BA83" i="7"/>
  <c r="FE82" i="7" l="1"/>
  <c r="FD82" i="7"/>
  <c r="FE87" i="7"/>
  <c r="FD87" i="7"/>
  <c r="FD84" i="7"/>
  <c r="FE84" i="7"/>
  <c r="U86" i="7"/>
  <c r="T86" i="7" s="1"/>
  <c r="Y82" i="7"/>
  <c r="R82" i="7" s="1"/>
  <c r="CP82" i="7" s="1"/>
  <c r="AP86" i="7"/>
  <c r="CR83" i="7"/>
  <c r="AQ83" i="7"/>
  <c r="BA87" i="7"/>
  <c r="AE87" i="7" s="1"/>
  <c r="BD84" i="7"/>
  <c r="AQ84" i="7" s="1"/>
  <c r="BC86" i="7"/>
  <c r="AH86" i="7" s="1"/>
  <c r="W86" i="7"/>
  <c r="AZ86" i="7"/>
  <c r="AD86" i="7" s="1"/>
  <c r="BD87" i="7"/>
  <c r="AI87" i="7" s="1"/>
  <c r="AM86" i="7"/>
  <c r="CR86" i="7"/>
  <c r="DL86" i="7"/>
  <c r="BA84" i="7"/>
  <c r="U84" i="7" s="1"/>
  <c r="EB87" i="7"/>
  <c r="EB83" i="7"/>
  <c r="EZ84" i="7"/>
  <c r="EB84" i="7"/>
  <c r="DK86" i="7"/>
  <c r="EZ87" i="7"/>
  <c r="DK85" i="7"/>
  <c r="EG82" i="7"/>
  <c r="FA87" i="7"/>
  <c r="DL83" i="7"/>
  <c r="DK87" i="7"/>
  <c r="DJ83" i="7"/>
  <c r="DP83" i="7" s="1"/>
  <c r="FA84" i="7"/>
  <c r="EB82" i="7"/>
  <c r="DK82" i="7"/>
  <c r="DJ86" i="7"/>
  <c r="DP86" i="7" s="1"/>
  <c r="EJ86" i="7"/>
  <c r="DJ85" i="7"/>
  <c r="DP85" i="7" s="1"/>
  <c r="DL85" i="7"/>
  <c r="DK83" i="7"/>
  <c r="DL82" i="7"/>
  <c r="EJ85" i="7"/>
  <c r="DJ82" i="7"/>
  <c r="DP82" i="7" s="1"/>
  <c r="CQ82" i="7"/>
  <c r="BA82" i="7"/>
  <c r="AB82" i="7" s="1"/>
  <c r="BD82" i="7"/>
  <c r="W82" i="7" s="1"/>
  <c r="S82" i="7" s="1"/>
  <c r="BC83" i="7"/>
  <c r="W83" i="7" s="1"/>
  <c r="S83" i="7" s="1"/>
  <c r="AZ83" i="7"/>
  <c r="U83" i="7" s="1"/>
  <c r="AN83" i="7"/>
  <c r="AM83" i="7"/>
  <c r="EH82" i="7" l="1"/>
  <c r="W87" i="7"/>
  <c r="S87" i="7" s="1"/>
  <c r="U87" i="7"/>
  <c r="U82" i="7"/>
  <c r="T82" i="7" s="1"/>
  <c r="K82" i="7"/>
  <c r="Q82" i="7" s="1"/>
  <c r="EF82" i="7"/>
  <c r="T83" i="7"/>
  <c r="ED83" i="7"/>
  <c r="W84" i="7"/>
  <c r="S84" i="7" s="1"/>
  <c r="T84" i="7"/>
  <c r="AH84" i="7"/>
  <c r="AN87" i="7"/>
  <c r="AM87" i="7"/>
  <c r="CR84" i="7"/>
  <c r="AP84" i="7"/>
  <c r="AD87" i="7"/>
  <c r="AI84" i="7"/>
  <c r="DH86" i="7"/>
  <c r="AI86" i="7"/>
  <c r="S86" i="7"/>
  <c r="ED86" i="7"/>
  <c r="DJ84" i="7"/>
  <c r="DP84" i="7" s="1"/>
  <c r="CR87" i="7"/>
  <c r="CY86" i="7"/>
  <c r="AE86" i="7"/>
  <c r="AH87" i="7"/>
  <c r="CQ86" i="7"/>
  <c r="AP87" i="7"/>
  <c r="DJ87" i="7"/>
  <c r="DP87" i="7" s="1"/>
  <c r="CY87" i="7"/>
  <c r="AQ87" i="7"/>
  <c r="DL87" i="7"/>
  <c r="CY84" i="7"/>
  <c r="AD84" i="7"/>
  <c r="AN84" i="7"/>
  <c r="AE84" i="7"/>
  <c r="AM84" i="7"/>
  <c r="DK84" i="7"/>
  <c r="DL84" i="7"/>
  <c r="EB85" i="7"/>
  <c r="CQ83" i="7"/>
  <c r="CY83" i="7"/>
  <c r="CR82" i="7"/>
  <c r="AD83" i="7"/>
  <c r="AE83" i="7"/>
  <c r="CY82" i="7"/>
  <c r="AI83" i="7"/>
  <c r="AH83" i="7"/>
  <c r="AO82" i="7"/>
  <c r="AP82" i="7"/>
  <c r="AI82" i="7"/>
  <c r="AQ82" i="7"/>
  <c r="AF82" i="7"/>
  <c r="AH82" i="7"/>
  <c r="AL82" i="7"/>
  <c r="AN82" i="7"/>
  <c r="AM82" i="7"/>
  <c r="AD82" i="7"/>
  <c r="AE82" i="7"/>
  <c r="T87" i="7" l="1"/>
  <c r="ED87" i="7"/>
  <c r="J82" i="7"/>
  <c r="EC82" i="7" s="1"/>
  <c r="EL82" i="7" s="1"/>
  <c r="EK82" i="7"/>
  <c r="ED82" i="7"/>
  <c r="ED84" i="7"/>
  <c r="DH84" i="7"/>
  <c r="DH87" i="7"/>
  <c r="DH83" i="7"/>
  <c r="DG82" i="7"/>
  <c r="DM82" i="7"/>
  <c r="DN82" i="7" s="1"/>
  <c r="DH82" i="7"/>
  <c r="ES82" i="7" l="1"/>
  <c r="EP82" i="7"/>
  <c r="EN82" i="7"/>
  <c r="EM82" i="7"/>
  <c r="EO82" i="7"/>
  <c r="ET82" i="7" s="1"/>
  <c r="BC109" i="12"/>
  <c r="BC108" i="12"/>
  <c r="BC104" i="12"/>
  <c r="BC105" i="12"/>
  <c r="BC106" i="12"/>
  <c r="BC107" i="12"/>
  <c r="BC103" i="12"/>
  <c r="BC54" i="12"/>
  <c r="Y110" i="12"/>
  <c r="Z110" i="12"/>
  <c r="Y111" i="12"/>
  <c r="Z111" i="12"/>
  <c r="Y112" i="12"/>
  <c r="Z112" i="12"/>
  <c r="Y113" i="12"/>
  <c r="Z113" i="12"/>
  <c r="Y114" i="12"/>
  <c r="Z114" i="12"/>
  <c r="X110" i="12"/>
  <c r="X111" i="12"/>
  <c r="X112" i="12"/>
  <c r="X113" i="12"/>
  <c r="X114" i="12"/>
  <c r="U110" i="12"/>
  <c r="U111" i="12"/>
  <c r="U112" i="12"/>
  <c r="U113" i="12"/>
  <c r="U114" i="12"/>
  <c r="R110" i="12"/>
  <c r="R111" i="12"/>
  <c r="R112" i="12"/>
  <c r="R113" i="12"/>
  <c r="R114" i="12"/>
  <c r="K110" i="12"/>
  <c r="K111" i="12"/>
  <c r="K112" i="12"/>
  <c r="K113" i="12"/>
  <c r="K114" i="12"/>
  <c r="E110" i="12"/>
  <c r="F110" i="12"/>
  <c r="G110" i="12"/>
  <c r="E111" i="12"/>
  <c r="F111" i="12"/>
  <c r="G111" i="12"/>
  <c r="E112" i="12"/>
  <c r="F112" i="12"/>
  <c r="G112" i="12"/>
  <c r="E113" i="12"/>
  <c r="F113" i="12"/>
  <c r="G113" i="12"/>
  <c r="E114" i="12"/>
  <c r="F114" i="12"/>
  <c r="G114" i="12"/>
  <c r="D110" i="12"/>
  <c r="D111" i="12"/>
  <c r="D112" i="12"/>
  <c r="D113" i="12"/>
  <c r="D114" i="12"/>
  <c r="C111" i="12"/>
  <c r="AA111" i="12" s="1"/>
  <c r="C112" i="12"/>
  <c r="AA112" i="12" s="1"/>
  <c r="C113" i="12"/>
  <c r="C114" i="12"/>
  <c r="C110" i="12"/>
  <c r="BH110" i="12" s="1" a="1"/>
  <c r="BH110" i="12" s="1"/>
  <c r="BH109" i="12" a="1"/>
  <c r="BH109" i="12" s="1"/>
  <c r="BI109" i="12" a="1"/>
  <c r="BI109" i="12" s="1"/>
  <c r="BJ109" i="12" a="1"/>
  <c r="BJ109" i="12" s="1"/>
  <c r="BH108" i="12" a="1"/>
  <c r="BH108" i="12" s="1"/>
  <c r="BI108" i="12" a="1"/>
  <c r="BI108" i="12" s="1"/>
  <c r="BJ108" i="12" a="1"/>
  <c r="BJ108" i="12" s="1"/>
  <c r="BH107" i="12" a="1"/>
  <c r="BH107" i="12" s="1"/>
  <c r="BI107" i="12" a="1"/>
  <c r="BI107" i="12" s="1"/>
  <c r="BJ107" i="12" a="1"/>
  <c r="BJ107" i="12" s="1"/>
  <c r="BH106" i="12" a="1"/>
  <c r="BH106" i="12" s="1"/>
  <c r="BI106" i="12" a="1"/>
  <c r="BI106" i="12" s="1"/>
  <c r="BJ106" i="12" a="1"/>
  <c r="BJ106" i="12" s="1"/>
  <c r="BH105" i="12" a="1"/>
  <c r="BH105" i="12" s="1"/>
  <c r="BI105" i="12" a="1"/>
  <c r="BI105" i="12" s="1"/>
  <c r="BJ105" i="12" a="1"/>
  <c r="BJ105" i="12" s="1"/>
  <c r="BH104" i="12" a="1"/>
  <c r="BH104" i="12" s="1"/>
  <c r="BI104" i="12" a="1"/>
  <c r="BI104" i="12" s="1"/>
  <c r="BJ104" i="12" a="1"/>
  <c r="BJ104" i="12" s="1"/>
  <c r="BH103" i="12" a="1"/>
  <c r="BH103" i="12" s="1"/>
  <c r="BI103" i="12" a="1"/>
  <c r="BI103" i="12" s="1"/>
  <c r="BJ103" i="12" a="1"/>
  <c r="BJ103" i="12" s="1"/>
  <c r="BJ102" i="12" a="1"/>
  <c r="BJ102" i="12" s="1"/>
  <c r="BI102" i="12" a="1"/>
  <c r="BI102" i="12" s="1"/>
  <c r="BH102" i="12" a="1"/>
  <c r="BH102" i="12" s="1"/>
  <c r="BD102" i="12"/>
  <c r="BC102" i="12"/>
  <c r="BE102" i="12" s="1"/>
  <c r="BF102" i="12" s="1"/>
  <c r="AN102" i="12"/>
  <c r="AR77" i="7" a="1"/>
  <c r="AR77" i="7" s="1"/>
  <c r="AR76" i="7" a="1"/>
  <c r="AR76" i="7" s="1"/>
  <c r="AR71" i="7" a="1"/>
  <c r="AR71" i="7" s="1"/>
  <c r="AR81" i="7" a="1"/>
  <c r="AR81" i="7" s="1"/>
  <c r="AR80" i="7" a="1"/>
  <c r="AR80" i="7" s="1"/>
  <c r="AR79" i="7" a="1"/>
  <c r="AR79" i="7" s="1"/>
  <c r="AR78" i="7" a="1"/>
  <c r="AR78" i="7" s="1"/>
  <c r="E110" i="49"/>
  <c r="D83" i="49"/>
  <c r="B101" i="49"/>
  <c r="E92" i="49"/>
  <c r="E74" i="49"/>
  <c r="AD11" i="14"/>
  <c r="AD12" i="14"/>
  <c r="AF11" i="14"/>
  <c r="AF10" i="14"/>
  <c r="AF8" i="14"/>
  <c r="AF7" i="14"/>
  <c r="AC9" i="14"/>
  <c r="AB9" i="14"/>
  <c r="AC8" i="14"/>
  <c r="AB8" i="14"/>
  <c r="AC7" i="14"/>
  <c r="AB7" i="14"/>
  <c r="AC6" i="14"/>
  <c r="AB6" i="14"/>
  <c r="AC5" i="14"/>
  <c r="AB5" i="14"/>
  <c r="EU82" i="7" l="1"/>
  <c r="EW82" i="7" s="1"/>
  <c r="EV82" i="7" s="1"/>
  <c r="AJ106" i="12"/>
  <c r="O111" i="12"/>
  <c r="O110" i="12"/>
  <c r="O113" i="12"/>
  <c r="O112" i="12"/>
  <c r="O114" i="12"/>
  <c r="AD114" i="12"/>
  <c r="BC114" i="12" s="1"/>
  <c r="H114" i="12"/>
  <c r="AE114" i="12"/>
  <c r="BD114" i="12" s="1"/>
  <c r="I114" i="12"/>
  <c r="AF114" i="12"/>
  <c r="J114" i="12"/>
  <c r="AG114" i="12"/>
  <c r="P114" i="12"/>
  <c r="M114" i="12" s="1"/>
  <c r="T114" i="12"/>
  <c r="W112" i="12"/>
  <c r="BD108" i="12"/>
  <c r="BD104" i="12"/>
  <c r="BH114" i="12" a="1"/>
  <c r="BH114" i="12" s="1"/>
  <c r="AA114" i="12"/>
  <c r="AC111" i="12"/>
  <c r="AL110" i="12"/>
  <c r="AP110" i="12"/>
  <c r="AY110" i="12"/>
  <c r="AF113" i="12"/>
  <c r="I113" i="12"/>
  <c r="AG113" i="12"/>
  <c r="J113" i="12"/>
  <c r="H113" i="12"/>
  <c r="AD113" i="12"/>
  <c r="BC113" i="12" s="1"/>
  <c r="AE113" i="12"/>
  <c r="BD113" i="12" s="1"/>
  <c r="P112" i="12"/>
  <c r="M112" i="12" s="1"/>
  <c r="T112" i="12"/>
  <c r="V112" i="12"/>
  <c r="AR75" i="7" s="1" a="1"/>
  <c r="AR75" i="7" s="1"/>
  <c r="AH110" i="12"/>
  <c r="BJ110" i="12" a="1"/>
  <c r="BJ110" i="12" s="1"/>
  <c r="AB111" i="12"/>
  <c r="AL111" i="12"/>
  <c r="AP111" i="12"/>
  <c r="AY111" i="12"/>
  <c r="AD112" i="12"/>
  <c r="BC112" i="12" s="1"/>
  <c r="AE112" i="12"/>
  <c r="BD112" i="12" s="1"/>
  <c r="AG112" i="12"/>
  <c r="J112" i="12"/>
  <c r="AF112" i="12"/>
  <c r="H112" i="12"/>
  <c r="I112" i="12"/>
  <c r="P111" i="12"/>
  <c r="M111" i="12" s="1"/>
  <c r="T111" i="12"/>
  <c r="W111" i="12"/>
  <c r="AH114" i="12"/>
  <c r="BD107" i="12"/>
  <c r="BD103" i="12"/>
  <c r="BJ112" i="12" a="1"/>
  <c r="BJ112" i="12" s="1"/>
  <c r="AC110" i="12"/>
  <c r="AL112" i="12"/>
  <c r="AP112" i="12"/>
  <c r="AY112" i="12"/>
  <c r="AE111" i="12"/>
  <c r="BD111" i="12" s="1"/>
  <c r="AF111" i="12"/>
  <c r="AG111" i="12"/>
  <c r="I111" i="12"/>
  <c r="H111" i="12"/>
  <c r="AD111" i="12"/>
  <c r="BC111" i="12" s="1"/>
  <c r="J111" i="12"/>
  <c r="P110" i="12"/>
  <c r="M110" i="12" s="1"/>
  <c r="T110" i="12"/>
  <c r="V111" i="12"/>
  <c r="AH112" i="12"/>
  <c r="BI112" i="12" a="1"/>
  <c r="BI112" i="12" s="1"/>
  <c r="BI110" i="12" a="1"/>
  <c r="BI110" i="12" s="1"/>
  <c r="AA110" i="12"/>
  <c r="AB110" i="12"/>
  <c r="AL114" i="12"/>
  <c r="AP114" i="12"/>
  <c r="AY114" i="12"/>
  <c r="Q114" i="12"/>
  <c r="N114" i="12" s="1"/>
  <c r="S114" i="12"/>
  <c r="W110" i="12"/>
  <c r="AH111" i="12"/>
  <c r="BD106" i="12"/>
  <c r="AC114" i="12"/>
  <c r="AK110" i="12"/>
  <c r="AM110" i="12"/>
  <c r="AO110" i="12"/>
  <c r="AQ110" i="12"/>
  <c r="AZ110" i="12"/>
  <c r="Q112" i="12"/>
  <c r="N112" i="12" s="1"/>
  <c r="S112" i="12"/>
  <c r="V110" i="12"/>
  <c r="AR74" i="7" s="1" a="1"/>
  <c r="AR74" i="7" s="1"/>
  <c r="BJ114" i="12" a="1"/>
  <c r="BJ114" i="12" s="1"/>
  <c r="BJ111" i="12" a="1"/>
  <c r="BJ111" i="12" s="1"/>
  <c r="AB114" i="12"/>
  <c r="AK111" i="12"/>
  <c r="AM111" i="12"/>
  <c r="AO111" i="12"/>
  <c r="AQ111" i="12"/>
  <c r="AZ111" i="12"/>
  <c r="Q111" i="12"/>
  <c r="N111" i="12" s="1"/>
  <c r="S111" i="12"/>
  <c r="W114" i="12"/>
  <c r="BD109" i="12"/>
  <c r="BD105" i="12"/>
  <c r="BI111" i="12" a="1"/>
  <c r="BI111" i="12" s="1"/>
  <c r="AC112" i="12"/>
  <c r="AK112" i="12"/>
  <c r="AM112" i="12"/>
  <c r="AO112" i="12"/>
  <c r="AQ112" i="12"/>
  <c r="AZ112" i="12"/>
  <c r="AG110" i="12"/>
  <c r="H110" i="12"/>
  <c r="AE110" i="12"/>
  <c r="BD110" i="12" s="1"/>
  <c r="AD110" i="12"/>
  <c r="BC110" i="12" s="1"/>
  <c r="AF110" i="12"/>
  <c r="I110" i="12"/>
  <c r="J110" i="12"/>
  <c r="Q110" i="12"/>
  <c r="N110" i="12" s="1"/>
  <c r="S110" i="12"/>
  <c r="V114" i="12"/>
  <c r="BI114" i="12" a="1"/>
  <c r="BI114" i="12" s="1"/>
  <c r="BH111" i="12" a="1"/>
  <c r="BH111" i="12" s="1"/>
  <c r="BH112" i="12" a="1"/>
  <c r="BH112" i="12" s="1"/>
  <c r="AB112" i="12"/>
  <c r="AK114" i="12"/>
  <c r="AM114" i="12"/>
  <c r="AO114" i="12"/>
  <c r="AQ114" i="12"/>
  <c r="AZ114" i="12"/>
  <c r="M25" i="14"/>
  <c r="Z107" i="12" s="1"/>
  <c r="A44" i="14"/>
  <c r="B44" i="14"/>
  <c r="D48" i="49"/>
  <c r="B43" i="14"/>
  <c r="A43" i="14"/>
  <c r="M23" i="14"/>
  <c r="Z105" i="12" s="1"/>
  <c r="A42" i="14"/>
  <c r="B42" i="14"/>
  <c r="B41" i="14"/>
  <c r="A41" i="14"/>
  <c r="B74" i="49"/>
  <c r="E12" i="49"/>
  <c r="B40" i="14"/>
  <c r="A40" i="14"/>
  <c r="C74" i="49"/>
  <c r="D74" i="49"/>
  <c r="L21" i="14"/>
  <c r="L103" i="12" s="1"/>
  <c r="M21" i="14"/>
  <c r="Z103" i="12" s="1"/>
  <c r="T113" i="12"/>
  <c r="AM113" i="12"/>
  <c r="BJ113" i="12" a="1"/>
  <c r="BJ113" i="12" s="1"/>
  <c r="Q113" i="12"/>
  <c r="N113" i="12" s="1"/>
  <c r="W113" i="12"/>
  <c r="AY113" i="12"/>
  <c r="P113" i="12"/>
  <c r="M113" i="12" s="1"/>
  <c r="V113" i="12"/>
  <c r="BI113" i="12" a="1"/>
  <c r="BI113" i="12" s="1"/>
  <c r="AO113" i="12"/>
  <c r="AC113" i="12"/>
  <c r="AL113" i="12"/>
  <c r="AH113" i="12"/>
  <c r="BH113" i="12" a="1"/>
  <c r="BH113" i="12" s="1"/>
  <c r="AB113" i="12"/>
  <c r="AQ113" i="12"/>
  <c r="S113" i="12"/>
  <c r="AA113" i="12"/>
  <c r="AK113" i="12"/>
  <c r="AZ113" i="12"/>
  <c r="AP113" i="12"/>
  <c r="AJ105" i="12"/>
  <c r="AJ108" i="12"/>
  <c r="AJ109" i="12"/>
  <c r="AJ104" i="12"/>
  <c r="AJ103" i="12"/>
  <c r="AJ107" i="12"/>
  <c r="L27" i="14"/>
  <c r="L109" i="12" s="1"/>
  <c r="B145" i="49"/>
  <c r="E145" i="49"/>
  <c r="M27" i="14"/>
  <c r="Z109" i="12" s="1"/>
  <c r="D145" i="49"/>
  <c r="D138" i="49" s="1"/>
  <c r="B27" i="14"/>
  <c r="AI12" i="14" s="1"/>
  <c r="B109" i="12" s="1"/>
  <c r="E127" i="49"/>
  <c r="L26" i="14"/>
  <c r="L108" i="12" s="1"/>
  <c r="B127" i="49"/>
  <c r="M26" i="14"/>
  <c r="Z108" i="12" s="1"/>
  <c r="D127" i="49"/>
  <c r="D120" i="49" s="1"/>
  <c r="B110" i="49"/>
  <c r="C110" i="49"/>
  <c r="B60" i="49"/>
  <c r="D110" i="49"/>
  <c r="C60" i="49"/>
  <c r="D60" i="49"/>
  <c r="L25" i="14"/>
  <c r="L107" i="12" s="1"/>
  <c r="E60" i="49"/>
  <c r="E101" i="49"/>
  <c r="L24" i="14"/>
  <c r="L106" i="12" s="1"/>
  <c r="E48" i="49"/>
  <c r="C101" i="49"/>
  <c r="AL98" i="49" s="1"/>
  <c r="M24" i="14"/>
  <c r="Z106" i="12" s="1"/>
  <c r="D101" i="49"/>
  <c r="AD97" i="49" s="1"/>
  <c r="B48" i="49"/>
  <c r="C48" i="49"/>
  <c r="M22" i="14"/>
  <c r="Z104" i="12" s="1"/>
  <c r="B92" i="49"/>
  <c r="C92" i="49"/>
  <c r="B36" i="49"/>
  <c r="D92" i="49"/>
  <c r="C36" i="49"/>
  <c r="D36" i="49"/>
  <c r="L23" i="14"/>
  <c r="L105" i="12" s="1"/>
  <c r="E36" i="49"/>
  <c r="C24" i="49"/>
  <c r="D24" i="49"/>
  <c r="B83" i="49"/>
  <c r="E83" i="49"/>
  <c r="B24" i="49"/>
  <c r="L22" i="14"/>
  <c r="L104" i="12" s="1"/>
  <c r="E24" i="49"/>
  <c r="C83" i="49"/>
  <c r="A25" i="14"/>
  <c r="A24" i="14"/>
  <c r="A22" i="14"/>
  <c r="B26" i="14"/>
  <c r="AI11" i="14" s="1"/>
  <c r="B108" i="12" s="1"/>
  <c r="B25" i="14"/>
  <c r="AI9" i="14" s="1"/>
  <c r="B107" i="12" s="1"/>
  <c r="B24" i="14"/>
  <c r="AI8" i="14" s="1"/>
  <c r="B106" i="12" s="1"/>
  <c r="B23" i="14"/>
  <c r="AI7" i="14" s="1"/>
  <c r="B105" i="12" s="1"/>
  <c r="A23" i="14"/>
  <c r="B22" i="14"/>
  <c r="B21" i="14"/>
  <c r="B12" i="49"/>
  <c r="C12" i="49"/>
  <c r="A21" i="14"/>
  <c r="D12" i="49"/>
  <c r="BX111" i="39" l="1"/>
  <c r="BW111" i="39"/>
  <c r="AI6" i="14"/>
  <c r="B104" i="12" s="1"/>
  <c r="AB80" i="49"/>
  <c r="AB79" i="49"/>
  <c r="AL80" i="49"/>
  <c r="AL79" i="49"/>
  <c r="AN80" i="49"/>
  <c r="AD80" i="49"/>
  <c r="AN79" i="49"/>
  <c r="AD79" i="49"/>
  <c r="AB32" i="49"/>
  <c r="AB31" i="49"/>
  <c r="AB30" i="49"/>
  <c r="AB29" i="49"/>
  <c r="AL32" i="49"/>
  <c r="AL31" i="49"/>
  <c r="AL30" i="49"/>
  <c r="AL29" i="49"/>
  <c r="AN31" i="49"/>
  <c r="AD32" i="49"/>
  <c r="AN30" i="49"/>
  <c r="AD31" i="49"/>
  <c r="AN29" i="49"/>
  <c r="AD30" i="49"/>
  <c r="AN32" i="49"/>
  <c r="AD29" i="49"/>
  <c r="AN98" i="49"/>
  <c r="AB98" i="49"/>
  <c r="AD98" i="49"/>
  <c r="O17" i="49"/>
  <c r="O19" i="49"/>
  <c r="O18" i="49"/>
  <c r="O20" i="49"/>
  <c r="AB89" i="49"/>
  <c r="AB88" i="49"/>
  <c r="AL89" i="49"/>
  <c r="AL88" i="49"/>
  <c r="AN88" i="49"/>
  <c r="AD88" i="49"/>
  <c r="AN89" i="49"/>
  <c r="AD89" i="49"/>
  <c r="U138" i="49"/>
  <c r="R138" i="49" s="1"/>
  <c r="T138" i="49"/>
  <c r="Q138" i="49" s="1"/>
  <c r="K138" i="49"/>
  <c r="J138" i="49"/>
  <c r="V138" i="49"/>
  <c r="S138" i="49" s="1"/>
  <c r="BZ57" i="49"/>
  <c r="O41" i="49"/>
  <c r="O42" i="49"/>
  <c r="O44" i="49"/>
  <c r="O43" i="49"/>
  <c r="BX57" i="49"/>
  <c r="B137" i="49"/>
  <c r="B140" i="49" s="1"/>
  <c r="AB44" i="49"/>
  <c r="AB43" i="49"/>
  <c r="AB42" i="49"/>
  <c r="AB41" i="49"/>
  <c r="AL44" i="49"/>
  <c r="AL43" i="49"/>
  <c r="AL42" i="49"/>
  <c r="AL41" i="49"/>
  <c r="AN43" i="49"/>
  <c r="AN42" i="49"/>
  <c r="AN44" i="49"/>
  <c r="AD43" i="49"/>
  <c r="AN41" i="49"/>
  <c r="AD44" i="49"/>
  <c r="AD42" i="49"/>
  <c r="AD41" i="49"/>
  <c r="I138" i="49"/>
  <c r="H138" i="49"/>
  <c r="G138" i="49"/>
  <c r="AB20" i="49"/>
  <c r="AB19" i="49"/>
  <c r="AB18" i="49"/>
  <c r="AB17" i="49"/>
  <c r="AL20" i="49"/>
  <c r="AL19" i="49"/>
  <c r="AL18" i="49"/>
  <c r="AL17" i="49"/>
  <c r="AN19" i="49"/>
  <c r="AD20" i="49"/>
  <c r="AN18" i="49"/>
  <c r="AD19" i="49"/>
  <c r="AD18" i="49"/>
  <c r="AN17" i="49"/>
  <c r="AN20" i="49"/>
  <c r="AD17" i="49"/>
  <c r="O32" i="49"/>
  <c r="O30" i="49"/>
  <c r="O31" i="49"/>
  <c r="O29" i="49"/>
  <c r="AN97" i="49"/>
  <c r="AL97" i="49"/>
  <c r="AB97" i="49"/>
  <c r="O53" i="49"/>
  <c r="O55" i="49"/>
  <c r="O56" i="49"/>
  <c r="O54" i="49"/>
  <c r="AD56" i="49"/>
  <c r="AD55" i="49"/>
  <c r="AD54" i="49"/>
  <c r="AD53" i="49"/>
  <c r="AB56" i="49"/>
  <c r="AB55" i="49"/>
  <c r="AB54" i="49"/>
  <c r="AB53" i="49"/>
  <c r="AN56" i="49"/>
  <c r="AN55" i="49"/>
  <c r="AN54" i="49"/>
  <c r="AN53" i="49"/>
  <c r="AL56" i="49"/>
  <c r="AL55" i="49"/>
  <c r="AL54" i="49"/>
  <c r="AL53" i="49"/>
  <c r="O107" i="49"/>
  <c r="O106" i="49"/>
  <c r="AD107" i="49"/>
  <c r="AD106" i="49"/>
  <c r="AB107" i="49"/>
  <c r="AB106" i="49"/>
  <c r="AN107" i="49"/>
  <c r="AN106" i="49"/>
  <c r="AL107" i="49"/>
  <c r="AL106" i="49"/>
  <c r="K120" i="49"/>
  <c r="J120" i="49"/>
  <c r="V120" i="49"/>
  <c r="S120" i="49" s="1"/>
  <c r="U120" i="49"/>
  <c r="R120" i="49" s="1"/>
  <c r="T120" i="49"/>
  <c r="Q120" i="49" s="1"/>
  <c r="BW57" i="49"/>
  <c r="B119" i="49"/>
  <c r="B122" i="49" s="1"/>
  <c r="I120" i="49"/>
  <c r="H120" i="49"/>
  <c r="G120" i="49"/>
  <c r="AI5" i="14"/>
  <c r="B103" i="12" s="1"/>
  <c r="O7" i="49"/>
  <c r="O6" i="49"/>
  <c r="O8" i="49"/>
  <c r="O5" i="49"/>
  <c r="AD8" i="49"/>
  <c r="AD7" i="49"/>
  <c r="AD6" i="49"/>
  <c r="AD5" i="49"/>
  <c r="AB8" i="49"/>
  <c r="AB7" i="49"/>
  <c r="AB6" i="49"/>
  <c r="AB5" i="49"/>
  <c r="AN8" i="49"/>
  <c r="AN7" i="49"/>
  <c r="AN6" i="49"/>
  <c r="AN5" i="49"/>
  <c r="AL8" i="49"/>
  <c r="AL7" i="49"/>
  <c r="AL6" i="49"/>
  <c r="AL5" i="49"/>
  <c r="AD71" i="49"/>
  <c r="AD70" i="49"/>
  <c r="AB71" i="49"/>
  <c r="AB70" i="49"/>
  <c r="AN71" i="49"/>
  <c r="AN70" i="49"/>
  <c r="AL71" i="49"/>
  <c r="AL70" i="49"/>
  <c r="BR57" i="49"/>
  <c r="BE113" i="12"/>
  <c r="BF113" i="12" s="1"/>
  <c r="BE112" i="12"/>
  <c r="BF112" i="12" s="1"/>
  <c r="BE110" i="12"/>
  <c r="BF110" i="12" s="1"/>
  <c r="BH57" i="49"/>
  <c r="BE111" i="12"/>
  <c r="BF111" i="12" s="1"/>
  <c r="BE114" i="12"/>
  <c r="BF114" i="12" s="1"/>
  <c r="BQ57" i="49"/>
  <c r="BK57" i="49"/>
  <c r="BU57" i="49"/>
  <c r="BY57" i="49"/>
  <c r="CC57" i="49"/>
  <c r="BL57" i="49"/>
  <c r="BF57" i="49"/>
  <c r="CB57" i="49"/>
  <c r="AV57" i="49"/>
  <c r="BV57" i="49"/>
  <c r="BB57" i="49"/>
  <c r="AW57" i="49"/>
  <c r="BG57" i="49"/>
  <c r="BP57" i="49"/>
  <c r="BA57" i="49"/>
  <c r="BT57" i="49"/>
  <c r="BS57" i="49"/>
  <c r="BD57" i="49"/>
  <c r="BO57" i="49"/>
  <c r="AU57" i="49"/>
  <c r="AZ57" i="49"/>
  <c r="BE57" i="49"/>
  <c r="BJ57" i="49"/>
  <c r="CA57" i="49"/>
  <c r="AY57" i="49"/>
  <c r="AT57" i="49"/>
  <c r="BN57" i="49"/>
  <c r="BI57" i="49"/>
  <c r="AS57" i="49"/>
  <c r="BC57" i="49"/>
  <c r="BM57" i="49"/>
  <c r="AX57" i="49"/>
  <c r="CC146" i="49" l="1"/>
  <c r="CB146" i="49"/>
  <c r="CA146" i="49"/>
  <c r="BZ146" i="49"/>
  <c r="BY146" i="49"/>
  <c r="BX146" i="49"/>
  <c r="BW146" i="49"/>
  <c r="BV146" i="49"/>
  <c r="BU146" i="49"/>
  <c r="BT146" i="49"/>
  <c r="BS146" i="49"/>
  <c r="BR146" i="49"/>
  <c r="BQ146" i="49"/>
  <c r="BP146" i="49"/>
  <c r="BO146" i="49"/>
  <c r="BN146" i="49"/>
  <c r="BM146" i="49"/>
  <c r="BL146" i="49"/>
  <c r="BK146" i="49"/>
  <c r="BJ146" i="49"/>
  <c r="BI146" i="49"/>
  <c r="BH146" i="49"/>
  <c r="BG146" i="49"/>
  <c r="BF146" i="49"/>
  <c r="BE146" i="49"/>
  <c r="BD146" i="49"/>
  <c r="BC146" i="49"/>
  <c r="BB146" i="49"/>
  <c r="BA146" i="49"/>
  <c r="AZ146" i="49"/>
  <c r="AY146" i="49"/>
  <c r="AX146" i="49"/>
  <c r="AW146" i="49"/>
  <c r="AV146" i="49"/>
  <c r="AU146" i="49"/>
  <c r="AT146" i="49"/>
  <c r="AS146" i="49"/>
  <c r="CC145" i="49"/>
  <c r="CB145" i="49"/>
  <c r="CA145" i="49"/>
  <c r="BZ145" i="49"/>
  <c r="BY145" i="49"/>
  <c r="BX145" i="49"/>
  <c r="BW145" i="49"/>
  <c r="BV145" i="49"/>
  <c r="BU145" i="49"/>
  <c r="BT145" i="49"/>
  <c r="BS145" i="49"/>
  <c r="BR145" i="49"/>
  <c r="BQ145" i="49"/>
  <c r="BP145" i="49"/>
  <c r="BO145" i="49"/>
  <c r="BN145" i="49"/>
  <c r="BM145" i="49"/>
  <c r="BL145" i="49"/>
  <c r="BK145" i="49"/>
  <c r="BJ145" i="49"/>
  <c r="BI145" i="49"/>
  <c r="BH145" i="49"/>
  <c r="BG145" i="49"/>
  <c r="BF145" i="49"/>
  <c r="BE145" i="49"/>
  <c r="BD145" i="49"/>
  <c r="BC145" i="49"/>
  <c r="BB145" i="49"/>
  <c r="BA145" i="49"/>
  <c r="AZ145" i="49"/>
  <c r="AY145" i="49"/>
  <c r="AX145" i="49"/>
  <c r="AW145" i="49"/>
  <c r="AV145" i="49"/>
  <c r="AU145" i="49"/>
  <c r="AT145" i="49"/>
  <c r="AS145" i="49"/>
  <c r="CC144" i="49"/>
  <c r="CB144" i="49"/>
  <c r="CA144" i="49"/>
  <c r="BZ144" i="49"/>
  <c r="BY144" i="49"/>
  <c r="BX144" i="49"/>
  <c r="BW144" i="49"/>
  <c r="BV144" i="49"/>
  <c r="BU144" i="49"/>
  <c r="BT144" i="49"/>
  <c r="BS144" i="49"/>
  <c r="BR144" i="49"/>
  <c r="BQ144" i="49"/>
  <c r="BP144" i="49"/>
  <c r="BO144" i="49"/>
  <c r="BN144" i="49"/>
  <c r="BM144" i="49"/>
  <c r="BL144" i="49"/>
  <c r="BK144" i="49"/>
  <c r="BJ144" i="49"/>
  <c r="BI144" i="49"/>
  <c r="BH144" i="49"/>
  <c r="BG144" i="49"/>
  <c r="BF144" i="49"/>
  <c r="BE144" i="49"/>
  <c r="BD144" i="49"/>
  <c r="BC144" i="49"/>
  <c r="BB144" i="49"/>
  <c r="BA144" i="49"/>
  <c r="AZ144" i="49"/>
  <c r="AY144" i="49"/>
  <c r="AX144" i="49"/>
  <c r="AW144" i="49"/>
  <c r="AV144" i="49"/>
  <c r="AU144" i="49"/>
  <c r="AT144" i="49"/>
  <c r="AS144" i="49"/>
  <c r="CC143" i="49"/>
  <c r="CB143" i="49"/>
  <c r="CA143" i="49"/>
  <c r="BZ143" i="49"/>
  <c r="BY143" i="49"/>
  <c r="BX143" i="49"/>
  <c r="BW143" i="49"/>
  <c r="BV143" i="49"/>
  <c r="BU143" i="49"/>
  <c r="BT143" i="49"/>
  <c r="BS143" i="49"/>
  <c r="BR143" i="49"/>
  <c r="BQ143" i="49"/>
  <c r="BP143" i="49"/>
  <c r="BO143" i="49"/>
  <c r="BN143" i="49"/>
  <c r="BM143" i="49"/>
  <c r="BL143" i="49"/>
  <c r="BK143" i="49"/>
  <c r="BJ143" i="49"/>
  <c r="BI143" i="49"/>
  <c r="BH143" i="49"/>
  <c r="BG143" i="49"/>
  <c r="BF143" i="49"/>
  <c r="BE143" i="49"/>
  <c r="BD143" i="49"/>
  <c r="BC143" i="49"/>
  <c r="BB143" i="49"/>
  <c r="BA143" i="49"/>
  <c r="AZ143" i="49"/>
  <c r="AY143" i="49"/>
  <c r="AX143" i="49"/>
  <c r="AW143" i="49"/>
  <c r="AV143" i="49"/>
  <c r="AU143" i="49"/>
  <c r="AT143" i="49"/>
  <c r="AS143" i="49"/>
  <c r="CC142" i="49"/>
  <c r="CB142" i="49"/>
  <c r="CA142" i="49"/>
  <c r="BZ142" i="49"/>
  <c r="BY142" i="49"/>
  <c r="BX142" i="49"/>
  <c r="BW142" i="49"/>
  <c r="BV142" i="49"/>
  <c r="BU142" i="49"/>
  <c r="BT142" i="49"/>
  <c r="BS142" i="49"/>
  <c r="BR142" i="49"/>
  <c r="BQ142" i="49"/>
  <c r="BP142" i="49"/>
  <c r="BO142" i="49"/>
  <c r="BN142" i="49"/>
  <c r="BM142" i="49"/>
  <c r="BL142" i="49"/>
  <c r="BK142" i="49"/>
  <c r="BJ142" i="49"/>
  <c r="BI142" i="49"/>
  <c r="BH142" i="49"/>
  <c r="BG142" i="49"/>
  <c r="BF142" i="49"/>
  <c r="BE142" i="49"/>
  <c r="BD142" i="49"/>
  <c r="BC142" i="49"/>
  <c r="BB142" i="49"/>
  <c r="BA142" i="49"/>
  <c r="AZ142" i="49"/>
  <c r="AY142" i="49"/>
  <c r="AX142" i="49"/>
  <c r="AW142" i="49"/>
  <c r="AV142" i="49"/>
  <c r="AU142" i="49"/>
  <c r="AT142" i="49"/>
  <c r="AS142" i="49"/>
  <c r="CC141" i="49"/>
  <c r="CB141" i="49"/>
  <c r="CA141" i="49"/>
  <c r="BZ141" i="49"/>
  <c r="BY141" i="49"/>
  <c r="BX141" i="49"/>
  <c r="BW141" i="49"/>
  <c r="BV141" i="49"/>
  <c r="BU141" i="49"/>
  <c r="BT141" i="49"/>
  <c r="BS141" i="49"/>
  <c r="BR141" i="49"/>
  <c r="BQ141" i="49"/>
  <c r="BP141" i="49"/>
  <c r="BO141" i="49"/>
  <c r="BN141" i="49"/>
  <c r="BM141" i="49"/>
  <c r="BL141" i="49"/>
  <c r="BK141" i="49"/>
  <c r="BJ141" i="49"/>
  <c r="BI141" i="49"/>
  <c r="BH141" i="49"/>
  <c r="BG141" i="49"/>
  <c r="BF141" i="49"/>
  <c r="BE141" i="49"/>
  <c r="BD141" i="49"/>
  <c r="BC141" i="49"/>
  <c r="BB141" i="49"/>
  <c r="BA141" i="49"/>
  <c r="AZ141" i="49"/>
  <c r="AY141" i="49"/>
  <c r="AX141" i="49"/>
  <c r="AW141" i="49"/>
  <c r="AV141" i="49"/>
  <c r="AU141" i="49"/>
  <c r="AT141" i="49"/>
  <c r="AS141" i="49"/>
  <c r="CC140" i="49"/>
  <c r="CB140" i="49"/>
  <c r="CA140" i="49"/>
  <c r="BZ140" i="49"/>
  <c r="BY140" i="49"/>
  <c r="BX140" i="49"/>
  <c r="BW140" i="49"/>
  <c r="BV140" i="49"/>
  <c r="BU140" i="49"/>
  <c r="BT140" i="49"/>
  <c r="BS140" i="49"/>
  <c r="BR140" i="49"/>
  <c r="BQ140" i="49"/>
  <c r="BP140" i="49"/>
  <c r="BO140" i="49"/>
  <c r="BN140" i="49"/>
  <c r="BM140" i="49"/>
  <c r="BL140" i="49"/>
  <c r="BK140" i="49"/>
  <c r="BJ140" i="49"/>
  <c r="BI140" i="49"/>
  <c r="BH140" i="49"/>
  <c r="BG140" i="49"/>
  <c r="BF140" i="49"/>
  <c r="BE140" i="49"/>
  <c r="BD140" i="49"/>
  <c r="BC140" i="49"/>
  <c r="BB140" i="49"/>
  <c r="BA140" i="49"/>
  <c r="AZ140" i="49"/>
  <c r="AY140" i="49"/>
  <c r="AX140" i="49"/>
  <c r="AW140" i="49"/>
  <c r="AV140" i="49"/>
  <c r="AU140" i="49"/>
  <c r="AT140" i="49"/>
  <c r="AS140" i="49"/>
  <c r="CC139" i="49"/>
  <c r="CB139" i="49"/>
  <c r="CA139" i="49"/>
  <c r="BZ139" i="49"/>
  <c r="BY139" i="49"/>
  <c r="BX139" i="49"/>
  <c r="BW139" i="49"/>
  <c r="BV139" i="49"/>
  <c r="BU139" i="49"/>
  <c r="BT139" i="49"/>
  <c r="BS139" i="49"/>
  <c r="BR139" i="49"/>
  <c r="BQ139" i="49"/>
  <c r="BP139" i="49"/>
  <c r="BO139" i="49"/>
  <c r="BN139" i="49"/>
  <c r="BM139" i="49"/>
  <c r="BL139" i="49"/>
  <c r="BK139" i="49"/>
  <c r="BJ139" i="49"/>
  <c r="BI139" i="49"/>
  <c r="BH139" i="49"/>
  <c r="BG139" i="49"/>
  <c r="BF139" i="49"/>
  <c r="BE139" i="49"/>
  <c r="BD139" i="49"/>
  <c r="BC139" i="49"/>
  <c r="BB139" i="49"/>
  <c r="BA139" i="49"/>
  <c r="AZ139" i="49"/>
  <c r="AY139" i="49"/>
  <c r="AX139" i="49"/>
  <c r="AW139" i="49"/>
  <c r="AV139" i="49"/>
  <c r="AU139" i="49"/>
  <c r="AT139" i="49"/>
  <c r="AS139" i="49"/>
  <c r="CC138" i="49"/>
  <c r="CB138" i="49"/>
  <c r="CA138" i="49"/>
  <c r="BZ138" i="49"/>
  <c r="BY138" i="49"/>
  <c r="BX138" i="49"/>
  <c r="BW138" i="49"/>
  <c r="BV138" i="49"/>
  <c r="BU138" i="49"/>
  <c r="BT138" i="49"/>
  <c r="BS138" i="49"/>
  <c r="BR138" i="49"/>
  <c r="BQ138" i="49"/>
  <c r="BP138" i="49"/>
  <c r="BO138" i="49"/>
  <c r="BN138" i="49"/>
  <c r="BM138" i="49"/>
  <c r="BL138" i="49"/>
  <c r="BK138" i="49"/>
  <c r="BJ138" i="49"/>
  <c r="BI138" i="49"/>
  <c r="BH138" i="49"/>
  <c r="BG138" i="49"/>
  <c r="BF138" i="49"/>
  <c r="BE138" i="49"/>
  <c r="BD138" i="49"/>
  <c r="BC138" i="49"/>
  <c r="BB138" i="49"/>
  <c r="BA138" i="49"/>
  <c r="AZ138" i="49"/>
  <c r="AY138" i="49"/>
  <c r="AX138" i="49"/>
  <c r="AW138" i="49"/>
  <c r="AV138" i="49"/>
  <c r="AU138" i="49"/>
  <c r="AT138" i="49"/>
  <c r="AS138" i="49"/>
  <c r="CC137" i="49"/>
  <c r="CB137" i="49"/>
  <c r="CA137" i="49"/>
  <c r="BZ137" i="49"/>
  <c r="BY137" i="49"/>
  <c r="BX137" i="49"/>
  <c r="BW137" i="49"/>
  <c r="BV137" i="49"/>
  <c r="BU137" i="49"/>
  <c r="BT137" i="49"/>
  <c r="BS137" i="49"/>
  <c r="BR137" i="49"/>
  <c r="BQ137" i="49"/>
  <c r="BP137" i="49"/>
  <c r="BO137" i="49"/>
  <c r="BN137" i="49"/>
  <c r="BM137" i="49"/>
  <c r="BL137" i="49"/>
  <c r="BK137" i="49"/>
  <c r="BJ137" i="49"/>
  <c r="BI137" i="49"/>
  <c r="BH137" i="49"/>
  <c r="BG137" i="49"/>
  <c r="BF137" i="49"/>
  <c r="BE137" i="49"/>
  <c r="BD137" i="49"/>
  <c r="BC137" i="49"/>
  <c r="BB137" i="49"/>
  <c r="BA137" i="49"/>
  <c r="AZ137" i="49"/>
  <c r="AY137" i="49"/>
  <c r="AX137" i="49"/>
  <c r="AW137" i="49"/>
  <c r="AV137" i="49"/>
  <c r="AU137" i="49"/>
  <c r="AT137" i="49"/>
  <c r="AS137" i="49"/>
  <c r="CC136" i="49"/>
  <c r="CB136" i="49"/>
  <c r="CA136" i="49"/>
  <c r="BZ136" i="49"/>
  <c r="BY136" i="49"/>
  <c r="BX136" i="49"/>
  <c r="BW136" i="49"/>
  <c r="BV136" i="49"/>
  <c r="BU136" i="49"/>
  <c r="BT136" i="49"/>
  <c r="BS136" i="49"/>
  <c r="BR136" i="49"/>
  <c r="BQ136" i="49"/>
  <c r="BP136" i="49"/>
  <c r="BO136" i="49"/>
  <c r="BN136" i="49"/>
  <c r="BM136" i="49"/>
  <c r="BL136" i="49"/>
  <c r="BK136" i="49"/>
  <c r="BJ136" i="49"/>
  <c r="BI136" i="49"/>
  <c r="BH136" i="49"/>
  <c r="BG136" i="49"/>
  <c r="BF136" i="49"/>
  <c r="BE136" i="49"/>
  <c r="BD136" i="49"/>
  <c r="BC136" i="49"/>
  <c r="BB136" i="49"/>
  <c r="BA136" i="49"/>
  <c r="AZ136" i="49"/>
  <c r="AY136" i="49"/>
  <c r="AX136" i="49"/>
  <c r="AW136" i="49"/>
  <c r="AV136" i="49"/>
  <c r="AU136" i="49"/>
  <c r="AT136" i="49"/>
  <c r="AS136" i="49"/>
  <c r="CC135" i="49"/>
  <c r="CB135" i="49"/>
  <c r="CA135" i="49"/>
  <c r="BZ135" i="49"/>
  <c r="BY135" i="49"/>
  <c r="BX135" i="49"/>
  <c r="BW135" i="49"/>
  <c r="BV135" i="49"/>
  <c r="BU135" i="49"/>
  <c r="BT135" i="49"/>
  <c r="BS135" i="49"/>
  <c r="BR135" i="49"/>
  <c r="BQ135" i="49"/>
  <c r="BP135" i="49"/>
  <c r="BO135" i="49"/>
  <c r="BN135" i="49"/>
  <c r="BM135" i="49"/>
  <c r="BL135" i="49"/>
  <c r="BK135" i="49"/>
  <c r="BJ135" i="49"/>
  <c r="BI135" i="49"/>
  <c r="BH135" i="49"/>
  <c r="BG135" i="49"/>
  <c r="BF135" i="49"/>
  <c r="BE135" i="49"/>
  <c r="BD135" i="49"/>
  <c r="BC135" i="49"/>
  <c r="BB135" i="49"/>
  <c r="BA135" i="49"/>
  <c r="AZ135" i="49"/>
  <c r="AY135" i="49"/>
  <c r="AX135" i="49"/>
  <c r="AW135" i="49"/>
  <c r="AV135" i="49"/>
  <c r="AU135" i="49"/>
  <c r="AT135" i="49"/>
  <c r="AS135" i="49"/>
  <c r="CC134" i="49"/>
  <c r="CB134" i="49"/>
  <c r="CA134" i="49"/>
  <c r="BZ134" i="49"/>
  <c r="BY134" i="49"/>
  <c r="BX134" i="49"/>
  <c r="BW134" i="49"/>
  <c r="BV134" i="49"/>
  <c r="BU134" i="49"/>
  <c r="BT134" i="49"/>
  <c r="BS134" i="49"/>
  <c r="BR134" i="49"/>
  <c r="BQ134" i="49"/>
  <c r="BP134" i="49"/>
  <c r="BO134" i="49"/>
  <c r="BN134" i="49"/>
  <c r="BM134" i="49"/>
  <c r="BL134" i="49"/>
  <c r="BK134" i="49"/>
  <c r="BJ134" i="49"/>
  <c r="BI134" i="49"/>
  <c r="BH134" i="49"/>
  <c r="BG134" i="49"/>
  <c r="BF134" i="49"/>
  <c r="BE134" i="49"/>
  <c r="BD134" i="49"/>
  <c r="BC134" i="49"/>
  <c r="BB134" i="49"/>
  <c r="BA134" i="49"/>
  <c r="AZ134" i="49"/>
  <c r="AY134" i="49"/>
  <c r="AX134" i="49"/>
  <c r="AW134" i="49"/>
  <c r="AV134" i="49"/>
  <c r="AU134" i="49"/>
  <c r="AT134" i="49"/>
  <c r="AS134" i="49"/>
  <c r="CC133" i="49"/>
  <c r="CB133" i="49"/>
  <c r="CA133" i="49"/>
  <c r="BZ133" i="49"/>
  <c r="BY133" i="49"/>
  <c r="BX133" i="49"/>
  <c r="BW133" i="49"/>
  <c r="BV133" i="49"/>
  <c r="BU133" i="49"/>
  <c r="BT133" i="49"/>
  <c r="BS133" i="49"/>
  <c r="BR133" i="49"/>
  <c r="BQ133" i="49"/>
  <c r="BP133" i="49"/>
  <c r="BO133" i="49"/>
  <c r="BN133" i="49"/>
  <c r="BM133" i="49"/>
  <c r="BL133" i="49"/>
  <c r="BK133" i="49"/>
  <c r="BJ133" i="49"/>
  <c r="BI133" i="49"/>
  <c r="BH133" i="49"/>
  <c r="BG133" i="49"/>
  <c r="BF133" i="49"/>
  <c r="BE133" i="49"/>
  <c r="BD133" i="49"/>
  <c r="BC133" i="49"/>
  <c r="BB133" i="49"/>
  <c r="BA133" i="49"/>
  <c r="AZ133" i="49"/>
  <c r="AY133" i="49"/>
  <c r="AX133" i="49"/>
  <c r="AW133" i="49"/>
  <c r="AV133" i="49"/>
  <c r="AU133" i="49"/>
  <c r="AT133" i="49"/>
  <c r="AS133" i="49"/>
  <c r="Y133" i="49"/>
  <c r="X133" i="49"/>
  <c r="W133" i="49"/>
  <c r="V133" i="49"/>
  <c r="U133" i="49"/>
  <c r="T133" i="49"/>
  <c r="N133" i="49"/>
  <c r="M133" i="49"/>
  <c r="L133" i="49"/>
  <c r="K133" i="49"/>
  <c r="J133" i="49"/>
  <c r="I133" i="49"/>
  <c r="H133" i="49"/>
  <c r="G133" i="49"/>
  <c r="CC132" i="49"/>
  <c r="CB132" i="49"/>
  <c r="CA132" i="49"/>
  <c r="BZ132" i="49"/>
  <c r="BY132" i="49"/>
  <c r="BX132" i="49"/>
  <c r="BW132" i="49"/>
  <c r="BV132" i="49"/>
  <c r="BU132" i="49"/>
  <c r="BT132" i="49"/>
  <c r="BS132" i="49"/>
  <c r="BR132" i="49"/>
  <c r="BQ132" i="49"/>
  <c r="BP132" i="49"/>
  <c r="BO132" i="49"/>
  <c r="BN132" i="49"/>
  <c r="BM132" i="49"/>
  <c r="BL132" i="49"/>
  <c r="BK132" i="49"/>
  <c r="BJ132" i="49"/>
  <c r="BI132" i="49"/>
  <c r="BH132" i="49"/>
  <c r="BG132" i="49"/>
  <c r="BF132" i="49"/>
  <c r="BE132" i="49"/>
  <c r="BD132" i="49"/>
  <c r="BC132" i="49"/>
  <c r="BB132" i="49"/>
  <c r="BA132" i="49"/>
  <c r="AZ132" i="49"/>
  <c r="AY132" i="49"/>
  <c r="AX132" i="49"/>
  <c r="AW132" i="49"/>
  <c r="AV132" i="49"/>
  <c r="AU132" i="49"/>
  <c r="AT132" i="49"/>
  <c r="AS132" i="49"/>
  <c r="Y132" i="49"/>
  <c r="X132" i="49"/>
  <c r="W132" i="49"/>
  <c r="V132" i="49"/>
  <c r="U132" i="49"/>
  <c r="T132" i="49"/>
  <c r="N132" i="49"/>
  <c r="M132" i="49"/>
  <c r="L132" i="49"/>
  <c r="K132" i="49"/>
  <c r="J132" i="49"/>
  <c r="I132" i="49"/>
  <c r="H132" i="49"/>
  <c r="G132" i="49"/>
  <c r="CC131" i="49"/>
  <c r="CB131" i="49"/>
  <c r="CA131" i="49"/>
  <c r="BZ131" i="49"/>
  <c r="BY131" i="49"/>
  <c r="BX131" i="49"/>
  <c r="BW131" i="49"/>
  <c r="BV131" i="49"/>
  <c r="BU131" i="49"/>
  <c r="BT131" i="49"/>
  <c r="BS131" i="49"/>
  <c r="BR131" i="49"/>
  <c r="BQ131" i="49"/>
  <c r="BP131" i="49"/>
  <c r="BO131" i="49"/>
  <c r="BN131" i="49"/>
  <c r="BM131" i="49"/>
  <c r="BL131" i="49"/>
  <c r="BK131" i="49"/>
  <c r="BJ131" i="49"/>
  <c r="BI131" i="49"/>
  <c r="BH131" i="49"/>
  <c r="BG131" i="49"/>
  <c r="BF131" i="49"/>
  <c r="BE131" i="49"/>
  <c r="BD131" i="49"/>
  <c r="BC131" i="49"/>
  <c r="BB131" i="49"/>
  <c r="BA131" i="49"/>
  <c r="AZ131" i="49"/>
  <c r="AY131" i="49"/>
  <c r="AX131" i="49"/>
  <c r="AW131" i="49"/>
  <c r="AV131" i="49"/>
  <c r="AU131" i="49"/>
  <c r="AT131" i="49"/>
  <c r="AS131" i="49"/>
  <c r="Y131" i="49"/>
  <c r="X131" i="49"/>
  <c r="W131" i="49"/>
  <c r="V131" i="49"/>
  <c r="U131" i="49"/>
  <c r="T131" i="49"/>
  <c r="N131" i="49"/>
  <c r="M131" i="49"/>
  <c r="L131" i="49"/>
  <c r="K131" i="49"/>
  <c r="J131" i="49"/>
  <c r="I131" i="49"/>
  <c r="H131" i="49"/>
  <c r="G131" i="49"/>
  <c r="CC130" i="49"/>
  <c r="CB130" i="49"/>
  <c r="CA130" i="49"/>
  <c r="BZ130" i="49"/>
  <c r="BY130" i="49"/>
  <c r="BX130" i="49"/>
  <c r="BW130" i="49"/>
  <c r="BV130" i="49"/>
  <c r="BU130" i="49"/>
  <c r="BT130" i="49"/>
  <c r="BS130" i="49"/>
  <c r="BR130" i="49"/>
  <c r="BQ130" i="49"/>
  <c r="BP130" i="49"/>
  <c r="BO130" i="49"/>
  <c r="BN130" i="49"/>
  <c r="BM130" i="49"/>
  <c r="BL130" i="49"/>
  <c r="BK130" i="49"/>
  <c r="BJ130" i="49"/>
  <c r="BI130" i="49"/>
  <c r="BH130" i="49"/>
  <c r="BG130" i="49"/>
  <c r="BF130" i="49"/>
  <c r="BE130" i="49"/>
  <c r="BD130" i="49"/>
  <c r="BC130" i="49"/>
  <c r="BB130" i="49"/>
  <c r="BA130" i="49"/>
  <c r="AZ130" i="49"/>
  <c r="AY130" i="49"/>
  <c r="AX130" i="49"/>
  <c r="AW130" i="49"/>
  <c r="AV130" i="49"/>
  <c r="AU130" i="49"/>
  <c r="AT130" i="49"/>
  <c r="AS130" i="49"/>
  <c r="Y130" i="49"/>
  <c r="X130" i="49"/>
  <c r="W130" i="49"/>
  <c r="V130" i="49"/>
  <c r="U130" i="49"/>
  <c r="T130" i="49"/>
  <c r="N130" i="49"/>
  <c r="M130" i="49"/>
  <c r="L130" i="49"/>
  <c r="K130" i="49"/>
  <c r="J130" i="49"/>
  <c r="I130" i="49"/>
  <c r="H130" i="49"/>
  <c r="G130" i="49"/>
  <c r="CC129" i="49"/>
  <c r="CB129" i="49"/>
  <c r="CA129" i="49"/>
  <c r="BZ129" i="49"/>
  <c r="BY129" i="49"/>
  <c r="BX129" i="49"/>
  <c r="BW129" i="49"/>
  <c r="BV129" i="49"/>
  <c r="BU129" i="49"/>
  <c r="BT129" i="49"/>
  <c r="BS129" i="49"/>
  <c r="BR129" i="49"/>
  <c r="BQ129" i="49"/>
  <c r="BP129" i="49"/>
  <c r="BO129" i="49"/>
  <c r="BN129" i="49"/>
  <c r="BM129" i="49"/>
  <c r="BL129" i="49"/>
  <c r="BK129" i="49"/>
  <c r="BJ129" i="49"/>
  <c r="BI129" i="49"/>
  <c r="BH129" i="49"/>
  <c r="BG129" i="49"/>
  <c r="BF129" i="49"/>
  <c r="BE129" i="49"/>
  <c r="BD129" i="49"/>
  <c r="BC129" i="49"/>
  <c r="BB129" i="49"/>
  <c r="BA129" i="49"/>
  <c r="AZ129" i="49"/>
  <c r="AY129" i="49"/>
  <c r="AX129" i="49"/>
  <c r="AW129" i="49"/>
  <c r="AV129" i="49"/>
  <c r="AU129" i="49"/>
  <c r="AT129" i="49"/>
  <c r="AS129" i="49"/>
  <c r="Y129" i="49"/>
  <c r="X129" i="49"/>
  <c r="W129" i="49"/>
  <c r="V129" i="49"/>
  <c r="U129" i="49"/>
  <c r="T129" i="49"/>
  <c r="N129" i="49"/>
  <c r="M129" i="49"/>
  <c r="L129" i="49"/>
  <c r="K129" i="49"/>
  <c r="J129" i="49"/>
  <c r="I129" i="49"/>
  <c r="H129" i="49"/>
  <c r="G129" i="49"/>
  <c r="CC128" i="49"/>
  <c r="CB128" i="49"/>
  <c r="CA128" i="49"/>
  <c r="BZ128" i="49"/>
  <c r="BY128" i="49"/>
  <c r="BX128" i="49"/>
  <c r="BW128" i="49"/>
  <c r="BV128" i="49"/>
  <c r="BU128" i="49"/>
  <c r="BT128" i="49"/>
  <c r="BS128" i="49"/>
  <c r="BR128" i="49"/>
  <c r="BQ128" i="49"/>
  <c r="BP128" i="49"/>
  <c r="BO128" i="49"/>
  <c r="BN128" i="49"/>
  <c r="BM128" i="49"/>
  <c r="BL128" i="49"/>
  <c r="BK128" i="49"/>
  <c r="BJ128" i="49"/>
  <c r="BI128" i="49"/>
  <c r="BH128" i="49"/>
  <c r="BG128" i="49"/>
  <c r="BF128" i="49"/>
  <c r="BE128" i="49"/>
  <c r="BD128" i="49"/>
  <c r="BC128" i="49"/>
  <c r="BB128" i="49"/>
  <c r="BA128" i="49"/>
  <c r="AZ128" i="49"/>
  <c r="AY128" i="49"/>
  <c r="AX128" i="49"/>
  <c r="AW128" i="49"/>
  <c r="AV128" i="49"/>
  <c r="AU128" i="49"/>
  <c r="AT128" i="49"/>
  <c r="AS128" i="49"/>
  <c r="CC127" i="49"/>
  <c r="CB127" i="49"/>
  <c r="CA127" i="49"/>
  <c r="BZ127" i="49"/>
  <c r="BY127" i="49"/>
  <c r="BX127" i="49"/>
  <c r="BW127" i="49"/>
  <c r="BV127" i="49"/>
  <c r="BU127" i="49"/>
  <c r="BT127" i="49"/>
  <c r="BS127" i="49"/>
  <c r="BR127" i="49"/>
  <c r="BQ127" i="49"/>
  <c r="BP127" i="49"/>
  <c r="BO127" i="49"/>
  <c r="BN127" i="49"/>
  <c r="BM127" i="49"/>
  <c r="BL127" i="49"/>
  <c r="BK127" i="49"/>
  <c r="BJ127" i="49"/>
  <c r="BI127" i="49"/>
  <c r="BH127" i="49"/>
  <c r="BG127" i="49"/>
  <c r="BF127" i="49"/>
  <c r="BE127" i="49"/>
  <c r="BD127" i="49"/>
  <c r="BC127" i="49"/>
  <c r="BB127" i="49"/>
  <c r="BA127" i="49"/>
  <c r="AZ127" i="49"/>
  <c r="AY127" i="49"/>
  <c r="AX127" i="49"/>
  <c r="AW127" i="49"/>
  <c r="AV127" i="49"/>
  <c r="AU127" i="49"/>
  <c r="AT127" i="49"/>
  <c r="AS127" i="49"/>
  <c r="CC126" i="49"/>
  <c r="CB126" i="49"/>
  <c r="CA126" i="49"/>
  <c r="BZ126" i="49"/>
  <c r="BY126" i="49"/>
  <c r="BX126" i="49"/>
  <c r="BW126" i="49"/>
  <c r="BV126" i="49"/>
  <c r="BU126" i="49"/>
  <c r="BT126" i="49"/>
  <c r="BS126" i="49"/>
  <c r="BR126" i="49"/>
  <c r="BQ126" i="49"/>
  <c r="BP126" i="49"/>
  <c r="BO126" i="49"/>
  <c r="BN126" i="49"/>
  <c r="BM126" i="49"/>
  <c r="BL126" i="49"/>
  <c r="BK126" i="49"/>
  <c r="BJ126" i="49"/>
  <c r="BI126" i="49"/>
  <c r="BH126" i="49"/>
  <c r="BG126" i="49"/>
  <c r="BF126" i="49"/>
  <c r="BE126" i="49"/>
  <c r="BD126" i="49"/>
  <c r="BC126" i="49"/>
  <c r="BB126" i="49"/>
  <c r="BA126" i="49"/>
  <c r="AZ126" i="49"/>
  <c r="AY126" i="49"/>
  <c r="AX126" i="49"/>
  <c r="AW126" i="49"/>
  <c r="AV126" i="49"/>
  <c r="AU126" i="49"/>
  <c r="AT126" i="49"/>
  <c r="AS126" i="49"/>
  <c r="CC125" i="49"/>
  <c r="CB125" i="49"/>
  <c r="CA125" i="49"/>
  <c r="BZ125" i="49"/>
  <c r="BY125" i="49"/>
  <c r="BX125" i="49"/>
  <c r="BW125" i="49"/>
  <c r="BV125" i="49"/>
  <c r="BU125" i="49"/>
  <c r="BT125" i="49"/>
  <c r="BS125" i="49"/>
  <c r="BR125" i="49"/>
  <c r="BQ125" i="49"/>
  <c r="BP125" i="49"/>
  <c r="BO125" i="49"/>
  <c r="BN125" i="49"/>
  <c r="BM125" i="49"/>
  <c r="BL125" i="49"/>
  <c r="BK125" i="49"/>
  <c r="BJ125" i="49"/>
  <c r="BI125" i="49"/>
  <c r="BH125" i="49"/>
  <c r="BG125" i="49"/>
  <c r="BF125" i="49"/>
  <c r="BE125" i="49"/>
  <c r="BD125" i="49"/>
  <c r="BC125" i="49"/>
  <c r="BB125" i="49"/>
  <c r="BA125" i="49"/>
  <c r="AZ125" i="49"/>
  <c r="AY125" i="49"/>
  <c r="AX125" i="49"/>
  <c r="AW125" i="49"/>
  <c r="AV125" i="49"/>
  <c r="AU125" i="49"/>
  <c r="AT125" i="49"/>
  <c r="AS125" i="49"/>
  <c r="CC124" i="49"/>
  <c r="CB124" i="49"/>
  <c r="CA124" i="49"/>
  <c r="BZ124" i="49"/>
  <c r="BY124" i="49"/>
  <c r="BX124" i="49"/>
  <c r="BW124" i="49"/>
  <c r="BV124" i="49"/>
  <c r="BU124" i="49"/>
  <c r="BT124" i="49"/>
  <c r="BS124" i="49"/>
  <c r="BR124" i="49"/>
  <c r="BQ124" i="49"/>
  <c r="BP124" i="49"/>
  <c r="BO124" i="49"/>
  <c r="BN124" i="49"/>
  <c r="BM124" i="49"/>
  <c r="BL124" i="49"/>
  <c r="BK124" i="49"/>
  <c r="BJ124" i="49"/>
  <c r="BI124" i="49"/>
  <c r="BH124" i="49"/>
  <c r="BG124" i="49"/>
  <c r="BF124" i="49"/>
  <c r="BE124" i="49"/>
  <c r="BD124" i="49"/>
  <c r="BC124" i="49"/>
  <c r="BB124" i="49"/>
  <c r="BA124" i="49"/>
  <c r="AZ124" i="49"/>
  <c r="AY124" i="49"/>
  <c r="AX124" i="49"/>
  <c r="AW124" i="49"/>
  <c r="AV124" i="49"/>
  <c r="AU124" i="49"/>
  <c r="AT124" i="49"/>
  <c r="AS124" i="49"/>
  <c r="CC123" i="49"/>
  <c r="CB123" i="49"/>
  <c r="CA123" i="49"/>
  <c r="BZ123" i="49"/>
  <c r="BY123" i="49"/>
  <c r="BX123" i="49"/>
  <c r="BW123" i="49"/>
  <c r="BV123" i="49"/>
  <c r="BU123" i="49"/>
  <c r="BT123" i="49"/>
  <c r="BS123" i="49"/>
  <c r="BR123" i="49"/>
  <c r="BQ123" i="49"/>
  <c r="BP123" i="49"/>
  <c r="BO123" i="49"/>
  <c r="BN123" i="49"/>
  <c r="BM123" i="49"/>
  <c r="BL123" i="49"/>
  <c r="BK123" i="49"/>
  <c r="BJ123" i="49"/>
  <c r="BI123" i="49"/>
  <c r="BH123" i="49"/>
  <c r="BG123" i="49"/>
  <c r="BF123" i="49"/>
  <c r="BE123" i="49"/>
  <c r="BD123" i="49"/>
  <c r="BC123" i="49"/>
  <c r="BB123" i="49"/>
  <c r="BA123" i="49"/>
  <c r="AZ123" i="49"/>
  <c r="AY123" i="49"/>
  <c r="AX123" i="49"/>
  <c r="AW123" i="49"/>
  <c r="AV123" i="49"/>
  <c r="AU123" i="49"/>
  <c r="AT123" i="49"/>
  <c r="AS123" i="49"/>
  <c r="CC122" i="49"/>
  <c r="CB122" i="49"/>
  <c r="CA122" i="49"/>
  <c r="BZ122" i="49"/>
  <c r="BY122" i="49"/>
  <c r="BX122" i="49"/>
  <c r="BW122" i="49"/>
  <c r="BV122" i="49"/>
  <c r="BU122" i="49"/>
  <c r="BT122" i="49"/>
  <c r="BS122" i="49"/>
  <c r="BR122" i="49"/>
  <c r="BQ122" i="49"/>
  <c r="BP122" i="49"/>
  <c r="BO122" i="49"/>
  <c r="BN122" i="49"/>
  <c r="BM122" i="49"/>
  <c r="BL122" i="49"/>
  <c r="BK122" i="49"/>
  <c r="BJ122" i="49"/>
  <c r="BI122" i="49"/>
  <c r="BH122" i="49"/>
  <c r="BG122" i="49"/>
  <c r="BF122" i="49"/>
  <c r="BE122" i="49"/>
  <c r="BD122" i="49"/>
  <c r="BC122" i="49"/>
  <c r="BB122" i="49"/>
  <c r="BA122" i="49"/>
  <c r="AZ122" i="49"/>
  <c r="AY122" i="49"/>
  <c r="AX122" i="49"/>
  <c r="AW122" i="49"/>
  <c r="AV122" i="49"/>
  <c r="AU122" i="49"/>
  <c r="AT122" i="49"/>
  <c r="AS122" i="49"/>
  <c r="CC121" i="49"/>
  <c r="CB121" i="49"/>
  <c r="CA121" i="49"/>
  <c r="BZ121" i="49"/>
  <c r="BY121" i="49"/>
  <c r="BX121" i="49"/>
  <c r="BW121" i="49"/>
  <c r="BV121" i="49"/>
  <c r="BU121" i="49"/>
  <c r="BT121" i="49"/>
  <c r="BS121" i="49"/>
  <c r="BR121" i="49"/>
  <c r="BQ121" i="49"/>
  <c r="BP121" i="49"/>
  <c r="BO121" i="49"/>
  <c r="BN121" i="49"/>
  <c r="BM121" i="49"/>
  <c r="BL121" i="49"/>
  <c r="BK121" i="49"/>
  <c r="BJ121" i="49"/>
  <c r="BI121" i="49"/>
  <c r="BH121" i="49"/>
  <c r="BG121" i="49"/>
  <c r="BF121" i="49"/>
  <c r="BE121" i="49"/>
  <c r="BD121" i="49"/>
  <c r="BC121" i="49"/>
  <c r="BB121" i="49"/>
  <c r="BA121" i="49"/>
  <c r="AZ121" i="49"/>
  <c r="AY121" i="49"/>
  <c r="AX121" i="49"/>
  <c r="AW121" i="49"/>
  <c r="AV121" i="49"/>
  <c r="AU121" i="49"/>
  <c r="AT121" i="49"/>
  <c r="AS121" i="49"/>
  <c r="CC120" i="49"/>
  <c r="CB120" i="49"/>
  <c r="CA120" i="49"/>
  <c r="BZ120" i="49"/>
  <c r="BY120" i="49"/>
  <c r="BX120" i="49"/>
  <c r="BW120" i="49"/>
  <c r="BV120" i="49"/>
  <c r="BU120" i="49"/>
  <c r="BT120" i="49"/>
  <c r="BS120" i="49"/>
  <c r="BR120" i="49"/>
  <c r="BQ120" i="49"/>
  <c r="BP120" i="49"/>
  <c r="BO120" i="49"/>
  <c r="BN120" i="49"/>
  <c r="BM120" i="49"/>
  <c r="BL120" i="49"/>
  <c r="BK120" i="49"/>
  <c r="BJ120" i="49"/>
  <c r="BI120" i="49"/>
  <c r="BH120" i="49"/>
  <c r="BG120" i="49"/>
  <c r="BF120" i="49"/>
  <c r="BE120" i="49"/>
  <c r="BD120" i="49"/>
  <c r="BC120" i="49"/>
  <c r="BB120" i="49"/>
  <c r="BA120" i="49"/>
  <c r="AZ120" i="49"/>
  <c r="AY120" i="49"/>
  <c r="AX120" i="49"/>
  <c r="AW120" i="49"/>
  <c r="AV120" i="49"/>
  <c r="AU120" i="49"/>
  <c r="AT120" i="49"/>
  <c r="AS120" i="49"/>
  <c r="CC119" i="49"/>
  <c r="CB119" i="49"/>
  <c r="CA119" i="49"/>
  <c r="BZ119" i="49"/>
  <c r="BY119" i="49"/>
  <c r="BX119" i="49"/>
  <c r="BW119" i="49"/>
  <c r="BV119" i="49"/>
  <c r="BU119" i="49"/>
  <c r="BT119" i="49"/>
  <c r="BS119" i="49"/>
  <c r="BR119" i="49"/>
  <c r="BQ119" i="49"/>
  <c r="BP119" i="49"/>
  <c r="BO119" i="49"/>
  <c r="BN119" i="49"/>
  <c r="BM119" i="49"/>
  <c r="BL119" i="49"/>
  <c r="BK119" i="49"/>
  <c r="BJ119" i="49"/>
  <c r="BI119" i="49"/>
  <c r="BH119" i="49"/>
  <c r="BG119" i="49"/>
  <c r="BF119" i="49"/>
  <c r="BE119" i="49"/>
  <c r="BD119" i="49"/>
  <c r="BC119" i="49"/>
  <c r="BB119" i="49"/>
  <c r="BA119" i="49"/>
  <c r="AZ119" i="49"/>
  <c r="AY119" i="49"/>
  <c r="AX119" i="49"/>
  <c r="AW119" i="49"/>
  <c r="AV119" i="49"/>
  <c r="AU119" i="49"/>
  <c r="AT119" i="49"/>
  <c r="AS119" i="49"/>
  <c r="CC118" i="49"/>
  <c r="CB118" i="49"/>
  <c r="CA118" i="49"/>
  <c r="BZ118" i="49"/>
  <c r="BY118" i="49"/>
  <c r="BX118" i="49"/>
  <c r="BW118" i="49"/>
  <c r="BV118" i="49"/>
  <c r="BU118" i="49"/>
  <c r="BT118" i="49"/>
  <c r="BS118" i="49"/>
  <c r="BR118" i="49"/>
  <c r="BQ118" i="49"/>
  <c r="BP118" i="49"/>
  <c r="BO118" i="49"/>
  <c r="BN118" i="49"/>
  <c r="BM118" i="49"/>
  <c r="BL118" i="49"/>
  <c r="BK118" i="49"/>
  <c r="BJ118" i="49"/>
  <c r="BI118" i="49"/>
  <c r="BH118" i="49"/>
  <c r="BG118" i="49"/>
  <c r="BF118" i="49"/>
  <c r="BE118" i="49"/>
  <c r="BD118" i="49"/>
  <c r="BC118" i="49"/>
  <c r="BB118" i="49"/>
  <c r="BA118" i="49"/>
  <c r="AZ118" i="49"/>
  <c r="AY118" i="49"/>
  <c r="AX118" i="49"/>
  <c r="AW118" i="49"/>
  <c r="AV118" i="49"/>
  <c r="AU118" i="49"/>
  <c r="AT118" i="49"/>
  <c r="AS118" i="49"/>
  <c r="CC117" i="49"/>
  <c r="CB117" i="49"/>
  <c r="CA117" i="49"/>
  <c r="BZ117" i="49"/>
  <c r="BY117" i="49"/>
  <c r="BX117" i="49"/>
  <c r="BW117" i="49"/>
  <c r="BV117" i="49"/>
  <c r="BU117" i="49"/>
  <c r="BT117" i="49"/>
  <c r="BS117" i="49"/>
  <c r="BR117" i="49"/>
  <c r="BQ117" i="49"/>
  <c r="BP117" i="49"/>
  <c r="BO117" i="49"/>
  <c r="BN117" i="49"/>
  <c r="BM117" i="49"/>
  <c r="BL117" i="49"/>
  <c r="BK117" i="49"/>
  <c r="BJ117" i="49"/>
  <c r="BI117" i="49"/>
  <c r="BH117" i="49"/>
  <c r="BG117" i="49"/>
  <c r="BF117" i="49"/>
  <c r="BE117" i="49"/>
  <c r="BD117" i="49"/>
  <c r="BC117" i="49"/>
  <c r="BB117" i="49"/>
  <c r="BA117" i="49"/>
  <c r="AZ117" i="49"/>
  <c r="AY117" i="49"/>
  <c r="AX117" i="49"/>
  <c r="AW117" i="49"/>
  <c r="AV117" i="49"/>
  <c r="AU117" i="49"/>
  <c r="AT117" i="49"/>
  <c r="AS117" i="49"/>
  <c r="CC116" i="49"/>
  <c r="CB116" i="49"/>
  <c r="CA116" i="49"/>
  <c r="BZ116" i="49"/>
  <c r="BY116" i="49"/>
  <c r="BX116" i="49"/>
  <c r="BW116" i="49"/>
  <c r="BV116" i="49"/>
  <c r="BU116" i="49"/>
  <c r="BT116" i="49"/>
  <c r="BS116" i="49"/>
  <c r="BR116" i="49"/>
  <c r="BQ116" i="49"/>
  <c r="BP116" i="49"/>
  <c r="BO116" i="49"/>
  <c r="BN116" i="49"/>
  <c r="BM116" i="49"/>
  <c r="BL116" i="49"/>
  <c r="BK116" i="49"/>
  <c r="BJ116" i="49"/>
  <c r="BI116" i="49"/>
  <c r="BH116" i="49"/>
  <c r="BG116" i="49"/>
  <c r="BF116" i="49"/>
  <c r="BE116" i="49"/>
  <c r="BD116" i="49"/>
  <c r="BC116" i="49"/>
  <c r="BB116" i="49"/>
  <c r="BA116" i="49"/>
  <c r="AZ116" i="49"/>
  <c r="AY116" i="49"/>
  <c r="AX116" i="49"/>
  <c r="AW116" i="49"/>
  <c r="AV116" i="49"/>
  <c r="AU116" i="49"/>
  <c r="AT116" i="49"/>
  <c r="AS116" i="49"/>
  <c r="CC115" i="49"/>
  <c r="CB115" i="49"/>
  <c r="CA115" i="49"/>
  <c r="BZ115" i="49"/>
  <c r="BY115" i="49"/>
  <c r="BX115" i="49"/>
  <c r="BW115" i="49"/>
  <c r="BV115" i="49"/>
  <c r="BU115" i="49"/>
  <c r="BT115" i="49"/>
  <c r="BS115" i="49"/>
  <c r="BR115" i="49"/>
  <c r="BQ115" i="49"/>
  <c r="BP115" i="49"/>
  <c r="BO115" i="49"/>
  <c r="BN115" i="49"/>
  <c r="BM115" i="49"/>
  <c r="BL115" i="49"/>
  <c r="BK115" i="49"/>
  <c r="BJ115" i="49"/>
  <c r="BI115" i="49"/>
  <c r="BH115" i="49"/>
  <c r="BG115" i="49"/>
  <c r="BF115" i="49"/>
  <c r="BE115" i="49"/>
  <c r="BD115" i="49"/>
  <c r="BC115" i="49"/>
  <c r="BB115" i="49"/>
  <c r="BA115" i="49"/>
  <c r="AZ115" i="49"/>
  <c r="AY115" i="49"/>
  <c r="AX115" i="49"/>
  <c r="AW115" i="49"/>
  <c r="AV115" i="49"/>
  <c r="AU115" i="49"/>
  <c r="AT115" i="49"/>
  <c r="AS115" i="49"/>
  <c r="CC114" i="49"/>
  <c r="CB114" i="49"/>
  <c r="CA114" i="49"/>
  <c r="BZ114" i="49"/>
  <c r="BY114" i="49"/>
  <c r="BX114" i="49"/>
  <c r="BW114" i="49"/>
  <c r="BV114" i="49"/>
  <c r="BU114" i="49"/>
  <c r="BT114" i="49"/>
  <c r="BS114" i="49"/>
  <c r="BR114" i="49"/>
  <c r="BQ114" i="49"/>
  <c r="BP114" i="49"/>
  <c r="BO114" i="49"/>
  <c r="BN114" i="49"/>
  <c r="BM114" i="49"/>
  <c r="BL114" i="49"/>
  <c r="BK114" i="49"/>
  <c r="BJ114" i="49"/>
  <c r="BI114" i="49"/>
  <c r="BH114" i="49"/>
  <c r="BG114" i="49"/>
  <c r="BF114" i="49"/>
  <c r="BE114" i="49"/>
  <c r="BD114" i="49"/>
  <c r="BC114" i="49"/>
  <c r="BB114" i="49"/>
  <c r="BA114" i="49"/>
  <c r="AZ114" i="49"/>
  <c r="AY114" i="49"/>
  <c r="AX114" i="49"/>
  <c r="AW114" i="49"/>
  <c r="AV114" i="49"/>
  <c r="AU114" i="49"/>
  <c r="AT114" i="49"/>
  <c r="AS114" i="49"/>
  <c r="CC113" i="49"/>
  <c r="CB113" i="49"/>
  <c r="CA113" i="49"/>
  <c r="BZ113" i="49"/>
  <c r="BY113" i="49"/>
  <c r="BX113" i="49"/>
  <c r="BW113" i="49"/>
  <c r="BV113" i="49"/>
  <c r="BU113" i="49"/>
  <c r="BT113" i="49"/>
  <c r="BS113" i="49"/>
  <c r="BR113" i="49"/>
  <c r="BQ113" i="49"/>
  <c r="BP113" i="49"/>
  <c r="BO113" i="49"/>
  <c r="BN113" i="49"/>
  <c r="BM113" i="49"/>
  <c r="BL113" i="49"/>
  <c r="BK113" i="49"/>
  <c r="BJ113" i="49"/>
  <c r="BI113" i="49"/>
  <c r="BH113" i="49"/>
  <c r="BG113" i="49"/>
  <c r="BF113" i="49"/>
  <c r="BE113" i="49"/>
  <c r="BD113" i="49"/>
  <c r="BC113" i="49"/>
  <c r="BB113" i="49"/>
  <c r="BA113" i="49"/>
  <c r="AZ113" i="49"/>
  <c r="AY113" i="49"/>
  <c r="AX113" i="49"/>
  <c r="AW113" i="49"/>
  <c r="AV113" i="49"/>
  <c r="AU113" i="49"/>
  <c r="AT113" i="49"/>
  <c r="AS113" i="49"/>
  <c r="CC112" i="49"/>
  <c r="CB112" i="49"/>
  <c r="CA112" i="49"/>
  <c r="BZ112" i="49"/>
  <c r="BY112" i="49"/>
  <c r="BX112" i="49"/>
  <c r="BW112" i="49"/>
  <c r="BV112" i="49"/>
  <c r="BU112" i="49"/>
  <c r="BT112" i="49"/>
  <c r="BS112" i="49"/>
  <c r="BR112" i="49"/>
  <c r="BQ112" i="49"/>
  <c r="BP112" i="49"/>
  <c r="BO112" i="49"/>
  <c r="BN112" i="49"/>
  <c r="BM112" i="49"/>
  <c r="BL112" i="49"/>
  <c r="BK112" i="49"/>
  <c r="BJ112" i="49"/>
  <c r="BI112" i="49"/>
  <c r="BH112" i="49"/>
  <c r="BG112" i="49"/>
  <c r="BF112" i="49"/>
  <c r="BE112" i="49"/>
  <c r="BD112" i="49"/>
  <c r="BC112" i="49"/>
  <c r="BB112" i="49"/>
  <c r="BA112" i="49"/>
  <c r="AZ112" i="49"/>
  <c r="AY112" i="49"/>
  <c r="AX112" i="49"/>
  <c r="AW112" i="49"/>
  <c r="AV112" i="49"/>
  <c r="AU112" i="49"/>
  <c r="AT112" i="49"/>
  <c r="AS112" i="49"/>
  <c r="CC111" i="49"/>
  <c r="CB111" i="49"/>
  <c r="CA111" i="49"/>
  <c r="BZ111" i="49"/>
  <c r="BY111" i="49"/>
  <c r="BX111" i="49"/>
  <c r="BW111" i="49"/>
  <c r="BV111" i="49"/>
  <c r="BU111" i="49"/>
  <c r="BT111" i="49"/>
  <c r="BS111" i="49"/>
  <c r="BR111" i="49"/>
  <c r="BQ111" i="49"/>
  <c r="BP111" i="49"/>
  <c r="BO111" i="49"/>
  <c r="BN111" i="49"/>
  <c r="BM111" i="49"/>
  <c r="BL111" i="49"/>
  <c r="BK111" i="49"/>
  <c r="BJ111" i="49"/>
  <c r="BI111" i="49"/>
  <c r="BH111" i="49"/>
  <c r="BG111" i="49"/>
  <c r="BF111" i="49"/>
  <c r="BE111" i="49"/>
  <c r="BD111" i="49"/>
  <c r="BC111" i="49"/>
  <c r="BB111" i="49"/>
  <c r="BA111" i="49"/>
  <c r="AZ111" i="49"/>
  <c r="AY111" i="49"/>
  <c r="AX111" i="49"/>
  <c r="AW111" i="49"/>
  <c r="AV111" i="49"/>
  <c r="AU111" i="49"/>
  <c r="AT111" i="49"/>
  <c r="AS111" i="49"/>
  <c r="CC110" i="49"/>
  <c r="CB110" i="49"/>
  <c r="CA110" i="49"/>
  <c r="BZ110" i="49"/>
  <c r="BY110" i="49"/>
  <c r="BX110" i="49"/>
  <c r="BW110" i="49"/>
  <c r="BV110" i="49"/>
  <c r="BU110" i="49"/>
  <c r="BT110" i="49"/>
  <c r="BS110" i="49"/>
  <c r="BR110" i="49"/>
  <c r="BQ110" i="49"/>
  <c r="BP110" i="49"/>
  <c r="BO110" i="49"/>
  <c r="BN110" i="49"/>
  <c r="BM110" i="49"/>
  <c r="BL110" i="49"/>
  <c r="BK110" i="49"/>
  <c r="BJ110" i="49"/>
  <c r="BI110" i="49"/>
  <c r="BH110" i="49"/>
  <c r="BG110" i="49"/>
  <c r="BF110" i="49"/>
  <c r="BE110" i="49"/>
  <c r="BD110" i="49"/>
  <c r="BC110" i="49"/>
  <c r="BB110" i="49"/>
  <c r="BA110" i="49"/>
  <c r="AZ110" i="49"/>
  <c r="AY110" i="49"/>
  <c r="AX110" i="49"/>
  <c r="AW110" i="49"/>
  <c r="AV110" i="49"/>
  <c r="AU110" i="49"/>
  <c r="AT110" i="49"/>
  <c r="AS110" i="49"/>
  <c r="CC109" i="49"/>
  <c r="CB109" i="49"/>
  <c r="CA109" i="49"/>
  <c r="BZ109" i="49"/>
  <c r="BY109" i="49"/>
  <c r="BX109" i="49"/>
  <c r="BW109" i="49"/>
  <c r="BV109" i="49"/>
  <c r="BU109" i="49"/>
  <c r="BT109" i="49"/>
  <c r="BS109" i="49"/>
  <c r="BR109" i="49"/>
  <c r="BQ109" i="49"/>
  <c r="BP109" i="49"/>
  <c r="BO109" i="49"/>
  <c r="BN109" i="49"/>
  <c r="BM109" i="49"/>
  <c r="BL109" i="49"/>
  <c r="BK109" i="49"/>
  <c r="BJ109" i="49"/>
  <c r="BI109" i="49"/>
  <c r="BH109" i="49"/>
  <c r="BG109" i="49"/>
  <c r="BF109" i="49"/>
  <c r="BE109" i="49"/>
  <c r="BD109" i="49"/>
  <c r="BC109" i="49"/>
  <c r="BB109" i="49"/>
  <c r="BA109" i="49"/>
  <c r="AZ109" i="49"/>
  <c r="AY109" i="49"/>
  <c r="AX109" i="49"/>
  <c r="AW109" i="49"/>
  <c r="AV109" i="49"/>
  <c r="AU109" i="49"/>
  <c r="AT109" i="49"/>
  <c r="AS109" i="49"/>
  <c r="CC108" i="49"/>
  <c r="CB108" i="49"/>
  <c r="CA108" i="49"/>
  <c r="BZ108" i="49"/>
  <c r="BY108" i="49"/>
  <c r="BX108" i="49"/>
  <c r="BW108" i="49"/>
  <c r="BV108" i="49"/>
  <c r="BU108" i="49"/>
  <c r="BT108" i="49"/>
  <c r="BS108" i="49"/>
  <c r="BR108" i="49"/>
  <c r="BQ108" i="49"/>
  <c r="BP108" i="49"/>
  <c r="BO108" i="49"/>
  <c r="BN108" i="49"/>
  <c r="BM108" i="49"/>
  <c r="BL108" i="49"/>
  <c r="BK108" i="49"/>
  <c r="BJ108" i="49"/>
  <c r="BI108" i="49"/>
  <c r="BH108" i="49"/>
  <c r="BG108" i="49"/>
  <c r="BF108" i="49"/>
  <c r="BE108" i="49"/>
  <c r="BD108" i="49"/>
  <c r="BC108" i="49"/>
  <c r="BB108" i="49"/>
  <c r="BA108" i="49"/>
  <c r="AZ108" i="49"/>
  <c r="AY108" i="49"/>
  <c r="AX108" i="49"/>
  <c r="AW108" i="49"/>
  <c r="AV108" i="49"/>
  <c r="AU108" i="49"/>
  <c r="AT108" i="49"/>
  <c r="AS108" i="49"/>
  <c r="CC107" i="49"/>
  <c r="CB107" i="49"/>
  <c r="CA107" i="49"/>
  <c r="BZ107" i="49"/>
  <c r="BY107" i="49"/>
  <c r="BX107" i="49"/>
  <c r="BW107" i="49"/>
  <c r="BV107" i="49"/>
  <c r="BU107" i="49"/>
  <c r="BT107" i="49"/>
  <c r="BS107" i="49"/>
  <c r="BR107" i="49"/>
  <c r="BQ107" i="49"/>
  <c r="BP107" i="49"/>
  <c r="BO107" i="49"/>
  <c r="BN107" i="49"/>
  <c r="BM107" i="49"/>
  <c r="BL107" i="49"/>
  <c r="BK107" i="49"/>
  <c r="BJ107" i="49"/>
  <c r="BI107" i="49"/>
  <c r="BH107" i="49"/>
  <c r="BG107" i="49"/>
  <c r="BF107" i="49"/>
  <c r="BE107" i="49"/>
  <c r="BD107" i="49"/>
  <c r="BC107" i="49"/>
  <c r="BB107" i="49"/>
  <c r="BA107" i="49"/>
  <c r="AZ107" i="49"/>
  <c r="AY107" i="49"/>
  <c r="AX107" i="49"/>
  <c r="AW107" i="49"/>
  <c r="AV107" i="49"/>
  <c r="AU107" i="49"/>
  <c r="AT107" i="49"/>
  <c r="AS107" i="49"/>
  <c r="CC106" i="49"/>
  <c r="CB106" i="49"/>
  <c r="CA106" i="49"/>
  <c r="BZ106" i="49"/>
  <c r="BY106" i="49"/>
  <c r="BX106" i="49"/>
  <c r="BW106" i="49"/>
  <c r="BV106" i="49"/>
  <c r="BU106" i="49"/>
  <c r="BT106" i="49"/>
  <c r="BS106" i="49"/>
  <c r="BR106" i="49"/>
  <c r="BQ106" i="49"/>
  <c r="BP106" i="49"/>
  <c r="BO106" i="49"/>
  <c r="BN106" i="49"/>
  <c r="BM106" i="49"/>
  <c r="BL106" i="49"/>
  <c r="BK106" i="49"/>
  <c r="BJ106" i="49"/>
  <c r="BI106" i="49"/>
  <c r="BH106" i="49"/>
  <c r="BG106" i="49"/>
  <c r="BF106" i="49"/>
  <c r="BE106" i="49"/>
  <c r="BD106" i="49"/>
  <c r="BC106" i="49"/>
  <c r="BB106" i="49"/>
  <c r="BA106" i="49"/>
  <c r="AZ106" i="49"/>
  <c r="AY106" i="49"/>
  <c r="AX106" i="49"/>
  <c r="AW106" i="49"/>
  <c r="AV106" i="49"/>
  <c r="AU106" i="49"/>
  <c r="AT106" i="49"/>
  <c r="AS106" i="49"/>
  <c r="CC105" i="49"/>
  <c r="CB105" i="49"/>
  <c r="CA105" i="49"/>
  <c r="BZ105" i="49"/>
  <c r="BY105" i="49"/>
  <c r="BX105" i="49"/>
  <c r="BW105" i="49"/>
  <c r="BV105" i="49"/>
  <c r="BU105" i="49"/>
  <c r="BT105" i="49"/>
  <c r="BS105" i="49"/>
  <c r="BR105" i="49"/>
  <c r="BQ105" i="49"/>
  <c r="BP105" i="49"/>
  <c r="BO105" i="49"/>
  <c r="BN105" i="49"/>
  <c r="BM105" i="49"/>
  <c r="BL105" i="49"/>
  <c r="BK105" i="49"/>
  <c r="BJ105" i="49"/>
  <c r="BI105" i="49"/>
  <c r="BH105" i="49"/>
  <c r="BG105" i="49"/>
  <c r="BF105" i="49"/>
  <c r="BE105" i="49"/>
  <c r="BD105" i="49"/>
  <c r="BC105" i="49"/>
  <c r="BB105" i="49"/>
  <c r="BA105" i="49"/>
  <c r="AZ105" i="49"/>
  <c r="AY105" i="49"/>
  <c r="AX105" i="49"/>
  <c r="AW105" i="49"/>
  <c r="AV105" i="49"/>
  <c r="AU105" i="49"/>
  <c r="AT105" i="49"/>
  <c r="AS105" i="49"/>
  <c r="CC104" i="49"/>
  <c r="CB104" i="49"/>
  <c r="CA104" i="49"/>
  <c r="BZ104" i="49"/>
  <c r="BY104" i="49"/>
  <c r="BX104" i="49"/>
  <c r="BW104" i="49"/>
  <c r="BV104" i="49"/>
  <c r="BU104" i="49"/>
  <c r="BT104" i="49"/>
  <c r="BS104" i="49"/>
  <c r="BR104" i="49"/>
  <c r="BQ104" i="49"/>
  <c r="BP104" i="49"/>
  <c r="BO104" i="49"/>
  <c r="BN104" i="49"/>
  <c r="BM104" i="49"/>
  <c r="BL104" i="49"/>
  <c r="BK104" i="49"/>
  <c r="BJ104" i="49"/>
  <c r="BI104" i="49"/>
  <c r="BH104" i="49"/>
  <c r="BG104" i="49"/>
  <c r="BF104" i="49"/>
  <c r="BE104" i="49"/>
  <c r="BD104" i="49"/>
  <c r="BC104" i="49"/>
  <c r="BB104" i="49"/>
  <c r="BA104" i="49"/>
  <c r="AZ104" i="49"/>
  <c r="AY104" i="49"/>
  <c r="AX104" i="49"/>
  <c r="AW104" i="49"/>
  <c r="AV104" i="49"/>
  <c r="AU104" i="49"/>
  <c r="AT104" i="49"/>
  <c r="AS104" i="49"/>
  <c r="CC103" i="49"/>
  <c r="CB103" i="49"/>
  <c r="CA103" i="49"/>
  <c r="BZ103" i="49"/>
  <c r="BY103" i="49"/>
  <c r="BX103" i="49"/>
  <c r="BW103" i="49"/>
  <c r="BV103" i="49"/>
  <c r="BU103" i="49"/>
  <c r="BT103" i="49"/>
  <c r="BS103" i="49"/>
  <c r="BR103" i="49"/>
  <c r="BQ103" i="49"/>
  <c r="BP103" i="49"/>
  <c r="BO103" i="49"/>
  <c r="BN103" i="49"/>
  <c r="BM103" i="49"/>
  <c r="BL103" i="49"/>
  <c r="BK103" i="49"/>
  <c r="BJ103" i="49"/>
  <c r="BI103" i="49"/>
  <c r="BH103" i="49"/>
  <c r="BG103" i="49"/>
  <c r="BF103" i="49"/>
  <c r="BE103" i="49"/>
  <c r="BD103" i="49"/>
  <c r="BC103" i="49"/>
  <c r="BB103" i="49"/>
  <c r="BA103" i="49"/>
  <c r="AZ103" i="49"/>
  <c r="AY103" i="49"/>
  <c r="AX103" i="49"/>
  <c r="AW103" i="49"/>
  <c r="AV103" i="49"/>
  <c r="AU103" i="49"/>
  <c r="AT103" i="49"/>
  <c r="AS103" i="49"/>
  <c r="CC102" i="49"/>
  <c r="CB102" i="49"/>
  <c r="CA102" i="49"/>
  <c r="BZ102" i="49"/>
  <c r="BY102" i="49"/>
  <c r="BX102" i="49"/>
  <c r="BW102" i="49"/>
  <c r="BV102" i="49"/>
  <c r="BU102" i="49"/>
  <c r="BT102" i="49"/>
  <c r="BS102" i="49"/>
  <c r="BR102" i="49"/>
  <c r="BQ102" i="49"/>
  <c r="BP102" i="49"/>
  <c r="BO102" i="49"/>
  <c r="BN102" i="49"/>
  <c r="BM102" i="49"/>
  <c r="BL102" i="49"/>
  <c r="BK102" i="49"/>
  <c r="BJ102" i="49"/>
  <c r="BI102" i="49"/>
  <c r="BH102" i="49"/>
  <c r="BG102" i="49"/>
  <c r="BF102" i="49"/>
  <c r="BE102" i="49"/>
  <c r="BD102" i="49"/>
  <c r="BC102" i="49"/>
  <c r="BB102" i="49"/>
  <c r="BA102" i="49"/>
  <c r="AZ102" i="49"/>
  <c r="AY102" i="49"/>
  <c r="AX102" i="49"/>
  <c r="AW102" i="49"/>
  <c r="AV102" i="49"/>
  <c r="AU102" i="49"/>
  <c r="AT102" i="49"/>
  <c r="AS102" i="49"/>
  <c r="CC101" i="49"/>
  <c r="CB101" i="49"/>
  <c r="CA101" i="49"/>
  <c r="BZ101" i="49"/>
  <c r="BY101" i="49"/>
  <c r="BX101" i="49"/>
  <c r="BW101" i="49"/>
  <c r="BV101" i="49"/>
  <c r="BU101" i="49"/>
  <c r="BT101" i="49"/>
  <c r="BS101" i="49"/>
  <c r="BR101" i="49"/>
  <c r="BQ101" i="49"/>
  <c r="BP101" i="49"/>
  <c r="BO101" i="49"/>
  <c r="BN101" i="49"/>
  <c r="BM101" i="49"/>
  <c r="BL101" i="49"/>
  <c r="BK101" i="49"/>
  <c r="BJ101" i="49"/>
  <c r="BI101" i="49"/>
  <c r="BH101" i="49"/>
  <c r="BG101" i="49"/>
  <c r="BF101" i="49"/>
  <c r="BE101" i="49"/>
  <c r="BD101" i="49"/>
  <c r="BC101" i="49"/>
  <c r="BB101" i="49"/>
  <c r="BA101" i="49"/>
  <c r="AZ101" i="49"/>
  <c r="AY101" i="49"/>
  <c r="AX101" i="49"/>
  <c r="AW101" i="49"/>
  <c r="AV101" i="49"/>
  <c r="AU101" i="49"/>
  <c r="AT101" i="49"/>
  <c r="AS101" i="49"/>
  <c r="CC100" i="49"/>
  <c r="CB100" i="49"/>
  <c r="CA100" i="49"/>
  <c r="BZ100" i="49"/>
  <c r="BY100" i="49"/>
  <c r="BX100" i="49"/>
  <c r="BW100" i="49"/>
  <c r="BV100" i="49"/>
  <c r="BU100" i="49"/>
  <c r="BT100" i="49"/>
  <c r="BS100" i="49"/>
  <c r="BR100" i="49"/>
  <c r="BQ100" i="49"/>
  <c r="BP100" i="49"/>
  <c r="BO100" i="49"/>
  <c r="BN100" i="49"/>
  <c r="BM100" i="49"/>
  <c r="BL100" i="49"/>
  <c r="BK100" i="49"/>
  <c r="BJ100" i="49"/>
  <c r="BI100" i="49"/>
  <c r="BH100" i="49"/>
  <c r="BG100" i="49"/>
  <c r="BF100" i="49"/>
  <c r="BE100" i="49"/>
  <c r="BD100" i="49"/>
  <c r="BC100" i="49"/>
  <c r="BB100" i="49"/>
  <c r="BA100" i="49"/>
  <c r="AZ100" i="49"/>
  <c r="AY100" i="49"/>
  <c r="AX100" i="49"/>
  <c r="AW100" i="49"/>
  <c r="AV100" i="49"/>
  <c r="AU100" i="49"/>
  <c r="AT100" i="49"/>
  <c r="AS100" i="49"/>
  <c r="CC99" i="49"/>
  <c r="CB99" i="49"/>
  <c r="CA99" i="49"/>
  <c r="BZ99" i="49"/>
  <c r="BY99" i="49"/>
  <c r="BX99" i="49"/>
  <c r="BW99" i="49"/>
  <c r="BV99" i="49"/>
  <c r="BU99" i="49"/>
  <c r="BT99" i="49"/>
  <c r="BS99" i="49"/>
  <c r="BR99" i="49"/>
  <c r="BQ99" i="49"/>
  <c r="BP99" i="49"/>
  <c r="BO99" i="49"/>
  <c r="BN99" i="49"/>
  <c r="BM99" i="49"/>
  <c r="BL99" i="49"/>
  <c r="BK99" i="49"/>
  <c r="BJ99" i="49"/>
  <c r="BI99" i="49"/>
  <c r="BH99" i="49"/>
  <c r="BG99" i="49"/>
  <c r="BF99" i="49"/>
  <c r="BE99" i="49"/>
  <c r="BD99" i="49"/>
  <c r="BC99" i="49"/>
  <c r="BB99" i="49"/>
  <c r="BA99" i="49"/>
  <c r="AZ99" i="49"/>
  <c r="AY99" i="49"/>
  <c r="AX99" i="49"/>
  <c r="AW99" i="49"/>
  <c r="AV99" i="49"/>
  <c r="AU99" i="49"/>
  <c r="AT99" i="49"/>
  <c r="AS99" i="49"/>
  <c r="CC98" i="49"/>
  <c r="CB98" i="49"/>
  <c r="CA98" i="49"/>
  <c r="BZ98" i="49"/>
  <c r="BY98" i="49"/>
  <c r="BX98" i="49"/>
  <c r="BW98" i="49"/>
  <c r="BV98" i="49"/>
  <c r="BU98" i="49"/>
  <c r="BT98" i="49"/>
  <c r="BS98" i="49"/>
  <c r="BR98" i="49"/>
  <c r="BQ98" i="49"/>
  <c r="BP98" i="49"/>
  <c r="BO98" i="49"/>
  <c r="BN98" i="49"/>
  <c r="BM98" i="49"/>
  <c r="BL98" i="49"/>
  <c r="BK98" i="49"/>
  <c r="BJ98" i="49"/>
  <c r="BI98" i="49"/>
  <c r="BH98" i="49"/>
  <c r="BG98" i="49"/>
  <c r="BF98" i="49"/>
  <c r="BE98" i="49"/>
  <c r="BD98" i="49"/>
  <c r="BC98" i="49"/>
  <c r="BB98" i="49"/>
  <c r="BA98" i="49"/>
  <c r="AZ98" i="49"/>
  <c r="AY98" i="49"/>
  <c r="AX98" i="49"/>
  <c r="AW98" i="49"/>
  <c r="AV98" i="49"/>
  <c r="AU98" i="49"/>
  <c r="AT98" i="49"/>
  <c r="AS98" i="49"/>
  <c r="CC97" i="49"/>
  <c r="CB97" i="49"/>
  <c r="CA97" i="49"/>
  <c r="BZ97" i="49"/>
  <c r="BY97" i="49"/>
  <c r="BX97" i="49"/>
  <c r="BW97" i="49"/>
  <c r="BV97" i="49"/>
  <c r="BU97" i="49"/>
  <c r="BT97" i="49"/>
  <c r="BS97" i="49"/>
  <c r="BR97" i="49"/>
  <c r="BQ97" i="49"/>
  <c r="BP97" i="49"/>
  <c r="BO97" i="49"/>
  <c r="BN97" i="49"/>
  <c r="BM97" i="49"/>
  <c r="BL97" i="49"/>
  <c r="BK97" i="49"/>
  <c r="BJ97" i="49"/>
  <c r="BI97" i="49"/>
  <c r="BH97" i="49"/>
  <c r="BG97" i="49"/>
  <c r="BF97" i="49"/>
  <c r="BE97" i="49"/>
  <c r="BD97" i="49"/>
  <c r="BC97" i="49"/>
  <c r="BB97" i="49"/>
  <c r="BA97" i="49"/>
  <c r="AZ97" i="49"/>
  <c r="AY97" i="49"/>
  <c r="AX97" i="49"/>
  <c r="AW97" i="49"/>
  <c r="AV97" i="49"/>
  <c r="AU97" i="49"/>
  <c r="AT97" i="49"/>
  <c r="AS97" i="49"/>
  <c r="CC96" i="49"/>
  <c r="CB96" i="49"/>
  <c r="CA96" i="49"/>
  <c r="BZ96" i="49"/>
  <c r="BY96" i="49"/>
  <c r="BX96" i="49"/>
  <c r="BW96" i="49"/>
  <c r="BV96" i="49"/>
  <c r="BU96" i="49"/>
  <c r="BT96" i="49"/>
  <c r="BS96" i="49"/>
  <c r="BR96" i="49"/>
  <c r="BQ96" i="49"/>
  <c r="BP96" i="49"/>
  <c r="BO96" i="49"/>
  <c r="BN96" i="49"/>
  <c r="BM96" i="49"/>
  <c r="BL96" i="49"/>
  <c r="BK96" i="49"/>
  <c r="BJ96" i="49"/>
  <c r="BI96" i="49"/>
  <c r="BH96" i="49"/>
  <c r="BG96" i="49"/>
  <c r="BF96" i="49"/>
  <c r="BE96" i="49"/>
  <c r="BD96" i="49"/>
  <c r="BC96" i="49"/>
  <c r="BB96" i="49"/>
  <c r="BA96" i="49"/>
  <c r="AZ96" i="49"/>
  <c r="AY96" i="49"/>
  <c r="AX96" i="49"/>
  <c r="AW96" i="49"/>
  <c r="AV96" i="49"/>
  <c r="AU96" i="49"/>
  <c r="AT96" i="49"/>
  <c r="AS96" i="49"/>
  <c r="CC95" i="49"/>
  <c r="CB95" i="49"/>
  <c r="CA95" i="49"/>
  <c r="BZ95" i="49"/>
  <c r="BY95" i="49"/>
  <c r="BX95" i="49"/>
  <c r="BW95" i="49"/>
  <c r="BV95" i="49"/>
  <c r="BU95" i="49"/>
  <c r="BT95" i="49"/>
  <c r="BS95" i="49"/>
  <c r="BR95" i="49"/>
  <c r="BQ95" i="49"/>
  <c r="BP95" i="49"/>
  <c r="BO95" i="49"/>
  <c r="BN95" i="49"/>
  <c r="BM95" i="49"/>
  <c r="BL95" i="49"/>
  <c r="BK95" i="49"/>
  <c r="BJ95" i="49"/>
  <c r="BI95" i="49"/>
  <c r="BH95" i="49"/>
  <c r="BG95" i="49"/>
  <c r="BF95" i="49"/>
  <c r="BE95" i="49"/>
  <c r="BD95" i="49"/>
  <c r="BC95" i="49"/>
  <c r="BB95" i="49"/>
  <c r="BA95" i="49"/>
  <c r="AZ95" i="49"/>
  <c r="AY95" i="49"/>
  <c r="AX95" i="49"/>
  <c r="AW95" i="49"/>
  <c r="AV95" i="49"/>
  <c r="AU95" i="49"/>
  <c r="AT95" i="49"/>
  <c r="AS95" i="49"/>
  <c r="CC94" i="49"/>
  <c r="CB94" i="49"/>
  <c r="CA94" i="49"/>
  <c r="BZ94" i="49"/>
  <c r="BY94" i="49"/>
  <c r="BX94" i="49"/>
  <c r="BW94" i="49"/>
  <c r="BV94" i="49"/>
  <c r="BU94" i="49"/>
  <c r="BT94" i="49"/>
  <c r="BS94" i="49"/>
  <c r="BR94" i="49"/>
  <c r="BQ94" i="49"/>
  <c r="BP94" i="49"/>
  <c r="BO94" i="49"/>
  <c r="BN94" i="49"/>
  <c r="BM94" i="49"/>
  <c r="BL94" i="49"/>
  <c r="BK94" i="49"/>
  <c r="BJ94" i="49"/>
  <c r="BI94" i="49"/>
  <c r="BH94" i="49"/>
  <c r="BG94" i="49"/>
  <c r="BF94" i="49"/>
  <c r="BE94" i="49"/>
  <c r="BD94" i="49"/>
  <c r="BC94" i="49"/>
  <c r="BB94" i="49"/>
  <c r="BA94" i="49"/>
  <c r="AZ94" i="49"/>
  <c r="AY94" i="49"/>
  <c r="AX94" i="49"/>
  <c r="AW94" i="49"/>
  <c r="AV94" i="49"/>
  <c r="AU94" i="49"/>
  <c r="AT94" i="49"/>
  <c r="AS94" i="49"/>
  <c r="CC93" i="49"/>
  <c r="CB93" i="49"/>
  <c r="CA93" i="49"/>
  <c r="BZ93" i="49"/>
  <c r="BY93" i="49"/>
  <c r="BX93" i="49"/>
  <c r="BW93" i="49"/>
  <c r="BV93" i="49"/>
  <c r="BU93" i="49"/>
  <c r="BT93" i="49"/>
  <c r="BS93" i="49"/>
  <c r="BR93" i="49"/>
  <c r="BQ93" i="49"/>
  <c r="BP93" i="49"/>
  <c r="BO93" i="49"/>
  <c r="BN93" i="49"/>
  <c r="BM93" i="49"/>
  <c r="BL93" i="49"/>
  <c r="BK93" i="49"/>
  <c r="BJ93" i="49"/>
  <c r="BI93" i="49"/>
  <c r="BH93" i="49"/>
  <c r="BG93" i="49"/>
  <c r="BF93" i="49"/>
  <c r="BE93" i="49"/>
  <c r="BD93" i="49"/>
  <c r="BC93" i="49"/>
  <c r="BB93" i="49"/>
  <c r="BA93" i="49"/>
  <c r="AZ93" i="49"/>
  <c r="AY93" i="49"/>
  <c r="AX93" i="49"/>
  <c r="AW93" i="49"/>
  <c r="AV93" i="49"/>
  <c r="AU93" i="49"/>
  <c r="AT93" i="49"/>
  <c r="AS93" i="49"/>
  <c r="CC92" i="49"/>
  <c r="CB92" i="49"/>
  <c r="CA92" i="49"/>
  <c r="BZ92" i="49"/>
  <c r="BY92" i="49"/>
  <c r="BX92" i="49"/>
  <c r="BW92" i="49"/>
  <c r="BV92" i="49"/>
  <c r="BU92" i="49"/>
  <c r="BT92" i="49"/>
  <c r="BS92" i="49"/>
  <c r="BR92" i="49"/>
  <c r="BQ92" i="49"/>
  <c r="BP92" i="49"/>
  <c r="BO92" i="49"/>
  <c r="BN92" i="49"/>
  <c r="BM92" i="49"/>
  <c r="BL92" i="49"/>
  <c r="BK92" i="49"/>
  <c r="BJ92" i="49"/>
  <c r="BI92" i="49"/>
  <c r="BH92" i="49"/>
  <c r="BG92" i="49"/>
  <c r="BF92" i="49"/>
  <c r="BE92" i="49"/>
  <c r="BD92" i="49"/>
  <c r="BC92" i="49"/>
  <c r="BB92" i="49"/>
  <c r="BA92" i="49"/>
  <c r="AZ92" i="49"/>
  <c r="AY92" i="49"/>
  <c r="AX92" i="49"/>
  <c r="AW92" i="49"/>
  <c r="AV92" i="49"/>
  <c r="AU92" i="49"/>
  <c r="AT92" i="49"/>
  <c r="AS92" i="49"/>
  <c r="CC91" i="49"/>
  <c r="CB91" i="49"/>
  <c r="CA91" i="49"/>
  <c r="BZ91" i="49"/>
  <c r="BY91" i="49"/>
  <c r="BX91" i="49"/>
  <c r="BW91" i="49"/>
  <c r="BV91" i="49"/>
  <c r="BU91" i="49"/>
  <c r="BT91" i="49"/>
  <c r="BS91" i="49"/>
  <c r="BR91" i="49"/>
  <c r="BQ91" i="49"/>
  <c r="BP91" i="49"/>
  <c r="BO91" i="49"/>
  <c r="BN91" i="49"/>
  <c r="BM91" i="49"/>
  <c r="BL91" i="49"/>
  <c r="BK91" i="49"/>
  <c r="BJ91" i="49"/>
  <c r="BI91" i="49"/>
  <c r="BH91" i="49"/>
  <c r="BG91" i="49"/>
  <c r="BF91" i="49"/>
  <c r="BE91" i="49"/>
  <c r="BD91" i="49"/>
  <c r="BC91" i="49"/>
  <c r="BB91" i="49"/>
  <c r="BA91" i="49"/>
  <c r="AZ91" i="49"/>
  <c r="AY91" i="49"/>
  <c r="AX91" i="49"/>
  <c r="AW91" i="49"/>
  <c r="AV91" i="49"/>
  <c r="AU91" i="49"/>
  <c r="AT91" i="49"/>
  <c r="AS91" i="49"/>
  <c r="CC90" i="49"/>
  <c r="CB90" i="49"/>
  <c r="CA90" i="49"/>
  <c r="BZ90" i="49"/>
  <c r="BY90" i="49"/>
  <c r="BX90" i="49"/>
  <c r="BW90" i="49"/>
  <c r="BV90" i="49"/>
  <c r="BU90" i="49"/>
  <c r="BT90" i="49"/>
  <c r="BS90" i="49"/>
  <c r="BR90" i="49"/>
  <c r="BQ90" i="49"/>
  <c r="BP90" i="49"/>
  <c r="BO90" i="49"/>
  <c r="BN90" i="49"/>
  <c r="BM90" i="49"/>
  <c r="BL90" i="49"/>
  <c r="BK90" i="49"/>
  <c r="BJ90" i="49"/>
  <c r="BI90" i="49"/>
  <c r="BH90" i="49"/>
  <c r="BG90" i="49"/>
  <c r="BF90" i="49"/>
  <c r="BE90" i="49"/>
  <c r="BD90" i="49"/>
  <c r="BC90" i="49"/>
  <c r="BB90" i="49"/>
  <c r="BA90" i="49"/>
  <c r="AZ90" i="49"/>
  <c r="AY90" i="49"/>
  <c r="AX90" i="49"/>
  <c r="AW90" i="49"/>
  <c r="AV90" i="49"/>
  <c r="AU90" i="49"/>
  <c r="AT90" i="49"/>
  <c r="AS90" i="49"/>
  <c r="CC89" i="49"/>
  <c r="CB89" i="49"/>
  <c r="CA89" i="49"/>
  <c r="BZ89" i="49"/>
  <c r="BY89" i="49"/>
  <c r="BX89" i="49"/>
  <c r="BW89" i="49"/>
  <c r="BV89" i="49"/>
  <c r="BU89" i="49"/>
  <c r="BT89" i="49"/>
  <c r="BS89" i="49"/>
  <c r="BR89" i="49"/>
  <c r="BQ89" i="49"/>
  <c r="BP89" i="49"/>
  <c r="BO89" i="49"/>
  <c r="BN89" i="49"/>
  <c r="BM89" i="49"/>
  <c r="BL89" i="49"/>
  <c r="BK89" i="49"/>
  <c r="BJ89" i="49"/>
  <c r="BI89" i="49"/>
  <c r="BH89" i="49"/>
  <c r="BG89" i="49"/>
  <c r="BF89" i="49"/>
  <c r="BE89" i="49"/>
  <c r="BD89" i="49"/>
  <c r="BC89" i="49"/>
  <c r="BB89" i="49"/>
  <c r="BA89" i="49"/>
  <c r="AZ89" i="49"/>
  <c r="AY89" i="49"/>
  <c r="AX89" i="49"/>
  <c r="AW89" i="49"/>
  <c r="AV89" i="49"/>
  <c r="AU89" i="49"/>
  <c r="AT89" i="49"/>
  <c r="AS89" i="49"/>
  <c r="CC88" i="49"/>
  <c r="CB88" i="49"/>
  <c r="CA88" i="49"/>
  <c r="BZ88" i="49"/>
  <c r="BY88" i="49"/>
  <c r="BX88" i="49"/>
  <c r="BW88" i="49"/>
  <c r="BV88" i="49"/>
  <c r="BU88" i="49"/>
  <c r="BT88" i="49"/>
  <c r="BS88" i="49"/>
  <c r="BR88" i="49"/>
  <c r="BQ88" i="49"/>
  <c r="BP88" i="49"/>
  <c r="BO88" i="49"/>
  <c r="BN88" i="49"/>
  <c r="BM88" i="49"/>
  <c r="BL88" i="49"/>
  <c r="BK88" i="49"/>
  <c r="BJ88" i="49"/>
  <c r="BI88" i="49"/>
  <c r="BH88" i="49"/>
  <c r="BG88" i="49"/>
  <c r="BF88" i="49"/>
  <c r="BE88" i="49"/>
  <c r="BD88" i="49"/>
  <c r="BC88" i="49"/>
  <c r="BB88" i="49"/>
  <c r="BA88" i="49"/>
  <c r="AZ88" i="49"/>
  <c r="AY88" i="49"/>
  <c r="AX88" i="49"/>
  <c r="AW88" i="49"/>
  <c r="AV88" i="49"/>
  <c r="AU88" i="49"/>
  <c r="AT88" i="49"/>
  <c r="AS88" i="49"/>
  <c r="CC87" i="49"/>
  <c r="CB87" i="49"/>
  <c r="CA87" i="49"/>
  <c r="BZ87" i="49"/>
  <c r="BY87" i="49"/>
  <c r="BX87" i="49"/>
  <c r="BW87" i="49"/>
  <c r="BV87" i="49"/>
  <c r="BU87" i="49"/>
  <c r="BT87" i="49"/>
  <c r="BS87" i="49"/>
  <c r="BR87" i="49"/>
  <c r="BQ87" i="49"/>
  <c r="BP87" i="49"/>
  <c r="BO87" i="49"/>
  <c r="BN87" i="49"/>
  <c r="BM87" i="49"/>
  <c r="BL87" i="49"/>
  <c r="BK87" i="49"/>
  <c r="BJ87" i="49"/>
  <c r="BI87" i="49"/>
  <c r="BH87" i="49"/>
  <c r="BG87" i="49"/>
  <c r="BF87" i="49"/>
  <c r="BE87" i="49"/>
  <c r="BD87" i="49"/>
  <c r="BC87" i="49"/>
  <c r="BB87" i="49"/>
  <c r="BA87" i="49"/>
  <c r="AZ87" i="49"/>
  <c r="AY87" i="49"/>
  <c r="AX87" i="49"/>
  <c r="AW87" i="49"/>
  <c r="AV87" i="49"/>
  <c r="AU87" i="49"/>
  <c r="AT87" i="49"/>
  <c r="AS87" i="49"/>
  <c r="CC86" i="49"/>
  <c r="CB86" i="49"/>
  <c r="CA86" i="49"/>
  <c r="BZ86" i="49"/>
  <c r="BY86" i="49"/>
  <c r="BX86" i="49"/>
  <c r="BW86" i="49"/>
  <c r="BV86" i="49"/>
  <c r="BU86" i="49"/>
  <c r="BT86" i="49"/>
  <c r="BS86" i="49"/>
  <c r="BR86" i="49"/>
  <c r="BQ86" i="49"/>
  <c r="BP86" i="49"/>
  <c r="BO86" i="49"/>
  <c r="BN86" i="49"/>
  <c r="BM86" i="49"/>
  <c r="BL86" i="49"/>
  <c r="BK86" i="49"/>
  <c r="BJ86" i="49"/>
  <c r="BI86" i="49"/>
  <c r="BH86" i="49"/>
  <c r="BG86" i="49"/>
  <c r="BF86" i="49"/>
  <c r="BE86" i="49"/>
  <c r="BD86" i="49"/>
  <c r="BC86" i="49"/>
  <c r="BB86" i="49"/>
  <c r="BA86" i="49"/>
  <c r="AZ86" i="49"/>
  <c r="AY86" i="49"/>
  <c r="AX86" i="49"/>
  <c r="AW86" i="49"/>
  <c r="AV86" i="49"/>
  <c r="AU86" i="49"/>
  <c r="AT86" i="49"/>
  <c r="AS86" i="49"/>
  <c r="CC85" i="49"/>
  <c r="CB85" i="49"/>
  <c r="CA85" i="49"/>
  <c r="BZ85" i="49"/>
  <c r="BY85" i="49"/>
  <c r="BX85" i="49"/>
  <c r="BW85" i="49"/>
  <c r="BV85" i="49"/>
  <c r="BU85" i="49"/>
  <c r="BT85" i="49"/>
  <c r="BS85" i="49"/>
  <c r="BR85" i="49"/>
  <c r="BQ85" i="49"/>
  <c r="BP85" i="49"/>
  <c r="BO85" i="49"/>
  <c r="BN85" i="49"/>
  <c r="BM85" i="49"/>
  <c r="BL85" i="49"/>
  <c r="BK85" i="49"/>
  <c r="BJ85" i="49"/>
  <c r="BI85" i="49"/>
  <c r="BH85" i="49"/>
  <c r="BG85" i="49"/>
  <c r="BF85" i="49"/>
  <c r="BE85" i="49"/>
  <c r="BD85" i="49"/>
  <c r="BC85" i="49"/>
  <c r="BB85" i="49"/>
  <c r="BA85" i="49"/>
  <c r="AZ85" i="49"/>
  <c r="AY85" i="49"/>
  <c r="AX85" i="49"/>
  <c r="AW85" i="49"/>
  <c r="AV85" i="49"/>
  <c r="AU85" i="49"/>
  <c r="AT85" i="49"/>
  <c r="AS85" i="49"/>
  <c r="CC84" i="49"/>
  <c r="CB84" i="49"/>
  <c r="CA84" i="49"/>
  <c r="BZ84" i="49"/>
  <c r="BY84" i="49"/>
  <c r="BX84" i="49"/>
  <c r="BW84" i="49"/>
  <c r="BV84" i="49"/>
  <c r="BU84" i="49"/>
  <c r="BT84" i="49"/>
  <c r="BS84" i="49"/>
  <c r="BR84" i="49"/>
  <c r="BQ84" i="49"/>
  <c r="BP84" i="49"/>
  <c r="BO84" i="49"/>
  <c r="BN84" i="49"/>
  <c r="BM84" i="49"/>
  <c r="BL84" i="49"/>
  <c r="BK84" i="49"/>
  <c r="BJ84" i="49"/>
  <c r="BI84" i="49"/>
  <c r="BH84" i="49"/>
  <c r="BG84" i="49"/>
  <c r="BF84" i="49"/>
  <c r="BE84" i="49"/>
  <c r="BD84" i="49"/>
  <c r="BC84" i="49"/>
  <c r="BB84" i="49"/>
  <c r="BA84" i="49"/>
  <c r="AZ84" i="49"/>
  <c r="AY84" i="49"/>
  <c r="AX84" i="49"/>
  <c r="AW84" i="49"/>
  <c r="AV84" i="49"/>
  <c r="AU84" i="49"/>
  <c r="AT84" i="49"/>
  <c r="AS84" i="49"/>
  <c r="CC83" i="49"/>
  <c r="CB83" i="49"/>
  <c r="CA83" i="49"/>
  <c r="BZ83" i="49"/>
  <c r="BY83" i="49"/>
  <c r="BX83" i="49"/>
  <c r="BW83" i="49"/>
  <c r="BV83" i="49"/>
  <c r="BU83" i="49"/>
  <c r="BT83" i="49"/>
  <c r="BS83" i="49"/>
  <c r="BR83" i="49"/>
  <c r="BQ83" i="49"/>
  <c r="BP83" i="49"/>
  <c r="BO83" i="49"/>
  <c r="BN83" i="49"/>
  <c r="BM83" i="49"/>
  <c r="BL83" i="49"/>
  <c r="BK83" i="49"/>
  <c r="BJ83" i="49"/>
  <c r="BI83" i="49"/>
  <c r="BH83" i="49"/>
  <c r="BG83" i="49"/>
  <c r="BF83" i="49"/>
  <c r="BE83" i="49"/>
  <c r="BD83" i="49"/>
  <c r="BC83" i="49"/>
  <c r="BB83" i="49"/>
  <c r="BA83" i="49"/>
  <c r="AZ83" i="49"/>
  <c r="AY83" i="49"/>
  <c r="AX83" i="49"/>
  <c r="AW83" i="49"/>
  <c r="AV83" i="49"/>
  <c r="AU83" i="49"/>
  <c r="AT83" i="49"/>
  <c r="AS83" i="49"/>
  <c r="CC82" i="49"/>
  <c r="CB82" i="49"/>
  <c r="CA82" i="49"/>
  <c r="BZ82" i="49"/>
  <c r="BY82" i="49"/>
  <c r="BX82" i="49"/>
  <c r="BW82" i="49"/>
  <c r="BV82" i="49"/>
  <c r="BU82" i="49"/>
  <c r="BT82" i="49"/>
  <c r="BS82" i="49"/>
  <c r="BR82" i="49"/>
  <c r="BQ82" i="49"/>
  <c r="BP82" i="49"/>
  <c r="BO82" i="49"/>
  <c r="BN82" i="49"/>
  <c r="BM82" i="49"/>
  <c r="BL82" i="49"/>
  <c r="BK82" i="49"/>
  <c r="BJ82" i="49"/>
  <c r="BI82" i="49"/>
  <c r="BH82" i="49"/>
  <c r="BG82" i="49"/>
  <c r="BF82" i="49"/>
  <c r="BE82" i="49"/>
  <c r="BD82" i="49"/>
  <c r="BC82" i="49"/>
  <c r="BB82" i="49"/>
  <c r="BA82" i="49"/>
  <c r="AZ82" i="49"/>
  <c r="AY82" i="49"/>
  <c r="AX82" i="49"/>
  <c r="AW82" i="49"/>
  <c r="AV82" i="49"/>
  <c r="AU82" i="49"/>
  <c r="AT82" i="49"/>
  <c r="AS82" i="49"/>
  <c r="CC81" i="49"/>
  <c r="CB81" i="49"/>
  <c r="CA81" i="49"/>
  <c r="BZ81" i="49"/>
  <c r="BY81" i="49"/>
  <c r="BX81" i="49"/>
  <c r="BW81" i="49"/>
  <c r="BV81" i="49"/>
  <c r="BU81" i="49"/>
  <c r="BT81" i="49"/>
  <c r="BS81" i="49"/>
  <c r="BR81" i="49"/>
  <c r="BQ81" i="49"/>
  <c r="BP81" i="49"/>
  <c r="BO81" i="49"/>
  <c r="BN81" i="49"/>
  <c r="BM81" i="49"/>
  <c r="BL81" i="49"/>
  <c r="BK81" i="49"/>
  <c r="BJ81" i="49"/>
  <c r="BI81" i="49"/>
  <c r="BH81" i="49"/>
  <c r="BG81" i="49"/>
  <c r="BF81" i="49"/>
  <c r="BE81" i="49"/>
  <c r="BD81" i="49"/>
  <c r="BC81" i="49"/>
  <c r="BB81" i="49"/>
  <c r="BA81" i="49"/>
  <c r="AZ81" i="49"/>
  <c r="AY81" i="49"/>
  <c r="AX81" i="49"/>
  <c r="AW81" i="49"/>
  <c r="AV81" i="49"/>
  <c r="AU81" i="49"/>
  <c r="AT81" i="49"/>
  <c r="AS81" i="49"/>
  <c r="CC80" i="49"/>
  <c r="CB80" i="49"/>
  <c r="CA80" i="49"/>
  <c r="BZ80" i="49"/>
  <c r="BY80" i="49"/>
  <c r="BX80" i="49"/>
  <c r="BW80" i="49"/>
  <c r="BV80" i="49"/>
  <c r="BU80" i="49"/>
  <c r="BT80" i="49"/>
  <c r="BS80" i="49"/>
  <c r="BR80" i="49"/>
  <c r="BQ80" i="49"/>
  <c r="BP80" i="49"/>
  <c r="BO80" i="49"/>
  <c r="BN80" i="49"/>
  <c r="BM80" i="49"/>
  <c r="BL80" i="49"/>
  <c r="BK80" i="49"/>
  <c r="BJ80" i="49"/>
  <c r="BI80" i="49"/>
  <c r="BH80" i="49"/>
  <c r="BG80" i="49"/>
  <c r="BF80" i="49"/>
  <c r="BE80" i="49"/>
  <c r="BD80" i="49"/>
  <c r="BC80" i="49"/>
  <c r="BB80" i="49"/>
  <c r="BA80" i="49"/>
  <c r="AZ80" i="49"/>
  <c r="AY80" i="49"/>
  <c r="AX80" i="49"/>
  <c r="AW80" i="49"/>
  <c r="AV80" i="49"/>
  <c r="AU80" i="49"/>
  <c r="AT80" i="49"/>
  <c r="AS80" i="49"/>
  <c r="CC79" i="49"/>
  <c r="CB79" i="49"/>
  <c r="CA79" i="49"/>
  <c r="BZ79" i="49"/>
  <c r="BY79" i="49"/>
  <c r="BX79" i="49"/>
  <c r="BW79" i="49"/>
  <c r="BV79" i="49"/>
  <c r="BU79" i="49"/>
  <c r="BT79" i="49"/>
  <c r="BS79" i="49"/>
  <c r="BR79" i="49"/>
  <c r="BQ79" i="49"/>
  <c r="BP79" i="49"/>
  <c r="BO79" i="49"/>
  <c r="BN79" i="49"/>
  <c r="BM79" i="49"/>
  <c r="BL79" i="49"/>
  <c r="BK79" i="49"/>
  <c r="BJ79" i="49"/>
  <c r="BI79" i="49"/>
  <c r="BH79" i="49"/>
  <c r="BG79" i="49"/>
  <c r="BF79" i="49"/>
  <c r="BE79" i="49"/>
  <c r="BD79" i="49"/>
  <c r="BC79" i="49"/>
  <c r="BB79" i="49"/>
  <c r="BA79" i="49"/>
  <c r="AZ79" i="49"/>
  <c r="AY79" i="49"/>
  <c r="AX79" i="49"/>
  <c r="AW79" i="49"/>
  <c r="AV79" i="49"/>
  <c r="AU79" i="49"/>
  <c r="AT79" i="49"/>
  <c r="AS79" i="49"/>
  <c r="CC78" i="49"/>
  <c r="CB78" i="49"/>
  <c r="CA78" i="49"/>
  <c r="BZ78" i="49"/>
  <c r="BY78" i="49"/>
  <c r="BX78" i="49"/>
  <c r="BW78" i="49"/>
  <c r="BV78" i="49"/>
  <c r="BU78" i="49"/>
  <c r="BT78" i="49"/>
  <c r="BS78" i="49"/>
  <c r="BR78" i="49"/>
  <c r="BQ78" i="49"/>
  <c r="BP78" i="49"/>
  <c r="BO78" i="49"/>
  <c r="BN78" i="49"/>
  <c r="BM78" i="49"/>
  <c r="BL78" i="49"/>
  <c r="BK78" i="49"/>
  <c r="BJ78" i="49"/>
  <c r="BI78" i="49"/>
  <c r="BH78" i="49"/>
  <c r="BG78" i="49"/>
  <c r="BF78" i="49"/>
  <c r="BE78" i="49"/>
  <c r="BD78" i="49"/>
  <c r="BC78" i="49"/>
  <c r="BB78" i="49"/>
  <c r="BA78" i="49"/>
  <c r="AZ78" i="49"/>
  <c r="AY78" i="49"/>
  <c r="AX78" i="49"/>
  <c r="AW78" i="49"/>
  <c r="AV78" i="49"/>
  <c r="AU78" i="49"/>
  <c r="AT78" i="49"/>
  <c r="AS78" i="49"/>
  <c r="CC77" i="49"/>
  <c r="CB77" i="49"/>
  <c r="CA77" i="49"/>
  <c r="BZ77" i="49"/>
  <c r="BY77" i="49"/>
  <c r="BX77" i="49"/>
  <c r="BW77" i="49"/>
  <c r="BV77" i="49"/>
  <c r="BU77" i="49"/>
  <c r="BT77" i="49"/>
  <c r="BS77" i="49"/>
  <c r="BR77" i="49"/>
  <c r="BQ77" i="49"/>
  <c r="BP77" i="49"/>
  <c r="BO77" i="49"/>
  <c r="BN77" i="49"/>
  <c r="BM77" i="49"/>
  <c r="BL77" i="49"/>
  <c r="BK77" i="49"/>
  <c r="BJ77" i="49"/>
  <c r="BI77" i="49"/>
  <c r="BH77" i="49"/>
  <c r="BG77" i="49"/>
  <c r="BF77" i="49"/>
  <c r="BE77" i="49"/>
  <c r="BD77" i="49"/>
  <c r="BC77" i="49"/>
  <c r="BB77" i="49"/>
  <c r="BA77" i="49"/>
  <c r="AZ77" i="49"/>
  <c r="AY77" i="49"/>
  <c r="AX77" i="49"/>
  <c r="AW77" i="49"/>
  <c r="AV77" i="49"/>
  <c r="AU77" i="49"/>
  <c r="AT77" i="49"/>
  <c r="AS77" i="49"/>
  <c r="CC76" i="49"/>
  <c r="CB76" i="49"/>
  <c r="CA76" i="49"/>
  <c r="BZ76" i="49"/>
  <c r="BY76" i="49"/>
  <c r="BX76" i="49"/>
  <c r="BW76" i="49"/>
  <c r="BV76" i="49"/>
  <c r="BU76" i="49"/>
  <c r="BT76" i="49"/>
  <c r="BS76" i="49"/>
  <c r="BR76" i="49"/>
  <c r="BQ76" i="49"/>
  <c r="BP76" i="49"/>
  <c r="BO76" i="49"/>
  <c r="BN76" i="49"/>
  <c r="BM76" i="49"/>
  <c r="BL76" i="49"/>
  <c r="BK76" i="49"/>
  <c r="BJ76" i="49"/>
  <c r="BI76" i="49"/>
  <c r="BH76" i="49"/>
  <c r="BG76" i="49"/>
  <c r="BF76" i="49"/>
  <c r="BE76" i="49"/>
  <c r="BD76" i="49"/>
  <c r="BC76" i="49"/>
  <c r="BB76" i="49"/>
  <c r="BA76" i="49"/>
  <c r="AZ76" i="49"/>
  <c r="AY76" i="49"/>
  <c r="AX76" i="49"/>
  <c r="AW76" i="49"/>
  <c r="AV76" i="49"/>
  <c r="AU76" i="49"/>
  <c r="AT76" i="49"/>
  <c r="AS76" i="49"/>
  <c r="CC75" i="49"/>
  <c r="CB75" i="49"/>
  <c r="CA75" i="49"/>
  <c r="BZ75" i="49"/>
  <c r="BY75" i="49"/>
  <c r="BX75" i="49"/>
  <c r="BW75" i="49"/>
  <c r="BV75" i="49"/>
  <c r="BU75" i="49"/>
  <c r="BT75" i="49"/>
  <c r="BS75" i="49"/>
  <c r="BR75" i="49"/>
  <c r="BQ75" i="49"/>
  <c r="BP75" i="49"/>
  <c r="BO75" i="49"/>
  <c r="BN75" i="49"/>
  <c r="BM75" i="49"/>
  <c r="BL75" i="49"/>
  <c r="BK75" i="49"/>
  <c r="BJ75" i="49"/>
  <c r="BI75" i="49"/>
  <c r="BH75" i="49"/>
  <c r="BG75" i="49"/>
  <c r="BF75" i="49"/>
  <c r="BE75" i="49"/>
  <c r="BD75" i="49"/>
  <c r="BC75" i="49"/>
  <c r="BB75" i="49"/>
  <c r="BA75" i="49"/>
  <c r="AZ75" i="49"/>
  <c r="AY75" i="49"/>
  <c r="AX75" i="49"/>
  <c r="AW75" i="49"/>
  <c r="AV75" i="49"/>
  <c r="AU75" i="49"/>
  <c r="AT75" i="49"/>
  <c r="AS75" i="49"/>
  <c r="CC74" i="49"/>
  <c r="CB74" i="49"/>
  <c r="CA74" i="49"/>
  <c r="BZ74" i="49"/>
  <c r="BY74" i="49"/>
  <c r="BX74" i="49"/>
  <c r="BW74" i="49"/>
  <c r="BV74" i="49"/>
  <c r="BU74" i="49"/>
  <c r="BT74" i="49"/>
  <c r="BS74" i="49"/>
  <c r="BR74" i="49"/>
  <c r="BQ74" i="49"/>
  <c r="BP74" i="49"/>
  <c r="BO74" i="49"/>
  <c r="BN74" i="49"/>
  <c r="BM74" i="49"/>
  <c r="BL74" i="49"/>
  <c r="BK74" i="49"/>
  <c r="BJ74" i="49"/>
  <c r="BI74" i="49"/>
  <c r="BH74" i="49"/>
  <c r="BG74" i="49"/>
  <c r="BF74" i="49"/>
  <c r="BE74" i="49"/>
  <c r="BD74" i="49"/>
  <c r="BC74" i="49"/>
  <c r="BB74" i="49"/>
  <c r="BA74" i="49"/>
  <c r="AZ74" i="49"/>
  <c r="AY74" i="49"/>
  <c r="AX74" i="49"/>
  <c r="AW74" i="49"/>
  <c r="AV74" i="49"/>
  <c r="AU74" i="49"/>
  <c r="AT74" i="49"/>
  <c r="AS74" i="49"/>
  <c r="CC73" i="49"/>
  <c r="CB73" i="49"/>
  <c r="CA73" i="49"/>
  <c r="BZ73" i="49"/>
  <c r="BY73" i="49"/>
  <c r="BX73" i="49"/>
  <c r="BW73" i="49"/>
  <c r="BV73" i="49"/>
  <c r="BU73" i="49"/>
  <c r="BT73" i="49"/>
  <c r="BS73" i="49"/>
  <c r="BR73" i="49"/>
  <c r="BQ73" i="49"/>
  <c r="BP73" i="49"/>
  <c r="BO73" i="49"/>
  <c r="BN73" i="49"/>
  <c r="BM73" i="49"/>
  <c r="BL73" i="49"/>
  <c r="BK73" i="49"/>
  <c r="BJ73" i="49"/>
  <c r="BI73" i="49"/>
  <c r="BH73" i="49"/>
  <c r="BG73" i="49"/>
  <c r="BF73" i="49"/>
  <c r="BE73" i="49"/>
  <c r="BD73" i="49"/>
  <c r="BC73" i="49"/>
  <c r="BB73" i="49"/>
  <c r="BA73" i="49"/>
  <c r="AZ73" i="49"/>
  <c r="AY73" i="49"/>
  <c r="AX73" i="49"/>
  <c r="AW73" i="49"/>
  <c r="AV73" i="49"/>
  <c r="AU73" i="49"/>
  <c r="AT73" i="49"/>
  <c r="AS73" i="49"/>
  <c r="CC72" i="49"/>
  <c r="CB72" i="49"/>
  <c r="CA72" i="49"/>
  <c r="BZ72" i="49"/>
  <c r="BY72" i="49"/>
  <c r="BX72" i="49"/>
  <c r="BW72" i="49"/>
  <c r="BV72" i="49"/>
  <c r="BU72" i="49"/>
  <c r="BT72" i="49"/>
  <c r="BS72" i="49"/>
  <c r="BR72" i="49"/>
  <c r="BQ72" i="49"/>
  <c r="BP72" i="49"/>
  <c r="BO72" i="49"/>
  <c r="BN72" i="49"/>
  <c r="BM72" i="49"/>
  <c r="BL72" i="49"/>
  <c r="BK72" i="49"/>
  <c r="BJ72" i="49"/>
  <c r="BI72" i="49"/>
  <c r="BH72" i="49"/>
  <c r="BG72" i="49"/>
  <c r="BF72" i="49"/>
  <c r="BE72" i="49"/>
  <c r="BD72" i="49"/>
  <c r="BC72" i="49"/>
  <c r="BB72" i="49"/>
  <c r="BA72" i="49"/>
  <c r="AZ72" i="49"/>
  <c r="AY72" i="49"/>
  <c r="AX72" i="49"/>
  <c r="AW72" i="49"/>
  <c r="AV72" i="49"/>
  <c r="AU72" i="49"/>
  <c r="AT72" i="49"/>
  <c r="AS72" i="49"/>
  <c r="CC71" i="49"/>
  <c r="CB71" i="49"/>
  <c r="CA71" i="49"/>
  <c r="BZ71" i="49"/>
  <c r="BY71" i="49"/>
  <c r="BX71" i="49"/>
  <c r="BW71" i="49"/>
  <c r="BV71" i="49"/>
  <c r="BU71" i="49"/>
  <c r="BT71" i="49"/>
  <c r="BS71" i="49"/>
  <c r="BR71" i="49"/>
  <c r="BQ71" i="49"/>
  <c r="BP71" i="49"/>
  <c r="BO71" i="49"/>
  <c r="BN71" i="49"/>
  <c r="BM71" i="49"/>
  <c r="BL71" i="49"/>
  <c r="BK71" i="49"/>
  <c r="BJ71" i="49"/>
  <c r="BI71" i="49"/>
  <c r="BH71" i="49"/>
  <c r="BG71" i="49"/>
  <c r="BF71" i="49"/>
  <c r="BE71" i="49"/>
  <c r="BD71" i="49"/>
  <c r="BC71" i="49"/>
  <c r="BB71" i="49"/>
  <c r="BA71" i="49"/>
  <c r="AZ71" i="49"/>
  <c r="AY71" i="49"/>
  <c r="AX71" i="49"/>
  <c r="AW71" i="49"/>
  <c r="AV71" i="49"/>
  <c r="AU71" i="49"/>
  <c r="AT71" i="49"/>
  <c r="AS71" i="49"/>
  <c r="CC70" i="49"/>
  <c r="CB70" i="49"/>
  <c r="CA70" i="49"/>
  <c r="BZ70" i="49"/>
  <c r="BY70" i="49"/>
  <c r="BX70" i="49"/>
  <c r="BW70" i="49"/>
  <c r="BV70" i="49"/>
  <c r="BU70" i="49"/>
  <c r="BT70" i="49"/>
  <c r="BS70" i="49"/>
  <c r="BR70" i="49"/>
  <c r="BQ70" i="49"/>
  <c r="BP70" i="49"/>
  <c r="BO70" i="49"/>
  <c r="BN70" i="49"/>
  <c r="BM70" i="49"/>
  <c r="BL70" i="49"/>
  <c r="BK70" i="49"/>
  <c r="BJ70" i="49"/>
  <c r="BI70" i="49"/>
  <c r="BH70" i="49"/>
  <c r="BG70" i="49"/>
  <c r="BF70" i="49"/>
  <c r="BE70" i="49"/>
  <c r="BD70" i="49"/>
  <c r="BC70" i="49"/>
  <c r="BB70" i="49"/>
  <c r="BA70" i="49"/>
  <c r="AZ70" i="49"/>
  <c r="AY70" i="49"/>
  <c r="AX70" i="49"/>
  <c r="AW70" i="49"/>
  <c r="AV70" i="49"/>
  <c r="AU70" i="49"/>
  <c r="AT70" i="49"/>
  <c r="AS70" i="49"/>
  <c r="CC69" i="49"/>
  <c r="CB69" i="49"/>
  <c r="CA69" i="49"/>
  <c r="BZ69" i="49"/>
  <c r="BY69" i="49"/>
  <c r="BX69" i="49"/>
  <c r="BW69" i="49"/>
  <c r="BV69" i="49"/>
  <c r="BU69" i="49"/>
  <c r="BT69" i="49"/>
  <c r="BS69" i="49"/>
  <c r="BR69" i="49"/>
  <c r="BQ69" i="49"/>
  <c r="BP69" i="49"/>
  <c r="BO69" i="49"/>
  <c r="BN69" i="49"/>
  <c r="BM69" i="49"/>
  <c r="BL69" i="49"/>
  <c r="BK69" i="49"/>
  <c r="BJ69" i="49"/>
  <c r="BI69" i="49"/>
  <c r="BH69" i="49"/>
  <c r="BG69" i="49"/>
  <c r="BF69" i="49"/>
  <c r="BE69" i="49"/>
  <c r="BD69" i="49"/>
  <c r="BC69" i="49"/>
  <c r="BB69" i="49"/>
  <c r="BA69" i="49"/>
  <c r="AZ69" i="49"/>
  <c r="AY69" i="49"/>
  <c r="AX69" i="49"/>
  <c r="AW69" i="49"/>
  <c r="AV69" i="49"/>
  <c r="AU69" i="49"/>
  <c r="AT69" i="49"/>
  <c r="AS69" i="49"/>
  <c r="CC68" i="49"/>
  <c r="CB68" i="49"/>
  <c r="CA68" i="49"/>
  <c r="BZ68" i="49"/>
  <c r="BY68" i="49"/>
  <c r="BX68" i="49"/>
  <c r="BW68" i="49"/>
  <c r="BV68" i="49"/>
  <c r="BU68" i="49"/>
  <c r="BT68" i="49"/>
  <c r="BS68" i="49"/>
  <c r="BR68" i="49"/>
  <c r="BQ68" i="49"/>
  <c r="BP68" i="49"/>
  <c r="BO68" i="49"/>
  <c r="BN68" i="49"/>
  <c r="BM68" i="49"/>
  <c r="BL68" i="49"/>
  <c r="BK68" i="49"/>
  <c r="BJ68" i="49"/>
  <c r="BI68" i="49"/>
  <c r="BH68" i="49"/>
  <c r="BG68" i="49"/>
  <c r="BF68" i="49"/>
  <c r="BE68" i="49"/>
  <c r="BD68" i="49"/>
  <c r="BC68" i="49"/>
  <c r="BB68" i="49"/>
  <c r="BA68" i="49"/>
  <c r="AZ68" i="49"/>
  <c r="AY68" i="49"/>
  <c r="AX68" i="49"/>
  <c r="AW68" i="49"/>
  <c r="AV68" i="49"/>
  <c r="AU68" i="49"/>
  <c r="AT68" i="49"/>
  <c r="AS68" i="49"/>
  <c r="CC67" i="49"/>
  <c r="CB67" i="49"/>
  <c r="CA67" i="49"/>
  <c r="BZ67" i="49"/>
  <c r="BY67" i="49"/>
  <c r="BX67" i="49"/>
  <c r="BW67" i="49"/>
  <c r="BV67" i="49"/>
  <c r="BU67" i="49"/>
  <c r="BT67" i="49"/>
  <c r="BS67" i="49"/>
  <c r="BR67" i="49"/>
  <c r="BQ67" i="49"/>
  <c r="BP67" i="49"/>
  <c r="BO67" i="49"/>
  <c r="BN67" i="49"/>
  <c r="BM67" i="49"/>
  <c r="BL67" i="49"/>
  <c r="BK67" i="49"/>
  <c r="BJ67" i="49"/>
  <c r="BI67" i="49"/>
  <c r="BH67" i="49"/>
  <c r="BG67" i="49"/>
  <c r="BF67" i="49"/>
  <c r="BE67" i="49"/>
  <c r="BD67" i="49"/>
  <c r="BC67" i="49"/>
  <c r="BB67" i="49"/>
  <c r="BA67" i="49"/>
  <c r="AZ67" i="49"/>
  <c r="AY67" i="49"/>
  <c r="AX67" i="49"/>
  <c r="AW67" i="49"/>
  <c r="AV67" i="49"/>
  <c r="AU67" i="49"/>
  <c r="AT67" i="49"/>
  <c r="AS67" i="49"/>
  <c r="CC66" i="49"/>
  <c r="CB66" i="49"/>
  <c r="CA66" i="49"/>
  <c r="BZ66" i="49"/>
  <c r="BY66" i="49"/>
  <c r="BX66" i="49"/>
  <c r="BW66" i="49"/>
  <c r="BV66" i="49"/>
  <c r="BU66" i="49"/>
  <c r="BT66" i="49"/>
  <c r="BS66" i="49"/>
  <c r="BR66" i="49"/>
  <c r="BQ66" i="49"/>
  <c r="BP66" i="49"/>
  <c r="BO66" i="49"/>
  <c r="BN66" i="49"/>
  <c r="BM66" i="49"/>
  <c r="BL66" i="49"/>
  <c r="BK66" i="49"/>
  <c r="BJ66" i="49"/>
  <c r="BI66" i="49"/>
  <c r="BH66" i="49"/>
  <c r="BG66" i="49"/>
  <c r="BF66" i="49"/>
  <c r="BE66" i="49"/>
  <c r="BD66" i="49"/>
  <c r="BC66" i="49"/>
  <c r="BB66" i="49"/>
  <c r="BA66" i="49"/>
  <c r="AZ66" i="49"/>
  <c r="AY66" i="49"/>
  <c r="AX66" i="49"/>
  <c r="AW66" i="49"/>
  <c r="AV66" i="49"/>
  <c r="AU66" i="49"/>
  <c r="AT66" i="49"/>
  <c r="AS66" i="49"/>
  <c r="CC65" i="49"/>
  <c r="CB65" i="49"/>
  <c r="CA65" i="49"/>
  <c r="BZ65" i="49"/>
  <c r="BY65" i="49"/>
  <c r="BX65" i="49"/>
  <c r="BW65" i="49"/>
  <c r="BV65" i="49"/>
  <c r="BU65" i="49"/>
  <c r="BT65" i="49"/>
  <c r="BS65" i="49"/>
  <c r="BR65" i="49"/>
  <c r="BQ65" i="49"/>
  <c r="BP65" i="49"/>
  <c r="BO65" i="49"/>
  <c r="BN65" i="49"/>
  <c r="BM65" i="49"/>
  <c r="BL65" i="49"/>
  <c r="BK65" i="49"/>
  <c r="BJ65" i="49"/>
  <c r="BI65" i="49"/>
  <c r="BH65" i="49"/>
  <c r="BG65" i="49"/>
  <c r="BF65" i="49"/>
  <c r="BE65" i="49"/>
  <c r="BD65" i="49"/>
  <c r="BC65" i="49"/>
  <c r="BB65" i="49"/>
  <c r="BA65" i="49"/>
  <c r="AZ65" i="49"/>
  <c r="AY65" i="49"/>
  <c r="AX65" i="49"/>
  <c r="AW65" i="49"/>
  <c r="AV65" i="49"/>
  <c r="AU65" i="49"/>
  <c r="AT65" i="49"/>
  <c r="AS65" i="49"/>
  <c r="CC64" i="49"/>
  <c r="CB64" i="49"/>
  <c r="CA64" i="49"/>
  <c r="BZ64" i="49"/>
  <c r="BY64" i="49"/>
  <c r="BX64" i="49"/>
  <c r="BW64" i="49"/>
  <c r="BV64" i="49"/>
  <c r="BU64" i="49"/>
  <c r="BT64" i="49"/>
  <c r="BS64" i="49"/>
  <c r="BR64" i="49"/>
  <c r="BQ64" i="49"/>
  <c r="BP64" i="49"/>
  <c r="BO64" i="49"/>
  <c r="BN64" i="49"/>
  <c r="BM64" i="49"/>
  <c r="BL64" i="49"/>
  <c r="BK64" i="49"/>
  <c r="BJ64" i="49"/>
  <c r="BI64" i="49"/>
  <c r="BH64" i="49"/>
  <c r="BG64" i="49"/>
  <c r="BF64" i="49"/>
  <c r="BE64" i="49"/>
  <c r="BD64" i="49"/>
  <c r="BC64" i="49"/>
  <c r="BB64" i="49"/>
  <c r="BA64" i="49"/>
  <c r="AZ64" i="49"/>
  <c r="AY64" i="49"/>
  <c r="AX64" i="49"/>
  <c r="AW64" i="49"/>
  <c r="AV64" i="49"/>
  <c r="AU64" i="49"/>
  <c r="AT64" i="49"/>
  <c r="AS64" i="49"/>
  <c r="CC63" i="49"/>
  <c r="CB63" i="49"/>
  <c r="CA63" i="49"/>
  <c r="BZ63" i="49"/>
  <c r="BY63" i="49"/>
  <c r="BX63" i="49"/>
  <c r="BW63" i="49"/>
  <c r="BV63" i="49"/>
  <c r="BU63" i="49"/>
  <c r="BT63" i="49"/>
  <c r="BS63" i="49"/>
  <c r="BR63" i="49"/>
  <c r="BQ63" i="49"/>
  <c r="BP63" i="49"/>
  <c r="BO63" i="49"/>
  <c r="BN63" i="49"/>
  <c r="BM63" i="49"/>
  <c r="BL63" i="49"/>
  <c r="BK63" i="49"/>
  <c r="BJ63" i="49"/>
  <c r="BI63" i="49"/>
  <c r="BH63" i="49"/>
  <c r="BG63" i="49"/>
  <c r="BF63" i="49"/>
  <c r="BE63" i="49"/>
  <c r="BD63" i="49"/>
  <c r="BC63" i="49"/>
  <c r="BB63" i="49"/>
  <c r="BA63" i="49"/>
  <c r="AZ63" i="49"/>
  <c r="AY63" i="49"/>
  <c r="AX63" i="49"/>
  <c r="AW63" i="49"/>
  <c r="AV63" i="49"/>
  <c r="AU63" i="49"/>
  <c r="AT63" i="49"/>
  <c r="AS63" i="49"/>
  <c r="CC62" i="49"/>
  <c r="CB62" i="49"/>
  <c r="CA62" i="49"/>
  <c r="BZ62" i="49"/>
  <c r="BY62" i="49"/>
  <c r="BX62" i="49"/>
  <c r="BW62" i="49"/>
  <c r="BV62" i="49"/>
  <c r="BU62" i="49"/>
  <c r="BT62" i="49"/>
  <c r="BS62" i="49"/>
  <c r="BR62" i="49"/>
  <c r="BQ62" i="49"/>
  <c r="BP62" i="49"/>
  <c r="BO62" i="49"/>
  <c r="BN62" i="49"/>
  <c r="BM62" i="49"/>
  <c r="BL62" i="49"/>
  <c r="BK62" i="49"/>
  <c r="BJ62" i="49"/>
  <c r="BI62" i="49"/>
  <c r="BH62" i="49"/>
  <c r="BG62" i="49"/>
  <c r="BF62" i="49"/>
  <c r="BE62" i="49"/>
  <c r="BD62" i="49"/>
  <c r="BC62" i="49"/>
  <c r="BB62" i="49"/>
  <c r="BA62" i="49"/>
  <c r="AZ62" i="49"/>
  <c r="AY62" i="49"/>
  <c r="AX62" i="49"/>
  <c r="AW62" i="49"/>
  <c r="AV62" i="49"/>
  <c r="AU62" i="49"/>
  <c r="AT62" i="49"/>
  <c r="AS62" i="49"/>
  <c r="CC61" i="49"/>
  <c r="CB61" i="49"/>
  <c r="CA61" i="49"/>
  <c r="BZ61" i="49"/>
  <c r="BY61" i="49"/>
  <c r="BX61" i="49"/>
  <c r="BW61" i="49"/>
  <c r="BV61" i="49"/>
  <c r="BU61" i="49"/>
  <c r="BT61" i="49"/>
  <c r="BS61" i="49"/>
  <c r="BR61" i="49"/>
  <c r="BQ61" i="49"/>
  <c r="BP61" i="49"/>
  <c r="BO61" i="49"/>
  <c r="BN61" i="49"/>
  <c r="BM61" i="49"/>
  <c r="BL61" i="49"/>
  <c r="BK61" i="49"/>
  <c r="BJ61" i="49"/>
  <c r="BI61" i="49"/>
  <c r="BH61" i="49"/>
  <c r="BG61" i="49"/>
  <c r="BF61" i="49"/>
  <c r="BE61" i="49"/>
  <c r="BD61" i="49"/>
  <c r="BC61" i="49"/>
  <c r="BB61" i="49"/>
  <c r="BA61" i="49"/>
  <c r="AZ61" i="49"/>
  <c r="AY61" i="49"/>
  <c r="AX61" i="49"/>
  <c r="AW61" i="49"/>
  <c r="AV61" i="49"/>
  <c r="AU61" i="49"/>
  <c r="AT61" i="49"/>
  <c r="AS61" i="49"/>
  <c r="CC60" i="49"/>
  <c r="CB60" i="49"/>
  <c r="CA60" i="49"/>
  <c r="BZ60" i="49"/>
  <c r="BY60" i="49"/>
  <c r="BX60" i="49"/>
  <c r="BW60" i="49"/>
  <c r="BV60" i="49"/>
  <c r="BU60" i="49"/>
  <c r="BT60" i="49"/>
  <c r="BS60" i="49"/>
  <c r="BR60" i="49"/>
  <c r="BQ60" i="49"/>
  <c r="BP60" i="49"/>
  <c r="BO60" i="49"/>
  <c r="BN60" i="49"/>
  <c r="BM60" i="49"/>
  <c r="BL60" i="49"/>
  <c r="BK60" i="49"/>
  <c r="BJ60" i="49"/>
  <c r="BI60" i="49"/>
  <c r="BH60" i="49"/>
  <c r="BG60" i="49"/>
  <c r="BF60" i="49"/>
  <c r="BE60" i="49"/>
  <c r="BD60" i="49"/>
  <c r="BC60" i="49"/>
  <c r="BB60" i="49"/>
  <c r="BA60" i="49"/>
  <c r="AZ60" i="49"/>
  <c r="AY60" i="49"/>
  <c r="AX60" i="49"/>
  <c r="AW60" i="49"/>
  <c r="AV60" i="49"/>
  <c r="AU60" i="49"/>
  <c r="AT60" i="49"/>
  <c r="AS60" i="49"/>
  <c r="CC59" i="49"/>
  <c r="CB59" i="49"/>
  <c r="CA59" i="49"/>
  <c r="BZ59" i="49"/>
  <c r="BY59" i="49"/>
  <c r="BX59" i="49"/>
  <c r="BW59" i="49"/>
  <c r="BV59" i="49"/>
  <c r="BU59" i="49"/>
  <c r="BT59" i="49"/>
  <c r="BS59" i="49"/>
  <c r="BR59" i="49"/>
  <c r="BQ59" i="49"/>
  <c r="BP59" i="49"/>
  <c r="BO59" i="49"/>
  <c r="BN59" i="49"/>
  <c r="BM59" i="49"/>
  <c r="BL59" i="49"/>
  <c r="BK59" i="49"/>
  <c r="BJ59" i="49"/>
  <c r="BI59" i="49"/>
  <c r="BH59" i="49"/>
  <c r="BG59" i="49"/>
  <c r="BF59" i="49"/>
  <c r="BE59" i="49"/>
  <c r="BD59" i="49"/>
  <c r="BC59" i="49"/>
  <c r="BB59" i="49"/>
  <c r="BA59" i="49"/>
  <c r="AZ59" i="49"/>
  <c r="AY59" i="49"/>
  <c r="AX59" i="49"/>
  <c r="AW59" i="49"/>
  <c r="AV59" i="49"/>
  <c r="AU59" i="49"/>
  <c r="AT59" i="49"/>
  <c r="AS59" i="49"/>
  <c r="CC58" i="49"/>
  <c r="CB58" i="49"/>
  <c r="CA58" i="49"/>
  <c r="BZ58" i="49"/>
  <c r="BY58" i="49"/>
  <c r="BX58" i="49"/>
  <c r="BW58" i="49"/>
  <c r="BV58" i="49"/>
  <c r="BU58" i="49"/>
  <c r="BT58" i="49"/>
  <c r="BS58" i="49"/>
  <c r="BR58" i="49"/>
  <c r="BQ58" i="49"/>
  <c r="BP58" i="49"/>
  <c r="BO58" i="49"/>
  <c r="BN58" i="49"/>
  <c r="BM58" i="49"/>
  <c r="BL58" i="49"/>
  <c r="BK58" i="49"/>
  <c r="BJ58" i="49"/>
  <c r="BI58" i="49"/>
  <c r="BH58" i="49"/>
  <c r="BG58" i="49"/>
  <c r="BF58" i="49"/>
  <c r="BE58" i="49"/>
  <c r="BD58" i="49"/>
  <c r="BC58" i="49"/>
  <c r="BB58" i="49"/>
  <c r="BA58" i="49"/>
  <c r="AZ58" i="49"/>
  <c r="AY58" i="49"/>
  <c r="AX58" i="49"/>
  <c r="AW58" i="49"/>
  <c r="AV58" i="49"/>
  <c r="AU58" i="49"/>
  <c r="AT58" i="49"/>
  <c r="AS58" i="49"/>
  <c r="CC56" i="49"/>
  <c r="CB56" i="49"/>
  <c r="CA56" i="49"/>
  <c r="BZ56" i="49"/>
  <c r="BY56" i="49"/>
  <c r="BX56" i="49"/>
  <c r="BW56" i="49"/>
  <c r="BV56" i="49"/>
  <c r="BU56" i="49"/>
  <c r="BT56" i="49"/>
  <c r="BS56" i="49"/>
  <c r="BR56" i="49"/>
  <c r="BQ56" i="49"/>
  <c r="BP56" i="49"/>
  <c r="BO56" i="49"/>
  <c r="BN56" i="49"/>
  <c r="BM56" i="49"/>
  <c r="BL56" i="49"/>
  <c r="BK56" i="49"/>
  <c r="BJ56" i="49"/>
  <c r="BI56" i="49"/>
  <c r="BH56" i="49"/>
  <c r="BG56" i="49"/>
  <c r="BF56" i="49"/>
  <c r="BE56" i="49"/>
  <c r="BD56" i="49"/>
  <c r="BC56" i="49"/>
  <c r="BB56" i="49"/>
  <c r="BA56" i="49"/>
  <c r="AZ56" i="49"/>
  <c r="AY56" i="49"/>
  <c r="AX56" i="49"/>
  <c r="AW56" i="49"/>
  <c r="AV56" i="49"/>
  <c r="AU56" i="49"/>
  <c r="AT56" i="49"/>
  <c r="AS56" i="49"/>
  <c r="CC55" i="49"/>
  <c r="CB55" i="49"/>
  <c r="CA55" i="49"/>
  <c r="BZ55" i="49"/>
  <c r="BY55" i="49"/>
  <c r="BX55" i="49"/>
  <c r="BW55" i="49"/>
  <c r="BV55" i="49"/>
  <c r="BU55" i="49"/>
  <c r="BT55" i="49"/>
  <c r="BS55" i="49"/>
  <c r="BR55" i="49"/>
  <c r="BQ55" i="49"/>
  <c r="BP55" i="49"/>
  <c r="BO55" i="49"/>
  <c r="BN55" i="49"/>
  <c r="BM55" i="49"/>
  <c r="BL55" i="49"/>
  <c r="BK55" i="49"/>
  <c r="BJ55" i="49"/>
  <c r="BI55" i="49"/>
  <c r="BH55" i="49"/>
  <c r="BG55" i="49"/>
  <c r="BF55" i="49"/>
  <c r="BE55" i="49"/>
  <c r="BD55" i="49"/>
  <c r="BC55" i="49"/>
  <c r="BB55" i="49"/>
  <c r="BA55" i="49"/>
  <c r="AZ55" i="49"/>
  <c r="AY55" i="49"/>
  <c r="AX55" i="49"/>
  <c r="AW55" i="49"/>
  <c r="AV55" i="49"/>
  <c r="AU55" i="49"/>
  <c r="AT55" i="49"/>
  <c r="AS55" i="49"/>
  <c r="CC54" i="49"/>
  <c r="CB54" i="49"/>
  <c r="CA54" i="49"/>
  <c r="BZ54" i="49"/>
  <c r="BY54" i="49"/>
  <c r="BX54" i="49"/>
  <c r="BW54" i="49"/>
  <c r="BV54" i="49"/>
  <c r="BU54" i="49"/>
  <c r="BT54" i="49"/>
  <c r="BS54" i="49"/>
  <c r="BR54" i="49"/>
  <c r="BQ54" i="49"/>
  <c r="BP54" i="49"/>
  <c r="BO54" i="49"/>
  <c r="BN54" i="49"/>
  <c r="BM54" i="49"/>
  <c r="BL54" i="49"/>
  <c r="BK54" i="49"/>
  <c r="BJ54" i="49"/>
  <c r="BI54" i="49"/>
  <c r="BH54" i="49"/>
  <c r="BG54" i="49"/>
  <c r="BF54" i="49"/>
  <c r="BE54" i="49"/>
  <c r="BD54" i="49"/>
  <c r="BC54" i="49"/>
  <c r="BB54" i="49"/>
  <c r="BA54" i="49"/>
  <c r="AZ54" i="49"/>
  <c r="AY54" i="49"/>
  <c r="AX54" i="49"/>
  <c r="AW54" i="49"/>
  <c r="AV54" i="49"/>
  <c r="AU54" i="49"/>
  <c r="AT54" i="49"/>
  <c r="AS54" i="49"/>
  <c r="CC53" i="49"/>
  <c r="CB53" i="49"/>
  <c r="CA53" i="49"/>
  <c r="BZ53" i="49"/>
  <c r="BY53" i="49"/>
  <c r="BX53" i="49"/>
  <c r="BW53" i="49"/>
  <c r="BV53" i="49"/>
  <c r="BU53" i="49"/>
  <c r="BT53" i="49"/>
  <c r="BS53" i="49"/>
  <c r="BR53" i="49"/>
  <c r="BQ53" i="49"/>
  <c r="BP53" i="49"/>
  <c r="BO53" i="49"/>
  <c r="BN53" i="49"/>
  <c r="BM53" i="49"/>
  <c r="BL53" i="49"/>
  <c r="BK53" i="49"/>
  <c r="BJ53" i="49"/>
  <c r="BI53" i="49"/>
  <c r="BH53" i="49"/>
  <c r="BG53" i="49"/>
  <c r="BF53" i="49"/>
  <c r="BE53" i="49"/>
  <c r="BD53" i="49"/>
  <c r="BC53" i="49"/>
  <c r="BB53" i="49"/>
  <c r="BA53" i="49"/>
  <c r="AZ53" i="49"/>
  <c r="AY53" i="49"/>
  <c r="AX53" i="49"/>
  <c r="AW53" i="49"/>
  <c r="AV53" i="49"/>
  <c r="AU53" i="49"/>
  <c r="AT53" i="49"/>
  <c r="AS53" i="49"/>
  <c r="CC52" i="49"/>
  <c r="CB52" i="49"/>
  <c r="CA52" i="49"/>
  <c r="BZ52" i="49"/>
  <c r="BY52" i="49"/>
  <c r="BX52" i="49"/>
  <c r="BW52" i="49"/>
  <c r="BV52" i="49"/>
  <c r="BU52" i="49"/>
  <c r="BT52" i="49"/>
  <c r="BS52" i="49"/>
  <c r="BR52" i="49"/>
  <c r="BQ52" i="49"/>
  <c r="BP52" i="49"/>
  <c r="BO52" i="49"/>
  <c r="BN52" i="49"/>
  <c r="BM52" i="49"/>
  <c r="BL52" i="49"/>
  <c r="BK52" i="49"/>
  <c r="BJ52" i="49"/>
  <c r="BI52" i="49"/>
  <c r="BH52" i="49"/>
  <c r="BG52" i="49"/>
  <c r="BF52" i="49"/>
  <c r="BE52" i="49"/>
  <c r="BD52" i="49"/>
  <c r="BC52" i="49"/>
  <c r="BB52" i="49"/>
  <c r="BA52" i="49"/>
  <c r="AZ52" i="49"/>
  <c r="AY52" i="49"/>
  <c r="AX52" i="49"/>
  <c r="AW52" i="49"/>
  <c r="AV52" i="49"/>
  <c r="AU52" i="49"/>
  <c r="AT52" i="49"/>
  <c r="AS52" i="49"/>
  <c r="CC51" i="49"/>
  <c r="CB51" i="49"/>
  <c r="CA51" i="49"/>
  <c r="BZ51" i="49"/>
  <c r="BY51" i="49"/>
  <c r="BX51" i="49"/>
  <c r="BW51" i="49"/>
  <c r="BV51" i="49"/>
  <c r="BU51" i="49"/>
  <c r="BT51" i="49"/>
  <c r="BS51" i="49"/>
  <c r="BR51" i="49"/>
  <c r="BQ51" i="49"/>
  <c r="BP51" i="49"/>
  <c r="BO51" i="49"/>
  <c r="BN51" i="49"/>
  <c r="BM51" i="49"/>
  <c r="BL51" i="49"/>
  <c r="BK51" i="49"/>
  <c r="BJ51" i="49"/>
  <c r="BI51" i="49"/>
  <c r="BH51" i="49"/>
  <c r="BG51" i="49"/>
  <c r="BF51" i="49"/>
  <c r="BE51" i="49"/>
  <c r="BD51" i="49"/>
  <c r="BC51" i="49"/>
  <c r="BB51" i="49"/>
  <c r="BA51" i="49"/>
  <c r="AZ51" i="49"/>
  <c r="AY51" i="49"/>
  <c r="AX51" i="49"/>
  <c r="AW51" i="49"/>
  <c r="AV51" i="49"/>
  <c r="AU51" i="49"/>
  <c r="AT51" i="49"/>
  <c r="AS51" i="49"/>
  <c r="CC50" i="49"/>
  <c r="CB50" i="49"/>
  <c r="CA50" i="49"/>
  <c r="BZ50" i="49"/>
  <c r="BY50" i="49"/>
  <c r="BX50" i="49"/>
  <c r="BW50" i="49"/>
  <c r="BV50" i="49"/>
  <c r="BU50" i="49"/>
  <c r="BT50" i="49"/>
  <c r="BS50" i="49"/>
  <c r="BR50" i="49"/>
  <c r="BQ50" i="49"/>
  <c r="BP50" i="49"/>
  <c r="BO50" i="49"/>
  <c r="BN50" i="49"/>
  <c r="BM50" i="49"/>
  <c r="BL50" i="49"/>
  <c r="BK50" i="49"/>
  <c r="BJ50" i="49"/>
  <c r="BI50" i="49"/>
  <c r="BH50" i="49"/>
  <c r="BG50" i="49"/>
  <c r="BF50" i="49"/>
  <c r="BE50" i="49"/>
  <c r="BD50" i="49"/>
  <c r="BC50" i="49"/>
  <c r="BB50" i="49"/>
  <c r="BA50" i="49"/>
  <c r="AZ50" i="49"/>
  <c r="AY50" i="49"/>
  <c r="AX50" i="49"/>
  <c r="AW50" i="49"/>
  <c r="AV50" i="49"/>
  <c r="AU50" i="49"/>
  <c r="AT50" i="49"/>
  <c r="AS50" i="49"/>
  <c r="CC49" i="49"/>
  <c r="CB49" i="49"/>
  <c r="CA49" i="49"/>
  <c r="BZ49" i="49"/>
  <c r="BY49" i="49"/>
  <c r="BX49" i="49"/>
  <c r="BW49" i="49"/>
  <c r="BV49" i="49"/>
  <c r="BU49" i="49"/>
  <c r="BT49" i="49"/>
  <c r="BS49" i="49"/>
  <c r="BR49" i="49"/>
  <c r="BQ49" i="49"/>
  <c r="BP49" i="49"/>
  <c r="BO49" i="49"/>
  <c r="BN49" i="49"/>
  <c r="BM49" i="49"/>
  <c r="BL49" i="49"/>
  <c r="BK49" i="49"/>
  <c r="BJ49" i="49"/>
  <c r="BI49" i="49"/>
  <c r="BH49" i="49"/>
  <c r="BG49" i="49"/>
  <c r="BF49" i="49"/>
  <c r="BE49" i="49"/>
  <c r="BD49" i="49"/>
  <c r="BC49" i="49"/>
  <c r="BB49" i="49"/>
  <c r="BA49" i="49"/>
  <c r="AZ49" i="49"/>
  <c r="AY49" i="49"/>
  <c r="AX49" i="49"/>
  <c r="AW49" i="49"/>
  <c r="AV49" i="49"/>
  <c r="AU49" i="49"/>
  <c r="AT49" i="49"/>
  <c r="AS49" i="49"/>
  <c r="CC48" i="49"/>
  <c r="CB48" i="49"/>
  <c r="CA48" i="49"/>
  <c r="BZ48" i="49"/>
  <c r="BY48" i="49"/>
  <c r="BX48" i="49"/>
  <c r="BW48" i="49"/>
  <c r="BV48" i="49"/>
  <c r="BU48" i="49"/>
  <c r="BT48" i="49"/>
  <c r="BS48" i="49"/>
  <c r="BR48" i="49"/>
  <c r="BQ48" i="49"/>
  <c r="BP48" i="49"/>
  <c r="BO48" i="49"/>
  <c r="BN48" i="49"/>
  <c r="BM48" i="49"/>
  <c r="BL48" i="49"/>
  <c r="BK48" i="49"/>
  <c r="BJ48" i="49"/>
  <c r="BI48" i="49"/>
  <c r="BH48" i="49"/>
  <c r="BG48" i="49"/>
  <c r="BF48" i="49"/>
  <c r="BE48" i="49"/>
  <c r="BD48" i="49"/>
  <c r="BC48" i="49"/>
  <c r="BB48" i="49"/>
  <c r="BA48" i="49"/>
  <c r="AZ48" i="49"/>
  <c r="AY48" i="49"/>
  <c r="AX48" i="49"/>
  <c r="AW48" i="49"/>
  <c r="AV48" i="49"/>
  <c r="AU48" i="49"/>
  <c r="AT48" i="49"/>
  <c r="AS48" i="49"/>
  <c r="CC47" i="49"/>
  <c r="CB47" i="49"/>
  <c r="CA47" i="49"/>
  <c r="BZ47" i="49"/>
  <c r="BY47" i="49"/>
  <c r="BX47" i="49"/>
  <c r="BW47" i="49"/>
  <c r="BV47" i="49"/>
  <c r="BU47" i="49"/>
  <c r="BT47" i="49"/>
  <c r="BS47" i="49"/>
  <c r="BR47" i="49"/>
  <c r="BQ47" i="49"/>
  <c r="BP47" i="49"/>
  <c r="BO47" i="49"/>
  <c r="BN47" i="49"/>
  <c r="BM47" i="49"/>
  <c r="BL47" i="49"/>
  <c r="BK47" i="49"/>
  <c r="BJ47" i="49"/>
  <c r="BI47" i="49"/>
  <c r="BH47" i="49"/>
  <c r="BG47" i="49"/>
  <c r="BF47" i="49"/>
  <c r="BE47" i="49"/>
  <c r="BD47" i="49"/>
  <c r="BC47" i="49"/>
  <c r="BB47" i="49"/>
  <c r="BA47" i="49"/>
  <c r="AZ47" i="49"/>
  <c r="AY47" i="49"/>
  <c r="AX47" i="49"/>
  <c r="AW47" i="49"/>
  <c r="AV47" i="49"/>
  <c r="AU47" i="49"/>
  <c r="AT47" i="49"/>
  <c r="AS47" i="49"/>
  <c r="CC46" i="49"/>
  <c r="CB46" i="49"/>
  <c r="CA46" i="49"/>
  <c r="BZ46" i="49"/>
  <c r="BY46" i="49"/>
  <c r="BX46" i="49"/>
  <c r="BW46" i="49"/>
  <c r="BV46" i="49"/>
  <c r="BU46" i="49"/>
  <c r="BT46" i="49"/>
  <c r="BS46" i="49"/>
  <c r="BR46" i="49"/>
  <c r="BQ46" i="49"/>
  <c r="BP46" i="49"/>
  <c r="BO46" i="49"/>
  <c r="BN46" i="49"/>
  <c r="BM46" i="49"/>
  <c r="BL46" i="49"/>
  <c r="BK46" i="49"/>
  <c r="BJ46" i="49"/>
  <c r="BI46" i="49"/>
  <c r="BH46" i="49"/>
  <c r="BG46" i="49"/>
  <c r="BF46" i="49"/>
  <c r="BE46" i="49"/>
  <c r="BD46" i="49"/>
  <c r="BC46" i="49"/>
  <c r="BB46" i="49"/>
  <c r="BA46" i="49"/>
  <c r="AZ46" i="49"/>
  <c r="AY46" i="49"/>
  <c r="AX46" i="49"/>
  <c r="AW46" i="49"/>
  <c r="AV46" i="49"/>
  <c r="AU46" i="49"/>
  <c r="AT46" i="49"/>
  <c r="AS46" i="49"/>
  <c r="CC45" i="49"/>
  <c r="CB45" i="49"/>
  <c r="CA45" i="49"/>
  <c r="BZ45" i="49"/>
  <c r="BY45" i="49"/>
  <c r="BX45" i="49"/>
  <c r="BW45" i="49"/>
  <c r="BV45" i="49"/>
  <c r="BU45" i="49"/>
  <c r="BT45" i="49"/>
  <c r="BS45" i="49"/>
  <c r="BR45" i="49"/>
  <c r="BQ45" i="49"/>
  <c r="BP45" i="49"/>
  <c r="BO45" i="49"/>
  <c r="BN45" i="49"/>
  <c r="BM45" i="49"/>
  <c r="BL45" i="49"/>
  <c r="BK45" i="49"/>
  <c r="BJ45" i="49"/>
  <c r="BI45" i="49"/>
  <c r="BH45" i="49"/>
  <c r="BG45" i="49"/>
  <c r="BF45" i="49"/>
  <c r="BE45" i="49"/>
  <c r="BD45" i="49"/>
  <c r="BC45" i="49"/>
  <c r="BB45" i="49"/>
  <c r="BA45" i="49"/>
  <c r="AZ45" i="49"/>
  <c r="AY45" i="49"/>
  <c r="AX45" i="49"/>
  <c r="AW45" i="49"/>
  <c r="AV45" i="49"/>
  <c r="AU45" i="49"/>
  <c r="AT45" i="49"/>
  <c r="AS45" i="49"/>
  <c r="CC44" i="49"/>
  <c r="CB44" i="49"/>
  <c r="CA44" i="49"/>
  <c r="BZ44" i="49"/>
  <c r="BY44" i="49"/>
  <c r="BX44" i="49"/>
  <c r="BW44" i="49"/>
  <c r="BV44" i="49"/>
  <c r="BU44" i="49"/>
  <c r="BT44" i="49"/>
  <c r="BS44" i="49"/>
  <c r="BR44" i="49"/>
  <c r="BQ44" i="49"/>
  <c r="BP44" i="49"/>
  <c r="BO44" i="49"/>
  <c r="BN44" i="49"/>
  <c r="BM44" i="49"/>
  <c r="BL44" i="49"/>
  <c r="BK44" i="49"/>
  <c r="BJ44" i="49"/>
  <c r="BI44" i="49"/>
  <c r="BH44" i="49"/>
  <c r="BG44" i="49"/>
  <c r="BF44" i="49"/>
  <c r="BE44" i="49"/>
  <c r="BD44" i="49"/>
  <c r="BC44" i="49"/>
  <c r="BB44" i="49"/>
  <c r="BA44" i="49"/>
  <c r="AZ44" i="49"/>
  <c r="AY44" i="49"/>
  <c r="AX44" i="49"/>
  <c r="AW44" i="49"/>
  <c r="AV44" i="49"/>
  <c r="AU44" i="49"/>
  <c r="AT44" i="49"/>
  <c r="AS44" i="49"/>
  <c r="CC43" i="49"/>
  <c r="CB43" i="49"/>
  <c r="CA43" i="49"/>
  <c r="BZ43" i="49"/>
  <c r="BY43" i="49"/>
  <c r="BX43" i="49"/>
  <c r="BW43" i="49"/>
  <c r="BV43" i="49"/>
  <c r="BU43" i="49"/>
  <c r="BT43" i="49"/>
  <c r="BS43" i="49"/>
  <c r="BR43" i="49"/>
  <c r="BQ43" i="49"/>
  <c r="BP43" i="49"/>
  <c r="BO43" i="49"/>
  <c r="BN43" i="49"/>
  <c r="BM43" i="49"/>
  <c r="BL43" i="49"/>
  <c r="BK43" i="49"/>
  <c r="BJ43" i="49"/>
  <c r="BI43" i="49"/>
  <c r="BH43" i="49"/>
  <c r="BG43" i="49"/>
  <c r="BF43" i="49"/>
  <c r="BE43" i="49"/>
  <c r="BD43" i="49"/>
  <c r="BC43" i="49"/>
  <c r="BB43" i="49"/>
  <c r="BA43" i="49"/>
  <c r="AZ43" i="49"/>
  <c r="AY43" i="49"/>
  <c r="AX43" i="49"/>
  <c r="AW43" i="49"/>
  <c r="AV43" i="49"/>
  <c r="AU43" i="49"/>
  <c r="AT43" i="49"/>
  <c r="AS43" i="49"/>
  <c r="CC42" i="49"/>
  <c r="CB42" i="49"/>
  <c r="CA42" i="49"/>
  <c r="BZ42" i="49"/>
  <c r="BY42" i="49"/>
  <c r="BX42" i="49"/>
  <c r="BW42" i="49"/>
  <c r="BV42" i="49"/>
  <c r="BU42" i="49"/>
  <c r="BT42" i="49"/>
  <c r="BS42" i="49"/>
  <c r="BR42" i="49"/>
  <c r="BQ42" i="49"/>
  <c r="BP42" i="49"/>
  <c r="BO42" i="49"/>
  <c r="BN42" i="49"/>
  <c r="BM42" i="49"/>
  <c r="BL42" i="49"/>
  <c r="BK42" i="49"/>
  <c r="BJ42" i="49"/>
  <c r="BI42" i="49"/>
  <c r="BH42" i="49"/>
  <c r="BG42" i="49"/>
  <c r="BF42" i="49"/>
  <c r="BE42" i="49"/>
  <c r="BD42" i="49"/>
  <c r="BC42" i="49"/>
  <c r="BB42" i="49"/>
  <c r="BA42" i="49"/>
  <c r="AZ42" i="49"/>
  <c r="AY42" i="49"/>
  <c r="AX42" i="49"/>
  <c r="AW42" i="49"/>
  <c r="AV42" i="49"/>
  <c r="AU42" i="49"/>
  <c r="AT42" i="49"/>
  <c r="AS42" i="49"/>
  <c r="CC41" i="49"/>
  <c r="CB41" i="49"/>
  <c r="CA41" i="49"/>
  <c r="BZ41" i="49"/>
  <c r="BY41" i="49"/>
  <c r="BX41" i="49"/>
  <c r="BW41" i="49"/>
  <c r="BV41" i="49"/>
  <c r="BU41" i="49"/>
  <c r="BT41" i="49"/>
  <c r="BS41" i="49"/>
  <c r="BR41" i="49"/>
  <c r="BQ41" i="49"/>
  <c r="BP41" i="49"/>
  <c r="BO41" i="49"/>
  <c r="BN41" i="49"/>
  <c r="BM41" i="49"/>
  <c r="BL41" i="49"/>
  <c r="BK41" i="49"/>
  <c r="BJ41" i="49"/>
  <c r="BI41" i="49"/>
  <c r="BH41" i="49"/>
  <c r="BG41" i="49"/>
  <c r="BF41" i="49"/>
  <c r="BE41" i="49"/>
  <c r="BD41" i="49"/>
  <c r="BC41" i="49"/>
  <c r="BB41" i="49"/>
  <c r="BA41" i="49"/>
  <c r="AZ41" i="49"/>
  <c r="AY41" i="49"/>
  <c r="AX41" i="49"/>
  <c r="AW41" i="49"/>
  <c r="AV41" i="49"/>
  <c r="AU41" i="49"/>
  <c r="AT41" i="49"/>
  <c r="AS41" i="49"/>
  <c r="CC40" i="49"/>
  <c r="CB40" i="49"/>
  <c r="CA40" i="49"/>
  <c r="BZ40" i="49"/>
  <c r="BY40" i="49"/>
  <c r="BX40" i="49"/>
  <c r="BW40" i="49"/>
  <c r="BV40" i="49"/>
  <c r="BU40" i="49"/>
  <c r="BT40" i="49"/>
  <c r="BS40" i="49"/>
  <c r="BR40" i="49"/>
  <c r="BQ40" i="49"/>
  <c r="BP40" i="49"/>
  <c r="BO40" i="49"/>
  <c r="BN40" i="49"/>
  <c r="BM40" i="49"/>
  <c r="BL40" i="49"/>
  <c r="BK40" i="49"/>
  <c r="BJ40" i="49"/>
  <c r="BI40" i="49"/>
  <c r="BH40" i="49"/>
  <c r="BG40" i="49"/>
  <c r="BF40" i="49"/>
  <c r="BE40" i="49"/>
  <c r="BD40" i="49"/>
  <c r="BC40" i="49"/>
  <c r="BB40" i="49"/>
  <c r="BA40" i="49"/>
  <c r="AZ40" i="49"/>
  <c r="AY40" i="49"/>
  <c r="AX40" i="49"/>
  <c r="AW40" i="49"/>
  <c r="AV40" i="49"/>
  <c r="AU40" i="49"/>
  <c r="AT40" i="49"/>
  <c r="AS40" i="49"/>
  <c r="CC39" i="49"/>
  <c r="CB39" i="49"/>
  <c r="CA39" i="49"/>
  <c r="BZ39" i="49"/>
  <c r="BY39" i="49"/>
  <c r="BX39" i="49"/>
  <c r="BW39" i="49"/>
  <c r="BV39" i="49"/>
  <c r="BU39" i="49"/>
  <c r="BT39" i="49"/>
  <c r="BS39" i="49"/>
  <c r="BR39" i="49"/>
  <c r="BQ39" i="49"/>
  <c r="BP39" i="49"/>
  <c r="BO39" i="49"/>
  <c r="BN39" i="49"/>
  <c r="BM39" i="49"/>
  <c r="BL39" i="49"/>
  <c r="BK39" i="49"/>
  <c r="BJ39" i="49"/>
  <c r="BI39" i="49"/>
  <c r="BH39" i="49"/>
  <c r="BG39" i="49"/>
  <c r="BF39" i="49"/>
  <c r="BE39" i="49"/>
  <c r="BD39" i="49"/>
  <c r="BC39" i="49"/>
  <c r="BB39" i="49"/>
  <c r="BA39" i="49"/>
  <c r="AZ39" i="49"/>
  <c r="AY39" i="49"/>
  <c r="AX39" i="49"/>
  <c r="AW39" i="49"/>
  <c r="AV39" i="49"/>
  <c r="AU39" i="49"/>
  <c r="AT39" i="49"/>
  <c r="AS39" i="49"/>
  <c r="CC38" i="49"/>
  <c r="CB38" i="49"/>
  <c r="CA38" i="49"/>
  <c r="BZ38" i="49"/>
  <c r="BY38" i="49"/>
  <c r="BX38" i="49"/>
  <c r="BW38" i="49"/>
  <c r="BV38" i="49"/>
  <c r="BU38" i="49"/>
  <c r="BT38" i="49"/>
  <c r="BS38" i="49"/>
  <c r="BR38" i="49"/>
  <c r="BQ38" i="49"/>
  <c r="BP38" i="49"/>
  <c r="BO38" i="49"/>
  <c r="BN38" i="49"/>
  <c r="BM38" i="49"/>
  <c r="BL38" i="49"/>
  <c r="BK38" i="49"/>
  <c r="BJ38" i="49"/>
  <c r="BI38" i="49"/>
  <c r="BH38" i="49"/>
  <c r="BG38" i="49"/>
  <c r="BF38" i="49"/>
  <c r="BE38" i="49"/>
  <c r="BD38" i="49"/>
  <c r="BC38" i="49"/>
  <c r="BB38" i="49"/>
  <c r="BA38" i="49"/>
  <c r="AZ38" i="49"/>
  <c r="AY38" i="49"/>
  <c r="AX38" i="49"/>
  <c r="AW38" i="49"/>
  <c r="AV38" i="49"/>
  <c r="AU38" i="49"/>
  <c r="AT38" i="49"/>
  <c r="AS38" i="49"/>
  <c r="CC37" i="49"/>
  <c r="CB37" i="49"/>
  <c r="CA37" i="49"/>
  <c r="BZ37" i="49"/>
  <c r="BY37" i="49"/>
  <c r="BX37" i="49"/>
  <c r="BW37" i="49"/>
  <c r="BV37" i="49"/>
  <c r="BU37" i="49"/>
  <c r="BT37" i="49"/>
  <c r="BS37" i="49"/>
  <c r="BR37" i="49"/>
  <c r="BQ37" i="49"/>
  <c r="BP37" i="49"/>
  <c r="BO37" i="49"/>
  <c r="BN37" i="49"/>
  <c r="BM37" i="49"/>
  <c r="BL37" i="49"/>
  <c r="BK37" i="49"/>
  <c r="BJ37" i="49"/>
  <c r="BI37" i="49"/>
  <c r="BH37" i="49"/>
  <c r="BG37" i="49"/>
  <c r="BF37" i="49"/>
  <c r="BE37" i="49"/>
  <c r="BD37" i="49"/>
  <c r="BC37" i="49"/>
  <c r="BB37" i="49"/>
  <c r="BA37" i="49"/>
  <c r="AZ37" i="49"/>
  <c r="AY37" i="49"/>
  <c r="AX37" i="49"/>
  <c r="AW37" i="49"/>
  <c r="AV37" i="49"/>
  <c r="AU37" i="49"/>
  <c r="AT37" i="49"/>
  <c r="AS37" i="49"/>
  <c r="CC36" i="49"/>
  <c r="CB36" i="49"/>
  <c r="CA36" i="49"/>
  <c r="BZ36" i="49"/>
  <c r="BY36" i="49"/>
  <c r="BX36" i="49"/>
  <c r="BW36" i="49"/>
  <c r="BV36" i="49"/>
  <c r="BU36" i="49"/>
  <c r="BT36" i="49"/>
  <c r="BS36" i="49"/>
  <c r="BR36" i="49"/>
  <c r="BQ36" i="49"/>
  <c r="BP36" i="49"/>
  <c r="BO36" i="49"/>
  <c r="BN36" i="49"/>
  <c r="BM36" i="49"/>
  <c r="BL36" i="49"/>
  <c r="BK36" i="49"/>
  <c r="BJ36" i="49"/>
  <c r="BI36" i="49"/>
  <c r="BH36" i="49"/>
  <c r="BG36" i="49"/>
  <c r="BF36" i="49"/>
  <c r="BE36" i="49"/>
  <c r="BD36" i="49"/>
  <c r="BC36" i="49"/>
  <c r="BB36" i="49"/>
  <c r="BA36" i="49"/>
  <c r="AZ36" i="49"/>
  <c r="AY36" i="49"/>
  <c r="AX36" i="49"/>
  <c r="AW36" i="49"/>
  <c r="AV36" i="49"/>
  <c r="AU36" i="49"/>
  <c r="AT36" i="49"/>
  <c r="AS36" i="49"/>
  <c r="CC35" i="49"/>
  <c r="CB35" i="49"/>
  <c r="CA35" i="49"/>
  <c r="BZ35" i="49"/>
  <c r="BY35" i="49"/>
  <c r="BX35" i="49"/>
  <c r="BW35" i="49"/>
  <c r="BV35" i="49"/>
  <c r="BU35" i="49"/>
  <c r="BT35" i="49"/>
  <c r="BS35" i="49"/>
  <c r="BR35" i="49"/>
  <c r="BQ35" i="49"/>
  <c r="BP35" i="49"/>
  <c r="BO35" i="49"/>
  <c r="BN35" i="49"/>
  <c r="BM35" i="49"/>
  <c r="BL35" i="49"/>
  <c r="BK35" i="49"/>
  <c r="BJ35" i="49"/>
  <c r="BI35" i="49"/>
  <c r="BH35" i="49"/>
  <c r="BG35" i="49"/>
  <c r="BF35" i="49"/>
  <c r="BE35" i="49"/>
  <c r="BD35" i="49"/>
  <c r="BC35" i="49"/>
  <c r="BB35" i="49"/>
  <c r="BA35" i="49"/>
  <c r="AZ35" i="49"/>
  <c r="AY35" i="49"/>
  <c r="AX35" i="49"/>
  <c r="AW35" i="49"/>
  <c r="AV35" i="49"/>
  <c r="AU35" i="49"/>
  <c r="AT35" i="49"/>
  <c r="AS35" i="49"/>
  <c r="CC34" i="49"/>
  <c r="CB34" i="49"/>
  <c r="CA34" i="49"/>
  <c r="BZ34" i="49"/>
  <c r="BY34" i="49"/>
  <c r="BX34" i="49"/>
  <c r="BW34" i="49"/>
  <c r="BV34" i="49"/>
  <c r="BU34" i="49"/>
  <c r="BT34" i="49"/>
  <c r="BS34" i="49"/>
  <c r="BR34" i="49"/>
  <c r="BQ34" i="49"/>
  <c r="BP34" i="49"/>
  <c r="BO34" i="49"/>
  <c r="BN34" i="49"/>
  <c r="BM34" i="49"/>
  <c r="BL34" i="49"/>
  <c r="BK34" i="49"/>
  <c r="BJ34" i="49"/>
  <c r="BI34" i="49"/>
  <c r="BH34" i="49"/>
  <c r="BG34" i="49"/>
  <c r="BF34" i="49"/>
  <c r="BE34" i="49"/>
  <c r="BD34" i="49"/>
  <c r="BC34" i="49"/>
  <c r="BB34" i="49"/>
  <c r="BA34" i="49"/>
  <c r="AZ34" i="49"/>
  <c r="AY34" i="49"/>
  <c r="AX34" i="49"/>
  <c r="AW34" i="49"/>
  <c r="AV34" i="49"/>
  <c r="AU34" i="49"/>
  <c r="AT34" i="49"/>
  <c r="AS34" i="49"/>
  <c r="CC33" i="49"/>
  <c r="CB33" i="49"/>
  <c r="CA33" i="49"/>
  <c r="BZ33" i="49"/>
  <c r="BY33" i="49"/>
  <c r="BX33" i="49"/>
  <c r="BW33" i="49"/>
  <c r="BV33" i="49"/>
  <c r="BU33" i="49"/>
  <c r="BT33" i="49"/>
  <c r="BS33" i="49"/>
  <c r="BR33" i="49"/>
  <c r="BQ33" i="49"/>
  <c r="BP33" i="49"/>
  <c r="BO33" i="49"/>
  <c r="BN33" i="49"/>
  <c r="BM33" i="49"/>
  <c r="BL33" i="49"/>
  <c r="BK33" i="49"/>
  <c r="BJ33" i="49"/>
  <c r="BI33" i="49"/>
  <c r="BH33" i="49"/>
  <c r="BG33" i="49"/>
  <c r="BF33" i="49"/>
  <c r="BE33" i="49"/>
  <c r="BD33" i="49"/>
  <c r="BC33" i="49"/>
  <c r="BB33" i="49"/>
  <c r="BA33" i="49"/>
  <c r="AZ33" i="49"/>
  <c r="AY33" i="49"/>
  <c r="AX33" i="49"/>
  <c r="AW33" i="49"/>
  <c r="AV33" i="49"/>
  <c r="AU33" i="49"/>
  <c r="AT33" i="49"/>
  <c r="AS33" i="49"/>
  <c r="CC32" i="49"/>
  <c r="CB32" i="49"/>
  <c r="CA32" i="49"/>
  <c r="BZ32" i="49"/>
  <c r="BY32" i="49"/>
  <c r="BX32" i="49"/>
  <c r="BW32" i="49"/>
  <c r="BV32" i="49"/>
  <c r="BU32" i="49"/>
  <c r="BT32" i="49"/>
  <c r="BS32" i="49"/>
  <c r="BR32" i="49"/>
  <c r="BQ32" i="49"/>
  <c r="BP32" i="49"/>
  <c r="BO32" i="49"/>
  <c r="BN32" i="49"/>
  <c r="BM32" i="49"/>
  <c r="BL32" i="49"/>
  <c r="BK32" i="49"/>
  <c r="BJ32" i="49"/>
  <c r="BI32" i="49"/>
  <c r="BH32" i="49"/>
  <c r="BG32" i="49"/>
  <c r="BF32" i="49"/>
  <c r="BE32" i="49"/>
  <c r="BD32" i="49"/>
  <c r="BC32" i="49"/>
  <c r="BB32" i="49"/>
  <c r="BA32" i="49"/>
  <c r="AZ32" i="49"/>
  <c r="AY32" i="49"/>
  <c r="AX32" i="49"/>
  <c r="AW32" i="49"/>
  <c r="AV32" i="49"/>
  <c r="AU32" i="49"/>
  <c r="AT32" i="49"/>
  <c r="AS32" i="49"/>
  <c r="CC31" i="49"/>
  <c r="CB31" i="49"/>
  <c r="CA31" i="49"/>
  <c r="BZ31" i="49"/>
  <c r="BY31" i="49"/>
  <c r="BX31" i="49"/>
  <c r="BW31" i="49"/>
  <c r="BV31" i="49"/>
  <c r="BU31" i="49"/>
  <c r="BT31" i="49"/>
  <c r="BS31" i="49"/>
  <c r="BR31" i="49"/>
  <c r="BQ31" i="49"/>
  <c r="BP31" i="49"/>
  <c r="BO31" i="49"/>
  <c r="BN31" i="49"/>
  <c r="BM31" i="49"/>
  <c r="BL31" i="49"/>
  <c r="BK31" i="49"/>
  <c r="BJ31" i="49"/>
  <c r="BI31" i="49"/>
  <c r="BH31" i="49"/>
  <c r="BG31" i="49"/>
  <c r="BF31" i="49"/>
  <c r="BE31" i="49"/>
  <c r="BD31" i="49"/>
  <c r="BC31" i="49"/>
  <c r="BB31" i="49"/>
  <c r="BA31" i="49"/>
  <c r="AZ31" i="49"/>
  <c r="AY31" i="49"/>
  <c r="AX31" i="49"/>
  <c r="AW31" i="49"/>
  <c r="AV31" i="49"/>
  <c r="AU31" i="49"/>
  <c r="AT31" i="49"/>
  <c r="AS31" i="49"/>
  <c r="CC30" i="49"/>
  <c r="CB30" i="49"/>
  <c r="CA30" i="49"/>
  <c r="BZ30" i="49"/>
  <c r="BY30" i="49"/>
  <c r="BX30" i="49"/>
  <c r="BW30" i="49"/>
  <c r="BV30" i="49"/>
  <c r="BU30" i="49"/>
  <c r="BT30" i="49"/>
  <c r="BS30" i="49"/>
  <c r="BR30" i="49"/>
  <c r="BQ30" i="49"/>
  <c r="BP30" i="49"/>
  <c r="BO30" i="49"/>
  <c r="BN30" i="49"/>
  <c r="BM30" i="49"/>
  <c r="BL30" i="49"/>
  <c r="BK30" i="49"/>
  <c r="BJ30" i="49"/>
  <c r="BI30" i="49"/>
  <c r="BH30" i="49"/>
  <c r="BG30" i="49"/>
  <c r="BF30" i="49"/>
  <c r="BE30" i="49"/>
  <c r="BD30" i="49"/>
  <c r="BC30" i="49"/>
  <c r="BB30" i="49"/>
  <c r="BA30" i="49"/>
  <c r="AZ30" i="49"/>
  <c r="AY30" i="49"/>
  <c r="AX30" i="49"/>
  <c r="AW30" i="49"/>
  <c r="AV30" i="49"/>
  <c r="AU30" i="49"/>
  <c r="AT30" i="49"/>
  <c r="AS30" i="49"/>
  <c r="CC29" i="49"/>
  <c r="CB29" i="49"/>
  <c r="CA29" i="49"/>
  <c r="BZ29" i="49"/>
  <c r="BY29" i="49"/>
  <c r="BX29" i="49"/>
  <c r="BW29" i="49"/>
  <c r="BV29" i="49"/>
  <c r="BU29" i="49"/>
  <c r="BT29" i="49"/>
  <c r="BS29" i="49"/>
  <c r="BR29" i="49"/>
  <c r="BQ29" i="49"/>
  <c r="BP29" i="49"/>
  <c r="BO29" i="49"/>
  <c r="BN29" i="49"/>
  <c r="BM29" i="49"/>
  <c r="BL29" i="49"/>
  <c r="BK29" i="49"/>
  <c r="BJ29" i="49"/>
  <c r="BI29" i="49"/>
  <c r="BH29" i="49"/>
  <c r="BG29" i="49"/>
  <c r="BF29" i="49"/>
  <c r="BE29" i="49"/>
  <c r="BD29" i="49"/>
  <c r="BC29" i="49"/>
  <c r="BB29" i="49"/>
  <c r="BA29" i="49"/>
  <c r="AZ29" i="49"/>
  <c r="AY29" i="49"/>
  <c r="AX29" i="49"/>
  <c r="AW29" i="49"/>
  <c r="AV29" i="49"/>
  <c r="AU29" i="49"/>
  <c r="AT29" i="49"/>
  <c r="AS29" i="49"/>
  <c r="CC28" i="49"/>
  <c r="CB28" i="49"/>
  <c r="CA28" i="49"/>
  <c r="BZ28" i="49"/>
  <c r="BY28" i="49"/>
  <c r="BX28" i="49"/>
  <c r="BW28" i="49"/>
  <c r="BV28" i="49"/>
  <c r="BU28" i="49"/>
  <c r="BT28" i="49"/>
  <c r="BS28" i="49"/>
  <c r="BR28" i="49"/>
  <c r="BQ28" i="49"/>
  <c r="BP28" i="49"/>
  <c r="BO28" i="49"/>
  <c r="BN28" i="49"/>
  <c r="BM28" i="49"/>
  <c r="BL28" i="49"/>
  <c r="BK28" i="49"/>
  <c r="BJ28" i="49"/>
  <c r="BI28" i="49"/>
  <c r="BH28" i="49"/>
  <c r="BG28" i="49"/>
  <c r="BF28" i="49"/>
  <c r="BE28" i="49"/>
  <c r="BD28" i="49"/>
  <c r="BC28" i="49"/>
  <c r="BB28" i="49"/>
  <c r="BA28" i="49"/>
  <c r="AZ28" i="49"/>
  <c r="AY28" i="49"/>
  <c r="AX28" i="49"/>
  <c r="AW28" i="49"/>
  <c r="AV28" i="49"/>
  <c r="AU28" i="49"/>
  <c r="AT28" i="49"/>
  <c r="AS28" i="49"/>
  <c r="CC27" i="49"/>
  <c r="CB27" i="49"/>
  <c r="CA27" i="49"/>
  <c r="BZ27" i="49"/>
  <c r="BY27" i="49"/>
  <c r="BX27" i="49"/>
  <c r="BW27" i="49"/>
  <c r="BV27" i="49"/>
  <c r="BU27" i="49"/>
  <c r="BT27" i="49"/>
  <c r="BS27" i="49"/>
  <c r="BR27" i="49"/>
  <c r="BQ27" i="49"/>
  <c r="BP27" i="49"/>
  <c r="BO27" i="49"/>
  <c r="BN27" i="49"/>
  <c r="BM27" i="49"/>
  <c r="BL27" i="49"/>
  <c r="BK27" i="49"/>
  <c r="BJ27" i="49"/>
  <c r="BI27" i="49"/>
  <c r="BH27" i="49"/>
  <c r="BG27" i="49"/>
  <c r="BF27" i="49"/>
  <c r="BE27" i="49"/>
  <c r="BD27" i="49"/>
  <c r="BC27" i="49"/>
  <c r="BB27" i="49"/>
  <c r="BA27" i="49"/>
  <c r="AZ27" i="49"/>
  <c r="AY27" i="49"/>
  <c r="AX27" i="49"/>
  <c r="AW27" i="49"/>
  <c r="AV27" i="49"/>
  <c r="AU27" i="49"/>
  <c r="AT27" i="49"/>
  <c r="AS27" i="49"/>
  <c r="CC26" i="49"/>
  <c r="CB26" i="49"/>
  <c r="CA26" i="49"/>
  <c r="BZ26" i="49"/>
  <c r="BY26" i="49"/>
  <c r="BX26" i="49"/>
  <c r="BW26" i="49"/>
  <c r="BV26" i="49"/>
  <c r="BU26" i="49"/>
  <c r="BT26" i="49"/>
  <c r="BS26" i="49"/>
  <c r="BR26" i="49"/>
  <c r="BQ26" i="49"/>
  <c r="BP26" i="49"/>
  <c r="BO26" i="49"/>
  <c r="BN26" i="49"/>
  <c r="BM26" i="49"/>
  <c r="BL26" i="49"/>
  <c r="BK26" i="49"/>
  <c r="BJ26" i="49"/>
  <c r="BI26" i="49"/>
  <c r="BH26" i="49"/>
  <c r="BG26" i="49"/>
  <c r="BF26" i="49"/>
  <c r="BE26" i="49"/>
  <c r="BD26" i="49"/>
  <c r="BC26" i="49"/>
  <c r="BB26" i="49"/>
  <c r="BA26" i="49"/>
  <c r="AZ26" i="49"/>
  <c r="AY26" i="49"/>
  <c r="AX26" i="49"/>
  <c r="AW26" i="49"/>
  <c r="AV26" i="49"/>
  <c r="AU26" i="49"/>
  <c r="AT26" i="49"/>
  <c r="AS26" i="49"/>
  <c r="CC25" i="49"/>
  <c r="CB25" i="49"/>
  <c r="CA25" i="49"/>
  <c r="BZ25" i="49"/>
  <c r="BY25" i="49"/>
  <c r="BX25" i="49"/>
  <c r="BW25" i="49"/>
  <c r="BV25" i="49"/>
  <c r="BU25" i="49"/>
  <c r="BT25" i="49"/>
  <c r="BS25" i="49"/>
  <c r="BR25" i="49"/>
  <c r="BQ25" i="49"/>
  <c r="BP25" i="49"/>
  <c r="BO25" i="49"/>
  <c r="BN25" i="49"/>
  <c r="BM25" i="49"/>
  <c r="BL25" i="49"/>
  <c r="BK25" i="49"/>
  <c r="BJ25" i="49"/>
  <c r="BI25" i="49"/>
  <c r="BH25" i="49"/>
  <c r="BG25" i="49"/>
  <c r="BF25" i="49"/>
  <c r="BE25" i="49"/>
  <c r="BD25" i="49"/>
  <c r="BC25" i="49"/>
  <c r="BB25" i="49"/>
  <c r="BA25" i="49"/>
  <c r="AZ25" i="49"/>
  <c r="AY25" i="49"/>
  <c r="AX25" i="49"/>
  <c r="AW25" i="49"/>
  <c r="AV25" i="49"/>
  <c r="AU25" i="49"/>
  <c r="AT25" i="49"/>
  <c r="AS25" i="49"/>
  <c r="CC24" i="49"/>
  <c r="CB24" i="49"/>
  <c r="CA24" i="49"/>
  <c r="BZ24" i="49"/>
  <c r="BY24" i="49"/>
  <c r="BX24" i="49"/>
  <c r="BW24" i="49"/>
  <c r="BV24" i="49"/>
  <c r="BU24" i="49"/>
  <c r="BT24" i="49"/>
  <c r="BS24" i="49"/>
  <c r="BR24" i="49"/>
  <c r="BQ24" i="49"/>
  <c r="BP24" i="49"/>
  <c r="BO24" i="49"/>
  <c r="BN24" i="49"/>
  <c r="BM24" i="49"/>
  <c r="BL24" i="49"/>
  <c r="BK24" i="49"/>
  <c r="BJ24" i="49"/>
  <c r="BI24" i="49"/>
  <c r="BH24" i="49"/>
  <c r="BG24" i="49"/>
  <c r="BF24" i="49"/>
  <c r="BE24" i="49"/>
  <c r="BD24" i="49"/>
  <c r="BC24" i="49"/>
  <c r="BB24" i="49"/>
  <c r="BA24" i="49"/>
  <c r="AZ24" i="49"/>
  <c r="AY24" i="49"/>
  <c r="AX24" i="49"/>
  <c r="AW24" i="49"/>
  <c r="AV24" i="49"/>
  <c r="AU24" i="49"/>
  <c r="AT24" i="49"/>
  <c r="AS24" i="49"/>
  <c r="CC23" i="49"/>
  <c r="CB23" i="49"/>
  <c r="CA23" i="49"/>
  <c r="BZ23" i="49"/>
  <c r="BY23" i="49"/>
  <c r="BX23" i="49"/>
  <c r="BW23" i="49"/>
  <c r="BV23" i="49"/>
  <c r="BU23" i="49"/>
  <c r="BT23" i="49"/>
  <c r="BS23" i="49"/>
  <c r="BR23" i="49"/>
  <c r="BQ23" i="49"/>
  <c r="BP23" i="49"/>
  <c r="BO23" i="49"/>
  <c r="BN23" i="49"/>
  <c r="BM23" i="49"/>
  <c r="BL23" i="49"/>
  <c r="BK23" i="49"/>
  <c r="BJ23" i="49"/>
  <c r="BI23" i="49"/>
  <c r="BH23" i="49"/>
  <c r="BG23" i="49"/>
  <c r="BF23" i="49"/>
  <c r="BE23" i="49"/>
  <c r="BD23" i="49"/>
  <c r="BC23" i="49"/>
  <c r="BB23" i="49"/>
  <c r="BA23" i="49"/>
  <c r="AZ23" i="49"/>
  <c r="AY23" i="49"/>
  <c r="AX23" i="49"/>
  <c r="AW23" i="49"/>
  <c r="AV23" i="49"/>
  <c r="AU23" i="49"/>
  <c r="AT23" i="49"/>
  <c r="AS23" i="49"/>
  <c r="CC22" i="49"/>
  <c r="CB22" i="49"/>
  <c r="CA22" i="49"/>
  <c r="BZ22" i="49"/>
  <c r="BY22" i="49"/>
  <c r="BX22" i="49"/>
  <c r="BW22" i="49"/>
  <c r="BV22" i="49"/>
  <c r="BU22" i="49"/>
  <c r="BT22" i="49"/>
  <c r="BS22" i="49"/>
  <c r="BR22" i="49"/>
  <c r="BQ22" i="49"/>
  <c r="BP22" i="49"/>
  <c r="BO22" i="49"/>
  <c r="BN22" i="49"/>
  <c r="BM22" i="49"/>
  <c r="BL22" i="49"/>
  <c r="BK22" i="49"/>
  <c r="BJ22" i="49"/>
  <c r="BI22" i="49"/>
  <c r="BH22" i="49"/>
  <c r="BG22" i="49"/>
  <c r="BF22" i="49"/>
  <c r="BE22" i="49"/>
  <c r="BD22" i="49"/>
  <c r="BC22" i="49"/>
  <c r="BB22" i="49"/>
  <c r="BA22" i="49"/>
  <c r="AZ22" i="49"/>
  <c r="AY22" i="49"/>
  <c r="AX22" i="49"/>
  <c r="AW22" i="49"/>
  <c r="AV22" i="49"/>
  <c r="AU22" i="49"/>
  <c r="AT22" i="49"/>
  <c r="AS22" i="49"/>
  <c r="CC21" i="49"/>
  <c r="CB21" i="49"/>
  <c r="CA21" i="49"/>
  <c r="BZ21" i="49"/>
  <c r="BY21" i="49"/>
  <c r="BX21" i="49"/>
  <c r="BW21" i="49"/>
  <c r="BV21" i="49"/>
  <c r="BU21" i="49"/>
  <c r="BT21" i="49"/>
  <c r="BS21" i="49"/>
  <c r="BR21" i="49"/>
  <c r="BQ21" i="49"/>
  <c r="BP21" i="49"/>
  <c r="BO21" i="49"/>
  <c r="BN21" i="49"/>
  <c r="BM21" i="49"/>
  <c r="BL21" i="49"/>
  <c r="BK21" i="49"/>
  <c r="BJ21" i="49"/>
  <c r="BI21" i="49"/>
  <c r="BH21" i="49"/>
  <c r="BG21" i="49"/>
  <c r="BF21" i="49"/>
  <c r="BE21" i="49"/>
  <c r="BD21" i="49"/>
  <c r="BC21" i="49"/>
  <c r="BB21" i="49"/>
  <c r="BA21" i="49"/>
  <c r="AZ21" i="49"/>
  <c r="AY21" i="49"/>
  <c r="AX21" i="49"/>
  <c r="AW21" i="49"/>
  <c r="AV21" i="49"/>
  <c r="AU21" i="49"/>
  <c r="AT21" i="49"/>
  <c r="AS21" i="49"/>
  <c r="CC20" i="49"/>
  <c r="CB20" i="49"/>
  <c r="CA20" i="49"/>
  <c r="BZ20" i="49"/>
  <c r="BY20" i="49"/>
  <c r="BX20" i="49"/>
  <c r="BW20" i="49"/>
  <c r="BV20" i="49"/>
  <c r="BU20" i="49"/>
  <c r="BT20" i="49"/>
  <c r="BS20" i="49"/>
  <c r="BR20" i="49"/>
  <c r="BQ20" i="49"/>
  <c r="BP20" i="49"/>
  <c r="BO20" i="49"/>
  <c r="BN20" i="49"/>
  <c r="BM20" i="49"/>
  <c r="BL20" i="49"/>
  <c r="BK20" i="49"/>
  <c r="BJ20" i="49"/>
  <c r="BI20" i="49"/>
  <c r="BH20" i="49"/>
  <c r="BG20" i="49"/>
  <c r="BF20" i="49"/>
  <c r="BE20" i="49"/>
  <c r="BD20" i="49"/>
  <c r="BC20" i="49"/>
  <c r="BB20" i="49"/>
  <c r="BA20" i="49"/>
  <c r="AZ20" i="49"/>
  <c r="AY20" i="49"/>
  <c r="AX20" i="49"/>
  <c r="AW20" i="49"/>
  <c r="AV20" i="49"/>
  <c r="AU20" i="49"/>
  <c r="AT20" i="49"/>
  <c r="AS20" i="49"/>
  <c r="CC19" i="49"/>
  <c r="CB19" i="49"/>
  <c r="CA19" i="49"/>
  <c r="BZ19" i="49"/>
  <c r="BY19" i="49"/>
  <c r="BX19" i="49"/>
  <c r="BW19" i="49"/>
  <c r="BV19" i="49"/>
  <c r="BU19" i="49"/>
  <c r="BT19" i="49"/>
  <c r="BS19" i="49"/>
  <c r="BR19" i="49"/>
  <c r="BQ19" i="49"/>
  <c r="BP19" i="49"/>
  <c r="BO19" i="49"/>
  <c r="BN19" i="49"/>
  <c r="BM19" i="49"/>
  <c r="BL19" i="49"/>
  <c r="BK19" i="49"/>
  <c r="BJ19" i="49"/>
  <c r="BI19" i="49"/>
  <c r="BH19" i="49"/>
  <c r="BG19" i="49"/>
  <c r="BF19" i="49"/>
  <c r="BE19" i="49"/>
  <c r="BD19" i="49"/>
  <c r="BC19" i="49"/>
  <c r="BB19" i="49"/>
  <c r="BA19" i="49"/>
  <c r="AZ19" i="49"/>
  <c r="AY19" i="49"/>
  <c r="AX19" i="49"/>
  <c r="AW19" i="49"/>
  <c r="AV19" i="49"/>
  <c r="AU19" i="49"/>
  <c r="AT19" i="49"/>
  <c r="AS19" i="49"/>
  <c r="CC18" i="49"/>
  <c r="CB18" i="49"/>
  <c r="CA18" i="49"/>
  <c r="BZ18" i="49"/>
  <c r="BY18" i="49"/>
  <c r="BX18" i="49"/>
  <c r="BW18" i="49"/>
  <c r="BV18" i="49"/>
  <c r="BU18" i="49"/>
  <c r="BT18" i="49"/>
  <c r="BS18" i="49"/>
  <c r="BR18" i="49"/>
  <c r="BQ18" i="49"/>
  <c r="BP18" i="49"/>
  <c r="BO18" i="49"/>
  <c r="BN18" i="49"/>
  <c r="BM18" i="49"/>
  <c r="BL18" i="49"/>
  <c r="BK18" i="49"/>
  <c r="BJ18" i="49"/>
  <c r="BI18" i="49"/>
  <c r="BH18" i="49"/>
  <c r="BG18" i="49"/>
  <c r="BF18" i="49"/>
  <c r="BE18" i="49"/>
  <c r="BD18" i="49"/>
  <c r="BC18" i="49"/>
  <c r="BB18" i="49"/>
  <c r="BA18" i="49"/>
  <c r="AZ18" i="49"/>
  <c r="AY18" i="49"/>
  <c r="AX18" i="49"/>
  <c r="AW18" i="49"/>
  <c r="AV18" i="49"/>
  <c r="AU18" i="49"/>
  <c r="AT18" i="49"/>
  <c r="AS18" i="49"/>
  <c r="CC17" i="49"/>
  <c r="CB17" i="49"/>
  <c r="CA17" i="49"/>
  <c r="BZ17" i="49"/>
  <c r="BY17" i="49"/>
  <c r="BX17" i="49"/>
  <c r="BW17" i="49"/>
  <c r="BV17" i="49"/>
  <c r="BU17" i="49"/>
  <c r="BT17" i="49"/>
  <c r="BS17" i="49"/>
  <c r="BR17" i="49"/>
  <c r="BQ17" i="49"/>
  <c r="BP17" i="49"/>
  <c r="BO17" i="49"/>
  <c r="BN17" i="49"/>
  <c r="BM17" i="49"/>
  <c r="BL17" i="49"/>
  <c r="BK17" i="49"/>
  <c r="BJ17" i="49"/>
  <c r="BI17" i="49"/>
  <c r="BH17" i="49"/>
  <c r="BG17" i="49"/>
  <c r="BF17" i="49"/>
  <c r="BE17" i="49"/>
  <c r="BD17" i="49"/>
  <c r="BC17" i="49"/>
  <c r="BB17" i="49"/>
  <c r="BA17" i="49"/>
  <c r="AZ17" i="49"/>
  <c r="AY17" i="49"/>
  <c r="AX17" i="49"/>
  <c r="AW17" i="49"/>
  <c r="AV17" i="49"/>
  <c r="AU17" i="49"/>
  <c r="AT17" i="49"/>
  <c r="AS17" i="49"/>
  <c r="CC16" i="49"/>
  <c r="CB16" i="49"/>
  <c r="CA16" i="49"/>
  <c r="BZ16" i="49"/>
  <c r="BY16" i="49"/>
  <c r="BX16" i="49"/>
  <c r="BW16" i="49"/>
  <c r="BV16" i="49"/>
  <c r="BU16" i="49"/>
  <c r="BT16" i="49"/>
  <c r="BS16" i="49"/>
  <c r="BR16" i="49"/>
  <c r="BQ16" i="49"/>
  <c r="BP16" i="49"/>
  <c r="BO16" i="49"/>
  <c r="BN16" i="49"/>
  <c r="BM16" i="49"/>
  <c r="BL16" i="49"/>
  <c r="BK16" i="49"/>
  <c r="BJ16" i="49"/>
  <c r="BI16" i="49"/>
  <c r="BH16" i="49"/>
  <c r="BG16" i="49"/>
  <c r="BF16" i="49"/>
  <c r="BE16" i="49"/>
  <c r="BD16" i="49"/>
  <c r="BC16" i="49"/>
  <c r="BB16" i="49"/>
  <c r="BA16" i="49"/>
  <c r="AZ16" i="49"/>
  <c r="AY16" i="49"/>
  <c r="AX16" i="49"/>
  <c r="AW16" i="49"/>
  <c r="AV16" i="49"/>
  <c r="AU16" i="49"/>
  <c r="AT16" i="49"/>
  <c r="AS16" i="49"/>
  <c r="CC15" i="49"/>
  <c r="CB15" i="49"/>
  <c r="CA15" i="49"/>
  <c r="BZ15" i="49"/>
  <c r="BY15" i="49"/>
  <c r="BX15" i="49"/>
  <c r="BW15" i="49"/>
  <c r="BV15" i="49"/>
  <c r="BU15" i="49"/>
  <c r="BT15" i="49"/>
  <c r="BS15" i="49"/>
  <c r="BR15" i="49"/>
  <c r="BQ15" i="49"/>
  <c r="BP15" i="49"/>
  <c r="BO15" i="49"/>
  <c r="BN15" i="49"/>
  <c r="BM15" i="49"/>
  <c r="BL15" i="49"/>
  <c r="BK15" i="49"/>
  <c r="BJ15" i="49"/>
  <c r="BI15" i="49"/>
  <c r="BH15" i="49"/>
  <c r="BG15" i="49"/>
  <c r="BF15" i="49"/>
  <c r="BE15" i="49"/>
  <c r="BD15" i="49"/>
  <c r="BC15" i="49"/>
  <c r="BB15" i="49"/>
  <c r="BA15" i="49"/>
  <c r="AZ15" i="49"/>
  <c r="AY15" i="49"/>
  <c r="AX15" i="49"/>
  <c r="AW15" i="49"/>
  <c r="AV15" i="49"/>
  <c r="AU15" i="49"/>
  <c r="AT15" i="49"/>
  <c r="AS15" i="49"/>
  <c r="CC14" i="49"/>
  <c r="CB14" i="49"/>
  <c r="CA14" i="49"/>
  <c r="BZ14" i="49"/>
  <c r="BY14" i="49"/>
  <c r="BX14" i="49"/>
  <c r="BW14" i="49"/>
  <c r="BV14" i="49"/>
  <c r="BU14" i="49"/>
  <c r="BT14" i="49"/>
  <c r="BS14" i="49"/>
  <c r="BR14" i="49"/>
  <c r="BQ14" i="49"/>
  <c r="BP14" i="49"/>
  <c r="BO14" i="49"/>
  <c r="BN14" i="49"/>
  <c r="BM14" i="49"/>
  <c r="BL14" i="49"/>
  <c r="BK14" i="49"/>
  <c r="BJ14" i="49"/>
  <c r="BI14" i="49"/>
  <c r="BH14" i="49"/>
  <c r="BG14" i="49"/>
  <c r="BF14" i="49"/>
  <c r="BE14" i="49"/>
  <c r="BD14" i="49"/>
  <c r="BC14" i="49"/>
  <c r="BB14" i="49"/>
  <c r="BA14" i="49"/>
  <c r="AZ14" i="49"/>
  <c r="AY14" i="49"/>
  <c r="AX14" i="49"/>
  <c r="AW14" i="49"/>
  <c r="AV14" i="49"/>
  <c r="AU14" i="49"/>
  <c r="AT14" i="49"/>
  <c r="AS14" i="49"/>
  <c r="CC13" i="49"/>
  <c r="CB13" i="49"/>
  <c r="CA13" i="49"/>
  <c r="BZ13" i="49"/>
  <c r="BY13" i="49"/>
  <c r="BX13" i="49"/>
  <c r="BW13" i="49"/>
  <c r="BV13" i="49"/>
  <c r="BU13" i="49"/>
  <c r="BT13" i="49"/>
  <c r="BS13" i="49"/>
  <c r="BR13" i="49"/>
  <c r="BQ13" i="49"/>
  <c r="BP13" i="49"/>
  <c r="BO13" i="49"/>
  <c r="BN13" i="49"/>
  <c r="BM13" i="49"/>
  <c r="BL13" i="49"/>
  <c r="BK13" i="49"/>
  <c r="BJ13" i="49"/>
  <c r="BI13" i="49"/>
  <c r="BH13" i="49"/>
  <c r="BG13" i="49"/>
  <c r="BF13" i="49"/>
  <c r="BE13" i="49"/>
  <c r="BD13" i="49"/>
  <c r="BC13" i="49"/>
  <c r="BB13" i="49"/>
  <c r="BA13" i="49"/>
  <c r="AZ13" i="49"/>
  <c r="AY13" i="49"/>
  <c r="AX13" i="49"/>
  <c r="AW13" i="49"/>
  <c r="AV13" i="49"/>
  <c r="AU13" i="49"/>
  <c r="AT13" i="49"/>
  <c r="AS13" i="49"/>
  <c r="CC12" i="49"/>
  <c r="CB12" i="49"/>
  <c r="CA12" i="49"/>
  <c r="BZ12" i="49"/>
  <c r="BY12" i="49"/>
  <c r="BX12" i="49"/>
  <c r="BW12" i="49"/>
  <c r="BV12" i="49"/>
  <c r="BU12" i="49"/>
  <c r="BT12" i="49"/>
  <c r="BS12" i="49"/>
  <c r="BR12" i="49"/>
  <c r="BQ12" i="49"/>
  <c r="BP12" i="49"/>
  <c r="BO12" i="49"/>
  <c r="BN12" i="49"/>
  <c r="BM12" i="49"/>
  <c r="BL12" i="49"/>
  <c r="BK12" i="49"/>
  <c r="BJ12" i="49"/>
  <c r="BI12" i="49"/>
  <c r="BH12" i="49"/>
  <c r="BG12" i="49"/>
  <c r="BF12" i="49"/>
  <c r="BE12" i="49"/>
  <c r="BD12" i="49"/>
  <c r="BC12" i="49"/>
  <c r="BB12" i="49"/>
  <c r="BA12" i="49"/>
  <c r="AZ12" i="49"/>
  <c r="AY12" i="49"/>
  <c r="AX12" i="49"/>
  <c r="AW12" i="49"/>
  <c r="AV12" i="49"/>
  <c r="AU12" i="49"/>
  <c r="AT12" i="49"/>
  <c r="AS12" i="49"/>
  <c r="CC11" i="49"/>
  <c r="CB11" i="49"/>
  <c r="CA11" i="49"/>
  <c r="BZ11" i="49"/>
  <c r="BY11" i="49"/>
  <c r="BX11" i="49"/>
  <c r="BW11" i="49"/>
  <c r="BV11" i="49"/>
  <c r="BU11" i="49"/>
  <c r="BT11" i="49"/>
  <c r="BS11" i="49"/>
  <c r="BR11" i="49"/>
  <c r="BQ11" i="49"/>
  <c r="BP11" i="49"/>
  <c r="BO11" i="49"/>
  <c r="BN11" i="49"/>
  <c r="BM11" i="49"/>
  <c r="BL11" i="49"/>
  <c r="BK11" i="49"/>
  <c r="BJ11" i="49"/>
  <c r="BI11" i="49"/>
  <c r="BH11" i="49"/>
  <c r="BG11" i="49"/>
  <c r="BF11" i="49"/>
  <c r="BE11" i="49"/>
  <c r="BD11" i="49"/>
  <c r="BC11" i="49"/>
  <c r="BB11" i="49"/>
  <c r="BA11" i="49"/>
  <c r="AZ11" i="49"/>
  <c r="AY11" i="49"/>
  <c r="AX11" i="49"/>
  <c r="AW11" i="49"/>
  <c r="AV11" i="49"/>
  <c r="AU11" i="49"/>
  <c r="AT11" i="49"/>
  <c r="AS11" i="49"/>
  <c r="CC10" i="49"/>
  <c r="CB10" i="49"/>
  <c r="CA10" i="49"/>
  <c r="BZ10" i="49"/>
  <c r="BY10" i="49"/>
  <c r="BX10" i="49"/>
  <c r="BW10" i="49"/>
  <c r="BV10" i="49"/>
  <c r="BU10" i="49"/>
  <c r="BT10" i="49"/>
  <c r="BS10" i="49"/>
  <c r="BR10" i="49"/>
  <c r="BQ10" i="49"/>
  <c r="BP10" i="49"/>
  <c r="BO10" i="49"/>
  <c r="BN10" i="49"/>
  <c r="BM10" i="49"/>
  <c r="BL10" i="49"/>
  <c r="BK10" i="49"/>
  <c r="BJ10" i="49"/>
  <c r="BI10" i="49"/>
  <c r="BH10" i="49"/>
  <c r="BG10" i="49"/>
  <c r="BF10" i="49"/>
  <c r="BE10" i="49"/>
  <c r="BD10" i="49"/>
  <c r="BC10" i="49"/>
  <c r="BB10" i="49"/>
  <c r="BA10" i="49"/>
  <c r="AZ10" i="49"/>
  <c r="AY10" i="49"/>
  <c r="AX10" i="49"/>
  <c r="AW10" i="49"/>
  <c r="AV10" i="49"/>
  <c r="AU10" i="49"/>
  <c r="AT10" i="49"/>
  <c r="AS10" i="49"/>
  <c r="CC9" i="49"/>
  <c r="CB9" i="49"/>
  <c r="CA9" i="49"/>
  <c r="BZ9" i="49"/>
  <c r="BY9" i="49"/>
  <c r="BX9" i="49"/>
  <c r="BW9" i="49"/>
  <c r="BV9" i="49"/>
  <c r="BU9" i="49"/>
  <c r="BT9" i="49"/>
  <c r="BS9" i="49"/>
  <c r="BR9" i="49"/>
  <c r="BQ9" i="49"/>
  <c r="BP9" i="49"/>
  <c r="BO9" i="49"/>
  <c r="BN9" i="49"/>
  <c r="BM9" i="49"/>
  <c r="BL9" i="49"/>
  <c r="BK9" i="49"/>
  <c r="BJ9" i="49"/>
  <c r="BI9" i="49"/>
  <c r="BH9" i="49"/>
  <c r="BG9" i="49"/>
  <c r="BF9" i="49"/>
  <c r="BE9" i="49"/>
  <c r="BD9" i="49"/>
  <c r="BC9" i="49"/>
  <c r="BB9" i="49"/>
  <c r="BA9" i="49"/>
  <c r="AZ9" i="49"/>
  <c r="AY9" i="49"/>
  <c r="AX9" i="49"/>
  <c r="AW9" i="49"/>
  <c r="AV9" i="49"/>
  <c r="AU9" i="49"/>
  <c r="AT9" i="49"/>
  <c r="AS9" i="49"/>
  <c r="CC8" i="49"/>
  <c r="CB8" i="49"/>
  <c r="CA8" i="49"/>
  <c r="BZ8" i="49"/>
  <c r="BY8" i="49"/>
  <c r="BX8" i="49"/>
  <c r="BW8" i="49"/>
  <c r="BV8" i="49"/>
  <c r="BU8" i="49"/>
  <c r="BT8" i="49"/>
  <c r="BS8" i="49"/>
  <c r="BR8" i="49"/>
  <c r="BQ8" i="49"/>
  <c r="BP8" i="49"/>
  <c r="BO8" i="49"/>
  <c r="BN8" i="49"/>
  <c r="BM8" i="49"/>
  <c r="BL8" i="49"/>
  <c r="BK8" i="49"/>
  <c r="BJ8" i="49"/>
  <c r="BI8" i="49"/>
  <c r="BH8" i="49"/>
  <c r="BG8" i="49"/>
  <c r="BF8" i="49"/>
  <c r="BE8" i="49"/>
  <c r="BD8" i="49"/>
  <c r="BC8" i="49"/>
  <c r="BB8" i="49"/>
  <c r="BA8" i="49"/>
  <c r="AZ8" i="49"/>
  <c r="AY8" i="49"/>
  <c r="AX8" i="49"/>
  <c r="AW8" i="49"/>
  <c r="AV8" i="49"/>
  <c r="AU8" i="49"/>
  <c r="AT8" i="49"/>
  <c r="AS8" i="49"/>
  <c r="CC7" i="49"/>
  <c r="CB7" i="49"/>
  <c r="CA7" i="49"/>
  <c r="BZ7" i="49"/>
  <c r="BY7" i="49"/>
  <c r="BX7" i="49"/>
  <c r="BW7" i="49"/>
  <c r="BV7" i="49"/>
  <c r="BU7" i="49"/>
  <c r="BT7" i="49"/>
  <c r="BS7" i="49"/>
  <c r="BR7" i="49"/>
  <c r="BQ7" i="49"/>
  <c r="BP7" i="49"/>
  <c r="BO7" i="49"/>
  <c r="BN7" i="49"/>
  <c r="BM7" i="49"/>
  <c r="BL7" i="49"/>
  <c r="BK7" i="49"/>
  <c r="BJ7" i="49"/>
  <c r="BI7" i="49"/>
  <c r="BH7" i="49"/>
  <c r="BG7" i="49"/>
  <c r="BF7" i="49"/>
  <c r="BE7" i="49"/>
  <c r="BD7" i="49"/>
  <c r="BC7" i="49"/>
  <c r="BB7" i="49"/>
  <c r="BA7" i="49"/>
  <c r="AZ7" i="49"/>
  <c r="AY7" i="49"/>
  <c r="AX7" i="49"/>
  <c r="AW7" i="49"/>
  <c r="AV7" i="49"/>
  <c r="AU7" i="49"/>
  <c r="AT7" i="49"/>
  <c r="AS7" i="49"/>
  <c r="CC6" i="49"/>
  <c r="CB6" i="49"/>
  <c r="CA6" i="49"/>
  <c r="BZ6" i="49"/>
  <c r="BY6" i="49"/>
  <c r="BX6" i="49"/>
  <c r="BW6" i="49"/>
  <c r="BV6" i="49"/>
  <c r="BU6" i="49"/>
  <c r="BT6" i="49"/>
  <c r="BS6" i="49"/>
  <c r="BR6" i="49"/>
  <c r="BQ6" i="49"/>
  <c r="BP6" i="49"/>
  <c r="BO6" i="49"/>
  <c r="BN6" i="49"/>
  <c r="BM6" i="49"/>
  <c r="BL6" i="49"/>
  <c r="BK6" i="49"/>
  <c r="BJ6" i="49"/>
  <c r="BI6" i="49"/>
  <c r="BH6" i="49"/>
  <c r="BG6" i="49"/>
  <c r="BF6" i="49"/>
  <c r="BE6" i="49"/>
  <c r="BD6" i="49"/>
  <c r="BC6" i="49"/>
  <c r="BB6" i="49"/>
  <c r="BA6" i="49"/>
  <c r="AZ6" i="49"/>
  <c r="AY6" i="49"/>
  <c r="AX6" i="49"/>
  <c r="AW6" i="49"/>
  <c r="AV6" i="49"/>
  <c r="AU6" i="49"/>
  <c r="AT6" i="49"/>
  <c r="AS6" i="49"/>
  <c r="CC5" i="49"/>
  <c r="CB5" i="49"/>
  <c r="CA5" i="49"/>
  <c r="BZ5" i="49"/>
  <c r="BY5" i="49"/>
  <c r="BX5" i="49"/>
  <c r="BW5" i="49"/>
  <c r="BV5" i="49"/>
  <c r="BU5" i="49"/>
  <c r="BT5" i="49"/>
  <c r="BS5" i="49"/>
  <c r="BR5" i="49"/>
  <c r="BQ5" i="49"/>
  <c r="BP5" i="49"/>
  <c r="BO5" i="49"/>
  <c r="BN5" i="49"/>
  <c r="BM5" i="49"/>
  <c r="BL5" i="49"/>
  <c r="BK5" i="49"/>
  <c r="BJ5" i="49"/>
  <c r="BI5" i="49"/>
  <c r="BH5" i="49"/>
  <c r="BG5" i="49"/>
  <c r="BF5" i="49"/>
  <c r="BE5" i="49"/>
  <c r="BD5" i="49"/>
  <c r="BC5" i="49"/>
  <c r="BB5" i="49"/>
  <c r="BA5" i="49"/>
  <c r="AZ5" i="49"/>
  <c r="AY5" i="49"/>
  <c r="AX5" i="49"/>
  <c r="AW5" i="49"/>
  <c r="AV5" i="49"/>
  <c r="AU5" i="49"/>
  <c r="AT5" i="49"/>
  <c r="AS5" i="49"/>
  <c r="CC4" i="49"/>
  <c r="CB4" i="49"/>
  <c r="CA4" i="49"/>
  <c r="BZ4" i="49"/>
  <c r="BY4" i="49"/>
  <c r="BX4" i="49"/>
  <c r="BW4" i="49"/>
  <c r="BV4" i="49"/>
  <c r="BU4" i="49"/>
  <c r="BT4" i="49"/>
  <c r="BS4" i="49"/>
  <c r="BR4" i="49"/>
  <c r="BQ4" i="49"/>
  <c r="BP4" i="49"/>
  <c r="BO4" i="49"/>
  <c r="BN4" i="49"/>
  <c r="BM4" i="49"/>
  <c r="BL4" i="49"/>
  <c r="BK4" i="49"/>
  <c r="BJ4" i="49"/>
  <c r="BI4" i="49"/>
  <c r="BH4" i="49"/>
  <c r="BG4" i="49"/>
  <c r="BF4" i="49"/>
  <c r="BE4" i="49"/>
  <c r="BD4" i="49"/>
  <c r="BC4" i="49"/>
  <c r="BB4" i="49"/>
  <c r="BA4" i="49"/>
  <c r="AZ4" i="49"/>
  <c r="AY4" i="49"/>
  <c r="AX4" i="49"/>
  <c r="AW4" i="49"/>
  <c r="AV4" i="49"/>
  <c r="AU4" i="49"/>
  <c r="AT4" i="49"/>
  <c r="AS4" i="49"/>
  <c r="AF110" i="49"/>
  <c r="AF101" i="49"/>
  <c r="AF92" i="49"/>
  <c r="AF83" i="49"/>
  <c r="AF74" i="49"/>
  <c r="AF60" i="49"/>
  <c r="AF48" i="49"/>
  <c r="AF36" i="49"/>
  <c r="AF24" i="49"/>
  <c r="AF12" i="49"/>
  <c r="O98" i="49" l="1"/>
  <c r="O97" i="49"/>
  <c r="O89" i="49"/>
  <c r="O88" i="49"/>
  <c r="O80" i="49"/>
  <c r="O79" i="49"/>
  <c r="K29" i="49"/>
  <c r="J29" i="49"/>
  <c r="F29" i="49"/>
  <c r="AG29" i="49"/>
  <c r="Z29" i="49"/>
  <c r="E29" i="49"/>
  <c r="H29" i="49"/>
  <c r="G29" i="49"/>
  <c r="I29" i="49"/>
  <c r="AJ29" i="49"/>
  <c r="K44" i="49"/>
  <c r="J44" i="49"/>
  <c r="F44" i="49"/>
  <c r="H44" i="49"/>
  <c r="G44" i="49"/>
  <c r="AJ44" i="49"/>
  <c r="E44" i="49"/>
  <c r="AG44" i="49"/>
  <c r="I44" i="49"/>
  <c r="Z44" i="49"/>
  <c r="K79" i="49"/>
  <c r="J79" i="49"/>
  <c r="F79" i="49"/>
  <c r="I79" i="49"/>
  <c r="H79" i="49"/>
  <c r="AJ79" i="49"/>
  <c r="AG79" i="49"/>
  <c r="Z79" i="49"/>
  <c r="G79" i="49"/>
  <c r="E79" i="49"/>
  <c r="K89" i="49"/>
  <c r="J89" i="49"/>
  <c r="F89" i="49"/>
  <c r="E89" i="49"/>
  <c r="G89" i="49"/>
  <c r="I89" i="49"/>
  <c r="H89" i="49"/>
  <c r="AJ89" i="49"/>
  <c r="Z89" i="49"/>
  <c r="AG89" i="49"/>
  <c r="P17" i="49"/>
  <c r="P32" i="49"/>
  <c r="P80" i="49"/>
  <c r="K41" i="49"/>
  <c r="J41" i="49"/>
  <c r="F41" i="49"/>
  <c r="E41" i="49"/>
  <c r="I41" i="49"/>
  <c r="AJ41" i="49"/>
  <c r="Z41" i="49"/>
  <c r="AG41" i="49"/>
  <c r="H41" i="49"/>
  <c r="G41" i="49"/>
  <c r="F19" i="49"/>
  <c r="K19" i="49"/>
  <c r="J19" i="49"/>
  <c r="E19" i="49"/>
  <c r="AJ19" i="49"/>
  <c r="AG19" i="49"/>
  <c r="Z19" i="49"/>
  <c r="H19" i="49"/>
  <c r="G19" i="49"/>
  <c r="I19" i="49"/>
  <c r="K88" i="49"/>
  <c r="J88" i="49"/>
  <c r="F88" i="49"/>
  <c r="AG88" i="49"/>
  <c r="Z88" i="49"/>
  <c r="E88" i="49"/>
  <c r="G88" i="49"/>
  <c r="H88" i="49"/>
  <c r="AJ88" i="49"/>
  <c r="I88" i="49"/>
  <c r="K98" i="49"/>
  <c r="J98" i="49"/>
  <c r="F98" i="49"/>
  <c r="AJ98" i="49"/>
  <c r="Z98" i="49"/>
  <c r="G98" i="49"/>
  <c r="AG98" i="49"/>
  <c r="H98" i="49"/>
  <c r="I98" i="49"/>
  <c r="E98" i="49"/>
  <c r="P29" i="49"/>
  <c r="P44" i="49"/>
  <c r="P79" i="49"/>
  <c r="P89" i="49"/>
  <c r="F31" i="49"/>
  <c r="K31" i="49"/>
  <c r="J31" i="49"/>
  <c r="E31" i="49"/>
  <c r="I31" i="49"/>
  <c r="AJ31" i="49"/>
  <c r="AG31" i="49"/>
  <c r="Z31" i="49"/>
  <c r="H31" i="49"/>
  <c r="G31" i="49"/>
  <c r="K97" i="49"/>
  <c r="J97" i="49"/>
  <c r="F97" i="49"/>
  <c r="H97" i="49"/>
  <c r="AJ97" i="49"/>
  <c r="Z97" i="49"/>
  <c r="AG97" i="49"/>
  <c r="G97" i="49"/>
  <c r="I97" i="49"/>
  <c r="E97" i="49"/>
  <c r="P41" i="49"/>
  <c r="P19" i="49"/>
  <c r="P88" i="49"/>
  <c r="P98" i="49"/>
  <c r="K43" i="49"/>
  <c r="F43" i="49"/>
  <c r="J43" i="49"/>
  <c r="Z43" i="49"/>
  <c r="E43" i="49"/>
  <c r="H43" i="49"/>
  <c r="G43" i="49"/>
  <c r="AG43" i="49"/>
  <c r="AJ43" i="49"/>
  <c r="I43" i="49"/>
  <c r="P31" i="49"/>
  <c r="P97" i="49"/>
  <c r="K18" i="49"/>
  <c r="J18" i="49"/>
  <c r="F18" i="49"/>
  <c r="H18" i="49"/>
  <c r="I18" i="49"/>
  <c r="E18" i="49"/>
  <c r="AJ18" i="49"/>
  <c r="G18" i="49"/>
  <c r="Z18" i="49"/>
  <c r="AG18" i="49"/>
  <c r="P43" i="49"/>
  <c r="K30" i="49"/>
  <c r="J30" i="49"/>
  <c r="F30" i="49"/>
  <c r="Z30" i="49"/>
  <c r="H30" i="49"/>
  <c r="G30" i="49"/>
  <c r="AJ30" i="49"/>
  <c r="AG30" i="49"/>
  <c r="E30" i="49"/>
  <c r="I30" i="49"/>
  <c r="K137" i="49"/>
  <c r="J137" i="49"/>
  <c r="J145" i="49" s="1"/>
  <c r="G27" i="14" s="1"/>
  <c r="K109" i="12" s="1"/>
  <c r="F137" i="49"/>
  <c r="F145" i="49" s="1"/>
  <c r="C27" i="14" s="1"/>
  <c r="O137" i="49"/>
  <c r="I137" i="49"/>
  <c r="H137" i="49"/>
  <c r="G137" i="49"/>
  <c r="P18" i="49"/>
  <c r="K42" i="49"/>
  <c r="J42" i="49"/>
  <c r="F42" i="49"/>
  <c r="I42" i="49"/>
  <c r="Z42" i="49"/>
  <c r="E42" i="49"/>
  <c r="H42" i="49"/>
  <c r="G42" i="49"/>
  <c r="AJ42" i="49"/>
  <c r="AG42" i="49"/>
  <c r="K20" i="49"/>
  <c r="J20" i="49"/>
  <c r="F20" i="49"/>
  <c r="E20" i="49"/>
  <c r="Z20" i="49"/>
  <c r="I20" i="49"/>
  <c r="H20" i="49"/>
  <c r="G20" i="49"/>
  <c r="AG20" i="49"/>
  <c r="AJ20" i="49"/>
  <c r="P30" i="49"/>
  <c r="P137" i="49"/>
  <c r="K17" i="49"/>
  <c r="J17" i="49"/>
  <c r="F17" i="49"/>
  <c r="Z17" i="49"/>
  <c r="H17" i="49"/>
  <c r="G17" i="49"/>
  <c r="AJ17" i="49"/>
  <c r="E17" i="49"/>
  <c r="I17" i="49"/>
  <c r="AG17" i="49"/>
  <c r="K32" i="49"/>
  <c r="J32" i="49"/>
  <c r="F32" i="49"/>
  <c r="AG32" i="49"/>
  <c r="I32" i="49"/>
  <c r="AJ32" i="49"/>
  <c r="Z32" i="49"/>
  <c r="H32" i="49"/>
  <c r="G32" i="49"/>
  <c r="E32" i="49"/>
  <c r="K80" i="49"/>
  <c r="J80" i="49"/>
  <c r="F80" i="49"/>
  <c r="H80" i="49"/>
  <c r="I80" i="49"/>
  <c r="AJ80" i="49"/>
  <c r="E80" i="49"/>
  <c r="Z80" i="49"/>
  <c r="AG80" i="49"/>
  <c r="G80" i="49"/>
  <c r="P42" i="49"/>
  <c r="P20" i="49"/>
  <c r="P106" i="49"/>
  <c r="U106" i="49" s="1"/>
  <c r="P55" i="49"/>
  <c r="J55" i="49"/>
  <c r="F55" i="49"/>
  <c r="K55" i="49"/>
  <c r="Z55" i="49"/>
  <c r="I55" i="49"/>
  <c r="H55" i="49"/>
  <c r="G55" i="49"/>
  <c r="E55" i="49"/>
  <c r="AJ55" i="49"/>
  <c r="AG55" i="49"/>
  <c r="F54" i="49"/>
  <c r="J54" i="49"/>
  <c r="K54" i="49"/>
  <c r="E54" i="49"/>
  <c r="AG54" i="49"/>
  <c r="Z54" i="49"/>
  <c r="I54" i="49"/>
  <c r="H54" i="49"/>
  <c r="G54" i="49"/>
  <c r="AJ54" i="49"/>
  <c r="P54" i="49"/>
  <c r="F56" i="49"/>
  <c r="J56" i="49"/>
  <c r="K56" i="49"/>
  <c r="AG56" i="49"/>
  <c r="I56" i="49"/>
  <c r="H56" i="49"/>
  <c r="AJ56" i="49"/>
  <c r="G56" i="49"/>
  <c r="E56" i="49"/>
  <c r="Z56" i="49"/>
  <c r="J53" i="49"/>
  <c r="K53" i="49"/>
  <c r="F53" i="49"/>
  <c r="Z53" i="49"/>
  <c r="E53" i="49"/>
  <c r="AJ53" i="49"/>
  <c r="I53" i="49"/>
  <c r="H53" i="49"/>
  <c r="G53" i="49"/>
  <c r="AG53" i="49"/>
  <c r="F107" i="49"/>
  <c r="J107" i="49"/>
  <c r="K107" i="49"/>
  <c r="H107" i="49"/>
  <c r="E107" i="49"/>
  <c r="AG107" i="49"/>
  <c r="Z107" i="49"/>
  <c r="I107" i="49"/>
  <c r="AJ107" i="49"/>
  <c r="G107" i="49"/>
  <c r="P56" i="49"/>
  <c r="J106" i="49"/>
  <c r="F106" i="49"/>
  <c r="K106" i="49"/>
  <c r="H106" i="49"/>
  <c r="I106" i="49"/>
  <c r="G106" i="49"/>
  <c r="E106" i="49"/>
  <c r="Z106" i="49"/>
  <c r="AJ106" i="49"/>
  <c r="AG106" i="49"/>
  <c r="P53" i="49"/>
  <c r="P107" i="49"/>
  <c r="P119" i="49"/>
  <c r="K119" i="49"/>
  <c r="J119" i="49"/>
  <c r="G119" i="49"/>
  <c r="O119" i="49"/>
  <c r="H119" i="49"/>
  <c r="H127" i="49" s="1"/>
  <c r="E26" i="14" s="1"/>
  <c r="F108" i="12" s="1"/>
  <c r="I119" i="49"/>
  <c r="I127" i="49" s="1"/>
  <c r="F26" i="14" s="1"/>
  <c r="G108" i="12" s="1"/>
  <c r="F119" i="49"/>
  <c r="F127" i="49" s="1"/>
  <c r="C26" i="14" s="1"/>
  <c r="O71" i="49"/>
  <c r="O70" i="49"/>
  <c r="P6" i="49"/>
  <c r="F8" i="49"/>
  <c r="J8" i="49"/>
  <c r="K8" i="49"/>
  <c r="AG8" i="49"/>
  <c r="Z8" i="49"/>
  <c r="I8" i="49"/>
  <c r="H8" i="49"/>
  <c r="G8" i="49"/>
  <c r="E8" i="49"/>
  <c r="AJ8" i="49"/>
  <c r="F5" i="49"/>
  <c r="K5" i="49"/>
  <c r="J5" i="49"/>
  <c r="Z5" i="49"/>
  <c r="I5" i="49"/>
  <c r="H5" i="49"/>
  <c r="G5" i="49"/>
  <c r="AG5" i="49"/>
  <c r="E5" i="49"/>
  <c r="AJ5" i="49"/>
  <c r="J71" i="49"/>
  <c r="F71" i="49"/>
  <c r="K71" i="49"/>
  <c r="Z71" i="49"/>
  <c r="E71" i="49"/>
  <c r="I71" i="49"/>
  <c r="G71" i="49"/>
  <c r="AJ71" i="49"/>
  <c r="AG71" i="49"/>
  <c r="H71" i="49"/>
  <c r="P8" i="49"/>
  <c r="F70" i="49"/>
  <c r="K70" i="49"/>
  <c r="J70" i="49"/>
  <c r="AG70" i="49"/>
  <c r="E70" i="49"/>
  <c r="H70" i="49"/>
  <c r="Z70" i="49"/>
  <c r="AJ70" i="49"/>
  <c r="I70" i="49"/>
  <c r="G70" i="49"/>
  <c r="P5" i="49"/>
  <c r="P71" i="49"/>
  <c r="F6" i="49"/>
  <c r="K6" i="49"/>
  <c r="J6" i="49"/>
  <c r="E6" i="49"/>
  <c r="AG6" i="49"/>
  <c r="Z6" i="49"/>
  <c r="I6" i="49"/>
  <c r="H6" i="49"/>
  <c r="G6" i="49"/>
  <c r="AJ6" i="49"/>
  <c r="J7" i="49"/>
  <c r="F7" i="49"/>
  <c r="K7" i="49"/>
  <c r="AG7" i="49"/>
  <c r="E7" i="49"/>
  <c r="Z7" i="49"/>
  <c r="I7" i="49"/>
  <c r="H7" i="49"/>
  <c r="G7" i="49"/>
  <c r="AJ7" i="49"/>
  <c r="P70" i="49"/>
  <c r="P7" i="49"/>
  <c r="R106" i="49" l="1"/>
  <c r="T106" i="49"/>
  <c r="T27" i="14"/>
  <c r="W27" i="14"/>
  <c r="W26" i="14"/>
  <c r="T26" i="14"/>
  <c r="T18" i="49"/>
  <c r="V18" i="49"/>
  <c r="S18" i="49" s="1"/>
  <c r="U18" i="49"/>
  <c r="T98" i="49"/>
  <c r="V98" i="49"/>
  <c r="U98" i="49"/>
  <c r="T89" i="49"/>
  <c r="V89" i="49"/>
  <c r="S89" i="49" s="1"/>
  <c r="U89" i="49"/>
  <c r="V20" i="49"/>
  <c r="U20" i="49"/>
  <c r="T20" i="49"/>
  <c r="T43" i="49"/>
  <c r="V43" i="49"/>
  <c r="N43" i="49" s="1"/>
  <c r="U43" i="49"/>
  <c r="R43" i="49" s="1"/>
  <c r="V88" i="49"/>
  <c r="U88" i="49"/>
  <c r="T88" i="49"/>
  <c r="U79" i="49"/>
  <c r="T79" i="49"/>
  <c r="V79" i="49"/>
  <c r="T42" i="49"/>
  <c r="V42" i="49"/>
  <c r="S42" i="49" s="1"/>
  <c r="U42" i="49"/>
  <c r="M42" i="49" s="1"/>
  <c r="X42" i="49" s="1"/>
  <c r="T30" i="49"/>
  <c r="V30" i="49"/>
  <c r="S30" i="49" s="1"/>
  <c r="U30" i="49"/>
  <c r="T19" i="49"/>
  <c r="V19" i="49"/>
  <c r="S19" i="49" s="1"/>
  <c r="U19" i="49"/>
  <c r="T44" i="49"/>
  <c r="V44" i="49"/>
  <c r="U44" i="49"/>
  <c r="U137" i="49"/>
  <c r="R137" i="49" s="1"/>
  <c r="R145" i="49" s="1"/>
  <c r="R27" i="14" s="1"/>
  <c r="Q109" i="12" s="1"/>
  <c r="T137" i="49"/>
  <c r="Q137" i="49" s="1"/>
  <c r="Q145" i="49" s="1"/>
  <c r="Q27" i="14" s="1"/>
  <c r="P109" i="12" s="1"/>
  <c r="V137" i="49"/>
  <c r="S137" i="49" s="1"/>
  <c r="S145" i="49" s="1"/>
  <c r="S27" i="14" s="1"/>
  <c r="R109" i="12" s="1"/>
  <c r="T41" i="49"/>
  <c r="V41" i="49"/>
  <c r="U41" i="49"/>
  <c r="R41" i="49" s="1"/>
  <c r="T29" i="49"/>
  <c r="V29" i="49"/>
  <c r="S29" i="49" s="1"/>
  <c r="U29" i="49"/>
  <c r="T97" i="49"/>
  <c r="Q97" i="49" s="1"/>
  <c r="V97" i="49"/>
  <c r="U97" i="49"/>
  <c r="T80" i="49"/>
  <c r="V80" i="49"/>
  <c r="U80" i="49"/>
  <c r="T31" i="49"/>
  <c r="V31" i="49"/>
  <c r="S31" i="49" s="1"/>
  <c r="U31" i="49"/>
  <c r="U32" i="49"/>
  <c r="T32" i="49"/>
  <c r="V32" i="49"/>
  <c r="S32" i="49" s="1"/>
  <c r="T17" i="49"/>
  <c r="V17" i="49"/>
  <c r="U17" i="49"/>
  <c r="V106" i="49"/>
  <c r="S106" i="49" s="1"/>
  <c r="V53" i="49"/>
  <c r="S53" i="49" s="1"/>
  <c r="U53" i="49"/>
  <c r="T53" i="49"/>
  <c r="T55" i="49"/>
  <c r="V55" i="49"/>
  <c r="U55" i="49"/>
  <c r="V107" i="49"/>
  <c r="U107" i="49"/>
  <c r="T107" i="49"/>
  <c r="M106" i="49"/>
  <c r="X106" i="49" s="1"/>
  <c r="V56" i="49"/>
  <c r="S56" i="49" s="1"/>
  <c r="U56" i="49"/>
  <c r="T56" i="49"/>
  <c r="L106" i="49"/>
  <c r="W106" i="49" s="1"/>
  <c r="Q106" i="49"/>
  <c r="V54" i="49"/>
  <c r="U54" i="49"/>
  <c r="T54" i="49"/>
  <c r="U119" i="49"/>
  <c r="R119" i="49" s="1"/>
  <c r="R127" i="49" s="1"/>
  <c r="R26" i="14" s="1"/>
  <c r="Q108" i="12" s="1"/>
  <c r="V119" i="49"/>
  <c r="S119" i="49" s="1"/>
  <c r="S127" i="49" s="1"/>
  <c r="S26" i="14" s="1"/>
  <c r="R108" i="12" s="1"/>
  <c r="T119" i="49"/>
  <c r="Q119" i="49" s="1"/>
  <c r="Q127" i="49" s="1"/>
  <c r="Q26" i="14" s="1"/>
  <c r="P108" i="12" s="1"/>
  <c r="U8" i="49"/>
  <c r="T8" i="49"/>
  <c r="V8" i="49"/>
  <c r="T71" i="49"/>
  <c r="V71" i="49"/>
  <c r="U71" i="49"/>
  <c r="V5" i="49"/>
  <c r="U5" i="49"/>
  <c r="T5" i="49"/>
  <c r="Q5" i="49" s="1"/>
  <c r="V7" i="49"/>
  <c r="U7" i="49"/>
  <c r="T7" i="49"/>
  <c r="V70" i="49"/>
  <c r="S70" i="49" s="1"/>
  <c r="U70" i="49"/>
  <c r="T70" i="49"/>
  <c r="V6" i="49"/>
  <c r="U6" i="49"/>
  <c r="T6" i="49"/>
  <c r="K127" i="49"/>
  <c r="H26" i="14" s="1"/>
  <c r="Y108" i="12" s="1"/>
  <c r="D109" i="12"/>
  <c r="V27" i="14"/>
  <c r="U27" i="14"/>
  <c r="X27" i="14"/>
  <c r="Y27" i="14"/>
  <c r="V26" i="14"/>
  <c r="X26" i="14"/>
  <c r="Y26" i="14"/>
  <c r="U26" i="14"/>
  <c r="D108" i="12"/>
  <c r="AD12" i="49"/>
  <c r="AG12" i="49"/>
  <c r="J12" i="49"/>
  <c r="AL12" i="49"/>
  <c r="AN12" i="49"/>
  <c r="Z12" i="49"/>
  <c r="AB12" i="49"/>
  <c r="G12" i="49"/>
  <c r="AJ12" i="49"/>
  <c r="AQ12" i="49"/>
  <c r="H12" i="49"/>
  <c r="K12" i="49"/>
  <c r="F12" i="49"/>
  <c r="I12" i="49"/>
  <c r="V101" i="49"/>
  <c r="K36" i="49"/>
  <c r="AJ36" i="49"/>
  <c r="AB36" i="49"/>
  <c r="J36" i="49"/>
  <c r="I36" i="49"/>
  <c r="Z36" i="49"/>
  <c r="H36" i="49"/>
  <c r="AG36" i="49"/>
  <c r="G36" i="49"/>
  <c r="D23" i="14" s="1"/>
  <c r="E105" i="12" s="1"/>
  <c r="BE105" i="12" s="1"/>
  <c r="BF105" i="12" s="1"/>
  <c r="AN36" i="49"/>
  <c r="F36" i="49"/>
  <c r="AD36" i="49"/>
  <c r="AL36" i="49"/>
  <c r="I101" i="49"/>
  <c r="Z101" i="49"/>
  <c r="AA101" i="49" s="1"/>
  <c r="H101" i="49"/>
  <c r="AG101" i="49"/>
  <c r="AH101" i="49" s="1"/>
  <c r="AI101" i="49" s="1"/>
  <c r="G101" i="49"/>
  <c r="AN101" i="49"/>
  <c r="AO101" i="49" s="1"/>
  <c r="F101" i="49"/>
  <c r="AL101" i="49"/>
  <c r="AM101" i="49" s="1"/>
  <c r="AD101" i="49"/>
  <c r="AE101" i="49" s="1"/>
  <c r="K101" i="49"/>
  <c r="AB101" i="49"/>
  <c r="AC101" i="49" s="1"/>
  <c r="AJ101" i="49"/>
  <c r="AK101" i="49" s="1"/>
  <c r="J101" i="49"/>
  <c r="G145" i="49"/>
  <c r="D27" i="14" s="1"/>
  <c r="E109" i="12" s="1"/>
  <c r="BE109" i="12" s="1"/>
  <c r="BF109" i="12" s="1"/>
  <c r="AN60" i="49"/>
  <c r="F60" i="49"/>
  <c r="C25" i="14" s="1"/>
  <c r="AL60" i="49"/>
  <c r="AD60" i="49"/>
  <c r="K60" i="49"/>
  <c r="H25" i="14" s="1"/>
  <c r="I60" i="49"/>
  <c r="F25" i="14" s="1"/>
  <c r="G107" i="12" s="1"/>
  <c r="Z60" i="49"/>
  <c r="H60" i="49"/>
  <c r="E25" i="14" s="1"/>
  <c r="F107" i="12" s="1"/>
  <c r="AJ60" i="49"/>
  <c r="G60" i="49"/>
  <c r="D25" i="14" s="1"/>
  <c r="E107" i="12" s="1"/>
  <c r="BE107" i="12" s="1"/>
  <c r="BF107" i="12" s="1"/>
  <c r="AG60" i="49"/>
  <c r="AB60" i="49"/>
  <c r="J60" i="49"/>
  <c r="G25" i="14" s="1"/>
  <c r="K107" i="12" s="1"/>
  <c r="AL24" i="49"/>
  <c r="AM24" i="49" s="1"/>
  <c r="AD24" i="49"/>
  <c r="AE24" i="49" s="1"/>
  <c r="K24" i="49"/>
  <c r="AJ24" i="49"/>
  <c r="AK24" i="49" s="1"/>
  <c r="AB24" i="49"/>
  <c r="AC24" i="49" s="1"/>
  <c r="J24" i="49"/>
  <c r="I24" i="49"/>
  <c r="Z24" i="49"/>
  <c r="AA24" i="49" s="1"/>
  <c r="H24" i="49"/>
  <c r="AG24" i="49"/>
  <c r="AH24" i="49" s="1"/>
  <c r="AI24" i="49" s="1"/>
  <c r="G24" i="49"/>
  <c r="AN24" i="49"/>
  <c r="AO24" i="49" s="1"/>
  <c r="F24" i="49"/>
  <c r="I145" i="49"/>
  <c r="F27" i="14" s="1"/>
  <c r="G109" i="12" s="1"/>
  <c r="H145" i="49"/>
  <c r="E27" i="14" s="1"/>
  <c r="F109" i="12" s="1"/>
  <c r="AG83" i="49"/>
  <c r="G83" i="49"/>
  <c r="AN83" i="49"/>
  <c r="F83" i="49"/>
  <c r="AL83" i="49"/>
  <c r="AD83" i="49"/>
  <c r="AJ83" i="49"/>
  <c r="AB83" i="49"/>
  <c r="J83" i="49"/>
  <c r="I83" i="49"/>
  <c r="Z83" i="49"/>
  <c r="K83" i="49"/>
  <c r="H83" i="49"/>
  <c r="I48" i="49"/>
  <c r="Z48" i="49"/>
  <c r="H48" i="49"/>
  <c r="AG48" i="49"/>
  <c r="G48" i="49"/>
  <c r="F48" i="49"/>
  <c r="C24" i="14" s="1"/>
  <c r="AN48" i="49"/>
  <c r="AL48" i="49"/>
  <c r="AD48" i="49"/>
  <c r="AB48" i="49"/>
  <c r="AJ48" i="49"/>
  <c r="K48" i="49"/>
  <c r="H24" i="14" s="1"/>
  <c r="J48" i="49"/>
  <c r="G127" i="49"/>
  <c r="D26" i="14" s="1"/>
  <c r="E108" i="12" s="1"/>
  <c r="BE108" i="12" s="1"/>
  <c r="BF108" i="12" s="1"/>
  <c r="AN74" i="49"/>
  <c r="AO74" i="49" s="1"/>
  <c r="F74" i="49"/>
  <c r="AL74" i="49"/>
  <c r="AM74" i="49" s="1"/>
  <c r="AD74" i="49"/>
  <c r="AE74" i="49" s="1"/>
  <c r="K74" i="49"/>
  <c r="I74" i="49"/>
  <c r="Z74" i="49"/>
  <c r="AA74" i="49" s="1"/>
  <c r="H74" i="49"/>
  <c r="J74" i="49"/>
  <c r="AJ74" i="49"/>
  <c r="AK74" i="49" s="1"/>
  <c r="G74" i="49"/>
  <c r="AG74" i="49"/>
  <c r="AH74" i="49" s="1"/>
  <c r="AI74" i="49" s="1"/>
  <c r="AB74" i="49"/>
  <c r="AC74" i="49" s="1"/>
  <c r="K145" i="49"/>
  <c r="H27" i="14" s="1"/>
  <c r="U24" i="49"/>
  <c r="T101" i="49"/>
  <c r="Z92" i="49"/>
  <c r="AA92" i="49" s="1"/>
  <c r="H92" i="49"/>
  <c r="AG92" i="49"/>
  <c r="AH92" i="49" s="1"/>
  <c r="AI92" i="49" s="1"/>
  <c r="G92" i="49"/>
  <c r="AN92" i="49"/>
  <c r="AO92" i="49" s="1"/>
  <c r="F92" i="49"/>
  <c r="U92" i="49"/>
  <c r="K92" i="49"/>
  <c r="AJ92" i="49"/>
  <c r="AK92" i="49" s="1"/>
  <c r="AB92" i="49"/>
  <c r="AC92" i="49" s="1"/>
  <c r="J92" i="49"/>
  <c r="AL92" i="49"/>
  <c r="AM92" i="49" s="1"/>
  <c r="I92" i="49"/>
  <c r="AD92" i="49"/>
  <c r="AE92" i="49" s="1"/>
  <c r="AJ110" i="49"/>
  <c r="AK110" i="49" s="1"/>
  <c r="AB110" i="49"/>
  <c r="AC110" i="49" s="1"/>
  <c r="T110" i="49"/>
  <c r="J110" i="49"/>
  <c r="I110" i="49"/>
  <c r="Z110" i="49"/>
  <c r="AA110" i="49" s="1"/>
  <c r="H110" i="49"/>
  <c r="AG110" i="49"/>
  <c r="AH110" i="49" s="1"/>
  <c r="AI110" i="49" s="1"/>
  <c r="G110" i="49"/>
  <c r="AL110" i="49"/>
  <c r="AM110" i="49" s="1"/>
  <c r="AD110" i="49"/>
  <c r="AE110" i="49" s="1"/>
  <c r="V110" i="49"/>
  <c r="K110" i="49"/>
  <c r="AN110" i="49"/>
  <c r="AO110" i="49" s="1"/>
  <c r="F110" i="49"/>
  <c r="U110" i="49"/>
  <c r="J127" i="49"/>
  <c r="G26" i="14" s="1"/>
  <c r="K108" i="12" s="1"/>
  <c r="M109" i="12" l="1"/>
  <c r="N109" i="12"/>
  <c r="T24" i="14"/>
  <c r="W24" i="14"/>
  <c r="N106" i="49"/>
  <c r="Y106" i="49" s="1"/>
  <c r="W25" i="14"/>
  <c r="T25" i="14"/>
  <c r="L97" i="49"/>
  <c r="W97" i="49" s="1"/>
  <c r="G24" i="14"/>
  <c r="K106" i="12" s="1"/>
  <c r="D24" i="14"/>
  <c r="E106" i="12" s="1"/>
  <c r="BE106" i="12" s="1"/>
  <c r="BF106" i="12" s="1"/>
  <c r="E24" i="14"/>
  <c r="F106" i="12" s="1"/>
  <c r="F24" i="14"/>
  <c r="G106" i="12" s="1"/>
  <c r="C23" i="14"/>
  <c r="D105" i="12" s="1"/>
  <c r="H23" i="14"/>
  <c r="Y105" i="12" s="1"/>
  <c r="E23" i="14"/>
  <c r="F105" i="12" s="1"/>
  <c r="F23" i="14"/>
  <c r="G105" i="12" s="1"/>
  <c r="G23" i="14"/>
  <c r="K105" i="12" s="1"/>
  <c r="V48" i="49"/>
  <c r="U12" i="49"/>
  <c r="Y43" i="49"/>
  <c r="M43" i="49"/>
  <c r="X43" i="49" s="1"/>
  <c r="N32" i="49"/>
  <c r="Y32" i="49" s="1"/>
  <c r="S43" i="49"/>
  <c r="N42" i="49"/>
  <c r="N31" i="49"/>
  <c r="Y31" i="49" s="1"/>
  <c r="L17" i="49"/>
  <c r="W17" i="49" s="1"/>
  <c r="Q17" i="49"/>
  <c r="L31" i="49"/>
  <c r="W31" i="49" s="1"/>
  <c r="Q31" i="49"/>
  <c r="R29" i="49"/>
  <c r="M29" i="49"/>
  <c r="X29" i="49" s="1"/>
  <c r="Q44" i="49"/>
  <c r="L44" i="49"/>
  <c r="W44" i="49" s="1"/>
  <c r="L88" i="49"/>
  <c r="W88" i="49" s="1"/>
  <c r="Q88" i="49"/>
  <c r="N20" i="49"/>
  <c r="Y20" i="49" s="1"/>
  <c r="S20" i="49"/>
  <c r="M19" i="49"/>
  <c r="R19" i="49"/>
  <c r="Q30" i="49"/>
  <c r="L30" i="49"/>
  <c r="W30" i="49" s="1"/>
  <c r="R88" i="49"/>
  <c r="M88" i="49"/>
  <c r="X88" i="49" s="1"/>
  <c r="R89" i="49"/>
  <c r="M89" i="49"/>
  <c r="X89" i="49" s="1"/>
  <c r="X19" i="49"/>
  <c r="L29" i="49"/>
  <c r="W29" i="49" s="1"/>
  <c r="Q29" i="49"/>
  <c r="S88" i="49"/>
  <c r="N88" i="49"/>
  <c r="Y88" i="49" s="1"/>
  <c r="N19" i="49"/>
  <c r="Y19" i="49" s="1"/>
  <c r="M80" i="49"/>
  <c r="X80" i="49" s="1"/>
  <c r="R80" i="49"/>
  <c r="R97" i="49"/>
  <c r="R101" i="49" s="1"/>
  <c r="M97" i="49"/>
  <c r="X97" i="49" s="1"/>
  <c r="L19" i="49"/>
  <c r="W19" i="49" s="1"/>
  <c r="Q19" i="49"/>
  <c r="Q89" i="49"/>
  <c r="L89" i="49"/>
  <c r="W89" i="49" s="1"/>
  <c r="N30" i="49"/>
  <c r="Y30" i="49" s="1"/>
  <c r="N29" i="49"/>
  <c r="Y29" i="49" s="1"/>
  <c r="S80" i="49"/>
  <c r="N80" i="49"/>
  <c r="Y80" i="49" s="1"/>
  <c r="S97" i="49"/>
  <c r="N97" i="49"/>
  <c r="Y97" i="49" s="1"/>
  <c r="S41" i="49"/>
  <c r="N41" i="49"/>
  <c r="Y41" i="49" s="1"/>
  <c r="L42" i="49"/>
  <c r="W42" i="49" s="1"/>
  <c r="Q42" i="49"/>
  <c r="M98" i="49"/>
  <c r="X98" i="49" s="1"/>
  <c r="R98" i="49"/>
  <c r="R18" i="49"/>
  <c r="M18" i="49"/>
  <c r="X18" i="49" s="1"/>
  <c r="Q80" i="49"/>
  <c r="L80" i="49"/>
  <c r="W80" i="49" s="1"/>
  <c r="L41" i="49"/>
  <c r="W41" i="49" s="1"/>
  <c r="Q41" i="49"/>
  <c r="M41" i="49"/>
  <c r="X41" i="49" s="1"/>
  <c r="S79" i="49"/>
  <c r="N79" i="49"/>
  <c r="Y79" i="49" s="1"/>
  <c r="L43" i="49"/>
  <c r="W43" i="49" s="1"/>
  <c r="Q43" i="49"/>
  <c r="S98" i="49"/>
  <c r="N98" i="49"/>
  <c r="Y98" i="49" s="1"/>
  <c r="R17" i="49"/>
  <c r="M17" i="49"/>
  <c r="X17" i="49" s="1"/>
  <c r="Q32" i="49"/>
  <c r="L32" i="49"/>
  <c r="W32" i="49" s="1"/>
  <c r="R31" i="49"/>
  <c r="M31" i="49"/>
  <c r="X31" i="49" s="1"/>
  <c r="R42" i="49"/>
  <c r="R44" i="49"/>
  <c r="M44" i="49"/>
  <c r="X44" i="49" s="1"/>
  <c r="N18" i="49"/>
  <c r="Y18" i="49" s="1"/>
  <c r="L79" i="49"/>
  <c r="W79" i="49" s="1"/>
  <c r="Q79" i="49"/>
  <c r="Q20" i="49"/>
  <c r="L20" i="49"/>
  <c r="W20" i="49" s="1"/>
  <c r="Q98" i="49"/>
  <c r="L98" i="49"/>
  <c r="W98" i="49" s="1"/>
  <c r="Q18" i="49"/>
  <c r="L18" i="49"/>
  <c r="W18" i="49" s="1"/>
  <c r="S17" i="49"/>
  <c r="N17" i="49"/>
  <c r="Y17" i="49" s="1"/>
  <c r="M32" i="49"/>
  <c r="X32" i="49" s="1"/>
  <c r="R32" i="49"/>
  <c r="N44" i="49"/>
  <c r="Y44" i="49" s="1"/>
  <c r="S44" i="49"/>
  <c r="R30" i="49"/>
  <c r="M30" i="49"/>
  <c r="X30" i="49" s="1"/>
  <c r="R79" i="49"/>
  <c r="M79" i="49"/>
  <c r="X79" i="49" s="1"/>
  <c r="R20" i="49"/>
  <c r="M20" i="49"/>
  <c r="X20" i="49" s="1"/>
  <c r="N89" i="49"/>
  <c r="Y89" i="49" s="1"/>
  <c r="N56" i="49"/>
  <c r="Y56" i="49" s="1"/>
  <c r="L53" i="49"/>
  <c r="W53" i="49" s="1"/>
  <c r="Q53" i="49"/>
  <c r="R53" i="49"/>
  <c r="M53" i="49"/>
  <c r="X53" i="49" s="1"/>
  <c r="R54" i="49"/>
  <c r="M54" i="49"/>
  <c r="X54" i="49" s="1"/>
  <c r="R55" i="49"/>
  <c r="M55" i="49"/>
  <c r="X55" i="49" s="1"/>
  <c r="S54" i="49"/>
  <c r="N54" i="49"/>
  <c r="Y54" i="49" s="1"/>
  <c r="L107" i="49"/>
  <c r="W107" i="49" s="1"/>
  <c r="Q107" i="49"/>
  <c r="S55" i="49"/>
  <c r="N55" i="49"/>
  <c r="Y55" i="49" s="1"/>
  <c r="L54" i="49"/>
  <c r="W54" i="49" s="1"/>
  <c r="Q54" i="49"/>
  <c r="M107" i="49"/>
  <c r="X107" i="49" s="1"/>
  <c r="R107" i="49"/>
  <c r="L55" i="49"/>
  <c r="W55" i="49" s="1"/>
  <c r="Q55" i="49"/>
  <c r="N107" i="49"/>
  <c r="Y107" i="49" s="1"/>
  <c r="S107" i="49"/>
  <c r="L56" i="49"/>
  <c r="W56" i="49" s="1"/>
  <c r="Q56" i="49"/>
  <c r="R56" i="49"/>
  <c r="M56" i="49"/>
  <c r="X56" i="49" s="1"/>
  <c r="N53" i="49"/>
  <c r="Y53" i="49" s="1"/>
  <c r="L70" i="49"/>
  <c r="W70" i="49" s="1"/>
  <c r="Q70" i="49"/>
  <c r="R70" i="49"/>
  <c r="M70" i="49"/>
  <c r="X70" i="49" s="1"/>
  <c r="Q71" i="49"/>
  <c r="L71" i="49"/>
  <c r="W71" i="49" s="1"/>
  <c r="N70" i="49"/>
  <c r="Y70" i="49" s="1"/>
  <c r="Q7" i="49"/>
  <c r="L7" i="49"/>
  <c r="W7" i="49" s="1"/>
  <c r="Q6" i="49"/>
  <c r="L6" i="49"/>
  <c r="W6" i="49" s="1"/>
  <c r="S7" i="49"/>
  <c r="N7" i="49"/>
  <c r="Y7" i="49" s="1"/>
  <c r="S5" i="49"/>
  <c r="N5" i="49"/>
  <c r="Y5" i="49" s="1"/>
  <c r="M8" i="49"/>
  <c r="X8" i="49" s="1"/>
  <c r="R8" i="49"/>
  <c r="M6" i="49"/>
  <c r="X6" i="49" s="1"/>
  <c r="R6" i="49"/>
  <c r="L5" i="49"/>
  <c r="W5" i="49" s="1"/>
  <c r="N8" i="49"/>
  <c r="Y8" i="49" s="1"/>
  <c r="S8" i="49"/>
  <c r="S71" i="49"/>
  <c r="N71" i="49"/>
  <c r="Y71" i="49" s="1"/>
  <c r="R7" i="49"/>
  <c r="M7" i="49"/>
  <c r="X7" i="49" s="1"/>
  <c r="R5" i="49"/>
  <c r="M5" i="49"/>
  <c r="X5" i="49" s="1"/>
  <c r="S6" i="49"/>
  <c r="N6" i="49"/>
  <c r="M71" i="49"/>
  <c r="X71" i="49" s="1"/>
  <c r="R71" i="49"/>
  <c r="L8" i="49"/>
  <c r="W8" i="49" s="1"/>
  <c r="Q8" i="49"/>
  <c r="E21" i="14"/>
  <c r="F103" i="12" s="1"/>
  <c r="D21" i="14"/>
  <c r="E103" i="12" s="1"/>
  <c r="BE103" i="12" s="1"/>
  <c r="BF103" i="12" s="1"/>
  <c r="F21" i="14"/>
  <c r="G103" i="12" s="1"/>
  <c r="C21" i="14"/>
  <c r="G21" i="14"/>
  <c r="K103" i="12" s="1"/>
  <c r="H21" i="14"/>
  <c r="Y103" i="12" s="1"/>
  <c r="N108" i="12"/>
  <c r="O109" i="12"/>
  <c r="U48" i="49"/>
  <c r="R48" i="49"/>
  <c r="V36" i="49"/>
  <c r="V83" i="49"/>
  <c r="T36" i="49"/>
  <c r="U36" i="49"/>
  <c r="U83" i="49"/>
  <c r="T60" i="49"/>
  <c r="U60" i="49"/>
  <c r="E22" i="14"/>
  <c r="F104" i="12" s="1"/>
  <c r="V60" i="49"/>
  <c r="O108" i="12"/>
  <c r="T48" i="49"/>
  <c r="Q48" i="49"/>
  <c r="M108" i="12"/>
  <c r="H22" i="14"/>
  <c r="Y107" i="12"/>
  <c r="AC60" i="49"/>
  <c r="K44" i="14" s="1"/>
  <c r="J44" i="14"/>
  <c r="AH60" i="49"/>
  <c r="C44" i="14"/>
  <c r="AE60" i="49"/>
  <c r="M44" i="14" s="1"/>
  <c r="L44" i="14"/>
  <c r="AK60" i="49"/>
  <c r="O44" i="14" s="1"/>
  <c r="N44" i="14"/>
  <c r="AM60" i="49"/>
  <c r="Q44" i="14" s="1"/>
  <c r="P44" i="14"/>
  <c r="Y25" i="14"/>
  <c r="U25" i="14"/>
  <c r="V25" i="14"/>
  <c r="X25" i="14"/>
  <c r="D107" i="12"/>
  <c r="AA60" i="49"/>
  <c r="I44" i="14" s="1"/>
  <c r="H44" i="14"/>
  <c r="AO60" i="49"/>
  <c r="S44" i="14" s="1"/>
  <c r="R44" i="14"/>
  <c r="X24" i="14"/>
  <c r="Y24" i="14"/>
  <c r="U24" i="14"/>
  <c r="V24" i="14"/>
  <c r="D106" i="12"/>
  <c r="AK48" i="49"/>
  <c r="O43" i="14" s="1"/>
  <c r="N43" i="14"/>
  <c r="AH48" i="49"/>
  <c r="C43" i="14"/>
  <c r="AE48" i="49"/>
  <c r="M43" i="14" s="1"/>
  <c r="L43" i="14"/>
  <c r="AA48" i="49"/>
  <c r="I43" i="14" s="1"/>
  <c r="H43" i="14"/>
  <c r="AM48" i="49"/>
  <c r="Q43" i="14" s="1"/>
  <c r="P43" i="14"/>
  <c r="AC48" i="49"/>
  <c r="K43" i="14" s="1"/>
  <c r="J43" i="14"/>
  <c r="Y106" i="12"/>
  <c r="AO48" i="49"/>
  <c r="S43" i="14" s="1"/>
  <c r="R43" i="14"/>
  <c r="AE36" i="49"/>
  <c r="M42" i="14" s="1"/>
  <c r="L42" i="14"/>
  <c r="AO36" i="49"/>
  <c r="S42" i="14" s="1"/>
  <c r="R42" i="14"/>
  <c r="AC36" i="49"/>
  <c r="K42" i="14" s="1"/>
  <c r="J42" i="14"/>
  <c r="AK36" i="49"/>
  <c r="O42" i="14" s="1"/>
  <c r="N42" i="14"/>
  <c r="AH36" i="49"/>
  <c r="C42" i="14"/>
  <c r="AM36" i="49"/>
  <c r="Q42" i="14" s="1"/>
  <c r="P42" i="14"/>
  <c r="AA36" i="49"/>
  <c r="I42" i="14" s="1"/>
  <c r="H42" i="14"/>
  <c r="AA83" i="49"/>
  <c r="I41" i="14" s="1"/>
  <c r="H41" i="14"/>
  <c r="AO83" i="49"/>
  <c r="S41" i="14" s="1"/>
  <c r="R41" i="14"/>
  <c r="AC83" i="49"/>
  <c r="K41" i="14" s="1"/>
  <c r="J41" i="14"/>
  <c r="AK83" i="49"/>
  <c r="O41" i="14" s="1"/>
  <c r="N41" i="14"/>
  <c r="AH83" i="49"/>
  <c r="C41" i="14"/>
  <c r="AE83" i="49"/>
  <c r="M41" i="14" s="1"/>
  <c r="L41" i="14"/>
  <c r="AM83" i="49"/>
  <c r="Q41" i="14" s="1"/>
  <c r="P41" i="14"/>
  <c r="AA12" i="49"/>
  <c r="I40" i="14" s="1"/>
  <c r="H40" i="14"/>
  <c r="AH12" i="49"/>
  <c r="C40" i="14"/>
  <c r="AK12" i="49"/>
  <c r="O40" i="14" s="1"/>
  <c r="N40" i="14"/>
  <c r="AO12" i="49"/>
  <c r="S40" i="14" s="1"/>
  <c r="R40" i="14"/>
  <c r="AE12" i="49"/>
  <c r="M40" i="14" s="1"/>
  <c r="L40" i="14"/>
  <c r="AC12" i="49"/>
  <c r="K40" i="14" s="1"/>
  <c r="J40" i="14"/>
  <c r="AM12" i="49"/>
  <c r="Q40" i="14" s="1"/>
  <c r="P40" i="14"/>
  <c r="Y109" i="12"/>
  <c r="D22" i="14"/>
  <c r="E104" i="12" s="1"/>
  <c r="BE104" i="12" s="1"/>
  <c r="BF104" i="12" s="1"/>
  <c r="F22" i="14"/>
  <c r="G104" i="12" s="1"/>
  <c r="G22" i="14"/>
  <c r="K104" i="12" s="1"/>
  <c r="C22" i="14"/>
  <c r="V12" i="49"/>
  <c r="T12" i="49"/>
  <c r="Q12" i="49"/>
  <c r="S36" i="49"/>
  <c r="M48" i="49"/>
  <c r="R92" i="49"/>
  <c r="S110" i="49"/>
  <c r="N110" i="49"/>
  <c r="T24" i="49"/>
  <c r="U74" i="49"/>
  <c r="Q110" i="49"/>
  <c r="T92" i="49"/>
  <c r="R110" i="49"/>
  <c r="L101" i="49"/>
  <c r="L145" i="49"/>
  <c r="T145" i="49"/>
  <c r="T74" i="49"/>
  <c r="V74" i="49"/>
  <c r="U145" i="49"/>
  <c r="M145" i="49"/>
  <c r="V92" i="49"/>
  <c r="N127" i="49"/>
  <c r="V127" i="49"/>
  <c r="V24" i="49"/>
  <c r="U101" i="49"/>
  <c r="M127" i="49"/>
  <c r="U127" i="49"/>
  <c r="N145" i="49"/>
  <c r="V145" i="49"/>
  <c r="R24" i="49"/>
  <c r="T83" i="49"/>
  <c r="L127" i="49"/>
  <c r="T127" i="49"/>
  <c r="U23" i="14" l="1"/>
  <c r="T23" i="14"/>
  <c r="W23" i="14"/>
  <c r="T22" i="14"/>
  <c r="W22" i="14"/>
  <c r="D103" i="12"/>
  <c r="T21" i="14"/>
  <c r="W21" i="14"/>
  <c r="Y23" i="14"/>
  <c r="V23" i="14"/>
  <c r="X23" i="14"/>
  <c r="R24" i="14"/>
  <c r="Q106" i="12" s="1"/>
  <c r="N106" i="12" s="1"/>
  <c r="L92" i="49"/>
  <c r="M83" i="49"/>
  <c r="X12" i="49"/>
  <c r="S48" i="49"/>
  <c r="X48" i="49"/>
  <c r="W48" i="49"/>
  <c r="X36" i="49"/>
  <c r="Q24" i="49"/>
  <c r="L24" i="49"/>
  <c r="S12" i="49"/>
  <c r="M12" i="49"/>
  <c r="R12" i="49"/>
  <c r="W12" i="49"/>
  <c r="L48" i="49"/>
  <c r="I24" i="14" s="1"/>
  <c r="S106" i="12" s="1"/>
  <c r="Y42" i="49"/>
  <c r="Y48" i="49" s="1"/>
  <c r="N48" i="49"/>
  <c r="L36" i="49"/>
  <c r="I23" i="14" s="1"/>
  <c r="S105" i="12" s="1"/>
  <c r="L12" i="49"/>
  <c r="Y6" i="49"/>
  <c r="Y12" i="49" s="1"/>
  <c r="N12" i="49"/>
  <c r="X21" i="14"/>
  <c r="V21" i="14"/>
  <c r="U21" i="14"/>
  <c r="S74" i="49"/>
  <c r="S21" i="14" s="1"/>
  <c r="R103" i="12" s="1"/>
  <c r="Y21" i="14"/>
  <c r="Y104" i="12"/>
  <c r="Q60" i="49"/>
  <c r="Q25" i="14" s="1"/>
  <c r="P107" i="12" s="1"/>
  <c r="M107" i="12" s="1"/>
  <c r="Q36" i="49"/>
  <c r="R36" i="49"/>
  <c r="R23" i="14" s="1"/>
  <c r="Q105" i="12" s="1"/>
  <c r="N105" i="12" s="1"/>
  <c r="AI60" i="49"/>
  <c r="G44" i="14" s="1"/>
  <c r="E44" i="14"/>
  <c r="AI48" i="49"/>
  <c r="G43" i="14" s="1"/>
  <c r="E43" i="14"/>
  <c r="AI36" i="49"/>
  <c r="G42" i="14" s="1"/>
  <c r="E42" i="14"/>
  <c r="U22" i="14"/>
  <c r="X22" i="14"/>
  <c r="Y22" i="14"/>
  <c r="V22" i="14"/>
  <c r="D104" i="12"/>
  <c r="AI83" i="49"/>
  <c r="G41" i="14" s="1"/>
  <c r="E41" i="14"/>
  <c r="AI12" i="49"/>
  <c r="G40" i="14" s="1"/>
  <c r="E40" i="14"/>
  <c r="Y145" i="49"/>
  <c r="P27" i="14" s="1"/>
  <c r="X109" i="12" s="1"/>
  <c r="K27" i="14"/>
  <c r="U109" i="12" s="1"/>
  <c r="X145" i="49"/>
  <c r="O27" i="14" s="1"/>
  <c r="W109" i="12" s="1"/>
  <c r="J27" i="14"/>
  <c r="T109" i="12" s="1"/>
  <c r="W145" i="49"/>
  <c r="N27" i="14" s="1"/>
  <c r="V109" i="12" s="1"/>
  <c r="I27" i="14"/>
  <c r="S109" i="12" s="1"/>
  <c r="X127" i="49"/>
  <c r="O26" i="14" s="1"/>
  <c r="W108" i="12" s="1"/>
  <c r="J26" i="14"/>
  <c r="T108" i="12" s="1"/>
  <c r="W127" i="49"/>
  <c r="N26" i="14" s="1"/>
  <c r="V108" i="12" s="1"/>
  <c r="I26" i="14"/>
  <c r="S108" i="12" s="1"/>
  <c r="Y127" i="49"/>
  <c r="P26" i="14" s="1"/>
  <c r="X108" i="12" s="1"/>
  <c r="K26" i="14"/>
  <c r="U108" i="12" s="1"/>
  <c r="X60" i="49"/>
  <c r="O25" i="14" s="1"/>
  <c r="W107" i="12" s="1"/>
  <c r="M60" i="49"/>
  <c r="J25" i="14" s="1"/>
  <c r="T107" i="12" s="1"/>
  <c r="R60" i="49"/>
  <c r="R25" i="14" s="1"/>
  <c r="Q107" i="12" s="1"/>
  <c r="N107" i="12" s="1"/>
  <c r="Y60" i="49"/>
  <c r="P25" i="14" s="1"/>
  <c r="X107" i="12" s="1"/>
  <c r="N60" i="49"/>
  <c r="K25" i="14" s="1"/>
  <c r="U107" i="12" s="1"/>
  <c r="S60" i="49"/>
  <c r="S25" i="14" s="1"/>
  <c r="R107" i="12" s="1"/>
  <c r="O107" i="12" s="1"/>
  <c r="W60" i="49"/>
  <c r="N25" i="14" s="1"/>
  <c r="V107" i="12" s="1"/>
  <c r="L60" i="49"/>
  <c r="I25" i="14" s="1"/>
  <c r="S107" i="12" s="1"/>
  <c r="Y36" i="49"/>
  <c r="M36" i="49"/>
  <c r="N36" i="49"/>
  <c r="W36" i="49"/>
  <c r="W24" i="49"/>
  <c r="N92" i="49"/>
  <c r="S24" i="49"/>
  <c r="Q101" i="49"/>
  <c r="Q24" i="14" s="1"/>
  <c r="P106" i="12" s="1"/>
  <c r="M106" i="12" s="1"/>
  <c r="L110" i="49"/>
  <c r="W110" i="49"/>
  <c r="Q74" i="49"/>
  <c r="Q21" i="14" s="1"/>
  <c r="P103" i="12" s="1"/>
  <c r="N24" i="49"/>
  <c r="Y24" i="49"/>
  <c r="X101" i="49"/>
  <c r="M101" i="49"/>
  <c r="J24" i="14" s="1"/>
  <c r="T106" i="12" s="1"/>
  <c r="Q92" i="49"/>
  <c r="X24" i="49"/>
  <c r="M24" i="49"/>
  <c r="J22" i="14" s="1"/>
  <c r="T104" i="12" s="1"/>
  <c r="R83" i="49"/>
  <c r="R22" i="14" s="1"/>
  <c r="Q104" i="12" s="1"/>
  <c r="S92" i="49"/>
  <c r="S23" i="14" s="1"/>
  <c r="R105" i="12" s="1"/>
  <c r="O105" i="12" s="1"/>
  <c r="Y110" i="49"/>
  <c r="L74" i="49"/>
  <c r="I21" i="14" s="1"/>
  <c r="S103" i="12" s="1"/>
  <c r="M110" i="49"/>
  <c r="X110" i="49"/>
  <c r="X83" i="49"/>
  <c r="Y101" i="49"/>
  <c r="N101" i="49"/>
  <c r="L83" i="49"/>
  <c r="N83" i="49"/>
  <c r="Y83" i="49"/>
  <c r="Y92" i="49"/>
  <c r="M74" i="49"/>
  <c r="X74" i="49"/>
  <c r="O21" i="14" s="1"/>
  <c r="W103" i="12" s="1"/>
  <c r="S101" i="49"/>
  <c r="W101" i="49"/>
  <c r="Q83" i="49"/>
  <c r="S83" i="49"/>
  <c r="R74" i="49"/>
  <c r="R21" i="14" s="1"/>
  <c r="Q103" i="12" s="1"/>
  <c r="W83" i="49"/>
  <c r="W74" i="49"/>
  <c r="N21" i="14" s="1"/>
  <c r="V103" i="12" s="1"/>
  <c r="Y74" i="49"/>
  <c r="N74" i="49"/>
  <c r="K21" i="14" s="1"/>
  <c r="U103" i="12" s="1"/>
  <c r="X92" i="49"/>
  <c r="M92" i="49"/>
  <c r="W92" i="49"/>
  <c r="N103" i="12" l="1"/>
  <c r="M103" i="12"/>
  <c r="O103" i="12"/>
  <c r="S24" i="14"/>
  <c r="R106" i="12" s="1"/>
  <c r="O106" i="12" s="1"/>
  <c r="O24" i="14"/>
  <c r="W106" i="12" s="1"/>
  <c r="K24" i="14"/>
  <c r="U106" i="12" s="1"/>
  <c r="P24" i="14"/>
  <c r="X106" i="12" s="1"/>
  <c r="N24" i="14"/>
  <c r="V106" i="12" s="1"/>
  <c r="N23" i="14"/>
  <c r="V105" i="12" s="1"/>
  <c r="K23" i="14"/>
  <c r="U105" i="12" s="1"/>
  <c r="J23" i="14"/>
  <c r="T105" i="12" s="1"/>
  <c r="P23" i="14"/>
  <c r="X105" i="12" s="1"/>
  <c r="Q23" i="14"/>
  <c r="P105" i="12" s="1"/>
  <c r="M105" i="12" s="1"/>
  <c r="O23" i="14"/>
  <c r="W105" i="12" s="1"/>
  <c r="P21" i="14"/>
  <c r="X103" i="12" s="1"/>
  <c r="J21" i="14"/>
  <c r="T103" i="12" s="1"/>
  <c r="I22" i="14"/>
  <c r="S104" i="12" s="1"/>
  <c r="Q22" i="14"/>
  <c r="P104" i="12" s="1"/>
  <c r="M104" i="12" s="1"/>
  <c r="N22" i="14"/>
  <c r="V104" i="12" s="1"/>
  <c r="P22" i="14"/>
  <c r="X104" i="12" s="1"/>
  <c r="N104" i="12"/>
  <c r="O22" i="14"/>
  <c r="W104" i="12" s="1"/>
  <c r="K22" i="14"/>
  <c r="U104" i="12" s="1"/>
  <c r="S22" i="14"/>
  <c r="R104" i="12" s="1"/>
  <c r="O104" i="12" s="1"/>
  <c r="AC10" i="32"/>
  <c r="AD10" i="32"/>
  <c r="AC11" i="32"/>
  <c r="AD11" i="32"/>
  <c r="AC12" i="32"/>
  <c r="AD12" i="32"/>
  <c r="AC13" i="32"/>
  <c r="AD13" i="32"/>
  <c r="AC14" i="32"/>
  <c r="AD14" i="32"/>
  <c r="AC15" i="32"/>
  <c r="AD15" i="32"/>
  <c r="AC16" i="32"/>
  <c r="AD16" i="32"/>
  <c r="AC17" i="32"/>
  <c r="AD17" i="32"/>
  <c r="AC18" i="32"/>
  <c r="AD18" i="32"/>
  <c r="AC19" i="32"/>
  <c r="AD19" i="32"/>
  <c r="AC20" i="32"/>
  <c r="AD20" i="32"/>
  <c r="AC21" i="32"/>
  <c r="AD21" i="32"/>
  <c r="AC22" i="32"/>
  <c r="AD22" i="32"/>
  <c r="AC23" i="32"/>
  <c r="AD23" i="32"/>
  <c r="AC24" i="32"/>
  <c r="AD24" i="32"/>
  <c r="AC25" i="32"/>
  <c r="AD25" i="32"/>
  <c r="AC26" i="32"/>
  <c r="AD26" i="32"/>
  <c r="AC27" i="32"/>
  <c r="AD27" i="32"/>
  <c r="AC28" i="32"/>
  <c r="AD28" i="32"/>
  <c r="AC29" i="32"/>
  <c r="AD29" i="32"/>
  <c r="AC30" i="32"/>
  <c r="AD30" i="32"/>
  <c r="AC31" i="32"/>
  <c r="AD31" i="32"/>
  <c r="AC32" i="32"/>
  <c r="AD32" i="32"/>
  <c r="AC33" i="32"/>
  <c r="AD33" i="32"/>
  <c r="AC34" i="32"/>
  <c r="AD34" i="32"/>
  <c r="AC36" i="32"/>
  <c r="AD36" i="32"/>
  <c r="AC37" i="32"/>
  <c r="AD37" i="32"/>
  <c r="AC38" i="32"/>
  <c r="AD38" i="32"/>
  <c r="AC39" i="32"/>
  <c r="AD39" i="32"/>
  <c r="AC40" i="32"/>
  <c r="AD40" i="32"/>
  <c r="AC41" i="32"/>
  <c r="AD41" i="32"/>
  <c r="AC42" i="32"/>
  <c r="AD42" i="32"/>
  <c r="AC43" i="32"/>
  <c r="AD43" i="32"/>
  <c r="AC44" i="32"/>
  <c r="AD44" i="32"/>
  <c r="AC45" i="32"/>
  <c r="AD45" i="32"/>
  <c r="AC46" i="32"/>
  <c r="AD46" i="32"/>
  <c r="AC47" i="32"/>
  <c r="AD47" i="32"/>
  <c r="AC48" i="32"/>
  <c r="AD48" i="32"/>
  <c r="AC49" i="32"/>
  <c r="AD49" i="32"/>
  <c r="AC50" i="32"/>
  <c r="AD50" i="32"/>
  <c r="AC51" i="32"/>
  <c r="AD51" i="32"/>
  <c r="AC52" i="32"/>
  <c r="AD52" i="32"/>
  <c r="AC53" i="32"/>
  <c r="AD53" i="32"/>
  <c r="AC54" i="32"/>
  <c r="AD54" i="32"/>
  <c r="AC55" i="32"/>
  <c r="AD55" i="32"/>
  <c r="AC56" i="32"/>
  <c r="AD56" i="32"/>
  <c r="AC57" i="32"/>
  <c r="AD57" i="32"/>
  <c r="AC58" i="32"/>
  <c r="AD58" i="32"/>
  <c r="AC59" i="32"/>
  <c r="AD59" i="32"/>
  <c r="AC60" i="32"/>
  <c r="AD60" i="32"/>
  <c r="AC61" i="32"/>
  <c r="AD61" i="32"/>
  <c r="AC62" i="32"/>
  <c r="AD62" i="32"/>
  <c r="AC63" i="32"/>
  <c r="AD63" i="32"/>
  <c r="AC64" i="32"/>
  <c r="AD64" i="32"/>
  <c r="AC65" i="32"/>
  <c r="AD65" i="32"/>
  <c r="AC66" i="32"/>
  <c r="AD66" i="32"/>
  <c r="AC67" i="32"/>
  <c r="AD67" i="32"/>
  <c r="AC68" i="32"/>
  <c r="AD68" i="32"/>
  <c r="AC69" i="32"/>
  <c r="AD69" i="32"/>
  <c r="AC70" i="32"/>
  <c r="AD70" i="32"/>
  <c r="AC71" i="32"/>
  <c r="AD71" i="32"/>
  <c r="AC72" i="32"/>
  <c r="AD72" i="32"/>
  <c r="AC73" i="32"/>
  <c r="AD73" i="32"/>
  <c r="AC74" i="32"/>
  <c r="AD74" i="32"/>
  <c r="AC75" i="32"/>
  <c r="AD75" i="32"/>
  <c r="AE10" i="32"/>
  <c r="AF10" i="32"/>
  <c r="AE11" i="32"/>
  <c r="AF11" i="32"/>
  <c r="AE12" i="32"/>
  <c r="AF12" i="32"/>
  <c r="AE13" i="32"/>
  <c r="AF13" i="32"/>
  <c r="AE14" i="32"/>
  <c r="AF14" i="32"/>
  <c r="AE15" i="32"/>
  <c r="AF15" i="32"/>
  <c r="AE16" i="32"/>
  <c r="AF16" i="32"/>
  <c r="AE17" i="32"/>
  <c r="AF17" i="32"/>
  <c r="AE18" i="32"/>
  <c r="AF18" i="32"/>
  <c r="AE19" i="32"/>
  <c r="AF19" i="32"/>
  <c r="AE20" i="32"/>
  <c r="AF20" i="32"/>
  <c r="AE21" i="32"/>
  <c r="AF21" i="32"/>
  <c r="AE22" i="32"/>
  <c r="AF22" i="32"/>
  <c r="AE23" i="32"/>
  <c r="AF23" i="32"/>
  <c r="AE24" i="32"/>
  <c r="AF24" i="32"/>
  <c r="AE25" i="32"/>
  <c r="AF25" i="32"/>
  <c r="AE26" i="32"/>
  <c r="AF26" i="32"/>
  <c r="AE27" i="32"/>
  <c r="AF27" i="32"/>
  <c r="AE28" i="32"/>
  <c r="AF28" i="32"/>
  <c r="AE29" i="32"/>
  <c r="AF29" i="32"/>
  <c r="AE30" i="32"/>
  <c r="AF30" i="32"/>
  <c r="AE31" i="32"/>
  <c r="AF31" i="32"/>
  <c r="AE32" i="32"/>
  <c r="AF32" i="32"/>
  <c r="AE33" i="32"/>
  <c r="AF33" i="32"/>
  <c r="AE34" i="32"/>
  <c r="AF34" i="32"/>
  <c r="AE36" i="32"/>
  <c r="AF36" i="32"/>
  <c r="AE37" i="32"/>
  <c r="AF37" i="32"/>
  <c r="AE38" i="32"/>
  <c r="AF38" i="32"/>
  <c r="AE39" i="32"/>
  <c r="AF39" i="32"/>
  <c r="AE40" i="32"/>
  <c r="AF40" i="32"/>
  <c r="AE41" i="32"/>
  <c r="AF41" i="32"/>
  <c r="AE42" i="32"/>
  <c r="AF42" i="32"/>
  <c r="AE43" i="32"/>
  <c r="AF43" i="32"/>
  <c r="AE44" i="32"/>
  <c r="AF44" i="32"/>
  <c r="AE45" i="32"/>
  <c r="AF45" i="32"/>
  <c r="AE46" i="32"/>
  <c r="AF46" i="32"/>
  <c r="AE47" i="32"/>
  <c r="AF47" i="32"/>
  <c r="AE48" i="32"/>
  <c r="AF48" i="32"/>
  <c r="AE49" i="32"/>
  <c r="AF49" i="32"/>
  <c r="AE50" i="32"/>
  <c r="AF50" i="32"/>
  <c r="AE51" i="32"/>
  <c r="AF51" i="32"/>
  <c r="AE52" i="32"/>
  <c r="AF52" i="32"/>
  <c r="AE53" i="32"/>
  <c r="AE54" i="32"/>
  <c r="AF54" i="32"/>
  <c r="AE55" i="32"/>
  <c r="AF55" i="32"/>
  <c r="AE56" i="32"/>
  <c r="AF56" i="32"/>
  <c r="AE57" i="32"/>
  <c r="AF57" i="32"/>
  <c r="AE58" i="32"/>
  <c r="AF58" i="32"/>
  <c r="AE59" i="32"/>
  <c r="AF59" i="32"/>
  <c r="AE60" i="32"/>
  <c r="AF60" i="32"/>
  <c r="AE61" i="32"/>
  <c r="AF61" i="32"/>
  <c r="AE62" i="32"/>
  <c r="AF62" i="32"/>
  <c r="AE63" i="32"/>
  <c r="AF63" i="32"/>
  <c r="AE64" i="32"/>
  <c r="AF64" i="32"/>
  <c r="AE65" i="32"/>
  <c r="AF65" i="32"/>
  <c r="AE66" i="32"/>
  <c r="AF66" i="32"/>
  <c r="AE67" i="32"/>
  <c r="AF67" i="32"/>
  <c r="AE68" i="32"/>
  <c r="AF68" i="32"/>
  <c r="AE69" i="32"/>
  <c r="AF69" i="32"/>
  <c r="AE70" i="32"/>
  <c r="AF70" i="32"/>
  <c r="AE71" i="32"/>
  <c r="AF71" i="32"/>
  <c r="AE72" i="32"/>
  <c r="AF72" i="32"/>
  <c r="AE73" i="32"/>
  <c r="AF73" i="32"/>
  <c r="AE74" i="32"/>
  <c r="AF74" i="32"/>
  <c r="AE75" i="32"/>
  <c r="AF75" i="32"/>
  <c r="AE85" i="32"/>
  <c r="AE86" i="32"/>
  <c r="AE87" i="32"/>
  <c r="AE88" i="32"/>
  <c r="AE89" i="32"/>
  <c r="AE90" i="32"/>
  <c r="AE91" i="32"/>
  <c r="AE92" i="32"/>
  <c r="AE93" i="32"/>
  <c r="AE94" i="32"/>
  <c r="AE95" i="32"/>
  <c r="AE96" i="32"/>
  <c r="AE101" i="32"/>
  <c r="AE102" i="32"/>
  <c r="AE103" i="32"/>
  <c r="AE104" i="32"/>
  <c r="AB10" i="32" l="1"/>
  <c r="AB11" i="32"/>
  <c r="AB12" i="32"/>
  <c r="AB13" i="32"/>
  <c r="AB14" i="32"/>
  <c r="AB15" i="32"/>
  <c r="AB16" i="32"/>
  <c r="AB17" i="32"/>
  <c r="AB18" i="32"/>
  <c r="AB19" i="32"/>
  <c r="AB20" i="32"/>
  <c r="AB21" i="32"/>
  <c r="AB22" i="32"/>
  <c r="AB23" i="32"/>
  <c r="AB24" i="32"/>
  <c r="AB25" i="32"/>
  <c r="AB26" i="32"/>
  <c r="AB27" i="32"/>
  <c r="AB28" i="32"/>
  <c r="AB29" i="32"/>
  <c r="AB30" i="32"/>
  <c r="AB31" i="32"/>
  <c r="AB32" i="32"/>
  <c r="AB33" i="32"/>
  <c r="AB34" i="32"/>
  <c r="AB36" i="32"/>
  <c r="AB37" i="32"/>
  <c r="AB38" i="32"/>
  <c r="AB39" i="32"/>
  <c r="AB40" i="32"/>
  <c r="AB41" i="32"/>
  <c r="AB42" i="32"/>
  <c r="AB43" i="32"/>
  <c r="AB44" i="32"/>
  <c r="AB45" i="32"/>
  <c r="AB46" i="32"/>
  <c r="AB47" i="32"/>
  <c r="AB48" i="32"/>
  <c r="AB49" i="32"/>
  <c r="AB50" i="32"/>
  <c r="AB51" i="32"/>
  <c r="AB52" i="32"/>
  <c r="AB53" i="32"/>
  <c r="AB54" i="32"/>
  <c r="AB55" i="32"/>
  <c r="AB56" i="32"/>
  <c r="AB57" i="32"/>
  <c r="AB58" i="32"/>
  <c r="AB59" i="32"/>
  <c r="AB60" i="32"/>
  <c r="AB61" i="32"/>
  <c r="AB62" i="32"/>
  <c r="AB63" i="32"/>
  <c r="AB64" i="32"/>
  <c r="AB65" i="32"/>
  <c r="AB66" i="32"/>
  <c r="AB67" i="32"/>
  <c r="AB68" i="32"/>
  <c r="AB69" i="32"/>
  <c r="AB70" i="32"/>
  <c r="AB71" i="32"/>
  <c r="AB72" i="32"/>
  <c r="AB73" i="32"/>
  <c r="AB74" i="32"/>
  <c r="AB75" i="32"/>
  <c r="W10" i="32"/>
  <c r="X10" i="32"/>
  <c r="Y10" i="32"/>
  <c r="Z10" i="32"/>
  <c r="W11" i="32"/>
  <c r="X11" i="32"/>
  <c r="Y11" i="32"/>
  <c r="Z11" i="32"/>
  <c r="W12" i="32"/>
  <c r="X12" i="32"/>
  <c r="Y12" i="32"/>
  <c r="Z12" i="32"/>
  <c r="W13" i="32"/>
  <c r="X13" i="32"/>
  <c r="Y13" i="32"/>
  <c r="Z13" i="32"/>
  <c r="W14" i="32"/>
  <c r="X14" i="32"/>
  <c r="Y14" i="32"/>
  <c r="Z14" i="32"/>
  <c r="W15" i="32"/>
  <c r="X15" i="32"/>
  <c r="Y15" i="32"/>
  <c r="Z15" i="32"/>
  <c r="W16" i="32"/>
  <c r="X16" i="32"/>
  <c r="Y16" i="32"/>
  <c r="Z16" i="32"/>
  <c r="W17" i="32"/>
  <c r="X17" i="32"/>
  <c r="Y17" i="32"/>
  <c r="Z17" i="32"/>
  <c r="W18" i="32"/>
  <c r="X18" i="32"/>
  <c r="Y18" i="32"/>
  <c r="Z18" i="32"/>
  <c r="W19" i="32"/>
  <c r="X19" i="32"/>
  <c r="Y19" i="32"/>
  <c r="Z19" i="32"/>
  <c r="W20" i="32"/>
  <c r="X20" i="32"/>
  <c r="Y20" i="32"/>
  <c r="Z20" i="32"/>
  <c r="W21" i="32"/>
  <c r="X21" i="32"/>
  <c r="Y21" i="32"/>
  <c r="Z21" i="32"/>
  <c r="W22" i="32"/>
  <c r="X22" i="32"/>
  <c r="Y22" i="32"/>
  <c r="Z22" i="32"/>
  <c r="W23" i="32"/>
  <c r="X23" i="32"/>
  <c r="Y23" i="32"/>
  <c r="Z23" i="32"/>
  <c r="W24" i="32"/>
  <c r="X24" i="32"/>
  <c r="Y24" i="32"/>
  <c r="Z24" i="32"/>
  <c r="W25" i="32"/>
  <c r="X25" i="32"/>
  <c r="Y25" i="32"/>
  <c r="Z25" i="32"/>
  <c r="W26" i="32"/>
  <c r="X26" i="32"/>
  <c r="Y26" i="32"/>
  <c r="Z26" i="32"/>
  <c r="W27" i="32"/>
  <c r="X27" i="32"/>
  <c r="Y27" i="32"/>
  <c r="Z27" i="32"/>
  <c r="W28" i="32"/>
  <c r="X28" i="32"/>
  <c r="Y28" i="32"/>
  <c r="Z28" i="32"/>
  <c r="W29" i="32"/>
  <c r="X29" i="32"/>
  <c r="Y29" i="32"/>
  <c r="Z29" i="32"/>
  <c r="W30" i="32"/>
  <c r="X30" i="32"/>
  <c r="Y30" i="32"/>
  <c r="Z30" i="32"/>
  <c r="W31" i="32"/>
  <c r="X31" i="32"/>
  <c r="Y31" i="32"/>
  <c r="Z31" i="32"/>
  <c r="W32" i="32"/>
  <c r="X32" i="32"/>
  <c r="Y32" i="32"/>
  <c r="Z32" i="32"/>
  <c r="W33" i="32"/>
  <c r="X33" i="32"/>
  <c r="Y33" i="32"/>
  <c r="Z33" i="32"/>
  <c r="W34" i="32"/>
  <c r="X34" i="32"/>
  <c r="Y34" i="32"/>
  <c r="Z34" i="32"/>
  <c r="W36" i="32"/>
  <c r="X36" i="32"/>
  <c r="Y36" i="32"/>
  <c r="Z36" i="32"/>
  <c r="W37" i="32"/>
  <c r="X37" i="32"/>
  <c r="Y37" i="32"/>
  <c r="Z37" i="32"/>
  <c r="W38" i="32"/>
  <c r="X38" i="32"/>
  <c r="Y38" i="32"/>
  <c r="Z38" i="32"/>
  <c r="W39" i="32"/>
  <c r="X39" i="32"/>
  <c r="Y39" i="32"/>
  <c r="Z39" i="32"/>
  <c r="W40" i="32"/>
  <c r="X40" i="32"/>
  <c r="Y40" i="32"/>
  <c r="Z40" i="32"/>
  <c r="W41" i="32"/>
  <c r="X41" i="32"/>
  <c r="Y41" i="32"/>
  <c r="Z41" i="32"/>
  <c r="W42" i="32"/>
  <c r="X42" i="32"/>
  <c r="Y42" i="32"/>
  <c r="Z42" i="32"/>
  <c r="W43" i="32"/>
  <c r="X43" i="32"/>
  <c r="Y43" i="32"/>
  <c r="Z43" i="32"/>
  <c r="W44" i="32"/>
  <c r="X44" i="32"/>
  <c r="Y44" i="32"/>
  <c r="Z44" i="32"/>
  <c r="W45" i="32"/>
  <c r="X45" i="32"/>
  <c r="Y45" i="32"/>
  <c r="Z45" i="32"/>
  <c r="W46" i="32"/>
  <c r="X46" i="32"/>
  <c r="Y46" i="32"/>
  <c r="Z46" i="32"/>
  <c r="W47" i="32"/>
  <c r="X47" i="32"/>
  <c r="Y47" i="32"/>
  <c r="Z47" i="32"/>
  <c r="W48" i="32"/>
  <c r="X48" i="32"/>
  <c r="Y48" i="32"/>
  <c r="Z48" i="32"/>
  <c r="W49" i="32"/>
  <c r="X49" i="32"/>
  <c r="Y49" i="32"/>
  <c r="Z49" i="32"/>
  <c r="W50" i="32"/>
  <c r="X50" i="32"/>
  <c r="Y50" i="32"/>
  <c r="Z50" i="32"/>
  <c r="W51" i="32"/>
  <c r="X51" i="32"/>
  <c r="Y51" i="32"/>
  <c r="Z51" i="32"/>
  <c r="W52" i="32"/>
  <c r="X52" i="32"/>
  <c r="Y52" i="32"/>
  <c r="Z52" i="32"/>
  <c r="W53" i="32"/>
  <c r="X53" i="32"/>
  <c r="Y53" i="32"/>
  <c r="Z53" i="32"/>
  <c r="W54" i="32"/>
  <c r="X54" i="32"/>
  <c r="Y54" i="32"/>
  <c r="Z54" i="32"/>
  <c r="W55" i="32"/>
  <c r="X55" i="32"/>
  <c r="Y55" i="32"/>
  <c r="Z55" i="32"/>
  <c r="W56" i="32"/>
  <c r="X56" i="32"/>
  <c r="Y56" i="32"/>
  <c r="Z56" i="32"/>
  <c r="W57" i="32"/>
  <c r="X57" i="32"/>
  <c r="Y57" i="32"/>
  <c r="Z57" i="32"/>
  <c r="W58" i="32"/>
  <c r="X58" i="32"/>
  <c r="Y58" i="32"/>
  <c r="Z58" i="32"/>
  <c r="W59" i="32"/>
  <c r="X59" i="32"/>
  <c r="Y59" i="32"/>
  <c r="Z59" i="32"/>
  <c r="W60" i="32"/>
  <c r="X60" i="32"/>
  <c r="Y60" i="32"/>
  <c r="Z60" i="32"/>
  <c r="W61" i="32"/>
  <c r="X61" i="32"/>
  <c r="Y61" i="32"/>
  <c r="Z61" i="32"/>
  <c r="W62" i="32"/>
  <c r="X62" i="32"/>
  <c r="Y62" i="32"/>
  <c r="Z62" i="32"/>
  <c r="W63" i="32"/>
  <c r="X63" i="32"/>
  <c r="Y63" i="32"/>
  <c r="Z63" i="32"/>
  <c r="W64" i="32"/>
  <c r="X64" i="32"/>
  <c r="Y64" i="32"/>
  <c r="Z64" i="32"/>
  <c r="W65" i="32"/>
  <c r="X65" i="32"/>
  <c r="Y65" i="32"/>
  <c r="Z65" i="32"/>
  <c r="W66" i="32"/>
  <c r="X66" i="32"/>
  <c r="Y66" i="32"/>
  <c r="Z66" i="32"/>
  <c r="W67" i="32"/>
  <c r="X67" i="32"/>
  <c r="Y67" i="32"/>
  <c r="Z67" i="32"/>
  <c r="W68" i="32"/>
  <c r="X68" i="32"/>
  <c r="Y68" i="32"/>
  <c r="Z68" i="32"/>
  <c r="W69" i="32"/>
  <c r="X69" i="32"/>
  <c r="Y69" i="32"/>
  <c r="Z69" i="32"/>
  <c r="W70" i="32"/>
  <c r="X70" i="32"/>
  <c r="Y70" i="32"/>
  <c r="Z70" i="32"/>
  <c r="W71" i="32"/>
  <c r="X71" i="32"/>
  <c r="Y71" i="32"/>
  <c r="Z71" i="32"/>
  <c r="W72" i="32"/>
  <c r="X72" i="32"/>
  <c r="Y72" i="32"/>
  <c r="Z72" i="32"/>
  <c r="W73" i="32"/>
  <c r="X73" i="32"/>
  <c r="Y73" i="32"/>
  <c r="Z73" i="32"/>
  <c r="W74" i="32"/>
  <c r="X74" i="32"/>
  <c r="Y74" i="32"/>
  <c r="Z74" i="32"/>
  <c r="W75" i="32"/>
  <c r="X75" i="32"/>
  <c r="Y75" i="32"/>
  <c r="Z75" i="32"/>
  <c r="A88" i="32"/>
  <c r="CY92" i="39" s="1"/>
  <c r="CZ92" i="39" s="1"/>
  <c r="DA92" i="39" s="1" a="1"/>
  <c r="DA92" i="39" s="1"/>
  <c r="A8" i="32"/>
  <c r="A9" i="32"/>
  <c r="A10" i="32"/>
  <c r="A11" i="32"/>
  <c r="A12" i="32"/>
  <c r="A13" i="32"/>
  <c r="A14" i="32"/>
  <c r="A15" i="32"/>
  <c r="A16" i="32"/>
  <c r="A17" i="32"/>
  <c r="A18" i="32"/>
  <c r="A19" i="32"/>
  <c r="A20" i="32"/>
  <c r="A21" i="32"/>
  <c r="A22" i="32"/>
  <c r="A23" i="32"/>
  <c r="A24" i="32"/>
  <c r="CY28" i="39" s="1"/>
  <c r="A25" i="32"/>
  <c r="CY29" i="39" s="1"/>
  <c r="A26" i="32"/>
  <c r="CY30" i="39" s="1"/>
  <c r="A27" i="32"/>
  <c r="CY31" i="39" s="1"/>
  <c r="A28" i="32"/>
  <c r="CY32" i="39" s="1"/>
  <c r="A29" i="32"/>
  <c r="CY33" i="39" s="1"/>
  <c r="A30" i="32"/>
  <c r="CY34" i="39" s="1"/>
  <c r="A31" i="32"/>
  <c r="CY35" i="39" s="1"/>
  <c r="A32" i="32"/>
  <c r="CY36" i="39" s="1"/>
  <c r="A33" i="32"/>
  <c r="CY37" i="39" s="1"/>
  <c r="A34" i="32"/>
  <c r="CY38" i="39" s="1"/>
  <c r="A36" i="32"/>
  <c r="CY40" i="39" s="1"/>
  <c r="A37" i="32"/>
  <c r="CY41" i="39" s="1"/>
  <c r="A38" i="32"/>
  <c r="CY42" i="39" s="1"/>
  <c r="A39" i="32"/>
  <c r="CY43" i="39" s="1"/>
  <c r="A40" i="32"/>
  <c r="CY44" i="39" s="1"/>
  <c r="A41" i="32"/>
  <c r="CY45" i="39" s="1"/>
  <c r="A42" i="32"/>
  <c r="CY46" i="39" s="1"/>
  <c r="A43" i="32"/>
  <c r="CY47" i="39" s="1"/>
  <c r="A44" i="32"/>
  <c r="CY48" i="39" s="1"/>
  <c r="A45" i="32"/>
  <c r="CY49" i="39" s="1"/>
  <c r="A46" i="32"/>
  <c r="CY50" i="39" s="1"/>
  <c r="A47" i="32"/>
  <c r="CY51" i="39" s="1"/>
  <c r="A48" i="32"/>
  <c r="CY52" i="39" s="1"/>
  <c r="A49" i="32"/>
  <c r="CY53" i="39" s="1"/>
  <c r="A50" i="32"/>
  <c r="CY54" i="39" s="1"/>
  <c r="A51" i="32"/>
  <c r="CY55" i="39" s="1"/>
  <c r="A52" i="32"/>
  <c r="CY56" i="39" s="1"/>
  <c r="A53" i="32"/>
  <c r="CY57" i="39" s="1"/>
  <c r="A54" i="32"/>
  <c r="CY58" i="39" s="1"/>
  <c r="A55" i="32"/>
  <c r="CY59" i="39" s="1"/>
  <c r="A56" i="32"/>
  <c r="CY60" i="39" s="1"/>
  <c r="A57" i="32"/>
  <c r="CY61" i="39" s="1"/>
  <c r="A58" i="32"/>
  <c r="CY62" i="39" s="1"/>
  <c r="A59" i="32"/>
  <c r="CY63" i="39" s="1"/>
  <c r="A60" i="32"/>
  <c r="CY64" i="39" s="1"/>
  <c r="A61" i="32"/>
  <c r="CY65" i="39" s="1"/>
  <c r="A62" i="32"/>
  <c r="CY66" i="39" s="1"/>
  <c r="A63" i="32"/>
  <c r="CY67" i="39" s="1"/>
  <c r="A64" i="32"/>
  <c r="CY68" i="39" s="1"/>
  <c r="A65" i="32"/>
  <c r="CY69" i="39" s="1"/>
  <c r="A66" i="32"/>
  <c r="CY70" i="39" s="1"/>
  <c r="A67" i="32"/>
  <c r="CY71" i="39" s="1"/>
  <c r="A68" i="32"/>
  <c r="CY72" i="39" s="1"/>
  <c r="A69" i="32"/>
  <c r="CY73" i="39" s="1"/>
  <c r="A70" i="32"/>
  <c r="CY74" i="39" s="1"/>
  <c r="A71" i="32"/>
  <c r="CY75" i="39" s="1"/>
  <c r="A72" i="32"/>
  <c r="CY76" i="39" s="1"/>
  <c r="A73" i="32"/>
  <c r="CY77" i="39" s="1"/>
  <c r="A74" i="32"/>
  <c r="CY78" i="39" s="1"/>
  <c r="A75" i="32"/>
  <c r="CY79" i="39" s="1"/>
  <c r="BH77" i="12" a="1"/>
  <c r="BH77" i="12" s="1"/>
  <c r="BI77" i="12" a="1"/>
  <c r="BI77" i="12" s="1"/>
  <c r="BJ77" i="12" a="1"/>
  <c r="BJ77" i="12" s="1"/>
  <c r="BH78" i="12" a="1"/>
  <c r="BH78" i="12" s="1"/>
  <c r="BI78" i="12" a="1"/>
  <c r="BI78" i="12" s="1"/>
  <c r="BJ78" i="12" a="1"/>
  <c r="BJ78" i="12" s="1"/>
  <c r="BH79" i="12" a="1"/>
  <c r="BH79" i="12" s="1"/>
  <c r="BI79" i="12" a="1"/>
  <c r="BI79" i="12" s="1"/>
  <c r="BJ79" i="12" a="1"/>
  <c r="BJ79" i="12" s="1"/>
  <c r="BH80" i="12" a="1"/>
  <c r="BH80" i="12" s="1"/>
  <c r="BI80" i="12" a="1"/>
  <c r="BI80" i="12" s="1"/>
  <c r="BJ80" i="12" a="1"/>
  <c r="BJ80" i="12" s="1"/>
  <c r="BH46" i="12" a="1"/>
  <c r="BH46" i="12" s="1"/>
  <c r="BI46" i="12" a="1"/>
  <c r="BI46" i="12" s="1"/>
  <c r="BJ46" i="12" a="1"/>
  <c r="BJ46" i="12" s="1"/>
  <c r="BH47" i="12" a="1"/>
  <c r="BH47" i="12" s="1"/>
  <c r="BI47" i="12" a="1"/>
  <c r="BI47" i="12" s="1"/>
  <c r="BJ47" i="12" a="1"/>
  <c r="BJ47" i="12" s="1"/>
  <c r="BH48" i="12" a="1"/>
  <c r="BH48" i="12" s="1"/>
  <c r="BI48" i="12" a="1"/>
  <c r="BI48" i="12" s="1"/>
  <c r="BJ48" i="12" a="1"/>
  <c r="BJ48" i="12" s="1"/>
  <c r="BH49" i="12" a="1"/>
  <c r="BH49" i="12" s="1"/>
  <c r="BI49" i="12" a="1"/>
  <c r="BI49" i="12" s="1"/>
  <c r="BJ49" i="12" a="1"/>
  <c r="BJ49" i="12" s="1"/>
  <c r="BH50" i="12" a="1"/>
  <c r="BH50" i="12" s="1"/>
  <c r="BI50" i="12" a="1"/>
  <c r="BI50" i="12" s="1"/>
  <c r="BJ50" i="12" a="1"/>
  <c r="BJ50" i="12" s="1"/>
  <c r="BH51" i="12" a="1"/>
  <c r="BH51" i="12" s="1"/>
  <c r="BI51" i="12" a="1"/>
  <c r="BI51" i="12" s="1"/>
  <c r="BJ51" i="12" a="1"/>
  <c r="BJ51" i="12" s="1"/>
  <c r="BH52" i="12" a="1"/>
  <c r="BH52" i="12" s="1"/>
  <c r="BI52" i="12" a="1"/>
  <c r="BI52" i="12" s="1"/>
  <c r="BJ52" i="12" a="1"/>
  <c r="BJ52" i="12" s="1"/>
  <c r="BH53" i="12" a="1"/>
  <c r="BH53" i="12" s="1"/>
  <c r="BI53" i="12" a="1"/>
  <c r="BI53" i="12" s="1"/>
  <c r="BJ53" i="12" a="1"/>
  <c r="BJ53" i="12" s="1"/>
  <c r="BH54" i="12" a="1"/>
  <c r="BH54" i="12" s="1"/>
  <c r="BI54" i="12" a="1"/>
  <c r="BI54" i="12" s="1"/>
  <c r="BJ54" i="12" a="1"/>
  <c r="BJ54" i="12" s="1"/>
  <c r="BH55" i="12" a="1"/>
  <c r="BH55" i="12" s="1"/>
  <c r="BI55" i="12" a="1"/>
  <c r="BI55" i="12" s="1"/>
  <c r="BJ55" i="12" a="1"/>
  <c r="BJ55" i="12" s="1"/>
  <c r="BH56" i="12" a="1"/>
  <c r="BH56" i="12" s="1"/>
  <c r="BI56" i="12" a="1"/>
  <c r="BI56" i="12" s="1"/>
  <c r="BJ56" i="12" a="1"/>
  <c r="BJ56" i="12" s="1"/>
  <c r="BH57" i="12" a="1"/>
  <c r="BH57" i="12" s="1"/>
  <c r="BI57" i="12" a="1"/>
  <c r="BI57" i="12" s="1"/>
  <c r="BJ57" i="12" a="1"/>
  <c r="BJ57" i="12" s="1"/>
  <c r="BH58" i="12" a="1"/>
  <c r="BH58" i="12" s="1"/>
  <c r="BI58" i="12" a="1"/>
  <c r="BI58" i="12" s="1"/>
  <c r="BJ58" i="12" a="1"/>
  <c r="BJ58" i="12" s="1"/>
  <c r="BH61" i="12" a="1"/>
  <c r="BH61" i="12" s="1"/>
  <c r="BI61" i="12" a="1"/>
  <c r="BI61" i="12" s="1"/>
  <c r="BJ61" i="12" a="1"/>
  <c r="BJ61" i="12" s="1"/>
  <c r="BH62" i="12" a="1"/>
  <c r="BH62" i="12" s="1"/>
  <c r="BI62" i="12" a="1"/>
  <c r="BI62" i="12" s="1"/>
  <c r="BJ62" i="12" a="1"/>
  <c r="BJ62" i="12" s="1"/>
  <c r="BH63" i="12" a="1"/>
  <c r="BH63" i="12" s="1"/>
  <c r="BI63" i="12" a="1"/>
  <c r="BI63" i="12" s="1"/>
  <c r="BJ63" i="12" a="1"/>
  <c r="BJ63" i="12" s="1"/>
  <c r="BH64" i="12" a="1"/>
  <c r="BH64" i="12" s="1"/>
  <c r="BI64" i="12" a="1"/>
  <c r="BI64" i="12" s="1"/>
  <c r="BJ64" i="12" a="1"/>
  <c r="BJ64" i="12" s="1"/>
  <c r="BH65" i="12" a="1"/>
  <c r="BH65" i="12" s="1"/>
  <c r="BI65" i="12" a="1"/>
  <c r="BI65" i="12" s="1"/>
  <c r="BJ65" i="12" a="1"/>
  <c r="BJ65" i="12" s="1"/>
  <c r="BH66" i="12" a="1"/>
  <c r="BH66" i="12" s="1"/>
  <c r="BI66" i="12" a="1"/>
  <c r="BI66" i="12" s="1"/>
  <c r="BJ66" i="12" a="1"/>
  <c r="BJ66" i="12" s="1"/>
  <c r="BH67" i="12" a="1"/>
  <c r="BH67" i="12" s="1"/>
  <c r="BI67" i="12" a="1"/>
  <c r="BI67" i="12" s="1"/>
  <c r="BJ67" i="12" a="1"/>
  <c r="BJ67" i="12" s="1"/>
  <c r="BH68" i="12" a="1"/>
  <c r="BH68" i="12" s="1"/>
  <c r="BI68" i="12" a="1"/>
  <c r="BI68" i="12" s="1"/>
  <c r="BJ68" i="12" a="1"/>
  <c r="BJ68" i="12" s="1"/>
  <c r="BH69" i="12" a="1"/>
  <c r="BH69" i="12" s="1"/>
  <c r="BI69" i="12" a="1"/>
  <c r="BI69" i="12" s="1"/>
  <c r="BJ69" i="12" a="1"/>
  <c r="BJ69" i="12" s="1"/>
  <c r="BH70" i="12" a="1"/>
  <c r="BH70" i="12" s="1"/>
  <c r="BI70" i="12" a="1"/>
  <c r="BI70" i="12" s="1"/>
  <c r="BJ70" i="12" a="1"/>
  <c r="BJ70" i="12" s="1"/>
  <c r="BH71" i="12" a="1"/>
  <c r="BH71" i="12" s="1"/>
  <c r="BI71" i="12" a="1"/>
  <c r="BI71" i="12" s="1"/>
  <c r="BJ71" i="12" a="1"/>
  <c r="BJ71" i="12" s="1"/>
  <c r="BH72" i="12" a="1"/>
  <c r="BH72" i="12" s="1"/>
  <c r="BI72" i="12" a="1"/>
  <c r="BI72" i="12" s="1"/>
  <c r="BJ72" i="12" a="1"/>
  <c r="BJ72" i="12" s="1"/>
  <c r="BH73" i="12" a="1"/>
  <c r="BH73" i="12" s="1"/>
  <c r="BI73" i="12" a="1"/>
  <c r="BI73" i="12" s="1"/>
  <c r="BJ73" i="12" a="1"/>
  <c r="BJ73" i="12" s="1"/>
  <c r="BH74" i="12" a="1"/>
  <c r="BH74" i="12" s="1"/>
  <c r="BI74" i="12" a="1"/>
  <c r="BI74" i="12" s="1"/>
  <c r="BJ74" i="12" a="1"/>
  <c r="BJ74" i="12" s="1"/>
  <c r="BH75" i="12" a="1"/>
  <c r="BH75" i="12" s="1"/>
  <c r="BI75" i="12" a="1"/>
  <c r="BI75" i="12" s="1"/>
  <c r="BJ75" i="12" a="1"/>
  <c r="BJ75" i="12" s="1"/>
  <c r="BC50" i="12"/>
  <c r="BD50" i="12"/>
  <c r="BC51" i="12"/>
  <c r="BD51" i="12"/>
  <c r="BC52" i="12"/>
  <c r="BD52" i="12"/>
  <c r="BC53" i="12"/>
  <c r="BD53" i="12"/>
  <c r="BE54" i="12"/>
  <c r="BF54" i="12" s="1"/>
  <c r="BD54" i="12"/>
  <c r="BC55" i="12"/>
  <c r="BD55" i="12"/>
  <c r="BC56" i="12"/>
  <c r="BD56" i="12"/>
  <c r="BC57" i="12"/>
  <c r="BD57" i="12"/>
  <c r="BC58" i="12"/>
  <c r="BD58" i="12"/>
  <c r="BC61" i="12"/>
  <c r="BD61" i="12"/>
  <c r="BC62" i="12"/>
  <c r="BD62" i="12"/>
  <c r="BC63" i="12"/>
  <c r="BD63" i="12"/>
  <c r="BC64" i="12"/>
  <c r="BD64" i="12"/>
  <c r="BC65" i="12"/>
  <c r="BD65" i="12"/>
  <c r="BC66" i="12"/>
  <c r="BD66" i="12"/>
  <c r="BC67" i="12"/>
  <c r="BD67" i="12"/>
  <c r="BC68" i="12"/>
  <c r="BD68" i="12"/>
  <c r="BC69" i="12"/>
  <c r="BD69" i="12"/>
  <c r="BC70" i="12"/>
  <c r="BD70" i="12"/>
  <c r="BC71" i="12"/>
  <c r="BD71" i="12"/>
  <c r="BC72" i="12"/>
  <c r="BD72" i="12"/>
  <c r="BC73" i="12"/>
  <c r="BD73" i="12"/>
  <c r="BC74" i="12"/>
  <c r="BD74" i="12"/>
  <c r="BC75" i="12"/>
  <c r="BD75" i="12"/>
  <c r="BC77" i="12"/>
  <c r="BD77" i="12"/>
  <c r="BC78" i="12"/>
  <c r="BD78" i="12"/>
  <c r="BC79" i="12"/>
  <c r="BD79" i="12"/>
  <c r="BC80" i="12"/>
  <c r="BD80" i="12"/>
  <c r="BC81" i="12"/>
  <c r="BD81" i="12"/>
  <c r="BC82" i="12"/>
  <c r="BD82" i="12"/>
  <c r="BC83" i="12"/>
  <c r="BD83" i="12"/>
  <c r="BC84" i="12"/>
  <c r="BD84" i="12"/>
  <c r="BC85" i="12"/>
  <c r="BD85" i="12"/>
  <c r="BC86" i="12"/>
  <c r="BD86" i="12"/>
  <c r="BC87" i="12"/>
  <c r="BD87" i="12"/>
  <c r="BC46" i="12"/>
  <c r="BD46" i="12"/>
  <c r="BC47" i="12"/>
  <c r="BD47" i="12"/>
  <c r="BC48" i="12"/>
  <c r="BD48" i="12"/>
  <c r="BC49" i="12"/>
  <c r="BD49" i="12"/>
  <c r="AN97" i="12"/>
  <c r="AN96" i="12"/>
  <c r="AN95" i="12"/>
  <c r="AN94" i="12"/>
  <c r="AN91" i="12"/>
  <c r="AN74" i="12"/>
  <c r="AN73" i="12"/>
  <c r="AN72" i="12"/>
  <c r="AN71" i="12"/>
  <c r="AN70" i="12"/>
  <c r="AN69" i="12"/>
  <c r="AN58" i="12"/>
  <c r="AN55" i="12"/>
  <c r="AN52" i="12"/>
  <c r="AN49" i="12"/>
  <c r="AN46" i="12"/>
  <c r="I9" i="47"/>
  <c r="B11" i="47"/>
  <c r="B10" i="47"/>
  <c r="B9" i="47"/>
  <c r="BE46" i="12" l="1"/>
  <c r="BF46" i="12" s="1"/>
  <c r="BE84" i="12"/>
  <c r="BF84" i="12" s="1"/>
  <c r="BE80" i="12"/>
  <c r="BF80" i="12" s="1"/>
  <c r="BE75" i="12"/>
  <c r="BF75" i="12" s="1"/>
  <c r="BE71" i="12"/>
  <c r="BF71" i="12" s="1"/>
  <c r="BE67" i="12"/>
  <c r="BF67" i="12" s="1"/>
  <c r="BE63" i="12"/>
  <c r="BF63" i="12" s="1"/>
  <c r="BE57" i="12"/>
  <c r="BF57" i="12" s="1"/>
  <c r="BE53" i="12"/>
  <c r="BF53" i="12" s="1"/>
  <c r="BE49" i="12"/>
  <c r="BF49" i="12" s="1"/>
  <c r="BE87" i="12"/>
  <c r="BF87" i="12" s="1"/>
  <c r="BE83" i="12"/>
  <c r="BF83" i="12" s="1"/>
  <c r="BE79" i="12"/>
  <c r="BF79" i="12" s="1"/>
  <c r="BE74" i="12"/>
  <c r="BF74" i="12" s="1"/>
  <c r="BE70" i="12"/>
  <c r="BF70" i="12" s="1"/>
  <c r="BE66" i="12"/>
  <c r="BF66" i="12" s="1"/>
  <c r="BE62" i="12"/>
  <c r="BF62" i="12" s="1"/>
  <c r="BE56" i="12"/>
  <c r="BF56" i="12" s="1"/>
  <c r="BE52" i="12"/>
  <c r="BF52" i="12" s="1"/>
  <c r="BE48" i="12"/>
  <c r="BF48" i="12" s="1"/>
  <c r="BE86" i="12"/>
  <c r="BF86" i="12" s="1"/>
  <c r="BE82" i="12"/>
  <c r="BF82" i="12" s="1"/>
  <c r="BE78" i="12"/>
  <c r="BF78" i="12" s="1"/>
  <c r="BE73" i="12"/>
  <c r="BF73" i="12" s="1"/>
  <c r="BE69" i="12"/>
  <c r="BF69" i="12" s="1"/>
  <c r="BE65" i="12"/>
  <c r="BF65" i="12" s="1"/>
  <c r="BE61" i="12"/>
  <c r="BF61" i="12" s="1"/>
  <c r="BE55" i="12"/>
  <c r="BF55" i="12" s="1"/>
  <c r="BE51" i="12"/>
  <c r="BF51" i="12" s="1"/>
  <c r="BE47" i="12"/>
  <c r="BF47" i="12" s="1"/>
  <c r="BE85" i="12"/>
  <c r="BF85" i="12" s="1"/>
  <c r="BE81" i="12"/>
  <c r="BF81" i="12" s="1"/>
  <c r="BE77" i="12"/>
  <c r="BF77" i="12" s="1"/>
  <c r="BE72" i="12"/>
  <c r="BF72" i="12" s="1"/>
  <c r="BE68" i="12"/>
  <c r="BF68" i="12" s="1"/>
  <c r="BE64" i="12"/>
  <c r="BF64" i="12" s="1"/>
  <c r="BE58" i="12"/>
  <c r="BF58" i="12" s="1"/>
  <c r="BE50" i="12"/>
  <c r="BF50" i="12" s="1"/>
  <c r="B74" i="32"/>
  <c r="B66" i="32"/>
  <c r="B58" i="32"/>
  <c r="B50" i="32"/>
  <c r="B42" i="32"/>
  <c r="B33" i="32"/>
  <c r="B25" i="32"/>
  <c r="CY21" i="39"/>
  <c r="B17" i="32"/>
  <c r="CY13" i="39"/>
  <c r="B9" i="32"/>
  <c r="B73" i="32"/>
  <c r="B65" i="32"/>
  <c r="B57" i="32"/>
  <c r="B49" i="32"/>
  <c r="B41" i="32"/>
  <c r="B32" i="32"/>
  <c r="B24" i="32"/>
  <c r="CY20" i="39"/>
  <c r="B16" i="32"/>
  <c r="CY12" i="39"/>
  <c r="B8" i="32"/>
  <c r="B72" i="32"/>
  <c r="B64" i="32"/>
  <c r="B56" i="32"/>
  <c r="B48" i="32"/>
  <c r="B40" i="32"/>
  <c r="B31" i="32"/>
  <c r="CY27" i="39"/>
  <c r="B23" i="32"/>
  <c r="CY19" i="39"/>
  <c r="B15" i="32"/>
  <c r="B71" i="32"/>
  <c r="B63" i="32"/>
  <c r="B55" i="32"/>
  <c r="B47" i="32"/>
  <c r="B39" i="32"/>
  <c r="B30" i="32"/>
  <c r="B22" i="32"/>
  <c r="CY26" i="39"/>
  <c r="B14" i="32"/>
  <c r="CY18" i="39"/>
  <c r="B70" i="32"/>
  <c r="B62" i="32"/>
  <c r="B54" i="32"/>
  <c r="B46" i="32"/>
  <c r="B38" i="32"/>
  <c r="B29" i="32"/>
  <c r="B21" i="32"/>
  <c r="CY25" i="39"/>
  <c r="B13" i="32"/>
  <c r="CY17" i="39"/>
  <c r="B69" i="32"/>
  <c r="B61" i="32"/>
  <c r="B53" i="32"/>
  <c r="B45" i="32"/>
  <c r="B37" i="32"/>
  <c r="B28" i="32"/>
  <c r="B20" i="32"/>
  <c r="CY24" i="39"/>
  <c r="B12" i="32"/>
  <c r="CY16" i="39"/>
  <c r="B68" i="32"/>
  <c r="B60" i="32"/>
  <c r="B52" i="32"/>
  <c r="B44" i="32"/>
  <c r="B36" i="32"/>
  <c r="B27" i="32"/>
  <c r="B19" i="32"/>
  <c r="CY23" i="39"/>
  <c r="B11" i="32"/>
  <c r="CY15" i="39"/>
  <c r="AZ113" i="7"/>
  <c r="AZ114" i="7"/>
  <c r="G14" i="39" a="1"/>
  <c r="G14" i="39" s="1"/>
  <c r="B75" i="32"/>
  <c r="B67" i="32"/>
  <c r="B59" i="32"/>
  <c r="B51" i="32"/>
  <c r="B43" i="32"/>
  <c r="B34" i="32"/>
  <c r="B26" i="32"/>
  <c r="CY22" i="39"/>
  <c r="B18" i="32"/>
  <c r="CY14" i="39"/>
  <c r="B10" i="32"/>
  <c r="HK164" i="39" l="1"/>
  <c r="I3" i="39"/>
  <c r="V80" i="39" l="1"/>
  <c r="V81" i="39"/>
  <c r="V82" i="39"/>
  <c r="V83" i="39"/>
  <c r="V84" i="39"/>
  <c r="V85" i="39"/>
  <c r="V86" i="39"/>
  <c r="V87" i="39"/>
  <c r="V88" i="39"/>
  <c r="V89" i="39"/>
  <c r="Q81" i="39"/>
  <c r="Q82" i="39"/>
  <c r="Q83" i="39"/>
  <c r="Q84" i="39"/>
  <c r="Q85" i="39"/>
  <c r="Q86" i="39"/>
  <c r="Q87" i="39"/>
  <c r="Q88" i="39"/>
  <c r="Q89" i="39"/>
  <c r="Q80" i="39"/>
  <c r="I81" i="39"/>
  <c r="I82" i="39"/>
  <c r="I83" i="39"/>
  <c r="I84" i="39"/>
  <c r="I85" i="39"/>
  <c r="I86" i="39"/>
  <c r="I87" i="39"/>
  <c r="I88" i="39"/>
  <c r="I89" i="39"/>
  <c r="I80" i="39"/>
  <c r="CG15" i="39" l="1" a="1"/>
  <c r="CG15" i="39" s="1"/>
  <c r="CG16" i="39" a="1"/>
  <c r="CG16" i="39" s="1"/>
  <c r="CG17" i="39" a="1"/>
  <c r="CG17" i="39" s="1"/>
  <c r="CG18" i="39" a="1"/>
  <c r="CG18" i="39" s="1"/>
  <c r="CG19" i="39" a="1"/>
  <c r="CG19" i="39" s="1"/>
  <c r="CG20" i="39" a="1"/>
  <c r="CG20" i="39" s="1"/>
  <c r="CG21" i="39" a="1"/>
  <c r="CG21" i="39" s="1"/>
  <c r="CG22" i="39" a="1"/>
  <c r="CG22" i="39" s="1"/>
  <c r="CG23" i="39" a="1"/>
  <c r="CG23" i="39" s="1"/>
  <c r="CG24" i="39" a="1"/>
  <c r="CG24" i="39" s="1"/>
  <c r="CG25" i="39" a="1"/>
  <c r="CG25" i="39" s="1"/>
  <c r="CG26" i="39" a="1"/>
  <c r="CG26" i="39" s="1"/>
  <c r="CG27" i="39" a="1"/>
  <c r="CG27" i="39" s="1"/>
  <c r="CG28" i="39" a="1"/>
  <c r="CG28" i="39" s="1"/>
  <c r="CG29" i="39" a="1"/>
  <c r="CG29" i="39" s="1"/>
  <c r="CG30" i="39" a="1"/>
  <c r="CG30" i="39" s="1"/>
  <c r="CG31" i="39" a="1"/>
  <c r="CG31" i="39" s="1"/>
  <c r="CG32" i="39" a="1"/>
  <c r="CG32" i="39" s="1"/>
  <c r="CG33" i="39" a="1"/>
  <c r="CG33" i="39" s="1"/>
  <c r="CG34" i="39" a="1"/>
  <c r="CG34" i="39" s="1"/>
  <c r="CG35" i="39" a="1"/>
  <c r="CG35" i="39" s="1"/>
  <c r="CG36" i="39" a="1"/>
  <c r="CG36" i="39" s="1"/>
  <c r="CG14" i="39" a="1"/>
  <c r="CG14" i="39" s="1"/>
  <c r="CF14" i="39" a="1"/>
  <c r="CF14" i="39" s="1"/>
  <c r="CZ15" i="39" l="1"/>
  <c r="CZ16" i="39"/>
  <c r="GV8" i="39"/>
  <c r="GV7" i="39"/>
  <c r="GV6" i="39"/>
  <c r="GV5" i="39"/>
  <c r="GV4" i="39"/>
  <c r="M103" i="39" a="1"/>
  <c r="M103" i="39" s="1"/>
  <c r="P103" i="39" s="1"/>
  <c r="L103" i="39" a="1"/>
  <c r="L103" i="39" s="1"/>
  <c r="M102" i="39" a="1"/>
  <c r="M102" i="39" s="1"/>
  <c r="P102" i="39" s="1"/>
  <c r="L102" i="39" a="1"/>
  <c r="L102" i="39" s="1"/>
  <c r="M100" i="39" a="1"/>
  <c r="M100" i="39" s="1"/>
  <c r="P100" i="39" s="1"/>
  <c r="M101" i="39" a="1"/>
  <c r="M101" i="39" s="1"/>
  <c r="P101" i="39" s="1"/>
  <c r="M99" i="39" a="1"/>
  <c r="M99" i="39" s="1"/>
  <c r="L99" i="39" a="1"/>
  <c r="L99" i="39" s="1"/>
  <c r="M98" i="39" a="1"/>
  <c r="M98" i="39" s="1"/>
  <c r="L98" i="39" a="1"/>
  <c r="L98" i="39" s="1"/>
  <c r="HY4" i="39" a="1"/>
  <c r="HY4" i="39" s="1"/>
  <c r="HW4" i="39" a="1"/>
  <c r="HW4" i="39" s="1"/>
  <c r="BD33" i="12"/>
  <c r="BD37" i="12"/>
  <c r="BD38" i="12"/>
  <c r="BD39" i="12"/>
  <c r="BD40" i="12"/>
  <c r="BD41" i="12"/>
  <c r="BD42" i="12"/>
  <c r="BD44" i="12"/>
  <c r="BD45" i="12"/>
  <c r="BD88" i="12"/>
  <c r="BD89" i="12"/>
  <c r="BD91" i="12"/>
  <c r="BD92" i="12"/>
  <c r="BD93" i="12"/>
  <c r="BD94" i="12"/>
  <c r="BD95" i="12"/>
  <c r="BD96" i="12"/>
  <c r="BD97" i="12"/>
  <c r="BD98" i="12"/>
  <c r="BD99" i="12"/>
  <c r="BD100" i="12"/>
  <c r="BD101" i="12"/>
  <c r="HU4" i="39" a="1"/>
  <c r="HU4" i="39" s="1"/>
  <c r="HS4" i="39" a="1"/>
  <c r="HS4" i="39" s="1"/>
  <c r="HG5" i="39"/>
  <c r="HG6" i="39"/>
  <c r="HG7" i="39"/>
  <c r="HH5" i="39"/>
  <c r="HH6" i="39"/>
  <c r="HH7" i="39"/>
  <c r="GU5" i="39"/>
  <c r="GU6" i="39"/>
  <c r="GU7" i="39"/>
  <c r="GR5" i="39"/>
  <c r="GR6" i="39"/>
  <c r="GR7" i="39"/>
  <c r="GQ5" i="39"/>
  <c r="GQ6" i="39"/>
  <c r="GQ7" i="39"/>
  <c r="GN5" i="39"/>
  <c r="GN6" i="39"/>
  <c r="GN7" i="39"/>
  <c r="GO5" i="39"/>
  <c r="GO6" i="39"/>
  <c r="GO7" i="39"/>
  <c r="GL5" i="39"/>
  <c r="GL7" i="39"/>
  <c r="GM6" i="39"/>
  <c r="GM4" i="39"/>
  <c r="GJ7" i="39"/>
  <c r="GJ5" i="39"/>
  <c r="GK6" i="39"/>
  <c r="GK4" i="39"/>
  <c r="GH7" i="39"/>
  <c r="GH5" i="39"/>
  <c r="GI6" i="39"/>
  <c r="GI4" i="39"/>
  <c r="GD7" i="39"/>
  <c r="GD5" i="39"/>
  <c r="GE6" i="39"/>
  <c r="GE4" i="39"/>
  <c r="DA16" i="39" l="1" a="1"/>
  <c r="DA16" i="39" s="1"/>
  <c r="DA15" i="39" a="1"/>
  <c r="DA15" i="39" s="1"/>
  <c r="CY118" i="39" l="1"/>
  <c r="CZ118" i="39" s="1"/>
  <c r="CY119" i="39"/>
  <c r="CZ119" i="39" s="1"/>
  <c r="CY120" i="39"/>
  <c r="CZ120" i="39" s="1"/>
  <c r="CY121" i="39"/>
  <c r="CZ121" i="39" s="1"/>
  <c r="CY122" i="39"/>
  <c r="CZ122" i="39" s="1"/>
  <c r="CY123" i="39"/>
  <c r="CZ123" i="39" s="1"/>
  <c r="CY124" i="39"/>
  <c r="CZ124" i="39" s="1"/>
  <c r="CY125" i="39"/>
  <c r="CZ125" i="39" s="1"/>
  <c r="CY127" i="39"/>
  <c r="CZ127" i="39" s="1"/>
  <c r="CY128" i="39"/>
  <c r="CZ128" i="39" s="1"/>
  <c r="CY129" i="39"/>
  <c r="CZ129" i="39" s="1"/>
  <c r="CY130" i="39"/>
  <c r="CZ130" i="39" s="1"/>
  <c r="CY131" i="39"/>
  <c r="CZ131" i="39" s="1"/>
  <c r="CY132" i="39"/>
  <c r="CZ132" i="39" s="1"/>
  <c r="CY133" i="39"/>
  <c r="CZ133" i="39" s="1"/>
  <c r="CY134" i="39"/>
  <c r="CZ134" i="39" s="1"/>
  <c r="CY135" i="39"/>
  <c r="CZ135" i="39" s="1"/>
  <c r="CY136" i="39"/>
  <c r="CZ136" i="39" s="1"/>
  <c r="CY137" i="39"/>
  <c r="CZ137" i="39" s="1"/>
  <c r="CY138" i="39"/>
  <c r="CZ138" i="39" s="1"/>
  <c r="CY139" i="39"/>
  <c r="CZ139" i="39" s="1"/>
  <c r="CY140" i="39"/>
  <c r="CZ140" i="39" s="1"/>
  <c r="CY141" i="39"/>
  <c r="CZ141" i="39" s="1"/>
  <c r="CY142" i="39"/>
  <c r="CZ142" i="39" s="1"/>
  <c r="CY143" i="39"/>
  <c r="CZ143" i="39" s="1"/>
  <c r="CY144" i="39"/>
  <c r="CZ144" i="39" s="1"/>
  <c r="CY145" i="39"/>
  <c r="CZ145" i="39" s="1"/>
  <c r="CY146" i="39"/>
  <c r="CZ146" i="39" s="1"/>
  <c r="CY147" i="39"/>
  <c r="CZ147" i="39" s="1"/>
  <c r="CY148" i="39"/>
  <c r="CZ148" i="39" s="1"/>
  <c r="CY149" i="39"/>
  <c r="CZ149" i="39" s="1"/>
  <c r="CY150" i="39"/>
  <c r="CZ150" i="39" s="1"/>
  <c r="CY151" i="39"/>
  <c r="CZ151" i="39" s="1"/>
  <c r="CY152" i="39"/>
  <c r="CZ152" i="39" s="1"/>
  <c r="CY153" i="39"/>
  <c r="CZ153" i="39" s="1"/>
  <c r="CY117" i="39"/>
  <c r="CZ117" i="39" s="1"/>
  <c r="GN138" i="39"/>
  <c r="BW75" i="39"/>
  <c r="DA117" i="39"/>
  <c r="CT81" i="39"/>
  <c r="CT82" i="39"/>
  <c r="CT83" i="39"/>
  <c r="CT84" i="39"/>
  <c r="CT85" i="39"/>
  <c r="CT86" i="39"/>
  <c r="CT87" i="39"/>
  <c r="CT88" i="39"/>
  <c r="CT89" i="39"/>
  <c r="CT80" i="39"/>
  <c r="CR80" i="39"/>
  <c r="CR81" i="39"/>
  <c r="CR82" i="39"/>
  <c r="CR83" i="39"/>
  <c r="CR84" i="39"/>
  <c r="CR85" i="39"/>
  <c r="CR86" i="39"/>
  <c r="CR87" i="39"/>
  <c r="CR88" i="39"/>
  <c r="CR89" i="39"/>
  <c r="CT45" i="39"/>
  <c r="CT46" i="39"/>
  <c r="CT47" i="39"/>
  <c r="CT48" i="39"/>
  <c r="CT49" i="39"/>
  <c r="CT50" i="39"/>
  <c r="CT51" i="39"/>
  <c r="CT52" i="39"/>
  <c r="CT53" i="39"/>
  <c r="CT54" i="39"/>
  <c r="CT55" i="39"/>
  <c r="CT56" i="39"/>
  <c r="CT57" i="39"/>
  <c r="CT58" i="39"/>
  <c r="CT59" i="39"/>
  <c r="CT60" i="39"/>
  <c r="CT61" i="39"/>
  <c r="CT62" i="39"/>
  <c r="CT63" i="39"/>
  <c r="CT64" i="39"/>
  <c r="CT65" i="39"/>
  <c r="CT66" i="39"/>
  <c r="CT67" i="39"/>
  <c r="CT68" i="39"/>
  <c r="CT44" i="39"/>
  <c r="CR44" i="39"/>
  <c r="CR45" i="39"/>
  <c r="CR46" i="39"/>
  <c r="CR47" i="39"/>
  <c r="CR48" i="39"/>
  <c r="CR49" i="39"/>
  <c r="CR50" i="39"/>
  <c r="CR51" i="39"/>
  <c r="CR52" i="39"/>
  <c r="CR53" i="39"/>
  <c r="CR54" i="39"/>
  <c r="CR55" i="39"/>
  <c r="CR56" i="39"/>
  <c r="CR57" i="39"/>
  <c r="CR58" i="39"/>
  <c r="CR59" i="39"/>
  <c r="CR60" i="39"/>
  <c r="CR61" i="39"/>
  <c r="CR62" i="39"/>
  <c r="CR63" i="39"/>
  <c r="CR64" i="39"/>
  <c r="CR65" i="39"/>
  <c r="CR66" i="39"/>
  <c r="CR67" i="39"/>
  <c r="CR68" i="39"/>
  <c r="CO45" i="39"/>
  <c r="CO46" i="39"/>
  <c r="CO47" i="39"/>
  <c r="CO48" i="39"/>
  <c r="CO49" i="39"/>
  <c r="CO50" i="39"/>
  <c r="CO51" i="39"/>
  <c r="CO52" i="39"/>
  <c r="CO53" i="39"/>
  <c r="CO54" i="39"/>
  <c r="CO55" i="39"/>
  <c r="CO56" i="39"/>
  <c r="CO57" i="39"/>
  <c r="CO58" i="39"/>
  <c r="CO59" i="39"/>
  <c r="CO60" i="39"/>
  <c r="CO61" i="39"/>
  <c r="CO62" i="39"/>
  <c r="CO63" i="39"/>
  <c r="CO64" i="39"/>
  <c r="CO65" i="39"/>
  <c r="CO66" i="39"/>
  <c r="CO67" i="39"/>
  <c r="CO68" i="39"/>
  <c r="CM45" i="39"/>
  <c r="CM46" i="39"/>
  <c r="CM47" i="39"/>
  <c r="CM48" i="39"/>
  <c r="CM49" i="39"/>
  <c r="CM50" i="39"/>
  <c r="CM51" i="39"/>
  <c r="CM52" i="39"/>
  <c r="CM53" i="39"/>
  <c r="CM54" i="39"/>
  <c r="CM55" i="39"/>
  <c r="CM56" i="39"/>
  <c r="CM57" i="39"/>
  <c r="CM58" i="39"/>
  <c r="CM59" i="39"/>
  <c r="CM60" i="39"/>
  <c r="CM61" i="39"/>
  <c r="CM62" i="39"/>
  <c r="CM63" i="39"/>
  <c r="CM64" i="39"/>
  <c r="CM65" i="39"/>
  <c r="CM66" i="39"/>
  <c r="CM67" i="39"/>
  <c r="CM68" i="39"/>
  <c r="CM44" i="39"/>
  <c r="CO44" i="39"/>
  <c r="CJ81" i="39"/>
  <c r="CJ82" i="39"/>
  <c r="CJ83" i="39"/>
  <c r="CJ84" i="39"/>
  <c r="CJ85" i="39"/>
  <c r="CJ86" i="39"/>
  <c r="CJ87" i="39"/>
  <c r="CJ88" i="39"/>
  <c r="CJ89" i="39"/>
  <c r="CJ80" i="39"/>
  <c r="FP154" i="39" s="1"/>
  <c r="CI80" i="39"/>
  <c r="CU80" i="39" s="1"/>
  <c r="CW80" i="39" s="1"/>
  <c r="CI81" i="39"/>
  <c r="CI82" i="39"/>
  <c r="CI83" i="39"/>
  <c r="CI84" i="39"/>
  <c r="CI85" i="39"/>
  <c r="CI86" i="39"/>
  <c r="CI87" i="39"/>
  <c r="CI88" i="39"/>
  <c r="CI89" i="39"/>
  <c r="CU89" i="39" s="1"/>
  <c r="CW89" i="39" s="1"/>
  <c r="GN163" i="39" s="1"/>
  <c r="CI45" i="39"/>
  <c r="CI46" i="39"/>
  <c r="CI47" i="39"/>
  <c r="CI48" i="39"/>
  <c r="CI49" i="39"/>
  <c r="CI50" i="39"/>
  <c r="CI51" i="39"/>
  <c r="CI52" i="39"/>
  <c r="CI53" i="39"/>
  <c r="CI54" i="39"/>
  <c r="CI55" i="39"/>
  <c r="CI56" i="39"/>
  <c r="CI57" i="39"/>
  <c r="CI58" i="39"/>
  <c r="CI59" i="39"/>
  <c r="CI60" i="39"/>
  <c r="CI61" i="39"/>
  <c r="CI62" i="39"/>
  <c r="CI63" i="39"/>
  <c r="CI64" i="39"/>
  <c r="CI65" i="39"/>
  <c r="CI66" i="39"/>
  <c r="CI67" i="39"/>
  <c r="CI68" i="39"/>
  <c r="CI44" i="39"/>
  <c r="H78" i="39" a="1"/>
  <c r="H78" i="39" s="1"/>
  <c r="H79" i="39" a="1"/>
  <c r="H79" i="39" s="1"/>
  <c r="F76" i="39" a="1"/>
  <c r="F76" i="39" s="1"/>
  <c r="F77" i="39" a="1"/>
  <c r="F77" i="39" s="1"/>
  <c r="F78" i="39" a="1"/>
  <c r="F78" i="39" s="1"/>
  <c r="F79" i="39" a="1"/>
  <c r="F79" i="39" s="1"/>
  <c r="F75" i="39" a="1"/>
  <c r="F75" i="39" s="1"/>
  <c r="CJ45" i="39"/>
  <c r="CJ46" i="39"/>
  <c r="CJ47" i="39"/>
  <c r="CJ48" i="39"/>
  <c r="CJ49" i="39"/>
  <c r="CJ50" i="39"/>
  <c r="CJ51" i="39"/>
  <c r="CJ52" i="39"/>
  <c r="CJ53" i="39"/>
  <c r="CJ54" i="39"/>
  <c r="CJ55" i="39"/>
  <c r="CJ56" i="39"/>
  <c r="CJ57" i="39"/>
  <c r="CJ58" i="39"/>
  <c r="CJ59" i="39"/>
  <c r="CJ60" i="39"/>
  <c r="CJ61" i="39"/>
  <c r="CJ62" i="39"/>
  <c r="CJ63" i="39"/>
  <c r="CJ64" i="39"/>
  <c r="CJ65" i="39"/>
  <c r="CJ66" i="39"/>
  <c r="CJ67" i="39"/>
  <c r="CJ68" i="39"/>
  <c r="CJ44" i="39"/>
  <c r="CP45" i="39"/>
  <c r="CP46" i="39"/>
  <c r="CP47" i="39"/>
  <c r="CP48" i="39"/>
  <c r="CP49" i="39"/>
  <c r="CP50" i="39"/>
  <c r="CP51" i="39"/>
  <c r="CP52" i="39"/>
  <c r="CP53" i="39"/>
  <c r="CP54" i="39"/>
  <c r="CP55" i="39"/>
  <c r="CP56" i="39"/>
  <c r="CP57" i="39"/>
  <c r="CP58" i="39"/>
  <c r="CP59" i="39"/>
  <c r="CP60" i="39"/>
  <c r="CP61" i="39"/>
  <c r="CP62" i="39"/>
  <c r="CP63" i="39"/>
  <c r="CP64" i="39"/>
  <c r="CP65" i="39"/>
  <c r="CP66" i="39"/>
  <c r="CP67" i="39"/>
  <c r="CP68" i="39"/>
  <c r="CP44" i="39"/>
  <c r="CK45" i="39"/>
  <c r="CK46" i="39"/>
  <c r="CK47" i="39"/>
  <c r="CK48" i="39"/>
  <c r="CK49" i="39"/>
  <c r="CK50" i="39"/>
  <c r="CK51" i="39"/>
  <c r="CK52" i="39"/>
  <c r="CK53" i="39"/>
  <c r="CK54" i="39"/>
  <c r="CK55" i="39"/>
  <c r="CK56" i="39"/>
  <c r="CK57" i="39"/>
  <c r="CK58" i="39"/>
  <c r="CK59" i="39"/>
  <c r="CK60" i="39"/>
  <c r="CK61" i="39"/>
  <c r="CK62" i="39"/>
  <c r="CK63" i="39"/>
  <c r="CK64" i="39"/>
  <c r="CK65" i="39"/>
  <c r="CK66" i="39"/>
  <c r="CK67" i="39"/>
  <c r="CK68" i="39"/>
  <c r="CK44" i="39"/>
  <c r="CH45" i="39"/>
  <c r="CH46" i="39"/>
  <c r="CH47" i="39"/>
  <c r="CH48" i="39"/>
  <c r="CH49" i="39"/>
  <c r="CH50" i="39"/>
  <c r="CH51" i="39"/>
  <c r="CH52" i="39"/>
  <c r="CH53" i="39"/>
  <c r="CH54" i="39"/>
  <c r="CH55" i="39"/>
  <c r="CH56" i="39"/>
  <c r="CH57" i="39"/>
  <c r="CH58" i="39"/>
  <c r="CH59" i="39"/>
  <c r="CH60" i="39"/>
  <c r="CH61" i="39"/>
  <c r="CH62" i="39"/>
  <c r="CH63" i="39"/>
  <c r="CH64" i="39"/>
  <c r="CH65" i="39"/>
  <c r="CH66" i="39"/>
  <c r="CH67" i="39"/>
  <c r="CH68" i="39"/>
  <c r="CH44" i="39"/>
  <c r="CF15" i="39" a="1"/>
  <c r="CF15" i="39" s="1"/>
  <c r="CF16" i="39" a="1"/>
  <c r="CF16" i="39" s="1"/>
  <c r="CF17" i="39" a="1"/>
  <c r="CF17" i="39" s="1"/>
  <c r="CF18" i="39" a="1"/>
  <c r="CF18" i="39" s="1"/>
  <c r="CF19" i="39" a="1"/>
  <c r="CF19" i="39" s="1"/>
  <c r="CF20" i="39" a="1"/>
  <c r="CF20" i="39" s="1"/>
  <c r="CF21" i="39" a="1"/>
  <c r="CF21" i="39" s="1"/>
  <c r="CF22" i="39" a="1"/>
  <c r="CF22" i="39" s="1"/>
  <c r="CF23" i="39" a="1"/>
  <c r="CF23" i="39" s="1"/>
  <c r="CF24" i="39" a="1"/>
  <c r="CF24" i="39" s="1"/>
  <c r="CF25" i="39" a="1"/>
  <c r="CF25" i="39" s="1"/>
  <c r="CF26" i="39" a="1"/>
  <c r="CF26" i="39" s="1"/>
  <c r="CF27" i="39" a="1"/>
  <c r="CF27" i="39" s="1"/>
  <c r="CF28" i="39" a="1"/>
  <c r="CF28" i="39" s="1"/>
  <c r="CF29" i="39" a="1"/>
  <c r="CF29" i="39" s="1"/>
  <c r="CF30" i="39" a="1"/>
  <c r="CF30" i="39" s="1"/>
  <c r="CF31" i="39" a="1"/>
  <c r="CF31" i="39" s="1"/>
  <c r="CF32" i="39" a="1"/>
  <c r="CF32" i="39" s="1"/>
  <c r="CF33" i="39" a="1"/>
  <c r="CF33" i="39" s="1"/>
  <c r="CF34" i="39" a="1"/>
  <c r="CF34" i="39" s="1"/>
  <c r="CF35" i="39" a="1"/>
  <c r="CF35" i="39" s="1"/>
  <c r="CF36" i="39" a="1"/>
  <c r="CF36" i="39" s="1"/>
  <c r="BZ16" i="39" a="1"/>
  <c r="BZ16" i="39" s="1"/>
  <c r="BZ17" i="39" a="1"/>
  <c r="BZ17" i="39" s="1"/>
  <c r="BZ18" i="39" a="1"/>
  <c r="BZ18" i="39" s="1"/>
  <c r="BZ19" i="39" a="1"/>
  <c r="BZ19" i="39" s="1"/>
  <c r="BZ20" i="39" a="1"/>
  <c r="BZ20" i="39" s="1"/>
  <c r="BZ21" i="39" a="1"/>
  <c r="BZ21" i="39" s="1"/>
  <c r="BZ22" i="39" a="1"/>
  <c r="BZ22" i="39" s="1"/>
  <c r="BZ23" i="39" a="1"/>
  <c r="BZ23" i="39" s="1"/>
  <c r="BZ24" i="39" a="1"/>
  <c r="BZ24" i="39" s="1"/>
  <c r="BZ25" i="39" a="1"/>
  <c r="BZ25" i="39" s="1"/>
  <c r="BZ26" i="39" a="1"/>
  <c r="BZ26" i="39" s="1"/>
  <c r="BZ27" i="39" a="1"/>
  <c r="BZ27" i="39" s="1"/>
  <c r="BZ28" i="39" a="1"/>
  <c r="BZ28" i="39" s="1"/>
  <c r="BZ29" i="39" a="1"/>
  <c r="BZ29" i="39" s="1"/>
  <c r="BZ30" i="39" a="1"/>
  <c r="BZ30" i="39" s="1"/>
  <c r="BZ31" i="39" a="1"/>
  <c r="BZ31" i="39" s="1"/>
  <c r="BZ32" i="39" a="1"/>
  <c r="BZ32" i="39" s="1"/>
  <c r="BZ33" i="39" a="1"/>
  <c r="BZ33" i="39" s="1"/>
  <c r="BZ34" i="39" a="1"/>
  <c r="BZ34" i="39" s="1"/>
  <c r="BZ35" i="39" a="1"/>
  <c r="BZ35" i="39" s="1"/>
  <c r="BZ36" i="39" a="1"/>
  <c r="BZ36" i="39" s="1"/>
  <c r="CY154" i="39"/>
  <c r="CY155" i="39"/>
  <c r="CY156" i="39"/>
  <c r="CY157" i="39"/>
  <c r="CY158" i="39"/>
  <c r="CY159" i="39"/>
  <c r="CY160" i="39"/>
  <c r="CY161" i="39"/>
  <c r="CY162" i="39"/>
  <c r="CY163" i="39"/>
  <c r="CY9" i="39"/>
  <c r="CZ9" i="39" s="1"/>
  <c r="Z154" i="32"/>
  <c r="Y154" i="32"/>
  <c r="X154" i="32"/>
  <c r="W154" i="32"/>
  <c r="Z153" i="32"/>
  <c r="Y153" i="32"/>
  <c r="X153" i="32"/>
  <c r="W153" i="32"/>
  <c r="Z152" i="32"/>
  <c r="Y152" i="32"/>
  <c r="X152" i="32"/>
  <c r="W152" i="32"/>
  <c r="Z151" i="32"/>
  <c r="Y151" i="32"/>
  <c r="X151" i="32"/>
  <c r="W151" i="32"/>
  <c r="Z150" i="32"/>
  <c r="Y150" i="32"/>
  <c r="X150" i="32"/>
  <c r="W150" i="32"/>
  <c r="Z149" i="32"/>
  <c r="Y149" i="32"/>
  <c r="X149" i="32"/>
  <c r="W149" i="32"/>
  <c r="Z148" i="32"/>
  <c r="Y148" i="32"/>
  <c r="X148" i="32"/>
  <c r="W148" i="32"/>
  <c r="Z147" i="32"/>
  <c r="Y147" i="32"/>
  <c r="X147" i="32"/>
  <c r="W147" i="32"/>
  <c r="Z146" i="32"/>
  <c r="Y146" i="32"/>
  <c r="X146" i="32"/>
  <c r="W146" i="32"/>
  <c r="Z145" i="32"/>
  <c r="Y145" i="32"/>
  <c r="X145" i="32"/>
  <c r="W145" i="32"/>
  <c r="Z144" i="32"/>
  <c r="Y144" i="32"/>
  <c r="X144" i="32"/>
  <c r="W144" i="32"/>
  <c r="Z143" i="32"/>
  <c r="Y143" i="32"/>
  <c r="X143" i="32"/>
  <c r="W143" i="32"/>
  <c r="Z142" i="32"/>
  <c r="Y142" i="32"/>
  <c r="X142" i="32"/>
  <c r="W142" i="32"/>
  <c r="Z141" i="32"/>
  <c r="Y141" i="32"/>
  <c r="X141" i="32"/>
  <c r="W141" i="32"/>
  <c r="Z140" i="32"/>
  <c r="Y140" i="32"/>
  <c r="X140" i="32"/>
  <c r="W140" i="32"/>
  <c r="Z139" i="32"/>
  <c r="Y139" i="32"/>
  <c r="X139" i="32"/>
  <c r="W139" i="32"/>
  <c r="Z138" i="32"/>
  <c r="Y138" i="32"/>
  <c r="X138" i="32"/>
  <c r="W138" i="32"/>
  <c r="Z137" i="32"/>
  <c r="Y137" i="32"/>
  <c r="X137" i="32"/>
  <c r="W137" i="32"/>
  <c r="Z136" i="32"/>
  <c r="Y136" i="32"/>
  <c r="X136" i="32"/>
  <c r="W136" i="32"/>
  <c r="Z135" i="32"/>
  <c r="Y135" i="32"/>
  <c r="X135" i="32"/>
  <c r="W135" i="32"/>
  <c r="Z134" i="32"/>
  <c r="Y134" i="32"/>
  <c r="X134" i="32"/>
  <c r="W134" i="32"/>
  <c r="Z133" i="32"/>
  <c r="Y133" i="32"/>
  <c r="X133" i="32"/>
  <c r="W133" i="32"/>
  <c r="Z132" i="32"/>
  <c r="Y132" i="32"/>
  <c r="X132" i="32"/>
  <c r="W132" i="32"/>
  <c r="Z131" i="32"/>
  <c r="Y131" i="32"/>
  <c r="X131" i="32"/>
  <c r="W131" i="32"/>
  <c r="Z130" i="32"/>
  <c r="Y130" i="32"/>
  <c r="X130" i="32"/>
  <c r="W130" i="32"/>
  <c r="Z129" i="32"/>
  <c r="Y129" i="32"/>
  <c r="X129" i="32"/>
  <c r="W129" i="32"/>
  <c r="Z128" i="32"/>
  <c r="Y128" i="32"/>
  <c r="X128" i="32"/>
  <c r="W128" i="32"/>
  <c r="Z127" i="32"/>
  <c r="Y127" i="32"/>
  <c r="X127" i="32"/>
  <c r="W127" i="32"/>
  <c r="Z126" i="32"/>
  <c r="Y126" i="32"/>
  <c r="X126" i="32"/>
  <c r="Z125" i="32"/>
  <c r="Y125" i="32"/>
  <c r="X125" i="32"/>
  <c r="W125" i="32"/>
  <c r="Z124" i="32"/>
  <c r="Y124" i="32"/>
  <c r="X124" i="32"/>
  <c r="W124" i="32"/>
  <c r="Z123" i="32"/>
  <c r="Y123" i="32"/>
  <c r="X123" i="32"/>
  <c r="W123" i="32"/>
  <c r="Z122" i="32"/>
  <c r="Y122" i="32"/>
  <c r="X122" i="32"/>
  <c r="W122" i="32"/>
  <c r="Z121" i="32"/>
  <c r="Y121" i="32"/>
  <c r="X121" i="32"/>
  <c r="W121" i="32"/>
  <c r="Z120" i="32"/>
  <c r="Y120" i="32"/>
  <c r="X120" i="32"/>
  <c r="W120" i="32"/>
  <c r="Z119" i="32"/>
  <c r="Y119" i="32"/>
  <c r="X119" i="32"/>
  <c r="W119" i="32"/>
  <c r="Z118" i="32"/>
  <c r="Y118" i="32"/>
  <c r="X118" i="32"/>
  <c r="H76" i="39" s="1" a="1"/>
  <c r="H76" i="39" s="1"/>
  <c r="W118" i="32"/>
  <c r="B5" i="32"/>
  <c r="B80" i="32"/>
  <c r="A89" i="32"/>
  <c r="CY93" i="39" s="1"/>
  <c r="CZ93" i="39" s="1"/>
  <c r="DA93" i="39" s="1" a="1"/>
  <c r="DA93" i="39" s="1"/>
  <c r="A100" i="32"/>
  <c r="CY104" i="39" s="1"/>
  <c r="CZ104" i="39" s="1"/>
  <c r="DA104" i="39" s="1" a="1"/>
  <c r="DA104" i="39" s="1"/>
  <c r="A108" i="32"/>
  <c r="CY112" i="39" s="1"/>
  <c r="CZ112" i="39" s="1"/>
  <c r="DA112" i="39" s="1" a="1"/>
  <c r="DA112" i="39" s="1"/>
  <c r="A112" i="32"/>
  <c r="CY116" i="39" s="1"/>
  <c r="CZ116" i="39" s="1"/>
  <c r="DA116" i="39" s="1" a="1"/>
  <c r="DA116" i="39" s="1"/>
  <c r="A7" i="32"/>
  <c r="CZ12" i="39"/>
  <c r="CZ13" i="39"/>
  <c r="CZ14" i="39"/>
  <c r="CZ17" i="39"/>
  <c r="CZ19" i="39"/>
  <c r="CZ20" i="39"/>
  <c r="CZ21" i="39"/>
  <c r="CZ23" i="39"/>
  <c r="CZ24" i="39"/>
  <c r="CZ25" i="39"/>
  <c r="CZ26" i="39"/>
  <c r="CZ27" i="39"/>
  <c r="CZ28" i="39"/>
  <c r="CZ29" i="39"/>
  <c r="CZ31" i="39"/>
  <c r="CZ32" i="39"/>
  <c r="CZ33" i="39"/>
  <c r="CZ35" i="39"/>
  <c r="CZ36" i="39"/>
  <c r="CZ37" i="39"/>
  <c r="CZ40" i="39"/>
  <c r="CZ41" i="39"/>
  <c r="CZ42" i="39"/>
  <c r="CZ43" i="39"/>
  <c r="CZ44" i="39"/>
  <c r="CZ45" i="39"/>
  <c r="CZ46" i="39"/>
  <c r="CZ48" i="39"/>
  <c r="CZ49" i="39"/>
  <c r="CZ50" i="39"/>
  <c r="CZ52" i="39"/>
  <c r="CZ53" i="39"/>
  <c r="CZ54" i="39"/>
  <c r="CZ56" i="39"/>
  <c r="CZ57" i="39"/>
  <c r="CZ58" i="39"/>
  <c r="CZ59" i="39"/>
  <c r="CZ60" i="39"/>
  <c r="CZ61" i="39"/>
  <c r="CZ62" i="39"/>
  <c r="CZ64" i="39"/>
  <c r="CZ65" i="39"/>
  <c r="CZ66" i="39"/>
  <c r="CZ68" i="39"/>
  <c r="CZ69" i="39"/>
  <c r="CZ70" i="39"/>
  <c r="CZ72" i="39"/>
  <c r="CZ73" i="39"/>
  <c r="CZ74" i="39"/>
  <c r="CZ75" i="39"/>
  <c r="CZ76" i="39"/>
  <c r="CZ77" i="39"/>
  <c r="CZ78" i="39"/>
  <c r="CZ79" i="39"/>
  <c r="CZ80" i="39"/>
  <c r="CZ81" i="39"/>
  <c r="CZ82" i="39"/>
  <c r="CZ83" i="39"/>
  <c r="CZ84" i="39"/>
  <c r="A81" i="32"/>
  <c r="CY85" i="39" s="1"/>
  <c r="CZ85" i="39" s="1"/>
  <c r="DA85" i="39" s="1" a="1"/>
  <c r="DA85" i="39" s="1"/>
  <c r="A82" i="32"/>
  <c r="CY86" i="39" s="1"/>
  <c r="CZ86" i="39" s="1"/>
  <c r="DA86" i="39" s="1" a="1"/>
  <c r="DA86" i="39" s="1"/>
  <c r="A83" i="32"/>
  <c r="CY87" i="39" s="1"/>
  <c r="CZ87" i="39" s="1"/>
  <c r="DA87" i="39" s="1" a="1"/>
  <c r="DA87" i="39" s="1"/>
  <c r="A84" i="32"/>
  <c r="CY88" i="39" s="1"/>
  <c r="CZ88" i="39" s="1"/>
  <c r="DA88" i="39" s="1" a="1"/>
  <c r="DA88" i="39" s="1"/>
  <c r="A85" i="32"/>
  <c r="CY89" i="39" s="1"/>
  <c r="CZ89" i="39" s="1"/>
  <c r="DA89" i="39" s="1" a="1"/>
  <c r="DA89" i="39" s="1"/>
  <c r="A86" i="32"/>
  <c r="CY90" i="39" s="1"/>
  <c r="CZ90" i="39" s="1"/>
  <c r="DA90" i="39" s="1" a="1"/>
  <c r="DA90" i="39" s="1"/>
  <c r="A87" i="32"/>
  <c r="CY91" i="39" s="1"/>
  <c r="CZ91" i="39" s="1"/>
  <c r="DA91" i="39" s="1" a="1"/>
  <c r="DA91" i="39" s="1"/>
  <c r="A90" i="32"/>
  <c r="CY94" i="39" s="1"/>
  <c r="CZ94" i="39" s="1"/>
  <c r="DA94" i="39" s="1" a="1"/>
  <c r="DA94" i="39" s="1"/>
  <c r="A91" i="32"/>
  <c r="CY95" i="39" s="1"/>
  <c r="CZ95" i="39" s="1"/>
  <c r="DA95" i="39" s="1" a="1"/>
  <c r="DA95" i="39" s="1"/>
  <c r="A92" i="32"/>
  <c r="CY96" i="39" s="1"/>
  <c r="CZ96" i="39" s="1"/>
  <c r="DA96" i="39" s="1" a="1"/>
  <c r="DA96" i="39" s="1"/>
  <c r="A93" i="32"/>
  <c r="CY97" i="39" s="1"/>
  <c r="CZ97" i="39" s="1"/>
  <c r="DA97" i="39" s="1" a="1"/>
  <c r="DA97" i="39" s="1"/>
  <c r="A94" i="32"/>
  <c r="CY98" i="39" s="1"/>
  <c r="CZ98" i="39" s="1"/>
  <c r="DA98" i="39" s="1" a="1"/>
  <c r="DA98" i="39" s="1"/>
  <c r="A95" i="32"/>
  <c r="CY99" i="39" s="1"/>
  <c r="CZ99" i="39" s="1"/>
  <c r="DA99" i="39" s="1" a="1"/>
  <c r="DA99" i="39" s="1"/>
  <c r="A96" i="32"/>
  <c r="CY100" i="39" s="1"/>
  <c r="CZ100" i="39" s="1"/>
  <c r="DA100" i="39" s="1" a="1"/>
  <c r="DA100" i="39" s="1"/>
  <c r="A97" i="32"/>
  <c r="CY101" i="39" s="1"/>
  <c r="CZ101" i="39" s="1"/>
  <c r="DA101" i="39" s="1" a="1"/>
  <c r="DA101" i="39" s="1"/>
  <c r="A98" i="32"/>
  <c r="CY102" i="39" s="1"/>
  <c r="CZ102" i="39" s="1"/>
  <c r="DA102" i="39" s="1" a="1"/>
  <c r="DA102" i="39" s="1"/>
  <c r="A99" i="32"/>
  <c r="CY103" i="39" s="1"/>
  <c r="CZ103" i="39" s="1"/>
  <c r="DA103" i="39" s="1" a="1"/>
  <c r="DA103" i="39" s="1"/>
  <c r="A101" i="32"/>
  <c r="CY105" i="39" s="1"/>
  <c r="CZ105" i="39" s="1"/>
  <c r="DA105" i="39" s="1" a="1"/>
  <c r="DA105" i="39" s="1"/>
  <c r="A102" i="32"/>
  <c r="CY106" i="39" s="1"/>
  <c r="CZ106" i="39" s="1"/>
  <c r="DA106" i="39" s="1" a="1"/>
  <c r="DA106" i="39" s="1"/>
  <c r="A103" i="32"/>
  <c r="CY107" i="39" s="1"/>
  <c r="CZ107" i="39" s="1"/>
  <c r="DA107" i="39" s="1" a="1"/>
  <c r="DA107" i="39" s="1"/>
  <c r="A104" i="32"/>
  <c r="CY108" i="39" s="1"/>
  <c r="CZ108" i="39" s="1"/>
  <c r="DA108" i="39" s="1" a="1"/>
  <c r="DA108" i="39" s="1"/>
  <c r="A105" i="32"/>
  <c r="CY109" i="39" s="1"/>
  <c r="CZ109" i="39" s="1"/>
  <c r="DA109" i="39" s="1" a="1"/>
  <c r="DA109" i="39" s="1"/>
  <c r="A106" i="32"/>
  <c r="CY110" i="39" s="1"/>
  <c r="CZ110" i="39" s="1"/>
  <c r="DA110" i="39" s="1" a="1"/>
  <c r="DA110" i="39" s="1"/>
  <c r="A107" i="32"/>
  <c r="CY111" i="39" s="1"/>
  <c r="CZ111" i="39" s="1"/>
  <c r="DA111" i="39" s="1" a="1"/>
  <c r="DA111" i="39" s="1"/>
  <c r="A109" i="32"/>
  <c r="CY113" i="39" s="1"/>
  <c r="CZ113" i="39" s="1"/>
  <c r="DA113" i="39" s="1" a="1"/>
  <c r="DA113" i="39" s="1"/>
  <c r="A110" i="32"/>
  <c r="CY114" i="39" s="1"/>
  <c r="CZ114" i="39" s="1"/>
  <c r="DA114" i="39" s="1" a="1"/>
  <c r="DA114" i="39" s="1"/>
  <c r="A111" i="32"/>
  <c r="CY115" i="39" s="1"/>
  <c r="CZ115" i="39" s="1"/>
  <c r="DA115" i="39" s="1" a="1"/>
  <c r="DA115" i="39" s="1"/>
  <c r="A6" i="32"/>
  <c r="CY10" i="39" s="1"/>
  <c r="CZ10" i="39" s="1"/>
  <c r="AD110" i="32"/>
  <c r="AC110" i="32"/>
  <c r="AB110" i="32"/>
  <c r="AD109" i="32"/>
  <c r="AC109" i="32"/>
  <c r="AB109" i="32"/>
  <c r="AD108" i="32"/>
  <c r="AC108" i="32"/>
  <c r="AB108" i="32"/>
  <c r="AD107" i="32"/>
  <c r="AC107" i="32"/>
  <c r="AB107" i="32"/>
  <c r="AD9" i="32"/>
  <c r="AC9" i="32"/>
  <c r="AB9" i="32"/>
  <c r="AD8" i="32"/>
  <c r="AC8" i="32"/>
  <c r="AB8" i="32"/>
  <c r="BZ15" i="39" s="1" a="1"/>
  <c r="BZ15" i="39" s="1"/>
  <c r="AD7" i="32"/>
  <c r="AC7" i="32"/>
  <c r="AB7" i="32"/>
  <c r="BW14" i="39"/>
  <c r="BX14" i="39"/>
  <c r="BY14" i="39"/>
  <c r="BW15" i="39"/>
  <c r="BX15" i="39"/>
  <c r="BY15" i="39"/>
  <c r="BW16" i="39"/>
  <c r="BX16" i="39"/>
  <c r="BY16" i="39"/>
  <c r="BW17" i="39"/>
  <c r="BX17" i="39"/>
  <c r="BY17" i="39"/>
  <c r="BW18" i="39"/>
  <c r="BX18" i="39"/>
  <c r="BY18" i="39"/>
  <c r="BW19" i="39"/>
  <c r="BX19" i="39"/>
  <c r="BY19" i="39"/>
  <c r="BW20" i="39"/>
  <c r="BX20" i="39"/>
  <c r="BY20" i="39"/>
  <c r="BW21" i="39"/>
  <c r="BX21" i="39"/>
  <c r="BY21" i="39"/>
  <c r="BW22" i="39"/>
  <c r="BX22" i="39"/>
  <c r="BY22" i="39"/>
  <c r="BW23" i="39"/>
  <c r="BX23" i="39"/>
  <c r="BY23" i="39"/>
  <c r="BW24" i="39"/>
  <c r="BX24" i="39"/>
  <c r="BY24" i="39"/>
  <c r="BW25" i="39"/>
  <c r="BX25" i="39"/>
  <c r="BY25" i="39"/>
  <c r="BW26" i="39"/>
  <c r="BX26" i="39"/>
  <c r="BY26" i="39"/>
  <c r="BW27" i="39"/>
  <c r="BX27" i="39"/>
  <c r="BY27" i="39"/>
  <c r="BW28" i="39"/>
  <c r="BX28" i="39"/>
  <c r="BY28" i="39"/>
  <c r="BW29" i="39"/>
  <c r="BX29" i="39"/>
  <c r="BY29" i="39"/>
  <c r="BW30" i="39"/>
  <c r="BX30" i="39"/>
  <c r="BY30" i="39"/>
  <c r="BW31" i="39"/>
  <c r="BX31" i="39"/>
  <c r="BY31" i="39"/>
  <c r="BW32" i="39"/>
  <c r="BX32" i="39"/>
  <c r="BY32" i="39"/>
  <c r="BW33" i="39"/>
  <c r="BX33" i="39"/>
  <c r="BY33" i="39"/>
  <c r="BW34" i="39"/>
  <c r="BX34" i="39"/>
  <c r="BY34" i="39"/>
  <c r="BW35" i="39"/>
  <c r="BX35" i="39"/>
  <c r="BY35" i="39"/>
  <c r="BW36" i="39"/>
  <c r="BX36" i="39"/>
  <c r="BY36" i="39"/>
  <c r="BW44" i="39"/>
  <c r="CS44" i="39" s="1"/>
  <c r="BX44" i="39"/>
  <c r="BY44" i="39"/>
  <c r="BW45" i="39"/>
  <c r="CQ45" i="39" s="1"/>
  <c r="BX45" i="39"/>
  <c r="BY45" i="39"/>
  <c r="BW46" i="39"/>
  <c r="CS46" i="39" s="1"/>
  <c r="BX46" i="39"/>
  <c r="BY46" i="39"/>
  <c r="BW47" i="39"/>
  <c r="CS47" i="39" s="1"/>
  <c r="BX47" i="39"/>
  <c r="BY47" i="39"/>
  <c r="BW48" i="39"/>
  <c r="CQ48" i="39" s="1"/>
  <c r="BX48" i="39"/>
  <c r="BY48" i="39"/>
  <c r="BW49" i="39"/>
  <c r="CS49" i="39" s="1"/>
  <c r="BX49" i="39"/>
  <c r="BY49" i="39"/>
  <c r="BW50" i="39"/>
  <c r="CS50" i="39" s="1"/>
  <c r="BX50" i="39"/>
  <c r="BY50" i="39"/>
  <c r="BW51" i="39"/>
  <c r="CS51" i="39" s="1"/>
  <c r="BX51" i="39"/>
  <c r="BY51" i="39"/>
  <c r="BW52" i="39"/>
  <c r="CQ52" i="39" s="1"/>
  <c r="BX52" i="39"/>
  <c r="BY52" i="39"/>
  <c r="BW53" i="39"/>
  <c r="CQ53" i="39" s="1"/>
  <c r="BX53" i="39"/>
  <c r="BY53" i="39"/>
  <c r="BW54" i="39"/>
  <c r="CS54" i="39" s="1"/>
  <c r="BX54" i="39"/>
  <c r="BY54" i="39"/>
  <c r="BW55" i="39"/>
  <c r="CS55" i="39" s="1"/>
  <c r="BX55" i="39"/>
  <c r="BY55" i="39"/>
  <c r="BW56" i="39"/>
  <c r="CQ56" i="39" s="1"/>
  <c r="BX56" i="39"/>
  <c r="BY56" i="39"/>
  <c r="BW57" i="39"/>
  <c r="CQ57" i="39" s="1"/>
  <c r="BX57" i="39"/>
  <c r="BY57" i="39"/>
  <c r="BW58" i="39"/>
  <c r="CS58" i="39" s="1"/>
  <c r="BX58" i="39"/>
  <c r="BY58" i="39"/>
  <c r="BW59" i="39"/>
  <c r="CS59" i="39" s="1"/>
  <c r="BX59" i="39"/>
  <c r="BY59" i="39"/>
  <c r="BW60" i="39"/>
  <c r="CQ60" i="39" s="1"/>
  <c r="BX60" i="39"/>
  <c r="BY60" i="39"/>
  <c r="BW61" i="39"/>
  <c r="CQ61" i="39" s="1"/>
  <c r="BX61" i="39"/>
  <c r="BY61" i="39"/>
  <c r="BW62" i="39"/>
  <c r="CS62" i="39" s="1"/>
  <c r="BX62" i="39"/>
  <c r="BY62" i="39"/>
  <c r="BW63" i="39"/>
  <c r="CS63" i="39" s="1"/>
  <c r="BX63" i="39"/>
  <c r="BY63" i="39"/>
  <c r="BW64" i="39"/>
  <c r="CQ64" i="39" s="1"/>
  <c r="BX64" i="39"/>
  <c r="BY64" i="39"/>
  <c r="BW65" i="39"/>
  <c r="CQ65" i="39" s="1"/>
  <c r="BX65" i="39"/>
  <c r="BY65" i="39"/>
  <c r="BW66" i="39"/>
  <c r="CS66" i="39" s="1"/>
  <c r="BX66" i="39"/>
  <c r="BY66" i="39"/>
  <c r="BW67" i="39"/>
  <c r="CS67" i="39" s="1"/>
  <c r="BX67" i="39"/>
  <c r="BY67" i="39"/>
  <c r="BW68" i="39"/>
  <c r="CQ68" i="39" s="1"/>
  <c r="BX68" i="39"/>
  <c r="BY68" i="39"/>
  <c r="BX75" i="39"/>
  <c r="BY75" i="39"/>
  <c r="BW76" i="39"/>
  <c r="BX76" i="39"/>
  <c r="BY76" i="39"/>
  <c r="BW77" i="39"/>
  <c r="BX77" i="39"/>
  <c r="BY77" i="39"/>
  <c r="BW78" i="39"/>
  <c r="BX78" i="39"/>
  <c r="BY78" i="39"/>
  <c r="BW79" i="39"/>
  <c r="BX79" i="39"/>
  <c r="BY79" i="39"/>
  <c r="BW80" i="39"/>
  <c r="CS80" i="39" s="1"/>
  <c r="BX80" i="39"/>
  <c r="BY80" i="39"/>
  <c r="BW81" i="39"/>
  <c r="CQ81" i="39" s="1"/>
  <c r="BX81" i="39"/>
  <c r="BY81" i="39"/>
  <c r="BW82" i="39"/>
  <c r="CS82" i="39" s="1"/>
  <c r="BX82" i="39"/>
  <c r="BY82" i="39"/>
  <c r="BW83" i="39"/>
  <c r="CQ83" i="39" s="1"/>
  <c r="BX83" i="39"/>
  <c r="BY83" i="39"/>
  <c r="BW84" i="39"/>
  <c r="CQ84" i="39" s="1"/>
  <c r="BX84" i="39"/>
  <c r="BY84" i="39"/>
  <c r="BW85" i="39"/>
  <c r="CQ85" i="39" s="1"/>
  <c r="BX85" i="39"/>
  <c r="BY85" i="39"/>
  <c r="BW86" i="39"/>
  <c r="CS86" i="39" s="1"/>
  <c r="BX86" i="39"/>
  <c r="BY86" i="39"/>
  <c r="BW87" i="39"/>
  <c r="CQ87" i="39" s="1"/>
  <c r="BX87" i="39"/>
  <c r="BY87" i="39"/>
  <c r="BW88" i="39"/>
  <c r="CQ88" i="39" s="1"/>
  <c r="BX88" i="39"/>
  <c r="BY88" i="39"/>
  <c r="BW89" i="39"/>
  <c r="CQ89" i="39" s="1"/>
  <c r="BX89" i="39"/>
  <c r="BY89" i="39"/>
  <c r="BR98" i="39" a="1"/>
  <c r="BR98" i="39" s="1"/>
  <c r="BR99" i="39" a="1"/>
  <c r="BR99" i="39" s="1"/>
  <c r="BU99" i="39" a="1"/>
  <c r="BU99" i="39" s="1"/>
  <c r="N99" i="39" s="1"/>
  <c r="BR100" i="39" a="1"/>
  <c r="BR100" i="39" s="1"/>
  <c r="BU100" i="39" a="1"/>
  <c r="BU100" i="39" s="1"/>
  <c r="R100" i="39" s="1"/>
  <c r="BR101" i="39" a="1"/>
  <c r="BR101" i="39" s="1"/>
  <c r="BU101" i="39" a="1"/>
  <c r="BU101" i="39" s="1"/>
  <c r="R101" i="39" s="1"/>
  <c r="BW101" i="39"/>
  <c r="BX101" i="39"/>
  <c r="BR102" i="39" a="1"/>
  <c r="BR102" i="39" s="1"/>
  <c r="BR103" i="39" a="1"/>
  <c r="BR103" i="39" s="1"/>
  <c r="BC33" i="12"/>
  <c r="BC37" i="12"/>
  <c r="BC38" i="12"/>
  <c r="BC39" i="12"/>
  <c r="BC40" i="12"/>
  <c r="BC41" i="12"/>
  <c r="BC42" i="12"/>
  <c r="BC44" i="12"/>
  <c r="BC45" i="12"/>
  <c r="BC88" i="12"/>
  <c r="BC89" i="12"/>
  <c r="BC91" i="12"/>
  <c r="BC92" i="12"/>
  <c r="BC93" i="12"/>
  <c r="BC94" i="12"/>
  <c r="BC95" i="12"/>
  <c r="BC96" i="12"/>
  <c r="BC97" i="12"/>
  <c r="BC98" i="12"/>
  <c r="BC99" i="12"/>
  <c r="BC100" i="12"/>
  <c r="BC101" i="12"/>
  <c r="DH126" i="39" l="1"/>
  <c r="DR126" i="39"/>
  <c r="DK126" i="39"/>
  <c r="DQ126" i="39"/>
  <c r="DZ126" i="39"/>
  <c r="DL126" i="39"/>
  <c r="DF126" i="39"/>
  <c r="DJ126" i="39"/>
  <c r="DS126" i="39"/>
  <c r="DM126" i="39"/>
  <c r="DV126" i="39"/>
  <c r="DY126" i="39"/>
  <c r="DX126" i="39"/>
  <c r="DG126" i="39"/>
  <c r="DO126" i="39"/>
  <c r="FQ126" i="39" s="1"/>
  <c r="FR126" i="39" s="1"/>
  <c r="FS126" i="39" s="1"/>
  <c r="FT126" i="39" s="1"/>
  <c r="FU126" i="39" s="1"/>
  <c r="DC126" i="39"/>
  <c r="DB126" i="39"/>
  <c r="FC126" i="39" s="1"/>
  <c r="DP126" i="39"/>
  <c r="DW126" i="39"/>
  <c r="DD126" i="39"/>
  <c r="DE126" i="39"/>
  <c r="DT126" i="39"/>
  <c r="DU126" i="39"/>
  <c r="DI126" i="39"/>
  <c r="H77" i="39" a="1"/>
  <c r="H77" i="39" s="1"/>
  <c r="G76" i="39" a="1"/>
  <c r="G76" i="39" s="1"/>
  <c r="G77" i="39" a="1"/>
  <c r="G77" i="39" s="1"/>
  <c r="G75" i="39" a="1"/>
  <c r="G75" i="39" s="1"/>
  <c r="CI75" i="39" s="1"/>
  <c r="FB117" i="39" s="1"/>
  <c r="H75" i="39" a="1"/>
  <c r="H75" i="39" s="1"/>
  <c r="CJ75" i="39" s="1"/>
  <c r="CV75" i="39"/>
  <c r="CU83" i="39"/>
  <c r="CW83" i="39" s="1"/>
  <c r="GN157" i="39" s="1"/>
  <c r="GO157" i="39" s="1"/>
  <c r="GP157" i="39" s="1"/>
  <c r="GT157" i="39" s="1"/>
  <c r="CI79" i="39"/>
  <c r="CJ79" i="39"/>
  <c r="CV79" i="39"/>
  <c r="CU82" i="39"/>
  <c r="CW82" i="39" s="1"/>
  <c r="GN156" i="39" s="1"/>
  <c r="GO156" i="39" s="1"/>
  <c r="CJ78" i="39"/>
  <c r="CV78" i="39"/>
  <c r="CI78" i="39"/>
  <c r="CU81" i="39"/>
  <c r="CW81" i="39" s="1"/>
  <c r="GN155" i="39" s="1"/>
  <c r="GO155" i="39" s="1"/>
  <c r="GP155" i="39" s="1"/>
  <c r="GT155" i="39" s="1"/>
  <c r="CU88" i="39"/>
  <c r="CW88" i="39" s="1"/>
  <c r="GN162" i="39" s="1"/>
  <c r="GO162" i="39" s="1"/>
  <c r="GP162" i="39" s="1"/>
  <c r="GT162" i="39" s="1"/>
  <c r="CI76" i="39"/>
  <c r="CJ76" i="39"/>
  <c r="CV76" i="39"/>
  <c r="CU87" i="39"/>
  <c r="CW87" i="39" s="1"/>
  <c r="GN161" i="39" s="1"/>
  <c r="GO161" i="39" s="1"/>
  <c r="GP161" i="39" s="1"/>
  <c r="GT161" i="39" s="1"/>
  <c r="CI77" i="39"/>
  <c r="CJ77" i="39"/>
  <c r="CV77" i="39"/>
  <c r="CD101" i="39"/>
  <c r="CU86" i="39"/>
  <c r="CW86" i="39" s="1"/>
  <c r="GN160" i="39" s="1"/>
  <c r="GO160" i="39" s="1"/>
  <c r="CU85" i="39"/>
  <c r="CW85" i="39" s="1"/>
  <c r="GN159" i="39" s="1"/>
  <c r="GO159" i="39" s="1"/>
  <c r="GP159" i="39" s="1"/>
  <c r="GT159" i="39" s="1"/>
  <c r="CU84" i="39"/>
  <c r="CW84" i="39" s="1"/>
  <c r="GN158" i="39" s="1"/>
  <c r="GO158" i="39" s="1"/>
  <c r="GP158" i="39" s="1"/>
  <c r="GT158" i="39" s="1"/>
  <c r="BE100" i="12"/>
  <c r="BF100" i="12" s="1"/>
  <c r="BE40" i="12"/>
  <c r="BF40" i="12" s="1"/>
  <c r="BE99" i="12"/>
  <c r="BF99" i="12" s="1"/>
  <c r="BE91" i="12"/>
  <c r="BF91" i="12" s="1"/>
  <c r="BE39" i="12"/>
  <c r="BF39" i="12" s="1"/>
  <c r="BE97" i="12"/>
  <c r="BF97" i="12" s="1"/>
  <c r="BE88" i="12"/>
  <c r="BF88" i="12" s="1"/>
  <c r="BE37" i="12"/>
  <c r="BF37" i="12" s="1"/>
  <c r="BE89" i="12"/>
  <c r="BF89" i="12" s="1"/>
  <c r="BE96" i="12"/>
  <c r="BF96" i="12" s="1"/>
  <c r="BE45" i="12"/>
  <c r="BF45" i="12" s="1"/>
  <c r="BE33" i="12"/>
  <c r="BF33" i="12" s="1"/>
  <c r="BE38" i="12"/>
  <c r="BF38" i="12" s="1"/>
  <c r="BE95" i="12"/>
  <c r="BF95" i="12" s="1"/>
  <c r="BE44" i="12"/>
  <c r="BF44" i="12" s="1"/>
  <c r="BE94" i="12"/>
  <c r="BF94" i="12" s="1"/>
  <c r="BE42" i="12"/>
  <c r="BF42" i="12" s="1"/>
  <c r="BE98" i="12"/>
  <c r="BF98" i="12" s="1"/>
  <c r="BE101" i="12"/>
  <c r="BF101" i="12" s="1"/>
  <c r="BE93" i="12"/>
  <c r="BF93" i="12" s="1"/>
  <c r="BE41" i="12"/>
  <c r="BF41" i="12" s="1"/>
  <c r="BE92" i="12"/>
  <c r="BF92" i="12" s="1"/>
  <c r="FB154" i="39"/>
  <c r="DC159" i="39"/>
  <c r="DK159" i="39"/>
  <c r="DI159" i="39"/>
  <c r="DD159" i="39"/>
  <c r="DL159" i="39"/>
  <c r="DE159" i="39"/>
  <c r="DM159" i="39"/>
  <c r="DF159" i="39"/>
  <c r="DB159" i="39"/>
  <c r="DG159" i="39"/>
  <c r="DH159" i="39"/>
  <c r="DJ159" i="39"/>
  <c r="GD161" i="39"/>
  <c r="GJ161" i="39" s="1"/>
  <c r="FB161" i="39"/>
  <c r="GE156" i="39"/>
  <c r="FP156" i="39"/>
  <c r="GE157" i="39"/>
  <c r="FP157" i="39"/>
  <c r="DT156" i="39"/>
  <c r="DR156" i="39"/>
  <c r="DZ156" i="39"/>
  <c r="DU156" i="39"/>
  <c r="DV156" i="39"/>
  <c r="DO156" i="39"/>
  <c r="DW156" i="39"/>
  <c r="DP156" i="39"/>
  <c r="DX156" i="39"/>
  <c r="DQ156" i="39"/>
  <c r="DY156" i="39"/>
  <c r="DS156" i="39"/>
  <c r="FB160" i="39"/>
  <c r="GD160" i="39"/>
  <c r="GE163" i="39"/>
  <c r="FP163" i="39"/>
  <c r="DC161" i="39"/>
  <c r="DK161" i="39"/>
  <c r="DI161" i="39"/>
  <c r="DB161" i="39"/>
  <c r="DD161" i="39"/>
  <c r="DL161" i="39"/>
  <c r="DE161" i="39"/>
  <c r="DM161" i="39"/>
  <c r="DF161" i="39"/>
  <c r="DJ161" i="39"/>
  <c r="DG161" i="39"/>
  <c r="DH161" i="39"/>
  <c r="GD159" i="39"/>
  <c r="FB159" i="39"/>
  <c r="GE162" i="39"/>
  <c r="FP162" i="39"/>
  <c r="DC158" i="39"/>
  <c r="DK158" i="39"/>
  <c r="DI158" i="39"/>
  <c r="DD158" i="39"/>
  <c r="DL158" i="39"/>
  <c r="DJ158" i="39"/>
  <c r="DE158" i="39"/>
  <c r="DM158" i="39"/>
  <c r="DF158" i="39"/>
  <c r="DG158" i="39"/>
  <c r="DH158" i="39"/>
  <c r="DB158" i="39"/>
  <c r="GD158" i="39"/>
  <c r="FB158" i="39"/>
  <c r="GE161" i="39"/>
  <c r="FP161" i="39"/>
  <c r="GO163" i="39"/>
  <c r="GP163" i="39" s="1"/>
  <c r="GT163" i="39" s="1"/>
  <c r="FB157" i="39"/>
  <c r="GD157" i="39"/>
  <c r="GE160" i="39"/>
  <c r="FP160" i="39"/>
  <c r="FB162" i="39"/>
  <c r="GD162" i="39"/>
  <c r="DT160" i="39"/>
  <c r="DU160" i="39"/>
  <c r="DS160" i="39"/>
  <c r="DV160" i="39"/>
  <c r="DR160" i="39"/>
  <c r="DO160" i="39"/>
  <c r="DW160" i="39"/>
  <c r="DP160" i="39"/>
  <c r="DX160" i="39"/>
  <c r="DQ160" i="39"/>
  <c r="DY160" i="39"/>
  <c r="DZ160" i="39"/>
  <c r="GD156" i="39"/>
  <c r="FB156" i="39"/>
  <c r="FP159" i="39"/>
  <c r="GE159" i="39"/>
  <c r="DC162" i="39"/>
  <c r="DK162" i="39"/>
  <c r="DI162" i="39"/>
  <c r="DD162" i="39"/>
  <c r="DL162" i="39"/>
  <c r="DB162" i="39"/>
  <c r="DE162" i="39"/>
  <c r="DM162" i="39"/>
  <c r="DF162" i="39"/>
  <c r="DG162" i="39"/>
  <c r="DH162" i="39"/>
  <c r="DJ162" i="39"/>
  <c r="DC163" i="39"/>
  <c r="DK163" i="39"/>
  <c r="DI163" i="39"/>
  <c r="DD163" i="39"/>
  <c r="DL163" i="39"/>
  <c r="DJ163" i="39"/>
  <c r="DE163" i="39"/>
  <c r="DM163" i="39"/>
  <c r="DF163" i="39"/>
  <c r="DB163" i="39"/>
  <c r="DG163" i="39"/>
  <c r="DH163" i="39"/>
  <c r="DC157" i="39"/>
  <c r="DK157" i="39"/>
  <c r="DI157" i="39"/>
  <c r="DD157" i="39"/>
  <c r="DL157" i="39"/>
  <c r="DB157" i="39"/>
  <c r="DE157" i="39"/>
  <c r="DM157" i="39"/>
  <c r="DJ157" i="39"/>
  <c r="DF157" i="39"/>
  <c r="DG157" i="39"/>
  <c r="DH157" i="39"/>
  <c r="GD163" i="39"/>
  <c r="FB163" i="39"/>
  <c r="GE158" i="39"/>
  <c r="FP158" i="39"/>
  <c r="GN148" i="39"/>
  <c r="GD148" i="39"/>
  <c r="FB148" i="39"/>
  <c r="GE148" i="39"/>
  <c r="FP148" i="39"/>
  <c r="FB140" i="39"/>
  <c r="FP140" i="39"/>
  <c r="GD140" i="39"/>
  <c r="GE140" i="39"/>
  <c r="GN140" i="39"/>
  <c r="FB132" i="39"/>
  <c r="FP132" i="39"/>
  <c r="GD132" i="39"/>
  <c r="GE132" i="39"/>
  <c r="GN132" i="39"/>
  <c r="FB125" i="39"/>
  <c r="FP125" i="39"/>
  <c r="GD125" i="39"/>
  <c r="GE125" i="39"/>
  <c r="GN125" i="39"/>
  <c r="GN147" i="39"/>
  <c r="GE147" i="39"/>
  <c r="FB147" i="39"/>
  <c r="FP147" i="39"/>
  <c r="GD147" i="39"/>
  <c r="FB139" i="39"/>
  <c r="FP139" i="39"/>
  <c r="GD139" i="39"/>
  <c r="GE139" i="39"/>
  <c r="GN139" i="39"/>
  <c r="FB131" i="39"/>
  <c r="FP131" i="39"/>
  <c r="GD131" i="39"/>
  <c r="GE131" i="39"/>
  <c r="GN131" i="39"/>
  <c r="FB124" i="39"/>
  <c r="FP124" i="39"/>
  <c r="GD124" i="39"/>
  <c r="GE124" i="39"/>
  <c r="GN124" i="39"/>
  <c r="GN146" i="39"/>
  <c r="FB146" i="39"/>
  <c r="GD146" i="39"/>
  <c r="FP146" i="39"/>
  <c r="GE146" i="39"/>
  <c r="FB138" i="39"/>
  <c r="FP138" i="39"/>
  <c r="FB130" i="39"/>
  <c r="FP130" i="39"/>
  <c r="GD130" i="39"/>
  <c r="GE130" i="39"/>
  <c r="GN130" i="39"/>
  <c r="FB123" i="39"/>
  <c r="FP123" i="39"/>
  <c r="GD123" i="39"/>
  <c r="GE123" i="39"/>
  <c r="GN123" i="39"/>
  <c r="GE153" i="39"/>
  <c r="GN153" i="39"/>
  <c r="FP153" i="39"/>
  <c r="GD153" i="39"/>
  <c r="FB153" i="39"/>
  <c r="GN145" i="39"/>
  <c r="GE145" i="39"/>
  <c r="FB145" i="39"/>
  <c r="FP145" i="39"/>
  <c r="GD145" i="39"/>
  <c r="FB137" i="39"/>
  <c r="FP137" i="39"/>
  <c r="GE137" i="39"/>
  <c r="GD137" i="39"/>
  <c r="GN137" i="39"/>
  <c r="FB129" i="39"/>
  <c r="FP129" i="39"/>
  <c r="GD129" i="39"/>
  <c r="GE129" i="39"/>
  <c r="GN129" i="39"/>
  <c r="FB122" i="39"/>
  <c r="FP122" i="39"/>
  <c r="GD122" i="39"/>
  <c r="GE122" i="39"/>
  <c r="GN122" i="39"/>
  <c r="GO122" i="39" s="1" a="1"/>
  <c r="GO122" i="39" s="1"/>
  <c r="GN152" i="39"/>
  <c r="GD152" i="39"/>
  <c r="FB152" i="39"/>
  <c r="FP152" i="39"/>
  <c r="GE152" i="39"/>
  <c r="GN144" i="39"/>
  <c r="FB144" i="39"/>
  <c r="FP144" i="39"/>
  <c r="GD144" i="39"/>
  <c r="GE144" i="39"/>
  <c r="GK144" i="39" s="1"/>
  <c r="GN136" i="39"/>
  <c r="FB136" i="39"/>
  <c r="FP136" i="39"/>
  <c r="GD136" i="39"/>
  <c r="GE136" i="39"/>
  <c r="FB128" i="39"/>
  <c r="FP128" i="39"/>
  <c r="GD128" i="39"/>
  <c r="GE128" i="39"/>
  <c r="GN128" i="39"/>
  <c r="GO128" i="39" s="1" a="1"/>
  <c r="GO128" i="39" s="1"/>
  <c r="FB121" i="39"/>
  <c r="FP121" i="39"/>
  <c r="GD121" i="39"/>
  <c r="GE121" i="39"/>
  <c r="GK121" i="39" s="1"/>
  <c r="GN121" i="39"/>
  <c r="GO121" i="39" s="1" a="1"/>
  <c r="GO121" i="39" s="1"/>
  <c r="GN151" i="39"/>
  <c r="GE151" i="39"/>
  <c r="GK151" i="39" s="1"/>
  <c r="FB151" i="39"/>
  <c r="FP151" i="39"/>
  <c r="GD151" i="39"/>
  <c r="FB143" i="39"/>
  <c r="FP143" i="39"/>
  <c r="GD143" i="39"/>
  <c r="GE143" i="39"/>
  <c r="GN143" i="39"/>
  <c r="FB135" i="39"/>
  <c r="FP135" i="39"/>
  <c r="GD135" i="39"/>
  <c r="GN135" i="39"/>
  <c r="GE135" i="39"/>
  <c r="FB127" i="39"/>
  <c r="FP127" i="39"/>
  <c r="GD127" i="39"/>
  <c r="GE127" i="39"/>
  <c r="GN127" i="39"/>
  <c r="FB120" i="39"/>
  <c r="FP120" i="39"/>
  <c r="GD120" i="39"/>
  <c r="GE120" i="39"/>
  <c r="GN120" i="39"/>
  <c r="GO120" i="39" s="1" a="1"/>
  <c r="GO120" i="39" s="1"/>
  <c r="GN150" i="39"/>
  <c r="FB150" i="39"/>
  <c r="GD150" i="39"/>
  <c r="FP150" i="39"/>
  <c r="GE150" i="39"/>
  <c r="GN142" i="39"/>
  <c r="FB142" i="39"/>
  <c r="FP142" i="39"/>
  <c r="GD142" i="39"/>
  <c r="GE142" i="39"/>
  <c r="FB134" i="39"/>
  <c r="FP134" i="39"/>
  <c r="GD134" i="39"/>
  <c r="GN134" i="39"/>
  <c r="GE134" i="39"/>
  <c r="FP119" i="39"/>
  <c r="FB119" i="39"/>
  <c r="GD119" i="39"/>
  <c r="GE119" i="39"/>
  <c r="GN119" i="39"/>
  <c r="GO119" i="39" s="1" a="1"/>
  <c r="GO119" i="39" s="1"/>
  <c r="GN149" i="39"/>
  <c r="GD149" i="39"/>
  <c r="GE149" i="39"/>
  <c r="FB149" i="39"/>
  <c r="FP149" i="39"/>
  <c r="FB141" i="39"/>
  <c r="FP141" i="39"/>
  <c r="GD141" i="39"/>
  <c r="GE141" i="39"/>
  <c r="GN141" i="39"/>
  <c r="FB133" i="39"/>
  <c r="FP133" i="39"/>
  <c r="GD133" i="39"/>
  <c r="GE133" i="39"/>
  <c r="GN133" i="39"/>
  <c r="FP118" i="39"/>
  <c r="GD118" i="39"/>
  <c r="GE118" i="39"/>
  <c r="GN118" i="39"/>
  <c r="FB118" i="39"/>
  <c r="GE155" i="39"/>
  <c r="FP155" i="39"/>
  <c r="DF155" i="39"/>
  <c r="DG155" i="39"/>
  <c r="DH155" i="39"/>
  <c r="DE155" i="39"/>
  <c r="DI155" i="39"/>
  <c r="DB155" i="39"/>
  <c r="DJ155" i="39"/>
  <c r="DC155" i="39"/>
  <c r="DK155" i="39"/>
  <c r="DM155" i="39"/>
  <c r="DD155" i="39"/>
  <c r="DL155" i="39"/>
  <c r="GD155" i="39"/>
  <c r="FB155" i="39"/>
  <c r="DA84" i="39" a="1"/>
  <c r="DA84" i="39" s="1"/>
  <c r="DA76" i="39" a="1"/>
  <c r="DA76" i="39" s="1"/>
  <c r="DA66" i="39" a="1"/>
  <c r="DA66" i="39" s="1"/>
  <c r="DA57" i="39" a="1"/>
  <c r="DA57" i="39" s="1"/>
  <c r="DA46" i="39" a="1"/>
  <c r="DA46" i="39" s="1"/>
  <c r="DA36" i="39" a="1"/>
  <c r="DA36" i="39" s="1"/>
  <c r="DA26" i="39" a="1"/>
  <c r="DA26" i="39" s="1"/>
  <c r="DA14" i="39" a="1"/>
  <c r="DA14" i="39" s="1"/>
  <c r="DA83" i="39" a="1"/>
  <c r="DA83" i="39" s="1"/>
  <c r="DA75" i="39" a="1"/>
  <c r="DA75" i="39" s="1"/>
  <c r="DA65" i="39" a="1"/>
  <c r="DA65" i="39" s="1"/>
  <c r="DA56" i="39" a="1"/>
  <c r="DA56" i="39" s="1"/>
  <c r="DA45" i="39" a="1"/>
  <c r="DA45" i="39" s="1"/>
  <c r="DA35" i="39" a="1"/>
  <c r="DA35" i="39" s="1"/>
  <c r="DA25" i="39" a="1"/>
  <c r="DA25" i="39" s="1"/>
  <c r="DA13" i="39" a="1"/>
  <c r="DA13" i="39" s="1"/>
  <c r="DA82" i="39" a="1"/>
  <c r="DA82" i="39" s="1"/>
  <c r="DA74" i="39" a="1"/>
  <c r="DA74" i="39" s="1"/>
  <c r="DA64" i="39" a="1"/>
  <c r="DA64" i="39" s="1"/>
  <c r="DA54" i="39" a="1"/>
  <c r="DA54" i="39" s="1"/>
  <c r="DA44" i="39" a="1"/>
  <c r="DA44" i="39" s="1"/>
  <c r="DA33" i="39" a="1"/>
  <c r="DA33" i="39" s="1"/>
  <c r="DA24" i="39" a="1"/>
  <c r="DA24" i="39" s="1"/>
  <c r="DA12" i="39" a="1"/>
  <c r="DA12" i="39" s="1"/>
  <c r="DA81" i="39" a="1"/>
  <c r="DA81" i="39" s="1"/>
  <c r="DA73" i="39" a="1"/>
  <c r="DA73" i="39" s="1"/>
  <c r="DA62" i="39" a="1"/>
  <c r="DA62" i="39" s="1"/>
  <c r="DA53" i="39" a="1"/>
  <c r="DA53" i="39" s="1"/>
  <c r="DA43" i="39" a="1"/>
  <c r="DA43" i="39" s="1"/>
  <c r="DA32" i="39" a="1"/>
  <c r="DA32" i="39" s="1"/>
  <c r="DA23" i="39" a="1"/>
  <c r="DA23" i="39" s="1"/>
  <c r="DA10" i="39" a="1"/>
  <c r="DA10" i="39" s="1"/>
  <c r="DA80" i="39" a="1"/>
  <c r="DA80" i="39" s="1"/>
  <c r="DA72" i="39" a="1"/>
  <c r="DA72" i="39" s="1"/>
  <c r="DA61" i="39" a="1"/>
  <c r="DA61" i="39" s="1"/>
  <c r="DA52" i="39" a="1"/>
  <c r="DA52" i="39" s="1"/>
  <c r="DA42" i="39" a="1"/>
  <c r="DA42" i="39" s="1"/>
  <c r="DA31" i="39" a="1"/>
  <c r="DA31" i="39" s="1"/>
  <c r="DA21" i="39" a="1"/>
  <c r="DA21" i="39" s="1"/>
  <c r="DA79" i="39" a="1"/>
  <c r="DA79" i="39" s="1"/>
  <c r="DA70" i="39" a="1"/>
  <c r="DA70" i="39" s="1"/>
  <c r="DA60" i="39" a="1"/>
  <c r="DA60" i="39" s="1"/>
  <c r="DA50" i="39" a="1"/>
  <c r="DA50" i="39" s="1"/>
  <c r="DA41" i="39" a="1"/>
  <c r="DA41" i="39" s="1"/>
  <c r="DA29" i="39" a="1"/>
  <c r="DA29" i="39" s="1"/>
  <c r="DA20" i="39" a="1"/>
  <c r="DA20" i="39" s="1"/>
  <c r="DA78" i="39" a="1"/>
  <c r="DA78" i="39" s="1"/>
  <c r="DA69" i="39" a="1"/>
  <c r="DA69" i="39" s="1"/>
  <c r="DA59" i="39" a="1"/>
  <c r="DA59" i="39" s="1"/>
  <c r="DA49" i="39" a="1"/>
  <c r="DA49" i="39" s="1"/>
  <c r="DA40" i="39" a="1"/>
  <c r="DA40" i="39" s="1"/>
  <c r="DA28" i="39" a="1"/>
  <c r="DA28" i="39" s="1"/>
  <c r="DA19" i="39" a="1"/>
  <c r="DA19" i="39" s="1"/>
  <c r="DA77" i="39" a="1"/>
  <c r="DA77" i="39" s="1"/>
  <c r="DA68" i="39" a="1"/>
  <c r="DA68" i="39" s="1"/>
  <c r="DA58" i="39" a="1"/>
  <c r="DA58" i="39" s="1"/>
  <c r="DA48" i="39" a="1"/>
  <c r="DA48" i="39" s="1"/>
  <c r="DA37" i="39" a="1"/>
  <c r="DA37" i="39" s="1"/>
  <c r="DA27" i="39" a="1"/>
  <c r="DA27" i="39" s="1"/>
  <c r="DA17" i="39" a="1"/>
  <c r="DA17" i="39" s="1"/>
  <c r="GO138" i="39" a="1"/>
  <c r="GO138" i="39" s="1"/>
  <c r="GP138" i="39" s="1"/>
  <c r="GT138" i="39" s="1"/>
  <c r="DQ118" i="39"/>
  <c r="DD119" i="39"/>
  <c r="DQ119" i="39"/>
  <c r="DL121" i="39"/>
  <c r="DL122" i="39"/>
  <c r="DY122" i="39"/>
  <c r="DL123" i="39"/>
  <c r="DY125" i="39"/>
  <c r="DH128" i="39"/>
  <c r="DY128" i="39"/>
  <c r="DH129" i="39"/>
  <c r="DW129" i="39"/>
  <c r="DF130" i="39"/>
  <c r="DV130" i="39"/>
  <c r="DL131" i="39"/>
  <c r="DD132" i="39"/>
  <c r="DZ132" i="39"/>
  <c r="DO133" i="39"/>
  <c r="DM134" i="39"/>
  <c r="DL136" i="39"/>
  <c r="DD137" i="39"/>
  <c r="DQ137" i="39"/>
  <c r="DD139" i="39"/>
  <c r="DD140" i="39"/>
  <c r="DZ140" i="39"/>
  <c r="DO141" i="39"/>
  <c r="DM142" i="39"/>
  <c r="DL145" i="39"/>
  <c r="DY145" i="39"/>
  <c r="DQ147" i="39"/>
  <c r="DC148" i="39"/>
  <c r="DL148" i="39"/>
  <c r="DV148" i="39"/>
  <c r="DD149" i="39"/>
  <c r="DS149" i="39"/>
  <c r="DR150" i="39"/>
  <c r="DP151" i="39"/>
  <c r="DC152" i="39"/>
  <c r="DL152" i="39"/>
  <c r="DV152" i="39"/>
  <c r="DD153" i="39"/>
  <c r="DU153" i="39"/>
  <c r="DV123" i="39"/>
  <c r="DS129" i="39"/>
  <c r="DJ145" i="39"/>
  <c r="DP149" i="39"/>
  <c r="DD118" i="39"/>
  <c r="DU118" i="39"/>
  <c r="DE119" i="39"/>
  <c r="DS119" i="39"/>
  <c r="DQ121" i="39"/>
  <c r="DO122" i="39"/>
  <c r="DM123" i="39"/>
  <c r="DZ125" i="39"/>
  <c r="DI128" i="39"/>
  <c r="DZ128" i="39"/>
  <c r="DJ129" i="39"/>
  <c r="DX129" i="39"/>
  <c r="DH130" i="39"/>
  <c r="DY130" i="39"/>
  <c r="DQ131" i="39"/>
  <c r="DF132" i="39"/>
  <c r="DP133" i="39"/>
  <c r="DR136" i="39"/>
  <c r="DF137" i="39"/>
  <c r="DS137" i="39"/>
  <c r="DK139" i="39"/>
  <c r="DF140" i="39"/>
  <c r="DP141" i="39"/>
  <c r="DB145" i="39"/>
  <c r="DP145" i="39"/>
  <c r="DZ145" i="39"/>
  <c r="DC147" i="39"/>
  <c r="DT147" i="39"/>
  <c r="DD148" i="39"/>
  <c r="DM148" i="39"/>
  <c r="DW148" i="39"/>
  <c r="DG149" i="39"/>
  <c r="DT149" i="39"/>
  <c r="DZ150" i="39"/>
  <c r="DQ151" i="39"/>
  <c r="DD152" i="39"/>
  <c r="DM152" i="39"/>
  <c r="DW152" i="39"/>
  <c r="DH153" i="39"/>
  <c r="DY153" i="39"/>
  <c r="DH122" i="39"/>
  <c r="DU128" i="39"/>
  <c r="DS132" i="39"/>
  <c r="DU144" i="39"/>
  <c r="DJ148" i="39"/>
  <c r="DT152" i="39"/>
  <c r="DF118" i="39"/>
  <c r="DW118" i="39"/>
  <c r="DF119" i="39"/>
  <c r="DU119" i="39"/>
  <c r="DB121" i="39"/>
  <c r="DR121" i="39"/>
  <c r="DB122" i="39"/>
  <c r="DP122" i="39"/>
  <c r="DO123" i="39"/>
  <c r="DC124" i="39"/>
  <c r="DB125" i="39"/>
  <c r="DJ128" i="39"/>
  <c r="DL129" i="39"/>
  <c r="DY129" i="39"/>
  <c r="DL130" i="39"/>
  <c r="DS131" i="39"/>
  <c r="DJ132" i="39"/>
  <c r="DQ133" i="39"/>
  <c r="DW136" i="39"/>
  <c r="DG137" i="39"/>
  <c r="DU137" i="39"/>
  <c r="DQ139" i="39"/>
  <c r="DJ140" i="39"/>
  <c r="DQ141" i="39"/>
  <c r="DC145" i="39"/>
  <c r="DQ145" i="39"/>
  <c r="DF147" i="39"/>
  <c r="DW147" i="39"/>
  <c r="DE148" i="39"/>
  <c r="DO148" i="39"/>
  <c r="DY148" i="39"/>
  <c r="DH149" i="39"/>
  <c r="DU149" i="39"/>
  <c r="DW151" i="39"/>
  <c r="DE152" i="39"/>
  <c r="DO152" i="39"/>
  <c r="DY152" i="39"/>
  <c r="DJ153" i="39"/>
  <c r="DF131" i="39"/>
  <c r="DJ141" i="39"/>
  <c r="DO147" i="39"/>
  <c r="DG118" i="39"/>
  <c r="DX118" i="39"/>
  <c r="DH119" i="39"/>
  <c r="DV119" i="39"/>
  <c r="DD121" i="39"/>
  <c r="DS121" i="39"/>
  <c r="DD122" i="39"/>
  <c r="DQ122" i="39"/>
  <c r="DB123" i="39"/>
  <c r="DQ123" i="39"/>
  <c r="DD124" i="39"/>
  <c r="DD125" i="39"/>
  <c r="DL128" i="39"/>
  <c r="DO129" i="39"/>
  <c r="DM130" i="39"/>
  <c r="DT131" i="39"/>
  <c r="DL132" i="39"/>
  <c r="DB133" i="39"/>
  <c r="DW133" i="39"/>
  <c r="DY136" i="39"/>
  <c r="DH137" i="39"/>
  <c r="DW137" i="39"/>
  <c r="DS139" i="39"/>
  <c r="DL140" i="39"/>
  <c r="DB141" i="39"/>
  <c r="DW141" i="39"/>
  <c r="DF145" i="39"/>
  <c r="DR145" i="39"/>
  <c r="DG147" i="39"/>
  <c r="DX147" i="39"/>
  <c r="DF148" i="39"/>
  <c r="DQ148" i="39"/>
  <c r="DZ148" i="39"/>
  <c r="DJ149" i="39"/>
  <c r="DX149" i="39"/>
  <c r="DX151" i="39"/>
  <c r="DF152" i="39"/>
  <c r="DQ152" i="39"/>
  <c r="DZ152" i="39"/>
  <c r="DK153" i="39"/>
  <c r="DI121" i="39"/>
  <c r="DQ125" i="39"/>
  <c r="DS130" i="39"/>
  <c r="DZ146" i="39"/>
  <c r="DJ152" i="39"/>
  <c r="DH118" i="39"/>
  <c r="DY118" i="39"/>
  <c r="DJ119" i="39"/>
  <c r="DW119" i="39"/>
  <c r="DF121" i="39"/>
  <c r="DU121" i="39"/>
  <c r="DF122" i="39"/>
  <c r="DS122" i="39"/>
  <c r="DD123" i="39"/>
  <c r="DS123" i="39"/>
  <c r="DK124" i="39"/>
  <c r="DJ125" i="39"/>
  <c r="DR128" i="39"/>
  <c r="DB129" i="39"/>
  <c r="DP129" i="39"/>
  <c r="DO130" i="39"/>
  <c r="DC131" i="39"/>
  <c r="DY131" i="39"/>
  <c r="DQ132" i="39"/>
  <c r="DD133" i="39"/>
  <c r="DX133" i="39"/>
  <c r="DZ136" i="39"/>
  <c r="DJ137" i="39"/>
  <c r="DX137" i="39"/>
  <c r="DY139" i="39"/>
  <c r="DQ140" i="39"/>
  <c r="DD141" i="39"/>
  <c r="DX141" i="39"/>
  <c r="DG145" i="39"/>
  <c r="DS145" i="39"/>
  <c r="DI146" i="39"/>
  <c r="DH147" i="39"/>
  <c r="DY147" i="39"/>
  <c r="DH148" i="39"/>
  <c r="DR148" i="39"/>
  <c r="DK149" i="39"/>
  <c r="DY149" i="39"/>
  <c r="DF151" i="39"/>
  <c r="DY151" i="39"/>
  <c r="DH152" i="39"/>
  <c r="DR152" i="39"/>
  <c r="DL153" i="39"/>
  <c r="DO118" i="39"/>
  <c r="DF123" i="39"/>
  <c r="DF129" i="39"/>
  <c r="DO137" i="39"/>
  <c r="DU145" i="39"/>
  <c r="DH151" i="39"/>
  <c r="DL118" i="39"/>
  <c r="DL119" i="39"/>
  <c r="DY119" i="39"/>
  <c r="DH121" i="39"/>
  <c r="DW121" i="39"/>
  <c r="DG122" i="39"/>
  <c r="DU122" i="39"/>
  <c r="DE123" i="39"/>
  <c r="DU123" i="39"/>
  <c r="DQ124" i="39"/>
  <c r="DL125" i="39"/>
  <c r="DS128" i="39"/>
  <c r="DD129" i="39"/>
  <c r="DQ129" i="39"/>
  <c r="DB130" i="39"/>
  <c r="DQ130" i="39"/>
  <c r="DD131" i="39"/>
  <c r="DR132" i="39"/>
  <c r="DH133" i="39"/>
  <c r="DY133" i="39"/>
  <c r="DD136" i="39"/>
  <c r="DL137" i="39"/>
  <c r="DY137" i="39"/>
  <c r="DR140" i="39"/>
  <c r="DH141" i="39"/>
  <c r="DY141" i="39"/>
  <c r="DJ144" i="39"/>
  <c r="DH145" i="39"/>
  <c r="DT145" i="39"/>
  <c r="DR146" i="39"/>
  <c r="DK147" i="39"/>
  <c r="DI148" i="39"/>
  <c r="DS148" i="39"/>
  <c r="DL149" i="39"/>
  <c r="DG151" i="39"/>
  <c r="DI152" i="39"/>
  <c r="DS152" i="39"/>
  <c r="DQ153" i="39"/>
  <c r="DM119" i="39"/>
  <c r="DW122" i="39"/>
  <c r="DD128" i="39"/>
  <c r="DJ133" i="39"/>
  <c r="DS140" i="39"/>
  <c r="DB149" i="39"/>
  <c r="DB153" i="39"/>
  <c r="DP118" i="39"/>
  <c r="DB119" i="39"/>
  <c r="DO119" i="39"/>
  <c r="DJ121" i="39"/>
  <c r="DZ121" i="39"/>
  <c r="DJ122" i="39"/>
  <c r="DX122" i="39"/>
  <c r="DH123" i="39"/>
  <c r="DY123" i="39"/>
  <c r="DY124" i="39"/>
  <c r="DR125" i="39"/>
  <c r="DF128" i="39"/>
  <c r="DW128" i="39"/>
  <c r="DG129" i="39"/>
  <c r="DU129" i="39"/>
  <c r="DE130" i="39"/>
  <c r="DU130" i="39"/>
  <c r="DK131" i="39"/>
  <c r="DB132" i="39"/>
  <c r="DY132" i="39"/>
  <c r="DL133" i="39"/>
  <c r="DJ136" i="39"/>
  <c r="DB137" i="39"/>
  <c r="DP137" i="39"/>
  <c r="DC139" i="39"/>
  <c r="DB140" i="39"/>
  <c r="DY140" i="39"/>
  <c r="DL141" i="39"/>
  <c r="DK145" i="39"/>
  <c r="DX145" i="39"/>
  <c r="DP147" i="39"/>
  <c r="DB148" i="39"/>
  <c r="DK148" i="39"/>
  <c r="DU148" i="39"/>
  <c r="DC149" i="39"/>
  <c r="DQ149" i="39"/>
  <c r="DI150" i="39"/>
  <c r="DO151" i="39"/>
  <c r="DB152" i="39"/>
  <c r="DK152" i="39"/>
  <c r="DU152" i="39"/>
  <c r="DC153" i="39"/>
  <c r="DT153" i="39"/>
  <c r="DY121" i="39"/>
  <c r="DS124" i="39"/>
  <c r="DD130" i="39"/>
  <c r="DI136" i="39"/>
  <c r="DT148" i="39"/>
  <c r="DS153" i="39"/>
  <c r="DJ142" i="39"/>
  <c r="DB150" i="39"/>
  <c r="DE149" i="39"/>
  <c r="DB131" i="39"/>
  <c r="DF134" i="39"/>
  <c r="DV127" i="39"/>
  <c r="DR143" i="39"/>
  <c r="DV151" i="39"/>
  <c r="DI149" i="39"/>
  <c r="DH144" i="39"/>
  <c r="DC141" i="39"/>
  <c r="DU136" i="39"/>
  <c r="DC133" i="39"/>
  <c r="DH127" i="39"/>
  <c r="DE135" i="39"/>
  <c r="DZ135" i="39"/>
  <c r="DZ142" i="39"/>
  <c r="DO150" i="39"/>
  <c r="DZ144" i="39"/>
  <c r="DT140" i="39"/>
  <c r="DF136" i="39"/>
  <c r="DE132" i="39"/>
  <c r="DG125" i="39"/>
  <c r="DY135" i="39"/>
  <c r="DC144" i="39"/>
  <c r="DL134" i="39"/>
  <c r="DY144" i="39"/>
  <c r="DE139" i="39"/>
  <c r="DZ139" i="39"/>
  <c r="DP131" i="39"/>
  <c r="DR124" i="39"/>
  <c r="DI134" i="39"/>
  <c r="DF153" i="39"/>
  <c r="DO149" i="39"/>
  <c r="DW145" i="39"/>
  <c r="DC143" i="39"/>
  <c r="DJ139" i="39"/>
  <c r="DU133" i="39"/>
  <c r="DX130" i="39"/>
  <c r="DB128" i="39"/>
  <c r="DI125" i="39"/>
  <c r="DZ123" i="39"/>
  <c r="DM120" i="39"/>
  <c r="DS144" i="39"/>
  <c r="DV153" i="39"/>
  <c r="DC150" i="39"/>
  <c r="DK146" i="39"/>
  <c r="DU143" i="39"/>
  <c r="DH140" i="39"/>
  <c r="DC137" i="39"/>
  <c r="DQ134" i="39"/>
  <c r="DW130" i="39"/>
  <c r="DE129" i="39"/>
  <c r="DR122" i="39"/>
  <c r="DO120" i="39"/>
  <c r="DL144" i="39"/>
  <c r="DC136" i="39"/>
  <c r="DX136" i="39"/>
  <c r="DM128" i="39"/>
  <c r="DT121" i="39"/>
  <c r="DT119" i="39"/>
  <c r="DI119" i="39"/>
  <c r="DP119" i="39"/>
  <c r="DZ127" i="39"/>
  <c r="DO131" i="39"/>
  <c r="DO146" i="39"/>
  <c r="DY146" i="39"/>
  <c r="DX124" i="39"/>
  <c r="DR120" i="39"/>
  <c r="DO135" i="39"/>
  <c r="DT139" i="39"/>
  <c r="DB118" i="39"/>
  <c r="DG148" i="39"/>
  <c r="DO128" i="39"/>
  <c r="DC120" i="39"/>
  <c r="DG127" i="39"/>
  <c r="DL142" i="39"/>
  <c r="DM151" i="39"/>
  <c r="DV147" i="39"/>
  <c r="DZ143" i="39"/>
  <c r="DK141" i="39"/>
  <c r="DH136" i="39"/>
  <c r="DK133" i="39"/>
  <c r="DM135" i="39"/>
  <c r="DY120" i="39"/>
  <c r="DC142" i="39"/>
  <c r="DF150" i="39"/>
  <c r="DQ144" i="39"/>
  <c r="DE140" i="39"/>
  <c r="DT135" i="39"/>
  <c r="DM132" i="39"/>
  <c r="DP125" i="39"/>
  <c r="DK135" i="39"/>
  <c r="DK144" i="39"/>
  <c r="DW127" i="39"/>
  <c r="DP144" i="39"/>
  <c r="DM139" i="39"/>
  <c r="DS135" i="39"/>
  <c r="DX131" i="39"/>
  <c r="DE124" i="39"/>
  <c r="DZ124" i="39"/>
  <c r="DR134" i="39"/>
  <c r="DS151" i="39"/>
  <c r="DF149" i="39"/>
  <c r="DO145" i="39"/>
  <c r="DS142" i="39"/>
  <c r="DT138" i="39"/>
  <c r="DG133" i="39"/>
  <c r="DI130" i="39"/>
  <c r="DQ127" i="39"/>
  <c r="DW124" i="39"/>
  <c r="DC123" i="39"/>
  <c r="DV120" i="39"/>
  <c r="DT151" i="39"/>
  <c r="DM153" i="39"/>
  <c r="DV149" i="39"/>
  <c r="DC146" i="39"/>
  <c r="DK143" i="39"/>
  <c r="DU139" i="39"/>
  <c r="DK137" i="39"/>
  <c r="DD134" i="39"/>
  <c r="DJ130" i="39"/>
  <c r="DM129" i="39"/>
  <c r="DU125" i="39"/>
  <c r="DZ122" i="39"/>
  <c r="DB120" i="39"/>
  <c r="DB144" i="39"/>
  <c r="DK136" i="39"/>
  <c r="DL135" i="39"/>
  <c r="DV128" i="39"/>
  <c r="DE121" i="39"/>
  <c r="DK119" i="39"/>
  <c r="DT118" i="39"/>
  <c r="DZ118" i="39"/>
  <c r="DG146" i="39"/>
  <c r="DI135" i="39"/>
  <c r="DK132" i="39"/>
  <c r="DU142" i="39"/>
  <c r="DD150" i="39"/>
  <c r="DM144" i="39"/>
  <c r="DJ123" i="39"/>
  <c r="DC121" i="39"/>
  <c r="DI147" i="39"/>
  <c r="DO140" i="39"/>
  <c r="DO125" i="39"/>
  <c r="DP127" i="39"/>
  <c r="DE151" i="39"/>
  <c r="DM147" i="39"/>
  <c r="DQ143" i="39"/>
  <c r="DT141" i="39"/>
  <c r="DU135" i="39"/>
  <c r="DT133" i="39"/>
  <c r="DV135" i="39"/>
  <c r="DQ146" i="39"/>
  <c r="DK142" i="39"/>
  <c r="DU147" i="39"/>
  <c r="DY143" i="39"/>
  <c r="DM140" i="39"/>
  <c r="DF135" i="39"/>
  <c r="DV132" i="39"/>
  <c r="DC125" i="39"/>
  <c r="DX125" i="39"/>
  <c r="DY127" i="39"/>
  <c r="DT144" i="39"/>
  <c r="DJ127" i="39"/>
  <c r="DF144" i="39"/>
  <c r="DV139" i="39"/>
  <c r="DD135" i="39"/>
  <c r="DI131" i="39"/>
  <c r="DM124" i="39"/>
  <c r="DS120" i="39"/>
  <c r="DZ134" i="39"/>
  <c r="DJ151" i="39"/>
  <c r="DS147" i="39"/>
  <c r="DE145" i="39"/>
  <c r="DE142" i="39"/>
  <c r="DQ136" i="39"/>
  <c r="DW132" i="39"/>
  <c r="DR130" i="39"/>
  <c r="DC127" i="39"/>
  <c r="DJ124" i="39"/>
  <c r="DK123" i="39"/>
  <c r="DG120" i="39"/>
  <c r="DK151" i="39"/>
  <c r="DX152" i="39"/>
  <c r="DM149" i="39"/>
  <c r="DV145" i="39"/>
  <c r="DB143" i="39"/>
  <c r="DH139" i="39"/>
  <c r="DT137" i="39"/>
  <c r="DS133" i="39"/>
  <c r="DI129" i="39"/>
  <c r="DV129" i="39"/>
  <c r="DH125" i="39"/>
  <c r="DC122" i="39"/>
  <c r="DQ150" i="39"/>
  <c r="DT143" i="39"/>
  <c r="DT136" i="39"/>
  <c r="DO134" i="39"/>
  <c r="DG128" i="39"/>
  <c r="DS125" i="39"/>
  <c r="DM121" i="39"/>
  <c r="DC119" i="39"/>
  <c r="DK118" i="39"/>
  <c r="DR118" i="39"/>
  <c r="DI151" i="39"/>
  <c r="DE127" i="39"/>
  <c r="DR133" i="39"/>
  <c r="DC140" i="39"/>
  <c r="DV146" i="39"/>
  <c r="DW153" i="39"/>
  <c r="DG130" i="39"/>
  <c r="DT150" i="39"/>
  <c r="DU131" i="39"/>
  <c r="DG136" i="39"/>
  <c r="DI145" i="39"/>
  <c r="DL139" i="39"/>
  <c r="DL124" i="39"/>
  <c r="DX127" i="39"/>
  <c r="DW120" i="39"/>
  <c r="DX150" i="39"/>
  <c r="DE147" i="39"/>
  <c r="DG143" i="39"/>
  <c r="DE141" i="39"/>
  <c r="DW134" i="39"/>
  <c r="DE133" i="39"/>
  <c r="DG135" i="39"/>
  <c r="DG142" i="39"/>
  <c r="DT142" i="39"/>
  <c r="DL147" i="39"/>
  <c r="DP143" i="39"/>
  <c r="DV140" i="39"/>
  <c r="DV134" i="39"/>
  <c r="DG132" i="39"/>
  <c r="DK125" i="39"/>
  <c r="DT120" i="39"/>
  <c r="DK127" i="39"/>
  <c r="DH143" i="39"/>
  <c r="DX153" i="39"/>
  <c r="DX143" i="39"/>
  <c r="DG139" i="39"/>
  <c r="DU134" i="39"/>
  <c r="DR131" i="39"/>
  <c r="DV124" i="39"/>
  <c r="DD120" i="39"/>
  <c r="DC134" i="39"/>
  <c r="DB151" i="39"/>
  <c r="DJ147" i="39"/>
  <c r="DX144" i="39"/>
  <c r="DU141" i="39"/>
  <c r="DB136" i="39"/>
  <c r="DI132" i="39"/>
  <c r="DZ130" i="39"/>
  <c r="DG123" i="39"/>
  <c r="DT123" i="39"/>
  <c r="DP120" i="39"/>
  <c r="DC151" i="39"/>
  <c r="DP152" i="39"/>
  <c r="DX148" i="39"/>
  <c r="DM145" i="39"/>
  <c r="DQ142" i="39"/>
  <c r="DE137" i="39"/>
  <c r="DF133" i="39"/>
  <c r="DR129" i="39"/>
  <c r="DO127" i="39"/>
  <c r="DU124" i="39"/>
  <c r="DK122" i="39"/>
  <c r="DS150" i="39"/>
  <c r="DJ143" i="39"/>
  <c r="DE136" i="39"/>
  <c r="DB134" i="39"/>
  <c r="DP128" i="39"/>
  <c r="DF125" i="39"/>
  <c r="DV121" i="39"/>
  <c r="DV118" i="39"/>
  <c r="DC118" i="39"/>
  <c r="DZ149" i="39"/>
  <c r="DU120" i="39"/>
  <c r="DT127" i="39"/>
  <c r="DI139" i="39"/>
  <c r="DW143" i="39"/>
  <c r="DI123" i="39"/>
  <c r="DF141" i="39"/>
  <c r="DM122" i="39"/>
  <c r="DX121" i="39"/>
  <c r="DI118" i="39"/>
  <c r="DO132" i="39"/>
  <c r="DG144" i="39"/>
  <c r="DF143" i="39"/>
  <c r="DO121" i="39"/>
  <c r="DI127" i="39"/>
  <c r="DJ120" i="39"/>
  <c r="DP150" i="39"/>
  <c r="DX146" i="39"/>
  <c r="DW142" i="39"/>
  <c r="DM141" i="39"/>
  <c r="DJ134" i="39"/>
  <c r="DM133" i="39"/>
  <c r="DO124" i="39"/>
  <c r="DP135" i="39"/>
  <c r="DP142" i="39"/>
  <c r="DU151" i="39"/>
  <c r="DD147" i="39"/>
  <c r="DV142" i="39"/>
  <c r="DG140" i="39"/>
  <c r="DH134" i="39"/>
  <c r="DP132" i="39"/>
  <c r="DT125" i="39"/>
  <c r="DF120" i="39"/>
  <c r="DY150" i="39"/>
  <c r="DY142" i="39"/>
  <c r="DP153" i="39"/>
  <c r="DO143" i="39"/>
  <c r="DP139" i="39"/>
  <c r="DE131" i="39"/>
  <c r="DZ131" i="39"/>
  <c r="DG124" i="39"/>
  <c r="DK120" i="39"/>
  <c r="DK134" i="39"/>
  <c r="DU150" i="39"/>
  <c r="DB147" i="39"/>
  <c r="DO144" i="39"/>
  <c r="DG141" i="39"/>
  <c r="DQ135" i="39"/>
  <c r="DW131" i="39"/>
  <c r="DC130" i="39"/>
  <c r="DP123" i="39"/>
  <c r="DQ120" i="39"/>
  <c r="DX120" i="39"/>
  <c r="DV150" i="39"/>
  <c r="DZ151" i="39"/>
  <c r="DP148" i="39"/>
  <c r="DD145" i="39"/>
  <c r="DD142" i="39"/>
  <c r="DM137" i="39"/>
  <c r="DU132" i="39"/>
  <c r="DZ129" i="39"/>
  <c r="DB127" i="39"/>
  <c r="DH124" i="39"/>
  <c r="DT122" i="39"/>
  <c r="DJ150" i="39"/>
  <c r="DO142" i="39"/>
  <c r="DM136" i="39"/>
  <c r="DC128" i="39"/>
  <c r="DX128" i="39"/>
  <c r="DT124" i="39"/>
  <c r="DG121" i="39"/>
  <c r="DM118" i="39"/>
  <c r="DS118" i="39"/>
  <c r="DR153" i="39"/>
  <c r="DX140" i="39"/>
  <c r="DJ135" i="39"/>
  <c r="DP134" i="39"/>
  <c r="DS134" i="39"/>
  <c r="DE150" i="39"/>
  <c r="DK129" i="39"/>
  <c r="DG119" i="39"/>
  <c r="DO136" i="39"/>
  <c r="DH135" i="39"/>
  <c r="DR127" i="39"/>
  <c r="DZ153" i="39"/>
  <c r="DG150" i="39"/>
  <c r="DP146" i="39"/>
  <c r="DI141" i="39"/>
  <c r="DV141" i="39"/>
  <c r="DI133" i="39"/>
  <c r="DV133" i="39"/>
  <c r="DB124" i="39"/>
  <c r="DX135" i="39"/>
  <c r="DX142" i="39"/>
  <c r="DL151" i="39"/>
  <c r="DW146" i="39"/>
  <c r="DH142" i="39"/>
  <c r="DP140" i="39"/>
  <c r="DC132" i="39"/>
  <c r="DX132" i="39"/>
  <c r="DE125" i="39"/>
  <c r="DE143" i="39"/>
  <c r="DH150" i="39"/>
  <c r="DW135" i="39"/>
  <c r="DG153" i="39"/>
  <c r="DD143" i="39"/>
  <c r="DX139" i="39"/>
  <c r="DM131" i="39"/>
  <c r="DS127" i="39"/>
  <c r="DP124" i="39"/>
  <c r="DG134" i="39"/>
  <c r="DT134" i="39"/>
  <c r="DL150" i="39"/>
  <c r="DU146" i="39"/>
  <c r="DE144" i="39"/>
  <c r="DW140" i="39"/>
  <c r="DC135" i="39"/>
  <c r="DJ131" i="39"/>
  <c r="DK130" i="39"/>
  <c r="DX123" i="39"/>
  <c r="DS143" i="39"/>
  <c r="DI120" i="39"/>
  <c r="DM150" i="39"/>
  <c r="DR151" i="39"/>
  <c r="DZ147" i="39"/>
  <c r="DW144" i="39"/>
  <c r="DS141" i="39"/>
  <c r="DI137" i="39"/>
  <c r="DV137" i="39"/>
  <c r="DH132" i="39"/>
  <c r="DC129" i="39"/>
  <c r="DW123" i="39"/>
  <c r="DE122" i="39"/>
  <c r="DS146" i="39"/>
  <c r="DB142" i="39"/>
  <c r="DV136" i="39"/>
  <c r="DK128" i="39"/>
  <c r="DL127" i="39"/>
  <c r="DF124" i="39"/>
  <c r="DP121" i="39"/>
  <c r="DE118" i="39"/>
  <c r="DJ118" i="39"/>
  <c r="DO139" i="39"/>
  <c r="DD151" i="39"/>
  <c r="DM143" i="39"/>
  <c r="DD127" i="39"/>
  <c r="DI140" i="39"/>
  <c r="DI143" i="39"/>
  <c r="DR137" i="39"/>
  <c r="DJ146" i="39"/>
  <c r="DZ119" i="39"/>
  <c r="DG152" i="39"/>
  <c r="DE153" i="39"/>
  <c r="DB146" i="39"/>
  <c r="DM127" i="39"/>
  <c r="DI144" i="39"/>
  <c r="DI153" i="39"/>
  <c r="DR149" i="39"/>
  <c r="DR144" i="39"/>
  <c r="DZ141" i="39"/>
  <c r="DB139" i="39"/>
  <c r="DZ133" i="39"/>
  <c r="DU127" i="39"/>
  <c r="DH120" i="39"/>
  <c r="DR135" i="39"/>
  <c r="DR142" i="39"/>
  <c r="DW150" i="39"/>
  <c r="DF146" i="39"/>
  <c r="DK140" i="39"/>
  <c r="DS136" i="39"/>
  <c r="DT132" i="39"/>
  <c r="DF127" i="39"/>
  <c r="DV125" i="39"/>
  <c r="DV143" i="39"/>
  <c r="DH146" i="39"/>
  <c r="DY134" i="39"/>
  <c r="DM146" i="39"/>
  <c r="DF142" i="39"/>
  <c r="DR139" i="39"/>
  <c r="DG131" i="39"/>
  <c r="DI124" i="39"/>
  <c r="DX134" i="39"/>
  <c r="DO153" i="39"/>
  <c r="DW149" i="39"/>
  <c r="DD146" i="39"/>
  <c r="DL143" i="39"/>
  <c r="DW139" i="39"/>
  <c r="DE134" i="39"/>
  <c r="DP130" i="39"/>
  <c r="DQ128" i="39"/>
  <c r="DW125" i="39"/>
  <c r="DR123" i="39"/>
  <c r="DE120" i="39"/>
  <c r="DZ120" i="39"/>
  <c r="DE146" i="39"/>
  <c r="DK150" i="39"/>
  <c r="DT146" i="39"/>
  <c r="DD144" i="39"/>
  <c r="DU140" i="39"/>
  <c r="DZ137" i="39"/>
  <c r="DB135" i="39"/>
  <c r="DH131" i="39"/>
  <c r="DT129" i="39"/>
  <c r="DI122" i="39"/>
  <c r="DV122" i="39"/>
  <c r="DV144" i="39"/>
  <c r="DF139" i="39"/>
  <c r="DP136" i="39"/>
  <c r="DE128" i="39"/>
  <c r="DK121" i="39"/>
  <c r="DL120" i="39"/>
  <c r="DR119" i="39"/>
  <c r="DX119" i="39"/>
  <c r="DR141" i="39"/>
  <c r="DI142" i="39"/>
  <c r="DM125" i="39"/>
  <c r="DV131" i="39"/>
  <c r="DL146" i="39"/>
  <c r="DT130" i="39"/>
  <c r="DR147" i="39"/>
  <c r="DT128" i="39"/>
  <c r="B98" i="32"/>
  <c r="B90" i="32"/>
  <c r="B97" i="32"/>
  <c r="B89" i="32"/>
  <c r="B105" i="32"/>
  <c r="B87" i="32"/>
  <c r="B95" i="32"/>
  <c r="B94" i="32"/>
  <c r="B85" i="32"/>
  <c r="B111" i="32"/>
  <c r="B93" i="32"/>
  <c r="CY11" i="39"/>
  <c r="CZ11" i="39" s="1"/>
  <c r="B7" i="32"/>
  <c r="B101" i="32"/>
  <c r="B83" i="32"/>
  <c r="B109" i="32"/>
  <c r="B99" i="32"/>
  <c r="B91" i="32"/>
  <c r="B81" i="32"/>
  <c r="DA9" i="39" a="1"/>
  <c r="DA9" i="39" s="1"/>
  <c r="BZ14" i="39" a="1"/>
  <c r="BZ14" i="39" s="1"/>
  <c r="CB14" i="39" s="1" a="1"/>
  <c r="CB14" i="39" s="1"/>
  <c r="B112" i="32"/>
  <c r="B110" i="32"/>
  <c r="CB19" i="39" a="1"/>
  <c r="CB19" i="39" s="1"/>
  <c r="CA34" i="39" a="1"/>
  <c r="CA34" i="39" s="1"/>
  <c r="CB26" i="39" a="1"/>
  <c r="CB26" i="39" s="1"/>
  <c r="CB33" i="39" a="1"/>
  <c r="CB33" i="39" s="1"/>
  <c r="CA25" i="39" a="1"/>
  <c r="CA25" i="39" s="1"/>
  <c r="CB17" i="39" a="1"/>
  <c r="CB17" i="39" s="1"/>
  <c r="CA32" i="39" a="1"/>
  <c r="CA32" i="39" s="1"/>
  <c r="CB24" i="39" a="1"/>
  <c r="CB24" i="39" s="1"/>
  <c r="CB16" i="39" a="1"/>
  <c r="CB16" i="39" s="1"/>
  <c r="V79" i="39"/>
  <c r="CB31" i="39" a="1"/>
  <c r="CB31" i="39" s="1"/>
  <c r="CB23" i="39" a="1"/>
  <c r="CB23" i="39" s="1"/>
  <c r="CB15" i="39" a="1"/>
  <c r="CB15" i="39" s="1"/>
  <c r="V77" i="39"/>
  <c r="CA35" i="39" a="1"/>
  <c r="CA35" i="39" s="1"/>
  <c r="V78" i="39"/>
  <c r="CB27" i="39" a="1"/>
  <c r="CB27" i="39" s="1"/>
  <c r="CB29" i="39" a="1"/>
  <c r="CB29" i="39" s="1"/>
  <c r="CB21" i="39" a="1"/>
  <c r="CB21" i="39" s="1"/>
  <c r="V76" i="39"/>
  <c r="CA36" i="39" a="1"/>
  <c r="CA36" i="39" s="1"/>
  <c r="CB28" i="39" a="1"/>
  <c r="CB28" i="39" s="1"/>
  <c r="CA20" i="39" a="1"/>
  <c r="CA20" i="39" s="1"/>
  <c r="R99" i="39"/>
  <c r="P99" i="39"/>
  <c r="CA107" i="39" s="1"/>
  <c r="B106" i="32"/>
  <c r="B88" i="32"/>
  <c r="CZ30" i="39"/>
  <c r="B100" i="32"/>
  <c r="B104" i="32"/>
  <c r="B86" i="32"/>
  <c r="B82" i="32"/>
  <c r="B102" i="32"/>
  <c r="B84" i="32"/>
  <c r="CZ63" i="39"/>
  <c r="CZ47" i="39"/>
  <c r="AX151" i="7" a="1"/>
  <c r="AX151" i="7" s="1"/>
  <c r="AY151" i="7" s="1" a="1"/>
  <c r="AY151" i="7" s="1"/>
  <c r="AX142" i="7" a="1"/>
  <c r="AX142" i="7" s="1"/>
  <c r="AY142" i="7" s="1" a="1"/>
  <c r="AY142" i="7" s="1"/>
  <c r="AX154" i="7" a="1"/>
  <c r="AX154" i="7" s="1"/>
  <c r="AY154" i="7" s="1" a="1"/>
  <c r="AY154" i="7" s="1"/>
  <c r="AX147" i="7" a="1"/>
  <c r="AX147" i="7" s="1"/>
  <c r="AY147" i="7" s="1" a="1"/>
  <c r="AY147" i="7" s="1"/>
  <c r="AX138" i="7" a="1"/>
  <c r="AX138" i="7" s="1"/>
  <c r="AY138" i="7" s="1" a="1"/>
  <c r="AY138" i="7" s="1"/>
  <c r="CZ71" i="39"/>
  <c r="CZ55" i="39"/>
  <c r="CZ38" i="39"/>
  <c r="CZ22" i="39"/>
  <c r="BR67" i="39" a="1"/>
  <c r="BR67" i="39" s="1"/>
  <c r="BR59" i="39" a="1"/>
  <c r="BR59" i="39" s="1"/>
  <c r="BR44" i="39" a="1"/>
  <c r="BR44" i="39" s="1"/>
  <c r="CV44" i="39" s="1" a="1"/>
  <c r="CV44" i="39" s="1"/>
  <c r="AX153" i="7" a="1"/>
  <c r="AX153" i="7" s="1"/>
  <c r="AY153" i="7" s="1" a="1"/>
  <c r="AY153" i="7" s="1"/>
  <c r="AX144" i="7" a="1"/>
  <c r="AX144" i="7" s="1"/>
  <c r="AY144" i="7" s="1" a="1"/>
  <c r="AY144" i="7" s="1"/>
  <c r="CZ67" i="39"/>
  <c r="CZ51" i="39"/>
  <c r="CZ34" i="39"/>
  <c r="CZ18" i="39"/>
  <c r="BR65" i="39" a="1"/>
  <c r="BR65" i="39" s="1"/>
  <c r="CV65" i="39" s="1" a="1"/>
  <c r="CV65" i="39" s="1"/>
  <c r="BR57" i="39" a="1"/>
  <c r="BR57" i="39" s="1"/>
  <c r="BR63" i="39" a="1"/>
  <c r="BR63" i="39" s="1"/>
  <c r="CV63" i="39" s="1" a="1"/>
  <c r="CV63" i="39" s="1"/>
  <c r="BR45" i="39" a="1"/>
  <c r="BR45" i="39" s="1"/>
  <c r="CV45" i="39" s="1" a="1"/>
  <c r="CV45" i="39" s="1"/>
  <c r="AX149" i="7" a="1"/>
  <c r="AX149" i="7" s="1"/>
  <c r="AY149" i="7" s="1" a="1"/>
  <c r="AY149" i="7" s="1"/>
  <c r="AX140" i="7" a="1"/>
  <c r="AX140" i="7" s="1"/>
  <c r="AY140" i="7" s="1" a="1"/>
  <c r="AY140" i="7" s="1"/>
  <c r="BR61" i="39" a="1"/>
  <c r="BR61" i="39" s="1"/>
  <c r="B96" i="32"/>
  <c r="B92" i="32"/>
  <c r="B108" i="32"/>
  <c r="B6" i="32"/>
  <c r="B107" i="32"/>
  <c r="B103" i="32"/>
  <c r="AX150" i="7" a="1"/>
  <c r="AX150" i="7" s="1"/>
  <c r="AY150" i="7" s="1" a="1"/>
  <c r="AY150" i="7" s="1"/>
  <c r="AX146" i="7" a="1"/>
  <c r="AX146" i="7" s="1"/>
  <c r="AY146" i="7" s="1" a="1"/>
  <c r="AY146" i="7" s="1"/>
  <c r="AX143" i="7" a="1"/>
  <c r="AX143" i="7" s="1"/>
  <c r="AY143" i="7" s="1" a="1"/>
  <c r="AY143" i="7" s="1"/>
  <c r="AX139" i="7" a="1"/>
  <c r="AX139" i="7" s="1"/>
  <c r="AY139" i="7" s="1" a="1"/>
  <c r="AY139" i="7" s="1"/>
  <c r="BR66" i="39" a="1"/>
  <c r="BR66" i="39" s="1"/>
  <c r="BR62" i="39" a="1"/>
  <c r="BR62" i="39" s="1"/>
  <c r="BR58" i="39" a="1"/>
  <c r="BR58" i="39" s="1"/>
  <c r="CV58" i="39" s="1" a="1"/>
  <c r="CV58" i="39" s="1"/>
  <c r="BR46" i="39" a="1"/>
  <c r="BR46" i="39" s="1"/>
  <c r="BR48" i="39" a="1"/>
  <c r="BR48" i="39" s="1"/>
  <c r="CV48" i="39" s="1" a="1"/>
  <c r="CV48" i="39" s="1"/>
  <c r="AX155" i="7" a="1"/>
  <c r="AX155" i="7" s="1"/>
  <c r="AY155" i="7" s="1" a="1"/>
  <c r="AY155" i="7" s="1"/>
  <c r="AX152" i="7" a="1"/>
  <c r="AX152" i="7" s="1"/>
  <c r="AY152" i="7" s="1" a="1"/>
  <c r="AY152" i="7" s="1"/>
  <c r="AX148" i="7" a="1"/>
  <c r="AX148" i="7" s="1"/>
  <c r="AY148" i="7" s="1" a="1"/>
  <c r="AY148" i="7" s="1"/>
  <c r="AX145" i="7" a="1"/>
  <c r="AX145" i="7" s="1"/>
  <c r="AY145" i="7" s="1" a="1"/>
  <c r="AY145" i="7" s="1"/>
  <c r="AX141" i="7" a="1"/>
  <c r="AX141" i="7" s="1"/>
  <c r="AY141" i="7" s="1" a="1"/>
  <c r="AY141" i="7" s="1"/>
  <c r="BR68" i="39" a="1"/>
  <c r="BR68" i="39" s="1"/>
  <c r="CV68" i="39" s="1" a="1"/>
  <c r="CV68" i="39" s="1"/>
  <c r="BR64" i="39" a="1"/>
  <c r="BR64" i="39" s="1"/>
  <c r="BR60" i="39" a="1"/>
  <c r="BR60" i="39" s="1"/>
  <c r="BR56" i="39" a="1"/>
  <c r="BR56" i="39" s="1"/>
  <c r="CV56" i="39" s="1" a="1"/>
  <c r="CV56" i="39" s="1"/>
  <c r="BR52" i="39" a="1"/>
  <c r="BR52" i="39" s="1"/>
  <c r="CV52" i="39" s="1" a="1"/>
  <c r="CV52" i="39" s="1"/>
  <c r="CB107" i="39"/>
  <c r="CH104" i="39" s="1"/>
  <c r="II6" i="39" s="1"/>
  <c r="CC107" i="39"/>
  <c r="CI104" i="39" s="1"/>
  <c r="II7" i="39" s="1"/>
  <c r="CD107" i="39"/>
  <c r="CJ104" i="39" s="1"/>
  <c r="II8" i="39" s="1"/>
  <c r="DV154" i="39"/>
  <c r="DS154" i="39"/>
  <c r="DR154" i="39"/>
  <c r="GD154" i="39"/>
  <c r="DZ154" i="39"/>
  <c r="DY154" i="39"/>
  <c r="DU154" i="39"/>
  <c r="DQ154" i="39"/>
  <c r="GE154" i="39"/>
  <c r="GK154" i="39" s="1"/>
  <c r="DX154" i="39"/>
  <c r="DT154" i="39"/>
  <c r="DP154" i="39"/>
  <c r="DO154" i="39"/>
  <c r="DW154" i="39"/>
  <c r="CS81" i="39"/>
  <c r="CQ75" i="39"/>
  <c r="DL138" i="39" s="1"/>
  <c r="CS53" i="39"/>
  <c r="CQ55" i="39"/>
  <c r="CQ67" i="39"/>
  <c r="CS45" i="39"/>
  <c r="CQ47" i="39"/>
  <c r="CQ59" i="39"/>
  <c r="CS85" i="39"/>
  <c r="DU159" i="39" s="1"/>
  <c r="CQ51" i="39"/>
  <c r="CQ63" i="39"/>
  <c r="CS89" i="39"/>
  <c r="DQ163" i="39" s="1"/>
  <c r="CS61" i="39"/>
  <c r="CA21" i="39" a="1"/>
  <c r="CA21" i="39" s="1"/>
  <c r="CA15" i="39" a="1"/>
  <c r="CA15" i="39" s="1"/>
  <c r="CS65" i="39"/>
  <c r="CA16" i="39" a="1"/>
  <c r="CA16" i="39" s="1"/>
  <c r="CS75" i="39"/>
  <c r="DO138" i="39" s="1"/>
  <c r="CQ80" i="39"/>
  <c r="DL154" i="39" s="1"/>
  <c r="CQ86" i="39"/>
  <c r="DI160" i="39" s="1"/>
  <c r="CQ82" i="39"/>
  <c r="DC156" i="39" s="1"/>
  <c r="CQ66" i="39"/>
  <c r="CQ62" i="39"/>
  <c r="CQ58" i="39"/>
  <c r="CQ54" i="39"/>
  <c r="CQ50" i="39"/>
  <c r="CQ46" i="39"/>
  <c r="CS68" i="39"/>
  <c r="CS64" i="39"/>
  <c r="CS60" i="39"/>
  <c r="CS56" i="39"/>
  <c r="CS52" i="39"/>
  <c r="CS48" i="39"/>
  <c r="CS88" i="39"/>
  <c r="DR162" i="39" s="1"/>
  <c r="CS84" i="39"/>
  <c r="DR158" i="39" s="1"/>
  <c r="CS57" i="39"/>
  <c r="CQ49" i="39"/>
  <c r="CS87" i="39"/>
  <c r="DT161" i="39" s="1"/>
  <c r="CS83" i="39"/>
  <c r="DR157" i="39" s="1"/>
  <c r="CQ44" i="39"/>
  <c r="CA24" i="39" a="1"/>
  <c r="CA24" i="39" s="1"/>
  <c r="CB32" i="39" a="1"/>
  <c r="CB32" i="39" s="1"/>
  <c r="CR76" i="39"/>
  <c r="CS76" i="39"/>
  <c r="CQ76" i="39"/>
  <c r="CT79" i="39"/>
  <c r="CA29" i="39" a="1"/>
  <c r="CA29" i="39" s="1"/>
  <c r="CR79" i="39"/>
  <c r="CS79" i="39"/>
  <c r="CQ79" i="39"/>
  <c r="CT78" i="39"/>
  <c r="CR78" i="39"/>
  <c r="CS78" i="39"/>
  <c r="CQ78" i="39"/>
  <c r="CT77" i="39"/>
  <c r="CR77" i="39"/>
  <c r="CS77" i="39"/>
  <c r="CB36" i="39" a="1"/>
  <c r="CB36" i="39" s="1"/>
  <c r="CQ77" i="39"/>
  <c r="CR75" i="39"/>
  <c r="GD138" i="39" s="1"/>
  <c r="GJ138" i="39" s="1"/>
  <c r="CT76" i="39"/>
  <c r="CA30" i="39" a="1"/>
  <c r="CA30" i="39" s="1"/>
  <c r="CB30" i="39" a="1"/>
  <c r="CB30" i="39" s="1"/>
  <c r="CB22" i="39" a="1"/>
  <c r="CB22" i="39" s="1"/>
  <c r="CA22" i="39" a="1"/>
  <c r="CA22" i="39" s="1"/>
  <c r="CB18" i="39" a="1"/>
  <c r="CB18" i="39" s="1"/>
  <c r="CA18" i="39" a="1"/>
  <c r="CA18" i="39" s="1"/>
  <c r="CB20" i="39" a="1"/>
  <c r="CB20" i="39" s="1"/>
  <c r="CA33" i="39" a="1"/>
  <c r="CA33" i="39" s="1"/>
  <c r="CA28" i="39" a="1"/>
  <c r="CA28" i="39" s="1"/>
  <c r="CA19" i="39" a="1"/>
  <c r="CA19" i="39" s="1"/>
  <c r="CB35" i="39" a="1"/>
  <c r="CB35" i="39" s="1"/>
  <c r="CB25" i="39" a="1"/>
  <c r="CB25" i="39" s="1"/>
  <c r="CA23" i="39" a="1"/>
  <c r="CA23" i="39" s="1"/>
  <c r="CA27" i="39" a="1"/>
  <c r="CA27" i="39" s="1"/>
  <c r="CB34" i="39" a="1"/>
  <c r="CB34" i="39" s="1"/>
  <c r="CA31" i="39" a="1"/>
  <c r="CA31" i="39" s="1"/>
  <c r="CA26" i="39" a="1"/>
  <c r="CA26" i="39" s="1"/>
  <c r="CA17" i="39" a="1"/>
  <c r="CA17" i="39" s="1"/>
  <c r="CT75" i="39" l="1"/>
  <c r="GE138" i="39" s="1"/>
  <c r="GK138" i="39" s="1"/>
  <c r="V75" i="39"/>
  <c r="FV126" i="39"/>
  <c r="FW126" i="39" s="1"/>
  <c r="FX126" i="39" s="1"/>
  <c r="FY126" i="39" s="1"/>
  <c r="FZ126" i="39" s="1"/>
  <c r="GA126" i="39" s="1"/>
  <c r="GB126" i="39" s="1"/>
  <c r="FD126" i="39"/>
  <c r="FE126" i="39" s="1"/>
  <c r="FF126" i="39" s="1"/>
  <c r="FG126" i="39" s="1"/>
  <c r="FH126" i="39" s="1"/>
  <c r="FI126" i="39" s="1"/>
  <c r="FJ126" i="39" s="1"/>
  <c r="FK126" i="39" s="1"/>
  <c r="FL126" i="39" s="1"/>
  <c r="FM126" i="39" s="1"/>
  <c r="FN126" i="39" s="1"/>
  <c r="DE117" i="39"/>
  <c r="DL117" i="39"/>
  <c r="DH117" i="39"/>
  <c r="DD117" i="39"/>
  <c r="DK117" i="39"/>
  <c r="DG117" i="39"/>
  <c r="DC117" i="39"/>
  <c r="DJ117" i="39"/>
  <c r="DF117" i="39"/>
  <c r="DI117" i="39"/>
  <c r="DB117" i="39"/>
  <c r="DM117" i="39"/>
  <c r="CF61" i="39" a="1"/>
  <c r="CF61" i="39" s="1"/>
  <c r="CV61" i="39" a="1"/>
  <c r="CV61" i="39" s="1"/>
  <c r="CF46" i="39" a="1"/>
  <c r="CF46" i="39" s="1"/>
  <c r="CV46" i="39" a="1"/>
  <c r="CV46" i="39" s="1"/>
  <c r="CF60" i="39" a="1"/>
  <c r="CF60" i="39" s="1"/>
  <c r="CV60" i="39" a="1"/>
  <c r="CV60" i="39" s="1"/>
  <c r="CF64" i="39" a="1"/>
  <c r="CF64" i="39" s="1"/>
  <c r="CV64" i="39" a="1"/>
  <c r="CV64" i="39" s="1"/>
  <c r="CF66" i="39" a="1"/>
  <c r="CF66" i="39" s="1"/>
  <c r="CV66" i="39" a="1"/>
  <c r="CV66" i="39" s="1"/>
  <c r="CF57" i="39" a="1"/>
  <c r="CF57" i="39" s="1"/>
  <c r="CV57" i="39" a="1"/>
  <c r="CV57" i="39" s="1"/>
  <c r="CF62" i="39" a="1"/>
  <c r="CF62" i="39" s="1"/>
  <c r="CV62" i="39" a="1"/>
  <c r="CV62" i="39" s="1"/>
  <c r="CF59" i="39" a="1"/>
  <c r="CF59" i="39" s="1"/>
  <c r="CV59" i="39" a="1"/>
  <c r="CV59" i="39" s="1"/>
  <c r="CF67" i="39" a="1"/>
  <c r="CF67" i="39" s="1"/>
  <c r="CV67" i="39" a="1"/>
  <c r="CV67" i="39" s="1"/>
  <c r="DK160" i="39"/>
  <c r="DX162" i="39"/>
  <c r="DX158" i="39"/>
  <c r="DM160" i="39"/>
  <c r="DV163" i="39"/>
  <c r="DL156" i="39"/>
  <c r="DW159" i="39"/>
  <c r="GJ157" i="39"/>
  <c r="GK158" i="39"/>
  <c r="DT157" i="39"/>
  <c r="DX163" i="39"/>
  <c r="DT163" i="39"/>
  <c r="DP162" i="39"/>
  <c r="DT162" i="39"/>
  <c r="GJ156" i="39"/>
  <c r="DG160" i="39"/>
  <c r="DE160" i="39"/>
  <c r="DC160" i="39"/>
  <c r="GK161" i="39"/>
  <c r="HK161" i="39" s="1"/>
  <c r="DP158" i="39"/>
  <c r="DT158" i="39"/>
  <c r="GJ159" i="39"/>
  <c r="DZ161" i="39"/>
  <c r="DR161" i="39"/>
  <c r="DD156" i="39"/>
  <c r="GK157" i="39"/>
  <c r="DY159" i="39"/>
  <c r="DO159" i="39"/>
  <c r="DP157" i="39"/>
  <c r="DS157" i="39"/>
  <c r="DP163" i="39"/>
  <c r="DJ160" i="39"/>
  <c r="DB160" i="39"/>
  <c r="GJ162" i="39"/>
  <c r="DU158" i="39"/>
  <c r="DY161" i="39"/>
  <c r="DW161" i="39"/>
  <c r="DU161" i="39"/>
  <c r="DF156" i="39"/>
  <c r="DQ159" i="39"/>
  <c r="DZ159" i="39"/>
  <c r="GJ163" i="39"/>
  <c r="DW157" i="39"/>
  <c r="DU157" i="39"/>
  <c r="DW162" i="39"/>
  <c r="DU162" i="39"/>
  <c r="HH159" i="39"/>
  <c r="GU159" i="39"/>
  <c r="GV159" i="39"/>
  <c r="GJ158" i="39"/>
  <c r="DW158" i="39"/>
  <c r="DQ161" i="39"/>
  <c r="DO161" i="39"/>
  <c r="GU157" i="39"/>
  <c r="HH157" i="39"/>
  <c r="GV157" i="39"/>
  <c r="DH156" i="39"/>
  <c r="DB156" i="39"/>
  <c r="GV158" i="39"/>
  <c r="GU158" i="39"/>
  <c r="HH158" i="39"/>
  <c r="DV159" i="39"/>
  <c r="DR159" i="39"/>
  <c r="DY157" i="39"/>
  <c r="DO157" i="39"/>
  <c r="DS163" i="39"/>
  <c r="DZ163" i="39"/>
  <c r="DO162" i="39"/>
  <c r="DL160" i="39"/>
  <c r="DO158" i="39"/>
  <c r="GU156" i="39"/>
  <c r="HH156" i="39"/>
  <c r="GV156" i="39"/>
  <c r="DI156" i="39"/>
  <c r="DX159" i="39"/>
  <c r="DQ157" i="39"/>
  <c r="DR163" i="39"/>
  <c r="DW163" i="39"/>
  <c r="DU163" i="39"/>
  <c r="DY162" i="39"/>
  <c r="GU161" i="39"/>
  <c r="HH161" i="39"/>
  <c r="GV161" i="39"/>
  <c r="DF160" i="39"/>
  <c r="DD160" i="39"/>
  <c r="GV162" i="39"/>
  <c r="GU162" i="39"/>
  <c r="HH162" i="39"/>
  <c r="HH155" i="39"/>
  <c r="GU155" i="39"/>
  <c r="GV155" i="39"/>
  <c r="DY158" i="39"/>
  <c r="DS158" i="39"/>
  <c r="GP156" i="39"/>
  <c r="GT156" i="39" s="1"/>
  <c r="DX161" i="39"/>
  <c r="DS161" i="39"/>
  <c r="GK163" i="39"/>
  <c r="DM156" i="39"/>
  <c r="GK156" i="39"/>
  <c r="DP159" i="39"/>
  <c r="DT159" i="39"/>
  <c r="GV160" i="39"/>
  <c r="GU160" i="39"/>
  <c r="HH160" i="39"/>
  <c r="DZ157" i="39"/>
  <c r="DY163" i="39"/>
  <c r="DO163" i="39"/>
  <c r="DQ162" i="39"/>
  <c r="DZ162" i="39"/>
  <c r="DS162" i="39"/>
  <c r="GK159" i="39"/>
  <c r="DH160" i="39"/>
  <c r="DQ158" i="39"/>
  <c r="DV158" i="39"/>
  <c r="DZ158" i="39"/>
  <c r="DP161" i="39"/>
  <c r="DV161" i="39"/>
  <c r="GJ160" i="39"/>
  <c r="DG156" i="39"/>
  <c r="DE156" i="39"/>
  <c r="DK156" i="39"/>
  <c r="DS159" i="39"/>
  <c r="GP160" i="39"/>
  <c r="GT160" i="39" s="1"/>
  <c r="DX157" i="39"/>
  <c r="DV157" i="39"/>
  <c r="DV162" i="39"/>
  <c r="GK160" i="39"/>
  <c r="HH163" i="39"/>
  <c r="GU163" i="39"/>
  <c r="GV163" i="39"/>
  <c r="GK162" i="39"/>
  <c r="DJ156" i="39"/>
  <c r="GK149" i="39"/>
  <c r="GJ135" i="39"/>
  <c r="GJ151" i="39"/>
  <c r="HK151" i="39" s="1"/>
  <c r="GJ136" i="39"/>
  <c r="GO144" i="39" a="1"/>
  <c r="GO144" i="39" s="1"/>
  <c r="GP144" i="39" s="1"/>
  <c r="GT144" i="39" s="1"/>
  <c r="GJ122" i="39"/>
  <c r="GO137" i="39" a="1"/>
  <c r="GO137" i="39" s="1"/>
  <c r="GP137" i="39" s="1"/>
  <c r="GT137" i="39" s="1"/>
  <c r="GK145" i="39"/>
  <c r="GK123" i="39"/>
  <c r="GO124" i="39" a="1"/>
  <c r="GO124" i="39" s="1"/>
  <c r="GJ140" i="39"/>
  <c r="GO141" i="39" a="1"/>
  <c r="GO141" i="39" s="1"/>
  <c r="GP141" i="39" s="1"/>
  <c r="GT141" i="39" s="1"/>
  <c r="GJ149" i="39"/>
  <c r="GJ150" i="39"/>
  <c r="GO127" i="39" a="1"/>
  <c r="GO127" i="39" s="1"/>
  <c r="GP127" i="39" s="1"/>
  <c r="GT127" i="39" s="1"/>
  <c r="GK152" i="39"/>
  <c r="GJ137" i="39"/>
  <c r="GO145" i="39" a="1"/>
  <c r="GO145" i="39" s="1"/>
  <c r="GP145" i="39" s="1"/>
  <c r="GT145" i="39" s="1"/>
  <c r="GJ123" i="39"/>
  <c r="GK124" i="39"/>
  <c r="GO132" i="39" a="1"/>
  <c r="GO132" i="39" s="1"/>
  <c r="GK141" i="39"/>
  <c r="GO149" i="39" a="1"/>
  <c r="GO149" i="39" s="1"/>
  <c r="GP149" i="39" s="1"/>
  <c r="GT149" i="39" s="1"/>
  <c r="GK142" i="39"/>
  <c r="GK127" i="39"/>
  <c r="GP128" i="39"/>
  <c r="GT128" i="39" s="1"/>
  <c r="GU128" i="39"/>
  <c r="GV128" i="39"/>
  <c r="HH128" i="39"/>
  <c r="GK137" i="39"/>
  <c r="GJ124" i="39"/>
  <c r="GO139" i="39" a="1"/>
  <c r="GO139" i="39" s="1"/>
  <c r="GP139" i="39" s="1"/>
  <c r="GT139" i="39" s="1"/>
  <c r="GK147" i="39"/>
  <c r="GK132" i="39"/>
  <c r="GO118" i="39" a="1"/>
  <c r="GO118" i="39" s="1"/>
  <c r="GP118" i="39" s="1"/>
  <c r="GT118" i="39" s="1"/>
  <c r="GJ141" i="39"/>
  <c r="GP119" i="39"/>
  <c r="GT119" i="39" s="1"/>
  <c r="GV119" i="39"/>
  <c r="GU119" i="39"/>
  <c r="HH119" i="39"/>
  <c r="GJ142" i="39"/>
  <c r="GO150" i="39" a="1"/>
  <c r="GO150" i="39" s="1"/>
  <c r="GJ127" i="39"/>
  <c r="GO143" i="39" a="1"/>
  <c r="GO143" i="39" s="1"/>
  <c r="GP143" i="39" s="1"/>
  <c r="GT143" i="39" s="1"/>
  <c r="GK128" i="39"/>
  <c r="GO136" i="39" a="1"/>
  <c r="GO136" i="39" s="1"/>
  <c r="GP136" i="39" s="1"/>
  <c r="GT136" i="39" s="1"/>
  <c r="GO129" i="39" a="1"/>
  <c r="GO129" i="39" s="1"/>
  <c r="GP129" i="39" s="1"/>
  <c r="GT129" i="39" s="1"/>
  <c r="GJ153" i="39"/>
  <c r="GK146" i="39"/>
  <c r="GK139" i="39"/>
  <c r="GO147" i="39" a="1"/>
  <c r="GO147" i="39" s="1"/>
  <c r="GP147" i="39" s="1"/>
  <c r="GT147" i="39" s="1"/>
  <c r="GJ132" i="39"/>
  <c r="CA14" i="39" a="1"/>
  <c r="CA14" i="39" s="1"/>
  <c r="GK118" i="39"/>
  <c r="GO133" i="39" a="1"/>
  <c r="GO133" i="39" s="1"/>
  <c r="GP133" i="39" s="1"/>
  <c r="GT133" i="39" s="1"/>
  <c r="GK119" i="39"/>
  <c r="GP120" i="39"/>
  <c r="GT120" i="39" s="1"/>
  <c r="GV120" i="39"/>
  <c r="HH120" i="39"/>
  <c r="GU120" i="39"/>
  <c r="GK143" i="39"/>
  <c r="GO151" i="39" a="1"/>
  <c r="GO151" i="39" s="1"/>
  <c r="GP151" i="39" s="1"/>
  <c r="GT151" i="39" s="1"/>
  <c r="GJ128" i="39"/>
  <c r="GJ152" i="39"/>
  <c r="GK129" i="39"/>
  <c r="GO130" i="39" a="1"/>
  <c r="GO130" i="39" s="1"/>
  <c r="GP130" i="39" s="1"/>
  <c r="GT130" i="39" s="1"/>
  <c r="GJ139" i="39"/>
  <c r="GO125" i="39" a="1"/>
  <c r="GO125" i="39" s="1"/>
  <c r="GP125" i="39" s="1"/>
  <c r="GT125" i="39" s="1"/>
  <c r="GK148" i="39"/>
  <c r="GJ118" i="39"/>
  <c r="GK133" i="39"/>
  <c r="GJ119" i="39"/>
  <c r="HK119" i="39" s="1"/>
  <c r="GK134" i="39"/>
  <c r="GK120" i="39"/>
  <c r="GJ143" i="39"/>
  <c r="GP121" i="39"/>
  <c r="GT121" i="39" s="1"/>
  <c r="GU121" i="39"/>
  <c r="GV121" i="39"/>
  <c r="HH121" i="39"/>
  <c r="GJ144" i="39"/>
  <c r="HK144" i="39" s="1"/>
  <c r="GO152" i="39" a="1"/>
  <c r="GO152" i="39" s="1"/>
  <c r="GP152" i="39" s="1"/>
  <c r="GT152" i="39" s="1"/>
  <c r="GJ129" i="39"/>
  <c r="GJ145" i="39"/>
  <c r="GO153" i="39" a="1"/>
  <c r="GO153" i="39" s="1"/>
  <c r="GP153" i="39" s="1"/>
  <c r="GT153" i="39" s="1"/>
  <c r="GK130" i="39"/>
  <c r="GJ146" i="39"/>
  <c r="GO131" i="39" a="1"/>
  <c r="GO131" i="39" s="1"/>
  <c r="GP131" i="39" s="1"/>
  <c r="GT131" i="39" s="1"/>
  <c r="GK125" i="39"/>
  <c r="GJ133" i="39"/>
  <c r="GO134" i="39" a="1"/>
  <c r="GO134" i="39" s="1"/>
  <c r="GP134" i="39" s="1"/>
  <c r="GT134" i="39" s="1"/>
  <c r="GO142" i="39" a="1"/>
  <c r="GO142" i="39" s="1"/>
  <c r="GP142" i="39" s="1"/>
  <c r="GT142" i="39" s="1"/>
  <c r="GJ120" i="39"/>
  <c r="GK135" i="39"/>
  <c r="GP122" i="39"/>
  <c r="GT122" i="39" s="1"/>
  <c r="HH122" i="39"/>
  <c r="GU122" i="39"/>
  <c r="GV122" i="39"/>
  <c r="GK153" i="39"/>
  <c r="GJ130" i="39"/>
  <c r="GK131" i="39"/>
  <c r="GJ125" i="39"/>
  <c r="GO140" i="39" a="1"/>
  <c r="GO140" i="39" s="1"/>
  <c r="GP140" i="39" s="1"/>
  <c r="GT140" i="39" s="1"/>
  <c r="GJ148" i="39"/>
  <c r="GJ134" i="39"/>
  <c r="GK150" i="39"/>
  <c r="GO135" i="39" a="1"/>
  <c r="GO135" i="39" s="1"/>
  <c r="GP135" i="39" s="1"/>
  <c r="GT135" i="39" s="1"/>
  <c r="GJ121" i="39"/>
  <c r="HK121" i="39" s="1"/>
  <c r="GK136" i="39"/>
  <c r="GK122" i="39"/>
  <c r="GO123" i="39" a="1"/>
  <c r="GO123" i="39" s="1"/>
  <c r="GP123" i="39" s="1"/>
  <c r="GT123" i="39" s="1"/>
  <c r="GO146" i="39" a="1"/>
  <c r="GO146" i="39" s="1"/>
  <c r="GP146" i="39" s="1"/>
  <c r="GT146" i="39" s="1"/>
  <c r="GJ131" i="39"/>
  <c r="GJ147" i="39"/>
  <c r="GK140" i="39"/>
  <c r="GO148" i="39" a="1"/>
  <c r="GO148" i="39" s="1"/>
  <c r="GP148" i="39" s="1"/>
  <c r="GT148" i="39" s="1"/>
  <c r="GJ155" i="39"/>
  <c r="DO155" i="39"/>
  <c r="DW155" i="39"/>
  <c r="DP155" i="39"/>
  <c r="DX155" i="39"/>
  <c r="DQ155" i="39"/>
  <c r="DY155" i="39"/>
  <c r="DR155" i="39"/>
  <c r="DZ155" i="39"/>
  <c r="DS155" i="39"/>
  <c r="DT155" i="39"/>
  <c r="DU155" i="39"/>
  <c r="DV155" i="39"/>
  <c r="GK155" i="39"/>
  <c r="DA18" i="39" a="1"/>
  <c r="DA18" i="39" s="1"/>
  <c r="DA34" i="39" a="1"/>
  <c r="DA34" i="39" s="1"/>
  <c r="DA22" i="39" a="1"/>
  <c r="DA22" i="39" s="1"/>
  <c r="DA51" i="39" a="1"/>
  <c r="DA51" i="39" s="1"/>
  <c r="DA38" i="39" a="1"/>
  <c r="DA38" i="39" s="1"/>
  <c r="DA47" i="39" a="1"/>
  <c r="DA47" i="39" s="1"/>
  <c r="DA30" i="39" a="1"/>
  <c r="DA30" i="39" s="1"/>
  <c r="DA67" i="39" a="1"/>
  <c r="DA67" i="39" s="1"/>
  <c r="DA55" i="39" a="1"/>
  <c r="DA55" i="39" s="1"/>
  <c r="DA63" i="39" a="1"/>
  <c r="DA63" i="39" s="1"/>
  <c r="DA71" i="39" a="1"/>
  <c r="DA71" i="39" s="1"/>
  <c r="DA11" i="39" a="1"/>
  <c r="DA11" i="39" s="1"/>
  <c r="HK138" i="39"/>
  <c r="DJ138" i="39"/>
  <c r="DY138" i="39"/>
  <c r="DR138" i="39"/>
  <c r="DP138" i="39"/>
  <c r="DZ138" i="39"/>
  <c r="DH138" i="39"/>
  <c r="DU138" i="39"/>
  <c r="DE138" i="39"/>
  <c r="DI138" i="39"/>
  <c r="DC138" i="39"/>
  <c r="DX138" i="39"/>
  <c r="DK138" i="39"/>
  <c r="DV138" i="39"/>
  <c r="DS138" i="39"/>
  <c r="DQ138" i="39"/>
  <c r="DF138" i="39"/>
  <c r="DD138" i="39"/>
  <c r="DB138" i="39"/>
  <c r="DW138" i="39"/>
  <c r="DG138" i="39"/>
  <c r="DM138" i="39"/>
  <c r="GV138" i="39"/>
  <c r="HH138" i="39"/>
  <c r="GU138" i="39"/>
  <c r="BR47" i="39" a="1"/>
  <c r="BR47" i="39" s="1"/>
  <c r="BR50" i="39" a="1"/>
  <c r="BR50" i="39" s="1"/>
  <c r="BR51" i="39" a="1"/>
  <c r="BR51" i="39" s="1"/>
  <c r="BR55" i="39" a="1"/>
  <c r="BR55" i="39" s="1"/>
  <c r="BR54" i="39" a="1"/>
  <c r="BR54" i="39" s="1"/>
  <c r="BZ48" i="39" a="1"/>
  <c r="BZ48" i="39" s="1"/>
  <c r="V48" i="39" s="1"/>
  <c r="CF48" i="39" a="1"/>
  <c r="CF48" i="39" s="1"/>
  <c r="BR49" i="39" a="1"/>
  <c r="BR49" i="39" s="1"/>
  <c r="BR53" i="39" a="1"/>
  <c r="BR53" i="39" s="1"/>
  <c r="CG48" i="39" a="1"/>
  <c r="CG48" i="39" s="1"/>
  <c r="CG44" i="39" a="1"/>
  <c r="CG44" i="39" s="1"/>
  <c r="CF44" i="39" a="1"/>
  <c r="CF44" i="39" s="1"/>
  <c r="CF45" i="39" a="1"/>
  <c r="CF45" i="39" s="1"/>
  <c r="BZ57" i="39" a="1"/>
  <c r="BZ57" i="39" s="1"/>
  <c r="V57" i="39" s="1"/>
  <c r="CG57" i="39" a="1"/>
  <c r="CG57" i="39" s="1"/>
  <c r="BZ52" i="39" a="1"/>
  <c r="BZ52" i="39" s="1"/>
  <c r="CG52" i="39" a="1"/>
  <c r="CG52" i="39" s="1"/>
  <c r="BZ65" i="39" a="1"/>
  <c r="BZ65" i="39" s="1"/>
  <c r="V65" i="39" s="1"/>
  <c r="CG65" i="39" a="1"/>
  <c r="CG65" i="39" s="1"/>
  <c r="BZ56" i="39" a="1"/>
  <c r="BZ56" i="39" s="1"/>
  <c r="CG56" i="39" a="1"/>
  <c r="CG56" i="39" s="1"/>
  <c r="BZ58" i="39" a="1"/>
  <c r="BZ58" i="39" s="1"/>
  <c r="V58" i="39" s="1"/>
  <c r="CG58" i="39" a="1"/>
  <c r="CG58" i="39" s="1"/>
  <c r="BZ59" i="39" a="1"/>
  <c r="BZ59" i="39" s="1"/>
  <c r="CG59" i="39" a="1"/>
  <c r="CG59" i="39" s="1"/>
  <c r="BZ60" i="39" a="1"/>
  <c r="BZ60" i="39" s="1"/>
  <c r="V60" i="39" s="1"/>
  <c r="CG60" i="39" a="1"/>
  <c r="CG60" i="39" s="1"/>
  <c r="BZ62" i="39" a="1"/>
  <c r="BZ62" i="39" s="1"/>
  <c r="V62" i="39" s="1"/>
  <c r="CG62" i="39" a="1"/>
  <c r="CG62" i="39" s="1"/>
  <c r="BZ67" i="39" a="1"/>
  <c r="BZ67" i="39" s="1"/>
  <c r="V67" i="39" s="1"/>
  <c r="CG67" i="39" a="1"/>
  <c r="CG67" i="39" s="1"/>
  <c r="BZ64" i="39" a="1"/>
  <c r="BZ64" i="39" s="1"/>
  <c r="V64" i="39" s="1"/>
  <c r="CG64" i="39" a="1"/>
  <c r="CG64" i="39" s="1"/>
  <c r="BZ66" i="39" a="1"/>
  <c r="BZ66" i="39" s="1"/>
  <c r="V66" i="39" s="1"/>
  <c r="CG66" i="39" a="1"/>
  <c r="CG66" i="39" s="1"/>
  <c r="BZ61" i="39" a="1"/>
  <c r="BZ61" i="39" s="1"/>
  <c r="V61" i="39" s="1"/>
  <c r="CG61" i="39" a="1"/>
  <c r="CG61" i="39" s="1"/>
  <c r="BZ68" i="39" a="1"/>
  <c r="BZ68" i="39" s="1"/>
  <c r="V68" i="39" s="1"/>
  <c r="CG68" i="39" a="1"/>
  <c r="CG68" i="39" s="1"/>
  <c r="BZ63" i="39" a="1"/>
  <c r="BZ63" i="39" s="1"/>
  <c r="CG63" i="39" a="1"/>
  <c r="CG63" i="39" s="1"/>
  <c r="BZ46" i="39" a="1"/>
  <c r="BZ46" i="39" s="1"/>
  <c r="V46" i="39" s="1"/>
  <c r="CG46" i="39" a="1"/>
  <c r="CG46" i="39" s="1"/>
  <c r="BZ45" i="39" a="1"/>
  <c r="BZ45" i="39" s="1"/>
  <c r="V45" i="39" s="1"/>
  <c r="CG45" i="39" a="1"/>
  <c r="CG45" i="39" s="1"/>
  <c r="CF63" i="39" a="1"/>
  <c r="CF63" i="39" s="1"/>
  <c r="CF58" i="39" a="1"/>
  <c r="CF58" i="39" s="1"/>
  <c r="CF56" i="39" a="1"/>
  <c r="CF56" i="39" s="1"/>
  <c r="CF68" i="39" a="1"/>
  <c r="CF68" i="39" s="1"/>
  <c r="BZ44" i="39" a="1"/>
  <c r="BZ44" i="39" s="1"/>
  <c r="V44" i="39" s="1"/>
  <c r="CF52" i="39" a="1"/>
  <c r="CF52" i="39" s="1"/>
  <c r="CF65" i="39" a="1"/>
  <c r="CF65" i="39" s="1"/>
  <c r="DZ117" i="39"/>
  <c r="DX117" i="39"/>
  <c r="DU117" i="39"/>
  <c r="DR117" i="39"/>
  <c r="DP117" i="39"/>
  <c r="DT117" i="39"/>
  <c r="DS117" i="39"/>
  <c r="DY117" i="39"/>
  <c r="DW117" i="39"/>
  <c r="GE117" i="39"/>
  <c r="GK117" i="39" s="1"/>
  <c r="DO117" i="39"/>
  <c r="DQ117" i="39"/>
  <c r="DV117" i="39"/>
  <c r="GD117" i="39"/>
  <c r="FP117" i="39"/>
  <c r="DF154" i="39"/>
  <c r="DD154" i="39"/>
  <c r="DJ154" i="39"/>
  <c r="DB154" i="39"/>
  <c r="DC154" i="39"/>
  <c r="DH154" i="39"/>
  <c r="DG154" i="39"/>
  <c r="DM154" i="39"/>
  <c r="DI154" i="39"/>
  <c r="DE154" i="39"/>
  <c r="DK154" i="39"/>
  <c r="HK132" i="39" l="1"/>
  <c r="HK127" i="39"/>
  <c r="HK129" i="39"/>
  <c r="HK134" i="39"/>
  <c r="CF53" i="39" a="1"/>
  <c r="CF53" i="39" s="1"/>
  <c r="CV53" i="39" a="1"/>
  <c r="CV53" i="39" s="1"/>
  <c r="CU53" i="39"/>
  <c r="CW53" i="39" s="1"/>
  <c r="CV47" i="39" a="1"/>
  <c r="CV47" i="39" s="1"/>
  <c r="CU67" i="39"/>
  <c r="CW67" i="39" s="1"/>
  <c r="CU66" i="39"/>
  <c r="CW66" i="39" s="1"/>
  <c r="CU47" i="39"/>
  <c r="CW47" i="39" s="1"/>
  <c r="HK162" i="39"/>
  <c r="CU46" i="39"/>
  <c r="CW46" i="39" s="1"/>
  <c r="CU52" i="39"/>
  <c r="CW52" i="39" s="1"/>
  <c r="HK118" i="39"/>
  <c r="HA118" i="39" s="1"/>
  <c r="HK148" i="39"/>
  <c r="HA148" i="39" s="1"/>
  <c r="CU57" i="39"/>
  <c r="CW57" i="39" s="1"/>
  <c r="CU63" i="39"/>
  <c r="CW63" i="39" s="1"/>
  <c r="CV49" i="39" a="1"/>
  <c r="CV49" i="39" s="1"/>
  <c r="CU49" i="39"/>
  <c r="CW49" i="39" s="1"/>
  <c r="CU59" i="39"/>
  <c r="CW59" i="39" s="1"/>
  <c r="CU62" i="39"/>
  <c r="CW62" i="39" s="1"/>
  <c r="CU56" i="39"/>
  <c r="CW56" i="39" s="1"/>
  <c r="CU58" i="39"/>
  <c r="CW58" i="39" s="1"/>
  <c r="CU68" i="39"/>
  <c r="CW68" i="39" s="1"/>
  <c r="BZ54" i="39" a="1"/>
  <c r="BZ54" i="39" s="1"/>
  <c r="V54" i="39" s="1"/>
  <c r="CV54" i="39" a="1"/>
  <c r="CV54" i="39" s="1"/>
  <c r="CU54" i="39"/>
  <c r="CW54" i="39" s="1"/>
  <c r="HK156" i="39"/>
  <c r="CU65" i="39"/>
  <c r="CW65" i="39" s="1"/>
  <c r="CU60" i="39"/>
  <c r="CW60" i="39" s="1"/>
  <c r="CG55" i="39" a="1"/>
  <c r="CG55" i="39" s="1"/>
  <c r="CV55" i="39" a="1"/>
  <c r="CV55" i="39" s="1"/>
  <c r="CU55" i="39"/>
  <c r="CW55" i="39" s="1"/>
  <c r="CU48" i="39"/>
  <c r="CW48" i="39" s="1"/>
  <c r="CU44" i="39"/>
  <c r="CW44" i="39" s="1"/>
  <c r="CG51" i="39" a="1"/>
  <c r="CG51" i="39" s="1"/>
  <c r="CV51" i="39" a="1"/>
  <c r="CV51" i="39" s="1"/>
  <c r="CU51" i="39"/>
  <c r="CW51" i="39" s="1"/>
  <c r="HK147" i="39"/>
  <c r="HA147" i="39" s="1"/>
  <c r="HK133" i="39"/>
  <c r="HA133" i="39" s="1"/>
  <c r="CU45" i="39"/>
  <c r="CW45" i="39" s="1"/>
  <c r="CU61" i="39"/>
  <c r="CW61" i="39" s="1"/>
  <c r="BZ50" i="39" a="1"/>
  <c r="BZ50" i="39" s="1"/>
  <c r="V50" i="39" s="1"/>
  <c r="CV50" i="39" a="1"/>
  <c r="CV50" i="39" s="1"/>
  <c r="CU50" i="39"/>
  <c r="CW50" i="39" s="1"/>
  <c r="CU64" i="39"/>
  <c r="CW64" i="39" s="1"/>
  <c r="HK153" i="39"/>
  <c r="HA153" i="39" s="1"/>
  <c r="HK120" i="39"/>
  <c r="HA120" i="39" s="1"/>
  <c r="HK143" i="39"/>
  <c r="HA143" i="39" s="1"/>
  <c r="HK130" i="39"/>
  <c r="HA130" i="39" s="1"/>
  <c r="HK145" i="39"/>
  <c r="HK123" i="39"/>
  <c r="GN39" i="39"/>
  <c r="HK160" i="39"/>
  <c r="GY160" i="39" s="1"/>
  <c r="GZ160" i="39" s="1"/>
  <c r="HK159" i="39"/>
  <c r="HE159" i="39" s="1"/>
  <c r="HK137" i="39"/>
  <c r="HA137" i="39" s="1"/>
  <c r="HK125" i="39"/>
  <c r="HA125" i="39" s="1"/>
  <c r="HK146" i="39"/>
  <c r="HA146" i="39" s="1"/>
  <c r="HK142" i="39"/>
  <c r="HK149" i="39"/>
  <c r="HA149" i="39" s="1"/>
  <c r="HA162" i="39"/>
  <c r="GY162" i="39"/>
  <c r="GZ162" i="39" s="1"/>
  <c r="HE162" i="39"/>
  <c r="HK139" i="39"/>
  <c r="HA139" i="39" s="1"/>
  <c r="HA161" i="39"/>
  <c r="HE161" i="39"/>
  <c r="GY161" i="39"/>
  <c r="GZ161" i="39" s="1"/>
  <c r="HA156" i="39"/>
  <c r="HE156" i="39"/>
  <c r="HF156" i="39" s="1"/>
  <c r="HG156" i="39" s="1"/>
  <c r="GY156" i="39"/>
  <c r="GZ156" i="39" s="1"/>
  <c r="HK158" i="39"/>
  <c r="DV79" i="39"/>
  <c r="HK152" i="39"/>
  <c r="HA152" i="39" s="1"/>
  <c r="HK155" i="39"/>
  <c r="HA155" i="39" s="1"/>
  <c r="HK128" i="39"/>
  <c r="GY128" i="39" s="1"/>
  <c r="GZ128" i="39" s="1"/>
  <c r="HK141" i="39"/>
  <c r="HA141" i="39" s="1"/>
  <c r="HK124" i="39"/>
  <c r="HK163" i="39"/>
  <c r="HK157" i="39"/>
  <c r="HK122" i="39"/>
  <c r="GY122" i="39" s="1"/>
  <c r="GZ122" i="39" s="1"/>
  <c r="HA132" i="39"/>
  <c r="HA151" i="39"/>
  <c r="HA121" i="39"/>
  <c r="HE121" i="39"/>
  <c r="HF121" i="39" s="1"/>
  <c r="HG121" i="39" s="1"/>
  <c r="HA119" i="39"/>
  <c r="GY119" i="39"/>
  <c r="GZ119" i="39" s="1"/>
  <c r="HA145" i="39"/>
  <c r="HA134" i="39"/>
  <c r="GU150" i="39"/>
  <c r="HH150" i="39"/>
  <c r="GV150" i="39"/>
  <c r="GV132" i="39"/>
  <c r="GU132" i="39"/>
  <c r="HH132" i="39"/>
  <c r="GU124" i="39"/>
  <c r="GV124" i="39"/>
  <c r="HH124" i="39"/>
  <c r="GV148" i="39"/>
  <c r="GU148" i="39"/>
  <c r="HH148" i="39"/>
  <c r="GV146" i="39"/>
  <c r="GU146" i="39"/>
  <c r="HH146" i="39"/>
  <c r="GU142" i="39"/>
  <c r="GV142" i="39"/>
  <c r="HH142" i="39"/>
  <c r="GY121" i="39"/>
  <c r="GZ121" i="39" s="1"/>
  <c r="GU151" i="39"/>
  <c r="HH151" i="39"/>
  <c r="GV151" i="39"/>
  <c r="HA129" i="39"/>
  <c r="GU125" i="39"/>
  <c r="GV125" i="39"/>
  <c r="HH125" i="39"/>
  <c r="HH118" i="39"/>
  <c r="GU118" i="39"/>
  <c r="GV118" i="39"/>
  <c r="HA123" i="39"/>
  <c r="HK135" i="39"/>
  <c r="HH123" i="39"/>
  <c r="GU123" i="39"/>
  <c r="GY123" i="39" s="1"/>
  <c r="GZ123" i="39" s="1"/>
  <c r="GV123" i="39"/>
  <c r="GU134" i="39"/>
  <c r="GY134" i="39" s="1"/>
  <c r="GZ134" i="39" s="1"/>
  <c r="GV134" i="39"/>
  <c r="HH134" i="39"/>
  <c r="HH133" i="39"/>
  <c r="GV133" i="39"/>
  <c r="GU133" i="39"/>
  <c r="GU143" i="39"/>
  <c r="GV143" i="39"/>
  <c r="HH143" i="39"/>
  <c r="GU144" i="39"/>
  <c r="HH144" i="39"/>
  <c r="GV144" i="39"/>
  <c r="DF52" i="39"/>
  <c r="HH135" i="39"/>
  <c r="GV135" i="39"/>
  <c r="GU135" i="39"/>
  <c r="GV152" i="39"/>
  <c r="HH152" i="39"/>
  <c r="GU152" i="39"/>
  <c r="GU147" i="39"/>
  <c r="HH147" i="39"/>
  <c r="GV147" i="39"/>
  <c r="HE119" i="39"/>
  <c r="HF119" i="39" s="1"/>
  <c r="HG119" i="39" s="1"/>
  <c r="HH127" i="39"/>
  <c r="GU127" i="39"/>
  <c r="GV127" i="39"/>
  <c r="HH141" i="39"/>
  <c r="GV141" i="39"/>
  <c r="GU141" i="39"/>
  <c r="DQ79" i="39"/>
  <c r="GV140" i="39"/>
  <c r="HH140" i="39"/>
  <c r="GU140" i="39"/>
  <c r="HH153" i="39"/>
  <c r="GU153" i="39"/>
  <c r="GV153" i="39"/>
  <c r="GV129" i="39"/>
  <c r="HH129" i="39"/>
  <c r="GU129" i="39"/>
  <c r="GY129" i="39" s="1"/>
  <c r="GZ129" i="39" s="1"/>
  <c r="HA127" i="39"/>
  <c r="HK136" i="39"/>
  <c r="GU131" i="39"/>
  <c r="GV131" i="39"/>
  <c r="HH131" i="39"/>
  <c r="HA144" i="39"/>
  <c r="GU139" i="39"/>
  <c r="HH139" i="39"/>
  <c r="GV139" i="39"/>
  <c r="GU145" i="39"/>
  <c r="HE145" i="39" s="1"/>
  <c r="GV145" i="39"/>
  <c r="HH145" i="39"/>
  <c r="HK150" i="39"/>
  <c r="HK140" i="39"/>
  <c r="GU137" i="39"/>
  <c r="HH137" i="39"/>
  <c r="GV137" i="39"/>
  <c r="HK131" i="39"/>
  <c r="GU130" i="39"/>
  <c r="GV130" i="39"/>
  <c r="HH130" i="39"/>
  <c r="GV136" i="39"/>
  <c r="GU136" i="39"/>
  <c r="HH136" i="39"/>
  <c r="GP150" i="39"/>
  <c r="GT150" i="39" s="1"/>
  <c r="HH149" i="39"/>
  <c r="GU149" i="39"/>
  <c r="GV149" i="39"/>
  <c r="GP132" i="39"/>
  <c r="GT132" i="39" s="1"/>
  <c r="GP124" i="39"/>
  <c r="GT124" i="39" s="1"/>
  <c r="DT79" i="39"/>
  <c r="DP79" i="39"/>
  <c r="DT105" i="39"/>
  <c r="DJ107" i="39"/>
  <c r="DW104" i="39"/>
  <c r="DG103" i="39"/>
  <c r="DY98" i="39"/>
  <c r="DX97" i="39"/>
  <c r="DM102" i="39"/>
  <c r="DH97" i="39"/>
  <c r="DC99" i="39"/>
  <c r="DW89" i="39"/>
  <c r="DB103" i="39"/>
  <c r="DQ105" i="39"/>
  <c r="DI82" i="39"/>
  <c r="DU65" i="39"/>
  <c r="DP54" i="39"/>
  <c r="DP81" i="39"/>
  <c r="DG57" i="39"/>
  <c r="DE58" i="39"/>
  <c r="DC59" i="39"/>
  <c r="DO65" i="39"/>
  <c r="DH72" i="39"/>
  <c r="DU50" i="39"/>
  <c r="DP28" i="39"/>
  <c r="DQ27" i="39"/>
  <c r="DD29" i="39"/>
  <c r="DD28" i="39"/>
  <c r="DF35" i="39"/>
  <c r="DM103" i="39"/>
  <c r="DJ103" i="39"/>
  <c r="DG111" i="39"/>
  <c r="DH82" i="39"/>
  <c r="DE82" i="39"/>
  <c r="DB70" i="39"/>
  <c r="DB74" i="39"/>
  <c r="DU72" i="39"/>
  <c r="DM76" i="39"/>
  <c r="DX74" i="39"/>
  <c r="DJ53" i="39"/>
  <c r="DD57" i="39"/>
  <c r="DJ58" i="39"/>
  <c r="DM25" i="39"/>
  <c r="DW36" i="39"/>
  <c r="DX35" i="39"/>
  <c r="DK37" i="39"/>
  <c r="DU103" i="39"/>
  <c r="DK111" i="39"/>
  <c r="DZ107" i="39"/>
  <c r="DR76" i="39"/>
  <c r="DH59" i="39"/>
  <c r="DB75" i="39"/>
  <c r="DB79" i="39"/>
  <c r="DV77" i="39"/>
  <c r="DU53" i="39"/>
  <c r="DB60" i="39"/>
  <c r="DG61" i="39"/>
  <c r="DD62" i="39"/>
  <c r="DD66" i="39"/>
  <c r="DI33" i="39"/>
  <c r="DI40" i="39"/>
  <c r="DC114" i="39"/>
  <c r="DO116" i="39"/>
  <c r="DJ110" i="39"/>
  <c r="DI76" i="39"/>
  <c r="DQ77" i="39"/>
  <c r="DF72" i="39"/>
  <c r="DQ57" i="39"/>
  <c r="DC64" i="39"/>
  <c r="DP70" i="39"/>
  <c r="DG74" i="39"/>
  <c r="DR72" i="39"/>
  <c r="DJ76" i="39"/>
  <c r="DY41" i="39"/>
  <c r="DE29" i="39"/>
  <c r="DP31" i="39"/>
  <c r="DS99" i="39"/>
  <c r="DC102" i="39"/>
  <c r="DO97" i="39"/>
  <c r="DW97" i="39"/>
  <c r="DR89" i="39"/>
  <c r="DK91" i="39"/>
  <c r="DI91" i="39"/>
  <c r="DR91" i="39"/>
  <c r="DD93" i="39"/>
  <c r="DH107" i="39"/>
  <c r="DZ110" i="39"/>
  <c r="DQ109" i="39"/>
  <c r="DD56" i="39"/>
  <c r="DS75" i="39"/>
  <c r="DI80" i="39"/>
  <c r="DM54" i="39"/>
  <c r="DW80" i="39"/>
  <c r="DP56" i="39"/>
  <c r="DU62" i="39"/>
  <c r="DO69" i="39"/>
  <c r="DH48" i="39"/>
  <c r="DV25" i="39"/>
  <c r="DW24" i="39"/>
  <c r="DJ25" i="39"/>
  <c r="DG108" i="39"/>
  <c r="DQ114" i="39"/>
  <c r="DZ112" i="39"/>
  <c r="DD61" i="39"/>
  <c r="DV64" i="39"/>
  <c r="DV68" i="39"/>
  <c r="DH70" i="39"/>
  <c r="DZ73" i="39"/>
  <c r="DB72" i="39"/>
  <c r="DJ54" i="39"/>
  <c r="DG53" i="39"/>
  <c r="DH52" i="39"/>
  <c r="DV29" i="39"/>
  <c r="DR31" i="39"/>
  <c r="DF33" i="39"/>
  <c r="DG110" i="39"/>
  <c r="DS116" i="39"/>
  <c r="DT114" i="39"/>
  <c r="DO72" i="39"/>
  <c r="DP76" i="39"/>
  <c r="DH75" i="39"/>
  <c r="DO57" i="39"/>
  <c r="DL58" i="39"/>
  <c r="DJ59" i="39"/>
  <c r="DX60" i="39"/>
  <c r="DZ27" i="39"/>
  <c r="DM29" i="39"/>
  <c r="DO36" i="39"/>
  <c r="DV41" i="39"/>
  <c r="DX40" i="39"/>
  <c r="DH113" i="39"/>
  <c r="DF110" i="39"/>
  <c r="DF86" i="39"/>
  <c r="DS57" i="39"/>
  <c r="DW60" i="39"/>
  <c r="DL69" i="39"/>
  <c r="DG76" i="39"/>
  <c r="DW54" i="39"/>
  <c r="DR61" i="39"/>
  <c r="DH65" i="39"/>
  <c r="DS68" i="39"/>
  <c r="DX69" i="39"/>
  <c r="DW73" i="39"/>
  <c r="DE53" i="39"/>
  <c r="DT28" i="39"/>
  <c r="DS79" i="39"/>
  <c r="DZ79" i="39"/>
  <c r="DU95" i="39"/>
  <c r="DR95" i="39"/>
  <c r="DZ95" i="39"/>
  <c r="DT90" i="39"/>
  <c r="DY85" i="39"/>
  <c r="DU89" i="39"/>
  <c r="DC89" i="39"/>
  <c r="DM89" i="39"/>
  <c r="DT87" i="39"/>
  <c r="DC109" i="39"/>
  <c r="DV108" i="39"/>
  <c r="DQ82" i="39"/>
  <c r="DM82" i="39"/>
  <c r="DD73" i="39"/>
  <c r="DF77" i="39"/>
  <c r="DY75" i="39"/>
  <c r="DG80" i="39"/>
  <c r="DT77" i="39"/>
  <c r="DS53" i="39"/>
  <c r="DH60" i="39"/>
  <c r="DU66" i="39"/>
  <c r="DQ52" i="39"/>
  <c r="DW48" i="39"/>
  <c r="DD53" i="39"/>
  <c r="DE52" i="39"/>
  <c r="DS29" i="39"/>
  <c r="DH110" i="39"/>
  <c r="DG114" i="39"/>
  <c r="DO83" i="39"/>
  <c r="DW81" i="39"/>
  <c r="DI62" i="39"/>
  <c r="DI66" i="39"/>
  <c r="DT64" i="39"/>
  <c r="DK68" i="39"/>
  <c r="DQ69" i="39"/>
  <c r="DV75" i="39"/>
  <c r="DD80" i="39"/>
  <c r="DL50" i="39"/>
  <c r="DM49" i="39"/>
  <c r="DH27" i="39"/>
  <c r="DV28" i="39"/>
  <c r="DW27" i="39"/>
  <c r="DJ29" i="39"/>
  <c r="DM112" i="39"/>
  <c r="DT110" i="39"/>
  <c r="DS81" i="39"/>
  <c r="DX81" i="39"/>
  <c r="DU69" i="39"/>
  <c r="DT73" i="39"/>
  <c r="DL72" i="39"/>
  <c r="DE76" i="39"/>
  <c r="DU54" i="39"/>
  <c r="DL81" i="39"/>
  <c r="DW56" i="39"/>
  <c r="DB58" i="39"/>
  <c r="DE25" i="39"/>
  <c r="DX33" i="39"/>
  <c r="DP35" i="39"/>
  <c r="DC37" i="39"/>
  <c r="DK113" i="39"/>
  <c r="DP110" i="39"/>
  <c r="DC82" i="39"/>
  <c r="DX82" i="39"/>
  <c r="DT83" i="39"/>
  <c r="DS66" i="39"/>
  <c r="DK73" i="39"/>
  <c r="DQ80" i="39"/>
  <c r="DW58" i="39"/>
  <c r="DO62" i="39"/>
  <c r="DF66" i="39"/>
  <c r="DQ64" i="39"/>
  <c r="DQ68" i="39"/>
  <c r="DR27" i="39"/>
  <c r="DJ50" i="39"/>
  <c r="DV116" i="39"/>
  <c r="DX89" i="39"/>
  <c r="DC92" i="39"/>
  <c r="DK92" i="39"/>
  <c r="DY86" i="39"/>
  <c r="DQ95" i="39"/>
  <c r="DV86" i="39"/>
  <c r="DM85" i="39"/>
  <c r="DE95" i="39"/>
  <c r="DC106" i="39"/>
  <c r="DH106" i="39"/>
  <c r="DB83" i="39"/>
  <c r="DO64" i="39"/>
  <c r="DL65" i="39"/>
  <c r="DJ70" i="39"/>
  <c r="DJ74" i="39"/>
  <c r="DB73" i="39"/>
  <c r="DV76" i="39"/>
  <c r="DF75" i="39"/>
  <c r="DL57" i="39"/>
  <c r="DG64" i="39"/>
  <c r="DW42" i="39"/>
  <c r="DV49" i="39"/>
  <c r="DB46" i="39"/>
  <c r="DR50" i="39"/>
  <c r="DJ49" i="39"/>
  <c r="DQ106" i="39"/>
  <c r="DT82" i="39"/>
  <c r="DD74" i="39"/>
  <c r="DX68" i="39"/>
  <c r="DP59" i="39"/>
  <c r="DU60" i="39"/>
  <c r="DG62" i="39"/>
  <c r="DY65" i="39"/>
  <c r="DW66" i="39"/>
  <c r="DG73" i="39"/>
  <c r="DI77" i="39"/>
  <c r="DT46" i="39"/>
  <c r="DO24" i="39"/>
  <c r="DB25" i="39"/>
  <c r="DZ25" i="39"/>
  <c r="DB106" i="39"/>
  <c r="DB111" i="39"/>
  <c r="DK82" i="39"/>
  <c r="DY59" i="39"/>
  <c r="DB62" i="39"/>
  <c r="DM64" i="39"/>
  <c r="DM68" i="39"/>
  <c r="DS69" i="39"/>
  <c r="DR73" i="39"/>
  <c r="DF80" i="39"/>
  <c r="DB54" i="39"/>
  <c r="DZ52" i="39"/>
  <c r="DE49" i="39"/>
  <c r="DF24" i="39"/>
  <c r="DI31" i="39"/>
  <c r="DX31" i="39"/>
  <c r="DM86" i="39"/>
  <c r="DM88" i="39"/>
  <c r="DJ82" i="39"/>
  <c r="DE69" i="39"/>
  <c r="DE64" i="39"/>
  <c r="DZ70" i="39"/>
  <c r="DM77" i="39"/>
  <c r="DI56" i="39"/>
  <c r="DU59" i="39"/>
  <c r="DZ60" i="39"/>
  <c r="DW61" i="39"/>
  <c r="DV65" i="39"/>
  <c r="DX48" i="39"/>
  <c r="DE28" i="39"/>
  <c r="DV106" i="39"/>
  <c r="CG47" i="39" a="1"/>
  <c r="CG47" i="39" s="1"/>
  <c r="DY79" i="39"/>
  <c r="DU79" i="39"/>
  <c r="DR100" i="39"/>
  <c r="DS86" i="39"/>
  <c r="DR86" i="39"/>
  <c r="DV107" i="39"/>
  <c r="DO106" i="39"/>
  <c r="DB90" i="39"/>
  <c r="DY113" i="39"/>
  <c r="DZ113" i="39"/>
  <c r="DE113" i="39"/>
  <c r="DT108" i="39"/>
  <c r="DZ85" i="39"/>
  <c r="DE73" i="39"/>
  <c r="DW83" i="39"/>
  <c r="DC65" i="39"/>
  <c r="DC69" i="39"/>
  <c r="DQ70" i="39"/>
  <c r="DH74" i="39"/>
  <c r="DJ72" i="39"/>
  <c r="DC76" i="39"/>
  <c r="DS54" i="39"/>
  <c r="DM61" i="39"/>
  <c r="DC40" i="39"/>
  <c r="DY46" i="39"/>
  <c r="DK48" i="39"/>
  <c r="DJ85" i="39"/>
  <c r="DD86" i="39"/>
  <c r="DI83" i="39"/>
  <c r="DI81" i="39"/>
  <c r="DT56" i="39"/>
  <c r="DG58" i="39"/>
  <c r="DM59" i="39"/>
  <c r="DJ60" i="39"/>
  <c r="DI64" i="39"/>
  <c r="DM70" i="39"/>
  <c r="DM74" i="39"/>
  <c r="DO42" i="39"/>
  <c r="DO48" i="39"/>
  <c r="DW52" i="39"/>
  <c r="DB49" i="39"/>
  <c r="DI85" i="39"/>
  <c r="DP87" i="39"/>
  <c r="DK87" i="39"/>
  <c r="DP68" i="39"/>
  <c r="DF83" i="39"/>
  <c r="DT61" i="39"/>
  <c r="DS65" i="39"/>
  <c r="DK64" i="39"/>
  <c r="DX70" i="39"/>
  <c r="DC77" i="39"/>
  <c r="DM75" i="39"/>
  <c r="DM79" i="39"/>
  <c r="DD50" i="39"/>
  <c r="DK46" i="39"/>
  <c r="DS50" i="39"/>
  <c r="DM28" i="39"/>
  <c r="DO27" i="39"/>
  <c r="DB29" i="39"/>
  <c r="DM87" i="39"/>
  <c r="DS91" i="39"/>
  <c r="DT66" i="39"/>
  <c r="DV83" i="39"/>
  <c r="DD65" i="39"/>
  <c r="DK61" i="39"/>
  <c r="DE68" i="39"/>
  <c r="DZ74" i="39"/>
  <c r="DL53" i="39"/>
  <c r="DF57" i="39"/>
  <c r="DD58" i="39"/>
  <c r="DB59" i="39"/>
  <c r="DP60" i="39"/>
  <c r="DC46" i="39"/>
  <c r="CF47" i="39" a="1"/>
  <c r="CF47" i="39" s="1"/>
  <c r="DC91" i="39"/>
  <c r="FB18" i="39"/>
  <c r="DL18" i="39"/>
  <c r="DM18" i="39"/>
  <c r="DH18" i="39"/>
  <c r="DW113" i="39"/>
  <c r="DS88" i="39"/>
  <c r="DH86" i="39"/>
  <c r="DI86" i="39"/>
  <c r="DG99" i="39"/>
  <c r="FP34" i="39"/>
  <c r="DB34" i="39"/>
  <c r="DG34" i="39"/>
  <c r="DO34" i="39"/>
  <c r="FP22" i="39"/>
  <c r="DO22" i="39"/>
  <c r="DY22" i="39"/>
  <c r="DV22" i="39"/>
  <c r="DR92" i="39"/>
  <c r="DC97" i="39"/>
  <c r="DK102" i="39"/>
  <c r="DO111" i="39"/>
  <c r="DB102" i="39"/>
  <c r="DD51" i="39"/>
  <c r="DZ51" i="39"/>
  <c r="DB51" i="39"/>
  <c r="FP38" i="39"/>
  <c r="DH38" i="39"/>
  <c r="DK38" i="39"/>
  <c r="DD38" i="39"/>
  <c r="DM30" i="39"/>
  <c r="DY30" i="39"/>
  <c r="DU30" i="39"/>
  <c r="DG109" i="39"/>
  <c r="DD97" i="39"/>
  <c r="DV85" i="39"/>
  <c r="DF93" i="39"/>
  <c r="DH67" i="39"/>
  <c r="DL67" i="39"/>
  <c r="DX67" i="39"/>
  <c r="DE55" i="39"/>
  <c r="DW55" i="39"/>
  <c r="DL55" i="39"/>
  <c r="DI63" i="39"/>
  <c r="DB63" i="39"/>
  <c r="DS63" i="39"/>
  <c r="DX87" i="39"/>
  <c r="DQ98" i="39"/>
  <c r="DL97" i="39"/>
  <c r="DB99" i="39"/>
  <c r="DZ98" i="39"/>
  <c r="DU71" i="39"/>
  <c r="DC71" i="39"/>
  <c r="DZ71" i="39"/>
  <c r="DH90" i="39"/>
  <c r="DQ101" i="39"/>
  <c r="DW111" i="39"/>
  <c r="DO104" i="39"/>
  <c r="DX103" i="39"/>
  <c r="DI104" i="39"/>
  <c r="DU109" i="39"/>
  <c r="DS112" i="39"/>
  <c r="DX116" i="39"/>
  <c r="DI110" i="39"/>
  <c r="FP93" i="39"/>
  <c r="FP89" i="39"/>
  <c r="GN99" i="39"/>
  <c r="FB89" i="39"/>
  <c r="GN115" i="39"/>
  <c r="GO115" i="39" s="1" a="1"/>
  <c r="GO115" i="39" s="1"/>
  <c r="FP102" i="39"/>
  <c r="GN109" i="39"/>
  <c r="GN102" i="39"/>
  <c r="FP91" i="39"/>
  <c r="FB114" i="39"/>
  <c r="FB90" i="39"/>
  <c r="FP97" i="39"/>
  <c r="FB95" i="39"/>
  <c r="GN101" i="39"/>
  <c r="FP57" i="39"/>
  <c r="FP35" i="39"/>
  <c r="FP83" i="39"/>
  <c r="FB57" i="39"/>
  <c r="GN75" i="39"/>
  <c r="GO75" i="39" s="1" a="1"/>
  <c r="GO75" i="39" s="1"/>
  <c r="FP65" i="39"/>
  <c r="FP24" i="39"/>
  <c r="FP10" i="39"/>
  <c r="FP41" i="39"/>
  <c r="GN70" i="39"/>
  <c r="FB60" i="39"/>
  <c r="FP23" i="39"/>
  <c r="FB50" i="39"/>
  <c r="FB10" i="39"/>
  <c r="FB61" i="39"/>
  <c r="GN78" i="39"/>
  <c r="DU10" i="39"/>
  <c r="DI116" i="39"/>
  <c r="DR111" i="39"/>
  <c r="DX105" i="39"/>
  <c r="DL102" i="39"/>
  <c r="DS93" i="39"/>
  <c r="DR24" i="39"/>
  <c r="DW46" i="39"/>
  <c r="GN18" i="39"/>
  <c r="DW18" i="39"/>
  <c r="DP18" i="39"/>
  <c r="DZ18" i="39"/>
  <c r="DJ89" i="39"/>
  <c r="DR96" i="39"/>
  <c r="DD89" i="39"/>
  <c r="DO90" i="39"/>
  <c r="DJ34" i="39"/>
  <c r="DD34" i="39"/>
  <c r="DK34" i="39"/>
  <c r="DU22" i="39"/>
  <c r="DJ22" i="39"/>
  <c r="DX22" i="39"/>
  <c r="DS100" i="39"/>
  <c r="DJ104" i="39"/>
  <c r="DS105" i="39"/>
  <c r="DE108" i="39"/>
  <c r="DB107" i="39"/>
  <c r="DL51" i="39"/>
  <c r="DC51" i="39"/>
  <c r="DG51" i="39"/>
  <c r="DY38" i="39"/>
  <c r="DQ38" i="39"/>
  <c r="DT38" i="39"/>
  <c r="DV30" i="39"/>
  <c r="DB30" i="39"/>
  <c r="DZ30" i="39"/>
  <c r="DE85" i="39"/>
  <c r="DZ87" i="39"/>
  <c r="DQ88" i="39"/>
  <c r="DT67" i="39"/>
  <c r="DG67" i="39"/>
  <c r="DZ67" i="39"/>
  <c r="DY55" i="39"/>
  <c r="DG55" i="39"/>
  <c r="DJ55" i="39"/>
  <c r="DT63" i="39"/>
  <c r="DU63" i="39"/>
  <c r="DE63" i="39"/>
  <c r="DU96" i="39"/>
  <c r="DP101" i="39"/>
  <c r="DG101" i="39"/>
  <c r="DE104" i="39"/>
  <c r="DF111" i="39"/>
  <c r="DY71" i="39"/>
  <c r="DV71" i="39"/>
  <c r="DD71" i="39"/>
  <c r="DJ97" i="39"/>
  <c r="DZ111" i="39"/>
  <c r="DE107" i="39"/>
  <c r="DF114" i="39"/>
  <c r="DS114" i="39"/>
  <c r="DK106" i="39"/>
  <c r="DH108" i="39"/>
  <c r="DF113" i="39"/>
  <c r="DL112" i="39"/>
  <c r="FP94" i="39"/>
  <c r="FB94" i="39"/>
  <c r="FB100" i="39"/>
  <c r="FP113" i="39"/>
  <c r="FP106" i="39"/>
  <c r="FP114" i="39"/>
  <c r="GN113" i="39"/>
  <c r="FP90" i="39"/>
  <c r="FB98" i="39"/>
  <c r="FB82" i="39"/>
  <c r="FB65" i="39"/>
  <c r="GN74" i="39"/>
  <c r="GO74" i="39" s="1" a="1"/>
  <c r="GO74" i="39" s="1"/>
  <c r="GN25" i="39"/>
  <c r="FP56" i="39"/>
  <c r="FB73" i="39"/>
  <c r="FP81" i="39"/>
  <c r="FP70" i="39"/>
  <c r="GN60" i="39"/>
  <c r="GN23" i="39"/>
  <c r="DW10" i="39"/>
  <c r="DH111" i="39"/>
  <c r="DW98" i="39"/>
  <c r="DY28" i="39"/>
  <c r="DC27" i="39"/>
  <c r="DK18" i="39"/>
  <c r="DY18" i="39"/>
  <c r="DV18" i="39"/>
  <c r="DL86" i="39"/>
  <c r="DS90" i="39"/>
  <c r="DD98" i="39"/>
  <c r="DT98" i="39"/>
  <c r="DI95" i="39"/>
  <c r="DS34" i="39"/>
  <c r="DP34" i="39"/>
  <c r="DW34" i="39"/>
  <c r="DW22" i="39"/>
  <c r="DC22" i="39"/>
  <c r="DR22" i="39"/>
  <c r="DF104" i="39"/>
  <c r="DY108" i="39"/>
  <c r="DO114" i="39"/>
  <c r="DI112" i="39"/>
  <c r="DX112" i="39"/>
  <c r="DU51" i="39"/>
  <c r="DF51" i="39"/>
  <c r="DJ51" i="39"/>
  <c r="DG38" i="39"/>
  <c r="DI38" i="39"/>
  <c r="DE38" i="39"/>
  <c r="FP30" i="39"/>
  <c r="DG30" i="39"/>
  <c r="DJ30" i="39"/>
  <c r="DC30" i="39"/>
  <c r="DI89" i="39"/>
  <c r="DD90" i="39"/>
  <c r="DE93" i="39"/>
  <c r="DR93" i="39"/>
  <c r="FB67" i="39"/>
  <c r="GN67" i="39"/>
  <c r="GO67" i="39" s="1" a="1"/>
  <c r="GO67" i="39" s="1"/>
  <c r="DC67" i="39"/>
  <c r="DF67" i="39"/>
  <c r="DI67" i="39"/>
  <c r="DK55" i="39"/>
  <c r="DR55" i="39"/>
  <c r="DU55" i="39"/>
  <c r="GN63" i="39"/>
  <c r="DR63" i="39"/>
  <c r="DW63" i="39"/>
  <c r="DY63" i="39"/>
  <c r="DK99" i="39"/>
  <c r="DY103" i="39"/>
  <c r="DR107" i="39"/>
  <c r="DM114" i="39"/>
  <c r="DY110" i="39"/>
  <c r="DJ71" i="39"/>
  <c r="DX71" i="39"/>
  <c r="DO71" i="39"/>
  <c r="DV103" i="39"/>
  <c r="DW114" i="39"/>
  <c r="DW109" i="39"/>
  <c r="DV113" i="39"/>
  <c r="DH114" i="39"/>
  <c r="DU110" i="39"/>
  <c r="DL85" i="39"/>
  <c r="DG88" i="39"/>
  <c r="FB113" i="39"/>
  <c r="FB97" i="39"/>
  <c r="FP98" i="39"/>
  <c r="FB111" i="39"/>
  <c r="FB92" i="39"/>
  <c r="GN116" i="39"/>
  <c r="GN87" i="39"/>
  <c r="GO87" i="39" s="1" a="1"/>
  <c r="GO87" i="39" s="1"/>
  <c r="GN108" i="39"/>
  <c r="GO108" i="39" s="1" a="1"/>
  <c r="GO108" i="39" s="1"/>
  <c r="FB112" i="39"/>
  <c r="GN110" i="39"/>
  <c r="GN92" i="39"/>
  <c r="FB86" i="39"/>
  <c r="FB87" i="39"/>
  <c r="GN88" i="39"/>
  <c r="GO88" i="39" s="1" a="1"/>
  <c r="GO88" i="39" s="1"/>
  <c r="GN35" i="39"/>
  <c r="GO35" i="39" s="1" a="1"/>
  <c r="GO35" i="39" s="1"/>
  <c r="FP36" i="39"/>
  <c r="FP64" i="39"/>
  <c r="FB56" i="39"/>
  <c r="GN57" i="39"/>
  <c r="GO57" i="39" s="1" a="1"/>
  <c r="GO57" i="39" s="1"/>
  <c r="GN83" i="39"/>
  <c r="GN62" i="39"/>
  <c r="GO62" i="39" s="1" a="1"/>
  <c r="GO62" i="39" s="1"/>
  <c r="GN73" i="39"/>
  <c r="GN52" i="39"/>
  <c r="FB33" i="39"/>
  <c r="FB80" i="39"/>
  <c r="FB29" i="39"/>
  <c r="GN10" i="39"/>
  <c r="GO10" i="39" s="1" a="1"/>
  <c r="GO10" i="39" s="1"/>
  <c r="GN31" i="39"/>
  <c r="GN68" i="39"/>
  <c r="GO68" i="39" s="1" a="1"/>
  <c r="GO68" i="39" s="1"/>
  <c r="DY20" i="39"/>
  <c r="DH10" i="39"/>
  <c r="DB105" i="39"/>
  <c r="DL31" i="39"/>
  <c r="DY29" i="39"/>
  <c r="DC52" i="39"/>
  <c r="DB53" i="39"/>
  <c r="DD18" i="39"/>
  <c r="DJ18" i="39"/>
  <c r="DX18" i="39"/>
  <c r="DH89" i="39"/>
  <c r="DZ97" i="39"/>
  <c r="DW102" i="39"/>
  <c r="DV101" i="39"/>
  <c r="DJ99" i="39"/>
  <c r="DI34" i="39"/>
  <c r="DL34" i="39"/>
  <c r="DT34" i="39"/>
  <c r="DH22" i="39"/>
  <c r="DM22" i="39"/>
  <c r="DT22" i="39"/>
  <c r="DQ107" i="39"/>
  <c r="DX113" i="39"/>
  <c r="DL116" i="39"/>
  <c r="DS106" i="39"/>
  <c r="DZ106" i="39"/>
  <c r="FB51" i="39"/>
  <c r="DO51" i="39"/>
  <c r="DH51" i="39"/>
  <c r="DP51" i="39"/>
  <c r="DP38" i="39"/>
  <c r="DL38" i="39"/>
  <c r="DB38" i="39"/>
  <c r="DX30" i="39"/>
  <c r="DP30" i="39"/>
  <c r="DS30" i="39"/>
  <c r="DF87" i="39"/>
  <c r="DZ91" i="39"/>
  <c r="DL99" i="39"/>
  <c r="DP99" i="39"/>
  <c r="DG100" i="39"/>
  <c r="DM67" i="39"/>
  <c r="DQ67" i="39"/>
  <c r="DB67" i="39"/>
  <c r="FP55" i="39"/>
  <c r="DH55" i="39"/>
  <c r="DM55" i="39"/>
  <c r="DP55" i="39"/>
  <c r="DD63" i="39"/>
  <c r="DP63" i="39"/>
  <c r="DC63" i="39"/>
  <c r="DR103" i="39"/>
  <c r="DS113" i="39"/>
  <c r="DK109" i="39"/>
  <c r="DY107" i="39"/>
  <c r="DL110" i="39"/>
  <c r="FP71" i="39"/>
  <c r="FB71" i="39"/>
  <c r="DE71" i="39"/>
  <c r="DI71" i="39"/>
  <c r="DH71" i="39"/>
  <c r="DW108" i="39"/>
  <c r="DD106" i="39"/>
  <c r="DQ113" i="39"/>
  <c r="DJ114" i="39"/>
  <c r="DB96" i="39"/>
  <c r="DY87" i="39"/>
  <c r="DS89" i="39"/>
  <c r="DT89" i="39"/>
  <c r="GN96" i="39"/>
  <c r="GN93" i="39"/>
  <c r="GN94" i="39"/>
  <c r="FP116" i="39"/>
  <c r="GN104" i="39"/>
  <c r="FP111" i="39"/>
  <c r="GN112" i="39"/>
  <c r="FP110" i="39"/>
  <c r="GN85" i="39"/>
  <c r="FP101" i="39"/>
  <c r="GN33" i="39"/>
  <c r="GN54" i="39"/>
  <c r="GN82" i="39"/>
  <c r="GN79" i="39"/>
  <c r="FP62" i="39"/>
  <c r="FP73" i="39"/>
  <c r="FP52" i="39"/>
  <c r="GN80" i="39"/>
  <c r="GN24" i="39"/>
  <c r="FB41" i="39"/>
  <c r="FB31" i="39"/>
  <c r="FB81" i="39"/>
  <c r="DO87" i="39"/>
  <c r="DY23" i="39"/>
  <c r="DR23" i="39"/>
  <c r="DT19" i="39"/>
  <c r="DB114" i="39"/>
  <c r="DZ36" i="39"/>
  <c r="DQ25" i="39"/>
  <c r="DO18" i="39"/>
  <c r="DU18" i="39"/>
  <c r="DI18" i="39"/>
  <c r="DF98" i="39"/>
  <c r="DH104" i="39"/>
  <c r="DP104" i="39"/>
  <c r="DZ108" i="39"/>
  <c r="DS107" i="39"/>
  <c r="GN34" i="39"/>
  <c r="GO34" i="39" s="1" a="1"/>
  <c r="GO34" i="39" s="1"/>
  <c r="DX34" i="39"/>
  <c r="DE34" i="39"/>
  <c r="DQ22" i="39"/>
  <c r="DP22" i="39"/>
  <c r="DZ22" i="39"/>
  <c r="DX107" i="39"/>
  <c r="DL113" i="39"/>
  <c r="DU85" i="39"/>
  <c r="DI87" i="39"/>
  <c r="DW51" i="39"/>
  <c r="DK51" i="39"/>
  <c r="DS51" i="39"/>
  <c r="FB38" i="39"/>
  <c r="DX38" i="39"/>
  <c r="DR38" i="39"/>
  <c r="DM38" i="39"/>
  <c r="DF30" i="39"/>
  <c r="DH30" i="39"/>
  <c r="DD30" i="39"/>
  <c r="DO93" i="39"/>
  <c r="DT102" i="39"/>
  <c r="DD101" i="39"/>
  <c r="DK103" i="39"/>
  <c r="DJ101" i="39"/>
  <c r="DJ67" i="39"/>
  <c r="DO67" i="39"/>
  <c r="DU67" i="39"/>
  <c r="DS55" i="39"/>
  <c r="DI55" i="39"/>
  <c r="DZ55" i="39"/>
  <c r="DF63" i="39"/>
  <c r="DH63" i="39"/>
  <c r="DM63" i="39"/>
  <c r="DX108" i="39"/>
  <c r="DK110" i="39"/>
  <c r="DB110" i="39"/>
  <c r="DU113" i="39"/>
  <c r="DG71" i="39"/>
  <c r="DK71" i="39"/>
  <c r="DQ71" i="39"/>
  <c r="DJ113" i="39"/>
  <c r="DB85" i="39"/>
  <c r="DP86" i="39"/>
  <c r="DQ91" i="39"/>
  <c r="DZ96" i="39"/>
  <c r="DD91" i="39"/>
  <c r="DT91" i="39"/>
  <c r="DZ90" i="39"/>
  <c r="FP96" i="39"/>
  <c r="FB105" i="39"/>
  <c r="GN105" i="39"/>
  <c r="FP108" i="39"/>
  <c r="FB104" i="39"/>
  <c r="FP100" i="39"/>
  <c r="FB108" i="39"/>
  <c r="GN95" i="39"/>
  <c r="GO95" i="39" s="1" a="1"/>
  <c r="GO95" i="39" s="1"/>
  <c r="GN97" i="39"/>
  <c r="FB99" i="39"/>
  <c r="FP46" i="39"/>
  <c r="GN76" i="39"/>
  <c r="GN56" i="39"/>
  <c r="FP54" i="39"/>
  <c r="FB35" i="39"/>
  <c r="FP74" i="39"/>
  <c r="GN43" i="39"/>
  <c r="FB42" i="39"/>
  <c r="FP80" i="39"/>
  <c r="FP72" i="39"/>
  <c r="FP33" i="39"/>
  <c r="FB24" i="39"/>
  <c r="FP69" i="39"/>
  <c r="DL94" i="39"/>
  <c r="DV93" i="39"/>
  <c r="DY92" i="39"/>
  <c r="DW87" i="39"/>
  <c r="DT23" i="39"/>
  <c r="DV19" i="39"/>
  <c r="DL40" i="39"/>
  <c r="DD35" i="39"/>
  <c r="DB28" i="39"/>
  <c r="DQ18" i="39"/>
  <c r="DS18" i="39"/>
  <c r="DR18" i="39"/>
  <c r="DD104" i="39"/>
  <c r="DM108" i="39"/>
  <c r="DX114" i="39"/>
  <c r="DO109" i="39"/>
  <c r="DF109" i="39"/>
  <c r="FB34" i="39"/>
  <c r="DH34" i="39"/>
  <c r="DR34" i="39"/>
  <c r="DU34" i="39"/>
  <c r="DM34" i="39"/>
  <c r="FB22" i="39"/>
  <c r="GN22" i="39"/>
  <c r="DB22" i="39"/>
  <c r="DI22" i="39"/>
  <c r="DD22" i="39"/>
  <c r="DY114" i="39"/>
  <c r="DD85" i="39"/>
  <c r="DY88" i="39"/>
  <c r="DZ88" i="39"/>
  <c r="DO103" i="39"/>
  <c r="GN51" i="39"/>
  <c r="DE51" i="39"/>
  <c r="DQ51" i="39"/>
  <c r="DX51" i="39"/>
  <c r="GN38" i="39"/>
  <c r="GO38" i="39" s="1" a="1"/>
  <c r="GO38" i="39" s="1"/>
  <c r="DF38" i="39"/>
  <c r="DU38" i="39"/>
  <c r="DJ38" i="39"/>
  <c r="DO30" i="39"/>
  <c r="DK30" i="39"/>
  <c r="DI30" i="39"/>
  <c r="DC100" i="39"/>
  <c r="DZ104" i="39"/>
  <c r="DV110" i="39"/>
  <c r="DE110" i="39"/>
  <c r="DQ108" i="39"/>
  <c r="DS67" i="39"/>
  <c r="DY67" i="39"/>
  <c r="DP67" i="39"/>
  <c r="DF55" i="39"/>
  <c r="DT55" i="39"/>
  <c r="DD55" i="39"/>
  <c r="DZ63" i="39"/>
  <c r="DJ63" i="39"/>
  <c r="DX63" i="39"/>
  <c r="DR106" i="39"/>
  <c r="DB98" i="39"/>
  <c r="DC87" i="39"/>
  <c r="DF90" i="39"/>
  <c r="DS71" i="39"/>
  <c r="DR71" i="39"/>
  <c r="DL71" i="39"/>
  <c r="DQ86" i="39"/>
  <c r="DE89" i="39"/>
  <c r="DH87" i="39"/>
  <c r="DX86" i="39"/>
  <c r="DV99" i="39"/>
  <c r="DY97" i="39"/>
  <c r="DG97" i="39"/>
  <c r="DE99" i="39"/>
  <c r="GN89" i="39"/>
  <c r="FP105" i="39"/>
  <c r="FB107" i="39"/>
  <c r="GN106" i="39"/>
  <c r="FB116" i="39"/>
  <c r="FB106" i="39"/>
  <c r="FP103" i="39"/>
  <c r="FB109" i="39"/>
  <c r="GN91" i="39"/>
  <c r="FB102" i="39"/>
  <c r="FP107" i="39"/>
  <c r="GN90" i="39"/>
  <c r="GO90" i="39" s="1" a="1"/>
  <c r="GO90" i="39" s="1"/>
  <c r="FP75" i="39"/>
  <c r="GN36" i="39"/>
  <c r="GN65" i="39"/>
  <c r="FP76" i="39"/>
  <c r="GN45" i="39"/>
  <c r="FB66" i="39"/>
  <c r="FB83" i="39"/>
  <c r="GN46" i="39"/>
  <c r="GO46" i="39" s="1" a="1"/>
  <c r="GO46" i="39" s="1"/>
  <c r="FB64" i="39"/>
  <c r="GN64" i="39"/>
  <c r="GN61" i="39"/>
  <c r="GO61" i="39" s="1" a="1"/>
  <c r="GO61" i="39" s="1"/>
  <c r="FB52" i="39"/>
  <c r="GN41" i="39"/>
  <c r="FB72" i="39"/>
  <c r="FP60" i="39"/>
  <c r="FB40" i="39"/>
  <c r="DQ100" i="39"/>
  <c r="DJ98" i="39"/>
  <c r="DJ96" i="39"/>
  <c r="DP94" i="39"/>
  <c r="DO92" i="39"/>
  <c r="DB88" i="39"/>
  <c r="DV23" i="39"/>
  <c r="DG19" i="39"/>
  <c r="DZ37" i="39"/>
  <c r="DL33" i="39"/>
  <c r="FP18" i="39"/>
  <c r="DB18" i="39"/>
  <c r="DE18" i="39"/>
  <c r="DC18" i="39"/>
  <c r="DQ111" i="39"/>
  <c r="DS109" i="39"/>
  <c r="DI113" i="39"/>
  <c r="DP106" i="39"/>
  <c r="DE106" i="39"/>
  <c r="DQ34" i="39"/>
  <c r="DZ34" i="39"/>
  <c r="DF34" i="39"/>
  <c r="DE22" i="39"/>
  <c r="DS22" i="39"/>
  <c r="DF22" i="39"/>
  <c r="DV89" i="39"/>
  <c r="DP93" i="39"/>
  <c r="DI96" i="39"/>
  <c r="DQ93" i="39"/>
  <c r="DO79" i="39"/>
  <c r="DM51" i="39"/>
  <c r="DT51" i="39"/>
  <c r="DI51" i="39"/>
  <c r="DO38" i="39"/>
  <c r="DZ38" i="39"/>
  <c r="DV38" i="39"/>
  <c r="FB30" i="39"/>
  <c r="GN30" i="39"/>
  <c r="GO30" i="39" s="1" a="1"/>
  <c r="GO30" i="39" s="1"/>
  <c r="DW30" i="39"/>
  <c r="DQ30" i="39"/>
  <c r="DL30" i="39"/>
  <c r="DL103" i="39"/>
  <c r="DO108" i="39"/>
  <c r="DB108" i="39"/>
  <c r="DF112" i="39"/>
  <c r="DK116" i="39"/>
  <c r="FP67" i="39"/>
  <c r="DK67" i="39"/>
  <c r="DD67" i="39"/>
  <c r="DR67" i="39"/>
  <c r="DQ55" i="39"/>
  <c r="DV55" i="39"/>
  <c r="DX55" i="39"/>
  <c r="FP63" i="39"/>
  <c r="DL63" i="39"/>
  <c r="DG63" i="39"/>
  <c r="DK63" i="39"/>
  <c r="DZ86" i="39"/>
  <c r="DQ87" i="39"/>
  <c r="DR87" i="39"/>
  <c r="DM71" i="39"/>
  <c r="DT71" i="39"/>
  <c r="DW71" i="39"/>
  <c r="DI92" i="39"/>
  <c r="DP91" i="39"/>
  <c r="DE91" i="39"/>
  <c r="DU90" i="39"/>
  <c r="DE90" i="39"/>
  <c r="DQ104" i="39"/>
  <c r="DT103" i="39"/>
  <c r="DH105" i="39"/>
  <c r="DC103" i="39"/>
  <c r="FB93" i="39"/>
  <c r="GN86" i="39"/>
  <c r="GN100" i="39"/>
  <c r="GN103" i="39"/>
  <c r="FP85" i="39"/>
  <c r="FB103" i="39"/>
  <c r="GN114" i="39"/>
  <c r="GO114" i="39" s="1" a="1"/>
  <c r="GO114" i="39" s="1"/>
  <c r="GN98" i="39"/>
  <c r="GN111" i="39"/>
  <c r="GO111" i="39" s="1" a="1"/>
  <c r="GO111" i="39" s="1"/>
  <c r="FP87" i="39"/>
  <c r="FB96" i="39"/>
  <c r="FP109" i="39"/>
  <c r="GN107" i="39"/>
  <c r="FP86" i="39"/>
  <c r="FP66" i="39"/>
  <c r="FP25" i="39"/>
  <c r="FB75" i="39"/>
  <c r="FB46" i="39"/>
  <c r="FB25" i="39"/>
  <c r="FB36" i="39"/>
  <c r="FB76" i="39"/>
  <c r="FB54" i="39"/>
  <c r="FP50" i="39"/>
  <c r="GN42" i="39"/>
  <c r="FP61" i="39"/>
  <c r="FB62" i="39"/>
  <c r="FP20" i="39"/>
  <c r="DF106" i="39"/>
  <c r="DE105" i="39"/>
  <c r="DU101" i="39"/>
  <c r="DI99" i="39"/>
  <c r="DM96" i="39"/>
  <c r="DR94" i="39"/>
  <c r="DQ92" i="39"/>
  <c r="DW20" i="39"/>
  <c r="DJ41" i="39"/>
  <c r="DT18" i="39"/>
  <c r="DG18" i="39"/>
  <c r="DF18" i="39"/>
  <c r="DR110" i="39"/>
  <c r="DL107" i="39"/>
  <c r="DB104" i="39"/>
  <c r="DW86" i="39"/>
  <c r="DY34" i="39"/>
  <c r="DV34" i="39"/>
  <c r="DC34" i="39"/>
  <c r="DL22" i="39"/>
  <c r="DG22" i="39"/>
  <c r="DK22" i="39"/>
  <c r="DD88" i="39"/>
  <c r="DO91" i="39"/>
  <c r="DZ99" i="39"/>
  <c r="DP98" i="39"/>
  <c r="DK98" i="39"/>
  <c r="FP51" i="39"/>
  <c r="DV51" i="39"/>
  <c r="DY51" i="39"/>
  <c r="DR51" i="39"/>
  <c r="DW38" i="39"/>
  <c r="DC38" i="39"/>
  <c r="DS38" i="39"/>
  <c r="DE30" i="39"/>
  <c r="DT30" i="39"/>
  <c r="DR30" i="39"/>
  <c r="DW107" i="39"/>
  <c r="DX110" i="39"/>
  <c r="DM110" i="39"/>
  <c r="DG113" i="39"/>
  <c r="DJ106" i="39"/>
  <c r="DV67" i="39"/>
  <c r="DW67" i="39"/>
  <c r="DE67" i="39"/>
  <c r="FB55" i="39"/>
  <c r="GN55" i="39"/>
  <c r="GO55" i="39" s="1" a="1"/>
  <c r="GO55" i="39" s="1"/>
  <c r="DC55" i="39"/>
  <c r="DO55" i="39"/>
  <c r="DB55" i="39"/>
  <c r="FB63" i="39"/>
  <c r="DO63" i="39"/>
  <c r="DQ63" i="39"/>
  <c r="DV63" i="39"/>
  <c r="DT92" i="39"/>
  <c r="DG90" i="39"/>
  <c r="DZ93" i="39"/>
  <c r="DW90" i="39"/>
  <c r="GN71" i="39"/>
  <c r="DB71" i="39"/>
  <c r="DP71" i="39"/>
  <c r="DF71" i="39"/>
  <c r="DE88" i="39"/>
  <c r="DI100" i="39"/>
  <c r="DQ97" i="39"/>
  <c r="DS97" i="39"/>
  <c r="DR99" i="39"/>
  <c r="DK97" i="39"/>
  <c r="DC110" i="39"/>
  <c r="DD108" i="39"/>
  <c r="DU108" i="39"/>
  <c r="DD114" i="39"/>
  <c r="FB91" i="39"/>
  <c r="FB88" i="39"/>
  <c r="FP95" i="39"/>
  <c r="FP92" i="39"/>
  <c r="FB110" i="39"/>
  <c r="FP112" i="39"/>
  <c r="FP88" i="39"/>
  <c r="FP104" i="39"/>
  <c r="FB101" i="39"/>
  <c r="FP99" i="39"/>
  <c r="FB85" i="39"/>
  <c r="FB74" i="39"/>
  <c r="GN66" i="39"/>
  <c r="FP82" i="39"/>
  <c r="FB23" i="39"/>
  <c r="GN50" i="39"/>
  <c r="GO50" i="39" s="1" a="1"/>
  <c r="GO50" i="39" s="1"/>
  <c r="FP31" i="39"/>
  <c r="GN81" i="39"/>
  <c r="FP42" i="39"/>
  <c r="FB70" i="39"/>
  <c r="GN72" i="39"/>
  <c r="FP29" i="39"/>
  <c r="FB28" i="39"/>
  <c r="DE116" i="39"/>
  <c r="DP114" i="39"/>
  <c r="DM111" i="39"/>
  <c r="DI105" i="39"/>
  <c r="DI102" i="39"/>
  <c r="DO99" i="39"/>
  <c r="DP96" i="39"/>
  <c r="DU86" i="39"/>
  <c r="DP23" i="39"/>
  <c r="DR48" i="39"/>
  <c r="DR42" i="39"/>
  <c r="FP68" i="39"/>
  <c r="DR108" i="39"/>
  <c r="FP59" i="39"/>
  <c r="DR101" i="39"/>
  <c r="DR105" i="39"/>
  <c r="DG102" i="39"/>
  <c r="DJ100" i="39"/>
  <c r="DX96" i="39"/>
  <c r="DZ94" i="39"/>
  <c r="DM93" i="39"/>
  <c r="DL87" i="39"/>
  <c r="DX23" i="39"/>
  <c r="DZ48" i="39"/>
  <c r="DK52" i="39"/>
  <c r="FP48" i="39"/>
  <c r="DW106" i="39"/>
  <c r="DS98" i="39"/>
  <c r="DO89" i="39"/>
  <c r="FB37" i="39"/>
  <c r="DJ111" i="39"/>
  <c r="DH109" i="39"/>
  <c r="DL98" i="39"/>
  <c r="DT95" i="39"/>
  <c r="DQ94" i="39"/>
  <c r="DW91" i="39"/>
  <c r="DJ87" i="39"/>
  <c r="DE20" i="39"/>
  <c r="DH19" i="39"/>
  <c r="DR41" i="39"/>
  <c r="DB36" i="39"/>
  <c r="DB37" i="39"/>
  <c r="DS96" i="39"/>
  <c r="DP95" i="39"/>
  <c r="DO94" i="39"/>
  <c r="DM92" i="39"/>
  <c r="DD87" i="39"/>
  <c r="DU23" i="39"/>
  <c r="DW19" i="39"/>
  <c r="DE40" i="39"/>
  <c r="FB79" i="39"/>
  <c r="DG20" i="39"/>
  <c r="DS19" i="39"/>
  <c r="DZ10" i="39"/>
  <c r="DG42" i="39"/>
  <c r="DM40" i="39"/>
  <c r="DE35" i="39"/>
  <c r="DC28" i="39"/>
  <c r="FB48" i="39"/>
  <c r="DP20" i="39"/>
  <c r="DP109" i="39"/>
  <c r="DY96" i="39"/>
  <c r="DP89" i="39"/>
  <c r="DW23" i="39"/>
  <c r="DF20" i="39"/>
  <c r="DH53" i="39"/>
  <c r="DS48" i="39"/>
  <c r="GN27" i="39"/>
  <c r="GO27" i="39" s="1" a="1"/>
  <c r="GO27" i="39" s="1"/>
  <c r="DX20" i="39"/>
  <c r="DO10" i="39"/>
  <c r="DD113" i="39"/>
  <c r="DT109" i="39"/>
  <c r="DL104" i="39"/>
  <c r="DQ28" i="39"/>
  <c r="DV50" i="39"/>
  <c r="DO46" i="39"/>
  <c r="DG50" i="39"/>
  <c r="DH40" i="39"/>
  <c r="DH33" i="39"/>
  <c r="DK31" i="39"/>
  <c r="DI59" i="39"/>
  <c r="DU57" i="39"/>
  <c r="DX56" i="39"/>
  <c r="DE81" i="39"/>
  <c r="DV54" i="39"/>
  <c r="DF76" i="39"/>
  <c r="DK69" i="39"/>
  <c r="DZ62" i="39"/>
  <c r="DY82" i="39"/>
  <c r="DQ110" i="39"/>
  <c r="DT113" i="39"/>
  <c r="DM109" i="39"/>
  <c r="DE33" i="39"/>
  <c r="DQ31" i="39"/>
  <c r="DU29" i="39"/>
  <c r="DG52" i="39"/>
  <c r="DF53" i="39"/>
  <c r="DY48" i="39"/>
  <c r="DL75" i="39"/>
  <c r="DT76" i="39"/>
  <c r="DH73" i="39"/>
  <c r="DX66" i="39"/>
  <c r="DZ65" i="39"/>
  <c r="DS61" i="39"/>
  <c r="DM60" i="39"/>
  <c r="DU82" i="39"/>
  <c r="DZ81" i="39"/>
  <c r="DU56" i="39"/>
  <c r="DZ89" i="39"/>
  <c r="DR85" i="39"/>
  <c r="DM33" i="39"/>
  <c r="DY31" i="39"/>
  <c r="DB31" i="39"/>
  <c r="DG24" i="39"/>
  <c r="DF49" i="39"/>
  <c r="DU75" i="39"/>
  <c r="DB77" i="39"/>
  <c r="DW70" i="39"/>
  <c r="DJ64" i="39"/>
  <c r="DH66" i="39"/>
  <c r="DH62" i="39"/>
  <c r="DV60" i="39"/>
  <c r="DC83" i="39"/>
  <c r="DG82" i="39"/>
  <c r="DR58" i="39"/>
  <c r="DE87" i="39"/>
  <c r="DH85" i="39"/>
  <c r="DR88" i="39"/>
  <c r="DS42" i="39"/>
  <c r="DL37" i="39"/>
  <c r="DY35" i="39"/>
  <c r="DX36" i="39"/>
  <c r="DZ54" i="39"/>
  <c r="DB76" i="39"/>
  <c r="DP69" i="39"/>
  <c r="DJ68" i="39"/>
  <c r="DS64" i="39"/>
  <c r="DQ66" i="39"/>
  <c r="DQ62" i="39"/>
  <c r="DC61" i="39"/>
  <c r="DT75" i="39"/>
  <c r="DX83" i="39"/>
  <c r="DK114" i="39"/>
  <c r="DZ109" i="39"/>
  <c r="DW116" i="39"/>
  <c r="DU36" i="39"/>
  <c r="DK25" i="39"/>
  <c r="DX24" i="39"/>
  <c r="DT57" i="39"/>
  <c r="FP28" i="39"/>
  <c r="DT116" i="39"/>
  <c r="DG116" i="39"/>
  <c r="DC112" i="39"/>
  <c r="DV105" i="39"/>
  <c r="DU102" i="39"/>
  <c r="DM100" i="39"/>
  <c r="DG98" i="39"/>
  <c r="DC94" i="39"/>
  <c r="DZ24" i="39"/>
  <c r="DY25" i="39"/>
  <c r="DC48" i="39"/>
  <c r="FP79" i="39"/>
  <c r="DI19" i="39"/>
  <c r="DE10" i="39"/>
  <c r="DF103" i="39"/>
  <c r="DH95" i="39"/>
  <c r="DT86" i="39"/>
  <c r="DX19" i="39"/>
  <c r="DM46" i="39"/>
  <c r="DF50" i="39"/>
  <c r="DJ10" i="39"/>
  <c r="DC10" i="39"/>
  <c r="DX104" i="39"/>
  <c r="DF101" i="39"/>
  <c r="DM99" i="39"/>
  <c r="DX95" i="39"/>
  <c r="DJ94" i="39"/>
  <c r="DX88" i="39"/>
  <c r="DQ42" i="39"/>
  <c r="DW40" i="39"/>
  <c r="FP40" i="39"/>
  <c r="DZ102" i="39"/>
  <c r="DS101" i="39"/>
  <c r="DF99" i="39"/>
  <c r="DL96" i="39"/>
  <c r="DY94" i="39"/>
  <c r="DB92" i="39"/>
  <c r="DC88" i="39"/>
  <c r="DM20" i="39"/>
  <c r="DX49" i="39"/>
  <c r="DY42" i="39"/>
  <c r="DJ37" i="39"/>
  <c r="DV92" i="39"/>
  <c r="DG92" i="39"/>
  <c r="DG89" i="39"/>
  <c r="DW85" i="39"/>
  <c r="DB20" i="39"/>
  <c r="DS37" i="39"/>
  <c r="GN29" i="39"/>
  <c r="GO29" i="39" s="1" a="1"/>
  <c r="GO29" i="39" s="1"/>
  <c r="DU93" i="39"/>
  <c r="DH23" i="39"/>
  <c r="DH20" i="39"/>
  <c r="DC19" i="39"/>
  <c r="DF10" i="39"/>
  <c r="DP103" i="39"/>
  <c r="DY95" i="39"/>
  <c r="DE92" i="39"/>
  <c r="DO25" i="39"/>
  <c r="DS24" i="39"/>
  <c r="DO85" i="39"/>
  <c r="DQ23" i="39"/>
  <c r="DQ20" i="39"/>
  <c r="DQ116" i="39"/>
  <c r="DP113" i="39"/>
  <c r="DD31" i="39"/>
  <c r="DI24" i="39"/>
  <c r="DH49" i="39"/>
  <c r="DU52" i="39"/>
  <c r="DS49" i="39"/>
  <c r="DT42" i="39"/>
  <c r="DM37" i="39"/>
  <c r="DZ35" i="39"/>
  <c r="DY36" i="39"/>
  <c r="DV61" i="39"/>
  <c r="DQ60" i="39"/>
  <c r="DK59" i="39"/>
  <c r="DM58" i="39"/>
  <c r="DP57" i="39"/>
  <c r="DE72" i="39"/>
  <c r="DK65" i="39"/>
  <c r="DV82" i="39"/>
  <c r="DL61" i="39"/>
  <c r="DC107" i="39"/>
  <c r="DS108" i="39"/>
  <c r="DL108" i="39"/>
  <c r="DW35" i="39"/>
  <c r="DV36" i="39"/>
  <c r="DL25" i="39"/>
  <c r="DI54" i="39"/>
  <c r="DE80" i="39"/>
  <c r="DW75" i="39"/>
  <c r="DR69" i="39"/>
  <c r="DL68" i="39"/>
  <c r="DL64" i="39"/>
  <c r="DT65" i="39"/>
  <c r="DV87" i="39"/>
  <c r="DD36" i="39"/>
  <c r="DD37" i="39"/>
  <c r="DQ35" i="39"/>
  <c r="DY33" i="39"/>
  <c r="DR54" i="39"/>
  <c r="DM80" i="39"/>
  <c r="DQ73" i="39"/>
  <c r="DZ69" i="39"/>
  <c r="DU68" i="39"/>
  <c r="DU64" i="39"/>
  <c r="DB66" i="39"/>
  <c r="DK80" i="39"/>
  <c r="DJ86" i="39"/>
  <c r="DV114" i="39"/>
  <c r="DJ108" i="39"/>
  <c r="DE41" i="39"/>
  <c r="DD42" i="39"/>
  <c r="DJ40" i="39"/>
  <c r="DB35" i="39"/>
  <c r="DK57" i="39"/>
  <c r="DI72" i="39"/>
  <c r="DY73" i="39"/>
  <c r="DG70" i="39"/>
  <c r="DB69" i="39"/>
  <c r="DB65" i="39"/>
  <c r="DJ66" i="39"/>
  <c r="DU83" i="39"/>
  <c r="DV69" i="39"/>
  <c r="DI108" i="39"/>
  <c r="DZ105" i="39"/>
  <c r="DS103" i="39"/>
  <c r="DP40" i="39"/>
  <c r="DG35" i="39"/>
  <c r="DZ116" i="39"/>
  <c r="DG112" i="39"/>
  <c r="DP107" i="39"/>
  <c r="DX102" i="39"/>
  <c r="DU99" i="39"/>
  <c r="DG29" i="39"/>
  <c r="DK27" i="39"/>
  <c r="DJ28" i="39"/>
  <c r="DX50" i="39"/>
  <c r="DP90" i="39"/>
  <c r="DU112" i="39"/>
  <c r="DY100" i="39"/>
  <c r="DB94" i="39"/>
  <c r="DF88" i="39"/>
  <c r="DH24" i="39"/>
  <c r="DG49" i="39"/>
  <c r="DT52" i="39"/>
  <c r="FB20" i="39"/>
  <c r="FP27" i="39"/>
  <c r="DZ114" i="39"/>
  <c r="DJ109" i="39"/>
  <c r="DJ105" i="39"/>
  <c r="DL101" i="39"/>
  <c r="DQ99" i="39"/>
  <c r="DT94" i="39"/>
  <c r="DQ24" i="39"/>
  <c r="DV46" i="39"/>
  <c r="GN19" i="39"/>
  <c r="DX111" i="39"/>
  <c r="DL111" i="39"/>
  <c r="DF105" i="39"/>
  <c r="DX101" i="39"/>
  <c r="DL100" i="39"/>
  <c r="DD96" i="39"/>
  <c r="DS94" i="39"/>
  <c r="DF23" i="39"/>
  <c r="DQ19" i="39"/>
  <c r="DJ52" i="39"/>
  <c r="DC41" i="39"/>
  <c r="DI98" i="39"/>
  <c r="DH96" i="39"/>
  <c r="DW94" i="39"/>
  <c r="DH93" i="39"/>
  <c r="DP88" i="39"/>
  <c r="DF85" i="39"/>
  <c r="DD20" i="39"/>
  <c r="DV20" i="39"/>
  <c r="DE50" i="39"/>
  <c r="DK41" i="39"/>
  <c r="GN20" i="39"/>
  <c r="DX99" i="39"/>
  <c r="DX92" i="39"/>
  <c r="DL91" i="39"/>
  <c r="DV112" i="39"/>
  <c r="DZ100" i="39"/>
  <c r="DQ96" i="39"/>
  <c r="DH28" i="39"/>
  <c r="DH29" i="39"/>
  <c r="DL27" i="39"/>
  <c r="FB49" i="39"/>
  <c r="DD94" i="39"/>
  <c r="DB93" i="39"/>
  <c r="DI23" i="39"/>
  <c r="DK19" i="39"/>
  <c r="DS20" i="39"/>
  <c r="DS33" i="39"/>
  <c r="DH25" i="39"/>
  <c r="DM52" i="39"/>
  <c r="DF41" i="39"/>
  <c r="DE42" i="39"/>
  <c r="DK40" i="39"/>
  <c r="DP64" i="39"/>
  <c r="DW65" i="39"/>
  <c r="DE62" i="39"/>
  <c r="DH61" i="39"/>
  <c r="DC60" i="39"/>
  <c r="DM53" i="39"/>
  <c r="DS74" i="39"/>
  <c r="DF68" i="39"/>
  <c r="DR82" i="39"/>
  <c r="DC104" i="39"/>
  <c r="DT101" i="39"/>
  <c r="DI103" i="39"/>
  <c r="DB42" i="39"/>
  <c r="DQ40" i="39"/>
  <c r="DH35" i="39"/>
  <c r="DF28" i="39"/>
  <c r="DF29" i="39"/>
  <c r="DV56" i="39"/>
  <c r="DC81" i="39"/>
  <c r="DK54" i="39"/>
  <c r="DC72" i="39"/>
  <c r="DS73" i="39"/>
  <c r="DT69" i="39"/>
  <c r="DO68" i="39"/>
  <c r="DK70" i="39"/>
  <c r="DM69" i="39"/>
  <c r="DS83" i="39"/>
  <c r="DI107" i="39"/>
  <c r="DU114" i="39"/>
  <c r="DJ42" i="39"/>
  <c r="DY40" i="39"/>
  <c r="DW41" i="39"/>
  <c r="DP36" i="39"/>
  <c r="DO29" i="39"/>
  <c r="DC57" i="39"/>
  <c r="DK81" i="39"/>
  <c r="DT54" i="39"/>
  <c r="DD76" i="39"/>
  <c r="DK72" i="39"/>
  <c r="DI74" i="39"/>
  <c r="DI70" i="39"/>
  <c r="DW68" i="39"/>
  <c r="DV73" i="39"/>
  <c r="DX72" i="39"/>
  <c r="DG106" i="39"/>
  <c r="DC108" i="39"/>
  <c r="DC24" i="39"/>
  <c r="DD48" i="39"/>
  <c r="DX37" i="39"/>
  <c r="DG60" i="39"/>
  <c r="DR53" i="39"/>
  <c r="DW74" i="39"/>
  <c r="DL76" i="39"/>
  <c r="DT72" i="39"/>
  <c r="DR74" i="39"/>
  <c r="DR70" i="39"/>
  <c r="DD69" i="39"/>
  <c r="DY77" i="39"/>
  <c r="DQ83" i="39"/>
  <c r="DU111" i="39"/>
  <c r="DF97" i="39"/>
  <c r="DY99" i="39"/>
  <c r="DU37" i="39"/>
  <c r="DP33" i="39"/>
  <c r="FB58" i="39"/>
  <c r="DP116" i="39"/>
  <c r="DT111" i="39"/>
  <c r="DO105" i="39"/>
  <c r="DU31" i="39"/>
  <c r="DF31" i="39"/>
  <c r="DO95" i="39"/>
  <c r="DS87" i="39"/>
  <c r="DT85" i="39"/>
  <c r="DR20" i="39"/>
  <c r="DR109" i="39"/>
  <c r="DV98" i="39"/>
  <c r="DK94" i="39"/>
  <c r="DG25" i="39"/>
  <c r="FP49" i="39"/>
  <c r="DM10" i="39"/>
  <c r="DC113" i="39"/>
  <c r="DE111" i="39"/>
  <c r="DG104" i="39"/>
  <c r="DP100" i="39"/>
  <c r="DB27" i="39"/>
  <c r="DP49" i="39"/>
  <c r="DO50" i="39"/>
  <c r="DG46" i="39"/>
  <c r="DS10" i="39"/>
  <c r="DK10" i="39"/>
  <c r="DH116" i="39"/>
  <c r="DC111" i="39"/>
  <c r="DW105" i="39"/>
  <c r="DJ102" i="39"/>
  <c r="DB100" i="39"/>
  <c r="DK90" i="39"/>
  <c r="DY24" i="39"/>
  <c r="DX25" i="39"/>
  <c r="DB48" i="39"/>
  <c r="GN28" i="39"/>
  <c r="DM104" i="39"/>
  <c r="DF102" i="39"/>
  <c r="DH100" i="39"/>
  <c r="DW96" i="39"/>
  <c r="DG95" i="39"/>
  <c r="DP92" i="39"/>
  <c r="DW88" i="39"/>
  <c r="DO23" i="39"/>
  <c r="DY19" i="39"/>
  <c r="DS52" i="39"/>
  <c r="DJ48" i="39"/>
  <c r="DD105" i="39"/>
  <c r="DT96" i="39"/>
  <c r="DC95" i="39"/>
  <c r="DC86" i="39"/>
  <c r="DJ20" i="39"/>
  <c r="DT107" i="39"/>
  <c r="DY102" i="39"/>
  <c r="DJ33" i="39"/>
  <c r="DV31" i="39"/>
  <c r="DE100" i="39"/>
  <c r="DE97" i="39"/>
  <c r="DJ92" i="39"/>
  <c r="DB87" i="39"/>
  <c r="DK23" i="39"/>
  <c r="DM19" i="39"/>
  <c r="DU20" i="39"/>
  <c r="DR36" i="39"/>
  <c r="DQ29" i="39"/>
  <c r="DU27" i="39"/>
  <c r="DZ49" i="39"/>
  <c r="DS25" i="39"/>
  <c r="DE48" i="39"/>
  <c r="DW69" i="39"/>
  <c r="DR68" i="39"/>
  <c r="DZ64" i="39"/>
  <c r="DP66" i="39"/>
  <c r="DX62" i="39"/>
  <c r="DB56" i="39"/>
  <c r="DO77" i="39"/>
  <c r="DS70" i="39"/>
  <c r="DO82" i="39"/>
  <c r="DT99" i="39"/>
  <c r="DM95" i="39"/>
  <c r="DP97" i="39"/>
  <c r="DV37" i="39"/>
  <c r="DQ33" i="39"/>
  <c r="DT31" i="39"/>
  <c r="DR59" i="39"/>
  <c r="DC58" i="39"/>
  <c r="DE57" i="39"/>
  <c r="DM81" i="39"/>
  <c r="DY74" i="39"/>
  <c r="DO76" i="39"/>
  <c r="DM72" i="39"/>
  <c r="DU73" i="39"/>
  <c r="DD83" i="39"/>
  <c r="DG83" i="39"/>
  <c r="DY106" i="39"/>
  <c r="DD112" i="39"/>
  <c r="DL106" i="39"/>
  <c r="DB40" i="39"/>
  <c r="DZ59" i="39"/>
  <c r="DK58" i="39"/>
  <c r="DM57" i="39"/>
  <c r="DG75" i="39"/>
  <c r="DW76" i="39"/>
  <c r="DV72" i="39"/>
  <c r="DC74" i="39"/>
  <c r="DL83" i="39"/>
  <c r="DP83" i="39"/>
  <c r="DM106" i="39"/>
  <c r="DD109" i="39"/>
  <c r="DI114" i="39"/>
  <c r="DK28" i="39"/>
  <c r="DY50" i="39"/>
  <c r="DR46" i="39"/>
  <c r="DB50" i="39"/>
  <c r="DQ41" i="39"/>
  <c r="DT62" i="39"/>
  <c r="DF56" i="39"/>
  <c r="DJ77" i="39"/>
  <c r="DG79" i="39"/>
  <c r="DP75" i="39"/>
  <c r="DE77" i="39"/>
  <c r="DC73" i="39"/>
  <c r="DK74" i="39"/>
  <c r="DM83" i="39"/>
  <c r="DU61" i="39"/>
  <c r="DE98" i="39"/>
  <c r="DF91" i="39"/>
  <c r="DX98" i="39"/>
  <c r="DM41" i="39"/>
  <c r="DF36" i="39"/>
  <c r="DF37" i="39"/>
  <c r="DJ35" i="39"/>
  <c r="DQ49" i="39"/>
  <c r="DQ10" i="39"/>
  <c r="DD116" i="39"/>
  <c r="DH37" i="39"/>
  <c r="DL35" i="39"/>
  <c r="DU33" i="39"/>
  <c r="GN49" i="39"/>
  <c r="DD102" i="39"/>
  <c r="DM94" i="39"/>
  <c r="DW93" i="39"/>
  <c r="DB23" i="39"/>
  <c r="DD19" i="39"/>
  <c r="DG10" i="39"/>
  <c r="DW103" i="39"/>
  <c r="DD100" i="39"/>
  <c r="DP29" i="39"/>
  <c r="DT27" i="39"/>
  <c r="DS28" i="39"/>
  <c r="DR19" i="39"/>
  <c r="DB19" i="39"/>
  <c r="DP10" i="39"/>
  <c r="DY112" i="39"/>
  <c r="DY109" i="39"/>
  <c r="DX29" i="39"/>
  <c r="DB52" i="39"/>
  <c r="DI53" i="39"/>
  <c r="DT48" i="39"/>
  <c r="GN37" i="39"/>
  <c r="GO37" i="39" s="1" a="1"/>
  <c r="GO37" i="39" s="1"/>
  <c r="DV10" i="39"/>
  <c r="DS111" i="39"/>
  <c r="DM105" i="39"/>
  <c r="DL95" i="39"/>
  <c r="DJ27" i="39"/>
  <c r="DR28" i="39"/>
  <c r="DW50" i="39"/>
  <c r="DP46" i="39"/>
  <c r="GN77" i="39"/>
  <c r="DP112" i="39"/>
  <c r="DY111" i="39"/>
  <c r="DU105" i="39"/>
  <c r="DH102" i="39"/>
  <c r="DX100" i="39"/>
  <c r="DO96" i="39"/>
  <c r="DJ95" i="39"/>
  <c r="DG91" i="39"/>
  <c r="DF25" i="39"/>
  <c r="DJ24" i="39"/>
  <c r="DX46" i="39"/>
  <c r="GN59" i="39"/>
  <c r="DR113" i="39"/>
  <c r="DQ102" i="39"/>
  <c r="DV100" i="39"/>
  <c r="DX93" i="39"/>
  <c r="DC23" i="39"/>
  <c r="DE19" i="39"/>
  <c r="DC116" i="39"/>
  <c r="DK112" i="39"/>
  <c r="DI36" i="39"/>
  <c r="DI37" i="39"/>
  <c r="DM35" i="39"/>
  <c r="FP77" i="39"/>
  <c r="DP105" i="39"/>
  <c r="DU104" i="39"/>
  <c r="DS95" i="39"/>
  <c r="DG94" i="39"/>
  <c r="DV91" i="39"/>
  <c r="DG87" i="39"/>
  <c r="DM23" i="39"/>
  <c r="DD40" i="39"/>
  <c r="DD33" i="39"/>
  <c r="DE27" i="39"/>
  <c r="DL28" i="39"/>
  <c r="DZ50" i="39"/>
  <c r="DJ46" i="39"/>
  <c r="DC50" i="39"/>
  <c r="DQ72" i="39"/>
  <c r="DX73" i="39"/>
  <c r="DF70" i="39"/>
  <c r="DI69" i="39"/>
  <c r="DR65" i="39"/>
  <c r="DX58" i="39"/>
  <c r="DR80" i="39"/>
  <c r="DL73" i="39"/>
  <c r="DJ57" i="39"/>
  <c r="DX90" i="39"/>
  <c r="DY90" i="39"/>
  <c r="DX91" i="39"/>
  <c r="DH50" i="39"/>
  <c r="DO41" i="39"/>
  <c r="DG36" i="39"/>
  <c r="DG37" i="39"/>
  <c r="DC62" i="39"/>
  <c r="DY60" i="39"/>
  <c r="DT59" i="39"/>
  <c r="DH56" i="39"/>
  <c r="DL77" i="39"/>
  <c r="DI79" i="39"/>
  <c r="DI75" i="39"/>
  <c r="DQ76" i="39"/>
  <c r="DW64" i="39"/>
  <c r="DF116" i="39"/>
  <c r="DU107" i="39"/>
  <c r="DK105" i="39"/>
  <c r="DQ50" i="39"/>
  <c r="DI46" i="39"/>
  <c r="DU49" i="39"/>
  <c r="DV42" i="39"/>
  <c r="DP37" i="39"/>
  <c r="DK62" i="39"/>
  <c r="DF61" i="39"/>
  <c r="DI60" i="39"/>
  <c r="DT53" i="39"/>
  <c r="DU77" i="39"/>
  <c r="DR79" i="39"/>
  <c r="DR75" i="39"/>
  <c r="DY76" i="39"/>
  <c r="DP53" i="39"/>
  <c r="DK66" i="39"/>
  <c r="DJ116" i="39"/>
  <c r="DC105" i="39"/>
  <c r="DT104" i="39"/>
  <c r="DG31" i="39"/>
  <c r="DD24" i="39"/>
  <c r="DC49" i="39"/>
  <c r="DX52" i="39"/>
  <c r="DP48" i="39"/>
  <c r="DM65" i="39"/>
  <c r="DT58" i="39"/>
  <c r="DV80" i="39"/>
  <c r="DD54" i="39"/>
  <c r="DH80" i="39"/>
  <c r="DZ75" i="39"/>
  <c r="DG77" i="39"/>
  <c r="DF64" i="39"/>
  <c r="DB82" i="39"/>
  <c r="DY93" i="39"/>
  <c r="DY89" i="39"/>
  <c r="DJ90" i="39"/>
  <c r="DL48" i="39"/>
  <c r="DL42" i="39"/>
  <c r="DC36" i="39"/>
  <c r="GN58" i="39"/>
  <c r="DP85" i="39"/>
  <c r="DZ23" i="39"/>
  <c r="DI20" i="39"/>
  <c r="DU40" i="39"/>
  <c r="DS41" i="39"/>
  <c r="DK36" i="39"/>
  <c r="DE109" i="39"/>
  <c r="DU100" i="39"/>
  <c r="DI97" i="39"/>
  <c r="DK89" i="39"/>
  <c r="DJ112" i="39"/>
  <c r="DK108" i="39"/>
  <c r="DC33" i="39"/>
  <c r="DO31" i="39"/>
  <c r="GN40" i="39"/>
  <c r="DH91" i="39"/>
  <c r="DK88" i="39"/>
  <c r="DZ20" i="39"/>
  <c r="DI10" i="39"/>
  <c r="DP25" i="39"/>
  <c r="DT24" i="39"/>
  <c r="GN53" i="39"/>
  <c r="DX10" i="39"/>
  <c r="DM113" i="39"/>
  <c r="DO101" i="39"/>
  <c r="DE31" i="39"/>
  <c r="DB24" i="39"/>
  <c r="DI49" i="39"/>
  <c r="FB68" i="39"/>
  <c r="DT10" i="39"/>
  <c r="DY116" i="39"/>
  <c r="DP111" i="39"/>
  <c r="DM107" i="39"/>
  <c r="DV102" i="39"/>
  <c r="DO100" i="39"/>
  <c r="DF96" i="39"/>
  <c r="DS27" i="39"/>
  <c r="DZ28" i="39"/>
  <c r="DD27" i="39"/>
  <c r="DR49" i="39"/>
  <c r="DB112" i="39"/>
  <c r="DU106" i="39"/>
  <c r="DU97" i="39"/>
  <c r="DL89" i="39"/>
  <c r="DP42" i="39"/>
  <c r="DV40" i="39"/>
  <c r="DT41" i="39"/>
  <c r="DL114" i="39"/>
  <c r="DQ112" i="39"/>
  <c r="DE101" i="39"/>
  <c r="DR98" i="39"/>
  <c r="DC96" i="39"/>
  <c r="DI94" i="39"/>
  <c r="DD92" i="39"/>
  <c r="DK85" i="39"/>
  <c r="DO20" i="39"/>
  <c r="DX42" i="39"/>
  <c r="DR37" i="39"/>
  <c r="DV35" i="39"/>
  <c r="DH31" i="39"/>
  <c r="DE24" i="39"/>
  <c r="DD49" i="39"/>
  <c r="DY52" i="39"/>
  <c r="DQ48" i="39"/>
  <c r="DD75" i="39"/>
  <c r="DK76" i="39"/>
  <c r="DS72" i="39"/>
  <c r="DQ74" i="39"/>
  <c r="DD68" i="39"/>
  <c r="DJ61" i="39"/>
  <c r="DX54" i="39"/>
  <c r="DH76" i="39"/>
  <c r="DJ81" i="39"/>
  <c r="DZ83" i="39"/>
  <c r="DQ89" i="39"/>
  <c r="DE86" i="39"/>
  <c r="DF89" i="39"/>
  <c r="DV52" i="39"/>
  <c r="DM48" i="39"/>
  <c r="DM42" i="39"/>
  <c r="DT40" i="39"/>
  <c r="DX64" i="39"/>
  <c r="DE66" i="39"/>
  <c r="DM62" i="39"/>
  <c r="DV58" i="39"/>
  <c r="DX80" i="39"/>
  <c r="DV53" i="39"/>
  <c r="DW77" i="39"/>
  <c r="DC79" i="39"/>
  <c r="DT70" i="39"/>
  <c r="DZ82" i="39"/>
  <c r="DS104" i="39"/>
  <c r="DI101" i="39"/>
  <c r="DW101" i="39"/>
  <c r="DC53" i="39"/>
  <c r="DV48" i="39"/>
  <c r="DP52" i="39"/>
  <c r="DH41" i="39"/>
  <c r="DE65" i="39"/>
  <c r="DM66" i="39"/>
  <c r="DV62" i="39"/>
  <c r="DQ56" i="39"/>
  <c r="DF81" i="39"/>
  <c r="DF54" i="39"/>
  <c r="DK79" i="39"/>
  <c r="DG72" i="39"/>
  <c r="DH83" i="39"/>
  <c r="DE103" i="39"/>
  <c r="DW99" i="39"/>
  <c r="DE102" i="39"/>
  <c r="DV33" i="39"/>
  <c r="DC25" i="39"/>
  <c r="DP24" i="39"/>
  <c r="DU46" i="39"/>
  <c r="DH68" i="39"/>
  <c r="DO61" i="39"/>
  <c r="DV57" i="39"/>
  <c r="DY56" i="39"/>
  <c r="DO81" i="39"/>
  <c r="DO54" i="39"/>
  <c r="DB80" i="39"/>
  <c r="DP82" i="39"/>
  <c r="DF60" i="39"/>
  <c r="DG86" i="39"/>
  <c r="DH88" i="39"/>
  <c r="DK24" i="39"/>
  <c r="DL24" i="39"/>
  <c r="DZ46" i="39"/>
  <c r="DJ88" i="39"/>
  <c r="DE94" i="39"/>
  <c r="DG93" i="39"/>
  <c r="DO88" i="39"/>
  <c r="DC85" i="39"/>
  <c r="DC20" i="39"/>
  <c r="DF40" i="39"/>
  <c r="DB10" i="39"/>
  <c r="DI106" i="39"/>
  <c r="DR102" i="39"/>
  <c r="DF95" i="39"/>
  <c r="DX85" i="39"/>
  <c r="DK20" i="39"/>
  <c r="DY10" i="39"/>
  <c r="DR116" i="39"/>
  <c r="DQ37" i="39"/>
  <c r="DU35" i="39"/>
  <c r="DT36" i="39"/>
  <c r="FB77" i="39"/>
  <c r="DG96" i="39"/>
  <c r="DV94" i="39"/>
  <c r="DU87" i="39"/>
  <c r="DJ23" i="39"/>
  <c r="DL19" i="39"/>
  <c r="DT20" i="39"/>
  <c r="DC35" i="39"/>
  <c r="DI28" i="39"/>
  <c r="DI29" i="39"/>
  <c r="DZ19" i="39"/>
  <c r="DJ19" i="39"/>
  <c r="DI111" i="39"/>
  <c r="DK35" i="39"/>
  <c r="DT33" i="39"/>
  <c r="GN69" i="39"/>
  <c r="DM116" i="39"/>
  <c r="DH112" i="39"/>
  <c r="DY105" i="39"/>
  <c r="DO102" i="39"/>
  <c r="DB33" i="39"/>
  <c r="DM31" i="39"/>
  <c r="DZ29" i="39"/>
  <c r="DD52" i="39"/>
  <c r="FB19" i="39"/>
  <c r="DD10" i="39"/>
  <c r="DS102" i="39"/>
  <c r="DV95" i="39"/>
  <c r="DO86" i="39"/>
  <c r="DL20" i="39"/>
  <c r="FP37" i="39"/>
  <c r="DI109" i="39"/>
  <c r="DY104" i="39"/>
  <c r="DY101" i="39"/>
  <c r="DU98" i="39"/>
  <c r="DE96" i="39"/>
  <c r="DS92" i="39"/>
  <c r="DG23" i="39"/>
  <c r="DB41" i="39"/>
  <c r="DI42" i="39"/>
  <c r="DO35" i="39"/>
  <c r="DW33" i="39"/>
  <c r="DD25" i="39"/>
  <c r="DY53" i="39"/>
  <c r="DZ77" i="39"/>
  <c r="DF79" i="39"/>
  <c r="DO75" i="39"/>
  <c r="DD77" i="39"/>
  <c r="DY70" i="39"/>
  <c r="DD64" i="39"/>
  <c r="DR57" i="39"/>
  <c r="DC75" i="39"/>
  <c r="DQ85" i="39"/>
  <c r="DB89" i="39"/>
  <c r="DM24" i="39"/>
  <c r="DS46" i="39"/>
  <c r="DD70" i="39"/>
  <c r="DZ68" i="39"/>
  <c r="DG65" i="39"/>
  <c r="DQ61" i="39"/>
  <c r="DX57" i="39"/>
  <c r="DJ56" i="39"/>
  <c r="DZ80" i="39"/>
  <c r="DZ58" i="39"/>
  <c r="DW82" i="39"/>
  <c r="DL56" i="39"/>
  <c r="DK100" i="39"/>
  <c r="DL90" i="39"/>
  <c r="DL52" i="39"/>
  <c r="DV24" i="39"/>
  <c r="DU25" i="39"/>
  <c r="DG48" i="39"/>
  <c r="DL70" i="39"/>
  <c r="DG69" i="39"/>
  <c r="DP65" i="39"/>
  <c r="DD59" i="39"/>
  <c r="DF58" i="39"/>
  <c r="DS56" i="39"/>
  <c r="DH81" i="39"/>
  <c r="DO60" i="39"/>
  <c r="DE83" i="39"/>
  <c r="DI58" i="39"/>
  <c r="DM98" i="39"/>
  <c r="DM91" i="39"/>
  <c r="DC98" i="39"/>
  <c r="DL36" i="39"/>
  <c r="DK29" i="39"/>
  <c r="DX27" i="39"/>
  <c r="DW28" i="39"/>
  <c r="DI27" i="39"/>
  <c r="DO49" i="39"/>
  <c r="DU70" i="39"/>
  <c r="DH64" i="39"/>
  <c r="DR60" i="39"/>
  <c r="DL59" i="39"/>
  <c r="DO58" i="39"/>
  <c r="DH57" i="39"/>
  <c r="DQ81" i="39"/>
  <c r="DH77" i="39"/>
  <c r="DQ54" i="39"/>
  <c r="DV81" i="39"/>
  <c r="DS85" i="39"/>
  <c r="DP50" i="39"/>
  <c r="DU94" i="39"/>
  <c r="DF100" i="39"/>
  <c r="DV96" i="39"/>
  <c r="DX94" i="39"/>
  <c r="DJ93" i="39"/>
  <c r="DT88" i="39"/>
  <c r="DG85" i="39"/>
  <c r="DP19" i="39"/>
  <c r="DE46" i="39"/>
  <c r="DY49" i="39"/>
  <c r="DZ42" i="39"/>
  <c r="GN48" i="39"/>
  <c r="DU116" i="39"/>
  <c r="DR112" i="39"/>
  <c r="DW100" i="39"/>
  <c r="DH94" i="39"/>
  <c r="DD23" i="39"/>
  <c r="DF19" i="39"/>
  <c r="DI41" i="39"/>
  <c r="DH42" i="39"/>
  <c r="DO40" i="39"/>
  <c r="DP102" i="39"/>
  <c r="DB101" i="39"/>
  <c r="DF94" i="39"/>
  <c r="DU91" i="39"/>
  <c r="DK86" i="39"/>
  <c r="DL23" i="39"/>
  <c r="DO19" i="39"/>
  <c r="DY37" i="39"/>
  <c r="DK33" i="39"/>
  <c r="DW31" i="39"/>
  <c r="FB69" i="39"/>
  <c r="DF92" i="39"/>
  <c r="DJ91" i="39"/>
  <c r="DL88" i="39"/>
  <c r="DS23" i="39"/>
  <c r="DU19" i="39"/>
  <c r="DR10" i="39"/>
  <c r="DZ41" i="39"/>
  <c r="DJ36" i="39"/>
  <c r="DR29" i="39"/>
  <c r="FB59" i="39"/>
  <c r="FP58" i="39"/>
  <c r="DV111" i="39"/>
  <c r="DT35" i="39"/>
  <c r="DS36" i="39"/>
  <c r="DR25" i="39"/>
  <c r="FP19" i="39"/>
  <c r="DE112" i="39"/>
  <c r="DH101" i="39"/>
  <c r="DL93" i="39"/>
  <c r="DE23" i="39"/>
  <c r="DM50" i="39"/>
  <c r="DF46" i="39"/>
  <c r="FB27" i="39"/>
  <c r="DL10" i="39"/>
  <c r="DT112" i="39"/>
  <c r="DD111" i="39"/>
  <c r="DL105" i="39"/>
  <c r="DM101" i="39"/>
  <c r="DH98" i="39"/>
  <c r="DW25" i="39"/>
  <c r="DI48" i="39"/>
  <c r="DU41" i="39"/>
  <c r="DM36" i="39"/>
  <c r="DL29" i="39"/>
  <c r="DY27" i="39"/>
  <c r="DX28" i="39"/>
  <c r="DM56" i="39"/>
  <c r="DU80" i="39"/>
  <c r="DC54" i="39"/>
  <c r="DP80" i="39"/>
  <c r="DJ73" i="39"/>
  <c r="DZ66" i="39"/>
  <c r="DE60" i="39"/>
  <c r="DL82" i="39"/>
  <c r="DC66" i="39"/>
  <c r="DJ83" i="39"/>
  <c r="DB113" i="39"/>
  <c r="DO110" i="39"/>
  <c r="DM27" i="39"/>
  <c r="DU28" i="39"/>
  <c r="DG27" i="39"/>
  <c r="DL49" i="39"/>
  <c r="DK50" i="39"/>
  <c r="DD46" i="39"/>
  <c r="DY72" i="39"/>
  <c r="DF74" i="39"/>
  <c r="DO70" i="39"/>
  <c r="DB64" i="39"/>
  <c r="DK60" i="39"/>
  <c r="DF59" i="39"/>
  <c r="DZ57" i="39"/>
  <c r="DM73" i="39"/>
  <c r="DQ59" i="39"/>
  <c r="DC80" i="39"/>
  <c r="DK96" i="39"/>
  <c r="DL92" i="39"/>
  <c r="DV27" i="39"/>
  <c r="DC29" i="39"/>
  <c r="DP27" i="39"/>
  <c r="DO28" i="39"/>
  <c r="DT50" i="39"/>
  <c r="DL46" i="39"/>
  <c r="DF73" i="39"/>
  <c r="DO74" i="39"/>
  <c r="DB68" i="39"/>
  <c r="DY61" i="39"/>
  <c r="DT60" i="39"/>
  <c r="DO59" i="39"/>
  <c r="DH58" i="39"/>
  <c r="DK75" i="39"/>
  <c r="DS62" i="39"/>
  <c r="DU81" i="39"/>
  <c r="DC93" i="39"/>
  <c r="DH92" i="39"/>
  <c r="DR90" i="39"/>
  <c r="DG40" i="39"/>
  <c r="DG33" i="39"/>
  <c r="DJ31" i="39"/>
  <c r="DW29" i="39"/>
  <c r="DI52" i="39"/>
  <c r="DO73" i="39"/>
  <c r="DV66" i="39"/>
  <c r="DX65" i="39"/>
  <c r="DF62" i="39"/>
  <c r="DI61" i="39"/>
  <c r="DW59" i="39"/>
  <c r="DQ58" i="39"/>
  <c r="DK83" i="39"/>
  <c r="DL74" i="39"/>
  <c r="DE114" i="39"/>
  <c r="DX106" i="39"/>
  <c r="CF54" i="39" a="1"/>
  <c r="CF54" i="39" s="1"/>
  <c r="BZ47" i="39" a="1"/>
  <c r="BZ47" i="39" s="1"/>
  <c r="V47" i="39" s="1"/>
  <c r="DU88" i="39"/>
  <c r="DD99" i="39"/>
  <c r="DO113" i="39"/>
  <c r="DB116" i="39"/>
  <c r="DW110" i="39"/>
  <c r="DS110" i="39"/>
  <c r="DO112" i="39"/>
  <c r="DW112" i="39"/>
  <c r="DH103" i="39"/>
  <c r="DB86" i="39"/>
  <c r="DU92" i="39"/>
  <c r="DR83" i="39"/>
  <c r="DL79" i="39"/>
  <c r="DD82" i="39"/>
  <c r="DR62" i="39"/>
  <c r="DR66" i="39"/>
  <c r="DI65" i="39"/>
  <c r="DT68" i="39"/>
  <c r="DY69" i="39"/>
  <c r="DP73" i="39"/>
  <c r="DL80" i="39"/>
  <c r="DS58" i="39"/>
  <c r="DQ36" i="39"/>
  <c r="DX41" i="39"/>
  <c r="DZ40" i="39"/>
  <c r="DK42" i="39"/>
  <c r="DT93" i="39"/>
  <c r="DV88" i="39"/>
  <c r="DZ92" i="39"/>
  <c r="DY81" i="39"/>
  <c r="DG54" i="39"/>
  <c r="DG81" i="39"/>
  <c r="DZ56" i="39"/>
  <c r="DW57" i="39"/>
  <c r="DP61" i="39"/>
  <c r="DF65" i="39"/>
  <c r="DF69" i="39"/>
  <c r="DH36" i="39"/>
  <c r="DP41" i="39"/>
  <c r="DI50" i="39"/>
  <c r="DQ46" i="39"/>
  <c r="DI93" i="39"/>
  <c r="DI88" i="39"/>
  <c r="DW92" i="39"/>
  <c r="DS82" i="39"/>
  <c r="DP72" i="39"/>
  <c r="DT80" i="39"/>
  <c r="DG59" i="39"/>
  <c r="DL60" i="39"/>
  <c r="DZ61" i="39"/>
  <c r="DC68" i="39"/>
  <c r="DP74" i="39"/>
  <c r="DZ72" i="39"/>
  <c r="DS76" i="39"/>
  <c r="DF48" i="39"/>
  <c r="DT25" i="39"/>
  <c r="DU24" i="39"/>
  <c r="DI25" i="39"/>
  <c r="DI90" i="39"/>
  <c r="DD95" i="39"/>
  <c r="DY83" i="39"/>
  <c r="DD79" i="39"/>
  <c r="DJ80" i="39"/>
  <c r="DY58" i="39"/>
  <c r="DJ65" i="39"/>
  <c r="DD72" i="39"/>
  <c r="DL54" i="39"/>
  <c r="DD81" i="39"/>
  <c r="DO56" i="39"/>
  <c r="DR52" i="39"/>
  <c r="DK49" i="39"/>
  <c r="DW79" i="39"/>
  <c r="DT106" i="39"/>
  <c r="DD110" i="39"/>
  <c r="DD107" i="39"/>
  <c r="DR114" i="39"/>
  <c r="DG105" i="39"/>
  <c r="DX109" i="39"/>
  <c r="DB109" i="39"/>
  <c r="DP108" i="39"/>
  <c r="DF107" i="39"/>
  <c r="DZ101" i="39"/>
  <c r="DK93" i="39"/>
  <c r="DC90" i="39"/>
  <c r="DZ76" i="39"/>
  <c r="DH54" i="39"/>
  <c r="DC70" i="39"/>
  <c r="DX59" i="39"/>
  <c r="DB61" i="39"/>
  <c r="DP62" i="39"/>
  <c r="DG66" i="39"/>
  <c r="DR64" i="39"/>
  <c r="DV70" i="39"/>
  <c r="DR77" i="39"/>
  <c r="DE56" i="39"/>
  <c r="DZ33" i="39"/>
  <c r="DR35" i="39"/>
  <c r="DE37" i="39"/>
  <c r="DE36" i="39"/>
  <c r="DL41" i="39"/>
  <c r="DW95" i="39"/>
  <c r="DQ90" i="39"/>
  <c r="DM90" i="39"/>
  <c r="DT81" i="39"/>
  <c r="DJ62" i="39"/>
  <c r="DJ75" i="39"/>
  <c r="DJ79" i="39"/>
  <c r="DE54" i="39"/>
  <c r="DO80" i="39"/>
  <c r="DU58" i="39"/>
  <c r="DL62" i="39"/>
  <c r="DL66" i="39"/>
  <c r="DR33" i="39"/>
  <c r="DW37" i="39"/>
  <c r="DK95" i="39"/>
  <c r="DV90" i="39"/>
  <c r="DB91" i="39"/>
  <c r="DG68" i="39"/>
  <c r="DS80" i="39"/>
  <c r="DK56" i="39"/>
  <c r="DY57" i="39"/>
  <c r="DE59" i="39"/>
  <c r="DQ65" i="39"/>
  <c r="DH69" i="39"/>
  <c r="DE70" i="39"/>
  <c r="DE74" i="39"/>
  <c r="DF42" i="39"/>
  <c r="DG41" i="39"/>
  <c r="DO52" i="39"/>
  <c r="DU48" i="39"/>
  <c r="DH99" i="39"/>
  <c r="DB97" i="39"/>
  <c r="DZ103" i="39"/>
  <c r="DU74" i="39"/>
  <c r="DB57" i="39"/>
  <c r="DP77" i="39"/>
  <c r="DC56" i="39"/>
  <c r="DY62" i="39"/>
  <c r="DJ69" i="39"/>
  <c r="DX75" i="39"/>
  <c r="DX79" i="39"/>
  <c r="DS77" i="39"/>
  <c r="DZ53" i="39"/>
  <c r="DW49" i="39"/>
  <c r="DS40" i="39"/>
  <c r="DT29" i="39"/>
  <c r="DL109" i="39"/>
  <c r="DV109" i="39"/>
  <c r="DF108" i="39"/>
  <c r="DO107" i="39"/>
  <c r="DC101" i="39"/>
  <c r="DD103" i="39"/>
  <c r="DG107" i="39"/>
  <c r="DV104" i="39"/>
  <c r="DR104" i="39"/>
  <c r="DY91" i="39"/>
  <c r="DB95" i="39"/>
  <c r="DV97" i="39"/>
  <c r="DF82" i="39"/>
  <c r="DR81" i="39"/>
  <c r="DI57" i="39"/>
  <c r="DP58" i="39"/>
  <c r="DV59" i="39"/>
  <c r="DS60" i="39"/>
  <c r="DX61" i="39"/>
  <c r="DI68" i="39"/>
  <c r="DV74" i="39"/>
  <c r="DQ53" i="39"/>
  <c r="DC31" i="39"/>
  <c r="DZ31" i="39"/>
  <c r="DO33" i="39"/>
  <c r="DT37" i="39"/>
  <c r="DM97" i="39"/>
  <c r="DO98" i="39"/>
  <c r="DT97" i="39"/>
  <c r="DY54" i="39"/>
  <c r="DW72" i="39"/>
  <c r="DX76" i="39"/>
  <c r="DQ75" i="39"/>
  <c r="DH79" i="39"/>
  <c r="DK77" i="39"/>
  <c r="DG56" i="39"/>
  <c r="DS59" i="39"/>
  <c r="DE61" i="39"/>
  <c r="DG28" i="39"/>
  <c r="DI35" i="39"/>
  <c r="DR40" i="39"/>
  <c r="DC42" i="39"/>
  <c r="DD41" i="39"/>
  <c r="DR97" i="39"/>
  <c r="DT100" i="39"/>
  <c r="DK101" i="39"/>
  <c r="DB81" i="39"/>
  <c r="DX77" i="39"/>
  <c r="DW53" i="39"/>
  <c r="DY80" i="39"/>
  <c r="DR56" i="39"/>
  <c r="DW62" i="39"/>
  <c r="DO66" i="39"/>
  <c r="DY64" i="39"/>
  <c r="DY68" i="39"/>
  <c r="DS35" i="39"/>
  <c r="DO37" i="39"/>
  <c r="DU42" i="39"/>
  <c r="DT49" i="39"/>
  <c r="DH46" i="39"/>
  <c r="DQ103" i="39"/>
  <c r="DK104" i="39"/>
  <c r="DK107" i="39"/>
  <c r="DT74" i="39"/>
  <c r="DO53" i="39"/>
  <c r="DD60" i="39"/>
  <c r="DY66" i="39"/>
  <c r="DI73" i="39"/>
  <c r="DU76" i="39"/>
  <c r="DE75" i="39"/>
  <c r="DE79" i="39"/>
  <c r="DS31" i="39"/>
  <c r="DF27" i="39"/>
  <c r="BZ55" i="39" a="1"/>
  <c r="BZ55" i="39" s="1"/>
  <c r="CB55" i="39" s="1" a="1"/>
  <c r="CB55" i="39" s="1"/>
  <c r="BZ51" i="39" a="1"/>
  <c r="BZ51" i="39" s="1"/>
  <c r="V51" i="39" s="1"/>
  <c r="CF55" i="39" a="1"/>
  <c r="CF55" i="39" s="1"/>
  <c r="CF50" i="39" a="1"/>
  <c r="CF50" i="39" s="1"/>
  <c r="CG50" i="39" a="1"/>
  <c r="CG50" i="39" s="1"/>
  <c r="CB68" i="39" a="1"/>
  <c r="CB68" i="39" s="1"/>
  <c r="CB48" i="39" a="1"/>
  <c r="CB48" i="39" s="1"/>
  <c r="CF51" i="39" a="1"/>
  <c r="CF51" i="39" s="1"/>
  <c r="CG54" i="39" a="1"/>
  <c r="CG54" i="39" s="1"/>
  <c r="CA48" i="39" a="1"/>
  <c r="CA48" i="39" s="1"/>
  <c r="CF49" i="39" a="1"/>
  <c r="CF49" i="39" s="1"/>
  <c r="BZ49" i="39" a="1"/>
  <c r="BZ49" i="39" s="1"/>
  <c r="CG49" i="39" a="1"/>
  <c r="CG49" i="39" s="1"/>
  <c r="V63" i="39"/>
  <c r="CA63" i="39" a="1"/>
  <c r="CA63" i="39" s="1"/>
  <c r="CG53" i="39" a="1"/>
  <c r="CG53" i="39" s="1"/>
  <c r="BZ53" i="39" a="1"/>
  <c r="BZ53" i="39" s="1"/>
  <c r="CA54" i="39" a="1"/>
  <c r="CA54" i="39" s="1"/>
  <c r="CB54" i="39" a="1"/>
  <c r="CB54" i="39" s="1"/>
  <c r="CB58" i="39" a="1"/>
  <c r="CB58" i="39" s="1"/>
  <c r="GJ117" i="39"/>
  <c r="HK117" i="39" s="1"/>
  <c r="CB56" i="39" a="1"/>
  <c r="CB56" i="39" s="1"/>
  <c r="V56" i="39"/>
  <c r="CB52" i="39" a="1"/>
  <c r="CB52" i="39" s="1"/>
  <c r="V52" i="39"/>
  <c r="CB65" i="39" a="1"/>
  <c r="CB65" i="39" s="1"/>
  <c r="CA59" i="39" a="1"/>
  <c r="CA59" i="39" s="1"/>
  <c r="V59" i="39"/>
  <c r="CA45" i="39" a="1"/>
  <c r="CA45" i="39" s="1"/>
  <c r="CB45" i="39" a="1"/>
  <c r="CB45" i="39" s="1"/>
  <c r="CB46" i="39" a="1"/>
  <c r="CB46" i="39" s="1"/>
  <c r="CA46" i="39" a="1"/>
  <c r="CA46" i="39" s="1"/>
  <c r="CA61" i="39" a="1"/>
  <c r="CA61" i="39" s="1"/>
  <c r="CB61" i="39" a="1"/>
  <c r="CB61" i="39" s="1"/>
  <c r="CA65" i="39" a="1"/>
  <c r="CA65" i="39" s="1"/>
  <c r="CB59" i="39" a="1"/>
  <c r="CB59" i="39" s="1"/>
  <c r="CB63" i="39" a="1"/>
  <c r="CB63" i="39" s="1"/>
  <c r="CB66" i="39" a="1"/>
  <c r="CB66" i="39" s="1"/>
  <c r="CA66" i="39" a="1"/>
  <c r="CA66" i="39" s="1"/>
  <c r="CA58" i="39" a="1"/>
  <c r="CA58" i="39" s="1"/>
  <c r="CA55" i="39" a="1"/>
  <c r="CA55" i="39" s="1"/>
  <c r="CB64" i="39" a="1"/>
  <c r="CB64" i="39" s="1"/>
  <c r="CA64" i="39" a="1"/>
  <c r="CA64" i="39" s="1"/>
  <c r="CA62" i="39" a="1"/>
  <c r="CA62" i="39" s="1"/>
  <c r="CB62" i="39" a="1"/>
  <c r="CB62" i="39" s="1"/>
  <c r="CA56" i="39" a="1"/>
  <c r="CA56" i="39" s="1"/>
  <c r="CA52" i="39" a="1"/>
  <c r="CA52" i="39" s="1"/>
  <c r="CA68" i="39" a="1"/>
  <c r="CA68" i="39" s="1"/>
  <c r="CB67" i="39" a="1"/>
  <c r="CB67" i="39" s="1"/>
  <c r="CA67" i="39" a="1"/>
  <c r="CA67" i="39" s="1"/>
  <c r="CA60" i="39" a="1"/>
  <c r="CA60" i="39" s="1"/>
  <c r="CB60" i="39" a="1"/>
  <c r="CB60" i="39" s="1"/>
  <c r="CB50" i="39" a="1"/>
  <c r="CB50" i="39" s="1"/>
  <c r="CA50" i="39" a="1"/>
  <c r="CA50" i="39" s="1"/>
  <c r="CA57" i="39" a="1"/>
  <c r="CA57" i="39" s="1"/>
  <c r="CB57" i="39" a="1"/>
  <c r="CB57" i="39" s="1"/>
  <c r="CA44" i="39" a="1"/>
  <c r="CA44" i="39" s="1"/>
  <c r="CB44" i="39" a="1"/>
  <c r="CB44" i="39" s="1"/>
  <c r="CC101" i="39"/>
  <c r="CA101" i="39"/>
  <c r="FH69" i="7" a="1"/>
  <c r="FH69" i="7" s="1"/>
  <c r="FH70" i="7" a="1"/>
  <c r="FH70" i="7" s="1"/>
  <c r="FH71" i="7" a="1"/>
  <c r="FH71" i="7" s="1"/>
  <c r="FH72" i="7" a="1"/>
  <c r="FH72" i="7" s="1"/>
  <c r="FH73" i="7" a="1"/>
  <c r="FH73" i="7" s="1"/>
  <c r="FH74" i="7" a="1"/>
  <c r="FH74" i="7" s="1"/>
  <c r="FH75" i="7" a="1"/>
  <c r="FH75" i="7" s="1"/>
  <c r="FH76" i="7" a="1"/>
  <c r="FH76" i="7" s="1"/>
  <c r="FH77" i="7" a="1"/>
  <c r="FH77" i="7" s="1"/>
  <c r="FH78" i="7" a="1"/>
  <c r="FH78" i="7" s="1"/>
  <c r="FH79" i="7" a="1"/>
  <c r="FH79" i="7" s="1"/>
  <c r="FH80" i="7" a="1"/>
  <c r="FH80" i="7" s="1"/>
  <c r="FH81" i="7" a="1"/>
  <c r="FH81" i="7" s="1"/>
  <c r="FH68" i="7" a="1"/>
  <c r="FH68" i="7" s="1"/>
  <c r="S216" i="7"/>
  <c r="S217" i="7"/>
  <c r="S218" i="7"/>
  <c r="S215" i="7"/>
  <c r="HA159" i="39" l="1"/>
  <c r="HC159" i="39" s="1"/>
  <c r="GY159" i="39"/>
  <c r="GZ159" i="39" s="1"/>
  <c r="HE160" i="39"/>
  <c r="HF160" i="39" s="1"/>
  <c r="HG160" i="39" s="1"/>
  <c r="HA160" i="39"/>
  <c r="HC160" i="39" s="1"/>
  <c r="GY124" i="39"/>
  <c r="GZ124" i="39" s="1"/>
  <c r="HE120" i="39"/>
  <c r="HF120" i="39" s="1"/>
  <c r="HG120" i="39" s="1"/>
  <c r="HE127" i="39"/>
  <c r="GM127" i="39" s="1"/>
  <c r="HE148" i="39"/>
  <c r="GM148" i="39" s="1"/>
  <c r="HE147" i="39"/>
  <c r="FC147" i="39" s="1"/>
  <c r="FD147" i="39" s="1"/>
  <c r="FE147" i="39" s="1"/>
  <c r="FF147" i="39" s="1"/>
  <c r="FG147" i="39" s="1"/>
  <c r="FH147" i="39" s="1"/>
  <c r="FI147" i="39" s="1"/>
  <c r="FJ147" i="39" s="1"/>
  <c r="FK147" i="39" s="1"/>
  <c r="FL147" i="39" s="1"/>
  <c r="FM147" i="39" s="1"/>
  <c r="FN147" i="39" s="1"/>
  <c r="GY137" i="39"/>
  <c r="GZ137" i="39" s="1"/>
  <c r="GY120" i="39"/>
  <c r="GZ120" i="39" s="1"/>
  <c r="GY143" i="39"/>
  <c r="GZ143" i="39" s="1"/>
  <c r="HE141" i="39"/>
  <c r="GM141" i="39" s="1"/>
  <c r="GY133" i="39"/>
  <c r="GZ133" i="39" s="1"/>
  <c r="HE149" i="39"/>
  <c r="GM149" i="39" s="1"/>
  <c r="HE130" i="39"/>
  <c r="FQ130" i="39" s="1"/>
  <c r="FR130" i="39" s="1"/>
  <c r="FS130" i="39" s="1"/>
  <c r="FT130" i="39" s="1"/>
  <c r="FU130" i="39" s="1"/>
  <c r="FV130" i="39" s="1"/>
  <c r="FW130" i="39" s="1"/>
  <c r="FX130" i="39" s="1"/>
  <c r="FY130" i="39" s="1"/>
  <c r="FZ130" i="39" s="1"/>
  <c r="GA130" i="39" s="1"/>
  <c r="GB130" i="39" s="1"/>
  <c r="HE139" i="39"/>
  <c r="FQ139" i="39" s="1"/>
  <c r="FR139" i="39" s="1"/>
  <c r="FS139" i="39" s="1"/>
  <c r="FT139" i="39" s="1"/>
  <c r="FU139" i="39" s="1"/>
  <c r="FV139" i="39" s="1"/>
  <c r="FW139" i="39" s="1"/>
  <c r="FX139" i="39" s="1"/>
  <c r="FY139" i="39" s="1"/>
  <c r="FZ139" i="39" s="1"/>
  <c r="GA139" i="39" s="1"/>
  <c r="GB139" i="39" s="1"/>
  <c r="HE153" i="39"/>
  <c r="HF153" i="39" s="1"/>
  <c r="HG153" i="39" s="1"/>
  <c r="HE152" i="39"/>
  <c r="FC152" i="39" s="1"/>
  <c r="FD152" i="39" s="1"/>
  <c r="FE152" i="39" s="1"/>
  <c r="FF152" i="39" s="1"/>
  <c r="FG152" i="39" s="1"/>
  <c r="FH152" i="39" s="1"/>
  <c r="FI152" i="39" s="1"/>
  <c r="FJ152" i="39" s="1"/>
  <c r="FK152" i="39" s="1"/>
  <c r="FL152" i="39" s="1"/>
  <c r="FM152" i="39" s="1"/>
  <c r="FN152" i="39" s="1"/>
  <c r="FH88" i="7"/>
  <c r="A66" i="7" s="1"/>
  <c r="HA122" i="39"/>
  <c r="HC122" i="39" s="1"/>
  <c r="GY142" i="39"/>
  <c r="GZ142" i="39" s="1"/>
  <c r="HE133" i="39"/>
  <c r="HF133" i="39" s="1"/>
  <c r="HG133" i="39" s="1"/>
  <c r="HE128" i="39"/>
  <c r="HF128" i="39" s="1"/>
  <c r="HG128" i="39" s="1"/>
  <c r="HE142" i="39"/>
  <c r="HF142" i="39" s="1"/>
  <c r="HG142" i="39" s="1"/>
  <c r="HA128" i="39"/>
  <c r="HC128" i="39" s="1"/>
  <c r="HA142" i="39"/>
  <c r="HC142" i="39" s="1"/>
  <c r="HE124" i="39"/>
  <c r="GL124" i="39" s="1"/>
  <c r="HE155" i="39"/>
  <c r="HF155" i="39" s="1"/>
  <c r="HG155" i="39" s="1"/>
  <c r="GY155" i="39"/>
  <c r="GZ155" i="39" s="1"/>
  <c r="GY141" i="39"/>
  <c r="GZ141" i="39" s="1"/>
  <c r="GY158" i="39"/>
  <c r="GZ158" i="39" s="1"/>
  <c r="HA158" i="39"/>
  <c r="HE158" i="39"/>
  <c r="GL161" i="39"/>
  <c r="GM161" i="39"/>
  <c r="FC161" i="39"/>
  <c r="FD161" i="39" s="1"/>
  <c r="FE161" i="39" s="1"/>
  <c r="FF161" i="39" s="1"/>
  <c r="FG161" i="39" s="1"/>
  <c r="FH161" i="39" s="1"/>
  <c r="FI161" i="39" s="1"/>
  <c r="FJ161" i="39" s="1"/>
  <c r="FK161" i="39" s="1"/>
  <c r="FL161" i="39" s="1"/>
  <c r="FM161" i="39" s="1"/>
  <c r="FN161" i="39" s="1"/>
  <c r="HC161" i="39"/>
  <c r="HB161" i="39"/>
  <c r="HB160" i="39"/>
  <c r="GM156" i="39"/>
  <c r="HJ156" i="39" s="1" a="1"/>
  <c r="HJ156" i="39" s="1"/>
  <c r="GL156" i="39"/>
  <c r="HI156" i="39" s="1" a="1"/>
  <c r="HI156" i="39" s="1"/>
  <c r="FQ156" i="39"/>
  <c r="FR156" i="39" s="1"/>
  <c r="FS156" i="39" s="1"/>
  <c r="FT156" i="39" s="1"/>
  <c r="FU156" i="39" s="1"/>
  <c r="FV156" i="39" s="1"/>
  <c r="FW156" i="39" s="1"/>
  <c r="FX156" i="39" s="1"/>
  <c r="FY156" i="39" s="1"/>
  <c r="FZ156" i="39" s="1"/>
  <c r="GA156" i="39" s="1"/>
  <c r="GB156" i="39" s="1"/>
  <c r="FC156" i="39"/>
  <c r="FD156" i="39" s="1"/>
  <c r="FE156" i="39" s="1"/>
  <c r="FF156" i="39" s="1"/>
  <c r="FG156" i="39" s="1"/>
  <c r="FH156" i="39" s="1"/>
  <c r="FI156" i="39" s="1"/>
  <c r="FJ156" i="39" s="1"/>
  <c r="FK156" i="39" s="1"/>
  <c r="FL156" i="39" s="1"/>
  <c r="FM156" i="39" s="1"/>
  <c r="FN156" i="39" s="1"/>
  <c r="HE129" i="39"/>
  <c r="FQ129" i="39" s="1"/>
  <c r="FR129" i="39" s="1"/>
  <c r="FS129" i="39" s="1"/>
  <c r="FT129" i="39" s="1"/>
  <c r="FU129" i="39" s="1"/>
  <c r="FV129" i="39" s="1"/>
  <c r="FW129" i="39" s="1"/>
  <c r="FX129" i="39" s="1"/>
  <c r="FY129" i="39" s="1"/>
  <c r="FZ129" i="39" s="1"/>
  <c r="GA129" i="39" s="1"/>
  <c r="GB129" i="39" s="1"/>
  <c r="GY153" i="39"/>
  <c r="GZ153" i="39" s="1"/>
  <c r="HB156" i="39"/>
  <c r="HC156" i="39"/>
  <c r="HF159" i="39"/>
  <c r="HG159" i="39" s="1"/>
  <c r="GM159" i="39"/>
  <c r="FC159" i="39"/>
  <c r="FD159" i="39" s="1"/>
  <c r="FE159" i="39" s="1"/>
  <c r="FF159" i="39" s="1"/>
  <c r="FG159" i="39" s="1"/>
  <c r="FH159" i="39" s="1"/>
  <c r="FI159" i="39" s="1"/>
  <c r="FJ159" i="39" s="1"/>
  <c r="FK159" i="39" s="1"/>
  <c r="FL159" i="39" s="1"/>
  <c r="FM159" i="39" s="1"/>
  <c r="FN159" i="39" s="1"/>
  <c r="FQ159" i="39"/>
  <c r="FR159" i="39" s="1"/>
  <c r="FS159" i="39" s="1"/>
  <c r="FT159" i="39" s="1"/>
  <c r="FU159" i="39" s="1"/>
  <c r="FV159" i="39" s="1"/>
  <c r="FW159" i="39" s="1"/>
  <c r="FX159" i="39" s="1"/>
  <c r="FY159" i="39" s="1"/>
  <c r="FZ159" i="39" s="1"/>
  <c r="GA159" i="39" s="1"/>
  <c r="GB159" i="39" s="1"/>
  <c r="GL159" i="39"/>
  <c r="HA124" i="39"/>
  <c r="HB124" i="39" s="1"/>
  <c r="GY152" i="39"/>
  <c r="GZ152" i="39" s="1"/>
  <c r="HF161" i="39"/>
  <c r="HG161" i="39" s="1"/>
  <c r="HF162" i="39"/>
  <c r="HG162" i="39" s="1"/>
  <c r="GM162" i="39"/>
  <c r="FQ162" i="39"/>
  <c r="FR162" i="39" s="1"/>
  <c r="FS162" i="39" s="1"/>
  <c r="FT162" i="39" s="1"/>
  <c r="FU162" i="39" s="1"/>
  <c r="FV162" i="39" s="1"/>
  <c r="FW162" i="39" s="1"/>
  <c r="FX162" i="39" s="1"/>
  <c r="FY162" i="39" s="1"/>
  <c r="FZ162" i="39" s="1"/>
  <c r="GA162" i="39" s="1"/>
  <c r="GB162" i="39" s="1"/>
  <c r="GL162" i="39"/>
  <c r="FC162" i="39"/>
  <c r="FD162" i="39" s="1"/>
  <c r="FE162" i="39" s="1"/>
  <c r="FF162" i="39" s="1"/>
  <c r="FG162" i="39" s="1"/>
  <c r="FH162" i="39" s="1"/>
  <c r="FI162" i="39" s="1"/>
  <c r="FJ162" i="39" s="1"/>
  <c r="FK162" i="39" s="1"/>
  <c r="FL162" i="39" s="1"/>
  <c r="FM162" i="39" s="1"/>
  <c r="FN162" i="39" s="1"/>
  <c r="HE123" i="39"/>
  <c r="HF123" i="39" s="1"/>
  <c r="HG123" i="39" s="1"/>
  <c r="GY148" i="39"/>
  <c r="GZ148" i="39" s="1"/>
  <c r="HE122" i="39"/>
  <c r="HF122" i="39" s="1"/>
  <c r="HG122" i="39" s="1"/>
  <c r="HE157" i="39"/>
  <c r="GY157" i="39"/>
  <c r="GZ157" i="39" s="1"/>
  <c r="HA157" i="39"/>
  <c r="HB162" i="39"/>
  <c r="HC162" i="39"/>
  <c r="HE134" i="39"/>
  <c r="HF134" i="39" s="1"/>
  <c r="HG134" i="39" s="1"/>
  <c r="GY139" i="39"/>
  <c r="GZ139" i="39" s="1"/>
  <c r="HA163" i="39"/>
  <c r="HE163" i="39"/>
  <c r="GY163" i="39"/>
  <c r="GZ163" i="39" s="1"/>
  <c r="FQ160" i="39"/>
  <c r="FR160" i="39" s="1"/>
  <c r="FS160" i="39" s="1"/>
  <c r="FT160" i="39" s="1"/>
  <c r="FU160" i="39" s="1"/>
  <c r="FV160" i="39" s="1"/>
  <c r="FW160" i="39" s="1"/>
  <c r="FX160" i="39" s="1"/>
  <c r="FY160" i="39" s="1"/>
  <c r="FZ160" i="39" s="1"/>
  <c r="GA160" i="39" s="1"/>
  <c r="GB160" i="39" s="1"/>
  <c r="FC160" i="39"/>
  <c r="FD160" i="39" s="1"/>
  <c r="FE160" i="39" s="1"/>
  <c r="FF160" i="39" s="1"/>
  <c r="FG160" i="39" s="1"/>
  <c r="FH160" i="39" s="1"/>
  <c r="FI160" i="39" s="1"/>
  <c r="FJ160" i="39" s="1"/>
  <c r="FK160" i="39" s="1"/>
  <c r="FL160" i="39" s="1"/>
  <c r="FM160" i="39" s="1"/>
  <c r="FN160" i="39" s="1"/>
  <c r="FQ161" i="39"/>
  <c r="FR161" i="39" s="1"/>
  <c r="FS161" i="39" s="1"/>
  <c r="FT161" i="39" s="1"/>
  <c r="FU161" i="39" s="1"/>
  <c r="FV161" i="39" s="1"/>
  <c r="FW161" i="39" s="1"/>
  <c r="FX161" i="39" s="1"/>
  <c r="FY161" i="39" s="1"/>
  <c r="FZ161" i="39" s="1"/>
  <c r="GA161" i="39" s="1"/>
  <c r="GB161" i="39" s="1"/>
  <c r="HB120" i="39"/>
  <c r="HC120" i="39"/>
  <c r="HB130" i="39"/>
  <c r="HC130" i="39"/>
  <c r="HB123" i="39"/>
  <c r="HC123" i="39"/>
  <c r="HB146" i="39"/>
  <c r="HC146" i="39"/>
  <c r="HB145" i="39"/>
  <c r="HC145" i="39"/>
  <c r="HB139" i="39"/>
  <c r="HC139" i="39"/>
  <c r="HB144" i="39"/>
  <c r="HC144" i="39"/>
  <c r="GY136" i="39"/>
  <c r="GZ136" i="39" s="1"/>
  <c r="HA136" i="39"/>
  <c r="HE136" i="39"/>
  <c r="GY130" i="39"/>
  <c r="GZ130" i="39" s="1"/>
  <c r="HE146" i="39"/>
  <c r="HE131" i="39"/>
  <c r="GY131" i="39"/>
  <c r="GZ131" i="39" s="1"/>
  <c r="HA131" i="39"/>
  <c r="HF145" i="39"/>
  <c r="HG145" i="39" s="1"/>
  <c r="GY144" i="39"/>
  <c r="GZ144" i="39" s="1"/>
  <c r="GY147" i="39"/>
  <c r="GZ147" i="39" s="1"/>
  <c r="GY149" i="39"/>
  <c r="GZ149" i="39" s="1"/>
  <c r="GY146" i="39"/>
  <c r="GZ146" i="39" s="1"/>
  <c r="HB152" i="39"/>
  <c r="HC152" i="39"/>
  <c r="GY151" i="39"/>
  <c r="GZ151" i="39" s="1"/>
  <c r="HE144" i="39"/>
  <c r="HF144" i="39" s="1"/>
  <c r="HG144" i="39" s="1"/>
  <c r="HC129" i="39"/>
  <c r="HB129" i="39"/>
  <c r="HE151" i="39"/>
  <c r="HF151" i="39" s="1"/>
  <c r="HG151" i="39" s="1"/>
  <c r="HB125" i="39"/>
  <c r="HC125" i="39"/>
  <c r="HC127" i="39"/>
  <c r="HB127" i="39"/>
  <c r="HC149" i="39"/>
  <c r="HB149" i="39"/>
  <c r="HC143" i="39"/>
  <c r="HB143" i="39"/>
  <c r="HB119" i="39"/>
  <c r="HC119" i="39"/>
  <c r="HB151" i="39"/>
  <c r="HC151" i="39"/>
  <c r="GY125" i="39"/>
  <c r="GZ125" i="39" s="1"/>
  <c r="GY127" i="39"/>
  <c r="GZ127" i="39" s="1"/>
  <c r="HE137" i="39"/>
  <c r="HF137" i="39" s="1"/>
  <c r="HG137" i="39" s="1"/>
  <c r="HB118" i="39"/>
  <c r="HC118" i="39"/>
  <c r="HE143" i="39"/>
  <c r="HF143" i="39" s="1"/>
  <c r="HG143" i="39" s="1"/>
  <c r="HB153" i="39"/>
  <c r="HC153" i="39"/>
  <c r="GM121" i="39"/>
  <c r="HJ121" i="39" s="1" a="1"/>
  <c r="HJ121" i="39" s="1"/>
  <c r="FC121" i="39"/>
  <c r="FD121" i="39" s="1"/>
  <c r="FE121" i="39" s="1"/>
  <c r="FF121" i="39" s="1"/>
  <c r="FG121" i="39" s="1"/>
  <c r="FH121" i="39" s="1"/>
  <c r="FI121" i="39" s="1"/>
  <c r="FJ121" i="39" s="1"/>
  <c r="FK121" i="39" s="1"/>
  <c r="FL121" i="39" s="1"/>
  <c r="FM121" i="39" s="1"/>
  <c r="FN121" i="39" s="1"/>
  <c r="FQ121" i="39"/>
  <c r="FR121" i="39" s="1"/>
  <c r="FS121" i="39" s="1"/>
  <c r="FT121" i="39" s="1"/>
  <c r="FU121" i="39" s="1"/>
  <c r="FV121" i="39" s="1"/>
  <c r="FW121" i="39" s="1"/>
  <c r="FX121" i="39" s="1"/>
  <c r="FY121" i="39" s="1"/>
  <c r="FZ121" i="39" s="1"/>
  <c r="GA121" i="39" s="1"/>
  <c r="GB121" i="39" s="1"/>
  <c r="GL121" i="39"/>
  <c r="HI121" i="39" s="1" a="1"/>
  <c r="HI121" i="39" s="1"/>
  <c r="HE132" i="39"/>
  <c r="HE125" i="39"/>
  <c r="HE140" i="39"/>
  <c r="GY140" i="39"/>
  <c r="GZ140" i="39" s="1"/>
  <c r="HA140" i="39"/>
  <c r="GY135" i="39"/>
  <c r="GZ135" i="39" s="1"/>
  <c r="HA135" i="39"/>
  <c r="HE135" i="39"/>
  <c r="HB148" i="39"/>
  <c r="HC148" i="39"/>
  <c r="HE118" i="39"/>
  <c r="GL145" i="39"/>
  <c r="FQ145" i="39"/>
  <c r="FR145" i="39" s="1"/>
  <c r="FS145" i="39" s="1"/>
  <c r="FT145" i="39" s="1"/>
  <c r="FU145" i="39" s="1"/>
  <c r="FV145" i="39" s="1"/>
  <c r="FW145" i="39" s="1"/>
  <c r="FX145" i="39" s="1"/>
  <c r="FY145" i="39" s="1"/>
  <c r="FZ145" i="39" s="1"/>
  <c r="GA145" i="39" s="1"/>
  <c r="GB145" i="39" s="1"/>
  <c r="GM145" i="39"/>
  <c r="FC145" i="39"/>
  <c r="FD145" i="39" s="1"/>
  <c r="FE145" i="39" s="1"/>
  <c r="FF145" i="39" s="1"/>
  <c r="FG145" i="39" s="1"/>
  <c r="FH145" i="39" s="1"/>
  <c r="FI145" i="39" s="1"/>
  <c r="FJ145" i="39" s="1"/>
  <c r="FK145" i="39" s="1"/>
  <c r="FL145" i="39" s="1"/>
  <c r="FM145" i="39" s="1"/>
  <c r="FN145" i="39" s="1"/>
  <c r="HB121" i="39"/>
  <c r="HC121" i="39"/>
  <c r="HC132" i="39"/>
  <c r="HB132" i="39"/>
  <c r="GY150" i="39"/>
  <c r="GZ150" i="39" s="1"/>
  <c r="HA150" i="39"/>
  <c r="HE150" i="39"/>
  <c r="HC133" i="39"/>
  <c r="HB133" i="39"/>
  <c r="FC119" i="39"/>
  <c r="FD119" i="39" s="1"/>
  <c r="FE119" i="39" s="1"/>
  <c r="FF119" i="39" s="1"/>
  <c r="FG119" i="39" s="1"/>
  <c r="FH119" i="39" s="1"/>
  <c r="FI119" i="39" s="1"/>
  <c r="FJ119" i="39" s="1"/>
  <c r="FK119" i="39" s="1"/>
  <c r="FL119" i="39" s="1"/>
  <c r="FM119" i="39" s="1"/>
  <c r="FN119" i="39" s="1"/>
  <c r="FQ119" i="39"/>
  <c r="FR119" i="39" s="1"/>
  <c r="FS119" i="39" s="1"/>
  <c r="FT119" i="39" s="1"/>
  <c r="FU119" i="39" s="1"/>
  <c r="FV119" i="39" s="1"/>
  <c r="FW119" i="39" s="1"/>
  <c r="FX119" i="39" s="1"/>
  <c r="FY119" i="39" s="1"/>
  <c r="FZ119" i="39" s="1"/>
  <c r="GA119" i="39" s="1"/>
  <c r="GB119" i="39" s="1"/>
  <c r="GL119" i="39"/>
  <c r="HI119" i="39" s="1" a="1"/>
  <c r="HI119" i="39" s="1"/>
  <c r="GM119" i="39"/>
  <c r="HJ119" i="39" s="1" a="1"/>
  <c r="HJ119" i="39" s="1"/>
  <c r="HC137" i="39"/>
  <c r="HB137" i="39"/>
  <c r="HB141" i="39"/>
  <c r="HC141" i="39"/>
  <c r="GY118" i="39"/>
  <c r="GZ118" i="39" s="1"/>
  <c r="HB134" i="39"/>
  <c r="HC134" i="39"/>
  <c r="GY145" i="39"/>
  <c r="GZ145" i="39" s="1"/>
  <c r="GY132" i="39"/>
  <c r="GZ132" i="39" s="1"/>
  <c r="HB147" i="39"/>
  <c r="HC147" i="39"/>
  <c r="HB155" i="39"/>
  <c r="HC155" i="39"/>
  <c r="CB51" i="39" a="1"/>
  <c r="CB51" i="39" s="1"/>
  <c r="CA51" i="39" a="1"/>
  <c r="CA51" i="39" s="1"/>
  <c r="V55" i="39"/>
  <c r="GO66" i="39" a="1"/>
  <c r="GO66" i="39" s="1"/>
  <c r="GP55" i="39"/>
  <c r="HH55" i="39"/>
  <c r="GP46" i="39"/>
  <c r="HH46" i="39"/>
  <c r="GO89" i="39" a="1"/>
  <c r="GO89" i="39" s="1"/>
  <c r="GP89" i="39" s="1"/>
  <c r="GO22" i="39" a="1"/>
  <c r="GO22" i="39" s="1"/>
  <c r="GP22" i="39" s="1"/>
  <c r="GO82" i="39" a="1"/>
  <c r="GO82" i="39" s="1"/>
  <c r="GP82" i="39" s="1"/>
  <c r="GO85" i="39" a="1"/>
  <c r="GO85" i="39" s="1"/>
  <c r="GO93" i="39" a="1"/>
  <c r="GO93" i="39" s="1"/>
  <c r="GP93" i="39" s="1"/>
  <c r="GO73" i="39" a="1"/>
  <c r="GO73" i="39" s="1"/>
  <c r="GP73" i="39" s="1"/>
  <c r="GP88" i="39"/>
  <c r="HH88" i="39"/>
  <c r="GP87" i="39"/>
  <c r="HH87" i="39"/>
  <c r="GP67" i="39"/>
  <c r="HH67" i="39"/>
  <c r="GO113" i="39" a="1"/>
  <c r="GO113" i="39" s="1"/>
  <c r="GP113" i="39" s="1"/>
  <c r="GO18" i="39" a="1"/>
  <c r="GO18" i="39" s="1"/>
  <c r="GP18" i="39" s="1"/>
  <c r="GP37" i="39"/>
  <c r="HH37" i="39"/>
  <c r="GP29" i="39"/>
  <c r="HH29" i="39"/>
  <c r="GO42" i="39" a="1"/>
  <c r="GO42" i="39" s="1"/>
  <c r="GP42" i="39" s="1"/>
  <c r="GO36" i="39" a="1"/>
  <c r="GO36" i="39" s="1"/>
  <c r="GP36" i="39" s="1"/>
  <c r="GO56" i="39" a="1"/>
  <c r="GO56" i="39" s="1"/>
  <c r="GP56" i="39" s="1"/>
  <c r="GO105" i="39" a="1"/>
  <c r="GO105" i="39" s="1"/>
  <c r="GP105" i="39" s="1"/>
  <c r="GO96" i="39" a="1"/>
  <c r="GO96" i="39" s="1"/>
  <c r="GP96" i="39" s="1"/>
  <c r="GP62" i="39"/>
  <c r="HH62" i="39"/>
  <c r="GO63" i="39" a="1"/>
  <c r="GO63" i="39" s="1"/>
  <c r="GP63" i="39" s="1"/>
  <c r="GO101" i="39" a="1"/>
  <c r="GO101" i="39" s="1"/>
  <c r="GP101" i="39" s="1"/>
  <c r="GO99" i="39" a="1"/>
  <c r="GO99" i="39" s="1"/>
  <c r="GP99" i="39" s="1"/>
  <c r="CA47" i="39" a="1"/>
  <c r="CA47" i="39" s="1"/>
  <c r="GO20" i="39" a="1"/>
  <c r="GO20" i="39" s="1"/>
  <c r="GP20" i="39" s="1"/>
  <c r="GO71" i="39" a="1"/>
  <c r="GO71" i="39" s="1"/>
  <c r="GO91" i="39" a="1"/>
  <c r="GO91" i="39" s="1"/>
  <c r="GP91" i="39" s="1"/>
  <c r="GP38" i="39"/>
  <c r="HH38" i="39"/>
  <c r="GO76" i="39" a="1"/>
  <c r="GO76" i="39" s="1"/>
  <c r="GP76" i="39" s="1"/>
  <c r="GO97" i="39" a="1"/>
  <c r="GO97" i="39" s="1"/>
  <c r="GP97" i="39" s="1"/>
  <c r="GO24" i="39" a="1"/>
  <c r="GO24" i="39" s="1"/>
  <c r="GP24" i="39" s="1"/>
  <c r="GO33" i="39" a="1"/>
  <c r="GO33" i="39" s="1"/>
  <c r="GP33" i="39" s="1"/>
  <c r="GO112" i="39" a="1"/>
  <c r="GO112" i="39" s="1"/>
  <c r="GP112" i="39" s="1"/>
  <c r="GP10" i="39"/>
  <c r="HH10" i="39"/>
  <c r="GO116" i="39" a="1"/>
  <c r="GO116" i="39" s="1"/>
  <c r="GP116" i="39" s="1"/>
  <c r="CB47" i="39" a="1"/>
  <c r="CB47" i="39" s="1"/>
  <c r="GO69" i="39" a="1"/>
  <c r="GO69" i="39" s="1"/>
  <c r="GP69" i="39" s="1"/>
  <c r="GP111" i="39"/>
  <c r="HH111" i="39"/>
  <c r="GO103" i="39" a="1"/>
  <c r="GO103" i="39" s="1"/>
  <c r="GP103" i="39" s="1"/>
  <c r="GP30" i="39"/>
  <c r="HH30" i="39"/>
  <c r="GO106" i="39" a="1"/>
  <c r="GO106" i="39" s="1"/>
  <c r="GP106" i="39" s="1"/>
  <c r="GP95" i="39"/>
  <c r="HH95" i="39"/>
  <c r="GP34" i="39"/>
  <c r="HH34" i="39"/>
  <c r="GO80" i="39" a="1"/>
  <c r="GO80" i="39" s="1"/>
  <c r="GP80" i="39" s="1"/>
  <c r="GP68" i="39"/>
  <c r="HH68" i="39"/>
  <c r="GO92" i="39" a="1"/>
  <c r="GO92" i="39" s="1"/>
  <c r="GP92" i="39" s="1"/>
  <c r="GO102" i="39" a="1"/>
  <c r="GO102" i="39" s="1"/>
  <c r="GP102" i="39" s="1"/>
  <c r="GO77" i="39" a="1"/>
  <c r="GO77" i="39" s="1"/>
  <c r="GP77" i="39" s="1"/>
  <c r="GO49" i="39" a="1"/>
  <c r="GO49" i="39" s="1"/>
  <c r="GO19" i="39" a="1"/>
  <c r="GO19" i="39" s="1"/>
  <c r="GP19" i="39" s="1"/>
  <c r="GO98" i="39" a="1"/>
  <c r="GO98" i="39" s="1"/>
  <c r="GP98" i="39" s="1"/>
  <c r="GO100" i="39" a="1"/>
  <c r="GO100" i="39" s="1"/>
  <c r="GP100" i="39" s="1"/>
  <c r="GO41" i="39" a="1"/>
  <c r="GO41" i="39" s="1"/>
  <c r="GP41" i="39" s="1"/>
  <c r="GP35" i="39"/>
  <c r="HH35" i="39"/>
  <c r="GO110" i="39" a="1"/>
  <c r="GO110" i="39" s="1"/>
  <c r="GP110" i="39" s="1"/>
  <c r="GO109" i="39" a="1"/>
  <c r="GO109" i="39" s="1"/>
  <c r="GP109" i="39" s="1"/>
  <c r="GO81" i="39" a="1"/>
  <c r="GO81" i="39" s="1"/>
  <c r="GP81" i="39" s="1"/>
  <c r="GP61" i="39"/>
  <c r="HH61" i="39"/>
  <c r="GO54" i="39" a="1"/>
  <c r="GO54" i="39" s="1"/>
  <c r="GP54" i="39" s="1"/>
  <c r="GO31" i="39" a="1"/>
  <c r="GO31" i="39" s="1"/>
  <c r="GO83" i="39" a="1"/>
  <c r="GO83" i="39" s="1"/>
  <c r="GP83" i="39" s="1"/>
  <c r="GO23" i="39" a="1"/>
  <c r="GO23" i="39" s="1"/>
  <c r="GP23" i="39" s="1"/>
  <c r="GP74" i="39"/>
  <c r="HH74" i="39"/>
  <c r="GO78" i="39" a="1"/>
  <c r="GO78" i="39" s="1"/>
  <c r="GP78" i="39" s="1"/>
  <c r="GO40" i="39" a="1"/>
  <c r="GO40" i="39" s="1"/>
  <c r="GP40" i="39" s="1"/>
  <c r="GP27" i="39"/>
  <c r="HH27" i="39"/>
  <c r="GO72" i="39" a="1"/>
  <c r="GO72" i="39" s="1"/>
  <c r="GP72" i="39" s="1"/>
  <c r="GO86" i="39" a="1"/>
  <c r="GO86" i="39" s="1"/>
  <c r="GP86" i="39" s="1"/>
  <c r="GO64" i="39" a="1"/>
  <c r="GO64" i="39" s="1"/>
  <c r="GP64" i="39" s="1"/>
  <c r="GP90" i="39"/>
  <c r="HH90" i="39"/>
  <c r="GO104" i="39" a="1"/>
  <c r="GO104" i="39" s="1"/>
  <c r="GP104" i="39" s="1"/>
  <c r="GO60" i="39" a="1"/>
  <c r="GO60" i="39" s="1"/>
  <c r="GO25" i="39" a="1"/>
  <c r="GO25" i="39" s="1"/>
  <c r="GP25" i="39" s="1"/>
  <c r="GO70" i="39" a="1"/>
  <c r="GO70" i="39" s="1"/>
  <c r="GP70" i="39" s="1"/>
  <c r="GP115" i="39"/>
  <c r="HH115" i="39"/>
  <c r="GO48" i="39" a="1"/>
  <c r="GO48" i="39" s="1"/>
  <c r="GP48" i="39" s="1"/>
  <c r="GO58" i="39" a="1"/>
  <c r="GO58" i="39" s="1"/>
  <c r="GO59" i="39" a="1"/>
  <c r="GO59" i="39" s="1"/>
  <c r="GP59" i="39" s="1"/>
  <c r="GO28" i="39" a="1"/>
  <c r="GO28" i="39" s="1"/>
  <c r="GP28" i="39" s="1"/>
  <c r="GP50" i="39"/>
  <c r="HH50" i="39"/>
  <c r="GO107" i="39" a="1"/>
  <c r="GO107" i="39" s="1"/>
  <c r="GP107" i="39" s="1"/>
  <c r="GP114" i="39"/>
  <c r="HH114" i="39"/>
  <c r="GO65" i="39" a="1"/>
  <c r="GO65" i="39" s="1"/>
  <c r="GP65" i="39" s="1"/>
  <c r="GO51" i="39" a="1"/>
  <c r="GO51" i="39" s="1"/>
  <c r="GP51" i="39" s="1"/>
  <c r="GO79" i="39" a="1"/>
  <c r="GO79" i="39" s="1"/>
  <c r="GP79" i="39" s="1"/>
  <c r="GO94" i="39" a="1"/>
  <c r="GO94" i="39" s="1"/>
  <c r="GP94" i="39" s="1"/>
  <c r="GO52" i="39" a="1"/>
  <c r="GO52" i="39" s="1"/>
  <c r="GP52" i="39" s="1"/>
  <c r="GP57" i="39"/>
  <c r="HH57" i="39"/>
  <c r="GP108" i="39"/>
  <c r="HH108" i="39"/>
  <c r="GP75" i="39"/>
  <c r="HH75" i="39"/>
  <c r="V49" i="39"/>
  <c r="CA49" i="39" a="1"/>
  <c r="CA49" i="39" s="1"/>
  <c r="CB49" i="39" a="1"/>
  <c r="CB49" i="39" s="1"/>
  <c r="V53" i="39"/>
  <c r="CA53" i="39" a="1"/>
  <c r="CA53" i="39" s="1"/>
  <c r="CB53" i="39" a="1"/>
  <c r="CB53" i="39" s="1"/>
  <c r="L93" i="39"/>
  <c r="L91" i="39"/>
  <c r="CA102" i="39"/>
  <c r="GM160" i="39" l="1"/>
  <c r="HJ160" i="39" s="1" a="1"/>
  <c r="HJ160" i="39" s="1"/>
  <c r="GL160" i="39"/>
  <c r="HI160" i="39" s="1" a="1"/>
  <c r="HI160" i="39" s="1"/>
  <c r="HB159" i="39"/>
  <c r="HF148" i="39"/>
  <c r="HG148" i="39" s="1"/>
  <c r="HJ148" i="39" s="1" a="1"/>
  <c r="HJ148" i="39" s="1"/>
  <c r="HF149" i="39"/>
  <c r="HG149" i="39" s="1"/>
  <c r="HJ149" i="39" s="1" a="1"/>
  <c r="HJ149" i="39" s="1"/>
  <c r="GL147" i="39"/>
  <c r="FQ120" i="39"/>
  <c r="FR120" i="39" s="1"/>
  <c r="FS120" i="39" s="1"/>
  <c r="FT120" i="39" s="1"/>
  <c r="FU120" i="39" s="1"/>
  <c r="FV120" i="39" s="1"/>
  <c r="FW120" i="39" s="1"/>
  <c r="FX120" i="39" s="1"/>
  <c r="FY120" i="39" s="1"/>
  <c r="FZ120" i="39" s="1"/>
  <c r="GA120" i="39" s="1"/>
  <c r="GB120" i="39" s="1"/>
  <c r="GL120" i="39"/>
  <c r="HI120" i="39" s="1" a="1"/>
  <c r="HI120" i="39" s="1"/>
  <c r="GM120" i="39"/>
  <c r="HJ120" i="39" s="1" a="1"/>
  <c r="HJ120" i="39" s="1"/>
  <c r="FC120" i="39"/>
  <c r="FD120" i="39" s="1"/>
  <c r="FE120" i="39" s="1"/>
  <c r="FF120" i="39" s="1"/>
  <c r="FG120" i="39" s="1"/>
  <c r="FH120" i="39" s="1"/>
  <c r="FI120" i="39" s="1"/>
  <c r="FJ120" i="39" s="1"/>
  <c r="FK120" i="39" s="1"/>
  <c r="FL120" i="39" s="1"/>
  <c r="FM120" i="39" s="1"/>
  <c r="FN120" i="39" s="1"/>
  <c r="GM147" i="39"/>
  <c r="HF147" i="39"/>
  <c r="HG147" i="39" s="1"/>
  <c r="FQ147" i="39"/>
  <c r="FR147" i="39" s="1"/>
  <c r="FS147" i="39" s="1"/>
  <c r="FT147" i="39" s="1"/>
  <c r="FU147" i="39" s="1"/>
  <c r="FV147" i="39" s="1"/>
  <c r="FW147" i="39" s="1"/>
  <c r="FX147" i="39" s="1"/>
  <c r="FY147" i="39" s="1"/>
  <c r="FZ147" i="39" s="1"/>
  <c r="GA147" i="39" s="1"/>
  <c r="GB147" i="39" s="1"/>
  <c r="GL148" i="39"/>
  <c r="HF127" i="39"/>
  <c r="HG127" i="39" s="1"/>
  <c r="HJ127" i="39" s="1" a="1"/>
  <c r="HJ127" i="39" s="1"/>
  <c r="FQ127" i="39"/>
  <c r="FR127" i="39" s="1"/>
  <c r="FS127" i="39" s="1"/>
  <c r="FT127" i="39" s="1"/>
  <c r="FU127" i="39" s="1"/>
  <c r="FV127" i="39" s="1"/>
  <c r="FW127" i="39" s="1"/>
  <c r="FX127" i="39" s="1"/>
  <c r="FY127" i="39" s="1"/>
  <c r="FZ127" i="39" s="1"/>
  <c r="GA127" i="39" s="1"/>
  <c r="GB127" i="39" s="1"/>
  <c r="FC127" i="39"/>
  <c r="FD127" i="39" s="1"/>
  <c r="FE127" i="39" s="1"/>
  <c r="FF127" i="39" s="1"/>
  <c r="FG127" i="39" s="1"/>
  <c r="FH127" i="39" s="1"/>
  <c r="FI127" i="39" s="1"/>
  <c r="FJ127" i="39" s="1"/>
  <c r="FK127" i="39" s="1"/>
  <c r="FL127" i="39" s="1"/>
  <c r="FM127" i="39" s="1"/>
  <c r="FN127" i="39" s="1"/>
  <c r="FQ148" i="39"/>
  <c r="FR148" i="39" s="1"/>
  <c r="FS148" i="39" s="1"/>
  <c r="FT148" i="39" s="1"/>
  <c r="FU148" i="39" s="1"/>
  <c r="FV148" i="39" s="1"/>
  <c r="FW148" i="39" s="1"/>
  <c r="FX148" i="39" s="1"/>
  <c r="FY148" i="39" s="1"/>
  <c r="FZ148" i="39" s="1"/>
  <c r="GA148" i="39" s="1"/>
  <c r="GB148" i="39" s="1"/>
  <c r="FC148" i="39"/>
  <c r="FD148" i="39" s="1"/>
  <c r="FE148" i="39" s="1"/>
  <c r="FF148" i="39" s="1"/>
  <c r="FG148" i="39" s="1"/>
  <c r="FH148" i="39" s="1"/>
  <c r="FI148" i="39" s="1"/>
  <c r="FJ148" i="39" s="1"/>
  <c r="FK148" i="39" s="1"/>
  <c r="FL148" i="39" s="1"/>
  <c r="FM148" i="39" s="1"/>
  <c r="FN148" i="39" s="1"/>
  <c r="GL127" i="39"/>
  <c r="HF141" i="39"/>
  <c r="HG141" i="39" s="1"/>
  <c r="HJ141" i="39" s="1" a="1"/>
  <c r="HJ141" i="39" s="1"/>
  <c r="HF130" i="39"/>
  <c r="HG130" i="39" s="1"/>
  <c r="FQ141" i="39"/>
  <c r="FR141" i="39" s="1"/>
  <c r="FS141" i="39" s="1"/>
  <c r="FT141" i="39" s="1"/>
  <c r="FU141" i="39" s="1"/>
  <c r="FV141" i="39" s="1"/>
  <c r="FW141" i="39" s="1"/>
  <c r="FX141" i="39" s="1"/>
  <c r="FY141" i="39" s="1"/>
  <c r="FZ141" i="39" s="1"/>
  <c r="GA141" i="39" s="1"/>
  <c r="GB141" i="39" s="1"/>
  <c r="FC141" i="39"/>
  <c r="FD141" i="39" s="1"/>
  <c r="FE141" i="39" s="1"/>
  <c r="FF141" i="39" s="1"/>
  <c r="FG141" i="39" s="1"/>
  <c r="FH141" i="39" s="1"/>
  <c r="FI141" i="39" s="1"/>
  <c r="FJ141" i="39" s="1"/>
  <c r="FK141" i="39" s="1"/>
  <c r="FL141" i="39" s="1"/>
  <c r="FM141" i="39" s="1"/>
  <c r="FN141" i="39" s="1"/>
  <c r="GL141" i="39"/>
  <c r="HF139" i="39"/>
  <c r="HG139" i="39" s="1"/>
  <c r="FC139" i="39"/>
  <c r="FD139" i="39" s="1"/>
  <c r="FE139" i="39" s="1"/>
  <c r="FF139" i="39" s="1"/>
  <c r="FG139" i="39" s="1"/>
  <c r="FH139" i="39" s="1"/>
  <c r="FI139" i="39" s="1"/>
  <c r="FJ139" i="39" s="1"/>
  <c r="FK139" i="39" s="1"/>
  <c r="FL139" i="39" s="1"/>
  <c r="FM139" i="39" s="1"/>
  <c r="FN139" i="39" s="1"/>
  <c r="FQ152" i="39"/>
  <c r="FR152" i="39" s="1"/>
  <c r="FS152" i="39" s="1"/>
  <c r="FT152" i="39" s="1"/>
  <c r="FU152" i="39" s="1"/>
  <c r="FV152" i="39" s="1"/>
  <c r="FW152" i="39" s="1"/>
  <c r="FX152" i="39" s="1"/>
  <c r="FY152" i="39" s="1"/>
  <c r="FZ152" i="39" s="1"/>
  <c r="GA152" i="39" s="1"/>
  <c r="GB152" i="39" s="1"/>
  <c r="FQ153" i="39"/>
  <c r="FR153" i="39" s="1"/>
  <c r="FS153" i="39" s="1"/>
  <c r="FT153" i="39" s="1"/>
  <c r="FU153" i="39" s="1"/>
  <c r="FV153" i="39" s="1"/>
  <c r="FW153" i="39" s="1"/>
  <c r="FX153" i="39" s="1"/>
  <c r="FY153" i="39" s="1"/>
  <c r="FZ153" i="39" s="1"/>
  <c r="GA153" i="39" s="1"/>
  <c r="GB153" i="39" s="1"/>
  <c r="GL130" i="39"/>
  <c r="FC130" i="39"/>
  <c r="FD130" i="39" s="1"/>
  <c r="FE130" i="39" s="1"/>
  <c r="FF130" i="39" s="1"/>
  <c r="FG130" i="39" s="1"/>
  <c r="FH130" i="39" s="1"/>
  <c r="FI130" i="39" s="1"/>
  <c r="FJ130" i="39" s="1"/>
  <c r="FK130" i="39" s="1"/>
  <c r="FL130" i="39" s="1"/>
  <c r="FM130" i="39" s="1"/>
  <c r="FN130" i="39" s="1"/>
  <c r="GL139" i="39"/>
  <c r="GM130" i="39"/>
  <c r="GL152" i="39"/>
  <c r="FC153" i="39"/>
  <c r="FD153" i="39" s="1"/>
  <c r="FE153" i="39" s="1"/>
  <c r="FF153" i="39" s="1"/>
  <c r="FG153" i="39" s="1"/>
  <c r="FH153" i="39" s="1"/>
  <c r="FI153" i="39" s="1"/>
  <c r="FJ153" i="39" s="1"/>
  <c r="FK153" i="39" s="1"/>
  <c r="FL153" i="39" s="1"/>
  <c r="FM153" i="39" s="1"/>
  <c r="FN153" i="39" s="1"/>
  <c r="GM153" i="39"/>
  <c r="HJ153" i="39" s="1" a="1"/>
  <c r="HJ153" i="39" s="1"/>
  <c r="FC149" i="39"/>
  <c r="FD149" i="39" s="1"/>
  <c r="FE149" i="39" s="1"/>
  <c r="FF149" i="39" s="1"/>
  <c r="FG149" i="39" s="1"/>
  <c r="FH149" i="39" s="1"/>
  <c r="FI149" i="39" s="1"/>
  <c r="FJ149" i="39" s="1"/>
  <c r="FK149" i="39" s="1"/>
  <c r="FL149" i="39" s="1"/>
  <c r="FM149" i="39" s="1"/>
  <c r="FN149" i="39" s="1"/>
  <c r="HF152" i="39"/>
  <c r="HG152" i="39" s="1"/>
  <c r="GL153" i="39"/>
  <c r="HI153" i="39" s="1" a="1"/>
  <c r="HI153" i="39" s="1"/>
  <c r="GM152" i="39"/>
  <c r="FQ149" i="39"/>
  <c r="FR149" i="39" s="1"/>
  <c r="FS149" i="39" s="1"/>
  <c r="FT149" i="39" s="1"/>
  <c r="FU149" i="39" s="1"/>
  <c r="FV149" i="39" s="1"/>
  <c r="FW149" i="39" s="1"/>
  <c r="FX149" i="39" s="1"/>
  <c r="FY149" i="39" s="1"/>
  <c r="FZ149" i="39" s="1"/>
  <c r="GA149" i="39" s="1"/>
  <c r="GB149" i="39" s="1"/>
  <c r="HB122" i="39"/>
  <c r="GM139" i="39"/>
  <c r="GL149" i="39"/>
  <c r="FQ133" i="39"/>
  <c r="FR133" i="39" s="1"/>
  <c r="FS133" i="39" s="1"/>
  <c r="FT133" i="39" s="1"/>
  <c r="FU133" i="39" s="1"/>
  <c r="FV133" i="39" s="1"/>
  <c r="FW133" i="39" s="1"/>
  <c r="FX133" i="39" s="1"/>
  <c r="FY133" i="39" s="1"/>
  <c r="FZ133" i="39" s="1"/>
  <c r="GA133" i="39" s="1"/>
  <c r="GB133" i="39" s="1"/>
  <c r="GL128" i="39"/>
  <c r="HI128" i="39" s="1" a="1"/>
  <c r="HI128" i="39" s="1"/>
  <c r="HB128" i="39"/>
  <c r="HB142" i="39"/>
  <c r="GM133" i="39"/>
  <c r="HJ133" i="39" s="1" a="1"/>
  <c r="HJ133" i="39" s="1"/>
  <c r="GM128" i="39"/>
  <c r="HJ128" i="39" s="1" a="1"/>
  <c r="HJ128" i="39" s="1"/>
  <c r="FQ128" i="39"/>
  <c r="FR128" i="39" s="1"/>
  <c r="FS128" i="39" s="1"/>
  <c r="FT128" i="39" s="1"/>
  <c r="FU128" i="39" s="1"/>
  <c r="FV128" i="39" s="1"/>
  <c r="FW128" i="39" s="1"/>
  <c r="FX128" i="39" s="1"/>
  <c r="FY128" i="39" s="1"/>
  <c r="FZ128" i="39" s="1"/>
  <c r="GA128" i="39" s="1"/>
  <c r="GB128" i="39" s="1"/>
  <c r="FC128" i="39"/>
  <c r="FD128" i="39" s="1"/>
  <c r="FE128" i="39" s="1"/>
  <c r="FF128" i="39" s="1"/>
  <c r="FG128" i="39" s="1"/>
  <c r="FH128" i="39" s="1"/>
  <c r="FI128" i="39" s="1"/>
  <c r="FJ128" i="39" s="1"/>
  <c r="FK128" i="39" s="1"/>
  <c r="FL128" i="39" s="1"/>
  <c r="FM128" i="39" s="1"/>
  <c r="FN128" i="39" s="1"/>
  <c r="FC133" i="39"/>
  <c r="FD133" i="39" s="1"/>
  <c r="FE133" i="39" s="1"/>
  <c r="FF133" i="39" s="1"/>
  <c r="FG133" i="39" s="1"/>
  <c r="FH133" i="39" s="1"/>
  <c r="FI133" i="39" s="1"/>
  <c r="FJ133" i="39" s="1"/>
  <c r="FK133" i="39" s="1"/>
  <c r="FL133" i="39" s="1"/>
  <c r="FM133" i="39" s="1"/>
  <c r="FN133" i="39" s="1"/>
  <c r="GL133" i="39"/>
  <c r="HI133" i="39" s="1" a="1"/>
  <c r="HI133" i="39" s="1"/>
  <c r="FC142" i="39"/>
  <c r="FD142" i="39" s="1"/>
  <c r="FE142" i="39" s="1"/>
  <c r="FF142" i="39" s="1"/>
  <c r="FG142" i="39" s="1"/>
  <c r="FH142" i="39" s="1"/>
  <c r="FI142" i="39" s="1"/>
  <c r="FJ142" i="39" s="1"/>
  <c r="FK142" i="39" s="1"/>
  <c r="FL142" i="39" s="1"/>
  <c r="FM142" i="39" s="1"/>
  <c r="FN142" i="39" s="1"/>
  <c r="FC124" i="39"/>
  <c r="FD124" i="39" s="1"/>
  <c r="FE124" i="39" s="1"/>
  <c r="FF124" i="39" s="1"/>
  <c r="FG124" i="39" s="1"/>
  <c r="FH124" i="39" s="1"/>
  <c r="FI124" i="39" s="1"/>
  <c r="FJ124" i="39" s="1"/>
  <c r="FK124" i="39" s="1"/>
  <c r="FL124" i="39" s="1"/>
  <c r="FM124" i="39" s="1"/>
  <c r="FN124" i="39" s="1"/>
  <c r="HF124" i="39"/>
  <c r="HG124" i="39" s="1"/>
  <c r="HI124" i="39" s="1" a="1"/>
  <c r="HI124" i="39" s="1"/>
  <c r="GL142" i="39"/>
  <c r="HI142" i="39" s="1" a="1"/>
  <c r="HI142" i="39" s="1"/>
  <c r="GM142" i="39"/>
  <c r="HJ142" i="39" s="1" a="1"/>
  <c r="HJ142" i="39" s="1"/>
  <c r="GM124" i="39"/>
  <c r="FQ142" i="39"/>
  <c r="FR142" i="39" s="1"/>
  <c r="FS142" i="39" s="1"/>
  <c r="FT142" i="39" s="1"/>
  <c r="FU142" i="39" s="1"/>
  <c r="FV142" i="39" s="1"/>
  <c r="FW142" i="39" s="1"/>
  <c r="FX142" i="39" s="1"/>
  <c r="FY142" i="39" s="1"/>
  <c r="FZ142" i="39" s="1"/>
  <c r="GA142" i="39" s="1"/>
  <c r="GB142" i="39" s="1"/>
  <c r="FQ124" i="39"/>
  <c r="FR124" i="39" s="1"/>
  <c r="FS124" i="39" s="1"/>
  <c r="FT124" i="39" s="1"/>
  <c r="FU124" i="39" s="1"/>
  <c r="FV124" i="39" s="1"/>
  <c r="FW124" i="39" s="1"/>
  <c r="FX124" i="39" s="1"/>
  <c r="FY124" i="39" s="1"/>
  <c r="FZ124" i="39" s="1"/>
  <c r="GA124" i="39" s="1"/>
  <c r="GB124" i="39" s="1"/>
  <c r="FC155" i="39"/>
  <c r="FD155" i="39" s="1"/>
  <c r="FE155" i="39" s="1"/>
  <c r="FF155" i="39" s="1"/>
  <c r="FG155" i="39" s="1"/>
  <c r="FH155" i="39" s="1"/>
  <c r="FI155" i="39" s="1"/>
  <c r="FJ155" i="39" s="1"/>
  <c r="FK155" i="39" s="1"/>
  <c r="FL155" i="39" s="1"/>
  <c r="FM155" i="39" s="1"/>
  <c r="FN155" i="39" s="1"/>
  <c r="GL155" i="39"/>
  <c r="HI155" i="39" s="1" a="1"/>
  <c r="HI155" i="39" s="1"/>
  <c r="FQ155" i="39"/>
  <c r="FR155" i="39" s="1"/>
  <c r="FS155" i="39" s="1"/>
  <c r="FT155" i="39" s="1"/>
  <c r="FU155" i="39" s="1"/>
  <c r="FV155" i="39" s="1"/>
  <c r="FW155" i="39" s="1"/>
  <c r="FX155" i="39" s="1"/>
  <c r="FY155" i="39" s="1"/>
  <c r="FZ155" i="39" s="1"/>
  <c r="GA155" i="39" s="1"/>
  <c r="GB155" i="39" s="1"/>
  <c r="FC129" i="39"/>
  <c r="FD129" i="39" s="1"/>
  <c r="FE129" i="39" s="1"/>
  <c r="FF129" i="39" s="1"/>
  <c r="FG129" i="39" s="1"/>
  <c r="FH129" i="39" s="1"/>
  <c r="FI129" i="39" s="1"/>
  <c r="FJ129" i="39" s="1"/>
  <c r="FK129" i="39" s="1"/>
  <c r="FL129" i="39" s="1"/>
  <c r="FM129" i="39" s="1"/>
  <c r="FN129" i="39" s="1"/>
  <c r="GM155" i="39"/>
  <c r="HJ155" i="39" s="1" a="1"/>
  <c r="HJ155" i="39" s="1"/>
  <c r="HI161" i="39" a="1"/>
  <c r="HI161" i="39" s="1"/>
  <c r="HF129" i="39"/>
  <c r="HG129" i="39" s="1"/>
  <c r="GL129" i="39"/>
  <c r="HJ145" i="39" a="1"/>
  <c r="HJ145" i="39" s="1"/>
  <c r="GM129" i="39"/>
  <c r="HI162" i="39" a="1"/>
  <c r="HI162" i="39" s="1"/>
  <c r="HC124" i="39"/>
  <c r="HJ159" i="39" a="1"/>
  <c r="HJ159" i="39" s="1"/>
  <c r="GM134" i="39"/>
  <c r="HJ134" i="39" s="1" a="1"/>
  <c r="HJ134" i="39" s="1"/>
  <c r="FQ134" i="39"/>
  <c r="FR134" i="39" s="1"/>
  <c r="FS134" i="39" s="1"/>
  <c r="FT134" i="39" s="1"/>
  <c r="FU134" i="39" s="1"/>
  <c r="FV134" i="39" s="1"/>
  <c r="FW134" i="39" s="1"/>
  <c r="FX134" i="39" s="1"/>
  <c r="FY134" i="39" s="1"/>
  <c r="FZ134" i="39" s="1"/>
  <c r="GA134" i="39" s="1"/>
  <c r="GB134" i="39" s="1"/>
  <c r="GL134" i="39"/>
  <c r="HI134" i="39" s="1" a="1"/>
  <c r="HI134" i="39" s="1"/>
  <c r="GM123" i="39"/>
  <c r="HJ123" i="39" s="1" a="1"/>
  <c r="HJ123" i="39" s="1"/>
  <c r="FC134" i="39"/>
  <c r="FD134" i="39" s="1"/>
  <c r="FE134" i="39" s="1"/>
  <c r="FF134" i="39" s="1"/>
  <c r="FG134" i="39" s="1"/>
  <c r="FH134" i="39" s="1"/>
  <c r="FI134" i="39" s="1"/>
  <c r="FJ134" i="39" s="1"/>
  <c r="FK134" i="39" s="1"/>
  <c r="FL134" i="39" s="1"/>
  <c r="FM134" i="39" s="1"/>
  <c r="FN134" i="39" s="1"/>
  <c r="FC123" i="39"/>
  <c r="FD123" i="39" s="1"/>
  <c r="FE123" i="39" s="1"/>
  <c r="FF123" i="39" s="1"/>
  <c r="FG123" i="39" s="1"/>
  <c r="FH123" i="39" s="1"/>
  <c r="FI123" i="39" s="1"/>
  <c r="FJ123" i="39" s="1"/>
  <c r="FK123" i="39" s="1"/>
  <c r="FL123" i="39" s="1"/>
  <c r="FM123" i="39" s="1"/>
  <c r="FN123" i="39" s="1"/>
  <c r="HJ162" i="39" a="1"/>
  <c r="HJ162" i="39" s="1"/>
  <c r="FQ123" i="39"/>
  <c r="FR123" i="39" s="1"/>
  <c r="FS123" i="39" s="1"/>
  <c r="FT123" i="39" s="1"/>
  <c r="FU123" i="39" s="1"/>
  <c r="FV123" i="39" s="1"/>
  <c r="FW123" i="39" s="1"/>
  <c r="FX123" i="39" s="1"/>
  <c r="FY123" i="39" s="1"/>
  <c r="FZ123" i="39" s="1"/>
  <c r="GA123" i="39" s="1"/>
  <c r="GB123" i="39" s="1"/>
  <c r="GM122" i="39"/>
  <c r="HJ122" i="39" s="1" a="1"/>
  <c r="HJ122" i="39" s="1"/>
  <c r="FQ122" i="39"/>
  <c r="FR122" i="39" s="1"/>
  <c r="FS122" i="39" s="1"/>
  <c r="FT122" i="39" s="1"/>
  <c r="FU122" i="39" s="1"/>
  <c r="FV122" i="39" s="1"/>
  <c r="FW122" i="39" s="1"/>
  <c r="FX122" i="39" s="1"/>
  <c r="FY122" i="39" s="1"/>
  <c r="FZ122" i="39" s="1"/>
  <c r="GA122" i="39" s="1"/>
  <c r="GB122" i="39" s="1"/>
  <c r="GL122" i="39"/>
  <c r="HI122" i="39" s="1" a="1"/>
  <c r="HI122" i="39" s="1"/>
  <c r="HJ161" i="39" a="1"/>
  <c r="HJ161" i="39" s="1"/>
  <c r="GL123" i="39"/>
  <c r="HI123" i="39" s="1" a="1"/>
  <c r="HI123" i="39" s="1"/>
  <c r="HF158" i="39"/>
  <c r="HG158" i="39" s="1"/>
  <c r="FC158" i="39"/>
  <c r="FD158" i="39" s="1"/>
  <c r="FE158" i="39" s="1"/>
  <c r="FF158" i="39" s="1"/>
  <c r="FG158" i="39" s="1"/>
  <c r="FH158" i="39" s="1"/>
  <c r="FI158" i="39" s="1"/>
  <c r="FJ158" i="39" s="1"/>
  <c r="FK158" i="39" s="1"/>
  <c r="FL158" i="39" s="1"/>
  <c r="FM158" i="39" s="1"/>
  <c r="FN158" i="39" s="1"/>
  <c r="GL158" i="39"/>
  <c r="FQ158" i="39"/>
  <c r="FR158" i="39" s="1"/>
  <c r="FS158" i="39" s="1"/>
  <c r="FT158" i="39" s="1"/>
  <c r="FU158" i="39" s="1"/>
  <c r="FV158" i="39" s="1"/>
  <c r="FW158" i="39" s="1"/>
  <c r="FX158" i="39" s="1"/>
  <c r="FY158" i="39" s="1"/>
  <c r="FZ158" i="39" s="1"/>
  <c r="GA158" i="39" s="1"/>
  <c r="GB158" i="39" s="1"/>
  <c r="GM158" i="39"/>
  <c r="HB157" i="39"/>
  <c r="HC157" i="39"/>
  <c r="HI159" i="39" a="1"/>
  <c r="HI159" i="39" s="1"/>
  <c r="HB158" i="39"/>
  <c r="HC158" i="39"/>
  <c r="FC163" i="39"/>
  <c r="FD163" i="39" s="1"/>
  <c r="FE163" i="39" s="1"/>
  <c r="FF163" i="39" s="1"/>
  <c r="FG163" i="39" s="1"/>
  <c r="FH163" i="39" s="1"/>
  <c r="FI163" i="39" s="1"/>
  <c r="FJ163" i="39" s="1"/>
  <c r="FK163" i="39" s="1"/>
  <c r="FL163" i="39" s="1"/>
  <c r="FM163" i="39" s="1"/>
  <c r="FN163" i="39" s="1"/>
  <c r="GL163" i="39"/>
  <c r="GM163" i="39"/>
  <c r="HF163" i="39"/>
  <c r="HG163" i="39" s="1"/>
  <c r="FQ163" i="39"/>
  <c r="FR163" i="39" s="1"/>
  <c r="FS163" i="39" s="1"/>
  <c r="FT163" i="39" s="1"/>
  <c r="FU163" i="39" s="1"/>
  <c r="FV163" i="39" s="1"/>
  <c r="FW163" i="39" s="1"/>
  <c r="FX163" i="39" s="1"/>
  <c r="FY163" i="39" s="1"/>
  <c r="FZ163" i="39" s="1"/>
  <c r="GA163" i="39" s="1"/>
  <c r="GB163" i="39" s="1"/>
  <c r="FC122" i="39"/>
  <c r="FD122" i="39" s="1"/>
  <c r="FE122" i="39" s="1"/>
  <c r="FF122" i="39" s="1"/>
  <c r="FG122" i="39" s="1"/>
  <c r="FH122" i="39" s="1"/>
  <c r="FI122" i="39" s="1"/>
  <c r="FJ122" i="39" s="1"/>
  <c r="FK122" i="39" s="1"/>
  <c r="FL122" i="39" s="1"/>
  <c r="FM122" i="39" s="1"/>
  <c r="FN122" i="39" s="1"/>
  <c r="HB163" i="39"/>
  <c r="HC163" i="39"/>
  <c r="FC157" i="39"/>
  <c r="FD157" i="39" s="1"/>
  <c r="FE157" i="39" s="1"/>
  <c r="FF157" i="39" s="1"/>
  <c r="FG157" i="39" s="1"/>
  <c r="FH157" i="39" s="1"/>
  <c r="FI157" i="39" s="1"/>
  <c r="FJ157" i="39" s="1"/>
  <c r="FK157" i="39" s="1"/>
  <c r="FL157" i="39" s="1"/>
  <c r="FM157" i="39" s="1"/>
  <c r="FN157" i="39" s="1"/>
  <c r="GL157" i="39"/>
  <c r="GM157" i="39"/>
  <c r="HF157" i="39"/>
  <c r="HG157" i="39" s="1"/>
  <c r="FQ157" i="39"/>
  <c r="FR157" i="39" s="1"/>
  <c r="FS157" i="39" s="1"/>
  <c r="FT157" i="39" s="1"/>
  <c r="FU157" i="39" s="1"/>
  <c r="FV157" i="39" s="1"/>
  <c r="FW157" i="39" s="1"/>
  <c r="FX157" i="39" s="1"/>
  <c r="FY157" i="39" s="1"/>
  <c r="FZ157" i="39" s="1"/>
  <c r="GA157" i="39" s="1"/>
  <c r="GB157" i="39" s="1"/>
  <c r="HF131" i="39"/>
  <c r="HG131" i="39" s="1"/>
  <c r="FQ131" i="39"/>
  <c r="FR131" i="39" s="1"/>
  <c r="FS131" i="39" s="1"/>
  <c r="FT131" i="39" s="1"/>
  <c r="FU131" i="39" s="1"/>
  <c r="FV131" i="39" s="1"/>
  <c r="FW131" i="39" s="1"/>
  <c r="FX131" i="39" s="1"/>
  <c r="FY131" i="39" s="1"/>
  <c r="FZ131" i="39" s="1"/>
  <c r="GA131" i="39" s="1"/>
  <c r="GB131" i="39" s="1"/>
  <c r="GL131" i="39"/>
  <c r="FC131" i="39"/>
  <c r="FD131" i="39" s="1"/>
  <c r="FE131" i="39" s="1"/>
  <c r="FF131" i="39" s="1"/>
  <c r="FG131" i="39" s="1"/>
  <c r="FH131" i="39" s="1"/>
  <c r="FI131" i="39" s="1"/>
  <c r="FJ131" i="39" s="1"/>
  <c r="FK131" i="39" s="1"/>
  <c r="FL131" i="39" s="1"/>
  <c r="FM131" i="39" s="1"/>
  <c r="FN131" i="39" s="1"/>
  <c r="GM131" i="39"/>
  <c r="HC150" i="39"/>
  <c r="HB150" i="39"/>
  <c r="HF140" i="39"/>
  <c r="HG140" i="39" s="1"/>
  <c r="GL140" i="39"/>
  <c r="FC140" i="39"/>
  <c r="FD140" i="39" s="1"/>
  <c r="FE140" i="39" s="1"/>
  <c r="FF140" i="39" s="1"/>
  <c r="FG140" i="39" s="1"/>
  <c r="FH140" i="39" s="1"/>
  <c r="FI140" i="39" s="1"/>
  <c r="FJ140" i="39" s="1"/>
  <c r="FK140" i="39" s="1"/>
  <c r="FL140" i="39" s="1"/>
  <c r="FM140" i="39" s="1"/>
  <c r="FN140" i="39" s="1"/>
  <c r="FQ140" i="39"/>
  <c r="FR140" i="39" s="1"/>
  <c r="FS140" i="39" s="1"/>
  <c r="FT140" i="39" s="1"/>
  <c r="FU140" i="39" s="1"/>
  <c r="FV140" i="39" s="1"/>
  <c r="FW140" i="39" s="1"/>
  <c r="FX140" i="39" s="1"/>
  <c r="FY140" i="39" s="1"/>
  <c r="FZ140" i="39" s="1"/>
  <c r="GA140" i="39" s="1"/>
  <c r="GB140" i="39" s="1"/>
  <c r="GM140" i="39"/>
  <c r="GM151" i="39"/>
  <c r="HJ151" i="39" s="1" a="1"/>
  <c r="HJ151" i="39" s="1"/>
  <c r="GL151" i="39"/>
  <c r="HI151" i="39" s="1" a="1"/>
  <c r="HI151" i="39" s="1"/>
  <c r="FQ151" i="39"/>
  <c r="FR151" i="39" s="1"/>
  <c r="FS151" i="39" s="1"/>
  <c r="FT151" i="39" s="1"/>
  <c r="FU151" i="39" s="1"/>
  <c r="FV151" i="39" s="1"/>
  <c r="FW151" i="39" s="1"/>
  <c r="FX151" i="39" s="1"/>
  <c r="FY151" i="39" s="1"/>
  <c r="FZ151" i="39" s="1"/>
  <c r="GA151" i="39" s="1"/>
  <c r="GB151" i="39" s="1"/>
  <c r="FC151" i="39"/>
  <c r="FD151" i="39" s="1"/>
  <c r="FE151" i="39" s="1"/>
  <c r="FF151" i="39" s="1"/>
  <c r="FG151" i="39" s="1"/>
  <c r="FH151" i="39" s="1"/>
  <c r="FI151" i="39" s="1"/>
  <c r="FJ151" i="39" s="1"/>
  <c r="FK151" i="39" s="1"/>
  <c r="FL151" i="39" s="1"/>
  <c r="FM151" i="39" s="1"/>
  <c r="FN151" i="39" s="1"/>
  <c r="GL118" i="39"/>
  <c r="FQ118" i="39"/>
  <c r="FR118" i="39" s="1"/>
  <c r="FS118" i="39" s="1"/>
  <c r="FT118" i="39" s="1"/>
  <c r="FU118" i="39" s="1"/>
  <c r="FV118" i="39" s="1"/>
  <c r="FW118" i="39" s="1"/>
  <c r="FX118" i="39" s="1"/>
  <c r="FY118" i="39" s="1"/>
  <c r="FZ118" i="39" s="1"/>
  <c r="GA118" i="39" s="1"/>
  <c r="GB118" i="39" s="1"/>
  <c r="GM118" i="39"/>
  <c r="FC118" i="39"/>
  <c r="FD118" i="39" s="1"/>
  <c r="FE118" i="39" s="1"/>
  <c r="FF118" i="39" s="1"/>
  <c r="FG118" i="39" s="1"/>
  <c r="FH118" i="39" s="1"/>
  <c r="FI118" i="39" s="1"/>
  <c r="FJ118" i="39" s="1"/>
  <c r="FK118" i="39" s="1"/>
  <c r="FL118" i="39" s="1"/>
  <c r="FM118" i="39" s="1"/>
  <c r="FN118" i="39" s="1"/>
  <c r="HF135" i="39"/>
  <c r="HG135" i="39" s="1"/>
  <c r="FC135" i="39"/>
  <c r="FD135" i="39" s="1"/>
  <c r="FE135" i="39" s="1"/>
  <c r="FF135" i="39" s="1"/>
  <c r="FG135" i="39" s="1"/>
  <c r="FH135" i="39" s="1"/>
  <c r="FI135" i="39" s="1"/>
  <c r="FJ135" i="39" s="1"/>
  <c r="FK135" i="39" s="1"/>
  <c r="FL135" i="39" s="1"/>
  <c r="FM135" i="39" s="1"/>
  <c r="FN135" i="39" s="1"/>
  <c r="GM135" i="39"/>
  <c r="GL135" i="39"/>
  <c r="FQ135" i="39"/>
  <c r="FR135" i="39" s="1"/>
  <c r="FS135" i="39" s="1"/>
  <c r="FT135" i="39" s="1"/>
  <c r="FU135" i="39" s="1"/>
  <c r="FV135" i="39" s="1"/>
  <c r="FW135" i="39" s="1"/>
  <c r="FX135" i="39" s="1"/>
  <c r="FY135" i="39" s="1"/>
  <c r="FZ135" i="39" s="1"/>
  <c r="GA135" i="39" s="1"/>
  <c r="GB135" i="39" s="1"/>
  <c r="GM132" i="39"/>
  <c r="FC132" i="39"/>
  <c r="FD132" i="39" s="1"/>
  <c r="FE132" i="39" s="1"/>
  <c r="FF132" i="39" s="1"/>
  <c r="FG132" i="39" s="1"/>
  <c r="FH132" i="39" s="1"/>
  <c r="FI132" i="39" s="1"/>
  <c r="FJ132" i="39" s="1"/>
  <c r="FK132" i="39" s="1"/>
  <c r="FL132" i="39" s="1"/>
  <c r="FM132" i="39" s="1"/>
  <c r="FN132" i="39" s="1"/>
  <c r="GL132" i="39"/>
  <c r="FQ132" i="39"/>
  <c r="FR132" i="39" s="1"/>
  <c r="FS132" i="39" s="1"/>
  <c r="FT132" i="39" s="1"/>
  <c r="FU132" i="39" s="1"/>
  <c r="FV132" i="39" s="1"/>
  <c r="FW132" i="39" s="1"/>
  <c r="FX132" i="39" s="1"/>
  <c r="FY132" i="39" s="1"/>
  <c r="FZ132" i="39" s="1"/>
  <c r="GA132" i="39" s="1"/>
  <c r="GB132" i="39" s="1"/>
  <c r="HB135" i="39"/>
  <c r="HC135" i="39"/>
  <c r="GL137" i="39"/>
  <c r="HI137" i="39" s="1" a="1"/>
  <c r="HI137" i="39" s="1"/>
  <c r="FC137" i="39"/>
  <c r="FD137" i="39" s="1"/>
  <c r="FE137" i="39" s="1"/>
  <c r="FF137" i="39" s="1"/>
  <c r="FG137" i="39" s="1"/>
  <c r="FH137" i="39" s="1"/>
  <c r="FI137" i="39" s="1"/>
  <c r="FJ137" i="39" s="1"/>
  <c r="FK137" i="39" s="1"/>
  <c r="FL137" i="39" s="1"/>
  <c r="FM137" i="39" s="1"/>
  <c r="FN137" i="39" s="1"/>
  <c r="GM137" i="39"/>
  <c r="HJ137" i="39" s="1" a="1"/>
  <c r="HJ137" i="39" s="1"/>
  <c r="FQ137" i="39"/>
  <c r="FR137" i="39" s="1"/>
  <c r="FS137" i="39" s="1"/>
  <c r="FT137" i="39" s="1"/>
  <c r="FU137" i="39" s="1"/>
  <c r="FV137" i="39" s="1"/>
  <c r="FW137" i="39" s="1"/>
  <c r="FX137" i="39" s="1"/>
  <c r="FY137" i="39" s="1"/>
  <c r="FZ137" i="39" s="1"/>
  <c r="GA137" i="39" s="1"/>
  <c r="GB137" i="39" s="1"/>
  <c r="HF132" i="39"/>
  <c r="HG132" i="39" s="1"/>
  <c r="HI145" i="39" a="1"/>
  <c r="HI145" i="39" s="1"/>
  <c r="GL125" i="39"/>
  <c r="FQ125" i="39"/>
  <c r="FR125" i="39" s="1"/>
  <c r="FS125" i="39" s="1"/>
  <c r="FT125" i="39" s="1"/>
  <c r="FU125" i="39" s="1"/>
  <c r="FV125" i="39" s="1"/>
  <c r="FW125" i="39" s="1"/>
  <c r="FX125" i="39" s="1"/>
  <c r="FY125" i="39" s="1"/>
  <c r="FZ125" i="39" s="1"/>
  <c r="GA125" i="39" s="1"/>
  <c r="GB125" i="39" s="1"/>
  <c r="GM125" i="39"/>
  <c r="FC125" i="39"/>
  <c r="FD125" i="39" s="1"/>
  <c r="FE125" i="39" s="1"/>
  <c r="FF125" i="39" s="1"/>
  <c r="FG125" i="39" s="1"/>
  <c r="FH125" i="39" s="1"/>
  <c r="FI125" i="39" s="1"/>
  <c r="FJ125" i="39" s="1"/>
  <c r="FK125" i="39" s="1"/>
  <c r="FL125" i="39" s="1"/>
  <c r="FM125" i="39" s="1"/>
  <c r="FN125" i="39" s="1"/>
  <c r="GM144" i="39"/>
  <c r="HJ144" i="39" s="1" a="1"/>
  <c r="HJ144" i="39" s="1"/>
  <c r="GL144" i="39"/>
  <c r="HI144" i="39" s="1" a="1"/>
  <c r="HI144" i="39" s="1"/>
  <c r="FC144" i="39"/>
  <c r="FD144" i="39" s="1"/>
  <c r="FE144" i="39" s="1"/>
  <c r="FF144" i="39" s="1"/>
  <c r="FG144" i="39" s="1"/>
  <c r="FH144" i="39" s="1"/>
  <c r="FI144" i="39" s="1"/>
  <c r="FJ144" i="39" s="1"/>
  <c r="FK144" i="39" s="1"/>
  <c r="FL144" i="39" s="1"/>
  <c r="FM144" i="39" s="1"/>
  <c r="FN144" i="39" s="1"/>
  <c r="FQ144" i="39"/>
  <c r="FR144" i="39" s="1"/>
  <c r="FS144" i="39" s="1"/>
  <c r="FT144" i="39" s="1"/>
  <c r="FU144" i="39" s="1"/>
  <c r="FV144" i="39" s="1"/>
  <c r="FW144" i="39" s="1"/>
  <c r="FX144" i="39" s="1"/>
  <c r="FY144" i="39" s="1"/>
  <c r="FZ144" i="39" s="1"/>
  <c r="GA144" i="39" s="1"/>
  <c r="GB144" i="39" s="1"/>
  <c r="HC131" i="39"/>
  <c r="HB131" i="39"/>
  <c r="GM146" i="39"/>
  <c r="GL146" i="39"/>
  <c r="FQ146" i="39"/>
  <c r="FR146" i="39" s="1"/>
  <c r="FS146" i="39" s="1"/>
  <c r="FT146" i="39" s="1"/>
  <c r="FU146" i="39" s="1"/>
  <c r="FV146" i="39" s="1"/>
  <c r="FW146" i="39" s="1"/>
  <c r="FX146" i="39" s="1"/>
  <c r="FY146" i="39" s="1"/>
  <c r="FZ146" i="39" s="1"/>
  <c r="GA146" i="39" s="1"/>
  <c r="GB146" i="39" s="1"/>
  <c r="FC146" i="39"/>
  <c r="FD146" i="39" s="1"/>
  <c r="FE146" i="39" s="1"/>
  <c r="FF146" i="39" s="1"/>
  <c r="FG146" i="39" s="1"/>
  <c r="FH146" i="39" s="1"/>
  <c r="FI146" i="39" s="1"/>
  <c r="FJ146" i="39" s="1"/>
  <c r="FK146" i="39" s="1"/>
  <c r="FL146" i="39" s="1"/>
  <c r="FM146" i="39" s="1"/>
  <c r="FN146" i="39" s="1"/>
  <c r="HF118" i="39"/>
  <c r="HG118" i="39" s="1"/>
  <c r="HF136" i="39"/>
  <c r="HG136" i="39" s="1"/>
  <c r="GM136" i="39"/>
  <c r="GL136" i="39"/>
  <c r="FQ136" i="39"/>
  <c r="FR136" i="39" s="1"/>
  <c r="FS136" i="39" s="1"/>
  <c r="FT136" i="39" s="1"/>
  <c r="FU136" i="39" s="1"/>
  <c r="FV136" i="39" s="1"/>
  <c r="FW136" i="39" s="1"/>
  <c r="FX136" i="39" s="1"/>
  <c r="FY136" i="39" s="1"/>
  <c r="FZ136" i="39" s="1"/>
  <c r="GA136" i="39" s="1"/>
  <c r="GB136" i="39" s="1"/>
  <c r="FC136" i="39"/>
  <c r="FD136" i="39" s="1"/>
  <c r="FE136" i="39" s="1"/>
  <c r="FF136" i="39" s="1"/>
  <c r="FG136" i="39" s="1"/>
  <c r="FH136" i="39" s="1"/>
  <c r="FI136" i="39" s="1"/>
  <c r="FJ136" i="39" s="1"/>
  <c r="FK136" i="39" s="1"/>
  <c r="FL136" i="39" s="1"/>
  <c r="FM136" i="39" s="1"/>
  <c r="FN136" i="39" s="1"/>
  <c r="FC143" i="39"/>
  <c r="FD143" i="39" s="1"/>
  <c r="FE143" i="39" s="1"/>
  <c r="FF143" i="39" s="1"/>
  <c r="FG143" i="39" s="1"/>
  <c r="FH143" i="39" s="1"/>
  <c r="FI143" i="39" s="1"/>
  <c r="FJ143" i="39" s="1"/>
  <c r="FK143" i="39" s="1"/>
  <c r="FL143" i="39" s="1"/>
  <c r="FM143" i="39" s="1"/>
  <c r="FN143" i="39" s="1"/>
  <c r="GL143" i="39"/>
  <c r="HI143" i="39" s="1" a="1"/>
  <c r="HI143" i="39" s="1"/>
  <c r="GM143" i="39"/>
  <c r="HJ143" i="39" s="1" a="1"/>
  <c r="HJ143" i="39" s="1"/>
  <c r="FQ143" i="39"/>
  <c r="FR143" i="39" s="1"/>
  <c r="FS143" i="39" s="1"/>
  <c r="FT143" i="39" s="1"/>
  <c r="FU143" i="39" s="1"/>
  <c r="FV143" i="39" s="1"/>
  <c r="FW143" i="39" s="1"/>
  <c r="FX143" i="39" s="1"/>
  <c r="FY143" i="39" s="1"/>
  <c r="FZ143" i="39" s="1"/>
  <c r="GA143" i="39" s="1"/>
  <c r="GB143" i="39" s="1"/>
  <c r="HF150" i="39"/>
  <c r="HG150" i="39" s="1"/>
  <c r="FC150" i="39"/>
  <c r="FD150" i="39" s="1"/>
  <c r="FE150" i="39" s="1"/>
  <c r="FF150" i="39" s="1"/>
  <c r="FG150" i="39" s="1"/>
  <c r="FH150" i="39" s="1"/>
  <c r="FI150" i="39" s="1"/>
  <c r="FJ150" i="39" s="1"/>
  <c r="FK150" i="39" s="1"/>
  <c r="FL150" i="39" s="1"/>
  <c r="FM150" i="39" s="1"/>
  <c r="FN150" i="39" s="1"/>
  <c r="FQ150" i="39"/>
  <c r="FR150" i="39" s="1"/>
  <c r="FS150" i="39" s="1"/>
  <c r="FT150" i="39" s="1"/>
  <c r="FU150" i="39" s="1"/>
  <c r="FV150" i="39" s="1"/>
  <c r="FW150" i="39" s="1"/>
  <c r="FX150" i="39" s="1"/>
  <c r="FY150" i="39" s="1"/>
  <c r="FZ150" i="39" s="1"/>
  <c r="GA150" i="39" s="1"/>
  <c r="GB150" i="39" s="1"/>
  <c r="GL150" i="39"/>
  <c r="GM150" i="39"/>
  <c r="HB140" i="39"/>
  <c r="HC140" i="39"/>
  <c r="HF146" i="39"/>
  <c r="HG146" i="39" s="1"/>
  <c r="HC136" i="39"/>
  <c r="HB136" i="39"/>
  <c r="HF125" i="39"/>
  <c r="HG125" i="39" s="1"/>
  <c r="HH58" i="39"/>
  <c r="HH60" i="39"/>
  <c r="HH31" i="39"/>
  <c r="HH49" i="39"/>
  <c r="HH71" i="39"/>
  <c r="HH85" i="39"/>
  <c r="HH66" i="39"/>
  <c r="HH65" i="39"/>
  <c r="HH28" i="39"/>
  <c r="HH64" i="39"/>
  <c r="HH109" i="39"/>
  <c r="HH100" i="39"/>
  <c r="HH97" i="39"/>
  <c r="HH99" i="39"/>
  <c r="HH56" i="39"/>
  <c r="HH19" i="39"/>
  <c r="HH69" i="39"/>
  <c r="HH91" i="39"/>
  <c r="HH82" i="39"/>
  <c r="HH79" i="39"/>
  <c r="HH48" i="39"/>
  <c r="HH70" i="39"/>
  <c r="HH104" i="39"/>
  <c r="HH98" i="39"/>
  <c r="HH103" i="39"/>
  <c r="HH112" i="39"/>
  <c r="HH76" i="39"/>
  <c r="HH101" i="39"/>
  <c r="HH36" i="39"/>
  <c r="HH18" i="39"/>
  <c r="HH73" i="39"/>
  <c r="HH22" i="39"/>
  <c r="HH86" i="39"/>
  <c r="HH23" i="39"/>
  <c r="HH54" i="39"/>
  <c r="HH77" i="39"/>
  <c r="HH102" i="39"/>
  <c r="HH106" i="39"/>
  <c r="HH59" i="39"/>
  <c r="HH116" i="39"/>
  <c r="HH33" i="39"/>
  <c r="HH96" i="39"/>
  <c r="HH42" i="39"/>
  <c r="HH51" i="39"/>
  <c r="HH25" i="39"/>
  <c r="HH40" i="39"/>
  <c r="HH78" i="39"/>
  <c r="HH83" i="39"/>
  <c r="HH92" i="39"/>
  <c r="HH80" i="39"/>
  <c r="HH20" i="39"/>
  <c r="HH113" i="39"/>
  <c r="HH93" i="39"/>
  <c r="HH89" i="39"/>
  <c r="HH94" i="39"/>
  <c r="HH52" i="39"/>
  <c r="HH107" i="39"/>
  <c r="GP58" i="39"/>
  <c r="GP60" i="39"/>
  <c r="HH72" i="39"/>
  <c r="GP31" i="39"/>
  <c r="HH81" i="39"/>
  <c r="HH110" i="39"/>
  <c r="HH41" i="39"/>
  <c r="GP49" i="39"/>
  <c r="HH24" i="39"/>
  <c r="GP71" i="39"/>
  <c r="HH63" i="39"/>
  <c r="HH105" i="39"/>
  <c r="GP85" i="39"/>
  <c r="GP66" i="39"/>
  <c r="DS79" i="7"/>
  <c r="BC118" i="7"/>
  <c r="HI148" i="39" l="1" a="1"/>
  <c r="HI148" i="39" s="1"/>
  <c r="HI147" i="39" a="1"/>
  <c r="HI147" i="39" s="1"/>
  <c r="HI149" i="39" a="1"/>
  <c r="HI149" i="39" s="1"/>
  <c r="HJ147" i="39" a="1"/>
  <c r="HJ147" i="39" s="1"/>
  <c r="HI127" i="39" a="1"/>
  <c r="HI127" i="39" s="1"/>
  <c r="HI130" i="39" a="1"/>
  <c r="HI130" i="39" s="1"/>
  <c r="HI141" i="39" a="1"/>
  <c r="HI141" i="39" s="1"/>
  <c r="HJ130" i="39" a="1"/>
  <c r="HJ130" i="39" s="1"/>
  <c r="HI139" i="39" a="1"/>
  <c r="HI139" i="39" s="1"/>
  <c r="HJ139" i="39" a="1"/>
  <c r="HJ139" i="39" s="1"/>
  <c r="HJ152" i="39" a="1"/>
  <c r="HJ152" i="39" s="1"/>
  <c r="HI152" i="39" a="1"/>
  <c r="HI152" i="39" s="1"/>
  <c r="HJ124" i="39" a="1"/>
  <c r="HJ124" i="39" s="1"/>
  <c r="HI129" i="39" a="1"/>
  <c r="HI129" i="39" s="1"/>
  <c r="HJ129" i="39" a="1"/>
  <c r="HJ129" i="39" s="1"/>
  <c r="HI158" i="39" a="1"/>
  <c r="HI158" i="39" s="1"/>
  <c r="HI125" i="39" a="1"/>
  <c r="HI125" i="39" s="1"/>
  <c r="HI150" i="39" a="1"/>
  <c r="HI150" i="39" s="1"/>
  <c r="HJ146" i="39" a="1"/>
  <c r="HJ146" i="39" s="1"/>
  <c r="HI157" i="39" a="1"/>
  <c r="HI157" i="39" s="1"/>
  <c r="HI163" i="39" a="1"/>
  <c r="HI163" i="39" s="1"/>
  <c r="HJ157" i="39" a="1"/>
  <c r="HJ157" i="39" s="1"/>
  <c r="HJ163" i="39" a="1"/>
  <c r="HJ163" i="39" s="1"/>
  <c r="HJ158" i="39" a="1"/>
  <c r="HJ158" i="39" s="1"/>
  <c r="HJ136" i="39" a="1"/>
  <c r="HJ136" i="39" s="1"/>
  <c r="HI118" i="39" a="1"/>
  <c r="HI118" i="39" s="1"/>
  <c r="HI146" i="39" a="1"/>
  <c r="HI146" i="39" s="1"/>
  <c r="HJ132" i="39" a="1"/>
  <c r="HJ132" i="39" s="1"/>
  <c r="HJ150" i="39" a="1"/>
  <c r="HJ150" i="39" s="1"/>
  <c r="HI131" i="39" a="1"/>
  <c r="HI131" i="39" s="1"/>
  <c r="HJ118" i="39" a="1"/>
  <c r="HJ118" i="39" s="1"/>
  <c r="HJ140" i="39" a="1"/>
  <c r="HJ140" i="39" s="1"/>
  <c r="HI132" i="39" a="1"/>
  <c r="HI132" i="39" s="1"/>
  <c r="HI135" i="39" a="1"/>
  <c r="HI135" i="39" s="1"/>
  <c r="HJ135" i="39" a="1"/>
  <c r="HJ135" i="39" s="1"/>
  <c r="HI136" i="39" a="1"/>
  <c r="HI136" i="39" s="1"/>
  <c r="HJ125" i="39" a="1"/>
  <c r="HJ125" i="39" s="1"/>
  <c r="HI140" i="39" a="1"/>
  <c r="HI140" i="39" s="1"/>
  <c r="HJ131" i="39" a="1"/>
  <c r="HJ131" i="39" s="1"/>
  <c r="HG4" i="39"/>
  <c r="GW165" i="39"/>
  <c r="GW164" i="39"/>
  <c r="GW154" i="39"/>
  <c r="GV164" i="39"/>
  <c r="GU164" i="39"/>
  <c r="U137" i="7"/>
  <c r="GS117" i="39" l="1"/>
  <c r="GS154" i="39"/>
  <c r="GS164" i="39"/>
  <c r="GP164" i="39"/>
  <c r="GT164" i="39" l="1"/>
  <c r="AE80" i="32"/>
  <c r="AE81" i="32"/>
  <c r="AE82" i="32"/>
  <c r="AE83" i="32"/>
  <c r="AE84" i="32"/>
  <c r="AE79" i="32"/>
  <c r="AF8" i="32"/>
  <c r="AF9" i="32"/>
  <c r="AF7" i="32"/>
  <c r="AE8" i="32"/>
  <c r="AE9" i="32"/>
  <c r="GN154" i="39"/>
  <c r="CH77" i="39"/>
  <c r="CH78" i="39"/>
  <c r="CP79" i="39"/>
  <c r="CH76" i="39"/>
  <c r="GX117" i="39"/>
  <c r="GW117" i="39"/>
  <c r="HO4" i="39"/>
  <c r="GJ154" i="39" l="1"/>
  <c r="HK154" i="39" s="1"/>
  <c r="CP78" i="39"/>
  <c r="CU78" i="39" s="1"/>
  <c r="CW78" i="39" s="1"/>
  <c r="CP75" i="39"/>
  <c r="CH75" i="39"/>
  <c r="CP77" i="39"/>
  <c r="CU77" i="39" s="1"/>
  <c r="CW77" i="39" s="1"/>
  <c r="CP76" i="39"/>
  <c r="CU76" i="39" s="1"/>
  <c r="CW76" i="39" s="1"/>
  <c r="CH79" i="39"/>
  <c r="CU79" i="39" s="1"/>
  <c r="CW79" i="39" s="1"/>
  <c r="CU75" i="39" l="1"/>
  <c r="CW75" i="39" s="1"/>
  <c r="GN117" i="39" s="1"/>
  <c r="GO117" i="39" s="1" a="1"/>
  <c r="GO117" i="39" s="1"/>
  <c r="GV117" i="39" s="1"/>
  <c r="HH117" i="39" l="1"/>
  <c r="GP117" i="39"/>
  <c r="GT117" i="39" l="1"/>
  <c r="GU117" i="39" s="1"/>
  <c r="F15" i="39" a="1"/>
  <c r="F15" i="39" s="1"/>
  <c r="F16" i="39" a="1"/>
  <c r="F16" i="39" s="1"/>
  <c r="F17" i="39" a="1"/>
  <c r="F17" i="39" s="1"/>
  <c r="F18" i="39" a="1"/>
  <c r="F18" i="39" s="1"/>
  <c r="F19" i="39" a="1"/>
  <c r="F19" i="39" s="1"/>
  <c r="F20" i="39" a="1"/>
  <c r="F20" i="39" s="1"/>
  <c r="F21" i="39" a="1"/>
  <c r="F21" i="39" s="1"/>
  <c r="F22" i="39" a="1"/>
  <c r="F22" i="39" s="1"/>
  <c r="F23" i="39" a="1"/>
  <c r="F23" i="39" s="1"/>
  <c r="F24" i="39" a="1"/>
  <c r="F24" i="39" s="1"/>
  <c r="F25" i="39" a="1"/>
  <c r="F25" i="39" s="1"/>
  <c r="F26" i="39" a="1"/>
  <c r="F26" i="39" s="1"/>
  <c r="F27" i="39" a="1"/>
  <c r="F27" i="39" s="1"/>
  <c r="F28" i="39" a="1"/>
  <c r="F28" i="39" s="1"/>
  <c r="F29" i="39" a="1"/>
  <c r="F29" i="39" s="1"/>
  <c r="F30" i="39" a="1"/>
  <c r="F30" i="39" s="1"/>
  <c r="F31" i="39" a="1"/>
  <c r="F31" i="39" s="1"/>
  <c r="F32" i="39" a="1"/>
  <c r="F32" i="39" s="1"/>
  <c r="F33" i="39" a="1"/>
  <c r="F33" i="39" s="1"/>
  <c r="F34" i="39" a="1"/>
  <c r="F34" i="39" s="1"/>
  <c r="F35" i="39" a="1"/>
  <c r="F35" i="39" s="1"/>
  <c r="F36" i="39" a="1"/>
  <c r="F36" i="39" s="1"/>
  <c r="F14" i="39" a="1"/>
  <c r="F14" i="39" s="1"/>
  <c r="CV19" i="39" l="1"/>
  <c r="CI19" i="39"/>
  <c r="CJ19" i="39"/>
  <c r="CI18" i="39"/>
  <c r="CV18" i="39"/>
  <c r="CV28" i="39"/>
  <c r="CI28" i="39"/>
  <c r="CJ28" i="39"/>
  <c r="CI34" i="39"/>
  <c r="CJ34" i="39"/>
  <c r="CV34" i="39"/>
  <c r="CJ17" i="39"/>
  <c r="CV17" i="39"/>
  <c r="CI17" i="39"/>
  <c r="CV24" i="39"/>
  <c r="CJ24" i="39"/>
  <c r="CI24" i="39"/>
  <c r="CJ16" i="39"/>
  <c r="CI16" i="39"/>
  <c r="CV16" i="39"/>
  <c r="CJ20" i="39"/>
  <c r="CI20" i="39"/>
  <c r="CV20" i="39"/>
  <c r="CI26" i="39"/>
  <c r="CJ26" i="39"/>
  <c r="CV26" i="39"/>
  <c r="CV32" i="39"/>
  <c r="CI32" i="39"/>
  <c r="FB47" i="39" s="1"/>
  <c r="CV23" i="39"/>
  <c r="CI23" i="39"/>
  <c r="CJ23" i="39"/>
  <c r="CI35" i="39"/>
  <c r="CJ35" i="39"/>
  <c r="CV35" i="39"/>
  <c r="CJ33" i="39"/>
  <c r="CV33" i="39"/>
  <c r="CI33" i="39"/>
  <c r="CI31" i="39"/>
  <c r="CJ31" i="39"/>
  <c r="CV31" i="39"/>
  <c r="CI30" i="39"/>
  <c r="CJ30" i="39"/>
  <c r="CV30" i="39"/>
  <c r="CI22" i="39"/>
  <c r="FB16" i="39" s="1"/>
  <c r="CV22" i="39"/>
  <c r="CV36" i="39"/>
  <c r="CJ36" i="39"/>
  <c r="CI36" i="39"/>
  <c r="CI27" i="39"/>
  <c r="CV27" i="39"/>
  <c r="CJ27" i="39"/>
  <c r="CJ25" i="39"/>
  <c r="CV25" i="39"/>
  <c r="CI25" i="39"/>
  <c r="CI14" i="39"/>
  <c r="CV14" i="39"/>
  <c r="CJ29" i="39"/>
  <c r="CI29" i="39"/>
  <c r="CV29" i="39"/>
  <c r="CJ21" i="39"/>
  <c r="CV21" i="39"/>
  <c r="CI21" i="39"/>
  <c r="CV15" i="39"/>
  <c r="CI15" i="39"/>
  <c r="CJ15" i="39"/>
  <c r="CQ33" i="39"/>
  <c r="CR33" i="39"/>
  <c r="CQ25" i="39"/>
  <c r="CR25" i="39"/>
  <c r="CQ17" i="39"/>
  <c r="CR17" i="39"/>
  <c r="CQ36" i="39"/>
  <c r="CR36" i="39"/>
  <c r="CQ32" i="39"/>
  <c r="CR32" i="39"/>
  <c r="CQ28" i="39"/>
  <c r="CR28" i="39"/>
  <c r="CQ24" i="39"/>
  <c r="CR24" i="39"/>
  <c r="CQ20" i="39"/>
  <c r="CR20" i="39"/>
  <c r="CQ16" i="39"/>
  <c r="CR16" i="39"/>
  <c r="CQ35" i="39"/>
  <c r="CR35" i="39"/>
  <c r="CQ31" i="39"/>
  <c r="CR31" i="39"/>
  <c r="CQ27" i="39"/>
  <c r="CR27" i="39"/>
  <c r="CQ23" i="39"/>
  <c r="CR23" i="39"/>
  <c r="CQ19" i="39"/>
  <c r="CR19" i="39"/>
  <c r="CQ34" i="39"/>
  <c r="CR34" i="39"/>
  <c r="CR30" i="39"/>
  <c r="CQ30" i="39"/>
  <c r="CQ26" i="39"/>
  <c r="CR26" i="39"/>
  <c r="CR22" i="39"/>
  <c r="CQ22" i="39"/>
  <c r="CQ18" i="39"/>
  <c r="CR18" i="39"/>
  <c r="CR29" i="39"/>
  <c r="CQ29" i="39"/>
  <c r="CR21" i="39"/>
  <c r="CQ21" i="39"/>
  <c r="CM30" i="39"/>
  <c r="CM34" i="39"/>
  <c r="CM18" i="39"/>
  <c r="CM36" i="39"/>
  <c r="CM32" i="39"/>
  <c r="CM28" i="39"/>
  <c r="CM24" i="39"/>
  <c r="CM20" i="39"/>
  <c r="CM16" i="39"/>
  <c r="FB115" i="39"/>
  <c r="CM35" i="39"/>
  <c r="CM31" i="39"/>
  <c r="CM27" i="39"/>
  <c r="CM23" i="39"/>
  <c r="CM19" i="39"/>
  <c r="CM22" i="39"/>
  <c r="CM26" i="39"/>
  <c r="CM33" i="39"/>
  <c r="CM29" i="39"/>
  <c r="CM25" i="39"/>
  <c r="CM21" i="39"/>
  <c r="CM17" i="39"/>
  <c r="FB45" i="39"/>
  <c r="CE14" i="39"/>
  <c r="CD32" i="39"/>
  <c r="CE20" i="39"/>
  <c r="CE28" i="39"/>
  <c r="CE24" i="39"/>
  <c r="CE16" i="39"/>
  <c r="DE16" i="39" l="1"/>
  <c r="DD16" i="39"/>
  <c r="DI16" i="39"/>
  <c r="DB16" i="39"/>
  <c r="DM16" i="39"/>
  <c r="DF16" i="39"/>
  <c r="DC16" i="39"/>
  <c r="DH16" i="39"/>
  <c r="DG16" i="39"/>
  <c r="DK16" i="39"/>
  <c r="DJ16" i="39"/>
  <c r="DL16" i="39"/>
  <c r="FB32" i="39"/>
  <c r="FB44" i="39"/>
  <c r="DJ44" i="39"/>
  <c r="DL44" i="39"/>
  <c r="DG44" i="39"/>
  <c r="DK44" i="39"/>
  <c r="DD44" i="39"/>
  <c r="DF44" i="39"/>
  <c r="DE44" i="39"/>
  <c r="DC44" i="39"/>
  <c r="DH44" i="39"/>
  <c r="DB44" i="39"/>
  <c r="DI44" i="39"/>
  <c r="DM44" i="39"/>
  <c r="DL32" i="39"/>
  <c r="DD32" i="39"/>
  <c r="DC32" i="39"/>
  <c r="DK32" i="39"/>
  <c r="DM32" i="39"/>
  <c r="DE32" i="39"/>
  <c r="DH32" i="39"/>
  <c r="DJ32" i="39"/>
  <c r="DG32" i="39"/>
  <c r="DI32" i="39"/>
  <c r="DF32" i="39"/>
  <c r="DB32" i="39"/>
  <c r="FB26" i="39"/>
  <c r="FB12" i="39"/>
  <c r="DB45" i="39"/>
  <c r="DM45" i="39"/>
  <c r="DK45" i="39"/>
  <c r="DL45" i="39"/>
  <c r="DH45" i="39"/>
  <c r="DJ45" i="39"/>
  <c r="DF45" i="39"/>
  <c r="DG45" i="39"/>
  <c r="DD45" i="39"/>
  <c r="DC45" i="39"/>
  <c r="DI45" i="39"/>
  <c r="DE45" i="39"/>
  <c r="DC115" i="39"/>
  <c r="DK115" i="39"/>
  <c r="DH115" i="39"/>
  <c r="DF115" i="39"/>
  <c r="DE115" i="39"/>
  <c r="DB115" i="39"/>
  <c r="DJ115" i="39"/>
  <c r="DM115" i="39"/>
  <c r="DI115" i="39"/>
  <c r="DL115" i="39"/>
  <c r="DD115" i="39"/>
  <c r="DG115" i="39"/>
  <c r="CE34" i="39"/>
  <c r="CE31" i="39"/>
  <c r="CE23" i="39"/>
  <c r="CD21" i="39"/>
  <c r="CE30" i="39"/>
  <c r="CE19" i="39"/>
  <c r="CE26" i="39"/>
  <c r="CD36" i="39"/>
  <c r="CE15" i="39"/>
  <c r="CD33" i="39"/>
  <c r="CD29" i="39"/>
  <c r="CE18" i="39"/>
  <c r="CE35" i="39"/>
  <c r="CD25" i="39"/>
  <c r="CD17" i="39"/>
  <c r="CE27" i="39"/>
  <c r="CD20" i="39"/>
  <c r="CD15" i="39"/>
  <c r="CE33" i="39"/>
  <c r="CE29" i="39"/>
  <c r="CD18" i="39"/>
  <c r="CD35" i="39"/>
  <c r="CE25" i="39"/>
  <c r="CD27" i="39"/>
  <c r="CE36" i="39"/>
  <c r="CD28" i="39"/>
  <c r="CD16" i="39"/>
  <c r="CE21" i="39"/>
  <c r="CD34" i="39"/>
  <c r="CD30" i="39"/>
  <c r="CD31" i="39"/>
  <c r="CD19" i="39"/>
  <c r="CD23" i="39"/>
  <c r="CD26" i="39"/>
  <c r="CE32" i="39"/>
  <c r="CD14" i="39"/>
  <c r="CE22" i="39"/>
  <c r="CE17" i="39"/>
  <c r="CD22" i="39"/>
  <c r="CD24" i="39"/>
  <c r="CE59" i="39"/>
  <c r="CE65" i="39"/>
  <c r="CE61" i="39"/>
  <c r="CE57" i="39"/>
  <c r="CE49" i="39" l="1"/>
  <c r="CE54" i="39"/>
  <c r="CE62" i="39"/>
  <c r="CD55" i="39"/>
  <c r="CE60" i="39"/>
  <c r="CE66" i="39"/>
  <c r="CE63" i="39"/>
  <c r="CD53" i="39"/>
  <c r="CE45" i="39"/>
  <c r="CE50" i="39"/>
  <c r="CE58" i="39"/>
  <c r="CE56" i="39"/>
  <c r="CE64" i="39"/>
  <c r="CE47" i="39"/>
  <c r="CE51" i="39"/>
  <c r="CE67" i="39"/>
  <c r="CD57" i="39"/>
  <c r="CD45" i="39"/>
  <c r="CD50" i="39"/>
  <c r="CD46" i="39"/>
  <c r="CD56" i="39"/>
  <c r="CD64" i="39"/>
  <c r="CD47" i="39"/>
  <c r="CD51" i="39"/>
  <c r="CE53" i="39"/>
  <c r="CD67" i="39"/>
  <c r="CD59" i="39"/>
  <c r="CD61" i="39"/>
  <c r="CD49" i="39"/>
  <c r="CD54" i="39"/>
  <c r="CD62" i="39"/>
  <c r="CE55" i="39"/>
  <c r="CD60" i="39"/>
  <c r="CD68" i="39"/>
  <c r="CD66" i="39"/>
  <c r="CD63" i="39"/>
  <c r="CE68" i="39"/>
  <c r="CD65" i="39"/>
  <c r="CE48" i="39"/>
  <c r="CE46" i="39"/>
  <c r="CD48" i="39"/>
  <c r="CE52" i="39"/>
  <c r="CD52" i="39"/>
  <c r="CD58" i="39"/>
  <c r="CC61" i="39"/>
  <c r="CC57" i="39"/>
  <c r="CC67" i="39"/>
  <c r="CC59" i="39"/>
  <c r="CC63" i="39"/>
  <c r="CC65" i="39"/>
  <c r="CC53" i="39"/>
  <c r="CC51" i="39"/>
  <c r="CC46" i="39"/>
  <c r="CC48" i="39"/>
  <c r="CC66" i="39"/>
  <c r="CC50" i="39"/>
  <c r="CC58" i="39"/>
  <c r="CC68" i="39"/>
  <c r="CC52" i="39"/>
  <c r="CC45" i="39"/>
  <c r="CC60" i="39"/>
  <c r="CC55" i="39"/>
  <c r="CC64" i="39"/>
  <c r="CC54" i="39"/>
  <c r="CC62" i="39"/>
  <c r="CC56" i="39"/>
  <c r="CC47" i="39"/>
  <c r="CC49" i="39"/>
  <c r="CL66" i="39" l="1"/>
  <c r="CN66" i="39"/>
  <c r="CL49" i="39"/>
  <c r="CN49" i="39"/>
  <c r="CN45" i="39"/>
  <c r="CL45" i="39"/>
  <c r="CL51" i="39"/>
  <c r="CN51" i="39"/>
  <c r="CN64" i="39"/>
  <c r="CL64" i="39"/>
  <c r="CL67" i="39"/>
  <c r="CN67" i="39"/>
  <c r="CL52" i="39"/>
  <c r="CN52" i="39"/>
  <c r="CN56" i="39"/>
  <c r="CL56" i="39"/>
  <c r="CL68" i="39"/>
  <c r="CN68" i="39"/>
  <c r="CL65" i="39"/>
  <c r="CN65" i="39"/>
  <c r="CN61" i="39"/>
  <c r="CL61" i="39"/>
  <c r="CL60" i="39"/>
  <c r="CN60" i="39"/>
  <c r="CN53" i="39"/>
  <c r="CL53" i="39"/>
  <c r="CL58" i="39"/>
  <c r="CN58" i="39"/>
  <c r="CN63" i="39"/>
  <c r="CL63" i="39"/>
  <c r="CN46" i="39"/>
  <c r="CL46" i="39"/>
  <c r="CN47" i="39"/>
  <c r="CL47" i="39"/>
  <c r="CN62" i="39"/>
  <c r="CL62" i="39"/>
  <c r="CN54" i="39"/>
  <c r="CL54" i="39"/>
  <c r="CL50" i="39"/>
  <c r="CN50" i="39"/>
  <c r="CL59" i="39"/>
  <c r="CN59" i="39"/>
  <c r="CN55" i="39"/>
  <c r="CL55" i="39"/>
  <c r="CN48" i="39"/>
  <c r="CL48" i="39"/>
  <c r="CL57" i="39"/>
  <c r="CN57" i="39"/>
  <c r="Q61" i="39"/>
  <c r="Q62" i="39"/>
  <c r="Q63" i="39"/>
  <c r="K62" i="39"/>
  <c r="I62" i="39"/>
  <c r="I63" i="39"/>
  <c r="I64" i="39"/>
  <c r="I65" i="39"/>
  <c r="I66" i="39"/>
  <c r="I67" i="39"/>
  <c r="I68" i="39"/>
  <c r="K63" i="39"/>
  <c r="K64" i="39"/>
  <c r="K65" i="39"/>
  <c r="K66" i="39"/>
  <c r="K67" i="39"/>
  <c r="K68" i="39"/>
  <c r="CP33" i="39"/>
  <c r="H31" i="39" a="1"/>
  <c r="H31" i="39" s="1"/>
  <c r="V31" i="39" s="1"/>
  <c r="CH31" i="39"/>
  <c r="CH34" i="39"/>
  <c r="CK35" i="39"/>
  <c r="CH36" i="39"/>
  <c r="CK32" i="39"/>
  <c r="CS31" i="39" l="1"/>
  <c r="CT31" i="39"/>
  <c r="CO31" i="39"/>
  <c r="L92" i="39"/>
  <c r="N92" i="39" s="1"/>
  <c r="CK31" i="39"/>
  <c r="CH32" i="39"/>
  <c r="CP36" i="39"/>
  <c r="CU36" i="39" s="1"/>
  <c r="CW36" i="39" s="1"/>
  <c r="CH35" i="39"/>
  <c r="CK33" i="39"/>
  <c r="CP31" i="39"/>
  <c r="CK36" i="39"/>
  <c r="CP34" i="39"/>
  <c r="CH33" i="39"/>
  <c r="CP32" i="39"/>
  <c r="CU32" i="39" s="1"/>
  <c r="CW32" i="39" s="1"/>
  <c r="CP35" i="39"/>
  <c r="CK34" i="39"/>
  <c r="CE44" i="39"/>
  <c r="W7" i="32"/>
  <c r="W8" i="32"/>
  <c r="G15" i="39" s="1" a="1"/>
  <c r="G15" i="39" s="1"/>
  <c r="W9" i="32"/>
  <c r="I53" i="37"/>
  <c r="G53" i="37"/>
  <c r="E53" i="37"/>
  <c r="I52" i="37"/>
  <c r="G52" i="37"/>
  <c r="J41" i="37"/>
  <c r="H41" i="37"/>
  <c r="F41" i="37"/>
  <c r="J40" i="37"/>
  <c r="H40" i="37"/>
  <c r="F40" i="37"/>
  <c r="J39" i="37"/>
  <c r="H39" i="37"/>
  <c r="J38" i="37"/>
  <c r="H38" i="37"/>
  <c r="J37" i="37"/>
  <c r="H37" i="37"/>
  <c r="J36" i="37"/>
  <c r="H36" i="37"/>
  <c r="AN65" i="12"/>
  <c r="AN66" i="12"/>
  <c r="AN67" i="12"/>
  <c r="AN68" i="12"/>
  <c r="AN61" i="12"/>
  <c r="AN62" i="12"/>
  <c r="BH37" i="12" a="1"/>
  <c r="BH37" i="12" s="1"/>
  <c r="BI37" i="12" a="1"/>
  <c r="BI37" i="12" s="1"/>
  <c r="BJ37" i="12" a="1"/>
  <c r="BJ37" i="12" s="1"/>
  <c r="BH38" i="12" a="1"/>
  <c r="BH38" i="12" s="1"/>
  <c r="BI38" i="12" a="1"/>
  <c r="BI38" i="12" s="1"/>
  <c r="BJ38" i="12" a="1"/>
  <c r="BJ38" i="12" s="1"/>
  <c r="AN37" i="12"/>
  <c r="AN38" i="12"/>
  <c r="GN32" i="39" l="1"/>
  <c r="GO32" i="39" s="1" a="1"/>
  <c r="GO32" i="39" s="1"/>
  <c r="HH32" i="39" s="1"/>
  <c r="GN44" i="39"/>
  <c r="GO44" i="39" s="1" a="1"/>
  <c r="GO44" i="39" s="1"/>
  <c r="CU33" i="39"/>
  <c r="CW33" i="39" s="1"/>
  <c r="CU35" i="39"/>
  <c r="CW35" i="39" s="1"/>
  <c r="CU34" i="39"/>
  <c r="CW34" i="39" s="1"/>
  <c r="CU31" i="39"/>
  <c r="CW31" i="39" s="1"/>
  <c r="CD44" i="39"/>
  <c r="CC44" i="39"/>
  <c r="CC34" i="39"/>
  <c r="CL34" i="39" s="1"/>
  <c r="CC33" i="39"/>
  <c r="CL33" i="39" s="1"/>
  <c r="CC36" i="39"/>
  <c r="CL36" i="39" s="1"/>
  <c r="CC35" i="39"/>
  <c r="CL35" i="39" s="1"/>
  <c r="CC32" i="39"/>
  <c r="CL32" i="39" s="1"/>
  <c r="CC31" i="39"/>
  <c r="O97" i="12"/>
  <c r="O98" i="12"/>
  <c r="O99" i="12"/>
  <c r="O100" i="12"/>
  <c r="GP32" i="39" l="1"/>
  <c r="GP44" i="39"/>
  <c r="HH44" i="39"/>
  <c r="CQ14" i="39"/>
  <c r="CR14" i="39"/>
  <c r="CQ15" i="39"/>
  <c r="CR15" i="39"/>
  <c r="CL31" i="39"/>
  <c r="CN31" i="39"/>
  <c r="CN44" i="39"/>
  <c r="CL44" i="39"/>
  <c r="CM14" i="39"/>
  <c r="CM15" i="39"/>
  <c r="FB13" i="39"/>
  <c r="DI47" i="39" l="1"/>
  <c r="DF47" i="39"/>
  <c r="DG47" i="39"/>
  <c r="DB47" i="39"/>
  <c r="DH47" i="39"/>
  <c r="DD47" i="39"/>
  <c r="DM47" i="39"/>
  <c r="DL47" i="39"/>
  <c r="DJ47" i="39"/>
  <c r="DK47" i="39"/>
  <c r="DE47" i="39"/>
  <c r="DC47" i="39"/>
  <c r="DC12" i="39"/>
  <c r="DJ12" i="39"/>
  <c r="DB12" i="39"/>
  <c r="DI12" i="39"/>
  <c r="DG12" i="39"/>
  <c r="DD12" i="39"/>
  <c r="DK12" i="39"/>
  <c r="DE12" i="39"/>
  <c r="DF12" i="39"/>
  <c r="DH12" i="39"/>
  <c r="DL12" i="39"/>
  <c r="DM12" i="39"/>
  <c r="DG26" i="39"/>
  <c r="DD26" i="39"/>
  <c r="DB26" i="39"/>
  <c r="DM26" i="39"/>
  <c r="DJ26" i="39"/>
  <c r="DE26" i="39"/>
  <c r="DL26" i="39"/>
  <c r="DF26" i="39"/>
  <c r="DI26" i="39"/>
  <c r="DH26" i="39"/>
  <c r="DK26" i="39"/>
  <c r="DC26" i="39"/>
  <c r="DE13" i="39"/>
  <c r="DH13" i="39"/>
  <c r="DK13" i="39"/>
  <c r="DF13" i="39"/>
  <c r="DB13" i="39"/>
  <c r="DC13" i="39"/>
  <c r="DI13" i="39"/>
  <c r="DD13" i="39"/>
  <c r="DG13" i="39"/>
  <c r="DM13" i="39"/>
  <c r="DL13" i="39"/>
  <c r="DJ13" i="39"/>
  <c r="FB43" i="39"/>
  <c r="FB21" i="39"/>
  <c r="DK21" i="39"/>
  <c r="DG21" i="39"/>
  <c r="DD21" i="39"/>
  <c r="DI21" i="39"/>
  <c r="DL21" i="39"/>
  <c r="DJ21" i="39"/>
  <c r="DC21" i="39"/>
  <c r="DE21" i="39"/>
  <c r="DH21" i="39"/>
  <c r="DB21" i="39"/>
  <c r="DM21" i="39"/>
  <c r="DF21" i="39"/>
  <c r="FB11" i="39"/>
  <c r="FB14" i="39"/>
  <c r="DG14" i="39"/>
  <c r="DB14" i="39"/>
  <c r="DC14" i="39"/>
  <c r="DH14" i="39"/>
  <c r="DM14" i="39"/>
  <c r="DF14" i="39"/>
  <c r="DI14" i="39"/>
  <c r="DK14" i="39"/>
  <c r="DJ14" i="39"/>
  <c r="DD14" i="39"/>
  <c r="DE14" i="39"/>
  <c r="DL14" i="39"/>
  <c r="DI43" i="39"/>
  <c r="DM43" i="39"/>
  <c r="DG43" i="39"/>
  <c r="DD43" i="39"/>
  <c r="DC43" i="39"/>
  <c r="DF43" i="39"/>
  <c r="DB43" i="39"/>
  <c r="DL43" i="39"/>
  <c r="DH43" i="39"/>
  <c r="DK43" i="39"/>
  <c r="DE43" i="39"/>
  <c r="DJ43" i="39"/>
  <c r="DD11" i="39"/>
  <c r="DK11" i="39"/>
  <c r="DG11" i="39"/>
  <c r="DC11" i="39"/>
  <c r="DM11" i="39"/>
  <c r="DE11" i="39"/>
  <c r="DI11" i="39"/>
  <c r="DJ11" i="39"/>
  <c r="DB11" i="39"/>
  <c r="DF11" i="39"/>
  <c r="DH11" i="39"/>
  <c r="DL11" i="39"/>
  <c r="FB39" i="39"/>
  <c r="DF39" i="39"/>
  <c r="DG39" i="39"/>
  <c r="DC39" i="39"/>
  <c r="DL39" i="39"/>
  <c r="DM39" i="39"/>
  <c r="DK39" i="39"/>
  <c r="DH39" i="39"/>
  <c r="DI39" i="39"/>
  <c r="DB39" i="39"/>
  <c r="DJ39" i="39"/>
  <c r="DD39" i="39"/>
  <c r="DE39" i="39"/>
  <c r="FB84" i="39"/>
  <c r="FB17" i="39"/>
  <c r="FB15" i="39"/>
  <c r="DE15" i="39"/>
  <c r="DG15" i="39"/>
  <c r="DJ15" i="39"/>
  <c r="DK15" i="39"/>
  <c r="DI15" i="39"/>
  <c r="DB15" i="39"/>
  <c r="DC15" i="39"/>
  <c r="DH15" i="39"/>
  <c r="DM15" i="39"/>
  <c r="DF15" i="39"/>
  <c r="DD15" i="39"/>
  <c r="DL15" i="39"/>
  <c r="DJ17" i="39"/>
  <c r="DC17" i="39"/>
  <c r="DH17" i="39"/>
  <c r="DD17" i="39"/>
  <c r="DE17" i="39"/>
  <c r="DF17" i="39"/>
  <c r="DG17" i="39"/>
  <c r="DB17" i="39"/>
  <c r="DK17" i="39"/>
  <c r="DL17" i="39"/>
  <c r="DM17" i="39"/>
  <c r="DI17" i="39"/>
  <c r="DK53" i="39"/>
  <c r="DE78" i="39"/>
  <c r="DI78" i="39"/>
  <c r="DK78" i="39"/>
  <c r="DB78" i="39"/>
  <c r="DM78" i="39"/>
  <c r="DL78" i="39"/>
  <c r="DG78" i="39"/>
  <c r="DJ78" i="39"/>
  <c r="DH78" i="39"/>
  <c r="DC78" i="39"/>
  <c r="DD78" i="39"/>
  <c r="DF78" i="39"/>
  <c r="FB53" i="39"/>
  <c r="FB78" i="39"/>
  <c r="DJ84" i="39"/>
  <c r="DM84" i="39"/>
  <c r="DL84" i="39"/>
  <c r="DD84" i="39"/>
  <c r="DH84" i="39"/>
  <c r="DF84" i="39"/>
  <c r="DG84" i="39"/>
  <c r="DI84" i="39"/>
  <c r="DC84" i="39"/>
  <c r="DK84" i="39"/>
  <c r="DE84" i="39"/>
  <c r="DB84" i="39"/>
  <c r="DE9" i="39"/>
  <c r="DC9" i="39"/>
  <c r="DD9" i="39"/>
  <c r="DF9" i="39"/>
  <c r="DH9" i="39"/>
  <c r="DI9" i="39"/>
  <c r="DG9" i="39"/>
  <c r="DB9" i="39"/>
  <c r="DJ9" i="39"/>
  <c r="DK9" i="39"/>
  <c r="DL9" i="39"/>
  <c r="DM9" i="39"/>
  <c r="FB9" i="39"/>
  <c r="U177" i="7"/>
  <c r="P191" i="7"/>
  <c r="DE4" i="39" l="1"/>
  <c r="BH74" i="7"/>
  <c r="BI74" i="7"/>
  <c r="BJ74" i="7"/>
  <c r="BH75" i="7"/>
  <c r="BI75" i="7"/>
  <c r="BJ75" i="7"/>
  <c r="BH76" i="7"/>
  <c r="BI76" i="7"/>
  <c r="BJ76" i="7"/>
  <c r="BH77" i="7"/>
  <c r="BI77" i="7"/>
  <c r="BJ77" i="7"/>
  <c r="BH78" i="7"/>
  <c r="BI78" i="7"/>
  <c r="BJ78" i="7"/>
  <c r="BH79" i="7"/>
  <c r="BI79" i="7"/>
  <c r="BJ79" i="7"/>
  <c r="BH80" i="7"/>
  <c r="BI80" i="7"/>
  <c r="BJ80" i="7"/>
  <c r="BH81" i="7"/>
  <c r="BI81" i="7"/>
  <c r="BJ81" i="7"/>
  <c r="BI45" i="12" a="1"/>
  <c r="BI45" i="12" s="1"/>
  <c r="BJ41" i="12" a="1"/>
  <c r="BJ41" i="12" s="1"/>
  <c r="BH39" i="12" a="1"/>
  <c r="BH39" i="12" s="1"/>
  <c r="BH33" i="12" a="1"/>
  <c r="BH33" i="12" s="1"/>
  <c r="BI33" i="12" a="1"/>
  <c r="BI33" i="12" s="1"/>
  <c r="BH34" i="12" a="1"/>
  <c r="BH34" i="12" s="1"/>
  <c r="BI34" i="12" a="1"/>
  <c r="BI34" i="12" s="1"/>
  <c r="BH35" i="12" a="1"/>
  <c r="BH35" i="12" s="1"/>
  <c r="BI35" i="12" a="1"/>
  <c r="BI35" i="12" s="1"/>
  <c r="BH36" i="12" a="1"/>
  <c r="BH36" i="12" s="1"/>
  <c r="BI36" i="12" a="1"/>
  <c r="BI36" i="12" s="1"/>
  <c r="BI39" i="12" a="1"/>
  <c r="BI39" i="12" s="1"/>
  <c r="BJ39" i="12" a="1"/>
  <c r="BJ39" i="12" s="1"/>
  <c r="BI40" i="12" a="1"/>
  <c r="BI40" i="12" s="1"/>
  <c r="BJ40" i="12" a="1"/>
  <c r="BJ40" i="12" s="1"/>
  <c r="BH41" i="12" a="1"/>
  <c r="BH41" i="12" s="1"/>
  <c r="BI41" i="12" a="1"/>
  <c r="BI41" i="12" s="1"/>
  <c r="BH42" i="12" a="1"/>
  <c r="BH42" i="12" s="1"/>
  <c r="BI42" i="12" a="1"/>
  <c r="BI42" i="12" s="1"/>
  <c r="BH44" i="12" a="1"/>
  <c r="BH44" i="12" s="1"/>
  <c r="BI44" i="12" a="1"/>
  <c r="BI44" i="12" s="1"/>
  <c r="BJ44" i="12" a="1"/>
  <c r="BJ44" i="12" s="1"/>
  <c r="BH45" i="12" a="1"/>
  <c r="BH45" i="12" s="1"/>
  <c r="BJ45" i="12" a="1"/>
  <c r="BJ45" i="12" s="1"/>
  <c r="BI71" i="7"/>
  <c r="BH81" i="12" a="1"/>
  <c r="BH81" i="12" s="1"/>
  <c r="BI81" i="12" a="1"/>
  <c r="BI81" i="12" s="1"/>
  <c r="BJ81" i="12" a="1"/>
  <c r="BJ81" i="12" s="1"/>
  <c r="BH82" i="12" a="1"/>
  <c r="BH82" i="12" s="1"/>
  <c r="BI82" i="12" a="1"/>
  <c r="BI82" i="12" s="1"/>
  <c r="BJ82" i="12" a="1"/>
  <c r="BJ82" i="12" s="1"/>
  <c r="BH83" i="12" a="1"/>
  <c r="BH83" i="12" s="1"/>
  <c r="BI83" i="12" a="1"/>
  <c r="BI83" i="12" s="1"/>
  <c r="BJ83" i="12" a="1"/>
  <c r="BJ83" i="12" s="1"/>
  <c r="BH84" i="12" a="1"/>
  <c r="BH84" i="12" s="1"/>
  <c r="BI84" i="12" a="1"/>
  <c r="BI84" i="12" s="1"/>
  <c r="BJ84" i="12" a="1"/>
  <c r="BJ84" i="12" s="1"/>
  <c r="BH85" i="12" a="1"/>
  <c r="BH85" i="12" s="1"/>
  <c r="BI85" i="12" a="1"/>
  <c r="BI85" i="12" s="1"/>
  <c r="BJ85" i="12" a="1"/>
  <c r="BJ85" i="12" s="1"/>
  <c r="BH86" i="12" a="1"/>
  <c r="BH86" i="12" s="1"/>
  <c r="BI86" i="12" a="1"/>
  <c r="BI86" i="12" s="1"/>
  <c r="BJ86" i="12" a="1"/>
  <c r="BJ86" i="12" s="1"/>
  <c r="BH87" i="12" a="1"/>
  <c r="BH87" i="12" s="1"/>
  <c r="BI87" i="12" a="1"/>
  <c r="BI87" i="12" s="1"/>
  <c r="BJ87" i="12" a="1"/>
  <c r="BJ87" i="12" s="1"/>
  <c r="BH88" i="12" a="1"/>
  <c r="BH88" i="12" s="1"/>
  <c r="BI88" i="12" a="1"/>
  <c r="BI88" i="12" s="1"/>
  <c r="BJ88" i="12" a="1"/>
  <c r="BJ88" i="12" s="1"/>
  <c r="BH89" i="12" a="1"/>
  <c r="BH89" i="12" s="1"/>
  <c r="BI89" i="12" a="1"/>
  <c r="BI89" i="12" s="1"/>
  <c r="BJ89" i="12" a="1"/>
  <c r="BJ89" i="12" s="1"/>
  <c r="BH91" i="12" a="1"/>
  <c r="BH91" i="12" s="1"/>
  <c r="BI91" i="12" a="1"/>
  <c r="BI91" i="12" s="1"/>
  <c r="BJ91" i="12" a="1"/>
  <c r="BJ91" i="12" s="1"/>
  <c r="BH92" i="12" a="1"/>
  <c r="BH92" i="12" s="1"/>
  <c r="BI92" i="12" a="1"/>
  <c r="BI92" i="12" s="1"/>
  <c r="BJ92" i="12" a="1"/>
  <c r="BJ92" i="12" s="1"/>
  <c r="BH93" i="12" a="1"/>
  <c r="BH93" i="12" s="1"/>
  <c r="BI93" i="12" a="1"/>
  <c r="BI93" i="12" s="1"/>
  <c r="BJ93" i="12" a="1"/>
  <c r="BJ93" i="12" s="1"/>
  <c r="BH94" i="12" a="1"/>
  <c r="BH94" i="12" s="1"/>
  <c r="BI94" i="12" a="1"/>
  <c r="BI94" i="12" s="1"/>
  <c r="BJ94" i="12" a="1"/>
  <c r="BJ94" i="12" s="1"/>
  <c r="BH95" i="12" a="1"/>
  <c r="BH95" i="12" s="1"/>
  <c r="BI95" i="12" a="1"/>
  <c r="BI95" i="12" s="1"/>
  <c r="BJ95" i="12" a="1"/>
  <c r="BJ95" i="12" s="1"/>
  <c r="BH96" i="12" a="1"/>
  <c r="BH96" i="12" s="1"/>
  <c r="BI96" i="12" a="1"/>
  <c r="BI96" i="12" s="1"/>
  <c r="BJ96" i="12" a="1"/>
  <c r="BJ96" i="12" s="1"/>
  <c r="BH97" i="12" a="1"/>
  <c r="BH97" i="12" s="1"/>
  <c r="BI97" i="12" a="1"/>
  <c r="BI97" i="12" s="1"/>
  <c r="BJ97" i="12" a="1"/>
  <c r="BJ97" i="12" s="1"/>
  <c r="BH98" i="12" a="1"/>
  <c r="BH98" i="12" s="1"/>
  <c r="BI98" i="12" a="1"/>
  <c r="BI98" i="12" s="1"/>
  <c r="BJ98" i="12" a="1"/>
  <c r="BJ98" i="12" s="1"/>
  <c r="BH99" i="12" a="1"/>
  <c r="BH99" i="12" s="1"/>
  <c r="BI99" i="12" a="1"/>
  <c r="BI99" i="12" s="1"/>
  <c r="BJ99" i="12" a="1"/>
  <c r="BJ99" i="12" s="1"/>
  <c r="BH100" i="12" a="1"/>
  <c r="BH100" i="12" s="1"/>
  <c r="BI100" i="12" a="1"/>
  <c r="BI100" i="12" s="1"/>
  <c r="BJ100" i="12" a="1"/>
  <c r="BJ100" i="12" s="1"/>
  <c r="BH101" i="12" a="1"/>
  <c r="BH101" i="12" s="1"/>
  <c r="BI101" i="12" a="1"/>
  <c r="BI101" i="12" s="1"/>
  <c r="BJ101" i="12" a="1"/>
  <c r="BJ101" i="12" s="1"/>
  <c r="BI32" i="12" a="1"/>
  <c r="BI32" i="12" s="1"/>
  <c r="BI72" i="7" s="1"/>
  <c r="BH32" i="12" a="1"/>
  <c r="BH32" i="12" s="1"/>
  <c r="BH73" i="7" s="1"/>
  <c r="BI70" i="7" l="1"/>
  <c r="BJ70" i="7"/>
  <c r="BH70" i="7"/>
  <c r="BJ71" i="7"/>
  <c r="BH72" i="7"/>
  <c r="BI73" i="7"/>
  <c r="BI68" i="7"/>
  <c r="BH68" i="7"/>
  <c r="BH69" i="7"/>
  <c r="BI69" i="7"/>
  <c r="BJ35" i="12" a="1"/>
  <c r="BJ35" i="12" s="1"/>
  <c r="BJ36" i="12" a="1"/>
  <c r="BJ36" i="12" s="1"/>
  <c r="BH71" i="7"/>
  <c r="BJ34" i="12" a="1"/>
  <c r="BJ34" i="12" s="1"/>
  <c r="BJ33" i="12" a="1"/>
  <c r="BJ33" i="12" s="1"/>
  <c r="BJ32" i="12" a="1"/>
  <c r="BJ32" i="12" s="1"/>
  <c r="BJ42" i="12" a="1"/>
  <c r="BJ42" i="12" s="1"/>
  <c r="BH40" i="12" a="1"/>
  <c r="BH40" i="12" s="1"/>
  <c r="BJ68" i="7" l="1"/>
  <c r="BJ72" i="7"/>
  <c r="BJ73" i="7"/>
  <c r="BJ69" i="7"/>
  <c r="AZ13" i="39"/>
  <c r="GX165" i="39" l="1"/>
  <c r="N4" i="39" l="1"/>
  <c r="N91" i="39" s="1"/>
  <c r="GW8" i="39"/>
  <c r="GW9" i="39"/>
  <c r="HH8" i="39"/>
  <c r="HH4" i="39"/>
  <c r="HG8" i="39"/>
  <c r="HF8" i="39" l="1"/>
  <c r="AZ33" i="39" l="1"/>
  <c r="AZ34" i="39"/>
  <c r="AZ35" i="39"/>
  <c r="AZ36" i="39"/>
  <c r="AZ40" i="39"/>
  <c r="AZ41" i="39"/>
  <c r="AZ42" i="39"/>
  <c r="AZ43" i="39"/>
  <c r="AZ44" i="39"/>
  <c r="AZ45" i="39"/>
  <c r="AZ46" i="39"/>
  <c r="AZ47" i="39"/>
  <c r="AZ48" i="39"/>
  <c r="AZ49" i="39"/>
  <c r="AZ50" i="39"/>
  <c r="AZ51" i="39"/>
  <c r="AZ52" i="39"/>
  <c r="AZ53" i="39"/>
  <c r="AZ54" i="39"/>
  <c r="AZ55" i="39"/>
  <c r="AZ56" i="39"/>
  <c r="AZ57" i="39"/>
  <c r="AZ58" i="39"/>
  <c r="AZ59" i="39"/>
  <c r="AZ60" i="39"/>
  <c r="AZ61" i="39"/>
  <c r="AZ62" i="39"/>
  <c r="AZ63" i="39"/>
  <c r="AZ64" i="39"/>
  <c r="AZ65" i="39"/>
  <c r="AZ66" i="39"/>
  <c r="AZ67" i="39"/>
  <c r="AZ68" i="39"/>
  <c r="AZ23" i="39"/>
  <c r="AZ24" i="39"/>
  <c r="AZ25" i="39"/>
  <c r="AZ26" i="39"/>
  <c r="AZ27" i="39"/>
  <c r="AZ28" i="39"/>
  <c r="AZ29" i="39"/>
  <c r="AZ30" i="39"/>
  <c r="AZ31" i="39"/>
  <c r="AZ32" i="39"/>
  <c r="AZ22" i="39"/>
  <c r="AZ14" i="39"/>
  <c r="AZ15" i="39"/>
  <c r="AZ16" i="39"/>
  <c r="AZ17" i="39"/>
  <c r="AZ18" i="39"/>
  <c r="AZ19" i="39"/>
  <c r="AZ20" i="39"/>
  <c r="AZ21" i="39"/>
  <c r="GZ8" i="39"/>
  <c r="GY8" i="39"/>
  <c r="GX9" i="39"/>
  <c r="GX8" i="39"/>
  <c r="HR4" i="39" a="1"/>
  <c r="HR4" i="39" s="1"/>
  <c r="GN4" i="39" l="1"/>
  <c r="GO4" i="39"/>
  <c r="GQ4" i="39"/>
  <c r="GR4" i="39"/>
  <c r="GN8" i="39"/>
  <c r="GO8" i="39"/>
  <c r="GQ8" i="39"/>
  <c r="GR8" i="39"/>
  <c r="Q64" i="39" l="1"/>
  <c r="Q65" i="39"/>
  <c r="Q66" i="39"/>
  <c r="Q67" i="39"/>
  <c r="Q68" i="39"/>
  <c r="GU4" i="39"/>
  <c r="GU8" i="39"/>
  <c r="N103" i="39" l="1"/>
  <c r="N102" i="39"/>
  <c r="L101" i="39" a="1"/>
  <c r="L101" i="39" s="1"/>
  <c r="N101" i="39" s="1"/>
  <c r="L100" i="39" a="1"/>
  <c r="L100" i="39" s="1"/>
  <c r="N100" i="39" s="1"/>
  <c r="CD102" i="39" l="1"/>
  <c r="CJ100" i="39" s="1"/>
  <c r="IH8" i="39" s="1"/>
  <c r="CB101" i="39"/>
  <c r="CC102" i="39"/>
  <c r="CB102" i="39" l="1"/>
  <c r="CH100" i="39" s="1"/>
  <c r="IH6" i="39" s="1"/>
  <c r="CI100" i="39"/>
  <c r="IH7" i="39" s="1"/>
  <c r="H34" i="39" a="1"/>
  <c r="H34" i="39" s="1"/>
  <c r="V34" i="39" s="1"/>
  <c r="H36" i="39" a="1"/>
  <c r="H36" i="39" s="1"/>
  <c r="V36" i="39" s="1"/>
  <c r="H32" i="39" a="1"/>
  <c r="H32" i="39" s="1"/>
  <c r="H33" i="39" a="1"/>
  <c r="H33" i="39" s="1"/>
  <c r="V33" i="39" s="1"/>
  <c r="H35" i="39" a="1"/>
  <c r="H35" i="39" s="1"/>
  <c r="V35" i="39" s="1"/>
  <c r="V32" i="39" l="1"/>
  <c r="CJ32" i="39"/>
  <c r="CS35" i="39"/>
  <c r="CT35" i="39"/>
  <c r="CS32" i="39"/>
  <c r="CT32" i="39"/>
  <c r="CS36" i="39"/>
  <c r="CT36" i="39"/>
  <c r="CS33" i="39"/>
  <c r="CT33" i="39"/>
  <c r="CS34" i="39"/>
  <c r="CT34" i="39"/>
  <c r="CN32" i="39"/>
  <c r="CO32" i="39"/>
  <c r="CO35" i="39"/>
  <c r="CN35" i="39"/>
  <c r="CN36" i="39"/>
  <c r="CO36" i="39"/>
  <c r="CN33" i="39"/>
  <c r="CO33" i="39"/>
  <c r="CN34" i="39"/>
  <c r="CO34" i="39"/>
  <c r="AW113" i="7"/>
  <c r="AW138" i="7"/>
  <c r="BI138" i="7" s="1"/>
  <c r="BJ138" i="7" s="1"/>
  <c r="AW139" i="7"/>
  <c r="AW140" i="7"/>
  <c r="AW141" i="7"/>
  <c r="AW142" i="7"/>
  <c r="AW143" i="7"/>
  <c r="AW144" i="7"/>
  <c r="AW145" i="7"/>
  <c r="AW146" i="7"/>
  <c r="AW147" i="7"/>
  <c r="AW148" i="7"/>
  <c r="AW149" i="7"/>
  <c r="AW150" i="7"/>
  <c r="AW151" i="7"/>
  <c r="AW152" i="7"/>
  <c r="AW153" i="7"/>
  <c r="AW154" i="7"/>
  <c r="AW155" i="7"/>
  <c r="DR44" i="39" l="1"/>
  <c r="DV44" i="39"/>
  <c r="DT44" i="39"/>
  <c r="DS44" i="39"/>
  <c r="DP44" i="39"/>
  <c r="DU44" i="39"/>
  <c r="DZ44" i="39"/>
  <c r="DW44" i="39"/>
  <c r="DO44" i="39"/>
  <c r="DY44" i="39"/>
  <c r="DQ44" i="39"/>
  <c r="DX44" i="39"/>
  <c r="FP32" i="39"/>
  <c r="FP44" i="39"/>
  <c r="DV32" i="39"/>
  <c r="DT32" i="39"/>
  <c r="DZ32" i="39"/>
  <c r="DR32" i="39"/>
  <c r="DX32" i="39"/>
  <c r="DP32" i="39"/>
  <c r="DS32" i="39"/>
  <c r="DQ32" i="39"/>
  <c r="DW32" i="39"/>
  <c r="DU32" i="39"/>
  <c r="DO32" i="39"/>
  <c r="DY32" i="39"/>
  <c r="GO154" i="39"/>
  <c r="Q60" i="39"/>
  <c r="Q59" i="39"/>
  <c r="Q58" i="39"/>
  <c r="Q57" i="39"/>
  <c r="Q56" i="39"/>
  <c r="Q55" i="39"/>
  <c r="Q54" i="39"/>
  <c r="Q53" i="39"/>
  <c r="Q52" i="39"/>
  <c r="Q51" i="39"/>
  <c r="Q50" i="39"/>
  <c r="Q49" i="39"/>
  <c r="Q48" i="39"/>
  <c r="Q47" i="39"/>
  <c r="Q46" i="39"/>
  <c r="Q45" i="39"/>
  <c r="Q44" i="39"/>
  <c r="K61" i="39"/>
  <c r="K60" i="39"/>
  <c r="K59" i="39"/>
  <c r="K58" i="39"/>
  <c r="K57" i="39"/>
  <c r="K56" i="39"/>
  <c r="K55" i="39"/>
  <c r="K54" i="39"/>
  <c r="K53" i="39"/>
  <c r="K52" i="39"/>
  <c r="K51" i="39"/>
  <c r="K50" i="39"/>
  <c r="K49" i="39"/>
  <c r="K48" i="39"/>
  <c r="K47" i="39"/>
  <c r="K46" i="39"/>
  <c r="K45" i="39"/>
  <c r="K44" i="39"/>
  <c r="I45" i="39"/>
  <c r="I46" i="39"/>
  <c r="I47" i="39"/>
  <c r="I48" i="39"/>
  <c r="I49" i="39"/>
  <c r="I50" i="39"/>
  <c r="I51" i="39"/>
  <c r="I52" i="39"/>
  <c r="I53" i="39"/>
  <c r="I54" i="39"/>
  <c r="I55" i="39"/>
  <c r="I56" i="39"/>
  <c r="I57" i="39"/>
  <c r="I58" i="39"/>
  <c r="I59" i="39"/>
  <c r="I60" i="39"/>
  <c r="I61" i="39"/>
  <c r="I44" i="39"/>
  <c r="H19" i="39" a="1"/>
  <c r="H19" i="39" s="1"/>
  <c r="V19" i="39" s="1"/>
  <c r="CS19" i="39" l="1"/>
  <c r="CT19" i="39"/>
  <c r="CO19" i="39"/>
  <c r="CK14" i="39"/>
  <c r="CC29" i="39"/>
  <c r="CL29" i="39" s="1"/>
  <c r="CC19" i="39"/>
  <c r="CL19" i="39" s="1"/>
  <c r="CC30" i="39"/>
  <c r="CL30" i="39" s="1"/>
  <c r="CC27" i="39"/>
  <c r="CL27" i="39" s="1"/>
  <c r="CC28" i="39"/>
  <c r="CL28" i="39" s="1"/>
  <c r="HH154" i="39" l="1"/>
  <c r="GP154" i="39"/>
  <c r="GT154" i="39" s="1"/>
  <c r="GU154" i="39" s="1"/>
  <c r="GV154" i="39"/>
  <c r="CN19" i="39"/>
  <c r="CC25" i="39"/>
  <c r="CL25" i="39" s="1"/>
  <c r="CC20" i="39"/>
  <c r="CL20" i="39" s="1"/>
  <c r="CC26" i="39"/>
  <c r="CL26" i="39" s="1"/>
  <c r="CC14" i="39"/>
  <c r="CC23" i="39"/>
  <c r="CL23" i="39" s="1"/>
  <c r="CC24" i="39"/>
  <c r="CL24" i="39" s="1"/>
  <c r="CC18" i="39"/>
  <c r="CC16" i="39"/>
  <c r="CL16" i="39" s="1"/>
  <c r="CC15" i="39"/>
  <c r="CC21" i="39"/>
  <c r="CL21" i="39" s="1"/>
  <c r="CC22" i="39"/>
  <c r="CL22" i="39" s="1"/>
  <c r="CC17" i="39"/>
  <c r="CL17" i="39" s="1"/>
  <c r="N5" i="39"/>
  <c r="N93" i="39" s="1"/>
  <c r="D6" i="39"/>
  <c r="D5" i="39"/>
  <c r="D4" i="39"/>
  <c r="D3" i="39"/>
  <c r="EV39" i="39" l="1"/>
  <c r="EE39" i="39"/>
  <c r="EM39" i="39"/>
  <c r="EL39" i="39"/>
  <c r="ED39" i="39"/>
  <c r="EC39" i="39"/>
  <c r="EF39" i="39"/>
  <c r="EG39" i="39"/>
  <c r="EO39" i="39"/>
  <c r="EP39" i="39"/>
  <c r="EK39" i="39"/>
  <c r="EU39" i="39"/>
  <c r="EZ39" i="39"/>
  <c r="ES39" i="39"/>
  <c r="EX39" i="39"/>
  <c r="EH39" i="39"/>
  <c r="EI39" i="39"/>
  <c r="EB39" i="39"/>
  <c r="ET39" i="39"/>
  <c r="EY39" i="39"/>
  <c r="EQ39" i="39"/>
  <c r="ER39" i="39"/>
  <c r="CL18" i="39"/>
  <c r="EH94" i="39"/>
  <c r="EF86" i="39"/>
  <c r="EJ89" i="39"/>
  <c r="EH93" i="39"/>
  <c r="EP93" i="39"/>
  <c r="EF94" i="39"/>
  <c r="EK87" i="39"/>
  <c r="EW96" i="39"/>
  <c r="EW95" i="39"/>
  <c r="EY95" i="39"/>
  <c r="EI94" i="39"/>
  <c r="EC113" i="39"/>
  <c r="ER105" i="39"/>
  <c r="EM96" i="39"/>
  <c r="EJ95" i="39"/>
  <c r="ED105" i="39"/>
  <c r="EU109" i="39"/>
  <c r="ER113" i="39"/>
  <c r="EB102" i="39"/>
  <c r="ES112" i="39"/>
  <c r="EQ98" i="39"/>
  <c r="EP92" i="39"/>
  <c r="EG114" i="39"/>
  <c r="ES116" i="39"/>
  <c r="EP105" i="39"/>
  <c r="EB114" i="39"/>
  <c r="EQ111" i="39"/>
  <c r="EB92" i="39"/>
  <c r="EX106" i="39"/>
  <c r="EY109" i="39"/>
  <c r="EJ111" i="39"/>
  <c r="EU112" i="39"/>
  <c r="ES101" i="39"/>
  <c r="EF91" i="39"/>
  <c r="EQ108" i="39"/>
  <c r="EW107" i="39"/>
  <c r="EE108" i="39"/>
  <c r="EP85" i="39"/>
  <c r="EY114" i="39"/>
  <c r="EH114" i="39"/>
  <c r="EM104" i="39"/>
  <c r="EM103" i="39"/>
  <c r="EF101" i="39"/>
  <c r="EC85" i="39"/>
  <c r="EE106" i="39"/>
  <c r="EW109" i="39"/>
  <c r="EB107" i="39"/>
  <c r="EF104" i="39"/>
  <c r="EC111" i="39"/>
  <c r="EJ92" i="39"/>
  <c r="EO87" i="39"/>
  <c r="EL106" i="39"/>
  <c r="EO112" i="39"/>
  <c r="EZ108" i="39"/>
  <c r="EP112" i="39"/>
  <c r="EL100" i="39"/>
  <c r="ET89" i="39"/>
  <c r="EO113" i="39"/>
  <c r="EG110" i="39"/>
  <c r="EU107" i="39"/>
  <c r="EU103" i="39"/>
  <c r="EK88" i="39"/>
  <c r="ED94" i="39"/>
  <c r="EW113" i="39"/>
  <c r="EQ109" i="39"/>
  <c r="EE105" i="39"/>
  <c r="EI101" i="39"/>
  <c r="EW98" i="39"/>
  <c r="EB90" i="39"/>
  <c r="EQ87" i="39"/>
  <c r="EH85" i="39"/>
  <c r="EL98" i="39"/>
  <c r="EK93" i="39"/>
  <c r="EJ86" i="39"/>
  <c r="ER97" i="39"/>
  <c r="ES90" i="39"/>
  <c r="EG89" i="39"/>
  <c r="EQ99" i="39"/>
  <c r="EG95" i="39"/>
  <c r="EO93" i="39"/>
  <c r="EY86" i="39"/>
  <c r="EO99" i="39"/>
  <c r="EY91" i="39"/>
  <c r="EQ94" i="39"/>
  <c r="EP87" i="39"/>
  <c r="EU91" i="39"/>
  <c r="EC94" i="39"/>
  <c r="EE94" i="39"/>
  <c r="EO94" i="39"/>
  <c r="EG88" i="39"/>
  <c r="EI98" i="39"/>
  <c r="EC96" i="39"/>
  <c r="EH96" i="39"/>
  <c r="EK96" i="39"/>
  <c r="EF93" i="39"/>
  <c r="EQ106" i="39"/>
  <c r="ED98" i="39"/>
  <c r="ET96" i="39"/>
  <c r="EV105" i="39"/>
  <c r="EI111" i="39"/>
  <c r="EG116" i="39"/>
  <c r="EO104" i="39"/>
  <c r="EE101" i="39"/>
  <c r="EC90" i="39"/>
  <c r="EL109" i="39"/>
  <c r="ET110" i="39"/>
  <c r="ET104" i="39"/>
  <c r="EY112" i="39"/>
  <c r="EY102" i="39"/>
  <c r="EM92" i="39"/>
  <c r="ED110" i="39"/>
  <c r="EW114" i="39"/>
  <c r="EZ105" i="39"/>
  <c r="EE112" i="39"/>
  <c r="EQ100" i="39"/>
  <c r="EM95" i="39"/>
  <c r="EH113" i="39"/>
  <c r="EV107" i="39"/>
  <c r="EH107" i="39"/>
  <c r="EC95" i="39"/>
  <c r="EX110" i="39"/>
  <c r="EO116" i="39"/>
  <c r="EZ103" i="39"/>
  <c r="EL102" i="39"/>
  <c r="ES100" i="39"/>
  <c r="EV95" i="39"/>
  <c r="EK114" i="39"/>
  <c r="ER107" i="39"/>
  <c r="EE107" i="39"/>
  <c r="ER101" i="39"/>
  <c r="EC86" i="39"/>
  <c r="EP95" i="39"/>
  <c r="EB115" i="39"/>
  <c r="EP106" i="39"/>
  <c r="ER112" i="39"/>
  <c r="EJ105" i="39"/>
  <c r="EZ114" i="39"/>
  <c r="EE102" i="39"/>
  <c r="EW87" i="39"/>
  <c r="ED107" i="39"/>
  <c r="EH116" i="39"/>
  <c r="EY107" i="39"/>
  <c r="EF103" i="39"/>
  <c r="EY101" i="39"/>
  <c r="ES88" i="39"/>
  <c r="EB106" i="39"/>
  <c r="EE109" i="39"/>
  <c r="EK104" i="39"/>
  <c r="EG102" i="39"/>
  <c r="EJ98" i="39"/>
  <c r="EC93" i="39"/>
  <c r="EV87" i="39"/>
  <c r="EW101" i="39"/>
  <c r="EX95" i="39"/>
  <c r="ER96" i="39"/>
  <c r="EJ88" i="39"/>
  <c r="ET99" i="39"/>
  <c r="EO96" i="39"/>
  <c r="EE88" i="39"/>
  <c r="EJ97" i="39"/>
  <c r="EI91" i="39"/>
  <c r="ET90" i="39"/>
  <c r="EG87" i="39"/>
  <c r="EX98" i="39"/>
  <c r="EM90" i="39"/>
  <c r="EY94" i="39"/>
  <c r="EL88" i="39"/>
  <c r="EG93" i="39"/>
  <c r="EK94" i="39"/>
  <c r="EM94" i="39"/>
  <c r="EW94" i="39"/>
  <c r="EC89" i="39"/>
  <c r="EH105" i="39"/>
  <c r="EY96" i="39"/>
  <c r="ES98" i="39"/>
  <c r="EY98" i="39"/>
  <c r="EP94" i="39"/>
  <c r="EM107" i="39"/>
  <c r="ES99" i="39"/>
  <c r="EF98" i="39"/>
  <c r="EY106" i="39"/>
  <c r="EQ101" i="39"/>
  <c r="EW105" i="39"/>
  <c r="EY116" i="39"/>
  <c r="EF102" i="39"/>
  <c r="EO85" i="39"/>
  <c r="EX114" i="39"/>
  <c r="EE114" i="39"/>
  <c r="EF108" i="39"/>
  <c r="EI104" i="39"/>
  <c r="EB99" i="39"/>
  <c r="EB101" i="39"/>
  <c r="EF115" i="39"/>
  <c r="ER110" i="39"/>
  <c r="EV114" i="39"/>
  <c r="EU104" i="39"/>
  <c r="EU111" i="39"/>
  <c r="EG111" i="39"/>
  <c r="EV92" i="39"/>
  <c r="EL113" i="39"/>
  <c r="EL112" i="39"/>
  <c r="EC105" i="39"/>
  <c r="EI102" i="39"/>
  <c r="EX88" i="39"/>
  <c r="EZ112" i="39"/>
  <c r="EQ114" i="39"/>
  <c r="EJ103" i="39"/>
  <c r="EU102" i="39"/>
  <c r="EV103" i="39"/>
  <c r="EE110" i="39"/>
  <c r="ER114" i="39"/>
  <c r="ET105" i="39"/>
  <c r="EX112" i="39"/>
  <c r="EK108" i="39"/>
  <c r="EO98" i="39"/>
  <c r="EH115" i="39"/>
  <c r="EF110" i="39"/>
  <c r="EJ109" i="39"/>
  <c r="EQ103" i="39"/>
  <c r="EZ104" i="39"/>
  <c r="ED102" i="39"/>
  <c r="EU93" i="39"/>
  <c r="EW106" i="39"/>
  <c r="EW112" i="39"/>
  <c r="EG108" i="39"/>
  <c r="ET112" i="39"/>
  <c r="EY104" i="39"/>
  <c r="EB87" i="39"/>
  <c r="EC106" i="39"/>
  <c r="EF114" i="39"/>
  <c r="EV104" i="39"/>
  <c r="EZ97" i="39"/>
  <c r="EO95" i="39"/>
  <c r="EX93" i="39"/>
  <c r="ER88" i="39"/>
  <c r="EQ102" i="39"/>
  <c r="EJ91" i="39"/>
  <c r="EQ89" i="39"/>
  <c r="ES87" i="39"/>
  <c r="EM100" i="39"/>
  <c r="ET93" i="39"/>
  <c r="EQ86" i="39"/>
  <c r="EF99" i="39"/>
  <c r="EL91" i="39"/>
  <c r="ER92" i="39"/>
  <c r="EJ96" i="39"/>
  <c r="EF89" i="39"/>
  <c r="EB94" i="39"/>
  <c r="ET94" i="39"/>
  <c r="EV94" i="39"/>
  <c r="EG96" i="39"/>
  <c r="EO90" i="39"/>
  <c r="EY105" i="39"/>
  <c r="EP98" i="39"/>
  <c r="EV100" i="39"/>
  <c r="EG99" i="39"/>
  <c r="EL96" i="39"/>
  <c r="ED113" i="39"/>
  <c r="EI100" i="39"/>
  <c r="EX99" i="39"/>
  <c r="EM109" i="39"/>
  <c r="EL111" i="39"/>
  <c r="EX111" i="39"/>
  <c r="ES102" i="39"/>
  <c r="ED116" i="39"/>
  <c r="EG92" i="39"/>
  <c r="EJ106" i="39"/>
  <c r="EU110" i="39"/>
  <c r="ET108" i="39"/>
  <c r="ET103" i="39"/>
  <c r="EQ112" i="39"/>
  <c r="EB100" i="39"/>
  <c r="EC115" i="39"/>
  <c r="EX113" i="39"/>
  <c r="EM108" i="39"/>
  <c r="EE103" i="39"/>
  <c r="ES104" i="39"/>
  <c r="EK111" i="39"/>
  <c r="EC87" i="39"/>
  <c r="ER106" i="39"/>
  <c r="EF109" i="39"/>
  <c r="ED104" i="39"/>
  <c r="ED111" i="39"/>
  <c r="EU88" i="39"/>
  <c r="EJ110" i="39"/>
  <c r="ES107" i="39"/>
  <c r="EQ107" i="39"/>
  <c r="EX103" i="39"/>
  <c r="EK109" i="39"/>
  <c r="EI99" i="39"/>
  <c r="ED115" i="39"/>
  <c r="EC110" i="39"/>
  <c r="EW116" i="39"/>
  <c r="EB104" i="39"/>
  <c r="EP114" i="39"/>
  <c r="EX101" i="39"/>
  <c r="EU94" i="39"/>
  <c r="EI115" i="39"/>
  <c r="EP110" i="39"/>
  <c r="EH106" i="39"/>
  <c r="EL104" i="39"/>
  <c r="ED89" i="39"/>
  <c r="ER99" i="39"/>
  <c r="ET85" i="39"/>
  <c r="EZ106" i="39"/>
  <c r="EG109" i="39"/>
  <c r="EU105" i="39"/>
  <c r="EV101" i="39"/>
  <c r="EE93" i="39"/>
  <c r="EI106" i="39"/>
  <c r="EC114" i="39"/>
  <c r="EE111" i="39"/>
  <c r="EC97" i="39"/>
  <c r="EQ90" i="39"/>
  <c r="EI96" i="39"/>
  <c r="EB86" i="39"/>
  <c r="EE97" i="39"/>
  <c r="EX91" i="39"/>
  <c r="EV89" i="39"/>
  <c r="EB85" i="39"/>
  <c r="EC98" i="39"/>
  <c r="ED93" i="39"/>
  <c r="ES86" i="39"/>
  <c r="ED99" i="39"/>
  <c r="EO91" i="39"/>
  <c r="EF92" i="39"/>
  <c r="ER85" i="39"/>
  <c r="ET98" i="39"/>
  <c r="EW93" i="39"/>
  <c r="EU96" i="39"/>
  <c r="ES91" i="39"/>
  <c r="EJ94" i="39"/>
  <c r="EL95" i="39"/>
  <c r="EF96" i="39"/>
  <c r="ES96" i="39"/>
  <c r="EH91" i="39"/>
  <c r="EV109" i="39"/>
  <c r="EI105" i="39"/>
  <c r="EZ101" i="39"/>
  <c r="EF100" i="39"/>
  <c r="EZ98" i="39"/>
  <c r="EQ116" i="39"/>
  <c r="ES105" i="39"/>
  <c r="EJ100" i="39"/>
  <c r="EZ94" i="39"/>
  <c r="EQ113" i="39"/>
  <c r="EL116" i="39"/>
  <c r="EH111" i="39"/>
  <c r="EJ102" i="39"/>
  <c r="EK85" i="39"/>
  <c r="EM106" i="39"/>
  <c r="EZ109" i="39"/>
  <c r="EF107" i="39"/>
  <c r="EP103" i="39"/>
  <c r="ER102" i="39"/>
  <c r="EZ111" i="39"/>
  <c r="EJ114" i="39"/>
  <c r="EV113" i="39"/>
  <c r="EO108" i="39"/>
  <c r="EW111" i="39"/>
  <c r="EM102" i="39"/>
  <c r="EU99" i="39"/>
  <c r="EF85" i="39"/>
  <c r="ET113" i="39"/>
  <c r="EH109" i="39"/>
  <c r="EY103" i="39"/>
  <c r="EE98" i="39"/>
  <c r="EE92" i="39"/>
  <c r="EK110" i="39"/>
  <c r="EV112" i="39"/>
  <c r="EL108" i="39"/>
  <c r="ER104" i="39"/>
  <c r="EO102" i="39"/>
  <c r="EX92" i="39"/>
  <c r="EX108" i="39"/>
  <c r="EM112" i="39"/>
  <c r="ED114" i="39"/>
  <c r="EW104" i="39"/>
  <c r="EK115" i="39"/>
  <c r="EE99" i="39"/>
  <c r="EE91" i="39"/>
  <c r="ED108" i="39"/>
  <c r="EL110" i="39"/>
  <c r="ES108" i="39"/>
  <c r="EY111" i="39"/>
  <c r="EI109" i="39"/>
  <c r="EJ87" i="39"/>
  <c r="EJ115" i="39"/>
  <c r="EO110" i="39"/>
  <c r="ET109" i="39"/>
  <c r="EC104" i="39"/>
  <c r="EB112" i="39"/>
  <c r="EG91" i="39"/>
  <c r="EW110" i="39"/>
  <c r="EJ116" i="39"/>
  <c r="EK103" i="39"/>
  <c r="EV97" i="39"/>
  <c r="ET91" i="39"/>
  <c r="EP89" i="39"/>
  <c r="EW88" i="39"/>
  <c r="EK97" i="39"/>
  <c r="ER90" i="39"/>
  <c r="EY87" i="39"/>
  <c r="EC101" i="39"/>
  <c r="ES95" i="39"/>
  <c r="EZ96" i="39"/>
  <c r="EU87" i="39"/>
  <c r="EW100" i="39"/>
  <c r="EE90" i="39"/>
  <c r="EU89" i="39"/>
  <c r="EX97" i="39"/>
  <c r="EO92" i="39"/>
  <c r="ES94" i="39"/>
  <c r="EL105" i="39"/>
  <c r="EQ96" i="39"/>
  <c r="EF97" i="39"/>
  <c r="ES93" i="39"/>
  <c r="EZ113" i="39"/>
  <c r="EB109" i="39"/>
  <c r="EM105" i="39"/>
  <c r="EX100" i="39"/>
  <c r="EM99" i="39"/>
  <c r="EV93" i="39"/>
  <c r="ET106" i="39"/>
  <c r="EM101" i="39"/>
  <c r="EK95" i="39"/>
  <c r="EE116" i="39"/>
  <c r="EG98" i="39"/>
  <c r="EU100" i="39"/>
  <c r="ED96" i="39"/>
  <c r="EV106" i="39"/>
  <c r="EP109" i="39"/>
  <c r="EC107" i="39"/>
  <c r="EO111" i="39"/>
  <c r="EV116" i="39"/>
  <c r="EY92" i="39"/>
  <c r="EJ113" i="39"/>
  <c r="EU113" i="39"/>
  <c r="EO107" i="39"/>
  <c r="EU101" i="39"/>
  <c r="EB111" i="39"/>
  <c r="EL92" i="39"/>
  <c r="EK86" i="39"/>
  <c r="EM110" i="39"/>
  <c r="EF116" i="39"/>
  <c r="EH104" i="39"/>
  <c r="EG100" i="39"/>
  <c r="ET86" i="39"/>
  <c r="EE113" i="39"/>
  <c r="EO109" i="39"/>
  <c r="EQ110" i="39"/>
  <c r="EG101" i="39"/>
  <c r="ER111" i="39"/>
  <c r="ED88" i="39"/>
  <c r="EP113" i="39"/>
  <c r="EO106" i="39"/>
  <c r="EG106" i="39"/>
  <c r="EL103" i="39"/>
  <c r="EC116" i="39"/>
  <c r="EX102" i="39"/>
  <c r="EG85" i="39"/>
  <c r="EF113" i="39"/>
  <c r="EU116" i="39"/>
  <c r="EH108" i="39"/>
  <c r="EH103" i="39"/>
  <c r="EI107" i="39"/>
  <c r="EB95" i="39"/>
  <c r="EM115" i="39"/>
  <c r="EY110" i="39"/>
  <c r="EB116" i="39"/>
  <c r="EX104" i="39"/>
  <c r="EY108" i="39"/>
  <c r="EW92" i="39"/>
  <c r="EU114" i="39"/>
  <c r="EG113" i="39"/>
  <c r="EF111" i="39"/>
  <c r="EC99" i="39"/>
  <c r="EM91" i="39"/>
  <c r="EO89" i="39"/>
  <c r="EF88" i="39"/>
  <c r="EG97" i="39"/>
  <c r="EG90" i="39"/>
  <c r="EP86" i="39"/>
  <c r="EP101" i="39"/>
  <c r="EV91" i="39"/>
  <c r="EI92" i="39"/>
  <c r="ED87" i="39"/>
  <c r="EZ100" i="39"/>
  <c r="EK90" i="39"/>
  <c r="EI87" i="39"/>
  <c r="EL97" i="39"/>
  <c r="EQ95" i="39"/>
  <c r="EZ92" i="39"/>
  <c r="EW85" i="39"/>
  <c r="EO88" i="39"/>
  <c r="ES89" i="39"/>
  <c r="EW89" i="39"/>
  <c r="EQ93" i="39"/>
  <c r="EO105" i="39"/>
  <c r="EB96" i="39"/>
  <c r="EZ116" i="39"/>
  <c r="EG94" i="39"/>
  <c r="EB113" i="39"/>
  <c r="EF106" i="39"/>
  <c r="EH101" i="39"/>
  <c r="EF95" i="39"/>
  <c r="EX94" i="39"/>
  <c r="EG104" i="39"/>
  <c r="EQ97" i="39"/>
  <c r="EV111" i="39"/>
  <c r="EX116" i="39"/>
  <c r="EC109" i="39"/>
  <c r="EU90" i="39"/>
  <c r="EL86" i="39"/>
  <c r="EI114" i="39"/>
  <c r="EL114" i="39"/>
  <c r="ET111" i="39"/>
  <c r="EJ101" i="39"/>
  <c r="ER116" i="39"/>
  <c r="EX87" i="39"/>
  <c r="ES106" i="39"/>
  <c r="EB110" i="39"/>
  <c r="ET107" i="39"/>
  <c r="EJ112" i="39"/>
  <c r="EH102" i="39"/>
  <c r="EB89" i="39"/>
  <c r="EL115" i="39"/>
  <c r="EI113" i="39"/>
  <c r="EC108" i="39"/>
  <c r="EM114" i="39"/>
  <c r="EG103" i="39"/>
  <c r="EU98" i="39"/>
  <c r="EK106" i="39"/>
  <c r="EP108" i="39"/>
  <c r="EP104" i="39"/>
  <c r="EK112" i="39"/>
  <c r="EM116" i="39"/>
  <c r="ES92" i="39"/>
  <c r="EU106" i="39"/>
  <c r="EH112" i="39"/>
  <c r="EV108" i="39"/>
  <c r="ED103" i="39"/>
  <c r="EL101" i="39"/>
  <c r="EV102" i="39"/>
  <c r="EH95" i="39"/>
  <c r="EX107" i="39"/>
  <c r="ET116" i="39"/>
  <c r="EP107" i="39"/>
  <c r="ED112" i="39"/>
  <c r="EO101" i="39"/>
  <c r="EL94" i="39"/>
  <c r="EZ107" i="39"/>
  <c r="EI116" i="39"/>
  <c r="ER108" i="39"/>
  <c r="EC103" i="39"/>
  <c r="EY100" i="39"/>
  <c r="EP96" i="39"/>
  <c r="EG107" i="39"/>
  <c r="ES114" i="39"/>
  <c r="EJ108" i="39"/>
  <c r="EE104" i="39"/>
  <c r="EM97" i="39"/>
  <c r="EJ90" i="39"/>
  <c r="EM89" i="39"/>
  <c r="EJ85" i="39"/>
  <c r="ED100" i="39"/>
  <c r="EX96" i="39"/>
  <c r="EH86" i="39"/>
  <c r="ET97" i="39"/>
  <c r="EZ90" i="39"/>
  <c r="EY89" i="39"/>
  <c r="EK101" i="39"/>
  <c r="ED95" i="39"/>
  <c r="EL93" i="39"/>
  <c r="EM88" i="39"/>
  <c r="EF105" i="39"/>
  <c r="EX109" i="39"/>
  <c r="EG105" i="39"/>
  <c r="EB103" i="39"/>
  <c r="ET95" i="39"/>
  <c r="ER109" i="39"/>
  <c r="EW103" i="39"/>
  <c r="EM111" i="39"/>
  <c r="EK99" i="39"/>
  <c r="EE96" i="39"/>
  <c r="ER91" i="39"/>
  <c r="EV88" i="39"/>
  <c r="EH97" i="39"/>
  <c r="EZ91" i="39"/>
  <c r="ER89" i="39"/>
  <c r="ED85" i="39"/>
  <c r="EB98" i="39"/>
  <c r="EB93" i="39"/>
  <c r="EG86" i="39"/>
  <c r="EI97" i="39"/>
  <c r="EZ93" i="39"/>
  <c r="EO86" i="39"/>
  <c r="ER15" i="39"/>
  <c r="EM16" i="39"/>
  <c r="EB15" i="39"/>
  <c r="EJ15" i="39"/>
  <c r="EX15" i="39"/>
  <c r="EC16" i="39"/>
  <c r="EE76" i="39"/>
  <c r="EJ36" i="39"/>
  <c r="ET83" i="39"/>
  <c r="ED56" i="39"/>
  <c r="EP25" i="39"/>
  <c r="EQ82" i="39"/>
  <c r="EK64" i="39"/>
  <c r="EF33" i="39"/>
  <c r="ED66" i="39"/>
  <c r="EH36" i="39"/>
  <c r="EW14" i="39"/>
  <c r="EW65" i="39"/>
  <c r="EP45" i="39"/>
  <c r="EW13" i="39"/>
  <c r="EP64" i="39"/>
  <c r="EV33" i="39"/>
  <c r="EJ66" i="39"/>
  <c r="EB46" i="39"/>
  <c r="EB14" i="39"/>
  <c r="EH75" i="39"/>
  <c r="EI45" i="39"/>
  <c r="EB25" i="39"/>
  <c r="EI82" i="39"/>
  <c r="ET54" i="39"/>
  <c r="EW66" i="39"/>
  <c r="EJ46" i="39"/>
  <c r="EL14" i="39"/>
  <c r="ES75" i="39"/>
  <c r="EJ25" i="39"/>
  <c r="EV54" i="39"/>
  <c r="EH33" i="39"/>
  <c r="ES46" i="39"/>
  <c r="ES14" i="39"/>
  <c r="EP65" i="39"/>
  <c r="ER35" i="39"/>
  <c r="EQ13" i="39"/>
  <c r="EP74" i="39"/>
  <c r="EV44" i="39"/>
  <c r="EL76" i="39"/>
  <c r="EG57" i="39"/>
  <c r="EQ26" i="39"/>
  <c r="EV65" i="39"/>
  <c r="EB45" i="39"/>
  <c r="EM13" i="39"/>
  <c r="EX74" i="39"/>
  <c r="EJ54" i="39"/>
  <c r="EW76" i="39"/>
  <c r="EP57" i="39"/>
  <c r="ET26" i="39"/>
  <c r="EI75" i="39"/>
  <c r="EX56" i="39"/>
  <c r="EI35" i="39"/>
  <c r="ET87" i="39"/>
  <c r="ED106" i="39"/>
  <c r="EO100" i="39"/>
  <c r="EJ104" i="39"/>
  <c r="EE115" i="39"/>
  <c r="EK105" i="39"/>
  <c r="EW102" i="39"/>
  <c r="EF87" i="39"/>
  <c r="ET114" i="39"/>
  <c r="EX90" i="39"/>
  <c r="EH88" i="39"/>
  <c r="EW91" i="39"/>
  <c r="EE86" i="39"/>
  <c r="EY99" i="39"/>
  <c r="EF90" i="39"/>
  <c r="EX89" i="39"/>
  <c r="ES103" i="39"/>
  <c r="ER98" i="39"/>
  <c r="EU92" i="39"/>
  <c r="EV85" i="39"/>
  <c r="EL99" i="39"/>
  <c r="EM93" i="39"/>
  <c r="EZ86" i="39"/>
  <c r="EP15" i="39"/>
  <c r="EZ15" i="39"/>
  <c r="ED15" i="39"/>
  <c r="ES15" i="39"/>
  <c r="EE16" i="39"/>
  <c r="ET15" i="39"/>
  <c r="EZ57" i="39"/>
  <c r="EL36" i="39"/>
  <c r="EQ83" i="39"/>
  <c r="EF56" i="39"/>
  <c r="ER25" i="39"/>
  <c r="EJ74" i="39"/>
  <c r="EG54" i="39"/>
  <c r="EB24" i="39"/>
  <c r="EF66" i="39"/>
  <c r="ET36" i="39"/>
  <c r="EB83" i="39"/>
  <c r="EY65" i="39"/>
  <c r="ED35" i="39"/>
  <c r="EL82" i="39"/>
  <c r="ER64" i="39"/>
  <c r="EY33" i="39"/>
  <c r="EL66" i="39"/>
  <c r="ED46" i="39"/>
  <c r="ED14" i="39"/>
  <c r="EJ75" i="39"/>
  <c r="EK45" i="39"/>
  <c r="ET25" i="39"/>
  <c r="EY82" i="39"/>
  <c r="EC44" i="39"/>
  <c r="EY66" i="39"/>
  <c r="EL46" i="39"/>
  <c r="EX14" i="39"/>
  <c r="EU75" i="39"/>
  <c r="EX13" i="39"/>
  <c r="EZ54" i="39"/>
  <c r="EH76" i="39"/>
  <c r="EU46" i="39"/>
  <c r="EU14" i="39"/>
  <c r="ER65" i="39"/>
  <c r="EO25" i="39"/>
  <c r="ET82" i="39"/>
  <c r="ED64" i="39"/>
  <c r="EZ44" i="39"/>
  <c r="EO76" i="39"/>
  <c r="EW46" i="39"/>
  <c r="EK26" i="39"/>
  <c r="EX65" i="39"/>
  <c r="ED45" i="39"/>
  <c r="EY13" i="39"/>
  <c r="EL64" i="39"/>
  <c r="EH44" i="39"/>
  <c r="EK66" i="39"/>
  <c r="EC46" i="39"/>
  <c r="EC14" i="39"/>
  <c r="EK75" i="39"/>
  <c r="EQ45" i="39"/>
  <c r="ED25" i="39"/>
  <c r="EP88" i="39"/>
  <c r="EQ105" i="39"/>
  <c r="EG112" i="39"/>
  <c r="EJ93" i="39"/>
  <c r="EK113" i="39"/>
  <c r="EI112" i="39"/>
  <c r="ES109" i="39"/>
  <c r="EG115" i="39"/>
  <c r="ES110" i="39"/>
  <c r="EZ88" i="39"/>
  <c r="EU85" i="39"/>
  <c r="EY90" i="39"/>
  <c r="EU86" i="39"/>
  <c r="EZ99" i="39"/>
  <c r="EV90" i="39"/>
  <c r="EZ87" i="39"/>
  <c r="EK102" i="39"/>
  <c r="EZ95" i="39"/>
  <c r="EK92" i="39"/>
  <c r="EY85" i="39"/>
  <c r="ET100" i="39"/>
  <c r="EH92" i="39"/>
  <c r="ET88" i="39"/>
  <c r="EF15" i="39"/>
  <c r="EL15" i="39"/>
  <c r="EE15" i="39"/>
  <c r="EW16" i="39"/>
  <c r="EQ16" i="39"/>
  <c r="EP46" i="39"/>
  <c r="EG26" i="39"/>
  <c r="EZ75" i="39"/>
  <c r="EH56" i="39"/>
  <c r="EU25" i="39"/>
  <c r="EL74" i="39"/>
  <c r="EC54" i="39"/>
  <c r="EH24" i="39"/>
  <c r="EH66" i="39"/>
  <c r="EV36" i="39"/>
  <c r="EX83" i="39"/>
  <c r="EJ56" i="39"/>
  <c r="EQ35" i="39"/>
  <c r="EG82" i="39"/>
  <c r="ET64" i="39"/>
  <c r="ER33" i="39"/>
  <c r="EO66" i="39"/>
  <c r="EF36" i="39"/>
  <c r="EG14" i="39"/>
  <c r="EL75" i="39"/>
  <c r="EM45" i="39"/>
  <c r="ES13" i="39"/>
  <c r="EV64" i="39"/>
  <c r="EE44" i="39"/>
  <c r="EQ57" i="39"/>
  <c r="EP36" i="39"/>
  <c r="EQ14" i="39"/>
  <c r="EW75" i="39"/>
  <c r="EK35" i="39"/>
  <c r="EK82" i="39"/>
  <c r="EK44" i="39"/>
  <c r="EB76" i="39"/>
  <c r="EE36" i="39"/>
  <c r="EH14" i="39"/>
  <c r="EC56" i="39"/>
  <c r="EQ25" i="39"/>
  <c r="EX82" i="39"/>
  <c r="EF64" i="39"/>
  <c r="EP33" i="39"/>
  <c r="EC66" i="39"/>
  <c r="EY46" i="39"/>
  <c r="EY14" i="39"/>
  <c r="EZ65" i="39"/>
  <c r="EO45" i="39"/>
  <c r="EE82" i="39"/>
  <c r="EO64" i="39"/>
  <c r="EX33" i="39"/>
  <c r="EM66" i="39"/>
  <c r="EE46" i="39"/>
  <c r="EE14" i="39"/>
  <c r="EM75" i="39"/>
  <c r="EJ45" i="39"/>
  <c r="ET13" i="39"/>
  <c r="EU64" i="39"/>
  <c r="ED44" i="39"/>
  <c r="ET57" i="39"/>
  <c r="EX105" i="39"/>
  <c r="EH100" i="39"/>
  <c r="ER100" i="39"/>
  <c r="EI110" i="39"/>
  <c r="EW108" i="39"/>
  <c r="ED109" i="39"/>
  <c r="ED92" i="39"/>
  <c r="EV110" i="39"/>
  <c r="ER103" i="39"/>
  <c r="EZ102" i="39"/>
  <c r="ET101" i="39"/>
  <c r="EY93" i="39"/>
  <c r="EL85" i="39"/>
  <c r="EC100" i="39"/>
  <c r="EH90" i="39"/>
  <c r="EY88" i="39"/>
  <c r="EH99" i="39"/>
  <c r="EC91" i="39"/>
  <c r="EZ89" i="39"/>
  <c r="EQ104" i="39"/>
  <c r="EV98" i="39"/>
  <c r="ET92" i="39"/>
  <c r="EM85" i="39"/>
  <c r="EM15" i="39"/>
  <c r="EG15" i="39"/>
  <c r="EP16" i="39"/>
  <c r="EX16" i="39"/>
  <c r="EY15" i="39"/>
  <c r="EZ16" i="39"/>
  <c r="ER46" i="39"/>
  <c r="EB26" i="39"/>
  <c r="EL65" i="39"/>
  <c r="EG45" i="39"/>
  <c r="EB13" i="39"/>
  <c r="EO74" i="39"/>
  <c r="ES44" i="39"/>
  <c r="EP76" i="39"/>
  <c r="EB57" i="39"/>
  <c r="EE26" i="39"/>
  <c r="EW83" i="39"/>
  <c r="EL56" i="39"/>
  <c r="EV25" i="39"/>
  <c r="ES74" i="39"/>
  <c r="EE54" i="39"/>
  <c r="EJ33" i="39"/>
  <c r="EQ66" i="39"/>
  <c r="ER36" i="39"/>
  <c r="EP14" i="39"/>
  <c r="EO75" i="39"/>
  <c r="EU13" i="39"/>
  <c r="EX64" i="39"/>
  <c r="EP44" i="39"/>
  <c r="ES57" i="39"/>
  <c r="EZ36" i="39"/>
  <c r="ES83" i="39"/>
  <c r="EC65" i="39"/>
  <c r="EW35" i="39"/>
  <c r="EF82" i="39"/>
  <c r="EM44" i="39"/>
  <c r="ED76" i="39"/>
  <c r="EX36" i="39"/>
  <c r="EV83" i="39"/>
  <c r="EE56" i="39"/>
  <c r="ES25" i="39"/>
  <c r="EO82" i="39"/>
  <c r="EH64" i="39"/>
  <c r="EZ33" i="39"/>
  <c r="EE66" i="39"/>
  <c r="EM36" i="39"/>
  <c r="ER83" i="39"/>
  <c r="EI56" i="39"/>
  <c r="EE35" i="39"/>
  <c r="EW82" i="39"/>
  <c r="EQ64" i="39"/>
  <c r="ED33" i="39"/>
  <c r="EP66" i="39"/>
  <c r="ED36" i="39"/>
  <c r="EM14" i="39"/>
  <c r="EB97" i="39"/>
  <c r="ER94" i="39"/>
  <c r="EB88" i="39"/>
  <c r="EC112" i="39"/>
  <c r="EO103" i="39"/>
  <c r="EC88" i="39"/>
  <c r="EY113" i="39"/>
  <c r="ES113" i="39"/>
  <c r="EW99" i="39"/>
  <c r="ED91" i="39"/>
  <c r="EU97" i="39"/>
  <c r="EI89" i="39"/>
  <c r="EI85" i="39"/>
  <c r="EM98" i="39"/>
  <c r="EI93" i="39"/>
  <c r="EI86" i="39"/>
  <c r="EO97" i="39"/>
  <c r="ED90" i="39"/>
  <c r="EE87" i="39"/>
  <c r="ET102" i="39"/>
  <c r="EE95" i="39"/>
  <c r="EE89" i="39"/>
  <c r="ES85" i="39"/>
  <c r="EW15" i="39"/>
  <c r="EU15" i="39"/>
  <c r="ES16" i="39"/>
  <c r="EK16" i="39"/>
  <c r="EK15" i="39"/>
  <c r="EO16" i="39"/>
  <c r="ET46" i="39"/>
  <c r="ER14" i="39"/>
  <c r="EO65" i="39"/>
  <c r="EX35" i="39"/>
  <c r="ED13" i="39"/>
  <c r="EQ74" i="39"/>
  <c r="EU44" i="39"/>
  <c r="EI76" i="39"/>
  <c r="ED57" i="39"/>
  <c r="EP26" i="39"/>
  <c r="EB75" i="39"/>
  <c r="EO56" i="39"/>
  <c r="EX25" i="39"/>
  <c r="EU74" i="39"/>
  <c r="EP54" i="39"/>
  <c r="EX76" i="39"/>
  <c r="EH57" i="39"/>
  <c r="EM26" i="39"/>
  <c r="EJ83" i="39"/>
  <c r="ES56" i="39"/>
  <c r="EB35" i="39"/>
  <c r="EG13" i="39"/>
  <c r="EZ64" i="39"/>
  <c r="EI44" i="39"/>
  <c r="EU57" i="39"/>
  <c r="EB36" i="39"/>
  <c r="EO83" i="39"/>
  <c r="EE65" i="39"/>
  <c r="EH35" i="39"/>
  <c r="EC74" i="39"/>
  <c r="EX44" i="39"/>
  <c r="EF76" i="39"/>
  <c r="EI36" i="39"/>
  <c r="EH83" i="39"/>
  <c r="EG56" i="39"/>
  <c r="EC25" i="39"/>
  <c r="ER82" i="39"/>
  <c r="EJ64" i="39"/>
  <c r="ES33" i="39"/>
  <c r="EG66" i="39"/>
  <c r="ES36" i="39"/>
  <c r="EC75" i="39"/>
  <c r="EK56" i="39"/>
  <c r="EW25" i="39"/>
  <c r="EB82" i="39"/>
  <c r="ES64" i="39"/>
  <c r="EW33" i="39"/>
  <c r="ER66" i="39"/>
  <c r="EG36" i="39"/>
  <c r="EC83" i="39"/>
  <c r="EB105" i="39"/>
  <c r="EM113" i="39"/>
  <c r="EH110" i="39"/>
  <c r="EL107" i="39"/>
  <c r="ES111" i="39"/>
  <c r="EB108" i="39"/>
  <c r="EZ110" i="39"/>
  <c r="EP111" i="39"/>
  <c r="EI90" i="39"/>
  <c r="EQ92" i="39"/>
  <c r="EP99" i="39"/>
  <c r="EK89" i="39"/>
  <c r="EC102" i="39"/>
  <c r="EE100" i="39"/>
  <c r="EP91" i="39"/>
  <c r="EM86" i="39"/>
  <c r="ES97" i="39"/>
  <c r="EW90" i="39"/>
  <c r="EL87" i="39"/>
  <c r="EJ99" i="39"/>
  <c r="EK91" i="39"/>
  <c r="EH87" i="39"/>
  <c r="EQ85" i="39"/>
  <c r="EO15" i="39"/>
  <c r="EG16" i="39"/>
  <c r="EV16" i="39"/>
  <c r="ER16" i="39"/>
  <c r="EH16" i="39"/>
  <c r="EV46" i="39"/>
  <c r="ET14" i="39"/>
  <c r="EQ65" i="39"/>
  <c r="EV35" i="39"/>
  <c r="EF13" i="39"/>
  <c r="EE64" i="39"/>
  <c r="EW44" i="39"/>
  <c r="EK76" i="39"/>
  <c r="EF57" i="39"/>
  <c r="EI26" i="39"/>
  <c r="ED75" i="39"/>
  <c r="EQ56" i="39"/>
  <c r="EZ25" i="39"/>
  <c r="EW74" i="39"/>
  <c r="EI54" i="39"/>
  <c r="ER76" i="39"/>
  <c r="EJ57" i="39"/>
  <c r="EX26" i="39"/>
  <c r="EU83" i="39"/>
  <c r="EU56" i="39"/>
  <c r="EM35" i="39"/>
  <c r="EP13" i="39"/>
  <c r="EM54" i="39"/>
  <c r="EZ76" i="39"/>
  <c r="EW57" i="39"/>
  <c r="EV26" i="39"/>
  <c r="EM83" i="39"/>
  <c r="EG65" i="39"/>
  <c r="ET35" i="39"/>
  <c r="EE74" i="39"/>
  <c r="ER44" i="39"/>
  <c r="EY57" i="39"/>
  <c r="EK36" i="39"/>
  <c r="EY75" i="39"/>
  <c r="EZ45" i="39"/>
  <c r="EC13" i="39"/>
  <c r="EI74" i="39"/>
  <c r="EH54" i="39"/>
  <c r="EK33" i="39"/>
  <c r="EI66" i="39"/>
  <c r="EU36" i="39"/>
  <c r="EE75" i="39"/>
  <c r="EM56" i="39"/>
  <c r="EY25" i="39"/>
  <c r="ER74" i="39"/>
  <c r="ED54" i="39"/>
  <c r="EY76" i="39"/>
  <c r="EI57" i="39"/>
  <c r="ED83" i="39"/>
  <c r="ER56" i="39"/>
  <c r="EK116" i="39"/>
  <c r="EV96" i="39"/>
  <c r="EJ107" i="39"/>
  <c r="EQ91" i="39"/>
  <c r="EU108" i="39"/>
  <c r="EI108" i="39"/>
  <c r="EI103" i="39"/>
  <c r="EW86" i="39"/>
  <c r="EE85" i="39"/>
  <c r="EK98" i="39"/>
  <c r="EI95" i="39"/>
  <c r="EQ88" i="39"/>
  <c r="ED97" i="39"/>
  <c r="ER95" i="39"/>
  <c r="EL89" i="39"/>
  <c r="ED86" i="39"/>
  <c r="EK100" i="39"/>
  <c r="ER93" i="39"/>
  <c r="EV86" i="39"/>
  <c r="EY97" i="39"/>
  <c r="EP90" i="39"/>
  <c r="EI88" i="39"/>
  <c r="EF16" i="39"/>
  <c r="EI16" i="39"/>
  <c r="EH15" i="39"/>
  <c r="EC15" i="39"/>
  <c r="EL16" i="39"/>
  <c r="EC76" i="39"/>
  <c r="EY36" i="39"/>
  <c r="EO14" i="39"/>
  <c r="EB56" i="39"/>
  <c r="EM25" i="39"/>
  <c r="ED82" i="39"/>
  <c r="EI64" i="39"/>
  <c r="EL33" i="39"/>
  <c r="EB66" i="39"/>
  <c r="EZ46" i="39"/>
  <c r="EZ14" i="39"/>
  <c r="EU65" i="39"/>
  <c r="EE45" i="39"/>
  <c r="EL13" i="39"/>
  <c r="EM64" i="39"/>
  <c r="EG44" i="39"/>
  <c r="EV76" i="39"/>
  <c r="EO57" i="39"/>
  <c r="ES26" i="39"/>
  <c r="EY83" i="39"/>
  <c r="EY56" i="39"/>
  <c r="EJ35" i="39"/>
  <c r="EU82" i="39"/>
  <c r="ER54" i="39"/>
  <c r="EU66" i="39"/>
  <c r="EH46" i="39"/>
  <c r="EJ14" i="39"/>
  <c r="EQ75" i="39"/>
  <c r="EH25" i="39"/>
  <c r="EB64" i="39"/>
  <c r="EO33" i="39"/>
  <c r="EQ46" i="39"/>
  <c r="EC26" i="39"/>
  <c r="EM65" i="39"/>
  <c r="EU35" i="39"/>
  <c r="EH13" i="39"/>
  <c r="EM74" i="39"/>
  <c r="ET44" i="39"/>
  <c r="EJ76" i="39"/>
  <c r="EE57" i="39"/>
  <c r="EF26" i="39"/>
  <c r="ET65" i="39"/>
  <c r="EH45" i="39"/>
  <c r="EK13" i="39"/>
  <c r="EV74" i="39"/>
  <c r="EQ54" i="39"/>
  <c r="EU76" i="39"/>
  <c r="EM57" i="39"/>
  <c r="EU95" i="39"/>
  <c r="EH89" i="39"/>
  <c r="EP97" i="39"/>
  <c r="EJ16" i="39"/>
  <c r="EF35" i="39"/>
  <c r="EC45" i="39"/>
  <c r="EW56" i="39"/>
  <c r="EI65" i="39"/>
  <c r="EE13" i="39"/>
  <c r="EK25" i="39"/>
  <c r="EP75" i="39"/>
  <c r="EO35" i="39"/>
  <c r="EW64" i="39"/>
  <c r="EQ44" i="39"/>
  <c r="EG46" i="39"/>
  <c r="EW26" i="39"/>
  <c r="ER75" i="39"/>
  <c r="EZ56" i="39"/>
  <c r="EE25" i="39"/>
  <c r="ES82" i="39"/>
  <c r="EJ44" i="39"/>
  <c r="ED12" i="39"/>
  <c r="EU73" i="39"/>
  <c r="EY10" i="39"/>
  <c r="EE72" i="39"/>
  <c r="EO42" i="39"/>
  <c r="EB21" i="39"/>
  <c r="EX60" i="39"/>
  <c r="ER41" i="39"/>
  <c r="EZ24" i="39"/>
  <c r="EF62" i="39"/>
  <c r="EZ43" i="39"/>
  <c r="EF10" i="39"/>
  <c r="EQ72" i="39"/>
  <c r="EY42" i="39"/>
  <c r="ED79" i="39"/>
  <c r="EL60" i="39"/>
  <c r="EY29" i="39"/>
  <c r="EJ12" i="39"/>
  <c r="EH73" i="39"/>
  <c r="EV23" i="39"/>
  <c r="ET72" i="39"/>
  <c r="EH52" i="39"/>
  <c r="EO21" i="39"/>
  <c r="EU60" i="39"/>
  <c r="EU29" i="39"/>
  <c r="EH81" i="39"/>
  <c r="EU62" i="39"/>
  <c r="EJ32" i="39"/>
  <c r="EE80" i="39"/>
  <c r="EG42" i="39"/>
  <c r="EC21" i="39"/>
  <c r="EY60" i="39"/>
  <c r="EG29" i="39"/>
  <c r="EO12" i="39"/>
  <c r="EC53" i="39"/>
  <c r="EM32" i="39"/>
  <c r="EY80" i="39"/>
  <c r="EL52" i="39"/>
  <c r="EJ31" i="39"/>
  <c r="EC79" i="39"/>
  <c r="EU50" i="39"/>
  <c r="EE29" i="39"/>
  <c r="EV81" i="39"/>
  <c r="EL53" i="39"/>
  <c r="ER10" i="39"/>
  <c r="EI72" i="39"/>
  <c r="EZ42" i="39"/>
  <c r="EZ79" i="39"/>
  <c r="EQ41" i="39"/>
  <c r="EY24" i="39"/>
  <c r="EI73" i="39"/>
  <c r="EP53" i="39"/>
  <c r="EZ23" i="39"/>
  <c r="ES72" i="39"/>
  <c r="EG52" i="39"/>
  <c r="ED21" i="39"/>
  <c r="EF50" i="39"/>
  <c r="EL24" i="39"/>
  <c r="EO73" i="39"/>
  <c r="ED53" i="39"/>
  <c r="EU23" i="39"/>
  <c r="ER80" i="39"/>
  <c r="EZ52" i="39"/>
  <c r="EO79" i="39"/>
  <c r="EP102" i="39"/>
  <c r="EZ85" i="39"/>
  <c r="EL90" i="39"/>
  <c r="ED16" i="39"/>
  <c r="EO13" i="39"/>
  <c r="EJ13" i="39"/>
  <c r="EZ35" i="39"/>
  <c r="EF25" i="39"/>
  <c r="EK74" i="39"/>
  <c r="ET74" i="39"/>
  <c r="EB65" i="39"/>
  <c r="EY64" i="39"/>
  <c r="ET66" i="39"/>
  <c r="EI46" i="39"/>
  <c r="ET75" i="39"/>
  <c r="EY45" i="39"/>
  <c r="EG25" i="39"/>
  <c r="EB74" i="39"/>
  <c r="EL44" i="39"/>
  <c r="EG12" i="39"/>
  <c r="EW73" i="39"/>
  <c r="ES10" i="39"/>
  <c r="EG72" i="39"/>
  <c r="EQ42" i="39"/>
  <c r="ET21" i="39"/>
  <c r="EB60" i="39"/>
  <c r="ET41" i="39"/>
  <c r="EM12" i="39"/>
  <c r="EH62" i="39"/>
  <c r="EO32" i="39"/>
  <c r="EV10" i="39"/>
  <c r="EG61" i="39"/>
  <c r="EP31" i="39"/>
  <c r="EM70" i="39"/>
  <c r="EZ50" i="39"/>
  <c r="EH20" i="39"/>
  <c r="EW12" i="39"/>
  <c r="EO62" i="39"/>
  <c r="EB43" i="39"/>
  <c r="EO23" i="39"/>
  <c r="EV72" i="39"/>
  <c r="EC52" i="39"/>
  <c r="EY21" i="39"/>
  <c r="EB50" i="39"/>
  <c r="EW29" i="39"/>
  <c r="EC73" i="39"/>
  <c r="EH53" i="39"/>
  <c r="ED32" i="39"/>
  <c r="EQ80" i="39"/>
  <c r="EI42" i="39"/>
  <c r="EK21" i="39"/>
  <c r="EJ50" i="39"/>
  <c r="EY20" i="39"/>
  <c r="ED81" i="39"/>
  <c r="EW53" i="39"/>
  <c r="EU32" i="39"/>
  <c r="EJ80" i="39"/>
  <c r="EE52" i="39"/>
  <c r="EF31" i="39"/>
  <c r="EF70" i="39"/>
  <c r="EX50" i="39"/>
  <c r="EI33" i="39"/>
  <c r="EP81" i="39"/>
  <c r="ET10" i="39"/>
  <c r="EF61" i="39"/>
  <c r="EQ31" i="39"/>
  <c r="EO70" i="39"/>
  <c r="EK29" i="39"/>
  <c r="EQ24" i="39"/>
  <c r="ED73" i="39"/>
  <c r="EU53" i="39"/>
  <c r="ER23" i="39"/>
  <c r="EU72" i="39"/>
  <c r="EI52" i="39"/>
  <c r="EU21" i="39"/>
  <c r="EH50" i="39"/>
  <c r="EE24" i="39"/>
  <c r="EX73" i="39"/>
  <c r="EM23" i="39"/>
  <c r="EL80" i="39"/>
  <c r="EF42" i="39"/>
  <c r="EG70" i="39"/>
  <c r="EQ50" i="39"/>
  <c r="EO114" i="39"/>
  <c r="EP100" i="39"/>
  <c r="ER86" i="39"/>
  <c r="EQ15" i="39"/>
  <c r="EG64" i="39"/>
  <c r="EY74" i="39"/>
  <c r="EC82" i="39"/>
  <c r="EG74" i="39"/>
  <c r="EB54" i="39"/>
  <c r="EF54" i="39"/>
  <c r="ET56" i="39"/>
  <c r="EL54" i="39"/>
  <c r="EV66" i="39"/>
  <c r="EK46" i="39"/>
  <c r="EK14" i="39"/>
  <c r="EV75" i="39"/>
  <c r="EI25" i="39"/>
  <c r="ED74" i="39"/>
  <c r="EO44" i="39"/>
  <c r="ER12" i="39"/>
  <c r="EV62" i="39"/>
  <c r="EC10" i="39"/>
  <c r="EH72" i="39"/>
  <c r="ES42" i="39"/>
  <c r="EP79" i="39"/>
  <c r="ED60" i="39"/>
  <c r="EV41" i="39"/>
  <c r="EZ12" i="39"/>
  <c r="EB62" i="39"/>
  <c r="EY32" i="39"/>
  <c r="EW80" i="39"/>
  <c r="EI61" i="39"/>
  <c r="ER31" i="39"/>
  <c r="EX70" i="39"/>
  <c r="EV50" i="39"/>
  <c r="EC20" i="39"/>
  <c r="EH12" i="39"/>
  <c r="EQ62" i="39"/>
  <c r="ED43" i="39"/>
  <c r="EH23" i="39"/>
  <c r="EX72" i="39"/>
  <c r="EM52" i="39"/>
  <c r="ER21" i="39"/>
  <c r="ED50" i="39"/>
  <c r="EJ24" i="39"/>
  <c r="EM73" i="39"/>
  <c r="ET53" i="39"/>
  <c r="ET23" i="39"/>
  <c r="EB80" i="39"/>
  <c r="EK42" i="39"/>
  <c r="EB79" i="39"/>
  <c r="EL50" i="39"/>
  <c r="ED20" i="39"/>
  <c r="EM81" i="39"/>
  <c r="EO43" i="39"/>
  <c r="EJ23" i="39"/>
  <c r="EB72" i="39"/>
  <c r="EO52" i="39"/>
  <c r="EW31" i="39"/>
  <c r="EQ70" i="39"/>
  <c r="EM50" i="39"/>
  <c r="EV24" i="39"/>
  <c r="EZ81" i="39"/>
  <c r="EP32" i="39"/>
  <c r="EV80" i="39"/>
  <c r="EH61" i="39"/>
  <c r="ES31" i="39"/>
  <c r="EY70" i="39"/>
  <c r="EM29" i="39"/>
  <c r="EL12" i="39"/>
  <c r="EF73" i="39"/>
  <c r="EE10" i="39"/>
  <c r="EW72" i="39"/>
  <c r="EF52" i="39"/>
  <c r="EM79" i="39"/>
  <c r="EY41" i="39"/>
  <c r="ES12" i="39"/>
  <c r="EM62" i="39"/>
  <c r="EP43" i="39"/>
  <c r="EF23" i="39"/>
  <c r="EZ72" i="39"/>
  <c r="EH42" i="39"/>
  <c r="EC70" i="39"/>
  <c r="EG41" i="39"/>
  <c r="EX69" i="39"/>
  <c r="EO49" i="39"/>
  <c r="ED101" i="39"/>
  <c r="ER87" i="39"/>
  <c r="EW97" i="39"/>
  <c r="ET16" i="39"/>
  <c r="EM33" i="39"/>
  <c r="EK54" i="39"/>
  <c r="EX54" i="39"/>
  <c r="EG33" i="39"/>
  <c r="EQ76" i="39"/>
  <c r="ES76" i="39"/>
  <c r="EV56" i="39"/>
  <c r="ER13" i="39"/>
  <c r="EO54" i="39"/>
  <c r="EX66" i="39"/>
  <c r="EM46" i="39"/>
  <c r="EX75" i="39"/>
  <c r="EL25" i="39"/>
  <c r="EF74" i="39"/>
  <c r="EY44" i="39"/>
  <c r="EY81" i="39"/>
  <c r="EZ62" i="39"/>
  <c r="EF32" i="39"/>
  <c r="EO80" i="39"/>
  <c r="EC61" i="39"/>
  <c r="EU42" i="39"/>
  <c r="EE70" i="39"/>
  <c r="ER50" i="39"/>
  <c r="EB29" i="39"/>
  <c r="EI81" i="39"/>
  <c r="ED62" i="39"/>
  <c r="EC32" i="39"/>
  <c r="EK80" i="39"/>
  <c r="EK61" i="39"/>
  <c r="ET31" i="39"/>
  <c r="ER70" i="39"/>
  <c r="EX41" i="39"/>
  <c r="EQ33" i="39"/>
  <c r="EJ81" i="39"/>
  <c r="EJ62" i="39"/>
  <c r="EW32" i="39"/>
  <c r="EP10" i="39"/>
  <c r="EY72" i="39"/>
  <c r="EC42" i="39"/>
  <c r="EQ79" i="39"/>
  <c r="EG50" i="39"/>
  <c r="EX24" i="39"/>
  <c r="EQ73" i="39"/>
  <c r="EO53" i="39"/>
  <c r="EY23" i="39"/>
  <c r="EX61" i="39"/>
  <c r="EM42" i="39"/>
  <c r="EY79" i="39"/>
  <c r="EP50" i="39"/>
  <c r="ES24" i="39"/>
  <c r="EG81" i="39"/>
  <c r="EY43" i="39"/>
  <c r="EE23" i="39"/>
  <c r="ED72" i="39"/>
  <c r="EP42" i="39"/>
  <c r="EG21" i="39"/>
  <c r="EJ70" i="39"/>
  <c r="EH41" i="39"/>
  <c r="EO24" i="39"/>
  <c r="ET73" i="39"/>
  <c r="EE32" i="39"/>
  <c r="EP80" i="39"/>
  <c r="EJ61" i="39"/>
  <c r="EE31" i="39"/>
  <c r="ES70" i="39"/>
  <c r="EX29" i="39"/>
  <c r="EF12" i="39"/>
  <c r="ES73" i="39"/>
  <c r="EC43" i="39"/>
  <c r="EB10" i="39"/>
  <c r="ER72" i="39"/>
  <c r="EB42" i="39"/>
  <c r="EW70" i="39"/>
  <c r="EC41" i="39"/>
  <c r="EY12" i="39"/>
  <c r="EX62" i="39"/>
  <c r="EO10" i="39"/>
  <c r="EW61" i="39"/>
  <c r="EX85" i="39"/>
  <c r="EV99" i="39"/>
  <c r="EB91" i="39"/>
  <c r="EG76" i="39"/>
  <c r="EM76" i="39"/>
  <c r="ET76" i="39"/>
  <c r="ES66" i="39"/>
  <c r="EO46" i="39"/>
  <c r="EC57" i="39"/>
  <c r="EK57" i="39"/>
  <c r="EL45" i="39"/>
  <c r="EH82" i="39"/>
  <c r="EY54" i="39"/>
  <c r="EZ66" i="39"/>
  <c r="EO36" i="39"/>
  <c r="EK83" i="39"/>
  <c r="ED65" i="39"/>
  <c r="EP35" i="39"/>
  <c r="EZ13" i="39"/>
  <c r="EH74" i="39"/>
  <c r="EB33" i="39"/>
  <c r="EF81" i="39"/>
  <c r="EG53" i="39"/>
  <c r="EQ32" i="39"/>
  <c r="ES80" i="39"/>
  <c r="EE61" i="39"/>
  <c r="EG31" i="39"/>
  <c r="EP70" i="39"/>
  <c r="ET50" i="39"/>
  <c r="ED29" i="39"/>
  <c r="EO81" i="39"/>
  <c r="EQ53" i="39"/>
  <c r="EC23" i="39"/>
  <c r="EC80" i="39"/>
  <c r="EM61" i="39"/>
  <c r="EO31" i="39"/>
  <c r="ET70" i="39"/>
  <c r="EZ41" i="39"/>
  <c r="EU24" i="39"/>
  <c r="EW81" i="39"/>
  <c r="EL62" i="39"/>
  <c r="EB32" i="39"/>
  <c r="EQ10" i="39"/>
  <c r="EP61" i="39"/>
  <c r="EE42" i="39"/>
  <c r="EV70" i="39"/>
  <c r="EB41" i="39"/>
  <c r="ER24" i="39"/>
  <c r="EG73" i="39"/>
  <c r="ES23" i="39"/>
  <c r="EZ61" i="39"/>
  <c r="EB31" i="39"/>
  <c r="EH70" i="39"/>
  <c r="EE50" i="39"/>
  <c r="EI24" i="39"/>
  <c r="EK73" i="39"/>
  <c r="EH10" i="39"/>
  <c r="EF72" i="39"/>
  <c r="ER42" i="39"/>
  <c r="EM21" i="39"/>
  <c r="EL70" i="39"/>
  <c r="ES41" i="39"/>
  <c r="EF24" i="39"/>
  <c r="EP73" i="39"/>
  <c r="ED23" i="39"/>
  <c r="ET80" i="39"/>
  <c r="EL61" i="39"/>
  <c r="EP21" i="39"/>
  <c r="EU70" i="39"/>
  <c r="EQ29" i="39"/>
  <c r="EP12" i="39"/>
  <c r="EE62" i="39"/>
  <c r="EX32" i="39"/>
  <c r="EK10" i="39"/>
  <c r="EO61" i="39"/>
  <c r="ED42" i="39"/>
  <c r="EG60" i="39"/>
  <c r="EE41" i="39"/>
  <c r="EQ12" i="39"/>
  <c r="ER62" i="39"/>
  <c r="EI10" i="39"/>
  <c r="EF112" i="39"/>
  <c r="EH98" i="39"/>
  <c r="EM87" i="39"/>
  <c r="EW36" i="39"/>
  <c r="EX46" i="39"/>
  <c r="EL57" i="39"/>
  <c r="EF46" i="39"/>
  <c r="EH26" i="39"/>
  <c r="ED26" i="39"/>
  <c r="EO26" i="39"/>
  <c r="EM82" i="39"/>
  <c r="ES54" i="39"/>
  <c r="ER57" i="39"/>
  <c r="EQ36" i="39"/>
  <c r="EL83" i="39"/>
  <c r="EF65" i="39"/>
  <c r="EL35" i="39"/>
  <c r="EZ82" i="39"/>
  <c r="EC64" i="39"/>
  <c r="ET24" i="39"/>
  <c r="EQ81" i="39"/>
  <c r="ES53" i="39"/>
  <c r="EK32" i="39"/>
  <c r="EZ80" i="39"/>
  <c r="EX52" i="39"/>
  <c r="EI31" i="39"/>
  <c r="EI70" i="39"/>
  <c r="EW50" i="39"/>
  <c r="EF29" i="39"/>
  <c r="ER81" i="39"/>
  <c r="EB53" i="39"/>
  <c r="EI23" i="39"/>
  <c r="EK72" i="39"/>
  <c r="ES52" i="39"/>
  <c r="EF21" i="39"/>
  <c r="EV60" i="39"/>
  <c r="EJ29" i="39"/>
  <c r="EM24" i="39"/>
  <c r="ES81" i="39"/>
  <c r="EZ53" i="39"/>
  <c r="EL32" i="39"/>
  <c r="EM10" i="39"/>
  <c r="ER61" i="39"/>
  <c r="EX31" i="39"/>
  <c r="EZ70" i="39"/>
  <c r="ED41" i="39"/>
  <c r="EK12" i="39"/>
  <c r="EW62" i="39"/>
  <c r="EQ43" i="39"/>
  <c r="EX10" i="39"/>
  <c r="EQ52" i="39"/>
  <c r="ED31" i="39"/>
  <c r="EB70" i="39"/>
  <c r="EJ41" i="39"/>
  <c r="ED24" i="39"/>
  <c r="EV73" i="39"/>
  <c r="EJ10" i="39"/>
  <c r="EB61" i="39"/>
  <c r="ET42" i="39"/>
  <c r="EH21" i="39"/>
  <c r="EO60" i="39"/>
  <c r="EU41" i="39"/>
  <c r="EB12" i="39"/>
  <c r="EG62" i="39"/>
  <c r="EW23" i="39"/>
  <c r="EJ72" i="39"/>
  <c r="EU52" i="39"/>
  <c r="EZ21" i="39"/>
  <c r="EW60" i="39"/>
  <c r="EE33" i="39"/>
  <c r="EU81" i="39"/>
  <c r="EP62" i="39"/>
  <c r="EI32" i="39"/>
  <c r="EX80" i="39"/>
  <c r="EQ61" i="39"/>
  <c r="EY31" i="39"/>
  <c r="ER60" i="39"/>
  <c r="ET29" i="39"/>
  <c r="EC81" i="39"/>
  <c r="ET62" i="39"/>
  <c r="EH32" i="39"/>
  <c r="EU10" i="39"/>
  <c r="EP52" i="39"/>
  <c r="EP116" i="39"/>
  <c r="EX86" i="39"/>
  <c r="EB16" i="39"/>
  <c r="ES65" i="39"/>
  <c r="EF75" i="39"/>
  <c r="EE83" i="39"/>
  <c r="EG83" i="39"/>
  <c r="EF45" i="39"/>
  <c r="EP56" i="39"/>
  <c r="EI83" i="39"/>
  <c r="EC35" i="39"/>
  <c r="EZ74" i="39"/>
  <c r="EF44" i="39"/>
  <c r="EX57" i="39"/>
  <c r="EU26" i="39"/>
  <c r="EZ83" i="39"/>
  <c r="EJ65" i="39"/>
  <c r="ES35" i="39"/>
  <c r="EP82" i="39"/>
  <c r="EW54" i="39"/>
  <c r="EP24" i="39"/>
  <c r="EZ73" i="39"/>
  <c r="EM43" i="39"/>
  <c r="EQ23" i="39"/>
  <c r="EC72" i="39"/>
  <c r="EK52" i="39"/>
  <c r="EM31" i="39"/>
  <c r="EM60" i="39"/>
  <c r="EP41" i="39"/>
  <c r="EC33" i="39"/>
  <c r="EB73" i="39"/>
  <c r="EG10" i="39"/>
  <c r="EP72" i="39"/>
  <c r="EW42" i="39"/>
  <c r="EE21" i="39"/>
  <c r="EJ60" i="39"/>
  <c r="EO29" i="39"/>
  <c r="EC12" i="39"/>
  <c r="EE73" i="39"/>
  <c r="EE53" i="39"/>
  <c r="EK23" i="39"/>
  <c r="EH80" i="39"/>
  <c r="EV61" i="39"/>
  <c r="EU31" i="39"/>
  <c r="ES60" i="39"/>
  <c r="ES29" i="39"/>
  <c r="EE81" i="39"/>
  <c r="ES62" i="39"/>
  <c r="EL43" i="39"/>
  <c r="EW10" i="39"/>
  <c r="EV52" i="39"/>
  <c r="EW21" i="39"/>
  <c r="EF60" i="39"/>
  <c r="EO41" i="39"/>
  <c r="EE12" i="39"/>
  <c r="ER53" i="39"/>
  <c r="ES32" i="39"/>
  <c r="EG80" i="39"/>
  <c r="EY52" i="39"/>
  <c r="EH31" i="39"/>
  <c r="EL79" i="39"/>
  <c r="ES50" i="39"/>
  <c r="EC29" i="39"/>
  <c r="EL81" i="39"/>
  <c r="EF53" i="39"/>
  <c r="EG23" i="39"/>
  <c r="EO72" i="39"/>
  <c r="EX42" i="39"/>
  <c r="EJ21" i="39"/>
  <c r="EK60" i="39"/>
  <c r="EC24" i="39"/>
  <c r="EB81" i="39"/>
  <c r="EK62" i="39"/>
  <c r="EL23" i="39"/>
  <c r="ED80" i="39"/>
  <c r="EU61" i="39"/>
  <c r="EX21" i="39"/>
  <c r="EC50" i="39"/>
  <c r="EK24" i="39"/>
  <c r="EL73" i="39"/>
  <c r="EI53" i="39"/>
  <c r="ER32" i="39"/>
  <c r="EF80" i="39"/>
  <c r="ER52" i="39"/>
  <c r="EK107" i="39"/>
  <c r="EG75" i="39"/>
  <c r="EH65" i="39"/>
  <c r="EU80" i="39"/>
  <c r="EB23" i="39"/>
  <c r="EJ53" i="39"/>
  <c r="EY62" i="39"/>
  <c r="EY73" i="39"/>
  <c r="EX12" i="39"/>
  <c r="EX81" i="39"/>
  <c r="ER73" i="39"/>
  <c r="EC31" i="39"/>
  <c r="EO50" i="39"/>
  <c r="EZ69" i="39"/>
  <c r="ET28" i="39"/>
  <c r="EB77" i="39"/>
  <c r="EW58" i="39"/>
  <c r="EE27" i="39"/>
  <c r="EB20" i="39"/>
  <c r="EK49" i="39"/>
  <c r="EI28" i="39"/>
  <c r="EY58" i="39"/>
  <c r="EL37" i="39"/>
  <c r="EZ20" i="39"/>
  <c r="EH69" i="39"/>
  <c r="EK40" i="39"/>
  <c r="EZ19" i="39"/>
  <c r="EB68" i="39"/>
  <c r="EQ37" i="39"/>
  <c r="EV17" i="39"/>
  <c r="EQ69" i="39"/>
  <c r="ET40" i="39"/>
  <c r="EM19" i="39"/>
  <c r="EW68" i="39"/>
  <c r="EW37" i="39"/>
  <c r="EM20" i="39"/>
  <c r="EU59" i="39"/>
  <c r="EY28" i="39"/>
  <c r="EY68" i="39"/>
  <c r="EO48" i="39"/>
  <c r="EY17" i="39"/>
  <c r="EJ49" i="39"/>
  <c r="EB28" i="39"/>
  <c r="EG68" i="39"/>
  <c r="EG37" i="39"/>
  <c r="EX17" i="39"/>
  <c r="EI69" i="39"/>
  <c r="ER49" i="39"/>
  <c r="EJ28" i="39"/>
  <c r="EP68" i="39"/>
  <c r="ET37" i="39"/>
  <c r="EL20" i="39"/>
  <c r="EG59" i="39"/>
  <c r="EK28" i="39"/>
  <c r="EI68" i="39"/>
  <c r="EG48" i="39"/>
  <c r="EI17" i="39"/>
  <c r="EB51" i="39"/>
  <c r="EO67" i="39"/>
  <c r="EC71" i="39"/>
  <c r="EX18" i="39"/>
  <c r="EI22" i="39"/>
  <c r="ER30" i="39"/>
  <c r="EK55" i="39"/>
  <c r="EM71" i="39"/>
  <c r="EZ34" i="39"/>
  <c r="EV51" i="39"/>
  <c r="EO30" i="39"/>
  <c r="EV71" i="39"/>
  <c r="EY18" i="39"/>
  <c r="EO38" i="39"/>
  <c r="ED30" i="39"/>
  <c r="EZ63" i="39"/>
  <c r="EW34" i="39"/>
  <c r="EC51" i="39"/>
  <c r="EM67" i="39"/>
  <c r="EX63" i="39"/>
  <c r="ED11" i="39"/>
  <c r="EB22" i="39"/>
  <c r="EQ30" i="39"/>
  <c r="EJ55" i="39"/>
  <c r="EL71" i="39"/>
  <c r="EP34" i="39"/>
  <c r="EU51" i="39"/>
  <c r="EY30" i="39"/>
  <c r="EC92" i="39"/>
  <c r="EF83" i="39"/>
  <c r="EY35" i="39"/>
  <c r="EJ52" i="39"/>
  <c r="EM72" i="39"/>
  <c r="ET32" i="39"/>
  <c r="EG32" i="39"/>
  <c r="EC62" i="39"/>
  <c r="EI62" i="39"/>
  <c r="EY53" i="39"/>
  <c r="EQ21" i="39"/>
  <c r="EI41" i="39"/>
  <c r="EP59" i="39"/>
  <c r="EV28" i="39"/>
  <c r="ED77" i="39"/>
  <c r="EE48" i="39"/>
  <c r="EP27" i="39"/>
  <c r="EM49" i="39"/>
  <c r="ER19" i="39"/>
  <c r="EM48" i="39"/>
  <c r="EK27" i="39"/>
  <c r="EG20" i="39"/>
  <c r="EJ69" i="39"/>
  <c r="EM40" i="39"/>
  <c r="EE19" i="39"/>
  <c r="ED68" i="39"/>
  <c r="ES37" i="39"/>
  <c r="EK20" i="39"/>
  <c r="ES69" i="39"/>
  <c r="EV40" i="39"/>
  <c r="EQ19" i="39"/>
  <c r="EG58" i="39"/>
  <c r="EY37" i="39"/>
  <c r="EZ78" i="39"/>
  <c r="EB49" i="39"/>
  <c r="EJ19" i="39"/>
  <c r="ES68" i="39"/>
  <c r="EQ48" i="39"/>
  <c r="EK17" i="39"/>
  <c r="EL49" i="39"/>
  <c r="ES19" i="39"/>
  <c r="EX58" i="39"/>
  <c r="EI37" i="39"/>
  <c r="ED17" i="39"/>
  <c r="EK69" i="39"/>
  <c r="EJ40" i="39"/>
  <c r="ET19" i="39"/>
  <c r="EB58" i="39"/>
  <c r="ES27" i="39"/>
  <c r="EI59" i="39"/>
  <c r="EM28" i="39"/>
  <c r="EK68" i="39"/>
  <c r="EC48" i="39"/>
  <c r="EL18" i="39"/>
  <c r="EE51" i="39"/>
  <c r="EQ67" i="39"/>
  <c r="EE71" i="39"/>
  <c r="EB18" i="39"/>
  <c r="EH51" i="39"/>
  <c r="ET30" i="39"/>
  <c r="EM55" i="39"/>
  <c r="EP71" i="39"/>
  <c r="ER34" i="39"/>
  <c r="EF51" i="39"/>
  <c r="ET55" i="39"/>
  <c r="EX71" i="39"/>
  <c r="EM34" i="39"/>
  <c r="EQ38" i="39"/>
  <c r="EP30" i="39"/>
  <c r="EO11" i="39"/>
  <c r="EO34" i="39"/>
  <c r="EO51" i="39"/>
  <c r="EP67" i="39"/>
  <c r="EB63" i="39"/>
  <c r="ET18" i="39"/>
  <c r="EI51" i="39"/>
  <c r="ES30" i="39"/>
  <c r="EL55" i="39"/>
  <c r="EO71" i="39"/>
  <c r="EC34" i="39"/>
  <c r="EY16" i="39"/>
  <c r="EG35" i="39"/>
  <c r="EV82" i="39"/>
  <c r="EK31" i="39"/>
  <c r="ET52" i="39"/>
  <c r="ED10" i="39"/>
  <c r="EZ10" i="39"/>
  <c r="EM80" i="39"/>
  <c r="EP23" i="39"/>
  <c r="EV32" i="39"/>
  <c r="EZ32" i="39"/>
  <c r="EK41" i="39"/>
  <c r="ER59" i="39"/>
  <c r="EX28" i="39"/>
  <c r="ER68" i="39"/>
  <c r="EP48" i="39"/>
  <c r="EY27" i="39"/>
  <c r="EH49" i="39"/>
  <c r="EU19" i="39"/>
  <c r="EX48" i="39"/>
  <c r="EM27" i="39"/>
  <c r="EO20" i="39"/>
  <c r="EL69" i="39"/>
  <c r="EX40" i="39"/>
  <c r="EK19" i="39"/>
  <c r="EO68" i="39"/>
  <c r="EU37" i="39"/>
  <c r="EU20" i="39"/>
  <c r="EU69" i="39"/>
  <c r="EZ40" i="39"/>
  <c r="EX19" i="39"/>
  <c r="EI58" i="39"/>
  <c r="EI27" i="39"/>
  <c r="ED78" i="39"/>
  <c r="ED49" i="39"/>
  <c r="EY19" i="39"/>
  <c r="EU68" i="39"/>
  <c r="EJ48" i="39"/>
  <c r="ER17" i="39"/>
  <c r="EB78" i="39"/>
  <c r="EG49" i="39"/>
  <c r="EO19" i="39"/>
  <c r="EZ58" i="39"/>
  <c r="EK37" i="39"/>
  <c r="ES20" i="39"/>
  <c r="EM69" i="39"/>
  <c r="EL40" i="39"/>
  <c r="EG77" i="39"/>
  <c r="ED58" i="39"/>
  <c r="EU27" i="39"/>
  <c r="EY78" i="39"/>
  <c r="EK59" i="39"/>
  <c r="EP28" i="39"/>
  <c r="EM68" i="39"/>
  <c r="EV37" i="39"/>
  <c r="EI18" i="39"/>
  <c r="ED51" i="39"/>
  <c r="EI30" i="39"/>
  <c r="EC55" i="39"/>
  <c r="EG71" i="39"/>
  <c r="EL34" i="39"/>
  <c r="EJ51" i="39"/>
  <c r="EV30" i="39"/>
  <c r="EP55" i="39"/>
  <c r="EJ71" i="39"/>
  <c r="EV34" i="39"/>
  <c r="ED38" i="39"/>
  <c r="EV55" i="39"/>
  <c r="ES71" i="39"/>
  <c r="EB34" i="39"/>
  <c r="ES38" i="39"/>
  <c r="EC67" i="39"/>
  <c r="EU11" i="39"/>
  <c r="EG34" i="39"/>
  <c r="EG51" i="39"/>
  <c r="EH30" i="39"/>
  <c r="EB55" i="39"/>
  <c r="ED71" i="39"/>
  <c r="EW18" i="39"/>
  <c r="EK51" i="39"/>
  <c r="EU30" i="39"/>
  <c r="EO55" i="39"/>
  <c r="EQ71" i="39"/>
  <c r="EV22" i="39"/>
  <c r="EE38" i="39"/>
  <c r="ES55" i="39"/>
  <c r="EY71" i="39"/>
  <c r="EF14" i="39"/>
  <c r="EJ82" i="39"/>
  <c r="EU54" i="39"/>
  <c r="EK70" i="39"/>
  <c r="EL21" i="39"/>
  <c r="ET61" i="39"/>
  <c r="ED52" i="39"/>
  <c r="ED61" i="39"/>
  <c r="EL72" i="39"/>
  <c r="EI80" i="39"/>
  <c r="EL10" i="39"/>
  <c r="EE60" i="39"/>
  <c r="EM41" i="39"/>
  <c r="ET59" i="39"/>
  <c r="EI19" i="39"/>
  <c r="ET68" i="39"/>
  <c r="EI48" i="39"/>
  <c r="EM17" i="39"/>
  <c r="EC78" i="39"/>
  <c r="EW49" i="39"/>
  <c r="EV19" i="39"/>
  <c r="ER48" i="39"/>
  <c r="EX27" i="39"/>
  <c r="EM78" i="39"/>
  <c r="EB59" i="39"/>
  <c r="ER40" i="39"/>
  <c r="EF77" i="39"/>
  <c r="EC58" i="39"/>
  <c r="ET27" i="39"/>
  <c r="EF59" i="39"/>
  <c r="EL28" i="39"/>
  <c r="EO77" i="39"/>
  <c r="EK58" i="39"/>
  <c r="EP17" i="39"/>
  <c r="EW69" i="39"/>
  <c r="EF49" i="39"/>
  <c r="EH19" i="39"/>
  <c r="EP58" i="39"/>
  <c r="EC37" i="39"/>
  <c r="EP29" i="39"/>
  <c r="EL78" i="39"/>
  <c r="EI49" i="39"/>
  <c r="EF19" i="39"/>
  <c r="EL48" i="39"/>
  <c r="EJ27" i="39"/>
  <c r="EO78" i="39"/>
  <c r="EC59" i="39"/>
  <c r="EW40" i="39"/>
  <c r="ER77" i="39"/>
  <c r="EF58" i="39"/>
  <c r="EW27" i="39"/>
  <c r="EM59" i="39"/>
  <c r="ES28" i="39"/>
  <c r="EX68" i="39"/>
  <c r="EX37" i="39"/>
  <c r="ER18" i="39"/>
  <c r="EV38" i="39"/>
  <c r="EK30" i="39"/>
  <c r="EE55" i="39"/>
  <c r="EB71" i="39"/>
  <c r="EE34" i="39"/>
  <c r="EM51" i="39"/>
  <c r="EG30" i="39"/>
  <c r="ER55" i="39"/>
  <c r="ER11" i="39"/>
  <c r="EU22" i="39"/>
  <c r="EF38" i="39"/>
  <c r="EX55" i="39"/>
  <c r="EE11" i="39"/>
  <c r="EK34" i="39"/>
  <c r="EE67" i="39"/>
  <c r="EY11" i="39"/>
  <c r="EX34" i="39"/>
  <c r="EU38" i="39"/>
  <c r="EJ30" i="39"/>
  <c r="ED55" i="39"/>
  <c r="EF71" i="39"/>
  <c r="EZ18" i="39"/>
  <c r="EP51" i="39"/>
  <c r="EX30" i="39"/>
  <c r="EQ55" i="39"/>
  <c r="ER71" i="39"/>
  <c r="EJ26" i="39"/>
  <c r="EB44" i="39"/>
  <c r="EW24" i="39"/>
  <c r="EY50" i="39"/>
  <c r="EH60" i="39"/>
  <c r="EZ31" i="39"/>
  <c r="EV31" i="39"/>
  <c r="EV42" i="39"/>
  <c r="EW52" i="39"/>
  <c r="ES61" i="39"/>
  <c r="EY61" i="39"/>
  <c r="EP60" i="39"/>
  <c r="EZ29" i="39"/>
  <c r="EV59" i="39"/>
  <c r="EL19" i="39"/>
  <c r="EV68" i="39"/>
  <c r="EK48" i="39"/>
  <c r="EW17" i="39"/>
  <c r="EB69" i="39"/>
  <c r="EC40" i="39"/>
  <c r="EJ77" i="39"/>
  <c r="ET48" i="39"/>
  <c r="EJ17" i="39"/>
  <c r="EP78" i="39"/>
  <c r="ED59" i="39"/>
  <c r="ED28" i="39"/>
  <c r="EH77" i="39"/>
  <c r="EE58" i="39"/>
  <c r="EV27" i="39"/>
  <c r="EH59" i="39"/>
  <c r="EO28" i="39"/>
  <c r="EQ77" i="39"/>
  <c r="EM58" i="39"/>
  <c r="EC17" i="39"/>
  <c r="EY69" i="39"/>
  <c r="EF40" i="39"/>
  <c r="EW77" i="39"/>
  <c r="ER58" i="39"/>
  <c r="EB27" i="39"/>
  <c r="EQ20" i="39"/>
  <c r="EC69" i="39"/>
  <c r="EB40" i="39"/>
  <c r="EW19" i="39"/>
  <c r="EW48" i="39"/>
  <c r="EL27" i="39"/>
  <c r="EQ78" i="39"/>
  <c r="EE59" i="39"/>
  <c r="EY40" i="39"/>
  <c r="ET77" i="39"/>
  <c r="EU48" i="39"/>
  <c r="EH27" i="39"/>
  <c r="EP69" i="39"/>
  <c r="EX49" i="39"/>
  <c r="ED19" i="39"/>
  <c r="EH58" i="39"/>
  <c r="EZ37" i="39"/>
  <c r="ET34" i="39"/>
  <c r="EX38" i="39"/>
  <c r="EM30" i="39"/>
  <c r="EG55" i="39"/>
  <c r="ET11" i="39"/>
  <c r="EJ34" i="39"/>
  <c r="EX51" i="39"/>
  <c r="ES67" i="39"/>
  <c r="EU63" i="39"/>
  <c r="EM11" i="39"/>
  <c r="EZ22" i="39"/>
  <c r="EH38" i="39"/>
  <c r="EZ55" i="39"/>
  <c r="EK11" i="39"/>
  <c r="EK22" i="39"/>
  <c r="EG67" i="39"/>
  <c r="EK18" i="39"/>
  <c r="EE22" i="39"/>
  <c r="EW38" i="39"/>
  <c r="EL30" i="39"/>
  <c r="EF55" i="39"/>
  <c r="EH71" i="39"/>
  <c r="ES18" i="39"/>
  <c r="EC38" i="39"/>
  <c r="ER67" i="39"/>
  <c r="ET63" i="39"/>
  <c r="ER26" i="39"/>
  <c r="EV57" i="39"/>
  <c r="EK81" i="39"/>
  <c r="EI29" i="39"/>
  <c r="EL29" i="39"/>
  <c r="EQ60" i="39"/>
  <c r="ED70" i="39"/>
  <c r="ES21" i="39"/>
  <c r="EL31" i="39"/>
  <c r="EB52" i="39"/>
  <c r="EZ60" i="39"/>
  <c r="EI20" i="39"/>
  <c r="EC49" i="39"/>
  <c r="EP19" i="39"/>
  <c r="EQ58" i="39"/>
  <c r="EB37" i="39"/>
  <c r="EH29" i="39"/>
  <c r="ED69" i="39"/>
  <c r="EE40" i="39"/>
  <c r="EL77" i="39"/>
  <c r="EF37" i="39"/>
  <c r="EB17" i="39"/>
  <c r="ET49" i="39"/>
  <c r="EF28" i="39"/>
  <c r="ES77" i="39"/>
  <c r="EV48" i="39"/>
  <c r="EF17" i="39"/>
  <c r="EJ59" i="39"/>
  <c r="EQ28" i="39"/>
  <c r="EQ68" i="39"/>
  <c r="EF48" i="39"/>
  <c r="EV29" i="39"/>
  <c r="EO59" i="39"/>
  <c r="EH40" i="39"/>
  <c r="EY77" i="39"/>
  <c r="ET58" i="39"/>
  <c r="ED27" i="39"/>
  <c r="EE20" i="39"/>
  <c r="EE69" i="39"/>
  <c r="ED40" i="39"/>
  <c r="EI77" i="39"/>
  <c r="EY48" i="39"/>
  <c r="EO27" i="39"/>
  <c r="ES49" i="39"/>
  <c r="EC28" i="39"/>
  <c r="EV77" i="39"/>
  <c r="EM37" i="39"/>
  <c r="EQ17" i="39"/>
  <c r="ER69" i="39"/>
  <c r="EZ49" i="39"/>
  <c r="EC19" i="39"/>
  <c r="EJ58" i="39"/>
  <c r="EG27" i="39"/>
  <c r="ED22" i="39"/>
  <c r="EZ38" i="39"/>
  <c r="EF30" i="39"/>
  <c r="EI55" i="39"/>
  <c r="EQ11" i="39"/>
  <c r="EL22" i="39"/>
  <c r="EB38" i="39"/>
  <c r="EU67" i="39"/>
  <c r="EW63" i="39"/>
  <c r="EJ18" i="39"/>
  <c r="ET22" i="39"/>
  <c r="EJ38" i="39"/>
  <c r="EG63" i="39"/>
  <c r="EC11" i="39"/>
  <c r="EF22" i="39"/>
  <c r="EC63" i="39"/>
  <c r="EO18" i="39"/>
  <c r="EX22" i="39"/>
  <c r="EY38" i="39"/>
  <c r="EW30" i="39"/>
  <c r="EH55" i="39"/>
  <c r="EI71" i="39"/>
  <c r="EF34" i="39"/>
  <c r="EK65" i="39"/>
  <c r="EP83" i="39"/>
  <c r="EX23" i="39"/>
  <c r="EV53" i="39"/>
  <c r="EJ73" i="39"/>
  <c r="EU12" i="39"/>
  <c r="ET12" i="39"/>
  <c r="EW41" i="39"/>
  <c r="ET33" i="39"/>
  <c r="EU33" i="39"/>
  <c r="EL42" i="39"/>
  <c r="EK50" i="39"/>
  <c r="EW20" i="39"/>
  <c r="EG40" i="39"/>
  <c r="EX77" i="39"/>
  <c r="EU58" i="39"/>
  <c r="EC27" i="39"/>
  <c r="ET20" i="39"/>
  <c r="EZ59" i="39"/>
  <c r="EI40" i="39"/>
  <c r="EF68" i="39"/>
  <c r="EJ37" i="39"/>
  <c r="ER29" i="39"/>
  <c r="EF69" i="39"/>
  <c r="EQ49" i="39"/>
  <c r="ER28" i="39"/>
  <c r="EH68" i="39"/>
  <c r="EO37" i="39"/>
  <c r="EO17" i="39"/>
  <c r="EO69" i="39"/>
  <c r="EY49" i="39"/>
  <c r="EB19" i="39"/>
  <c r="EL68" i="39"/>
  <c r="EB48" i="39"/>
  <c r="EJ20" i="39"/>
  <c r="ES59" i="39"/>
  <c r="EW28" i="39"/>
  <c r="EE77" i="39"/>
  <c r="ED48" i="39"/>
  <c r="ER27" i="39"/>
  <c r="EX20" i="39"/>
  <c r="EY59" i="39"/>
  <c r="EQ40" i="39"/>
  <c r="EM77" i="39"/>
  <c r="EE37" i="39"/>
  <c r="EG17" i="39"/>
  <c r="EG69" i="39"/>
  <c r="EP49" i="39"/>
  <c r="EG28" i="39"/>
  <c r="EE68" i="39"/>
  <c r="ER37" i="39"/>
  <c r="ET17" i="39"/>
  <c r="EV69" i="39"/>
  <c r="EU40" i="39"/>
  <c r="EZ77" i="39"/>
  <c r="EO58" i="39"/>
  <c r="EZ17" i="39"/>
  <c r="EC22" i="39"/>
  <c r="EQ47" i="39"/>
  <c r="EL67" i="39"/>
  <c r="EO63" i="39"/>
  <c r="EU18" i="39"/>
  <c r="EP22" i="39"/>
  <c r="EY47" i="39"/>
  <c r="EY67" i="39"/>
  <c r="EK71" i="39"/>
  <c r="ED34" i="39"/>
  <c r="ES51" i="39"/>
  <c r="EZ30" i="39"/>
  <c r="ET71" i="39"/>
  <c r="EF18" i="39"/>
  <c r="EL38" i="39"/>
  <c r="EB30" i="39"/>
  <c r="EP63" i="39"/>
  <c r="EG18" i="39"/>
  <c r="ES22" i="39"/>
  <c r="EP47" i="39"/>
  <c r="EK67" i="39"/>
  <c r="EM63" i="39"/>
  <c r="EB11" i="39"/>
  <c r="EM22" i="39"/>
  <c r="EZ47" i="39"/>
  <c r="EX67" i="39"/>
  <c r="EZ26" i="39"/>
  <c r="EI60" i="39"/>
  <c r="ED37" i="39"/>
  <c r="EV49" i="39"/>
  <c r="EJ68" i="39"/>
  <c r="EV20" i="39"/>
  <c r="EE28" i="39"/>
  <c r="EQ27" i="39"/>
  <c r="EW67" i="39"/>
  <c r="ES34" i="39"/>
  <c r="EH11" i="39"/>
  <c r="ET51" i="39"/>
  <c r="EU55" i="39"/>
  <c r="ES11" i="39"/>
  <c r="EQ34" i="39"/>
  <c r="ER38" i="39"/>
  <c r="EB67" i="39"/>
  <c r="EP11" i="39"/>
  <c r="ES79" i="39"/>
  <c r="EH22" i="39"/>
  <c r="EY63" i="39"/>
  <c r="EC36" i="39"/>
  <c r="ET60" i="39"/>
  <c r="ER20" i="39"/>
  <c r="EH28" i="39"/>
  <c r="EH48" i="39"/>
  <c r="EW59" i="39"/>
  <c r="EC68" i="39"/>
  <c r="EJ22" i="39"/>
  <c r="EI63" i="39"/>
  <c r="EE63" i="39"/>
  <c r="EL11" i="39"/>
  <c r="EL51" i="39"/>
  <c r="EW55" i="39"/>
  <c r="EW11" i="39"/>
  <c r="EI34" i="39"/>
  <c r="ET38" i="39"/>
  <c r="ED67" i="39"/>
  <c r="EK79" i="39"/>
  <c r="EH79" i="39"/>
  <c r="EU79" i="39"/>
  <c r="EG79" i="39"/>
  <c r="EF63" i="39"/>
  <c r="EG19" i="39"/>
  <c r="EW22" i="39"/>
  <c r="EE18" i="39"/>
  <c r="EM53" i="39"/>
  <c r="EJ42" i="39"/>
  <c r="EX59" i="39"/>
  <c r="EU77" i="39"/>
  <c r="EP20" i="39"/>
  <c r="EO40" i="39"/>
  <c r="EP37" i="39"/>
  <c r="EO47" i="39"/>
  <c r="EQ18" i="39"/>
  <c r="EM18" i="39"/>
  <c r="EZ11" i="39"/>
  <c r="EG38" i="39"/>
  <c r="EY55" i="39"/>
  <c r="EF11" i="39"/>
  <c r="EY22" i="39"/>
  <c r="EF67" i="39"/>
  <c r="EX79" i="39"/>
  <c r="ER79" i="39"/>
  <c r="EI79" i="39"/>
  <c r="EV58" i="39"/>
  <c r="EH63" i="39"/>
  <c r="EM38" i="39"/>
  <c r="ET81" i="39"/>
  <c r="EI50" i="39"/>
  <c r="EP40" i="39"/>
  <c r="EZ48" i="39"/>
  <c r="EQ59" i="39"/>
  <c r="EK77" i="39"/>
  <c r="EL17" i="39"/>
  <c r="EJ67" i="39"/>
  <c r="EQ51" i="39"/>
  <c r="EQ22" i="39"/>
  <c r="ET67" i="39"/>
  <c r="EH18" i="39"/>
  <c r="EI38" i="39"/>
  <c r="EQ63" i="39"/>
  <c r="ED18" i="39"/>
  <c r="ER22" i="39"/>
  <c r="EH67" i="39"/>
  <c r="EW79" i="39"/>
  <c r="EE79" i="39"/>
  <c r="EL59" i="39"/>
  <c r="EC18" i="39"/>
  <c r="EW71" i="39"/>
  <c r="EV79" i="39"/>
  <c r="EG24" i="39"/>
  <c r="EF20" i="39"/>
  <c r="EZ68" i="39"/>
  <c r="ES17" i="39"/>
  <c r="EU28" i="39"/>
  <c r="ES48" i="39"/>
  <c r="ET69" i="39"/>
  <c r="EL63" i="39"/>
  <c r="EC47" i="39"/>
  <c r="EM47" i="39"/>
  <c r="EV67" i="39"/>
  <c r="EO22" i="39"/>
  <c r="EK38" i="39"/>
  <c r="ES63" i="39"/>
  <c r="EV18" i="39"/>
  <c r="EZ51" i="39"/>
  <c r="ED63" i="39"/>
  <c r="EJ79" i="39"/>
  <c r="EL41" i="39"/>
  <c r="EK63" i="39"/>
  <c r="EC30" i="39"/>
  <c r="EF41" i="39"/>
  <c r="EE49" i="39"/>
  <c r="EH37" i="39"/>
  <c r="EC77" i="39"/>
  <c r="EZ27" i="39"/>
  <c r="ES40" i="39"/>
  <c r="EG11" i="39"/>
  <c r="ER63" i="39"/>
  <c r="EI67" i="39"/>
  <c r="EV63" i="39"/>
  <c r="EG22" i="39"/>
  <c r="EB47" i="39"/>
  <c r="EU71" i="39"/>
  <c r="EP18" i="39"/>
  <c r="EW51" i="39"/>
  <c r="EL47" i="39"/>
  <c r="EE17" i="39"/>
  <c r="EP77" i="39"/>
  <c r="ED47" i="39"/>
  <c r="ET79" i="39"/>
  <c r="EC60" i="39"/>
  <c r="ES58" i="39"/>
  <c r="EZ28" i="39"/>
  <c r="EF27" i="39"/>
  <c r="EU49" i="39"/>
  <c r="EL58" i="39"/>
  <c r="EY51" i="39"/>
  <c r="EX11" i="39"/>
  <c r="EJ63" i="39"/>
  <c r="ER51" i="39"/>
  <c r="EZ67" i="39"/>
  <c r="EZ71" i="39"/>
  <c r="EY34" i="39"/>
  <c r="EP38" i="39"/>
  <c r="EE30" i="39"/>
  <c r="EJ11" i="39"/>
  <c r="EF79" i="39"/>
  <c r="EH17" i="39"/>
  <c r="CL15" i="39"/>
  <c r="EJ39" i="39" s="1"/>
  <c r="CL14" i="39"/>
  <c r="EL26" i="39" s="1"/>
  <c r="CH29" i="39"/>
  <c r="CP29" i="39"/>
  <c r="CK29" i="39"/>
  <c r="CK25" i="39"/>
  <c r="CP25" i="39"/>
  <c r="CH25" i="39"/>
  <c r="CH21" i="39"/>
  <c r="CP21" i="39"/>
  <c r="CK21" i="39"/>
  <c r="CK17" i="39"/>
  <c r="CH17" i="39"/>
  <c r="CP17" i="39"/>
  <c r="CH14" i="39"/>
  <c r="CP14" i="39"/>
  <c r="CP28" i="39"/>
  <c r="CH28" i="39"/>
  <c r="CK28" i="39"/>
  <c r="CK24" i="39"/>
  <c r="CH24" i="39"/>
  <c r="CP24" i="39"/>
  <c r="CH20" i="39"/>
  <c r="CP20" i="39"/>
  <c r="CK20" i="39"/>
  <c r="CK16" i="39"/>
  <c r="CH16" i="39"/>
  <c r="CP16" i="39"/>
  <c r="CP27" i="39"/>
  <c r="CK27" i="39"/>
  <c r="CH27" i="39"/>
  <c r="CH23" i="39"/>
  <c r="CK23" i="39"/>
  <c r="CP23" i="39"/>
  <c r="CP19" i="39"/>
  <c r="CK19" i="39"/>
  <c r="CH19" i="39"/>
  <c r="CH15" i="39"/>
  <c r="CK15" i="39"/>
  <c r="CP15" i="39"/>
  <c r="CH30" i="39"/>
  <c r="CP30" i="39"/>
  <c r="CK30" i="39"/>
  <c r="CP26" i="39"/>
  <c r="CK26" i="39"/>
  <c r="CH26" i="39"/>
  <c r="CH22" i="39"/>
  <c r="CP22" i="39"/>
  <c r="CK22" i="39"/>
  <c r="CP18" i="39"/>
  <c r="CK18" i="39"/>
  <c r="CH18" i="39"/>
  <c r="GO45" i="39" s="1" a="1"/>
  <c r="GO45" i="39" s="1"/>
  <c r="EK47" i="39" l="1"/>
  <c r="EE47" i="39"/>
  <c r="EJ47" i="39"/>
  <c r="EH47" i="39"/>
  <c r="EF47" i="39"/>
  <c r="EI47" i="39"/>
  <c r="EG47" i="39"/>
  <c r="EI12" i="39"/>
  <c r="CU24" i="39"/>
  <c r="CW24" i="39" s="1"/>
  <c r="CU17" i="39"/>
  <c r="CW17" i="39" s="1"/>
  <c r="CU14" i="39"/>
  <c r="CW14" i="39" s="1"/>
  <c r="CU23" i="39"/>
  <c r="CW23" i="39" s="1"/>
  <c r="CU26" i="39"/>
  <c r="CW26" i="39" s="1"/>
  <c r="CU16" i="39"/>
  <c r="CW16" i="39" s="1"/>
  <c r="CU29" i="39"/>
  <c r="CW29" i="39" s="1"/>
  <c r="CU19" i="39"/>
  <c r="CW19" i="39" s="1"/>
  <c r="CU18" i="39"/>
  <c r="CW18" i="39" s="1"/>
  <c r="GN17" i="39" s="1"/>
  <c r="CU21" i="39"/>
  <c r="CW21" i="39" s="1"/>
  <c r="CU30" i="39"/>
  <c r="CW30" i="39" s="1"/>
  <c r="CU28" i="39"/>
  <c r="CW28" i="39" s="1"/>
  <c r="CU22" i="39"/>
  <c r="CW22" i="39" s="1"/>
  <c r="GN16" i="39" s="1"/>
  <c r="GO16" i="39" s="1" a="1"/>
  <c r="GO16" i="39" s="1"/>
  <c r="CU20" i="39"/>
  <c r="CW20" i="39" s="1"/>
  <c r="CU27" i="39"/>
  <c r="CW27" i="39" s="1"/>
  <c r="CU25" i="39"/>
  <c r="CW25" i="39" s="1"/>
  <c r="CU15" i="39"/>
  <c r="CW15" i="39" s="1"/>
  <c r="EI13" i="39"/>
  <c r="GN21" i="39"/>
  <c r="GO21" i="39" s="1" a="1"/>
  <c r="GO21" i="39" s="1"/>
  <c r="EI21" i="39"/>
  <c r="EI14" i="39"/>
  <c r="GN14" i="39"/>
  <c r="GO14" i="39" s="1" a="1"/>
  <c r="GO14" i="39" s="1"/>
  <c r="GP45" i="39"/>
  <c r="HH45" i="39"/>
  <c r="GO43" i="39" a="1"/>
  <c r="GO43" i="39" s="1"/>
  <c r="EF43" i="39"/>
  <c r="EI43" i="39"/>
  <c r="EJ43" i="39"/>
  <c r="EG43" i="39"/>
  <c r="EE43" i="39"/>
  <c r="EH43" i="39"/>
  <c r="EK43" i="39"/>
  <c r="EJ78" i="39"/>
  <c r="EE78" i="39"/>
  <c r="EK78" i="39"/>
  <c r="EI11" i="39"/>
  <c r="GO39" i="39" a="1"/>
  <c r="GO39" i="39" s="1"/>
  <c r="GP39" i="39" s="1"/>
  <c r="EI84" i="39"/>
  <c r="EI15" i="39"/>
  <c r="EH78" i="39"/>
  <c r="EF78" i="39"/>
  <c r="EG78" i="39"/>
  <c r="EI78" i="39"/>
  <c r="EL84" i="39"/>
  <c r="EF84" i="39"/>
  <c r="EH84" i="39"/>
  <c r="ED84" i="39"/>
  <c r="EJ84" i="39"/>
  <c r="EC84" i="39"/>
  <c r="EB84" i="39"/>
  <c r="EE84" i="39"/>
  <c r="EM84" i="39"/>
  <c r="EK84" i="39"/>
  <c r="GO53" i="39" a="1"/>
  <c r="GO53" i="39" s="1"/>
  <c r="GP53" i="39" s="1"/>
  <c r="EH34" i="39"/>
  <c r="EG84" i="39"/>
  <c r="ED9" i="39"/>
  <c r="EK53" i="39"/>
  <c r="EB9" i="39"/>
  <c r="EH9" i="39"/>
  <c r="EI9" i="39"/>
  <c r="EC9" i="39"/>
  <c r="EL9" i="39"/>
  <c r="EF9" i="39"/>
  <c r="EK9" i="39"/>
  <c r="EG9" i="39"/>
  <c r="EM9" i="39"/>
  <c r="EE9" i="39"/>
  <c r="EJ9" i="39"/>
  <c r="GO17" i="39" l="1" a="1"/>
  <c r="GO17" i="39" s="1"/>
  <c r="HH17" i="39" s="1"/>
  <c r="GN13" i="39"/>
  <c r="GO13" i="39" s="1" a="1"/>
  <c r="GO13" i="39" s="1"/>
  <c r="HH13" i="39" s="1"/>
  <c r="GP16" i="39"/>
  <c r="HH16" i="39"/>
  <c r="GN15" i="39"/>
  <c r="GO15" i="39" s="1" a="1"/>
  <c r="GO15" i="39" s="1"/>
  <c r="HH15" i="39" s="1"/>
  <c r="GN47" i="39"/>
  <c r="GO47" i="39" s="1" a="1"/>
  <c r="GO47" i="39" s="1"/>
  <c r="GN26" i="39"/>
  <c r="GO26" i="39" s="1" a="1"/>
  <c r="GO26" i="39" s="1"/>
  <c r="HH26" i="39" s="1"/>
  <c r="GN12" i="39"/>
  <c r="GO12" i="39" s="1" a="1"/>
  <c r="GO12" i="39" s="1"/>
  <c r="GP21" i="39"/>
  <c r="HH21" i="39"/>
  <c r="GP14" i="39"/>
  <c r="HH14" i="39"/>
  <c r="GN11" i="39"/>
  <c r="GO11" i="39" s="1" a="1"/>
  <c r="GO11" i="39" s="1"/>
  <c r="HH11" i="39" s="1"/>
  <c r="GN84" i="39"/>
  <c r="GO84" i="39" s="1" a="1"/>
  <c r="GO84" i="39" s="1"/>
  <c r="HH84" i="39" s="1"/>
  <c r="GN9" i="39"/>
  <c r="GO9" i="39" s="1" a="1"/>
  <c r="GO9" i="39" s="1"/>
  <c r="HH9" i="39" s="1"/>
  <c r="GP43" i="39"/>
  <c r="HH43" i="39"/>
  <c r="HH39" i="39"/>
  <c r="HH53" i="39"/>
  <c r="GP17" i="39" l="1"/>
  <c r="GP13" i="39"/>
  <c r="GP47" i="39"/>
  <c r="HH47" i="39"/>
  <c r="GP15" i="39"/>
  <c r="GP26" i="39"/>
  <c r="GP12" i="39"/>
  <c r="HH12" i="39"/>
  <c r="GP11" i="39"/>
  <c r="GP9" i="39"/>
  <c r="GP84" i="39"/>
  <c r="U152" i="7"/>
  <c r="AN152" i="7" s="1"/>
  <c r="Q308" i="7" l="1"/>
  <c r="T308" i="7" s="1"/>
  <c r="Y137" i="7" l="1"/>
  <c r="X8" i="32" l="1"/>
  <c r="Y8" i="32"/>
  <c r="Z8" i="32"/>
  <c r="X9" i="32"/>
  <c r="H26" i="39" s="1" a="1"/>
  <c r="H26" i="39" s="1"/>
  <c r="V26" i="39" s="1"/>
  <c r="Y9" i="32"/>
  <c r="Z9" i="32"/>
  <c r="H22" i="39" a="1"/>
  <c r="H22" i="39" s="1"/>
  <c r="H24" i="39" a="1"/>
  <c r="H24" i="39" s="1"/>
  <c r="V24" i="39" s="1"/>
  <c r="H30" i="39" a="1"/>
  <c r="H30" i="39" s="1"/>
  <c r="V30" i="39" s="1"/>
  <c r="H21" i="39" a="1"/>
  <c r="H21" i="39" s="1"/>
  <c r="V21" i="39" s="1"/>
  <c r="H23" i="39" a="1"/>
  <c r="H23" i="39" s="1"/>
  <c r="V23" i="39" s="1"/>
  <c r="H16" i="39" a="1"/>
  <c r="H16" i="39" s="1"/>
  <c r="V16" i="39" s="1"/>
  <c r="H20" i="39" a="1"/>
  <c r="H20" i="39" s="1"/>
  <c r="V20" i="39" s="1"/>
  <c r="H29" i="39" a="1"/>
  <c r="H29" i="39" s="1"/>
  <c r="V29" i="39" s="1"/>
  <c r="H27" i="39" a="1"/>
  <c r="H27" i="39" s="1"/>
  <c r="V27" i="39" s="1"/>
  <c r="H28" i="39" a="1"/>
  <c r="H28" i="39" s="1"/>
  <c r="V28" i="39" s="1"/>
  <c r="H17" i="39" a="1"/>
  <c r="H17" i="39" s="1"/>
  <c r="V17" i="39" s="1"/>
  <c r="H18" i="39" a="1"/>
  <c r="H18" i="39" s="1"/>
  <c r="X7" i="32"/>
  <c r="Y7" i="32"/>
  <c r="Z7" i="32"/>
  <c r="V18" i="39" l="1"/>
  <c r="CJ18" i="39"/>
  <c r="V22" i="39"/>
  <c r="CJ22" i="39"/>
  <c r="FP16" i="39" s="1"/>
  <c r="FP45" i="39"/>
  <c r="FP115" i="39"/>
  <c r="CS27" i="39"/>
  <c r="CT27" i="39"/>
  <c r="CS30" i="39"/>
  <c r="CT30" i="39"/>
  <c r="CS23" i="39"/>
  <c r="CT23" i="39"/>
  <c r="CS29" i="39"/>
  <c r="CT29" i="39"/>
  <c r="CS16" i="39"/>
  <c r="CT16" i="39"/>
  <c r="CS21" i="39"/>
  <c r="CT21" i="39"/>
  <c r="CS20" i="39"/>
  <c r="CT20" i="39"/>
  <c r="CS22" i="39"/>
  <c r="CT22" i="39"/>
  <c r="CS18" i="39"/>
  <c r="CT18" i="39"/>
  <c r="CS28" i="39"/>
  <c r="CT28" i="39"/>
  <c r="CS26" i="39"/>
  <c r="CT26" i="39"/>
  <c r="CS17" i="39"/>
  <c r="CT17" i="39"/>
  <c r="CS24" i="39"/>
  <c r="CT24" i="39"/>
  <c r="CN23" i="39"/>
  <c r="CO23" i="39"/>
  <c r="CO27" i="39"/>
  <c r="CN27" i="39"/>
  <c r="CN30" i="39"/>
  <c r="CO30" i="39"/>
  <c r="CN24" i="39"/>
  <c r="CO24" i="39"/>
  <c r="CN26" i="39"/>
  <c r="CO26" i="39"/>
  <c r="CN18" i="39"/>
  <c r="CO18" i="39"/>
  <c r="CN16" i="39"/>
  <c r="CO16" i="39"/>
  <c r="CN29" i="39"/>
  <c r="CO29" i="39"/>
  <c r="CN20" i="39"/>
  <c r="CO20" i="39"/>
  <c r="CN22" i="39"/>
  <c r="EU16" i="39" s="1"/>
  <c r="CO22" i="39"/>
  <c r="CN17" i="39"/>
  <c r="CO17" i="39"/>
  <c r="CN21" i="39"/>
  <c r="CO21" i="39"/>
  <c r="CN28" i="39"/>
  <c r="CO28" i="39"/>
  <c r="H15" i="39" a="1"/>
  <c r="H15" i="39" s="1"/>
  <c r="V15" i="39" s="1"/>
  <c r="H25" i="39" a="1"/>
  <c r="H25" i="39" s="1"/>
  <c r="V25" i="39" s="1"/>
  <c r="H14" i="39" a="1"/>
  <c r="H14" i="39" s="1"/>
  <c r="DS16" i="39" l="1"/>
  <c r="DO16" i="39"/>
  <c r="DP16" i="39"/>
  <c r="DZ16" i="39"/>
  <c r="DU16" i="39"/>
  <c r="DR16" i="39"/>
  <c r="DT16" i="39"/>
  <c r="DW16" i="39"/>
  <c r="DX16" i="39"/>
  <c r="DY16" i="39"/>
  <c r="DQ16" i="39"/>
  <c r="DV16" i="39"/>
  <c r="V14" i="39"/>
  <c r="CJ14" i="39"/>
  <c r="FP47" i="39" s="1"/>
  <c r="DZ47" i="39"/>
  <c r="DP45" i="39"/>
  <c r="DS45" i="39"/>
  <c r="DT45" i="39"/>
  <c r="DW45" i="39"/>
  <c r="DY45" i="39"/>
  <c r="DR45" i="39"/>
  <c r="DU45" i="39"/>
  <c r="DV45" i="39"/>
  <c r="DZ45" i="39"/>
  <c r="DQ45" i="39"/>
  <c r="DX45" i="39"/>
  <c r="DO45" i="39"/>
  <c r="EV45" i="39"/>
  <c r="EW45" i="39"/>
  <c r="ER45" i="39"/>
  <c r="ET45" i="39"/>
  <c r="ES45" i="39"/>
  <c r="EU45" i="39"/>
  <c r="EX45" i="39"/>
  <c r="DU115" i="39"/>
  <c r="DX115" i="39"/>
  <c r="DO115" i="39"/>
  <c r="DR115" i="39"/>
  <c r="DS115" i="39"/>
  <c r="DT115" i="39"/>
  <c r="DV115" i="39"/>
  <c r="DQ115" i="39"/>
  <c r="DP115" i="39"/>
  <c r="DW115" i="39"/>
  <c r="DZ115" i="39"/>
  <c r="DY115" i="39"/>
  <c r="EZ115" i="39"/>
  <c r="ES115" i="39"/>
  <c r="EP115" i="39"/>
  <c r="EQ115" i="39"/>
  <c r="EV115" i="39"/>
  <c r="ER115" i="39"/>
  <c r="EY115" i="39"/>
  <c r="ET115" i="39"/>
  <c r="EW115" i="39"/>
  <c r="EX115" i="39"/>
  <c r="EU115" i="39"/>
  <c r="EO115" i="39"/>
  <c r="EU34" i="39"/>
  <c r="DY11" i="39"/>
  <c r="CS14" i="39"/>
  <c r="DY47" i="39" s="1"/>
  <c r="CT14" i="39"/>
  <c r="CS25" i="39"/>
  <c r="CT25" i="39"/>
  <c r="CS15" i="39"/>
  <c r="CT15" i="39"/>
  <c r="CN14" i="39"/>
  <c r="EW47" i="39" s="1"/>
  <c r="CO14" i="39"/>
  <c r="CN25" i="39"/>
  <c r="CO25" i="39"/>
  <c r="CN15" i="39"/>
  <c r="CO15" i="39"/>
  <c r="EC6" i="39"/>
  <c r="I11" i="42" s="1"/>
  <c r="EM6" i="39"/>
  <c r="AM11" i="42" s="1"/>
  <c r="EL6" i="39"/>
  <c r="AJ11" i="42" s="1"/>
  <c r="EF6" i="39"/>
  <c r="R11" i="42" s="1"/>
  <c r="EE6" i="39"/>
  <c r="O11" i="42" s="1"/>
  <c r="EG6" i="39"/>
  <c r="U11" i="42" s="1"/>
  <c r="EJ6" i="39"/>
  <c r="AD11" i="42" s="1"/>
  <c r="FP13" i="39" l="1"/>
  <c r="ET47" i="39"/>
  <c r="EV47" i="39"/>
  <c r="DS47" i="39"/>
  <c r="DW47" i="39"/>
  <c r="DX47" i="39"/>
  <c r="ER47" i="39"/>
  <c r="DR47" i="39"/>
  <c r="DP47" i="39"/>
  <c r="EX47" i="39"/>
  <c r="DQ47" i="39"/>
  <c r="DU47" i="39"/>
  <c r="ES47" i="39"/>
  <c r="DT47" i="39"/>
  <c r="DO47" i="39"/>
  <c r="EU47" i="39"/>
  <c r="DV47" i="39"/>
  <c r="DP12" i="39"/>
  <c r="DR12" i="39"/>
  <c r="DU12" i="39"/>
  <c r="DO12" i="39"/>
  <c r="DY12" i="39"/>
  <c r="DV12" i="39"/>
  <c r="DT12" i="39"/>
  <c r="DS12" i="39"/>
  <c r="DX12" i="39"/>
  <c r="DW12" i="39"/>
  <c r="DZ12" i="39"/>
  <c r="DQ12" i="39"/>
  <c r="FP26" i="39"/>
  <c r="FP12" i="39"/>
  <c r="EY26" i="39"/>
  <c r="EV12" i="39"/>
  <c r="DT26" i="39"/>
  <c r="DU26" i="39"/>
  <c r="DP26" i="39"/>
  <c r="DQ26" i="39"/>
  <c r="DO26" i="39"/>
  <c r="DW26" i="39"/>
  <c r="DZ26" i="39"/>
  <c r="DR26" i="39"/>
  <c r="DY26" i="39"/>
  <c r="DX26" i="39"/>
  <c r="DV26" i="39"/>
  <c r="DS26" i="39"/>
  <c r="EV21" i="39"/>
  <c r="EV13" i="39"/>
  <c r="DQ13" i="39"/>
  <c r="DY13" i="39"/>
  <c r="DT13" i="39"/>
  <c r="DR13" i="39"/>
  <c r="DZ13" i="39"/>
  <c r="DO13" i="39"/>
  <c r="DW13" i="39"/>
  <c r="DS13" i="39"/>
  <c r="DU13" i="39"/>
  <c r="DX13" i="39"/>
  <c r="DP13" i="39"/>
  <c r="DV13" i="39"/>
  <c r="DQ21" i="39"/>
  <c r="DP21" i="39"/>
  <c r="DX21" i="39"/>
  <c r="DZ21" i="39"/>
  <c r="DV21" i="39"/>
  <c r="DY21" i="39"/>
  <c r="DR21" i="39"/>
  <c r="DO21" i="39"/>
  <c r="DT21" i="39"/>
  <c r="DS21" i="39"/>
  <c r="DW21" i="39"/>
  <c r="DU21" i="39"/>
  <c r="FP43" i="39"/>
  <c r="FP21" i="39"/>
  <c r="DX11" i="39"/>
  <c r="DS14" i="39"/>
  <c r="DP14" i="39"/>
  <c r="DV14" i="39"/>
  <c r="DY14" i="39"/>
  <c r="DO14" i="39"/>
  <c r="DW14" i="39"/>
  <c r="DU14" i="39"/>
  <c r="DX14" i="39"/>
  <c r="DT14" i="39"/>
  <c r="DR14" i="39"/>
  <c r="DZ14" i="39"/>
  <c r="DQ14" i="39"/>
  <c r="FP11" i="39"/>
  <c r="FP14" i="39"/>
  <c r="EV11" i="39"/>
  <c r="EV14" i="39"/>
  <c r="DV11" i="39"/>
  <c r="DQ43" i="39"/>
  <c r="DR43" i="39"/>
  <c r="DO43" i="39"/>
  <c r="DV43" i="39"/>
  <c r="DX43" i="39"/>
  <c r="DW43" i="39"/>
  <c r="DY43" i="39"/>
  <c r="DU43" i="39"/>
  <c r="DZ43" i="39"/>
  <c r="DS43" i="39"/>
  <c r="DT43" i="39"/>
  <c r="DP43" i="39"/>
  <c r="EW39" i="39"/>
  <c r="EW43" i="39"/>
  <c r="ET43" i="39"/>
  <c r="ER43" i="39"/>
  <c r="EU43" i="39"/>
  <c r="EX43" i="39"/>
  <c r="ES43" i="39"/>
  <c r="EV43" i="39"/>
  <c r="DP11" i="39"/>
  <c r="DZ11" i="39"/>
  <c r="DO11" i="39"/>
  <c r="DQ11" i="39"/>
  <c r="DS11" i="39"/>
  <c r="DT11" i="39"/>
  <c r="DU11" i="39"/>
  <c r="DW11" i="39"/>
  <c r="DR11" i="39"/>
  <c r="FP39" i="39"/>
  <c r="DO39" i="39"/>
  <c r="DP39" i="39"/>
  <c r="DU39" i="39"/>
  <c r="DW39" i="39"/>
  <c r="DX39" i="39"/>
  <c r="DT39" i="39"/>
  <c r="DQ39" i="39"/>
  <c r="DR39" i="39"/>
  <c r="DY39" i="39"/>
  <c r="DZ39" i="39"/>
  <c r="DS39" i="39"/>
  <c r="DV39" i="39"/>
  <c r="DO84" i="39"/>
  <c r="EX84" i="39"/>
  <c r="EU17" i="39"/>
  <c r="EV15" i="39"/>
  <c r="DT15" i="39"/>
  <c r="DS15" i="39"/>
  <c r="DV15" i="39"/>
  <c r="DX15" i="39"/>
  <c r="DO15" i="39"/>
  <c r="DY15" i="39"/>
  <c r="DU15" i="39"/>
  <c r="DR15" i="39"/>
  <c r="DQ15" i="39"/>
  <c r="DZ15" i="39"/>
  <c r="DW15" i="39"/>
  <c r="DP15" i="39"/>
  <c r="FP17" i="39"/>
  <c r="FP15" i="39"/>
  <c r="DT17" i="39"/>
  <c r="DO17" i="39"/>
  <c r="DQ17" i="39"/>
  <c r="DU17" i="39"/>
  <c r="DX17" i="39"/>
  <c r="DZ17" i="39"/>
  <c r="DR17" i="39"/>
  <c r="DV17" i="39"/>
  <c r="DS17" i="39"/>
  <c r="DP17" i="39"/>
  <c r="DY17" i="39"/>
  <c r="DW17" i="39"/>
  <c r="DX53" i="39"/>
  <c r="DW78" i="39"/>
  <c r="DU78" i="39"/>
  <c r="DZ78" i="39"/>
  <c r="DP78" i="39"/>
  <c r="DS78" i="39"/>
  <c r="DQ78" i="39"/>
  <c r="DX78" i="39"/>
  <c r="DR78" i="39"/>
  <c r="DV78" i="39"/>
  <c r="DT78" i="39"/>
  <c r="DO78" i="39"/>
  <c r="DY78" i="39"/>
  <c r="FP53" i="39"/>
  <c r="FP78" i="39"/>
  <c r="EX53" i="39"/>
  <c r="ES78" i="39"/>
  <c r="EW78" i="39"/>
  <c r="EV78" i="39"/>
  <c r="ER78" i="39"/>
  <c r="ET78" i="39"/>
  <c r="EU78" i="39"/>
  <c r="EX78" i="39"/>
  <c r="DZ84" i="39"/>
  <c r="ET84" i="39"/>
  <c r="FP84" i="39"/>
  <c r="EV84" i="39"/>
  <c r="EZ84" i="39"/>
  <c r="EP84" i="39"/>
  <c r="DU84" i="39"/>
  <c r="EW84" i="39"/>
  <c r="DW84" i="39"/>
  <c r="ES84" i="39"/>
  <c r="DS84" i="39"/>
  <c r="DT84" i="39"/>
  <c r="EU84" i="39"/>
  <c r="DQ84" i="39"/>
  <c r="DX84" i="39"/>
  <c r="ER84" i="39"/>
  <c r="DY84" i="39"/>
  <c r="DR84" i="39"/>
  <c r="EQ84" i="39"/>
  <c r="EY84" i="39"/>
  <c r="DV84" i="39"/>
  <c r="DP84" i="39"/>
  <c r="EO84" i="39"/>
  <c r="FP9" i="39"/>
  <c r="EU9" i="39"/>
  <c r="DU9" i="39"/>
  <c r="DR9" i="39"/>
  <c r="DV9" i="39"/>
  <c r="EZ9" i="39"/>
  <c r="DZ9" i="39"/>
  <c r="EW9" i="39"/>
  <c r="DS9" i="39"/>
  <c r="EO9" i="39"/>
  <c r="DX9" i="39"/>
  <c r="ES9" i="39"/>
  <c r="EQ9" i="39"/>
  <c r="EP9" i="39"/>
  <c r="DY9" i="39"/>
  <c r="ET9" i="39"/>
  <c r="EY9" i="39"/>
  <c r="DW9" i="39"/>
  <c r="EV9" i="39"/>
  <c r="ER9" i="39"/>
  <c r="EX9" i="39"/>
  <c r="DP9" i="39"/>
  <c r="DO9" i="39"/>
  <c r="DT9" i="39"/>
  <c r="DQ9" i="39"/>
  <c r="EI6" i="39"/>
  <c r="AA11" i="42" s="1"/>
  <c r="ED6" i="39"/>
  <c r="L11" i="42" s="1"/>
  <c r="EK6" i="39"/>
  <c r="AG11" i="42" s="1"/>
  <c r="EB6" i="39"/>
  <c r="F11" i="42" s="1"/>
  <c r="DM8" i="39"/>
  <c r="AL12" i="42" s="1"/>
  <c r="DF8" i="39"/>
  <c r="Q12" i="42" s="1"/>
  <c r="DJ8" i="39"/>
  <c r="AC12" i="42" s="1"/>
  <c r="DC8" i="39"/>
  <c r="H12" i="42" s="1"/>
  <c r="DE8" i="39"/>
  <c r="N12" i="42" s="1"/>
  <c r="DK8" i="39"/>
  <c r="AF12" i="42" s="1"/>
  <c r="DD8" i="39"/>
  <c r="K12" i="42" s="1"/>
  <c r="DL8" i="39"/>
  <c r="AI12" i="42" s="1"/>
  <c r="DH8" i="39"/>
  <c r="W12" i="42" s="1"/>
  <c r="DG8" i="39"/>
  <c r="T12" i="42" s="1"/>
  <c r="DB8" i="39"/>
  <c r="E12" i="42" s="1"/>
  <c r="DI8" i="39"/>
  <c r="Z12" i="42" s="1"/>
  <c r="FB8" i="39"/>
  <c r="EG4" i="39"/>
  <c r="U10" i="42" s="1"/>
  <c r="EH6" i="39"/>
  <c r="X11" i="42" s="1"/>
  <c r="EK4" i="39"/>
  <c r="AG10" i="42" s="1"/>
  <c r="ED4" i="39"/>
  <c r="L10" i="42" s="1"/>
  <c r="DD4" i="39"/>
  <c r="K10" i="42" s="1"/>
  <c r="DB6" i="39"/>
  <c r="E11" i="42" s="1"/>
  <c r="EB4" i="39"/>
  <c r="F10" i="42" s="1"/>
  <c r="EI4" i="39"/>
  <c r="AA10" i="42" s="1"/>
  <c r="DH4" i="39"/>
  <c r="W10" i="42" s="1"/>
  <c r="DF4" i="39"/>
  <c r="Q10" i="42" s="1"/>
  <c r="EM4" i="39"/>
  <c r="AM10" i="42" s="1"/>
  <c r="N10" i="42"/>
  <c r="DC4" i="39"/>
  <c r="H10" i="42" s="1"/>
  <c r="FB6" i="39"/>
  <c r="FB4" i="39"/>
  <c r="B3" i="42" s="1"/>
  <c r="EH4" i="39"/>
  <c r="X10" i="42" s="1"/>
  <c r="DG4" i="39"/>
  <c r="T10" i="42" s="1"/>
  <c r="DL4" i="39"/>
  <c r="AI10" i="42" s="1"/>
  <c r="EJ4" i="39"/>
  <c r="AD10" i="42" s="1"/>
  <c r="DI4" i="39"/>
  <c r="Z10" i="42" s="1"/>
  <c r="DB4" i="39"/>
  <c r="E10" i="42" s="1"/>
  <c r="EF4" i="39"/>
  <c r="R10" i="42" s="1"/>
  <c r="EL4" i="39"/>
  <c r="AJ10" i="42" s="1"/>
  <c r="DJ4" i="39"/>
  <c r="AC10" i="42" s="1"/>
  <c r="EE4" i="39"/>
  <c r="O10" i="42" s="1"/>
  <c r="DK4" i="39"/>
  <c r="AF10" i="42" s="1"/>
  <c r="EC4" i="39"/>
  <c r="I10" i="42" s="1"/>
  <c r="DM4" i="39"/>
  <c r="AL10" i="42" s="1"/>
  <c r="BL69" i="7" a="1"/>
  <c r="BL69" i="7" s="1"/>
  <c r="BL70" i="7" a="1"/>
  <c r="BL70" i="7" s="1"/>
  <c r="BK70" i="7" s="1"/>
  <c r="BL71" i="7" a="1"/>
  <c r="BL71" i="7" s="1"/>
  <c r="BK71" i="7" s="1"/>
  <c r="BL72" i="7" a="1"/>
  <c r="BL72" i="7" s="1"/>
  <c r="BK72" i="7" s="1"/>
  <c r="BL73" i="7" a="1"/>
  <c r="BL73" i="7" s="1"/>
  <c r="BK73" i="7" s="1"/>
  <c r="BL74" i="7" a="1"/>
  <c r="BL74" i="7" s="1"/>
  <c r="BK74" i="7" s="1"/>
  <c r="BL75" i="7" a="1"/>
  <c r="BL75" i="7" s="1"/>
  <c r="BK75" i="7" s="1"/>
  <c r="BL76" i="7" a="1"/>
  <c r="BL76" i="7" s="1"/>
  <c r="BK76" i="7" s="1"/>
  <c r="BL77" i="7" a="1"/>
  <c r="BL77" i="7" s="1"/>
  <c r="BK77" i="7" s="1"/>
  <c r="BL78" i="7" a="1"/>
  <c r="BL78" i="7" s="1"/>
  <c r="BK78" i="7" s="1"/>
  <c r="BL79" i="7" a="1"/>
  <c r="BL79" i="7" s="1"/>
  <c r="BK79" i="7" s="1"/>
  <c r="BL80" i="7" a="1"/>
  <c r="BL80" i="7" s="1"/>
  <c r="BK80" i="7" s="1"/>
  <c r="BL81" i="7" a="1"/>
  <c r="BL81" i="7" s="1"/>
  <c r="BK81" i="7" s="1"/>
  <c r="BL68" i="7" a="1"/>
  <c r="BL68" i="7" s="1"/>
  <c r="BB77" i="7" l="1"/>
  <c r="BE77" i="7"/>
  <c r="BE75" i="7"/>
  <c r="BB75" i="7"/>
  <c r="BE80" i="7"/>
  <c r="BB80" i="7"/>
  <c r="BB79" i="7"/>
  <c r="BE79" i="7"/>
  <c r="BB71" i="7"/>
  <c r="BE71" i="7"/>
  <c r="BB78" i="7"/>
  <c r="BE78" i="7"/>
  <c r="BB70" i="7"/>
  <c r="BE70" i="7"/>
  <c r="BE76" i="7"/>
  <c r="BB76" i="7"/>
  <c r="BE74" i="7"/>
  <c r="BB74" i="7"/>
  <c r="BE73" i="7"/>
  <c r="BB73" i="7"/>
  <c r="BE72" i="7"/>
  <c r="BB72" i="7"/>
  <c r="BE81" i="7"/>
  <c r="BB81" i="7"/>
  <c r="DO72" i="7"/>
  <c r="BK68" i="7"/>
  <c r="EZ7" i="39"/>
  <c r="AM18" i="42" s="1"/>
  <c r="ER7" i="39"/>
  <c r="O18" i="42" s="1"/>
  <c r="EQ7" i="39"/>
  <c r="L18" i="42" s="1"/>
  <c r="EP7" i="39"/>
  <c r="I18" i="42" s="1"/>
  <c r="EY7" i="39"/>
  <c r="AJ18" i="42" s="1"/>
  <c r="EW7" i="39"/>
  <c r="AD18" i="42" s="1"/>
  <c r="ET7" i="39"/>
  <c r="U18" i="42" s="1"/>
  <c r="ES7" i="39"/>
  <c r="R18" i="42" s="1"/>
  <c r="EO7" i="39"/>
  <c r="F18" i="42" s="1"/>
  <c r="EY5" i="39"/>
  <c r="AJ17" i="42" s="1"/>
  <c r="EX7" i="39"/>
  <c r="AG18" i="42" s="1"/>
  <c r="EQ5" i="39"/>
  <c r="L17" i="42" s="1"/>
  <c r="EO5" i="39"/>
  <c r="F17" i="42" s="1"/>
  <c r="EZ5" i="39"/>
  <c r="AM17" i="42" s="1"/>
  <c r="EP5" i="39"/>
  <c r="I17" i="42" s="1"/>
  <c r="EU7" i="39"/>
  <c r="X18" i="42" s="1"/>
  <c r="FP7" i="39"/>
  <c r="C4" i="42" s="1"/>
  <c r="DQ7" i="39"/>
  <c r="K18" i="42" s="1"/>
  <c r="EU5" i="39"/>
  <c r="X17" i="42" s="1"/>
  <c r="ET5" i="39"/>
  <c r="U17" i="42" s="1"/>
  <c r="DO5" i="39"/>
  <c r="E17" i="42" s="1"/>
  <c r="FP5" i="39"/>
  <c r="C3" i="42" s="1"/>
  <c r="DT5" i="39"/>
  <c r="T17" i="42" s="1"/>
  <c r="ES5" i="39"/>
  <c r="R17" i="42" s="1"/>
  <c r="ER5" i="39"/>
  <c r="O17" i="42" s="1"/>
  <c r="DQ5" i="39"/>
  <c r="K17" i="42" s="1"/>
  <c r="EX5" i="39"/>
  <c r="AG17" i="42" s="1"/>
  <c r="EW5" i="39"/>
  <c r="AD17" i="42" s="1"/>
  <c r="DP5" i="39"/>
  <c r="H17" i="42" s="1"/>
  <c r="DO7" i="39"/>
  <c r="E18" i="42" s="1"/>
  <c r="DS7" i="39"/>
  <c r="Q18" i="42" s="1"/>
  <c r="DY5" i="39"/>
  <c r="AI17" i="42" s="1"/>
  <c r="EV5" i="39"/>
  <c r="AA17" i="42" s="1"/>
  <c r="DU5" i="39"/>
  <c r="W17" i="42" s="1"/>
  <c r="DV5" i="39"/>
  <c r="Z17" i="42" s="1"/>
  <c r="DY7" i="39"/>
  <c r="AI18" i="42" s="1"/>
  <c r="DR7" i="39"/>
  <c r="N18" i="42" s="1"/>
  <c r="FP8" i="39"/>
  <c r="C19" i="42" s="1"/>
  <c r="DW7" i="39"/>
  <c r="AC18" i="42" s="1"/>
  <c r="DX7" i="39"/>
  <c r="AF18" i="42" s="1"/>
  <c r="DT7" i="39"/>
  <c r="T18" i="42" s="1"/>
  <c r="EV7" i="39"/>
  <c r="AA18" i="42" s="1"/>
  <c r="DZ7" i="39"/>
  <c r="AL18" i="42" s="1"/>
  <c r="DV7" i="39"/>
  <c r="Z18" i="42" s="1"/>
  <c r="DS5" i="39"/>
  <c r="Q17" i="42" s="1"/>
  <c r="DU7" i="39"/>
  <c r="W18" i="42" s="1"/>
  <c r="DP7" i="39"/>
  <c r="H18" i="42" s="1"/>
  <c r="DW5" i="39"/>
  <c r="AC17" i="42" s="1"/>
  <c r="DU8" i="39"/>
  <c r="W19" i="42" s="1"/>
  <c r="DX5" i="39"/>
  <c r="AF17" i="42" s="1"/>
  <c r="DR5" i="39"/>
  <c r="N17" i="42" s="1"/>
  <c r="DZ5" i="39"/>
  <c r="AL17" i="42" s="1"/>
  <c r="DZ8" i="39"/>
  <c r="AL19" i="42" s="1"/>
  <c r="B5" i="42"/>
  <c r="C12" i="42"/>
  <c r="B4" i="42"/>
  <c r="C11" i="42"/>
  <c r="DW8" i="39"/>
  <c r="AC19" i="42" s="1"/>
  <c r="DY8" i="39"/>
  <c r="AI19" i="42" s="1"/>
  <c r="DX8" i="39"/>
  <c r="AF19" i="42" s="1"/>
  <c r="DR8" i="39"/>
  <c r="N19" i="42" s="1"/>
  <c r="DV8" i="39"/>
  <c r="Z19" i="42" s="1"/>
  <c r="DT8" i="39"/>
  <c r="T19" i="42" s="1"/>
  <c r="DQ8" i="39"/>
  <c r="K19" i="42" s="1"/>
  <c r="DO8" i="39"/>
  <c r="E19" i="42" s="1"/>
  <c r="DS8" i="39"/>
  <c r="Q19" i="42" s="1"/>
  <c r="DP8" i="39"/>
  <c r="H19" i="42" s="1"/>
  <c r="C10" i="42"/>
  <c r="BK69" i="7"/>
  <c r="BB69" i="7" l="1"/>
  <c r="BE69" i="7"/>
  <c r="BE68" i="7"/>
  <c r="BB68" i="7"/>
  <c r="IG9" i="39"/>
  <c r="DO68" i="7"/>
  <c r="AF83" i="7"/>
  <c r="AB83" i="7"/>
  <c r="C18" i="42"/>
  <c r="C17" i="42"/>
  <c r="C5" i="42"/>
  <c r="DM83" i="7" l="1"/>
  <c r="DN83" i="7" s="1"/>
  <c r="DG83" i="7"/>
  <c r="B295" i="7"/>
  <c r="K354" i="7"/>
  <c r="W13" i="7"/>
  <c r="AN82" i="12"/>
  <c r="AN33" i="12"/>
  <c r="AN34" i="12"/>
  <c r="AN35" i="12"/>
  <c r="AN36" i="12"/>
  <c r="AN39" i="12"/>
  <c r="AN40" i="12"/>
  <c r="AN41" i="12"/>
  <c r="AN42" i="12"/>
  <c r="AN44" i="12"/>
  <c r="AN45" i="12"/>
  <c r="AN47" i="12"/>
  <c r="AN48" i="12"/>
  <c r="AN50" i="12"/>
  <c r="AN51" i="12"/>
  <c r="AN53" i="12"/>
  <c r="AN54" i="12"/>
  <c r="AN57" i="12"/>
  <c r="AN63" i="12"/>
  <c r="AN64" i="12"/>
  <c r="AN75" i="12"/>
  <c r="AN77" i="12"/>
  <c r="AN78" i="12"/>
  <c r="AN79" i="12"/>
  <c r="AN80" i="12"/>
  <c r="AN81" i="12"/>
  <c r="AN83" i="12"/>
  <c r="AN84" i="12"/>
  <c r="AN85" i="12"/>
  <c r="AN86" i="12"/>
  <c r="AN87" i="12"/>
  <c r="AN88" i="12"/>
  <c r="AN89" i="12"/>
  <c r="AN92" i="12"/>
  <c r="AN93" i="12"/>
  <c r="AN98" i="12"/>
  <c r="AN99" i="12"/>
  <c r="AN100" i="12"/>
  <c r="AN101" i="12"/>
  <c r="AN32" i="12"/>
  <c r="Z5" i="7"/>
  <c r="AN112" i="12" l="1"/>
  <c r="AN110" i="12"/>
  <c r="AN113" i="12"/>
  <c r="AN111" i="12"/>
  <c r="AN114" i="12"/>
  <c r="P6" i="7"/>
  <c r="L351" i="7" s="1"/>
  <c r="N3" i="39"/>
  <c r="Z9" i="7"/>
  <c r="BG13" i="7" l="1"/>
  <c r="V288" i="7"/>
  <c r="V285" i="7"/>
  <c r="V290" i="7"/>
  <c r="W288" i="7" l="1"/>
  <c r="X288" i="7"/>
  <c r="AK289" i="7"/>
  <c r="AJ289" i="7"/>
  <c r="F102" i="7"/>
  <c r="AL308" i="7"/>
  <c r="BI155" i="7"/>
  <c r="BJ155" i="7" s="1"/>
  <c r="BI154" i="7"/>
  <c r="BJ154" i="7" s="1"/>
  <c r="BI153" i="7"/>
  <c r="BJ153" i="7" s="1"/>
  <c r="BI152" i="7"/>
  <c r="BJ152" i="7" s="1"/>
  <c r="BI151" i="7"/>
  <c r="BJ151" i="7" s="1"/>
  <c r="BI150" i="7"/>
  <c r="BJ150" i="7" s="1"/>
  <c r="BI149" i="7"/>
  <c r="BJ149" i="7" s="1"/>
  <c r="BI148" i="7"/>
  <c r="BJ148" i="7" s="1"/>
  <c r="BI147" i="7"/>
  <c r="BJ147" i="7" s="1"/>
  <c r="BI146" i="7"/>
  <c r="BJ146" i="7" s="1"/>
  <c r="BI145" i="7"/>
  <c r="BJ145" i="7" s="1"/>
  <c r="BI144" i="7"/>
  <c r="BJ144" i="7" s="1"/>
  <c r="BI143" i="7"/>
  <c r="BJ143" i="7" s="1"/>
  <c r="BI142" i="7"/>
  <c r="BJ142" i="7" s="1"/>
  <c r="BI141" i="7"/>
  <c r="BJ141" i="7" s="1"/>
  <c r="BI140" i="7"/>
  <c r="BJ140" i="7" s="1"/>
  <c r="BI139" i="7"/>
  <c r="BJ139" i="7" s="1"/>
  <c r="AD32" i="14"/>
  <c r="AD31" i="14"/>
  <c r="G15" i="7"/>
  <c r="Q337" i="7"/>
  <c r="Q336" i="7"/>
  <c r="Q335" i="7"/>
  <c r="Q334" i="7"/>
  <c r="Q333" i="7"/>
  <c r="Q332" i="7"/>
  <c r="Q331" i="7"/>
  <c r="Q330" i="7"/>
  <c r="Q329" i="7"/>
  <c r="Q328" i="7"/>
  <c r="Q327" i="7"/>
  <c r="Q326" i="7"/>
  <c r="Q325" i="7"/>
  <c r="R325" i="7" s="1"/>
  <c r="Y325" i="7" s="1"/>
  <c r="Q324" i="7"/>
  <c r="Q323" i="7"/>
  <c r="Q322" i="7"/>
  <c r="Q321" i="7"/>
  <c r="Q320" i="7"/>
  <c r="Q319" i="7"/>
  <c r="Q318" i="7"/>
  <c r="Q317" i="7"/>
  <c r="Q316" i="7"/>
  <c r="AE316" i="7" s="1"/>
  <c r="Q315" i="7"/>
  <c r="Q314" i="7"/>
  <c r="Q313" i="7"/>
  <c r="Q312" i="7"/>
  <c r="Q311" i="7"/>
  <c r="BN155" i="7"/>
  <c r="BM155" i="7"/>
  <c r="BO155" i="7" s="1"/>
  <c r="AD155" i="7"/>
  <c r="AE155" i="7" s="1"/>
  <c r="Y155" i="7"/>
  <c r="Z155" i="7"/>
  <c r="AB155" i="7" s="1"/>
  <c r="W155" i="7"/>
  <c r="V155" i="7"/>
  <c r="AO155" i="7" s="1"/>
  <c r="U155" i="7"/>
  <c r="S155" i="7"/>
  <c r="AL155" i="7" s="1"/>
  <c r="Q155" i="7"/>
  <c r="R155" i="7" s="1"/>
  <c r="BN154" i="7"/>
  <c r="BM154" i="7"/>
  <c r="BO154" i="7" s="1"/>
  <c r="AD154" i="7"/>
  <c r="AE154" i="7" s="1"/>
  <c r="Y154" i="7"/>
  <c r="Z154" i="7"/>
  <c r="AA154" i="7" s="1"/>
  <c r="W154" i="7"/>
  <c r="AP154" i="7" s="1"/>
  <c r="V154" i="7"/>
  <c r="AO154" i="7" s="1"/>
  <c r="U154" i="7"/>
  <c r="S154" i="7"/>
  <c r="AL154" i="7" s="1"/>
  <c r="Q154" i="7"/>
  <c r="R154" i="7" s="1"/>
  <c r="BN153" i="7"/>
  <c r="BM153" i="7"/>
  <c r="BO153" i="7" s="1"/>
  <c r="AD153" i="7"/>
  <c r="AE153" i="7" s="1"/>
  <c r="Y153" i="7"/>
  <c r="Z153" i="7"/>
  <c r="W153" i="7"/>
  <c r="AP153" i="7" s="1"/>
  <c r="V153" i="7"/>
  <c r="AO153" i="7" s="1"/>
  <c r="U153" i="7"/>
  <c r="AN153" i="7" s="1"/>
  <c r="S153" i="7"/>
  <c r="AL153" i="7" s="1"/>
  <c r="Q153" i="7"/>
  <c r="R153" i="7" s="1"/>
  <c r="BN152" i="7"/>
  <c r="BM152" i="7"/>
  <c r="BO152" i="7" s="1"/>
  <c r="AD152" i="7"/>
  <c r="AE152" i="7" s="1"/>
  <c r="Y152" i="7"/>
  <c r="Z152" i="7"/>
  <c r="AA152" i="7" s="1"/>
  <c r="W152" i="7"/>
  <c r="AP152" i="7" s="1"/>
  <c r="V152" i="7"/>
  <c r="AO152" i="7" s="1"/>
  <c r="AS152" i="7"/>
  <c r="S152" i="7"/>
  <c r="Q152" i="7"/>
  <c r="R152" i="7" s="1"/>
  <c r="BN151" i="7"/>
  <c r="BM151" i="7"/>
  <c r="BO151" i="7" s="1"/>
  <c r="AD151" i="7"/>
  <c r="AE151" i="7" s="1"/>
  <c r="Y151" i="7"/>
  <c r="Z151" i="7"/>
  <c r="AB151" i="7" s="1"/>
  <c r="W151" i="7"/>
  <c r="AP151" i="7" s="1"/>
  <c r="V151" i="7"/>
  <c r="U151" i="7"/>
  <c r="S151" i="7"/>
  <c r="AL151" i="7" s="1"/>
  <c r="AQ151" i="7" s="1"/>
  <c r="Q151" i="7"/>
  <c r="R151" i="7" s="1"/>
  <c r="BN150" i="7"/>
  <c r="BM150" i="7"/>
  <c r="BO150" i="7" s="1"/>
  <c r="AD150" i="7"/>
  <c r="AE150" i="7" s="1"/>
  <c r="Y150" i="7"/>
  <c r="Z150" i="7"/>
  <c r="W150" i="7"/>
  <c r="AP150" i="7" s="1"/>
  <c r="V150" i="7"/>
  <c r="AO150" i="7" s="1"/>
  <c r="U150" i="7"/>
  <c r="S150" i="7"/>
  <c r="AL150" i="7" s="1"/>
  <c r="Q150" i="7"/>
  <c r="R150" i="7" s="1"/>
  <c r="BN149" i="7"/>
  <c r="BM149" i="7"/>
  <c r="BO149" i="7" s="1"/>
  <c r="AD149" i="7"/>
  <c r="AE149" i="7" s="1"/>
  <c r="Y149" i="7"/>
  <c r="Z149" i="7"/>
  <c r="AA149" i="7" s="1"/>
  <c r="W149" i="7"/>
  <c r="AP149" i="7" s="1"/>
  <c r="V149" i="7"/>
  <c r="AO149" i="7" s="1"/>
  <c r="U149" i="7"/>
  <c r="AN149" i="7" s="1"/>
  <c r="S149" i="7"/>
  <c r="T149" i="7" s="1"/>
  <c r="AM149" i="7" s="1"/>
  <c r="Q149" i="7"/>
  <c r="R149" i="7" s="1"/>
  <c r="BN148" i="7"/>
  <c r="BM148" i="7"/>
  <c r="BO148" i="7" s="1"/>
  <c r="AD148" i="7"/>
  <c r="AE148" i="7" s="1"/>
  <c r="Y148" i="7"/>
  <c r="Z148" i="7"/>
  <c r="AA148" i="7" s="1"/>
  <c r="W148" i="7"/>
  <c r="AP148" i="7" s="1"/>
  <c r="V148" i="7"/>
  <c r="AO148" i="7" s="1"/>
  <c r="U148" i="7"/>
  <c r="AN148" i="7" s="1"/>
  <c r="AS148" i="7" s="1"/>
  <c r="S148" i="7"/>
  <c r="Q148" i="7"/>
  <c r="R148" i="7" s="1"/>
  <c r="BN147" i="7"/>
  <c r="BM147" i="7"/>
  <c r="BO147" i="7" s="1"/>
  <c r="AD147" i="7"/>
  <c r="AE147" i="7" s="1"/>
  <c r="Z147" i="7"/>
  <c r="AB147" i="7" s="1"/>
  <c r="Y147" i="7"/>
  <c r="W147" i="7"/>
  <c r="AP147" i="7" s="1"/>
  <c r="V147" i="7"/>
  <c r="AO147" i="7" s="1"/>
  <c r="U147" i="7"/>
  <c r="AN147" i="7" s="1"/>
  <c r="AS147" i="7" s="1"/>
  <c r="S147" i="7"/>
  <c r="AL147" i="7" s="1"/>
  <c r="Q147" i="7"/>
  <c r="R147" i="7" s="1"/>
  <c r="BN146" i="7"/>
  <c r="BM146" i="7"/>
  <c r="BO146" i="7" s="1"/>
  <c r="AD146" i="7"/>
  <c r="AE146" i="7" s="1"/>
  <c r="Y146" i="7"/>
  <c r="Z146" i="7"/>
  <c r="AA146" i="7" s="1"/>
  <c r="W146" i="7"/>
  <c r="AP146" i="7" s="1"/>
  <c r="V146" i="7"/>
  <c r="AO146" i="7" s="1"/>
  <c r="AT146" i="7" s="1"/>
  <c r="U146" i="7"/>
  <c r="S146" i="7"/>
  <c r="AL146" i="7" s="1"/>
  <c r="Q146" i="7"/>
  <c r="R146" i="7" s="1"/>
  <c r="BN145" i="7"/>
  <c r="BM145" i="7"/>
  <c r="BO145" i="7" s="1"/>
  <c r="AD145" i="7"/>
  <c r="AE145" i="7" s="1"/>
  <c r="Y145" i="7"/>
  <c r="Z145" i="7"/>
  <c r="W145" i="7"/>
  <c r="V145" i="7"/>
  <c r="U145" i="7"/>
  <c r="AN145" i="7" s="1"/>
  <c r="S145" i="7"/>
  <c r="AL145" i="7" s="1"/>
  <c r="Q145" i="7"/>
  <c r="R145" i="7" s="1"/>
  <c r="BN144" i="7"/>
  <c r="BM144" i="7"/>
  <c r="BO144" i="7" s="1"/>
  <c r="AD144" i="7"/>
  <c r="AE144" i="7" s="1"/>
  <c r="Y144" i="7"/>
  <c r="Z144" i="7"/>
  <c r="AB144" i="7" s="1"/>
  <c r="W144" i="7"/>
  <c r="AP144" i="7" s="1"/>
  <c r="V144" i="7"/>
  <c r="AO144" i="7" s="1"/>
  <c r="U144" i="7"/>
  <c r="AN144" i="7" s="1"/>
  <c r="S144" i="7"/>
  <c r="Q144" i="7"/>
  <c r="R144" i="7" s="1"/>
  <c r="BN143" i="7"/>
  <c r="BM143" i="7"/>
  <c r="BO143" i="7" s="1"/>
  <c r="AD143" i="7"/>
  <c r="AE143" i="7" s="1"/>
  <c r="Z143" i="7"/>
  <c r="AA143" i="7" s="1"/>
  <c r="Y143" i="7"/>
  <c r="W143" i="7"/>
  <c r="AP143" i="7" s="1"/>
  <c r="V143" i="7"/>
  <c r="AO143" i="7" s="1"/>
  <c r="AT143" i="7" s="1"/>
  <c r="U143" i="7"/>
  <c r="S143" i="7"/>
  <c r="AL143" i="7" s="1"/>
  <c r="Q143" i="7"/>
  <c r="R143" i="7" s="1"/>
  <c r="BN142" i="7"/>
  <c r="BM142" i="7"/>
  <c r="BO142" i="7" s="1"/>
  <c r="AD142" i="7"/>
  <c r="AE142" i="7" s="1"/>
  <c r="Y142" i="7"/>
  <c r="Z142" i="7"/>
  <c r="AB142" i="7" s="1"/>
  <c r="W142" i="7"/>
  <c r="V142" i="7"/>
  <c r="AO142" i="7" s="1"/>
  <c r="AT142" i="7" s="1"/>
  <c r="U142" i="7"/>
  <c r="AN142" i="7" s="1"/>
  <c r="S142" i="7"/>
  <c r="AL142" i="7" s="1"/>
  <c r="Q142" i="7"/>
  <c r="R142" i="7" s="1"/>
  <c r="BN141" i="7"/>
  <c r="BM141" i="7"/>
  <c r="AD141" i="7"/>
  <c r="AE141" i="7" s="1"/>
  <c r="Y141" i="7"/>
  <c r="Z141" i="7" s="1"/>
  <c r="AA141" i="7" s="1"/>
  <c r="W141" i="7"/>
  <c r="V141" i="7"/>
  <c r="U141" i="7"/>
  <c r="AN141" i="7" s="1"/>
  <c r="S141" i="7"/>
  <c r="AL141" i="7" s="1"/>
  <c r="Q141" i="7"/>
  <c r="R141" i="7" s="1"/>
  <c r="BN140" i="7"/>
  <c r="BM140" i="7"/>
  <c r="AD140" i="7"/>
  <c r="AE140" i="7" s="1"/>
  <c r="Y140" i="7"/>
  <c r="Z140" i="7" s="1"/>
  <c r="AB140" i="7" s="1"/>
  <c r="W140" i="7"/>
  <c r="V140" i="7"/>
  <c r="AO140" i="7" s="1"/>
  <c r="U140" i="7"/>
  <c r="S140" i="7"/>
  <c r="AL140" i="7" s="1"/>
  <c r="Q140" i="7"/>
  <c r="R140" i="7" s="1"/>
  <c r="BN139" i="7"/>
  <c r="BM139" i="7"/>
  <c r="AD139" i="7"/>
  <c r="AE139" i="7" s="1"/>
  <c r="Y139" i="7"/>
  <c r="Z139" i="7" s="1"/>
  <c r="W139" i="7"/>
  <c r="V139" i="7"/>
  <c r="AO139" i="7" s="1"/>
  <c r="U139" i="7"/>
  <c r="S139" i="7"/>
  <c r="AL139" i="7" s="1"/>
  <c r="Q139" i="7"/>
  <c r="R139" i="7" s="1"/>
  <c r="BN138" i="7"/>
  <c r="BM138" i="7"/>
  <c r="AD138" i="7"/>
  <c r="AE138" i="7" s="1"/>
  <c r="Y138" i="7"/>
  <c r="Z138" i="7" s="1"/>
  <c r="AA138" i="7" s="1"/>
  <c r="W138" i="7"/>
  <c r="V138" i="7"/>
  <c r="U138" i="7"/>
  <c r="S138" i="7"/>
  <c r="AL138" i="7" s="1"/>
  <c r="Q138" i="7"/>
  <c r="R138" i="7" s="1"/>
  <c r="BO130" i="7"/>
  <c r="BI130" i="7"/>
  <c r="BJ130" i="7" s="1"/>
  <c r="BE130" i="7"/>
  <c r="I130" i="7" s="1"/>
  <c r="BD130" i="7"/>
  <c r="BC130" i="7"/>
  <c r="G130" i="7" s="1"/>
  <c r="BB130" i="7"/>
  <c r="BA130" i="7"/>
  <c r="AY130" i="7"/>
  <c r="AW130" i="7"/>
  <c r="BO129" i="7"/>
  <c r="BI129" i="7"/>
  <c r="BJ129" i="7" s="1"/>
  <c r="BE129" i="7"/>
  <c r="I129" i="7" s="1"/>
  <c r="BD129" i="7"/>
  <c r="H129" i="7" s="1"/>
  <c r="BC129" i="7"/>
  <c r="G129" i="7" s="1"/>
  <c r="BB129" i="7"/>
  <c r="BA129" i="7"/>
  <c r="AY129" i="7"/>
  <c r="AW129" i="7"/>
  <c r="BO128" i="7"/>
  <c r="BI128" i="7"/>
  <c r="BJ128" i="7" s="1"/>
  <c r="BE128" i="7"/>
  <c r="I128" i="7" s="1"/>
  <c r="BD128" i="7"/>
  <c r="BC128" i="7"/>
  <c r="G128" i="7" s="1"/>
  <c r="BB128" i="7"/>
  <c r="BA128" i="7"/>
  <c r="AY128" i="7"/>
  <c r="AW128" i="7"/>
  <c r="BO127" i="7"/>
  <c r="BI127" i="7"/>
  <c r="BJ127" i="7" s="1"/>
  <c r="BE127" i="7"/>
  <c r="I127" i="7" s="1"/>
  <c r="BD127" i="7"/>
  <c r="BC127" i="7"/>
  <c r="G127" i="7" s="1"/>
  <c r="BB127" i="7"/>
  <c r="BA127" i="7"/>
  <c r="AY127" i="7"/>
  <c r="AW127" i="7"/>
  <c r="BO126" i="7"/>
  <c r="BI126" i="7"/>
  <c r="BJ126" i="7" s="1"/>
  <c r="BE126" i="7"/>
  <c r="I126" i="7" s="1"/>
  <c r="BD126" i="7"/>
  <c r="H126" i="7" s="1"/>
  <c r="BC126" i="7"/>
  <c r="G126" i="7" s="1"/>
  <c r="BB126" i="7"/>
  <c r="BA126" i="7"/>
  <c r="AY126" i="7"/>
  <c r="AW126" i="7"/>
  <c r="BO125" i="7"/>
  <c r="BI125" i="7"/>
  <c r="BJ125" i="7" s="1"/>
  <c r="BE125" i="7"/>
  <c r="I125" i="7" s="1"/>
  <c r="BD125" i="7"/>
  <c r="H125" i="7" s="1"/>
  <c r="BC125" i="7"/>
  <c r="G125" i="7" s="1"/>
  <c r="BB125" i="7"/>
  <c r="BA125" i="7"/>
  <c r="AY125" i="7"/>
  <c r="AW125" i="7"/>
  <c r="BO124" i="7"/>
  <c r="BI124" i="7"/>
  <c r="BJ124" i="7" s="1"/>
  <c r="BE124" i="7"/>
  <c r="I124" i="7" s="1"/>
  <c r="BD124" i="7"/>
  <c r="BC124" i="7"/>
  <c r="G124" i="7" s="1"/>
  <c r="BB124" i="7"/>
  <c r="BA124" i="7"/>
  <c r="AY124" i="7"/>
  <c r="AW124" i="7"/>
  <c r="BO123" i="7"/>
  <c r="BI123" i="7"/>
  <c r="BJ123" i="7" s="1"/>
  <c r="BE123" i="7"/>
  <c r="I123" i="7" s="1"/>
  <c r="BD123" i="7"/>
  <c r="BC123" i="7"/>
  <c r="G123" i="7" s="1"/>
  <c r="BB123" i="7"/>
  <c r="BA123" i="7"/>
  <c r="AY123" i="7"/>
  <c r="AW123" i="7"/>
  <c r="BO122" i="7"/>
  <c r="BI122" i="7"/>
  <c r="BJ122" i="7" s="1"/>
  <c r="BE122" i="7"/>
  <c r="I122" i="7" s="1"/>
  <c r="BD122" i="7"/>
  <c r="H122" i="7" s="1"/>
  <c r="BC122" i="7"/>
  <c r="G122" i="7" s="1"/>
  <c r="BB122" i="7"/>
  <c r="BA122" i="7"/>
  <c r="AY122" i="7"/>
  <c r="AW122" i="7"/>
  <c r="BO121" i="7"/>
  <c r="BI121" i="7"/>
  <c r="BJ121" i="7" s="1"/>
  <c r="BE121" i="7"/>
  <c r="I121" i="7" s="1"/>
  <c r="BD121" i="7"/>
  <c r="H121" i="7" s="1"/>
  <c r="BC121" i="7"/>
  <c r="G121" i="7" s="1"/>
  <c r="BB121" i="7"/>
  <c r="BA121" i="7"/>
  <c r="AY121" i="7"/>
  <c r="AW121" i="7"/>
  <c r="BO120" i="7"/>
  <c r="BI120" i="7"/>
  <c r="BJ120" i="7" s="1"/>
  <c r="BE120" i="7"/>
  <c r="I120" i="7" s="1"/>
  <c r="BD120" i="7"/>
  <c r="BC120" i="7"/>
  <c r="G120" i="7" s="1"/>
  <c r="BB120" i="7"/>
  <c r="BA120" i="7"/>
  <c r="AY120" i="7"/>
  <c r="AW120" i="7"/>
  <c r="BO119" i="7"/>
  <c r="BI119" i="7"/>
  <c r="BJ119" i="7" s="1"/>
  <c r="BE119" i="7"/>
  <c r="I119" i="7" s="1"/>
  <c r="BD119" i="7"/>
  <c r="BC119" i="7"/>
  <c r="G119" i="7" s="1"/>
  <c r="BB119" i="7"/>
  <c r="BA119" i="7"/>
  <c r="AY119" i="7"/>
  <c r="AW119" i="7"/>
  <c r="BO118" i="7"/>
  <c r="BI118" i="7"/>
  <c r="BJ118" i="7" s="1"/>
  <c r="BE118" i="7"/>
  <c r="I118" i="7" s="1"/>
  <c r="BD118" i="7"/>
  <c r="H118" i="7" s="1"/>
  <c r="G118" i="7"/>
  <c r="BB118" i="7"/>
  <c r="BA118" i="7"/>
  <c r="AY118" i="7"/>
  <c r="AW118" i="7"/>
  <c r="BO117" i="7"/>
  <c r="BI117" i="7"/>
  <c r="BJ117" i="7" s="1"/>
  <c r="BE117" i="7"/>
  <c r="I117" i="7" s="1"/>
  <c r="BD117" i="7"/>
  <c r="BC117" i="7"/>
  <c r="G117" i="7" s="1"/>
  <c r="BB117" i="7"/>
  <c r="BA117" i="7"/>
  <c r="AY117" i="7"/>
  <c r="AW117" i="7"/>
  <c r="BO116" i="7"/>
  <c r="BI116" i="7"/>
  <c r="BJ116" i="7" s="1"/>
  <c r="BE116" i="7"/>
  <c r="I116" i="7" s="1"/>
  <c r="BD116" i="7"/>
  <c r="H116" i="7" s="1"/>
  <c r="BC116" i="7"/>
  <c r="G116" i="7" s="1"/>
  <c r="BB116" i="7"/>
  <c r="BA116" i="7"/>
  <c r="AY116" i="7"/>
  <c r="AW116" i="7"/>
  <c r="EA78" i="7"/>
  <c r="DZ78" i="7"/>
  <c r="DY78" i="7"/>
  <c r="DW78" i="7"/>
  <c r="DV78" i="7"/>
  <c r="DU78" i="7"/>
  <c r="DT78" i="7"/>
  <c r="DS78" i="7"/>
  <c r="DR78" i="7"/>
  <c r="CX78" i="7"/>
  <c r="CW78" i="7"/>
  <c r="CV78" i="7"/>
  <c r="CT78" i="7"/>
  <c r="CO78" i="7"/>
  <c r="CB78" i="7"/>
  <c r="DO78" i="7"/>
  <c r="EA77" i="7"/>
  <c r="DZ77" i="7"/>
  <c r="DY77" i="7"/>
  <c r="DW77" i="7"/>
  <c r="DV77" i="7"/>
  <c r="DU77" i="7"/>
  <c r="DT77" i="7"/>
  <c r="DS77" i="7"/>
  <c r="DR77" i="7"/>
  <c r="CX77" i="7"/>
  <c r="CW77" i="7"/>
  <c r="CV77" i="7"/>
  <c r="CT77" i="7"/>
  <c r="CO77" i="7"/>
  <c r="CB77" i="7"/>
  <c r="DO77" i="7"/>
  <c r="BO115" i="7"/>
  <c r="BO114" i="7"/>
  <c r="Y269" i="7"/>
  <c r="Y268" i="7"/>
  <c r="Y267" i="7"/>
  <c r="Y266" i="7"/>
  <c r="R170" i="7"/>
  <c r="R164" i="7"/>
  <c r="S269" i="7"/>
  <c r="S267" i="7"/>
  <c r="S265" i="7"/>
  <c r="S264" i="7"/>
  <c r="S262" i="7"/>
  <c r="S261" i="7"/>
  <c r="S260" i="7"/>
  <c r="BI115" i="7"/>
  <c r="BJ115" i="7" s="1"/>
  <c r="BI114" i="7"/>
  <c r="BJ114" i="7" s="1"/>
  <c r="BI113" i="7"/>
  <c r="BJ113" i="7" s="1"/>
  <c r="AD28" i="14"/>
  <c r="EA81" i="7"/>
  <c r="EA80" i="7"/>
  <c r="EA79" i="7"/>
  <c r="EA76" i="7"/>
  <c r="EA75" i="7"/>
  <c r="EA74" i="7"/>
  <c r="EA73" i="7"/>
  <c r="EA72" i="7"/>
  <c r="EA71" i="7"/>
  <c r="EA70" i="7"/>
  <c r="EA69" i="7"/>
  <c r="EA68" i="7"/>
  <c r="P261" i="7"/>
  <c r="J261" i="7" s="1"/>
  <c r="R261" i="7" s="1"/>
  <c r="AC280" i="7"/>
  <c r="AB280" i="7"/>
  <c r="AA280" i="7"/>
  <c r="J169" i="7"/>
  <c r="BE115" i="7"/>
  <c r="I115" i="7" s="1"/>
  <c r="BD115" i="7"/>
  <c r="BC115" i="7"/>
  <c r="G115" i="7" s="1"/>
  <c r="BB115" i="7"/>
  <c r="BA115" i="7"/>
  <c r="AY115" i="7"/>
  <c r="AW115" i="7"/>
  <c r="BE114" i="7"/>
  <c r="I114" i="7" s="1"/>
  <c r="BD114" i="7"/>
  <c r="BC114" i="7"/>
  <c r="G114" i="7" s="1"/>
  <c r="BB114" i="7"/>
  <c r="BA114" i="7"/>
  <c r="AY114" i="7"/>
  <c r="AW114" i="7"/>
  <c r="BE113" i="7"/>
  <c r="I113" i="7" s="1"/>
  <c r="BD113" i="7"/>
  <c r="H113" i="7" s="1"/>
  <c r="BC113" i="7"/>
  <c r="G113" i="7" s="1"/>
  <c r="BB113" i="7"/>
  <c r="BA113" i="7"/>
  <c r="AY113" i="7"/>
  <c r="D26" i="12"/>
  <c r="W290" i="7"/>
  <c r="V289" i="7"/>
  <c r="Q310" i="7"/>
  <c r="T310" i="7" s="1"/>
  <c r="Q309" i="7"/>
  <c r="P43" i="7"/>
  <c r="P40" i="7"/>
  <c r="DR81" i="7"/>
  <c r="DR80" i="7"/>
  <c r="DR79" i="7"/>
  <c r="DR76" i="7"/>
  <c r="DR75" i="7"/>
  <c r="DR74" i="7"/>
  <c r="DR73" i="7"/>
  <c r="DR72" i="7"/>
  <c r="DR71" i="7"/>
  <c r="DR70" i="7"/>
  <c r="DR69" i="7"/>
  <c r="DR68" i="7"/>
  <c r="Z137" i="7"/>
  <c r="AA137" i="7" s="1"/>
  <c r="AD137" i="7"/>
  <c r="AE137" i="7" s="1"/>
  <c r="DZ81" i="7"/>
  <c r="DZ80" i="7"/>
  <c r="DZ79" i="7"/>
  <c r="DZ76" i="7"/>
  <c r="DZ75" i="7"/>
  <c r="DZ74" i="7"/>
  <c r="DZ73" i="7"/>
  <c r="DZ72" i="7"/>
  <c r="DZ71" i="7"/>
  <c r="DZ70" i="7"/>
  <c r="DZ69" i="7"/>
  <c r="DZ68" i="7"/>
  <c r="CT81" i="7"/>
  <c r="CT80" i="7"/>
  <c r="CT79" i="7"/>
  <c r="CT76" i="7"/>
  <c r="CT75" i="7"/>
  <c r="CT74" i="7"/>
  <c r="CT73" i="7"/>
  <c r="CT72" i="7"/>
  <c r="CT71" i="7"/>
  <c r="CT70" i="7"/>
  <c r="CT69" i="7"/>
  <c r="CT68" i="7"/>
  <c r="DY81" i="7"/>
  <c r="DW81" i="7"/>
  <c r="DV81" i="7"/>
  <c r="DU81" i="7"/>
  <c r="DT81" i="7"/>
  <c r="DS81" i="7"/>
  <c r="DY80" i="7"/>
  <c r="DW80" i="7"/>
  <c r="DV80" i="7"/>
  <c r="DU80" i="7"/>
  <c r="DT80" i="7"/>
  <c r="DS80" i="7"/>
  <c r="DY79" i="7"/>
  <c r="DW79" i="7"/>
  <c r="DV79" i="7"/>
  <c r="DU79" i="7"/>
  <c r="DT79" i="7"/>
  <c r="DY76" i="7"/>
  <c r="DW76" i="7"/>
  <c r="DV76" i="7"/>
  <c r="DU76" i="7"/>
  <c r="DT76" i="7"/>
  <c r="DS76" i="7"/>
  <c r="DY75" i="7"/>
  <c r="DW75" i="7"/>
  <c r="DV75" i="7"/>
  <c r="DU75" i="7"/>
  <c r="DT75" i="7"/>
  <c r="DS75" i="7"/>
  <c r="DY74" i="7"/>
  <c r="DW74" i="7"/>
  <c r="DV74" i="7"/>
  <c r="DU74" i="7"/>
  <c r="DT74" i="7"/>
  <c r="DS74" i="7"/>
  <c r="DY73" i="7"/>
  <c r="DW73" i="7"/>
  <c r="DV73" i="7"/>
  <c r="DU73" i="7"/>
  <c r="DT73" i="7"/>
  <c r="DS73" i="7"/>
  <c r="DY72" i="7"/>
  <c r="DW72" i="7"/>
  <c r="DV72" i="7"/>
  <c r="DU72" i="7"/>
  <c r="DT72" i="7"/>
  <c r="DS72" i="7"/>
  <c r="DY71" i="7"/>
  <c r="DW71" i="7"/>
  <c r="DV71" i="7"/>
  <c r="DU71" i="7"/>
  <c r="DT71" i="7"/>
  <c r="DS71" i="7"/>
  <c r="DY70" i="7"/>
  <c r="DW70" i="7"/>
  <c r="DV70" i="7"/>
  <c r="DU70" i="7"/>
  <c r="DT70" i="7"/>
  <c r="DS70" i="7"/>
  <c r="DY69" i="7"/>
  <c r="DW69" i="7"/>
  <c r="DV69" i="7"/>
  <c r="DU69" i="7"/>
  <c r="DT69" i="7"/>
  <c r="DS69" i="7"/>
  <c r="DY68" i="7"/>
  <c r="DW68" i="7"/>
  <c r="DV68" i="7"/>
  <c r="DU68" i="7"/>
  <c r="DT68" i="7"/>
  <c r="DS68" i="7"/>
  <c r="P262" i="7"/>
  <c r="J262" i="7" s="1"/>
  <c r="R262" i="7" s="1"/>
  <c r="P260" i="7"/>
  <c r="J260" i="7" s="1"/>
  <c r="R260" i="7" s="1"/>
  <c r="Q137" i="7"/>
  <c r="R137" i="7" s="1"/>
  <c r="W137" i="7"/>
  <c r="V137" i="7"/>
  <c r="S137" i="7"/>
  <c r="L88" i="7"/>
  <c r="P257" i="7"/>
  <c r="J257" i="7" s="1"/>
  <c r="R257" i="7" s="1"/>
  <c r="S257" i="7" s="1"/>
  <c r="CX81" i="7"/>
  <c r="CW81" i="7"/>
  <c r="CV81" i="7"/>
  <c r="CX80" i="7"/>
  <c r="CW80" i="7"/>
  <c r="CV80" i="7"/>
  <c r="CX79" i="7"/>
  <c r="CW79" i="7"/>
  <c r="CV79" i="7"/>
  <c r="CX76" i="7"/>
  <c r="CW76" i="7"/>
  <c r="CV76" i="7"/>
  <c r="CX75" i="7"/>
  <c r="CW75" i="7"/>
  <c r="CV75" i="7"/>
  <c r="CX74" i="7"/>
  <c r="CW74" i="7"/>
  <c r="CV74" i="7"/>
  <c r="CX73" i="7"/>
  <c r="CW73" i="7"/>
  <c r="CV73" i="7"/>
  <c r="CX72" i="7"/>
  <c r="CW72" i="7"/>
  <c r="CV72" i="7"/>
  <c r="CX71" i="7"/>
  <c r="CW71" i="7"/>
  <c r="CV71" i="7"/>
  <c r="CX70" i="7"/>
  <c r="CW70" i="7"/>
  <c r="CV70" i="7"/>
  <c r="CX69" i="7"/>
  <c r="CW69" i="7"/>
  <c r="CV69" i="7"/>
  <c r="CX68" i="7"/>
  <c r="CW68" i="7"/>
  <c r="CV68" i="7"/>
  <c r="T5" i="7"/>
  <c r="U5" i="7" s="1"/>
  <c r="J170" i="7"/>
  <c r="Q170" i="7" s="1"/>
  <c r="J168" i="7"/>
  <c r="R168" i="7"/>
  <c r="AA277" i="7"/>
  <c r="AC277" i="7"/>
  <c r="AC278" i="7"/>
  <c r="AC279" i="7"/>
  <c r="AC281" i="7"/>
  <c r="AB277" i="7"/>
  <c r="AB281" i="7"/>
  <c r="AB279" i="7"/>
  <c r="AB278" i="7"/>
  <c r="K300" i="7"/>
  <c r="D27" i="12"/>
  <c r="B11" i="7"/>
  <c r="J167" i="7"/>
  <c r="Q167" i="7" s="1"/>
  <c r="R167" i="7" s="1"/>
  <c r="P258" i="7"/>
  <c r="J258" i="7" s="1"/>
  <c r="P259" i="7"/>
  <c r="J259" i="7" s="1"/>
  <c r="R259" i="7" s="1"/>
  <c r="S259" i="7"/>
  <c r="P263" i="7"/>
  <c r="J263" i="7" s="1"/>
  <c r="R263" i="7" s="1"/>
  <c r="S263" i="7"/>
  <c r="P267" i="7"/>
  <c r="L267" i="7" s="1"/>
  <c r="P268" i="7"/>
  <c r="J268" i="7" s="1"/>
  <c r="P269" i="7"/>
  <c r="L269" i="7" s="1"/>
  <c r="P266" i="7"/>
  <c r="L266" i="7" s="1"/>
  <c r="DO73" i="7"/>
  <c r="DO76" i="7"/>
  <c r="D214" i="7"/>
  <c r="CO68" i="7"/>
  <c r="AK74" i="7"/>
  <c r="AK75" i="7"/>
  <c r="AK76" i="7"/>
  <c r="AK80" i="7"/>
  <c r="EE74" i="7"/>
  <c r="EE76" i="7"/>
  <c r="EE80" i="7"/>
  <c r="AJ74" i="7"/>
  <c r="AJ76" i="7"/>
  <c r="AJ80" i="7"/>
  <c r="CO81" i="7"/>
  <c r="CO80" i="7"/>
  <c r="CO79" i="7"/>
  <c r="CO76" i="7"/>
  <c r="CO75" i="7"/>
  <c r="CO74" i="7"/>
  <c r="CO73" i="7"/>
  <c r="CO72" i="7"/>
  <c r="CO71" i="7"/>
  <c r="CO70" i="7"/>
  <c r="CO69" i="7"/>
  <c r="AA281" i="7"/>
  <c r="AA278" i="7"/>
  <c r="AA279" i="7"/>
  <c r="P284" i="7"/>
  <c r="J284" i="7" s="1"/>
  <c r="CC74" i="7"/>
  <c r="CD74" i="7"/>
  <c r="CE74" i="7"/>
  <c r="CC75" i="7"/>
  <c r="CD75" i="7"/>
  <c r="CE75" i="7"/>
  <c r="CC76" i="7"/>
  <c r="CD76" i="7"/>
  <c r="CE76" i="7"/>
  <c r="CC80" i="7"/>
  <c r="CD80" i="7"/>
  <c r="CE80" i="7"/>
  <c r="AD29" i="14"/>
  <c r="AD30" i="14"/>
  <c r="CB81" i="7"/>
  <c r="CB80" i="7"/>
  <c r="CB79" i="7"/>
  <c r="CB76" i="7"/>
  <c r="CB75" i="7"/>
  <c r="CB74" i="7"/>
  <c r="CB73" i="7"/>
  <c r="CB72" i="7"/>
  <c r="CB71" i="7"/>
  <c r="CB70" i="7"/>
  <c r="CB69" i="7"/>
  <c r="Q284" i="7"/>
  <c r="L284" i="7" s="1"/>
  <c r="CB68" i="7"/>
  <c r="BR74" i="7"/>
  <c r="FF74" i="7" s="1"/>
  <c r="BR76" i="7"/>
  <c r="FF76" i="7" s="1"/>
  <c r="BR80" i="7"/>
  <c r="FF80" i="7" s="1"/>
  <c r="BO74" i="7"/>
  <c r="BP74" i="7" s="1"/>
  <c r="BO80" i="7"/>
  <c r="BQ80" i="7" s="1"/>
  <c r="BO76" i="7"/>
  <c r="BT80" i="7"/>
  <c r="DC80" i="7" s="1"/>
  <c r="BT76" i="7"/>
  <c r="DC76" i="7" s="1"/>
  <c r="BT74" i="7"/>
  <c r="DC74" i="7" s="1"/>
  <c r="BS76" i="7"/>
  <c r="BS74" i="7"/>
  <c r="BS80" i="7"/>
  <c r="BU80" i="7"/>
  <c r="AA80" i="7" s="1"/>
  <c r="BU74" i="7"/>
  <c r="AA74" i="7" s="1"/>
  <c r="BU76" i="7"/>
  <c r="BW76" i="7"/>
  <c r="BW80" i="7"/>
  <c r="BG80" i="7" s="1"/>
  <c r="BW74" i="7"/>
  <c r="BX80" i="7"/>
  <c r="BX76" i="7"/>
  <c r="BX74" i="7"/>
  <c r="BY74" i="7"/>
  <c r="BY80" i="7"/>
  <c r="BY76" i="7"/>
  <c r="BV74" i="7"/>
  <c r="BF74" i="7" s="1"/>
  <c r="BV80" i="7"/>
  <c r="BF80" i="7" s="1"/>
  <c r="BV76" i="7"/>
  <c r="BF76" i="7" s="1"/>
  <c r="BZ74" i="7"/>
  <c r="BZ80" i="7"/>
  <c r="BZ76" i="7"/>
  <c r="CA76" i="7"/>
  <c r="CA80" i="7"/>
  <c r="CA74" i="7"/>
  <c r="BO75" i="7"/>
  <c r="BR75" i="7"/>
  <c r="FF75" i="7" s="1"/>
  <c r="BS75" i="7"/>
  <c r="BT75" i="7"/>
  <c r="DC75" i="7" s="1"/>
  <c r="BU75" i="7"/>
  <c r="AA75" i="7" s="1"/>
  <c r="AJ75" i="7"/>
  <c r="BW75" i="7"/>
  <c r="BG75" i="7" s="1"/>
  <c r="BX75" i="7"/>
  <c r="BY75" i="7"/>
  <c r="EE75" i="7"/>
  <c r="BV75" i="7"/>
  <c r="BF75" i="7" s="1"/>
  <c r="BZ75" i="7"/>
  <c r="CA75" i="7"/>
  <c r="S268" i="7"/>
  <c r="BR78" i="7"/>
  <c r="FF78" i="7" s="1"/>
  <c r="BO77" i="7"/>
  <c r="BP77" i="7" s="1"/>
  <c r="S316" i="7"/>
  <c r="Z316" i="7" s="1"/>
  <c r="S320" i="7"/>
  <c r="Z320" i="7" s="1"/>
  <c r="S328" i="7"/>
  <c r="Z328" i="7" s="1"/>
  <c r="U329" i="7"/>
  <c r="R329" i="7"/>
  <c r="Y329" i="7" s="1"/>
  <c r="R336" i="7"/>
  <c r="Y336" i="7" s="1"/>
  <c r="AB154" i="7"/>
  <c r="BR77" i="7"/>
  <c r="FF77" i="7" s="1"/>
  <c r="BO78" i="7"/>
  <c r="BP78" i="7" s="1"/>
  <c r="BS77" i="7"/>
  <c r="BS78" i="7"/>
  <c r="BT77" i="7"/>
  <c r="DC77" i="7" s="1"/>
  <c r="BT78" i="7"/>
  <c r="DC78" i="7" s="1"/>
  <c r="BU77" i="7"/>
  <c r="AA77" i="7" s="1"/>
  <c r="BU78" i="7"/>
  <c r="AA78" i="7" s="1"/>
  <c r="AJ77" i="7"/>
  <c r="AJ78" i="7"/>
  <c r="BW77" i="7"/>
  <c r="BG77" i="7" s="1"/>
  <c r="BW78" i="7"/>
  <c r="BG78" i="7" s="1"/>
  <c r="BX77" i="7"/>
  <c r="BX78" i="7"/>
  <c r="BY77" i="7"/>
  <c r="BY78" i="7"/>
  <c r="EE78" i="7"/>
  <c r="EE77" i="7"/>
  <c r="BV78" i="7"/>
  <c r="BF78" i="7" s="1"/>
  <c r="BV77" i="7"/>
  <c r="BF77" i="7" s="1"/>
  <c r="AK78" i="7"/>
  <c r="AK77" i="7"/>
  <c r="BZ78" i="7"/>
  <c r="BZ77" i="7"/>
  <c r="CC77" i="7"/>
  <c r="CC78" i="7"/>
  <c r="CD78" i="7"/>
  <c r="CD77" i="7"/>
  <c r="CA77" i="7"/>
  <c r="CA78" i="7"/>
  <c r="CE77" i="7"/>
  <c r="CE78" i="7"/>
  <c r="BO81" i="7"/>
  <c r="BP81" i="7" s="1"/>
  <c r="V336" i="7"/>
  <c r="AC336" i="7" s="1"/>
  <c r="S319" i="7"/>
  <c r="Z319" i="7" s="1"/>
  <c r="S335" i="7"/>
  <c r="Z335" i="7" s="1"/>
  <c r="T151" i="7"/>
  <c r="BR81" i="7"/>
  <c r="FF81" i="7" s="1"/>
  <c r="Z120" i="7"/>
  <c r="S266" i="7"/>
  <c r="BU81" i="7"/>
  <c r="Z81" i="7" s="1"/>
  <c r="S337" i="7"/>
  <c r="Z337" i="7" s="1"/>
  <c r="S329" i="7"/>
  <c r="Z329" i="7" s="1"/>
  <c r="BT81" i="7"/>
  <c r="DC81" i="7" s="1"/>
  <c r="BS81" i="7"/>
  <c r="AJ81" i="7"/>
  <c r="BW81" i="7"/>
  <c r="BG81" i="7" s="1"/>
  <c r="BX81" i="7"/>
  <c r="BY81" i="7"/>
  <c r="EE81" i="7"/>
  <c r="BV81" i="7"/>
  <c r="BF81" i="7" s="1"/>
  <c r="BZ81" i="7"/>
  <c r="AK81" i="7"/>
  <c r="CD81" i="7"/>
  <c r="CC81" i="7"/>
  <c r="CA81" i="7"/>
  <c r="CE81" i="7"/>
  <c r="AE320" i="7"/>
  <c r="AE329" i="7"/>
  <c r="AE337" i="7"/>
  <c r="DO71" i="7"/>
  <c r="BO69" i="7"/>
  <c r="BO71" i="7"/>
  <c r="BQ71" i="7" s="1"/>
  <c r="BR71" i="7"/>
  <c r="BS71" i="7"/>
  <c r="BT71" i="7"/>
  <c r="DC71" i="7" s="1"/>
  <c r="BU71" i="7"/>
  <c r="Z71" i="7" s="1"/>
  <c r="AJ71" i="7"/>
  <c r="BW71" i="7"/>
  <c r="BX71" i="7"/>
  <c r="BY71" i="7"/>
  <c r="EE71" i="7"/>
  <c r="BV71" i="7"/>
  <c r="BF71" i="7" s="1"/>
  <c r="BZ71" i="7"/>
  <c r="AK69" i="7"/>
  <c r="AK71" i="7"/>
  <c r="CA71" i="7"/>
  <c r="CC71" i="7"/>
  <c r="CD71" i="7"/>
  <c r="CE71" i="7"/>
  <c r="FD78" i="7" l="1"/>
  <c r="FE78" i="7"/>
  <c r="FD77" i="7"/>
  <c r="FE77" i="7"/>
  <c r="FD75" i="7"/>
  <c r="FE75" i="7"/>
  <c r="FE74" i="7"/>
  <c r="FD74" i="7"/>
  <c r="FE80" i="7"/>
  <c r="FD80" i="7"/>
  <c r="AB152" i="7"/>
  <c r="BG76" i="7"/>
  <c r="W293" i="7"/>
  <c r="BA78" i="7"/>
  <c r="AN78" i="7" s="1"/>
  <c r="BD77" i="7"/>
  <c r="AQ77" i="7" s="1"/>
  <c r="BG71" i="7"/>
  <c r="BA75" i="7"/>
  <c r="AM75" i="7" s="1"/>
  <c r="BD74" i="7"/>
  <c r="AP74" i="7" s="1"/>
  <c r="BD80" i="7"/>
  <c r="Q169" i="7"/>
  <c r="R169" i="7" s="1"/>
  <c r="AA147" i="7"/>
  <c r="AC147" i="7" s="1"/>
  <c r="AB143" i="7"/>
  <c r="AC143" i="7" s="1"/>
  <c r="AF143" i="7" s="1"/>
  <c r="AH143" i="7" s="1"/>
  <c r="AG143" i="7"/>
  <c r="BO138" i="7"/>
  <c r="BP138" i="7" s="1"/>
  <c r="BG74" i="7"/>
  <c r="BO139" i="7"/>
  <c r="BP139" i="7" s="1"/>
  <c r="BO140" i="7"/>
  <c r="BP140" i="7" s="1"/>
  <c r="BO141" i="7"/>
  <c r="BP141" i="7" s="1"/>
  <c r="AE30" i="14"/>
  <c r="B112" i="12" s="1"/>
  <c r="AE28" i="14"/>
  <c r="B110" i="12" s="1"/>
  <c r="AE31" i="14"/>
  <c r="B113" i="12" s="1"/>
  <c r="AE32" i="14"/>
  <c r="B114" i="12" s="1"/>
  <c r="AE29" i="14"/>
  <c r="B111" i="12" s="1"/>
  <c r="H117" i="7"/>
  <c r="AD117" i="7" s="1"/>
  <c r="AE117" i="7" s="1"/>
  <c r="H130" i="7"/>
  <c r="AD130" i="7" s="1"/>
  <c r="AE130" i="7" s="1"/>
  <c r="H115" i="7"/>
  <c r="AD115" i="7" s="1"/>
  <c r="H119" i="7"/>
  <c r="AD119" i="7" s="1"/>
  <c r="AE119" i="7" s="1"/>
  <c r="H123" i="7"/>
  <c r="AD123" i="7" s="1"/>
  <c r="AE123" i="7" s="1"/>
  <c r="H127" i="7"/>
  <c r="AD127" i="7" s="1"/>
  <c r="AE127" i="7" s="1"/>
  <c r="H120" i="7"/>
  <c r="AD120" i="7" s="1"/>
  <c r="AE120" i="7" s="1"/>
  <c r="H124" i="7"/>
  <c r="AD124" i="7" s="1"/>
  <c r="AE124" i="7" s="1"/>
  <c r="H128" i="7"/>
  <c r="AD128" i="7" s="1"/>
  <c r="AE128" i="7" s="1"/>
  <c r="H114" i="7"/>
  <c r="AD114" i="7" s="1"/>
  <c r="DB77" i="7"/>
  <c r="FG77" i="7"/>
  <c r="DB80" i="7"/>
  <c r="FG80" i="7"/>
  <c r="DB76" i="7"/>
  <c r="FG76" i="7"/>
  <c r="DB74" i="7"/>
  <c r="FG74" i="7"/>
  <c r="DB71" i="7"/>
  <c r="FG71" i="7"/>
  <c r="DB75" i="7"/>
  <c r="FG75" i="7"/>
  <c r="DB81" i="7"/>
  <c r="FG81" i="7"/>
  <c r="DB78" i="7"/>
  <c r="FG78" i="7"/>
  <c r="AD113" i="7"/>
  <c r="AL149" i="7"/>
  <c r="AQ149" i="7" s="1"/>
  <c r="U314" i="7"/>
  <c r="AQ314" i="7"/>
  <c r="AI314" i="7"/>
  <c r="AP314" i="7"/>
  <c r="AN314" i="7"/>
  <c r="S318" i="7"/>
  <c r="Z318" i="7" s="1"/>
  <c r="AI318" i="7"/>
  <c r="AQ318" i="7"/>
  <c r="AP318" i="7"/>
  <c r="AN318" i="7"/>
  <c r="T322" i="7"/>
  <c r="AI322" i="7"/>
  <c r="AQ322" i="7"/>
  <c r="AP322" i="7"/>
  <c r="AN322" i="7"/>
  <c r="S326" i="7"/>
  <c r="Z326" i="7" s="1"/>
  <c r="AQ326" i="7"/>
  <c r="AI326" i="7"/>
  <c r="AP326" i="7"/>
  <c r="AN326" i="7"/>
  <c r="R330" i="7"/>
  <c r="Y330" i="7" s="1"/>
  <c r="AI330" i="7"/>
  <c r="AQ330" i="7"/>
  <c r="AP330" i="7"/>
  <c r="AN330" i="7"/>
  <c r="U334" i="7"/>
  <c r="AQ334" i="7"/>
  <c r="AI334" i="7"/>
  <c r="AP334" i="7"/>
  <c r="AN334" i="7"/>
  <c r="AN151" i="7"/>
  <c r="AS151" i="7" s="1"/>
  <c r="AN155" i="7"/>
  <c r="AS155" i="7" s="1"/>
  <c r="U315" i="7"/>
  <c r="AI315" i="7"/>
  <c r="AQ315" i="7"/>
  <c r="AP315" i="7"/>
  <c r="AN315" i="7"/>
  <c r="R319" i="7"/>
  <c r="Y319" i="7" s="1"/>
  <c r="AI319" i="7"/>
  <c r="AQ319" i="7"/>
  <c r="AP319" i="7"/>
  <c r="AN319" i="7"/>
  <c r="S323" i="7"/>
  <c r="Z323" i="7" s="1"/>
  <c r="AI323" i="7"/>
  <c r="AQ323" i="7"/>
  <c r="AP323" i="7"/>
  <c r="AN323" i="7"/>
  <c r="V327" i="7"/>
  <c r="AC327" i="7" s="1"/>
  <c r="AI327" i="7"/>
  <c r="AQ327" i="7"/>
  <c r="AP327" i="7"/>
  <c r="AN327" i="7"/>
  <c r="U331" i="7"/>
  <c r="AI331" i="7"/>
  <c r="AQ331" i="7"/>
  <c r="AP331" i="7"/>
  <c r="AN331" i="7"/>
  <c r="R335" i="7"/>
  <c r="Y335" i="7" s="1"/>
  <c r="AI335" i="7"/>
  <c r="AQ335" i="7"/>
  <c r="AP335" i="7"/>
  <c r="AN335" i="7"/>
  <c r="AB329" i="7"/>
  <c r="X329" i="7"/>
  <c r="AL144" i="7"/>
  <c r="AQ144" i="7" s="1"/>
  <c r="AO145" i="7"/>
  <c r="AT145" i="7" s="1"/>
  <c r="T148" i="7"/>
  <c r="AM148" i="7" s="1"/>
  <c r="AR148" i="7" s="1"/>
  <c r="AL148" i="7"/>
  <c r="AQ148" i="7" s="1"/>
  <c r="AO151" i="7"/>
  <c r="AT151" i="7" s="1"/>
  <c r="T152" i="7"/>
  <c r="AM152" i="7" s="1"/>
  <c r="AR152" i="7" s="1"/>
  <c r="AL152" i="7"/>
  <c r="AQ152" i="7" s="1"/>
  <c r="V316" i="7"/>
  <c r="AC316" i="7" s="1"/>
  <c r="AQ316" i="7"/>
  <c r="AI316" i="7"/>
  <c r="AN316" i="7"/>
  <c r="AP316" i="7"/>
  <c r="U320" i="7"/>
  <c r="AQ320" i="7"/>
  <c r="AI320" i="7"/>
  <c r="AN320" i="7"/>
  <c r="AP320" i="7"/>
  <c r="R324" i="7"/>
  <c r="Y324" i="7" s="1"/>
  <c r="AQ324" i="7"/>
  <c r="AI324" i="7"/>
  <c r="AN324" i="7"/>
  <c r="AP324" i="7"/>
  <c r="V328" i="7"/>
  <c r="AC328" i="7" s="1"/>
  <c r="AQ328" i="7"/>
  <c r="AI328" i="7"/>
  <c r="AN328" i="7"/>
  <c r="AP328" i="7"/>
  <c r="T332" i="7"/>
  <c r="AQ332" i="7"/>
  <c r="AI332" i="7"/>
  <c r="AN332" i="7"/>
  <c r="AP332" i="7"/>
  <c r="U336" i="7"/>
  <c r="AQ336" i="7"/>
  <c r="AI336" i="7"/>
  <c r="AN336" i="7"/>
  <c r="AP336" i="7"/>
  <c r="AM151" i="7"/>
  <c r="AR151" i="7" s="1"/>
  <c r="AP145" i="7"/>
  <c r="AU145" i="7" s="1"/>
  <c r="AN146" i="7"/>
  <c r="AS146" i="7" s="1"/>
  <c r="AN150" i="7"/>
  <c r="AS150" i="7" s="1"/>
  <c r="AN154" i="7"/>
  <c r="AS154" i="7" s="1"/>
  <c r="AP155" i="7"/>
  <c r="AU155" i="7" s="1"/>
  <c r="T313" i="7"/>
  <c r="AQ313" i="7"/>
  <c r="AI313" i="7"/>
  <c r="AP313" i="7"/>
  <c r="AN313" i="7"/>
  <c r="AE317" i="7"/>
  <c r="AQ317" i="7"/>
  <c r="AI317" i="7"/>
  <c r="AP317" i="7"/>
  <c r="AN317" i="7"/>
  <c r="R321" i="7"/>
  <c r="Y321" i="7" s="1"/>
  <c r="AQ321" i="7"/>
  <c r="AI321" i="7"/>
  <c r="AP321" i="7"/>
  <c r="AN321" i="7"/>
  <c r="V325" i="7"/>
  <c r="AC325" i="7" s="1"/>
  <c r="AQ325" i="7"/>
  <c r="AI325" i="7"/>
  <c r="AP325" i="7"/>
  <c r="AN325" i="7"/>
  <c r="T329" i="7"/>
  <c r="AQ329" i="7"/>
  <c r="AI329" i="7"/>
  <c r="AP329" i="7"/>
  <c r="AN329" i="7"/>
  <c r="V333" i="7"/>
  <c r="AC333" i="7" s="1"/>
  <c r="AQ333" i="7"/>
  <c r="AI333" i="7"/>
  <c r="AP333" i="7"/>
  <c r="AN333" i="7"/>
  <c r="T337" i="7"/>
  <c r="AQ337" i="7"/>
  <c r="AI337" i="7"/>
  <c r="AP337" i="7"/>
  <c r="AN337" i="7"/>
  <c r="F126" i="7"/>
  <c r="S126" i="7" s="1"/>
  <c r="AL126" i="7" s="1"/>
  <c r="AQ126" i="7" s="1"/>
  <c r="M126" i="7"/>
  <c r="W126" i="7" s="1"/>
  <c r="AP126" i="7" s="1"/>
  <c r="AU126" i="7" s="1"/>
  <c r="J126" i="7"/>
  <c r="U126" i="7" s="1"/>
  <c r="BP126" i="7" s="1"/>
  <c r="K126" i="7"/>
  <c r="V126" i="7" s="1"/>
  <c r="AO126" i="7" s="1"/>
  <c r="AT126" i="7" s="1"/>
  <c r="F119" i="7"/>
  <c r="M119" i="7" s="1"/>
  <c r="W119" i="7" s="1"/>
  <c r="AP119" i="7" s="1"/>
  <c r="AU119" i="7" s="1"/>
  <c r="F123" i="7"/>
  <c r="M123" i="7"/>
  <c r="W123" i="7" s="1"/>
  <c r="AP123" i="7" s="1"/>
  <c r="AU123" i="7" s="1"/>
  <c r="K123" i="7"/>
  <c r="V123" i="7" s="1"/>
  <c r="AO123" i="7" s="1"/>
  <c r="J123" i="7"/>
  <c r="U123" i="7" s="1"/>
  <c r="AN123" i="7" s="1"/>
  <c r="F125" i="7"/>
  <c r="S125" i="7" s="1"/>
  <c r="AL125" i="7" s="1"/>
  <c r="AQ125" i="7" s="1"/>
  <c r="M125" i="7"/>
  <c r="W125" i="7" s="1"/>
  <c r="AP125" i="7" s="1"/>
  <c r="AU125" i="7" s="1"/>
  <c r="K125" i="7"/>
  <c r="V125" i="7" s="1"/>
  <c r="AO125" i="7" s="1"/>
  <c r="AT125" i="7" s="1"/>
  <c r="J125" i="7"/>
  <c r="U125" i="7" s="1"/>
  <c r="AN125" i="7" s="1"/>
  <c r="AS125" i="7" s="1"/>
  <c r="F128" i="7"/>
  <c r="S128" i="7" s="1"/>
  <c r="AL128" i="7" s="1"/>
  <c r="M128" i="7"/>
  <c r="W128" i="7" s="1"/>
  <c r="AP128" i="7" s="1"/>
  <c r="AU128" i="7" s="1"/>
  <c r="K128" i="7"/>
  <c r="V128" i="7" s="1"/>
  <c r="AO128" i="7" s="1"/>
  <c r="AT128" i="7" s="1"/>
  <c r="J128" i="7"/>
  <c r="U128" i="7" s="1"/>
  <c r="AN128" i="7" s="1"/>
  <c r="AS128" i="7" s="1"/>
  <c r="F130" i="7"/>
  <c r="S130" i="7" s="1"/>
  <c r="AL130" i="7" s="1"/>
  <c r="AQ130" i="7" s="1"/>
  <c r="J130" i="7"/>
  <c r="U130" i="7" s="1"/>
  <c r="BP130" i="7" s="1"/>
  <c r="M130" i="7"/>
  <c r="W130" i="7" s="1"/>
  <c r="AP130" i="7" s="1"/>
  <c r="AU130" i="7" s="1"/>
  <c r="K130" i="7"/>
  <c r="V130" i="7" s="1"/>
  <c r="AO130" i="7" s="1"/>
  <c r="AT130" i="7" s="1"/>
  <c r="F116" i="7"/>
  <c r="S116" i="7" s="1"/>
  <c r="AL116" i="7" s="1"/>
  <c r="AQ116" i="7" s="1"/>
  <c r="F118" i="7"/>
  <c r="S118" i="7" s="1"/>
  <c r="T118" i="7" s="1"/>
  <c r="AM118" i="7" s="1"/>
  <c r="F120" i="7"/>
  <c r="S120" i="7" s="1"/>
  <c r="AL120" i="7" s="1"/>
  <c r="K120" i="7"/>
  <c r="V120" i="7" s="1"/>
  <c r="AO120" i="7" s="1"/>
  <c r="AT120" i="7" s="1"/>
  <c r="J120" i="7"/>
  <c r="U120" i="7" s="1"/>
  <c r="BP120" i="7" s="1"/>
  <c r="M120" i="7"/>
  <c r="W120" i="7" s="1"/>
  <c r="AP120" i="7" s="1"/>
  <c r="AU120" i="7" s="1"/>
  <c r="F122" i="7"/>
  <c r="S122" i="7" s="1"/>
  <c r="T122" i="7" s="1"/>
  <c r="AM122" i="7" s="1"/>
  <c r="M122" i="7"/>
  <c r="W122" i="7" s="1"/>
  <c r="AP122" i="7" s="1"/>
  <c r="AU122" i="7" s="1"/>
  <c r="K122" i="7"/>
  <c r="V122" i="7" s="1"/>
  <c r="AO122" i="7" s="1"/>
  <c r="J122" i="7"/>
  <c r="U122" i="7" s="1"/>
  <c r="F124" i="7"/>
  <c r="S124" i="7" s="1"/>
  <c r="T124" i="7" s="1"/>
  <c r="M124" i="7"/>
  <c r="W124" i="7" s="1"/>
  <c r="AP124" i="7" s="1"/>
  <c r="AU124" i="7" s="1"/>
  <c r="K124" i="7"/>
  <c r="V124" i="7" s="1"/>
  <c r="AO124" i="7" s="1"/>
  <c r="AT124" i="7" s="1"/>
  <c r="J124" i="7"/>
  <c r="U124" i="7" s="1"/>
  <c r="F127" i="7"/>
  <c r="S127" i="7" s="1"/>
  <c r="AL127" i="7" s="1"/>
  <c r="AQ127" i="7" s="1"/>
  <c r="M127" i="7"/>
  <c r="W127" i="7" s="1"/>
  <c r="AP127" i="7" s="1"/>
  <c r="AU127" i="7" s="1"/>
  <c r="K127" i="7"/>
  <c r="V127" i="7" s="1"/>
  <c r="AO127" i="7" s="1"/>
  <c r="AT127" i="7" s="1"/>
  <c r="J127" i="7"/>
  <c r="U127" i="7" s="1"/>
  <c r="AN127" i="7" s="1"/>
  <c r="AS127" i="7" s="1"/>
  <c r="AO141" i="7"/>
  <c r="AT141" i="7" s="1"/>
  <c r="AP141" i="7"/>
  <c r="AU141" i="7" s="1"/>
  <c r="AP142" i="7"/>
  <c r="AU142" i="7" s="1"/>
  <c r="AN143" i="7"/>
  <c r="AS143" i="7" s="1"/>
  <c r="F117" i="7"/>
  <c r="J117" i="7" s="1"/>
  <c r="U117" i="7" s="1"/>
  <c r="BP117" i="7" s="1"/>
  <c r="F115" i="7"/>
  <c r="J115" i="7" s="1"/>
  <c r="U115" i="7" s="1"/>
  <c r="AN139" i="7"/>
  <c r="F121" i="7"/>
  <c r="Y121" i="7" s="1"/>
  <c r="Z121" i="7" s="1"/>
  <c r="AA121" i="7" s="1"/>
  <c r="AN138" i="7"/>
  <c r="AS138" i="7" s="1"/>
  <c r="F114" i="7"/>
  <c r="F129" i="7"/>
  <c r="S129" i="7" s="1"/>
  <c r="T129" i="7" s="1"/>
  <c r="M129" i="7"/>
  <c r="W129" i="7" s="1"/>
  <c r="AP129" i="7" s="1"/>
  <c r="BC71" i="7"/>
  <c r="AP139" i="7"/>
  <c r="AU139" i="7" s="1"/>
  <c r="AO138" i="7"/>
  <c r="AT138" i="7" s="1"/>
  <c r="AP138" i="7"/>
  <c r="AU138" i="7" s="1"/>
  <c r="AD26" i="12"/>
  <c r="Q26" i="12"/>
  <c r="X26" i="12"/>
  <c r="AE26" i="12"/>
  <c r="R26" i="12"/>
  <c r="I26" i="12"/>
  <c r="AH26" i="12"/>
  <c r="AF26" i="12"/>
  <c r="J26" i="12"/>
  <c r="AG26" i="12"/>
  <c r="W26" i="12"/>
  <c r="AG27" i="12"/>
  <c r="W27" i="12"/>
  <c r="AE27" i="12"/>
  <c r="AH27" i="12"/>
  <c r="X27" i="12"/>
  <c r="Q27" i="12"/>
  <c r="AF27" i="12"/>
  <c r="R27" i="12"/>
  <c r="AD27" i="12"/>
  <c r="F27" i="12"/>
  <c r="Z27" i="12"/>
  <c r="G27" i="12"/>
  <c r="AA27" i="12"/>
  <c r="H27" i="12"/>
  <c r="H29" i="12" s="1"/>
  <c r="S27" i="12"/>
  <c r="AB27" i="12"/>
  <c r="I27" i="12"/>
  <c r="T27" i="12"/>
  <c r="J27" i="12"/>
  <c r="U27" i="12"/>
  <c r="M27" i="12"/>
  <c r="K27" i="12"/>
  <c r="V27" i="12"/>
  <c r="N27" i="12"/>
  <c r="L27" i="12"/>
  <c r="O27" i="12"/>
  <c r="P27" i="12"/>
  <c r="Y27" i="12"/>
  <c r="E27" i="12"/>
  <c r="AA120" i="7"/>
  <c r="AL309" i="7"/>
  <c r="AL310" i="7" s="1"/>
  <c r="AL311" i="7" s="1"/>
  <c r="AL312" i="7" s="1"/>
  <c r="AL313" i="7" s="1"/>
  <c r="K26" i="12"/>
  <c r="Y26" i="12"/>
  <c r="E26" i="12"/>
  <c r="E36" i="12" s="1"/>
  <c r="L26" i="12"/>
  <c r="Z26" i="12"/>
  <c r="H26" i="12"/>
  <c r="G26" i="12"/>
  <c r="AA26" i="12"/>
  <c r="P26" i="12"/>
  <c r="T26" i="12"/>
  <c r="F26" i="12"/>
  <c r="S26" i="12"/>
  <c r="AB26" i="12"/>
  <c r="O26" i="12"/>
  <c r="U26" i="12"/>
  <c r="M26" i="12"/>
  <c r="V26" i="12"/>
  <c r="N26" i="12"/>
  <c r="AT140" i="7"/>
  <c r="AN140" i="7"/>
  <c r="AS140" i="7" s="1"/>
  <c r="AP140" i="7"/>
  <c r="AU140" i="7" s="1"/>
  <c r="AB149" i="7"/>
  <c r="AC149" i="7" s="1"/>
  <c r="AG149" i="7" s="1"/>
  <c r="AF149" i="7" s="1"/>
  <c r="AH149" i="7" s="1"/>
  <c r="R310" i="7"/>
  <c r="Y310" i="7" s="1"/>
  <c r="V312" i="7"/>
  <c r="AC312" i="7" s="1"/>
  <c r="AP312" i="7"/>
  <c r="T311" i="7"/>
  <c r="AA311" i="7" s="1"/>
  <c r="AQ311" i="7"/>
  <c r="AI311" i="7"/>
  <c r="AP311" i="7"/>
  <c r="AN311" i="7"/>
  <c r="R309" i="7"/>
  <c r="Y309" i="7" s="1"/>
  <c r="DA71" i="7"/>
  <c r="FF71" i="7"/>
  <c r="F113" i="7"/>
  <c r="J269" i="7"/>
  <c r="DK81" i="7"/>
  <c r="AE330" i="7"/>
  <c r="G91" i="31"/>
  <c r="H91" i="31" s="1"/>
  <c r="I91" i="31" s="1"/>
  <c r="J91" i="31" s="1"/>
  <c r="K91" i="31" s="1"/>
  <c r="S322" i="7"/>
  <c r="Z322" i="7" s="1"/>
  <c r="S334" i="7"/>
  <c r="Z334" i="7" s="1"/>
  <c r="R326" i="7"/>
  <c r="Y326" i="7" s="1"/>
  <c r="AE322" i="7"/>
  <c r="T326" i="7"/>
  <c r="V326" i="7"/>
  <c r="AC326" i="7" s="1"/>
  <c r="U326" i="7"/>
  <c r="U322" i="7"/>
  <c r="V334" i="7"/>
  <c r="AC334" i="7" s="1"/>
  <c r="AE334" i="7"/>
  <c r="AQ147" i="7"/>
  <c r="AB141" i="7"/>
  <c r="AC141" i="7" s="1"/>
  <c r="AG141" i="7" s="1"/>
  <c r="AF141" i="7" s="1"/>
  <c r="AH141" i="7" s="1"/>
  <c r="T143" i="7"/>
  <c r="AM143" i="7" s="1"/>
  <c r="V315" i="7"/>
  <c r="AC315" i="7" s="1"/>
  <c r="T331" i="7"/>
  <c r="AB148" i="7"/>
  <c r="AC148" i="7" s="1"/>
  <c r="AG148" i="7" s="1"/>
  <c r="R311" i="7"/>
  <c r="Y311" i="7" s="1"/>
  <c r="T334" i="7"/>
  <c r="S327" i="7"/>
  <c r="Z327" i="7" s="1"/>
  <c r="AE315" i="7"/>
  <c r="V331" i="7"/>
  <c r="AC331" i="7" s="1"/>
  <c r="S331" i="7"/>
  <c r="Z331" i="7" s="1"/>
  <c r="R334" i="7"/>
  <c r="Y334" i="7" s="1"/>
  <c r="AS149" i="7"/>
  <c r="R328" i="7"/>
  <c r="Y328" i="7" s="1"/>
  <c r="V335" i="7"/>
  <c r="AC335" i="7" s="1"/>
  <c r="AE325" i="7"/>
  <c r="AB138" i="7"/>
  <c r="AC138" i="7" s="1"/>
  <c r="AG138" i="7" s="1"/>
  <c r="AF138" i="7" s="1"/>
  <c r="AH138" i="7" s="1"/>
  <c r="R333" i="7"/>
  <c r="Y333" i="7" s="1"/>
  <c r="R317" i="7"/>
  <c r="Y317" i="7" s="1"/>
  <c r="T333" i="7"/>
  <c r="S324" i="7"/>
  <c r="Z324" i="7" s="1"/>
  <c r="T320" i="7"/>
  <c r="G53" i="31"/>
  <c r="H53" i="31" s="1"/>
  <c r="I53" i="31" s="1"/>
  <c r="J53" i="31" s="1"/>
  <c r="K53" i="31" s="1"/>
  <c r="AG81" i="7"/>
  <c r="S317" i="7"/>
  <c r="Z317" i="7" s="1"/>
  <c r="G82" i="31"/>
  <c r="H82" i="31" s="1"/>
  <c r="I82" i="31" s="1"/>
  <c r="J82" i="31" s="1"/>
  <c r="K82" i="31" s="1"/>
  <c r="G71" i="31"/>
  <c r="H71" i="31" s="1"/>
  <c r="I71" i="31" s="1"/>
  <c r="J71" i="31" s="1"/>
  <c r="K71" i="31" s="1"/>
  <c r="AE333" i="7"/>
  <c r="V329" i="7"/>
  <c r="AC329" i="7" s="1"/>
  <c r="U333" i="7"/>
  <c r="DO81" i="7"/>
  <c r="V320" i="7"/>
  <c r="AC320" i="7" s="1"/>
  <c r="S325" i="7"/>
  <c r="Z325" i="7" s="1"/>
  <c r="V337" i="7"/>
  <c r="AC337" i="7" s="1"/>
  <c r="G7" i="31"/>
  <c r="H7" i="31" s="1"/>
  <c r="I7" i="31" s="1"/>
  <c r="J7" i="31" s="1"/>
  <c r="K7" i="31" s="1"/>
  <c r="G45" i="31"/>
  <c r="H45" i="31" s="1"/>
  <c r="I45" i="31" s="1"/>
  <c r="J45" i="31" s="1"/>
  <c r="K45" i="31" s="1"/>
  <c r="L268" i="7"/>
  <c r="R268" i="7" s="1"/>
  <c r="G85" i="31"/>
  <c r="H85" i="31" s="1"/>
  <c r="I85" i="31" s="1"/>
  <c r="J85" i="31" s="1"/>
  <c r="K85" i="31" s="1"/>
  <c r="AE328" i="7"/>
  <c r="T319" i="7"/>
  <c r="J266" i="7"/>
  <c r="R266" i="7" s="1"/>
  <c r="T318" i="7"/>
  <c r="U319" i="7"/>
  <c r="T314" i="7"/>
  <c r="AS142" i="7"/>
  <c r="U311" i="7"/>
  <c r="AT154" i="7"/>
  <c r="AU151" i="7"/>
  <c r="R337" i="7"/>
  <c r="Y337" i="7" s="1"/>
  <c r="U328" i="7"/>
  <c r="U337" i="7"/>
  <c r="R331" i="7"/>
  <c r="Y331" i="7" s="1"/>
  <c r="T325" i="7"/>
  <c r="V319" i="7"/>
  <c r="AC319" i="7" s="1"/>
  <c r="R315" i="7"/>
  <c r="Y315" i="7" s="1"/>
  <c r="AU154" i="7"/>
  <c r="T330" i="7"/>
  <c r="S330" i="7"/>
  <c r="Z330" i="7" s="1"/>
  <c r="T315" i="7"/>
  <c r="G55" i="31"/>
  <c r="H55" i="31" s="1"/>
  <c r="I55" i="31" s="1"/>
  <c r="J55" i="31" s="1"/>
  <c r="K55" i="31" s="1"/>
  <c r="G29" i="31"/>
  <c r="H29" i="31" s="1"/>
  <c r="I29" i="31" s="1"/>
  <c r="J29" i="31" s="1"/>
  <c r="K29" i="31" s="1"/>
  <c r="G18" i="31"/>
  <c r="H18" i="31" s="1"/>
  <c r="I18" i="31" s="1"/>
  <c r="J18" i="31" s="1"/>
  <c r="K18" i="31" s="1"/>
  <c r="G47" i="31"/>
  <c r="H47" i="31" s="1"/>
  <c r="I47" i="31" s="1"/>
  <c r="J47" i="31" s="1"/>
  <c r="K47" i="31" s="1"/>
  <c r="G36" i="31"/>
  <c r="H36" i="31" s="1"/>
  <c r="I36" i="31" s="1"/>
  <c r="J36" i="31" s="1"/>
  <c r="K36" i="31" s="1"/>
  <c r="G72" i="31"/>
  <c r="H72" i="31" s="1"/>
  <c r="I72" i="31" s="1"/>
  <c r="J72" i="31" s="1"/>
  <c r="K72" i="31" s="1"/>
  <c r="G22" i="31"/>
  <c r="H22" i="31" s="1"/>
  <c r="I22" i="31" s="1"/>
  <c r="J22" i="31" s="1"/>
  <c r="K22" i="31" s="1"/>
  <c r="AA282" i="7"/>
  <c r="E275" i="7" s="1"/>
  <c r="AB282" i="7"/>
  <c r="U330" i="7"/>
  <c r="U325" i="7"/>
  <c r="V330" i="7"/>
  <c r="AC330" i="7" s="1"/>
  <c r="G35" i="31"/>
  <c r="H35" i="31" s="1"/>
  <c r="I35" i="31" s="1"/>
  <c r="J35" i="31" s="1"/>
  <c r="K35" i="31" s="1"/>
  <c r="G83" i="31"/>
  <c r="H83" i="31" s="1"/>
  <c r="I83" i="31" s="1"/>
  <c r="J83" i="31" s="1"/>
  <c r="K83" i="31" s="1"/>
  <c r="G94" i="31"/>
  <c r="H94" i="31" s="1"/>
  <c r="I94" i="31" s="1"/>
  <c r="J94" i="31" s="1"/>
  <c r="K94" i="31" s="1"/>
  <c r="AC282" i="7"/>
  <c r="AE331" i="7"/>
  <c r="AE326" i="7"/>
  <c r="AE319" i="7"/>
  <c r="AE311" i="7"/>
  <c r="S315" i="7"/>
  <c r="Z315" i="7" s="1"/>
  <c r="T147" i="7"/>
  <c r="AS144" i="7"/>
  <c r="S311" i="7"/>
  <c r="Z311" i="7" s="1"/>
  <c r="AC78" i="7"/>
  <c r="AU153" i="7"/>
  <c r="AA144" i="7"/>
  <c r="AC144" i="7" s="1"/>
  <c r="AG144" i="7" s="1"/>
  <c r="AF144" i="7" s="1"/>
  <c r="AH144" i="7" s="1"/>
  <c r="V311" i="7"/>
  <c r="AC311" i="7" s="1"/>
  <c r="V322" i="7"/>
  <c r="AC322" i="7" s="1"/>
  <c r="T328" i="7"/>
  <c r="G96" i="31"/>
  <c r="H96" i="31" s="1"/>
  <c r="I96" i="31" s="1"/>
  <c r="J96" i="31" s="1"/>
  <c r="K96" i="31" s="1"/>
  <c r="G26" i="31"/>
  <c r="H26" i="31" s="1"/>
  <c r="I26" i="31" s="1"/>
  <c r="J26" i="31" s="1"/>
  <c r="K26" i="31" s="1"/>
  <c r="G70" i="31"/>
  <c r="H70" i="31" s="1"/>
  <c r="I70" i="31" s="1"/>
  <c r="J70" i="31" s="1"/>
  <c r="K70" i="31" s="1"/>
  <c r="AA155" i="7"/>
  <c r="AC155" i="7" s="1"/>
  <c r="AG155" i="7" s="1"/>
  <c r="AF155" i="7" s="1"/>
  <c r="AH155" i="7" s="1"/>
  <c r="T309" i="7"/>
  <c r="AE336" i="7"/>
  <c r="AE332" i="7"/>
  <c r="AE324" i="7"/>
  <c r="AE314" i="7"/>
  <c r="AC81" i="7"/>
  <c r="S313" i="7"/>
  <c r="Z313" i="7" s="1"/>
  <c r="AU148" i="7"/>
  <c r="T144" i="7"/>
  <c r="U323" i="7"/>
  <c r="AG78" i="7"/>
  <c r="AT150" i="7"/>
  <c r="AQ145" i="7"/>
  <c r="AS145" i="7"/>
  <c r="AB146" i="7"/>
  <c r="AC146" i="7" s="1"/>
  <c r="R320" i="7"/>
  <c r="Y320" i="7" s="1"/>
  <c r="R313" i="7"/>
  <c r="Y313" i="7" s="1"/>
  <c r="R327" i="7"/>
  <c r="Y327" i="7" s="1"/>
  <c r="V323" i="7"/>
  <c r="AC323" i="7" s="1"/>
  <c r="U327" i="7"/>
  <c r="AS141" i="7"/>
  <c r="U316" i="7"/>
  <c r="T335" i="7"/>
  <c r="AC76" i="7"/>
  <c r="BP155" i="7"/>
  <c r="AE327" i="7"/>
  <c r="AE323" i="7"/>
  <c r="AE313" i="7"/>
  <c r="S333" i="7"/>
  <c r="Z333" i="7" s="1"/>
  <c r="AT139" i="7"/>
  <c r="T327" i="7"/>
  <c r="T316" i="7"/>
  <c r="AU149" i="7"/>
  <c r="AT152" i="7"/>
  <c r="AU147" i="7"/>
  <c r="T145" i="7"/>
  <c r="R316" i="7"/>
  <c r="Y316" i="7" s="1"/>
  <c r="R323" i="7"/>
  <c r="Y323" i="7" s="1"/>
  <c r="T323" i="7"/>
  <c r="J267" i="7"/>
  <c r="R267" i="7" s="1"/>
  <c r="EZ78" i="7"/>
  <c r="FA78" i="7"/>
  <c r="EZ77" i="7"/>
  <c r="FA77" i="7"/>
  <c r="EZ81" i="7"/>
  <c r="FA81" i="7"/>
  <c r="EZ74" i="7"/>
  <c r="FA74" i="7"/>
  <c r="AD116" i="7"/>
  <c r="AE116" i="7" s="1"/>
  <c r="R258" i="7"/>
  <c r="S258" i="7" s="1"/>
  <c r="S270" i="7" s="1"/>
  <c r="AD122" i="7"/>
  <c r="AE122" i="7" s="1"/>
  <c r="AT155" i="7"/>
  <c r="AD125" i="7"/>
  <c r="AE125" i="7" s="1"/>
  <c r="AE335" i="7"/>
  <c r="S309" i="7"/>
  <c r="Z309" i="7" s="1"/>
  <c r="AB137" i="7"/>
  <c r="AC137" i="7" s="1"/>
  <c r="AG137" i="7" s="1"/>
  <c r="AF137" i="7" s="1"/>
  <c r="AH137" i="7" s="1"/>
  <c r="T154" i="7"/>
  <c r="U335" i="7"/>
  <c r="T324" i="7"/>
  <c r="AU152" i="7"/>
  <c r="AS153" i="7"/>
  <c r="AA151" i="7"/>
  <c r="AC151" i="7" s="1"/>
  <c r="AG151" i="7" s="1"/>
  <c r="AF151" i="7" s="1"/>
  <c r="AH151" i="7" s="1"/>
  <c r="AG147" i="7"/>
  <c r="AF147" i="7" s="1"/>
  <c r="AH147" i="7" s="1"/>
  <c r="AT144" i="7"/>
  <c r="AA142" i="7"/>
  <c r="AC142" i="7" s="1"/>
  <c r="AA140" i="7"/>
  <c r="AC140" i="7" s="1"/>
  <c r="AG140" i="7" s="1"/>
  <c r="AF140" i="7" s="1"/>
  <c r="AH140" i="7" s="1"/>
  <c r="R332" i="7"/>
  <c r="Y332" i="7" s="1"/>
  <c r="U332" i="7"/>
  <c r="U312" i="7"/>
  <c r="AQ312" i="7" s="1"/>
  <c r="T321" i="7"/>
  <c r="U318" i="7"/>
  <c r="U309" i="7"/>
  <c r="R322" i="7"/>
  <c r="Y322" i="7" s="1"/>
  <c r="AE318" i="7"/>
  <c r="S321" i="7"/>
  <c r="Z321" i="7" s="1"/>
  <c r="V332" i="7"/>
  <c r="AC332" i="7" s="1"/>
  <c r="R318" i="7"/>
  <c r="Y318" i="7" s="1"/>
  <c r="R312" i="7"/>
  <c r="Y312" i="7" s="1"/>
  <c r="V321" i="7"/>
  <c r="AC321" i="7" s="1"/>
  <c r="U321" i="7"/>
  <c r="AG76" i="7"/>
  <c r="AB120" i="7"/>
  <c r="BP146" i="7"/>
  <c r="AD121" i="7"/>
  <c r="AE121" i="7" s="1"/>
  <c r="T137" i="7"/>
  <c r="AE321" i="7"/>
  <c r="V309" i="7"/>
  <c r="AC309" i="7" s="1"/>
  <c r="T142" i="7"/>
  <c r="V318" i="7"/>
  <c r="AC318" i="7" s="1"/>
  <c r="AQ143" i="7"/>
  <c r="S332" i="7"/>
  <c r="Z332" i="7" s="1"/>
  <c r="S312" i="7"/>
  <c r="Z312" i="7" s="1"/>
  <c r="AQ154" i="7"/>
  <c r="AQ142" i="7"/>
  <c r="T312" i="7"/>
  <c r="Y270" i="7"/>
  <c r="BA74" i="7"/>
  <c r="BQ74" i="7"/>
  <c r="DA80" i="7"/>
  <c r="Z74" i="7"/>
  <c r="BD75" i="7"/>
  <c r="Z75" i="7"/>
  <c r="BD78" i="7"/>
  <c r="DA77" i="7"/>
  <c r="DA76" i="7"/>
  <c r="BP80" i="7"/>
  <c r="DA78" i="7"/>
  <c r="DA75" i="7"/>
  <c r="AR149" i="7"/>
  <c r="AD126" i="7"/>
  <c r="AE126" i="7" s="1"/>
  <c r="AQ138" i="7"/>
  <c r="T138" i="7"/>
  <c r="AU143" i="7"/>
  <c r="AU146" i="7"/>
  <c r="AT147" i="7"/>
  <c r="AT148" i="7"/>
  <c r="AQ139" i="7"/>
  <c r="T139" i="7"/>
  <c r="AQ150" i="7"/>
  <c r="T150" i="7"/>
  <c r="DO69" i="7"/>
  <c r="AC152" i="7"/>
  <c r="AG152" i="7" s="1"/>
  <c r="AF152" i="7" s="1"/>
  <c r="AH152" i="7" s="1"/>
  <c r="AT153" i="7"/>
  <c r="AQ155" i="7"/>
  <c r="T155" i="7"/>
  <c r="AM155" i="7" s="1"/>
  <c r="AA150" i="7"/>
  <c r="AB150" i="7"/>
  <c r="BC81" i="7"/>
  <c r="AZ81" i="7"/>
  <c r="DO75" i="7"/>
  <c r="AD118" i="7"/>
  <c r="AE118" i="7" s="1"/>
  <c r="BP152" i="7"/>
  <c r="BP147" i="7"/>
  <c r="BP151" i="7"/>
  <c r="Z77" i="7"/>
  <c r="BQ77" i="7"/>
  <c r="BA80" i="7"/>
  <c r="BA77" i="7"/>
  <c r="AA81" i="7"/>
  <c r="AA71" i="7"/>
  <c r="DA74" i="7"/>
  <c r="BP71" i="7"/>
  <c r="Z80" i="7"/>
  <c r="Z78" i="7"/>
  <c r="BQ81" i="7"/>
  <c r="D29" i="12"/>
  <c r="D28" i="12"/>
  <c r="DA81" i="7"/>
  <c r="Z76" i="7"/>
  <c r="AA76" i="7"/>
  <c r="BQ78" i="7"/>
  <c r="AB139" i="7"/>
  <c r="AA139" i="7"/>
  <c r="AQ146" i="7"/>
  <c r="T146" i="7"/>
  <c r="AM146" i="7" s="1"/>
  <c r="AU150" i="7"/>
  <c r="V324" i="7"/>
  <c r="AC324" i="7" s="1"/>
  <c r="U324" i="7"/>
  <c r="Q168" i="7"/>
  <c r="P168" i="7"/>
  <c r="BP149" i="7"/>
  <c r="T336" i="7"/>
  <c r="S336" i="7"/>
  <c r="Z336" i="7" s="1"/>
  <c r="BP76" i="7"/>
  <c r="FA76" i="7" s="1"/>
  <c r="BQ76" i="7"/>
  <c r="AQ141" i="7"/>
  <c r="T141" i="7"/>
  <c r="R314" i="7"/>
  <c r="Y314" i="7" s="1"/>
  <c r="S314" i="7"/>
  <c r="Z314" i="7" s="1"/>
  <c r="V314" i="7"/>
  <c r="AC314" i="7" s="1"/>
  <c r="T317" i="7"/>
  <c r="U317" i="7"/>
  <c r="V317" i="7"/>
  <c r="AC317" i="7" s="1"/>
  <c r="BP75" i="7"/>
  <c r="EZ75" i="7" s="1"/>
  <c r="BQ75" i="7"/>
  <c r="DO79" i="7"/>
  <c r="DO74" i="7"/>
  <c r="U310" i="7"/>
  <c r="V310" i="7"/>
  <c r="AC310" i="7" s="1"/>
  <c r="S310" i="7"/>
  <c r="Z310" i="7" s="1"/>
  <c r="AQ153" i="7"/>
  <c r="T153" i="7"/>
  <c r="AM153" i="7" s="1"/>
  <c r="AA153" i="7"/>
  <c r="AB153" i="7"/>
  <c r="BP148" i="7"/>
  <c r="R269" i="7"/>
  <c r="BP144" i="7"/>
  <c r="BP150" i="7"/>
  <c r="BP143" i="7"/>
  <c r="AU144" i="7"/>
  <c r="BP154" i="7"/>
  <c r="BP69" i="7"/>
  <c r="BQ69" i="7"/>
  <c r="AG80" i="7"/>
  <c r="AC80" i="7"/>
  <c r="DO80" i="7"/>
  <c r="DO70" i="7"/>
  <c r="AD129" i="7"/>
  <c r="AE129" i="7" s="1"/>
  <c r="W285" i="7"/>
  <c r="X285" i="7"/>
  <c r="AZ71" i="7"/>
  <c r="AC154" i="7"/>
  <c r="G68" i="31"/>
  <c r="H68" i="31" s="1"/>
  <c r="I68" i="31" s="1"/>
  <c r="J68" i="31" s="1"/>
  <c r="K68" i="31" s="1"/>
  <c r="G61" i="31"/>
  <c r="H61" i="31" s="1"/>
  <c r="I61" i="31" s="1"/>
  <c r="J61" i="31" s="1"/>
  <c r="K61" i="31" s="1"/>
  <c r="G87" i="31"/>
  <c r="H87" i="31" s="1"/>
  <c r="I87" i="31" s="1"/>
  <c r="J87" i="31" s="1"/>
  <c r="K87" i="31" s="1"/>
  <c r="G24" i="31"/>
  <c r="H24" i="31" s="1"/>
  <c r="I24" i="31" s="1"/>
  <c r="J24" i="31" s="1"/>
  <c r="K24" i="31" s="1"/>
  <c r="G66" i="31"/>
  <c r="H66" i="31" s="1"/>
  <c r="I66" i="31" s="1"/>
  <c r="J66" i="31" s="1"/>
  <c r="K66" i="31" s="1"/>
  <c r="G9" i="31"/>
  <c r="H9" i="31" s="1"/>
  <c r="I9" i="31" s="1"/>
  <c r="J9" i="31" s="1"/>
  <c r="K9" i="31" s="1"/>
  <c r="G39" i="31"/>
  <c r="H39" i="31" s="1"/>
  <c r="I39" i="31" s="1"/>
  <c r="J39" i="31" s="1"/>
  <c r="K39" i="31" s="1"/>
  <c r="G38" i="31"/>
  <c r="H38" i="31" s="1"/>
  <c r="I38" i="31" s="1"/>
  <c r="J38" i="31" s="1"/>
  <c r="K38" i="31" s="1"/>
  <c r="G63" i="31"/>
  <c r="H63" i="31" s="1"/>
  <c r="I63" i="31" s="1"/>
  <c r="J63" i="31" s="1"/>
  <c r="K63" i="31" s="1"/>
  <c r="G76" i="31"/>
  <c r="H76" i="31" s="1"/>
  <c r="I76" i="31" s="1"/>
  <c r="J76" i="31" s="1"/>
  <c r="K76" i="31" s="1"/>
  <c r="G33" i="31"/>
  <c r="H33" i="31" s="1"/>
  <c r="I33" i="31" s="1"/>
  <c r="J33" i="31" s="1"/>
  <c r="K33" i="31" s="1"/>
  <c r="G54" i="31"/>
  <c r="H54" i="31" s="1"/>
  <c r="I54" i="31" s="1"/>
  <c r="J54" i="31" s="1"/>
  <c r="K54" i="31" s="1"/>
  <c r="G43" i="31"/>
  <c r="H43" i="31" s="1"/>
  <c r="I43" i="31" s="1"/>
  <c r="J43" i="31" s="1"/>
  <c r="K43" i="31" s="1"/>
  <c r="G49" i="31"/>
  <c r="H49" i="31" s="1"/>
  <c r="I49" i="31" s="1"/>
  <c r="J49" i="31" s="1"/>
  <c r="K49" i="31" s="1"/>
  <c r="G73" i="31"/>
  <c r="H73" i="31" s="1"/>
  <c r="I73" i="31" s="1"/>
  <c r="J73" i="31" s="1"/>
  <c r="K73" i="31" s="1"/>
  <c r="G3" i="31"/>
  <c r="H3" i="31" s="1"/>
  <c r="I3" i="31" s="1"/>
  <c r="J3" i="31" s="1"/>
  <c r="K3" i="31" s="1"/>
  <c r="G11" i="31"/>
  <c r="H11" i="31" s="1"/>
  <c r="I11" i="31" s="1"/>
  <c r="J11" i="31" s="1"/>
  <c r="K11" i="31" s="1"/>
  <c r="G23" i="31"/>
  <c r="H23" i="31" s="1"/>
  <c r="I23" i="31" s="1"/>
  <c r="J23" i="31" s="1"/>
  <c r="K23" i="31" s="1"/>
  <c r="G10" i="31"/>
  <c r="H10" i="31" s="1"/>
  <c r="I10" i="31" s="1"/>
  <c r="J10" i="31" s="1"/>
  <c r="K10" i="31" s="1"/>
  <c r="G78" i="31"/>
  <c r="H78" i="31" s="1"/>
  <c r="I78" i="31" s="1"/>
  <c r="J78" i="31" s="1"/>
  <c r="K78" i="31" s="1"/>
  <c r="G58" i="31"/>
  <c r="H58" i="31" s="1"/>
  <c r="I58" i="31" s="1"/>
  <c r="J58" i="31" s="1"/>
  <c r="K58" i="31" s="1"/>
  <c r="G14" i="31"/>
  <c r="H14" i="31" s="1"/>
  <c r="I14" i="31" s="1"/>
  <c r="J14" i="31" s="1"/>
  <c r="K14" i="31" s="1"/>
  <c r="G86" i="31"/>
  <c r="H86" i="31" s="1"/>
  <c r="I86" i="31" s="1"/>
  <c r="J86" i="31" s="1"/>
  <c r="K86" i="31" s="1"/>
  <c r="G8" i="31"/>
  <c r="H8" i="31" s="1"/>
  <c r="I8" i="31" s="1"/>
  <c r="J8" i="31" s="1"/>
  <c r="K8" i="31" s="1"/>
  <c r="G64" i="31"/>
  <c r="H64" i="31" s="1"/>
  <c r="I64" i="31" s="1"/>
  <c r="J64" i="31" s="1"/>
  <c r="K64" i="31" s="1"/>
  <c r="G37" i="31"/>
  <c r="H37" i="31" s="1"/>
  <c r="I37" i="31" s="1"/>
  <c r="J37" i="31" s="1"/>
  <c r="K37" i="31" s="1"/>
  <c r="G5" i="31"/>
  <c r="H5" i="31" s="1"/>
  <c r="I5" i="31" s="1"/>
  <c r="J5" i="31" s="1"/>
  <c r="K5" i="31" s="1"/>
  <c r="G46" i="31"/>
  <c r="H46" i="31" s="1"/>
  <c r="I46" i="31" s="1"/>
  <c r="J46" i="31" s="1"/>
  <c r="K46" i="31" s="1"/>
  <c r="G6" i="31"/>
  <c r="H6" i="31" s="1"/>
  <c r="I6" i="31" s="1"/>
  <c r="J6" i="31" s="1"/>
  <c r="K6" i="31" s="1"/>
  <c r="G4" i="31"/>
  <c r="H4" i="31" s="1"/>
  <c r="I4" i="31" s="1"/>
  <c r="J4" i="31" s="1"/>
  <c r="K4" i="31" s="1"/>
  <c r="G44" i="31"/>
  <c r="H44" i="31" s="1"/>
  <c r="I44" i="31" s="1"/>
  <c r="J44" i="31" s="1"/>
  <c r="K44" i="31" s="1"/>
  <c r="G62" i="31"/>
  <c r="H62" i="31" s="1"/>
  <c r="I62" i="31" s="1"/>
  <c r="J62" i="31" s="1"/>
  <c r="K62" i="31" s="1"/>
  <c r="G56" i="31"/>
  <c r="H56" i="31" s="1"/>
  <c r="I56" i="31" s="1"/>
  <c r="J56" i="31" s="1"/>
  <c r="K56" i="31" s="1"/>
  <c r="G15" i="31"/>
  <c r="H15" i="31" s="1"/>
  <c r="I15" i="31" s="1"/>
  <c r="J15" i="31" s="1"/>
  <c r="K15" i="31" s="1"/>
  <c r="G12" i="31"/>
  <c r="H12" i="31" s="1"/>
  <c r="I12" i="31" s="1"/>
  <c r="J12" i="31" s="1"/>
  <c r="K12" i="31" s="1"/>
  <c r="G42" i="31"/>
  <c r="H42" i="31" s="1"/>
  <c r="I42" i="31" s="1"/>
  <c r="J42" i="31" s="1"/>
  <c r="K42" i="31" s="1"/>
  <c r="G79" i="31"/>
  <c r="H79" i="31" s="1"/>
  <c r="I79" i="31" s="1"/>
  <c r="J79" i="31" s="1"/>
  <c r="K79" i="31" s="1"/>
  <c r="G52" i="31"/>
  <c r="H52" i="31" s="1"/>
  <c r="I52" i="31" s="1"/>
  <c r="J52" i="31" s="1"/>
  <c r="K52" i="31" s="1"/>
  <c r="G31" i="31"/>
  <c r="H31" i="31" s="1"/>
  <c r="I31" i="31" s="1"/>
  <c r="J31" i="31" s="1"/>
  <c r="K31" i="31" s="1"/>
  <c r="G77" i="31"/>
  <c r="H77" i="31" s="1"/>
  <c r="I77" i="31" s="1"/>
  <c r="J77" i="31" s="1"/>
  <c r="K77" i="31" s="1"/>
  <c r="G41" i="31"/>
  <c r="H41" i="31" s="1"/>
  <c r="I41" i="31" s="1"/>
  <c r="J41" i="31" s="1"/>
  <c r="K41" i="31" s="1"/>
  <c r="G92" i="31"/>
  <c r="H92" i="31" s="1"/>
  <c r="I92" i="31" s="1"/>
  <c r="J92" i="31" s="1"/>
  <c r="K92" i="31" s="1"/>
  <c r="G40" i="31"/>
  <c r="H40" i="31" s="1"/>
  <c r="I40" i="31" s="1"/>
  <c r="J40" i="31" s="1"/>
  <c r="K40" i="31" s="1"/>
  <c r="G25" i="31"/>
  <c r="H25" i="31" s="1"/>
  <c r="I25" i="31" s="1"/>
  <c r="J25" i="31" s="1"/>
  <c r="K25" i="31" s="1"/>
  <c r="G74" i="31"/>
  <c r="H74" i="31" s="1"/>
  <c r="I74" i="31" s="1"/>
  <c r="J74" i="31" s="1"/>
  <c r="K74" i="31" s="1"/>
  <c r="G2" i="31"/>
  <c r="H2" i="31" s="1"/>
  <c r="I2" i="31" s="1"/>
  <c r="J2" i="31" s="1"/>
  <c r="K2" i="31" s="1"/>
  <c r="G81" i="31"/>
  <c r="H81" i="31" s="1"/>
  <c r="I81" i="31" s="1"/>
  <c r="J81" i="31" s="1"/>
  <c r="K81" i="31" s="1"/>
  <c r="G17" i="31"/>
  <c r="H17" i="31" s="1"/>
  <c r="I17" i="31" s="1"/>
  <c r="J17" i="31" s="1"/>
  <c r="K17" i="31" s="1"/>
  <c r="G32" i="31"/>
  <c r="H32" i="31" s="1"/>
  <c r="I32" i="31" s="1"/>
  <c r="J32" i="31" s="1"/>
  <c r="K32" i="31" s="1"/>
  <c r="G28" i="31"/>
  <c r="H28" i="31" s="1"/>
  <c r="I28" i="31" s="1"/>
  <c r="J28" i="31" s="1"/>
  <c r="K28" i="31" s="1"/>
  <c r="G90" i="31"/>
  <c r="H90" i="31" s="1"/>
  <c r="I90" i="31" s="1"/>
  <c r="J90" i="31" s="1"/>
  <c r="K90" i="31" s="1"/>
  <c r="G59" i="31"/>
  <c r="H59" i="31" s="1"/>
  <c r="I59" i="31" s="1"/>
  <c r="J59" i="31" s="1"/>
  <c r="K59" i="31" s="1"/>
  <c r="G34" i="31"/>
  <c r="H34" i="31" s="1"/>
  <c r="I34" i="31" s="1"/>
  <c r="J34" i="31" s="1"/>
  <c r="K34" i="31" s="1"/>
  <c r="G50" i="31"/>
  <c r="H50" i="31" s="1"/>
  <c r="I50" i="31" s="1"/>
  <c r="J50" i="31" s="1"/>
  <c r="K50" i="31" s="1"/>
  <c r="G67" i="31"/>
  <c r="H67" i="31" s="1"/>
  <c r="I67" i="31" s="1"/>
  <c r="J67" i="31" s="1"/>
  <c r="K67" i="31" s="1"/>
  <c r="G57" i="31"/>
  <c r="H57" i="31" s="1"/>
  <c r="I57" i="31" s="1"/>
  <c r="J57" i="31" s="1"/>
  <c r="K57" i="31" s="1"/>
  <c r="U313" i="7"/>
  <c r="X313" i="7" s="1"/>
  <c r="G60" i="31"/>
  <c r="H60" i="31" s="1"/>
  <c r="I60" i="31" s="1"/>
  <c r="J60" i="31" s="1"/>
  <c r="K60" i="31" s="1"/>
  <c r="G97" i="31"/>
  <c r="H97" i="31" s="1"/>
  <c r="I97" i="31" s="1"/>
  <c r="J97" i="31" s="1"/>
  <c r="K97" i="31" s="1"/>
  <c r="G75" i="31"/>
  <c r="H75" i="31" s="1"/>
  <c r="I75" i="31" s="1"/>
  <c r="J75" i="31" s="1"/>
  <c r="K75" i="31" s="1"/>
  <c r="G13" i="31"/>
  <c r="H13" i="31" s="1"/>
  <c r="I13" i="31" s="1"/>
  <c r="J13" i="31" s="1"/>
  <c r="K13" i="31" s="1"/>
  <c r="G89" i="31"/>
  <c r="H89" i="31" s="1"/>
  <c r="I89" i="31" s="1"/>
  <c r="J89" i="31" s="1"/>
  <c r="K89" i="31" s="1"/>
  <c r="G27" i="31"/>
  <c r="H27" i="31" s="1"/>
  <c r="I27" i="31" s="1"/>
  <c r="J27" i="31" s="1"/>
  <c r="K27" i="31" s="1"/>
  <c r="G21" i="31"/>
  <c r="H21" i="31" s="1"/>
  <c r="I21" i="31" s="1"/>
  <c r="J21" i="31" s="1"/>
  <c r="K21" i="31" s="1"/>
  <c r="G51" i="31"/>
  <c r="H51" i="31" s="1"/>
  <c r="I51" i="31" s="1"/>
  <c r="J51" i="31" s="1"/>
  <c r="K51" i="31" s="1"/>
  <c r="G95" i="31"/>
  <c r="H95" i="31" s="1"/>
  <c r="I95" i="31" s="1"/>
  <c r="J95" i="31" s="1"/>
  <c r="K95" i="31" s="1"/>
  <c r="AA145" i="7"/>
  <c r="AB145" i="7"/>
  <c r="V313" i="7"/>
  <c r="AC313" i="7" s="1"/>
  <c r="G65" i="31"/>
  <c r="H65" i="31" s="1"/>
  <c r="I65" i="31" s="1"/>
  <c r="J65" i="31" s="1"/>
  <c r="K65" i="31" s="1"/>
  <c r="G16" i="31"/>
  <c r="H16" i="31" s="1"/>
  <c r="I16" i="31" s="1"/>
  <c r="J16" i="31" s="1"/>
  <c r="K16" i="31" s="1"/>
  <c r="G20" i="31"/>
  <c r="H20" i="31" s="1"/>
  <c r="I20" i="31" s="1"/>
  <c r="J20" i="31" s="1"/>
  <c r="K20" i="31" s="1"/>
  <c r="G48" i="31"/>
  <c r="H48" i="31" s="1"/>
  <c r="I48" i="31" s="1"/>
  <c r="J48" i="31" s="1"/>
  <c r="K48" i="31" s="1"/>
  <c r="G30" i="31"/>
  <c r="H30" i="31" s="1"/>
  <c r="I30" i="31" s="1"/>
  <c r="J30" i="31" s="1"/>
  <c r="K30" i="31" s="1"/>
  <c r="G93" i="31"/>
  <c r="H93" i="31" s="1"/>
  <c r="I93" i="31" s="1"/>
  <c r="J93" i="31" s="1"/>
  <c r="K93" i="31" s="1"/>
  <c r="G19" i="31"/>
  <c r="H19" i="31" s="1"/>
  <c r="I19" i="31" s="1"/>
  <c r="J19" i="31" s="1"/>
  <c r="K19" i="31" s="1"/>
  <c r="G88" i="31"/>
  <c r="H88" i="31" s="1"/>
  <c r="I88" i="31" s="1"/>
  <c r="J88" i="31" s="1"/>
  <c r="K88" i="31" s="1"/>
  <c r="G80" i="31"/>
  <c r="H80" i="31" s="1"/>
  <c r="I80" i="31" s="1"/>
  <c r="J80" i="31" s="1"/>
  <c r="K80" i="31" s="1"/>
  <c r="G84" i="31"/>
  <c r="H84" i="31" s="1"/>
  <c r="I84" i="31" s="1"/>
  <c r="J84" i="31" s="1"/>
  <c r="K84" i="31" s="1"/>
  <c r="G69" i="31"/>
  <c r="H69" i="31" s="1"/>
  <c r="I69" i="31" s="1"/>
  <c r="J69" i="31" s="1"/>
  <c r="K69" i="31" s="1"/>
  <c r="AQ140" i="7"/>
  <c r="T140" i="7"/>
  <c r="AM140" i="7" s="1"/>
  <c r="BP153" i="7"/>
  <c r="BP142" i="7"/>
  <c r="BP145" i="7"/>
  <c r="AT149" i="7"/>
  <c r="FD76" i="7" l="1"/>
  <c r="FE76" i="7"/>
  <c r="FD71" i="7"/>
  <c r="FE71" i="7"/>
  <c r="FE81" i="7"/>
  <c r="FD81" i="7"/>
  <c r="AL78" i="7"/>
  <c r="AM78" i="7"/>
  <c r="AP77" i="7"/>
  <c r="AO77" i="7"/>
  <c r="AL75" i="7"/>
  <c r="CR74" i="7"/>
  <c r="AN75" i="7"/>
  <c r="CR80" i="7"/>
  <c r="BA71" i="7"/>
  <c r="AM71" i="7" s="1"/>
  <c r="J113" i="7"/>
  <c r="U113" i="7" s="1"/>
  <c r="BP113" i="7" s="1"/>
  <c r="Q113" i="7"/>
  <c r="J116" i="7"/>
  <c r="U116" i="7" s="1"/>
  <c r="BP116" i="7" s="1"/>
  <c r="M116" i="7"/>
  <c r="W116" i="7" s="1"/>
  <c r="AP116" i="7" s="1"/>
  <c r="AU116" i="7" s="1"/>
  <c r="K116" i="7"/>
  <c r="V116" i="7" s="1"/>
  <c r="AO116" i="7" s="1"/>
  <c r="AT116" i="7" s="1"/>
  <c r="J114" i="7"/>
  <c r="U114" i="7" s="1"/>
  <c r="BP114" i="7" s="1"/>
  <c r="K117" i="7"/>
  <c r="V117" i="7" s="1"/>
  <c r="AO117" i="7" s="1"/>
  <c r="AT117" i="7" s="1"/>
  <c r="M117" i="7"/>
  <c r="W117" i="7" s="1"/>
  <c r="AP117" i="7" s="1"/>
  <c r="AU117" i="7" s="1"/>
  <c r="AE115" i="7"/>
  <c r="AE114" i="7"/>
  <c r="AE113" i="7"/>
  <c r="DL78" i="7"/>
  <c r="DK77" i="7"/>
  <c r="EJ77" i="7"/>
  <c r="DJ81" i="7"/>
  <c r="DP81" i="7" s="1"/>
  <c r="AZ75" i="7"/>
  <c r="U75" i="7" s="1"/>
  <c r="T75" i="7" s="1"/>
  <c r="BC74" i="7"/>
  <c r="AH74" i="7" s="1"/>
  <c r="EJ80" i="7"/>
  <c r="DJ77" i="7"/>
  <c r="DP77" i="7" s="1"/>
  <c r="DK78" i="7"/>
  <c r="DJ78" i="7"/>
  <c r="DP78" i="7" s="1"/>
  <c r="EJ81" i="7"/>
  <c r="EJ78" i="7"/>
  <c r="DL77" i="7"/>
  <c r="DL81" i="7"/>
  <c r="EJ76" i="7"/>
  <c r="DJ74" i="7"/>
  <c r="DK74" i="7"/>
  <c r="DL74" i="7"/>
  <c r="Q123" i="7"/>
  <c r="R123" i="7" s="1"/>
  <c r="K119" i="7"/>
  <c r="V119" i="7" s="1"/>
  <c r="Y119" i="7"/>
  <c r="Z119" i="7" s="1"/>
  <c r="J119" i="7"/>
  <c r="U119" i="7" s="1"/>
  <c r="AN119" i="7" s="1"/>
  <c r="AS119" i="7" s="1"/>
  <c r="K118" i="7"/>
  <c r="V118" i="7" s="1"/>
  <c r="M118" i="7"/>
  <c r="W118" i="7" s="1"/>
  <c r="AP118" i="7" s="1"/>
  <c r="AU118" i="7" s="1"/>
  <c r="J118" i="7"/>
  <c r="U118" i="7" s="1"/>
  <c r="BP125" i="7"/>
  <c r="BP128" i="7"/>
  <c r="AN130" i="7"/>
  <c r="AS130" i="7" s="1"/>
  <c r="AN126" i="7"/>
  <c r="AS126" i="7" s="1"/>
  <c r="Q114" i="7"/>
  <c r="R114" i="7" s="1"/>
  <c r="S115" i="7"/>
  <c r="AL115" i="7" s="1"/>
  <c r="AQ115" i="7" s="1"/>
  <c r="Q120" i="7"/>
  <c r="R120" i="7" s="1"/>
  <c r="Y120" i="7"/>
  <c r="Y115" i="7"/>
  <c r="Z115" i="7" s="1"/>
  <c r="AB115" i="7" s="1"/>
  <c r="Q121" i="7"/>
  <c r="R121" i="7" s="1"/>
  <c r="Y114" i="7"/>
  <c r="Z114" i="7" s="1"/>
  <c r="AA114" i="7" s="1"/>
  <c r="Q115" i="7"/>
  <c r="R115" i="7" s="1"/>
  <c r="K114" i="7"/>
  <c r="V114" i="7" s="1"/>
  <c r="Y122" i="7"/>
  <c r="Z122" i="7" s="1"/>
  <c r="AA122" i="7" s="1"/>
  <c r="T127" i="7"/>
  <c r="AM127" i="7" s="1"/>
  <c r="Y116" i="7"/>
  <c r="Z116" i="7" s="1"/>
  <c r="AN117" i="7"/>
  <c r="AS117" i="7" s="1"/>
  <c r="S123" i="7"/>
  <c r="T123" i="7" s="1"/>
  <c r="AM123" i="7" s="1"/>
  <c r="AR123" i="7" s="1"/>
  <c r="Q127" i="7"/>
  <c r="R127" i="7" s="1"/>
  <c r="Y118" i="7"/>
  <c r="Z118" i="7" s="1"/>
  <c r="Y127" i="7"/>
  <c r="Z127" i="7" s="1"/>
  <c r="AB127" i="7" s="1"/>
  <c r="Q129" i="7"/>
  <c r="R129" i="7" s="1"/>
  <c r="Y117" i="7"/>
  <c r="Z117" i="7" s="1"/>
  <c r="AB117" i="7" s="1"/>
  <c r="S119" i="7"/>
  <c r="AL119" i="7" s="1"/>
  <c r="BP127" i="7"/>
  <c r="Q122" i="7"/>
  <c r="R122" i="7" s="1"/>
  <c r="Q117" i="7"/>
  <c r="R117" i="7" s="1"/>
  <c r="S114" i="7"/>
  <c r="T114" i="7" s="1"/>
  <c r="AM114" i="7" s="1"/>
  <c r="AR114" i="7" s="1"/>
  <c r="M114" i="7"/>
  <c r="W114" i="7" s="1"/>
  <c r="AP114" i="7" s="1"/>
  <c r="AU114" i="7" s="1"/>
  <c r="Y124" i="7"/>
  <c r="Z124" i="7" s="1"/>
  <c r="AA124" i="7" s="1"/>
  <c r="T126" i="7"/>
  <c r="AM126" i="7" s="1"/>
  <c r="AR126" i="7" s="1"/>
  <c r="T128" i="7"/>
  <c r="AM128" i="7" s="1"/>
  <c r="T130" i="7"/>
  <c r="AM130" i="7" s="1"/>
  <c r="Q118" i="7"/>
  <c r="R118" i="7" s="1"/>
  <c r="Q126" i="7"/>
  <c r="R126" i="7" s="1"/>
  <c r="Q125" i="7"/>
  <c r="R125" i="7" s="1"/>
  <c r="Q116" i="7"/>
  <c r="R116" i="7" s="1"/>
  <c r="Q128" i="7"/>
  <c r="R128" i="7" s="1"/>
  <c r="Y126" i="7"/>
  <c r="Z126" i="7" s="1"/>
  <c r="AB126" i="7" s="1"/>
  <c r="Y123" i="7"/>
  <c r="Z123" i="7" s="1"/>
  <c r="AB123" i="7" s="1"/>
  <c r="AL118" i="7"/>
  <c r="AQ118" i="7" s="1"/>
  <c r="AL122" i="7"/>
  <c r="AQ122" i="7" s="1"/>
  <c r="Q119" i="7"/>
  <c r="R119" i="7" s="1"/>
  <c r="Q130" i="7"/>
  <c r="R130" i="7" s="1"/>
  <c r="Q124" i="7"/>
  <c r="R124" i="7" s="1"/>
  <c r="T116" i="7"/>
  <c r="AM116" i="7" s="1"/>
  <c r="Y125" i="7"/>
  <c r="Z125" i="7" s="1"/>
  <c r="AB125" i="7" s="1"/>
  <c r="T125" i="7"/>
  <c r="AM125" i="7" s="1"/>
  <c r="AA336" i="7"/>
  <c r="W336" i="7"/>
  <c r="AB335" i="7"/>
  <c r="X335" i="7"/>
  <c r="AA315" i="7"/>
  <c r="W315" i="7"/>
  <c r="AB337" i="7"/>
  <c r="X337" i="7"/>
  <c r="AA314" i="7"/>
  <c r="W314" i="7"/>
  <c r="AA326" i="7"/>
  <c r="W326" i="7"/>
  <c r="AB324" i="7"/>
  <c r="X324" i="7"/>
  <c r="AB321" i="7"/>
  <c r="X321" i="7"/>
  <c r="AA321" i="7"/>
  <c r="W321" i="7"/>
  <c r="AA316" i="7"/>
  <c r="W316" i="7"/>
  <c r="AB330" i="7"/>
  <c r="X330" i="7"/>
  <c r="AB328" i="7"/>
  <c r="X328" i="7"/>
  <c r="AB319" i="7"/>
  <c r="X319" i="7"/>
  <c r="AA319" i="7"/>
  <c r="W319" i="7"/>
  <c r="AA333" i="7"/>
  <c r="W333" i="7"/>
  <c r="Y128" i="7"/>
  <c r="Z128" i="7" s="1"/>
  <c r="AA331" i="7"/>
  <c r="W331" i="7"/>
  <c r="W311" i="7"/>
  <c r="AA337" i="7"/>
  <c r="W337" i="7"/>
  <c r="AB331" i="7"/>
  <c r="X331" i="7"/>
  <c r="AB315" i="7"/>
  <c r="X315" i="7"/>
  <c r="AA322" i="7"/>
  <c r="W322" i="7"/>
  <c r="AB317" i="7"/>
  <c r="X317" i="7"/>
  <c r="AB332" i="7"/>
  <c r="X332" i="7"/>
  <c r="AM154" i="7"/>
  <c r="AR154" i="7" s="1"/>
  <c r="AA323" i="7"/>
  <c r="W323" i="7"/>
  <c r="AM145" i="7"/>
  <c r="AR145" i="7" s="1"/>
  <c r="AA327" i="7"/>
  <c r="W327" i="7"/>
  <c r="AA335" i="7"/>
  <c r="W335" i="7"/>
  <c r="AB323" i="7"/>
  <c r="X323" i="7"/>
  <c r="AA330" i="7"/>
  <c r="W330" i="7"/>
  <c r="AA325" i="7"/>
  <c r="W325" i="7"/>
  <c r="AA318" i="7"/>
  <c r="W318" i="7"/>
  <c r="AB333" i="7"/>
  <c r="X333" i="7"/>
  <c r="AA334" i="7"/>
  <c r="W334" i="7"/>
  <c r="AB322" i="7"/>
  <c r="X322" i="7"/>
  <c r="AB326" i="7"/>
  <c r="X326" i="7"/>
  <c r="AQ128" i="7"/>
  <c r="AB336" i="7"/>
  <c r="X336" i="7"/>
  <c r="AB320" i="7"/>
  <c r="X320" i="7"/>
  <c r="AB334" i="7"/>
  <c r="X334" i="7"/>
  <c r="AA317" i="7"/>
  <c r="W317" i="7"/>
  <c r="AM150" i="7"/>
  <c r="AR150" i="7" s="1"/>
  <c r="AB318" i="7"/>
  <c r="X318" i="7"/>
  <c r="AA324" i="7"/>
  <c r="W324" i="7"/>
  <c r="AB316" i="7"/>
  <c r="X316" i="7"/>
  <c r="AB327" i="7"/>
  <c r="X327" i="7"/>
  <c r="AM144" i="7"/>
  <c r="AR144" i="7" s="1"/>
  <c r="AA328" i="7"/>
  <c r="W328" i="7"/>
  <c r="AM147" i="7"/>
  <c r="AR147" i="7" s="1"/>
  <c r="AB325" i="7"/>
  <c r="X325" i="7"/>
  <c r="AA320" i="7"/>
  <c r="W320" i="7"/>
  <c r="Y130" i="7"/>
  <c r="Z130" i="7" s="1"/>
  <c r="AA329" i="7"/>
  <c r="W329" i="7"/>
  <c r="AA313" i="7"/>
  <c r="W313" i="7"/>
  <c r="AA332" i="7"/>
  <c r="W332" i="7"/>
  <c r="AB314" i="7"/>
  <c r="X314" i="7"/>
  <c r="AL124" i="7"/>
  <c r="AQ124" i="7" s="1"/>
  <c r="AM142" i="7"/>
  <c r="AR142" i="7" s="1"/>
  <c r="AM141" i="7"/>
  <c r="AR141" i="7" s="1"/>
  <c r="AR143" i="7"/>
  <c r="AS139" i="7"/>
  <c r="S117" i="7"/>
  <c r="AL129" i="7"/>
  <c r="AQ129" i="7" s="1"/>
  <c r="Y129" i="7"/>
  <c r="Z129" i="7" s="1"/>
  <c r="AB129" i="7" s="1"/>
  <c r="M115" i="7"/>
  <c r="W115" i="7" s="1"/>
  <c r="AP115" i="7" s="1"/>
  <c r="AU115" i="7" s="1"/>
  <c r="K115" i="7"/>
  <c r="V115" i="7" s="1"/>
  <c r="BC77" i="7"/>
  <c r="AF77" i="7" s="1"/>
  <c r="J121" i="7"/>
  <c r="U121" i="7" s="1"/>
  <c r="BP121" i="7" s="1"/>
  <c r="M121" i="7"/>
  <c r="W121" i="7" s="1"/>
  <c r="AP121" i="7" s="1"/>
  <c r="AU121" i="7" s="1"/>
  <c r="K121" i="7"/>
  <c r="V121" i="7" s="1"/>
  <c r="AO121" i="7" s="1"/>
  <c r="AT121" i="7" s="1"/>
  <c r="AB121" i="7"/>
  <c r="AC121" i="7" s="1"/>
  <c r="AG121" i="7" s="1"/>
  <c r="AF121" i="7" s="1"/>
  <c r="AH121" i="7" s="1"/>
  <c r="S121" i="7"/>
  <c r="J129" i="7"/>
  <c r="U129" i="7" s="1"/>
  <c r="K129" i="7"/>
  <c r="V129" i="7" s="1"/>
  <c r="AU129" i="7"/>
  <c r="M113" i="7"/>
  <c r="W113" i="7" s="1"/>
  <c r="K113" i="7"/>
  <c r="V113" i="7" s="1"/>
  <c r="AM124" i="7"/>
  <c r="AR124" i="7" s="1"/>
  <c r="AM139" i="7"/>
  <c r="AR139" i="7" s="1"/>
  <c r="AM138" i="7"/>
  <c r="AR138" i="7" s="1"/>
  <c r="AS123" i="7"/>
  <c r="AT122" i="7"/>
  <c r="AN120" i="7"/>
  <c r="AS120" i="7" s="1"/>
  <c r="BP123" i="7"/>
  <c r="BP122" i="7"/>
  <c r="AT123" i="7"/>
  <c r="X28" i="12"/>
  <c r="X29" i="12"/>
  <c r="J29" i="12"/>
  <c r="J28" i="12"/>
  <c r="AH28" i="12"/>
  <c r="AH29" i="12"/>
  <c r="AE28" i="12"/>
  <c r="AE29" i="12"/>
  <c r="I34" i="12"/>
  <c r="I35" i="12"/>
  <c r="I36" i="12"/>
  <c r="W28" i="12"/>
  <c r="W29" i="12"/>
  <c r="I29" i="12"/>
  <c r="I28" i="12"/>
  <c r="AD29" i="12"/>
  <c r="AD28" i="12"/>
  <c r="AG28" i="12"/>
  <c r="AG29" i="12"/>
  <c r="BD34" i="12"/>
  <c r="BD36" i="12"/>
  <c r="BD35" i="12"/>
  <c r="R29" i="12"/>
  <c r="R28" i="12"/>
  <c r="W34" i="12"/>
  <c r="W35" i="12"/>
  <c r="W36" i="12"/>
  <c r="X34" i="12"/>
  <c r="X35" i="12"/>
  <c r="X36" i="12"/>
  <c r="AF28" i="12"/>
  <c r="AF29" i="12"/>
  <c r="Q28" i="12"/>
  <c r="Q29" i="12"/>
  <c r="J34" i="12"/>
  <c r="J36" i="12"/>
  <c r="J35" i="12"/>
  <c r="BC34" i="12"/>
  <c r="BC36" i="12"/>
  <c r="BC35" i="12"/>
  <c r="H28" i="12"/>
  <c r="H32" i="12" s="1"/>
  <c r="HS6" i="39" s="1" a="1"/>
  <c r="HS6" i="39" s="1"/>
  <c r="E34" i="12"/>
  <c r="E35" i="12"/>
  <c r="BP124" i="7"/>
  <c r="AN124" i="7"/>
  <c r="AC120" i="7"/>
  <c r="AG120" i="7" s="1"/>
  <c r="AF120" i="7" s="1"/>
  <c r="AH120" i="7" s="1"/>
  <c r="AN122" i="7"/>
  <c r="AM129" i="7"/>
  <c r="AR129" i="7" s="1"/>
  <c r="Y113" i="7"/>
  <c r="Z113" i="7" s="1"/>
  <c r="AL314" i="7"/>
  <c r="H35" i="12"/>
  <c r="H34" i="12"/>
  <c r="H36" i="12"/>
  <c r="AN115" i="7"/>
  <c r="AS115" i="7" s="1"/>
  <c r="AA310" i="7"/>
  <c r="W310" i="7"/>
  <c r="AB310" i="7"/>
  <c r="AK310" i="7" s="1"/>
  <c r="X310" i="7"/>
  <c r="AB312" i="7"/>
  <c r="X312" i="7"/>
  <c r="AA312" i="7"/>
  <c r="W312" i="7"/>
  <c r="AB311" i="7"/>
  <c r="AK311" i="7" s="1"/>
  <c r="X311" i="7"/>
  <c r="AB309" i="7"/>
  <c r="AK309" i="7" s="1"/>
  <c r="X309" i="7"/>
  <c r="AA309" i="7"/>
  <c r="W309" i="7"/>
  <c r="BP115" i="7"/>
  <c r="R113" i="7"/>
  <c r="S113" i="7"/>
  <c r="DK80" i="7"/>
  <c r="DJ76" i="7"/>
  <c r="DP76" i="7" s="1"/>
  <c r="AP78" i="7"/>
  <c r="DJ71" i="7"/>
  <c r="AC150" i="7"/>
  <c r="AG150" i="7" s="1"/>
  <c r="AF150" i="7" s="1"/>
  <c r="AH150" i="7" s="1"/>
  <c r="AM77" i="7"/>
  <c r="P283" i="7"/>
  <c r="J283" i="7" s="1"/>
  <c r="AD282" i="7"/>
  <c r="AG146" i="7"/>
  <c r="AF146" i="7" s="1"/>
  <c r="AH146" i="7" s="1"/>
  <c r="AF148" i="7"/>
  <c r="AH148" i="7" s="1"/>
  <c r="CR78" i="7"/>
  <c r="EZ80" i="7"/>
  <c r="EZ76" i="7"/>
  <c r="EZ71" i="7"/>
  <c r="FA75" i="7"/>
  <c r="FA80" i="7"/>
  <c r="FA71" i="7"/>
  <c r="AR118" i="7"/>
  <c r="L264" i="7"/>
  <c r="L265" i="7"/>
  <c r="R265" i="7" s="1"/>
  <c r="AO75" i="7"/>
  <c r="AM74" i="7"/>
  <c r="AP75" i="7"/>
  <c r="CR77" i="7"/>
  <c r="AO78" i="7"/>
  <c r="AQ78" i="7"/>
  <c r="AZ77" i="7"/>
  <c r="U77" i="7" s="1"/>
  <c r="T77" i="7" s="1"/>
  <c r="BC75" i="7"/>
  <c r="AZ74" i="7"/>
  <c r="AB74" i="7" s="1"/>
  <c r="AC74" i="7" s="1"/>
  <c r="CR75" i="7"/>
  <c r="AQ75" i="7"/>
  <c r="BO73" i="7"/>
  <c r="CQ81" i="7"/>
  <c r="AL77" i="7"/>
  <c r="AC153" i="7"/>
  <c r="AG153" i="7" s="1"/>
  <c r="AF153" i="7" s="1"/>
  <c r="AH153" i="7" s="1"/>
  <c r="AR155" i="7"/>
  <c r="AG142" i="7"/>
  <c r="AF142" i="7" s="1"/>
  <c r="AH142" i="7" s="1"/>
  <c r="BD71" i="7"/>
  <c r="AO71" i="7" s="1"/>
  <c r="BA81" i="7"/>
  <c r="U81" i="7" s="1"/>
  <c r="BD81" i="7"/>
  <c r="W81" i="7" s="1"/>
  <c r="S81" i="7" s="1"/>
  <c r="AN77" i="7"/>
  <c r="AZ80" i="7"/>
  <c r="AD80" i="7" s="1"/>
  <c r="BC80" i="7"/>
  <c r="AH80" i="7" s="1"/>
  <c r="AZ78" i="7"/>
  <c r="U78" i="7" s="1"/>
  <c r="T78" i="7" s="1"/>
  <c r="BC78" i="7"/>
  <c r="W78" i="7" s="1"/>
  <c r="S78" i="7" s="1"/>
  <c r="BD76" i="7"/>
  <c r="BA76" i="7"/>
  <c r="BC76" i="7"/>
  <c r="AZ76" i="7"/>
  <c r="E28" i="12"/>
  <c r="E29" i="12"/>
  <c r="AR153" i="7"/>
  <c r="AO74" i="7"/>
  <c r="AL74" i="7"/>
  <c r="AC139" i="7"/>
  <c r="AG139" i="7" s="1"/>
  <c r="AF139" i="7" s="1"/>
  <c r="AH139" i="7" s="1"/>
  <c r="AQ74" i="7"/>
  <c r="AN74" i="7"/>
  <c r="AR146" i="7"/>
  <c r="AO80" i="7"/>
  <c r="AL80" i="7"/>
  <c r="AR140" i="7"/>
  <c r="AC145" i="7"/>
  <c r="K98" i="31"/>
  <c r="L98" i="31" s="1"/>
  <c r="C13" i="7" s="1"/>
  <c r="CQ71" i="7"/>
  <c r="AP80" i="7"/>
  <c r="AM80" i="7"/>
  <c r="T120" i="7"/>
  <c r="AM120" i="7" s="1"/>
  <c r="AG154" i="7"/>
  <c r="AF154" i="7" s="1"/>
  <c r="AH154" i="7" s="1"/>
  <c r="AB313" i="7"/>
  <c r="AK313" i="7" s="1"/>
  <c r="AR122" i="7"/>
  <c r="AQ80" i="7"/>
  <c r="AN80" i="7"/>
  <c r="F34" i="12"/>
  <c r="F36" i="12"/>
  <c r="F35" i="12"/>
  <c r="U76" i="7" l="1"/>
  <c r="T76" i="7" s="1"/>
  <c r="U71" i="7"/>
  <c r="T71" i="7" s="1"/>
  <c r="T81" i="7"/>
  <c r="ED81" i="7"/>
  <c r="J81" i="7"/>
  <c r="EC81" i="7" s="1"/>
  <c r="U80" i="7"/>
  <c r="W80" i="7"/>
  <c r="S80" i="7" s="1"/>
  <c r="ED78" i="7"/>
  <c r="J78" i="7"/>
  <c r="EC78" i="7" s="1"/>
  <c r="W77" i="7"/>
  <c r="S77" i="7" s="1"/>
  <c r="W76" i="7"/>
  <c r="S76" i="7" s="1"/>
  <c r="AE71" i="7"/>
  <c r="AB71" i="7"/>
  <c r="AL71" i="7"/>
  <c r="AD71" i="7"/>
  <c r="AN71" i="7"/>
  <c r="AB113" i="7"/>
  <c r="AA113" i="7"/>
  <c r="AN116" i="7"/>
  <c r="AS116" i="7" s="1"/>
  <c r="AN114" i="7"/>
  <c r="AS114" i="7" s="1"/>
  <c r="AB116" i="7"/>
  <c r="AA116" i="7"/>
  <c r="BP118" i="7"/>
  <c r="AO115" i="7"/>
  <c r="AT115" i="7" s="1"/>
  <c r="AO114" i="7"/>
  <c r="AT114" i="7" s="1"/>
  <c r="EJ75" i="7"/>
  <c r="AD75" i="7"/>
  <c r="AB75" i="7"/>
  <c r="AC75" i="7" s="1"/>
  <c r="AE75" i="7"/>
  <c r="EB81" i="7"/>
  <c r="EB78" i="7"/>
  <c r="EG76" i="7"/>
  <c r="AI74" i="7"/>
  <c r="AF74" i="7"/>
  <c r="AG74" i="7" s="1"/>
  <c r="EG81" i="7"/>
  <c r="EG78" i="7"/>
  <c r="EB76" i="7"/>
  <c r="DJ80" i="7"/>
  <c r="DP80" i="7" s="1"/>
  <c r="EG80" i="7"/>
  <c r="EJ74" i="7"/>
  <c r="U74" i="7"/>
  <c r="T74" i="7" s="1"/>
  <c r="W74" i="7"/>
  <c r="S74" i="7" s="1"/>
  <c r="CY75" i="7"/>
  <c r="W75" i="7"/>
  <c r="DK75" i="7"/>
  <c r="DK76" i="7"/>
  <c r="DL76" i="7"/>
  <c r="DJ75" i="7"/>
  <c r="DP75" i="7" s="1"/>
  <c r="DL80" i="7"/>
  <c r="DL75" i="7"/>
  <c r="AG77" i="7"/>
  <c r="BQ73" i="7"/>
  <c r="BP73" i="7"/>
  <c r="BO70" i="7"/>
  <c r="BQ70" i="7" s="1"/>
  <c r="BO72" i="7"/>
  <c r="J32" i="12"/>
  <c r="BE34" i="12"/>
  <c r="BF34" i="12" s="1"/>
  <c r="BE35" i="12"/>
  <c r="BF35" i="12" s="1"/>
  <c r="BE36" i="12"/>
  <c r="BF36" i="12" s="1"/>
  <c r="AO113" i="7"/>
  <c r="AB119" i="7"/>
  <c r="AA119" i="7"/>
  <c r="BP119" i="7"/>
  <c r="AO119" i="7"/>
  <c r="AT119" i="7" s="1"/>
  <c r="AA118" i="7"/>
  <c r="AB118" i="7"/>
  <c r="AN118" i="7"/>
  <c r="AS118" i="7" s="1"/>
  <c r="AO118" i="7"/>
  <c r="AT118" i="7" s="1"/>
  <c r="T115" i="7"/>
  <c r="AM115" i="7" s="1"/>
  <c r="AR115" i="7" s="1"/>
  <c r="AA115" i="7"/>
  <c r="AC115" i="7" s="1"/>
  <c r="AG115" i="7" s="1"/>
  <c r="AR127" i="7"/>
  <c r="AB124" i="7"/>
  <c r="AC124" i="7" s="1"/>
  <c r="AG124" i="7" s="1"/>
  <c r="AR116" i="7"/>
  <c r="AN121" i="7"/>
  <c r="AS121" i="7" s="1"/>
  <c r="AA126" i="7"/>
  <c r="AC126" i="7" s="1"/>
  <c r="AG126" i="7" s="1"/>
  <c r="AF126" i="7" s="1"/>
  <c r="AH126" i="7" s="1"/>
  <c r="AQ119" i="7"/>
  <c r="AL114" i="7"/>
  <c r="AQ114" i="7" s="1"/>
  <c r="AB114" i="7"/>
  <c r="AC114" i="7" s="1"/>
  <c r="AG114" i="7" s="1"/>
  <c r="AF114" i="7" s="1"/>
  <c r="AH114" i="7" s="1"/>
  <c r="AA117" i="7"/>
  <c r="AC117" i="7" s="1"/>
  <c r="AG117" i="7" s="1"/>
  <c r="AF117" i="7" s="1"/>
  <c r="AH117" i="7" s="1"/>
  <c r="AA127" i="7"/>
  <c r="AC127" i="7" s="1"/>
  <c r="AG127" i="7" s="1"/>
  <c r="AF127" i="7" s="1"/>
  <c r="AH127" i="7" s="1"/>
  <c r="AB122" i="7"/>
  <c r="AC122" i="7" s="1"/>
  <c r="AG122" i="7" s="1"/>
  <c r="AF122" i="7" s="1"/>
  <c r="AH122" i="7" s="1"/>
  <c r="AR125" i="7"/>
  <c r="AR128" i="7"/>
  <c r="AA123" i="7"/>
  <c r="AC123" i="7" s="1"/>
  <c r="AG123" i="7" s="1"/>
  <c r="AF123" i="7" s="1"/>
  <c r="AH123" i="7" s="1"/>
  <c r="T119" i="7"/>
  <c r="AM119" i="7" s="1"/>
  <c r="AR119" i="7" s="1"/>
  <c r="R156" i="7"/>
  <c r="R178" i="7" s="1"/>
  <c r="AR130" i="7"/>
  <c r="AL123" i="7"/>
  <c r="AQ123" i="7" s="1"/>
  <c r="AA125" i="7"/>
  <c r="AC125" i="7" s="1"/>
  <c r="AG125" i="7" s="1"/>
  <c r="AF125" i="7" s="1"/>
  <c r="AH125" i="7" s="1"/>
  <c r="BO68" i="7"/>
  <c r="BP68" i="7" s="1"/>
  <c r="BO79" i="7"/>
  <c r="W32" i="12"/>
  <c r="AH77" i="7"/>
  <c r="J77" i="7"/>
  <c r="EC77" i="7" s="1"/>
  <c r="AB130" i="7"/>
  <c r="AA130" i="7"/>
  <c r="U156" i="7"/>
  <c r="G40" i="7" s="1"/>
  <c r="AB128" i="7"/>
  <c r="AA128" i="7"/>
  <c r="AA129" i="7"/>
  <c r="AC129" i="7" s="1"/>
  <c r="AG129" i="7" s="1"/>
  <c r="AF129" i="7" s="1"/>
  <c r="AH129" i="7" s="1"/>
  <c r="T117" i="7"/>
  <c r="AL117" i="7"/>
  <c r="AQ117" i="7" s="1"/>
  <c r="AI77" i="7"/>
  <c r="CQ77" i="7"/>
  <c r="BP129" i="7"/>
  <c r="AN129" i="7"/>
  <c r="AS129" i="7" s="1"/>
  <c r="AO129" i="7"/>
  <c r="AT129" i="7" s="1"/>
  <c r="AL121" i="7"/>
  <c r="AQ121" i="7" s="1"/>
  <c r="T121" i="7"/>
  <c r="BD32" i="12"/>
  <c r="Q32" i="12"/>
  <c r="I32" i="12"/>
  <c r="HU6" i="39" s="1" a="1"/>
  <c r="HU6" i="39" s="1"/>
  <c r="R32" i="12"/>
  <c r="X32" i="12"/>
  <c r="EE79" i="7" s="1"/>
  <c r="AS122" i="7"/>
  <c r="AS124" i="7"/>
  <c r="Y156" i="7"/>
  <c r="AL315" i="7"/>
  <c r="AK314" i="7"/>
  <c r="DK71" i="7"/>
  <c r="AL113" i="7"/>
  <c r="AQ113" i="7" s="1"/>
  <c r="AN113" i="7"/>
  <c r="AP113" i="7"/>
  <c r="W156" i="7"/>
  <c r="AK312" i="7"/>
  <c r="Q156" i="7"/>
  <c r="DL71" i="7"/>
  <c r="AC71" i="7"/>
  <c r="W71" i="7"/>
  <c r="S156" i="7"/>
  <c r="T113" i="7"/>
  <c r="V156" i="7"/>
  <c r="P282" i="7"/>
  <c r="J282" i="7" s="1"/>
  <c r="P291" i="7" s="1"/>
  <c r="J291" i="7" s="1"/>
  <c r="AD77" i="7"/>
  <c r="AE74" i="7"/>
  <c r="CY71" i="7"/>
  <c r="CQ75" i="7"/>
  <c r="AI75" i="7"/>
  <c r="AF75" i="7"/>
  <c r="AG75" i="7" s="1"/>
  <c r="AH75" i="7"/>
  <c r="AQ120" i="7"/>
  <c r="Q283" i="7"/>
  <c r="R264" i="7"/>
  <c r="CR71" i="7"/>
  <c r="CY74" i="7"/>
  <c r="AE77" i="7"/>
  <c r="CY77" i="7"/>
  <c r="AB77" i="7"/>
  <c r="CQ74" i="7"/>
  <c r="AD74" i="7"/>
  <c r="DH74" i="7" s="1"/>
  <c r="AF80" i="7"/>
  <c r="E32" i="12"/>
  <c r="BR69" i="7" s="1"/>
  <c r="AI71" i="7"/>
  <c r="AI80" i="7"/>
  <c r="AH71" i="7"/>
  <c r="AE80" i="7"/>
  <c r="AP71" i="7"/>
  <c r="AF71" i="7"/>
  <c r="DM71" i="7" s="1"/>
  <c r="DN71" i="7" s="1"/>
  <c r="DP71" i="7" s="1"/>
  <c r="AQ71" i="7"/>
  <c r="AM81" i="7"/>
  <c r="CR81" i="7"/>
  <c r="AN81" i="7"/>
  <c r="AB81" i="7"/>
  <c r="AL81" i="7"/>
  <c r="AE81" i="7"/>
  <c r="CY81" i="7"/>
  <c r="AD81" i="7"/>
  <c r="AH81" i="7"/>
  <c r="AP81" i="7"/>
  <c r="AO81" i="7"/>
  <c r="AF81" i="7"/>
  <c r="AI81" i="7"/>
  <c r="AQ81" i="7"/>
  <c r="AB80" i="7"/>
  <c r="DH80" i="7"/>
  <c r="CY80" i="7"/>
  <c r="CQ80" i="7"/>
  <c r="AH78" i="7"/>
  <c r="AI78" i="7"/>
  <c r="AF78" i="7"/>
  <c r="X104" i="7" s="1"/>
  <c r="AE78" i="7"/>
  <c r="CQ78" i="7"/>
  <c r="AD78" i="7"/>
  <c r="CY78" i="7"/>
  <c r="AB78" i="7"/>
  <c r="AQ76" i="7"/>
  <c r="AO76" i="7"/>
  <c r="AP76" i="7"/>
  <c r="AD76" i="7"/>
  <c r="CQ76" i="7"/>
  <c r="AE76" i="7"/>
  <c r="AB76" i="7"/>
  <c r="CY76" i="7"/>
  <c r="F28" i="12"/>
  <c r="F29" i="12"/>
  <c r="AI76" i="7"/>
  <c r="AF76" i="7"/>
  <c r="AH76" i="7"/>
  <c r="AL76" i="7"/>
  <c r="AN76" i="7"/>
  <c r="CR76" i="7"/>
  <c r="AM76" i="7"/>
  <c r="AG145" i="7"/>
  <c r="AF145" i="7" s="1"/>
  <c r="AH145" i="7" s="1"/>
  <c r="G34" i="12"/>
  <c r="G35" i="12"/>
  <c r="G36" i="12"/>
  <c r="O165" i="7"/>
  <c r="J165" i="7" s="1"/>
  <c r="O164" i="7"/>
  <c r="Q164" i="7" s="1"/>
  <c r="O166" i="7"/>
  <c r="EH76" i="7" l="1"/>
  <c r="EH80" i="7"/>
  <c r="EH78" i="7"/>
  <c r="EH81" i="7"/>
  <c r="ED77" i="7"/>
  <c r="EB77" i="7" s="1"/>
  <c r="J80" i="7"/>
  <c r="EC80" i="7" s="1"/>
  <c r="ED80" i="7"/>
  <c r="T80" i="7"/>
  <c r="DM77" i="7"/>
  <c r="DN77" i="7" s="1"/>
  <c r="W104" i="7"/>
  <c r="J76" i="7"/>
  <c r="EC76" i="7" s="1"/>
  <c r="ED76" i="7"/>
  <c r="DH71" i="7"/>
  <c r="FF69" i="7"/>
  <c r="AC113" i="7"/>
  <c r="AG113" i="7" s="1"/>
  <c r="AF113" i="7" s="1"/>
  <c r="AH113" i="7" s="1"/>
  <c r="BR73" i="7"/>
  <c r="FF73" i="7" s="1"/>
  <c r="BR85" i="7"/>
  <c r="AC116" i="7"/>
  <c r="AG116" i="7" s="1"/>
  <c r="AF116" i="7" s="1"/>
  <c r="AH116" i="7" s="1"/>
  <c r="DG74" i="7"/>
  <c r="DH75" i="7"/>
  <c r="Q166" i="7"/>
  <c r="R166" i="7" s="1"/>
  <c r="J166" i="7"/>
  <c r="DM74" i="7"/>
  <c r="DN74" i="7" s="1"/>
  <c r="DP74" i="7" s="1"/>
  <c r="DM81" i="7"/>
  <c r="DN81" i="7" s="1"/>
  <c r="EG77" i="7"/>
  <c r="ED74" i="7"/>
  <c r="J74" i="7"/>
  <c r="EC74" i="7" s="1"/>
  <c r="S75" i="7"/>
  <c r="ED75" i="7"/>
  <c r="J75" i="7"/>
  <c r="EC75" i="7" s="1"/>
  <c r="DM80" i="7"/>
  <c r="DN80" i="7" s="1"/>
  <c r="DM78" i="7"/>
  <c r="DN78" i="7" s="1"/>
  <c r="DG75" i="7"/>
  <c r="DM75" i="7"/>
  <c r="DN75" i="7" s="1"/>
  <c r="DM76" i="7"/>
  <c r="DN76" i="7" s="1"/>
  <c r="AF124" i="7"/>
  <c r="AH124" i="7" s="1"/>
  <c r="BP70" i="7"/>
  <c r="BQ72" i="7"/>
  <c r="BP72" i="7"/>
  <c r="BR70" i="7"/>
  <c r="FF70" i="7" s="1"/>
  <c r="BR72" i="7"/>
  <c r="AC119" i="7"/>
  <c r="AG119" i="7" s="1"/>
  <c r="AF119" i="7" s="1"/>
  <c r="AH119" i="7" s="1"/>
  <c r="BC32" i="12"/>
  <c r="AC118" i="7"/>
  <c r="AG118" i="7" s="1"/>
  <c r="AF118" i="7" s="1"/>
  <c r="AH118" i="7" s="1"/>
  <c r="DH77" i="7"/>
  <c r="BQ79" i="7"/>
  <c r="BP79" i="7"/>
  <c r="BR68" i="7"/>
  <c r="FF68" i="7" s="1"/>
  <c r="BR79" i="7"/>
  <c r="AC130" i="7"/>
  <c r="AG130" i="7" s="1"/>
  <c r="AF130" i="7" s="1"/>
  <c r="AH130" i="7" s="1"/>
  <c r="AC128" i="7"/>
  <c r="AG128" i="7" s="1"/>
  <c r="AF128" i="7" s="1"/>
  <c r="AH128" i="7" s="1"/>
  <c r="AM117" i="7"/>
  <c r="AR117" i="7" s="1"/>
  <c r="DG77" i="7"/>
  <c r="AC77" i="7"/>
  <c r="J164" i="7"/>
  <c r="AM121" i="7"/>
  <c r="AR121" i="7" s="1"/>
  <c r="AL316" i="7"/>
  <c r="AK315" i="7"/>
  <c r="AM113" i="7"/>
  <c r="AR113" i="7" s="1"/>
  <c r="AU113" i="7"/>
  <c r="Q178" i="7"/>
  <c r="T156" i="7"/>
  <c r="EJ71" i="7"/>
  <c r="S71" i="7"/>
  <c r="J71" i="7"/>
  <c r="EC71" i="7" s="1"/>
  <c r="ED71" i="7"/>
  <c r="DG71" i="7"/>
  <c r="AG71" i="7"/>
  <c r="AT113" i="7"/>
  <c r="AR120" i="7"/>
  <c r="DH78" i="7"/>
  <c r="L283" i="7"/>
  <c r="Q282" i="7"/>
  <c r="L282" i="7" s="1"/>
  <c r="Q291" i="7" s="1"/>
  <c r="L293" i="7" s="1"/>
  <c r="L53" i="7" s="1"/>
  <c r="DG78" i="7"/>
  <c r="DG80" i="7"/>
  <c r="F32" i="12"/>
  <c r="DH81" i="7"/>
  <c r="DG81" i="7"/>
  <c r="DH76" i="7"/>
  <c r="DG76" i="7"/>
  <c r="G28" i="12"/>
  <c r="G29" i="12"/>
  <c r="AF115" i="7"/>
  <c r="P165" i="7"/>
  <c r="Q165" i="7"/>
  <c r="R165" i="7" s="1"/>
  <c r="EH77" i="7" l="1"/>
  <c r="IF7" i="39"/>
  <c r="AO289" i="7"/>
  <c r="R171" i="7"/>
  <c r="BE32" i="12"/>
  <c r="BF32" i="12" s="1"/>
  <c r="BS85" i="7"/>
  <c r="DB85" i="7" s="1"/>
  <c r="BS69" i="7"/>
  <c r="S178" i="7"/>
  <c r="F38" i="7"/>
  <c r="L38" i="7" s="1"/>
  <c r="FF85" i="7"/>
  <c r="EB74" i="7"/>
  <c r="EG74" i="7"/>
  <c r="EG75" i="7"/>
  <c r="EB75" i="7"/>
  <c r="BS72" i="7"/>
  <c r="DB72" i="7" s="1"/>
  <c r="BS73" i="7"/>
  <c r="FF72" i="7"/>
  <c r="IF6" i="39" s="1"/>
  <c r="BS68" i="7"/>
  <c r="FG68" i="7" s="1"/>
  <c r="BS70" i="7"/>
  <c r="AG156" i="7"/>
  <c r="AC156" i="7"/>
  <c r="IF5" i="39"/>
  <c r="FF79" i="7"/>
  <c r="IF8" i="39" s="1"/>
  <c r="BS79" i="7"/>
  <c r="FG79" i="7" s="1"/>
  <c r="AL317" i="7"/>
  <c r="AK316" i="7"/>
  <c r="AS113" i="7"/>
  <c r="EG71" i="7"/>
  <c r="EB71" i="7"/>
  <c r="G32" i="12"/>
  <c r="BT69" i="7" s="1"/>
  <c r="DC69" i="7" s="1"/>
  <c r="AH115" i="7"/>
  <c r="AF156" i="7"/>
  <c r="EH75" i="7" l="1"/>
  <c r="EH74" i="7"/>
  <c r="EH71" i="7"/>
  <c r="FG85" i="7"/>
  <c r="FG69" i="7"/>
  <c r="DB69" i="7"/>
  <c r="P38" i="7"/>
  <c r="BT73" i="7"/>
  <c r="DC73" i="7" s="1"/>
  <c r="BT85" i="7"/>
  <c r="DB68" i="7"/>
  <c r="FG72" i="7"/>
  <c r="DB73" i="7"/>
  <c r="FG73" i="7"/>
  <c r="BT70" i="7"/>
  <c r="DC70" i="7" s="1"/>
  <c r="BT72" i="7"/>
  <c r="DC72" i="7" s="1"/>
  <c r="DB70" i="7"/>
  <c r="FG70" i="7"/>
  <c r="IG7" i="39" s="1"/>
  <c r="AH156" i="7"/>
  <c r="BT68" i="7"/>
  <c r="DC68" i="7" s="1"/>
  <c r="BT79" i="7"/>
  <c r="DB79" i="7"/>
  <c r="FF88" i="7"/>
  <c r="AL318" i="7"/>
  <c r="AK317" i="7"/>
  <c r="DC85" i="7" l="1"/>
  <c r="IG6" i="39"/>
  <c r="DB88" i="7"/>
  <c r="K99" i="7" s="1"/>
  <c r="D104" i="7" s="1"/>
  <c r="IG5" i="39"/>
  <c r="IG8" i="39"/>
  <c r="DC79" i="7"/>
  <c r="DC88" i="7" s="1"/>
  <c r="M99" i="7" s="1"/>
  <c r="AL319" i="7"/>
  <c r="AK318" i="7"/>
  <c r="D105" i="7" l="1"/>
  <c r="AL320" i="7"/>
  <c r="AK319" i="7"/>
  <c r="K29" i="12"/>
  <c r="K28" i="12"/>
  <c r="L34" i="12"/>
  <c r="L35" i="12"/>
  <c r="L36" i="12"/>
  <c r="AL321" i="7" l="1"/>
  <c r="AK320" i="7"/>
  <c r="K32" i="12"/>
  <c r="BU69" i="7" s="1"/>
  <c r="L28" i="12"/>
  <c r="L29" i="12"/>
  <c r="P29" i="12"/>
  <c r="P28" i="12"/>
  <c r="AA69" i="7" l="1"/>
  <c r="Z69" i="7"/>
  <c r="BU73" i="7"/>
  <c r="AA73" i="7" s="1"/>
  <c r="BU85" i="7"/>
  <c r="BU70" i="7"/>
  <c r="Z70" i="7" s="1"/>
  <c r="BU72" i="7"/>
  <c r="BU68" i="7"/>
  <c r="AA68" i="7" s="1"/>
  <c r="BU79" i="7"/>
  <c r="AL322" i="7"/>
  <c r="AK321" i="7"/>
  <c r="P32" i="12"/>
  <c r="L32" i="12"/>
  <c r="AJ69" i="7" s="1"/>
  <c r="S29" i="12"/>
  <c r="S28" i="12"/>
  <c r="HX18" i="39" l="1"/>
  <c r="HV18" i="39"/>
  <c r="HT18" i="39"/>
  <c r="HZ18" i="39"/>
  <c r="FE73" i="7"/>
  <c r="FD73" i="7"/>
  <c r="BA68" i="7"/>
  <c r="BC69" i="7"/>
  <c r="AZ69" i="7"/>
  <c r="BA69" i="7"/>
  <c r="BD69" i="7"/>
  <c r="Z73" i="7"/>
  <c r="Z85" i="7"/>
  <c r="AA85" i="7"/>
  <c r="AJ73" i="7"/>
  <c r="AJ85" i="7"/>
  <c r="AA70" i="7"/>
  <c r="BD73" i="7"/>
  <c r="BA73" i="7"/>
  <c r="AA72" i="7"/>
  <c r="Z72" i="7"/>
  <c r="AJ70" i="7"/>
  <c r="AJ72" i="7"/>
  <c r="AZ70" i="7"/>
  <c r="BC70" i="7"/>
  <c r="BD68" i="7"/>
  <c r="Z68" i="7"/>
  <c r="AJ68" i="7"/>
  <c r="AJ79" i="7"/>
  <c r="AA79" i="7"/>
  <c r="Z79" i="7"/>
  <c r="AL323" i="7"/>
  <c r="AK322" i="7"/>
  <c r="S32" i="12"/>
  <c r="BW69" i="7" s="1"/>
  <c r="T29" i="12"/>
  <c r="T28" i="12"/>
  <c r="HZ6" i="39" l="1"/>
  <c r="HX6" i="39"/>
  <c r="HT6" i="39"/>
  <c r="HV6" i="39"/>
  <c r="FD79" i="7"/>
  <c r="FE79" i="7"/>
  <c r="FE85" i="7"/>
  <c r="FD85" i="7"/>
  <c r="FE72" i="7"/>
  <c r="FD72" i="7"/>
  <c r="FE70" i="7"/>
  <c r="FD70" i="7"/>
  <c r="HQ4" i="39"/>
  <c r="BC73" i="7"/>
  <c r="CQ69" i="7"/>
  <c r="AZ73" i="7"/>
  <c r="BW73" i="7"/>
  <c r="BW85" i="7"/>
  <c r="BG85" i="7" s="1"/>
  <c r="F98" i="39"/>
  <c r="BD85" i="7"/>
  <c r="Y85" i="7"/>
  <c r="R85" i="7" s="1"/>
  <c r="CP85" i="7" s="1"/>
  <c r="BA85" i="7"/>
  <c r="BC85" i="7"/>
  <c r="AZ85" i="7"/>
  <c r="BD70" i="7"/>
  <c r="BA70" i="7"/>
  <c r="AZ72" i="7"/>
  <c r="BC72" i="7"/>
  <c r="BW70" i="7"/>
  <c r="BW72" i="7"/>
  <c r="BG72" i="7" s="1"/>
  <c r="BD72" i="7"/>
  <c r="BA72" i="7"/>
  <c r="CQ70" i="7"/>
  <c r="BC68" i="7"/>
  <c r="AZ68" i="7"/>
  <c r="BQ68" i="7"/>
  <c r="BQ88" i="7" s="1"/>
  <c r="V291" i="7" s="1"/>
  <c r="BC79" i="7"/>
  <c r="AZ79" i="7"/>
  <c r="BA79" i="7"/>
  <c r="BD79" i="7"/>
  <c r="BW68" i="7"/>
  <c r="BW79" i="7"/>
  <c r="AL324" i="7"/>
  <c r="AK323" i="7"/>
  <c r="T32" i="12"/>
  <c r="BX69" i="7" s="1"/>
  <c r="U28" i="12"/>
  <c r="U29" i="12"/>
  <c r="V36" i="12"/>
  <c r="V34" i="12"/>
  <c r="AR70" i="7" s="1" a="1"/>
  <c r="AR70" i="7" s="1"/>
  <c r="V35" i="12"/>
  <c r="CQ73" i="7" l="1"/>
  <c r="BX99" i="39"/>
  <c r="BX103" i="39" s="1"/>
  <c r="G295" i="7"/>
  <c r="Y72" i="7"/>
  <c r="R72" i="7" s="1"/>
  <c r="CP72" i="7" s="1"/>
  <c r="EF85" i="7"/>
  <c r="CQ85" i="7"/>
  <c r="BX73" i="7"/>
  <c r="BX85" i="7"/>
  <c r="BW103" i="39"/>
  <c r="BW107" i="39" s="1"/>
  <c r="CQ72" i="7"/>
  <c r="BX70" i="7"/>
  <c r="BX72" i="7"/>
  <c r="CQ68" i="7"/>
  <c r="IK8" i="39"/>
  <c r="IM8" i="39" s="1"/>
  <c r="HX4" i="39"/>
  <c r="HV4" i="39"/>
  <c r="HZ4" i="39"/>
  <c r="HT4" i="39"/>
  <c r="P98" i="39"/>
  <c r="BX68" i="7"/>
  <c r="BX79" i="7"/>
  <c r="CQ79" i="7"/>
  <c r="AL325" i="7"/>
  <c r="AK324" i="7"/>
  <c r="U32" i="12"/>
  <c r="BY69" i="7" s="1"/>
  <c r="BG69" i="7" s="1"/>
  <c r="V29" i="12"/>
  <c r="V28" i="12"/>
  <c r="FE69" i="7" l="1"/>
  <c r="FD69" i="7"/>
  <c r="IK7" i="39"/>
  <c r="IM7" i="39" s="1"/>
  <c r="EF72" i="7"/>
  <c r="BY73" i="7"/>
  <c r="BG73" i="7" s="1"/>
  <c r="BY85" i="7"/>
  <c r="K72" i="7"/>
  <c r="Q72" i="7" s="1"/>
  <c r="IK5" i="39"/>
  <c r="BW109" i="39"/>
  <c r="R102" i="39" s="1"/>
  <c r="CQ91" i="7"/>
  <c r="AA99" i="7" s="1"/>
  <c r="BX107" i="39"/>
  <c r="BY70" i="7"/>
  <c r="BG70" i="7" s="1"/>
  <c r="BY72" i="7"/>
  <c r="CQ88" i="7"/>
  <c r="CQ89" i="7" s="1"/>
  <c r="AJ92" i="7" s="1"/>
  <c r="N98" i="39"/>
  <c r="CF100" i="39" s="1"/>
  <c r="IH5" i="39" s="1"/>
  <c r="BY68" i="7"/>
  <c r="BG68" i="7" s="1"/>
  <c r="BY79" i="7"/>
  <c r="BG79" i="7" s="1"/>
  <c r="AL326" i="7"/>
  <c r="AK325" i="7"/>
  <c r="V32" i="12"/>
  <c r="Z28" i="12"/>
  <c r="Y29" i="12"/>
  <c r="Y28" i="12"/>
  <c r="AA35" i="12"/>
  <c r="AA34" i="12"/>
  <c r="AA36" i="12"/>
  <c r="FE68" i="7" l="1"/>
  <c r="FD68" i="7"/>
  <c r="AR69" i="7" a="1"/>
  <c r="AR69" i="7" s="1"/>
  <c r="EE69" i="7" s="1"/>
  <c r="AR68" i="7" a="1"/>
  <c r="AR68" i="7" s="1"/>
  <c r="EE68" i="7" s="1"/>
  <c r="AR85" i="7" a="1"/>
  <c r="AR85" i="7" s="1"/>
  <c r="EE85" i="7" s="1"/>
  <c r="AR72" i="7" a="1"/>
  <c r="AR72" i="7" s="1"/>
  <c r="AR73" i="7" a="1"/>
  <c r="AR73" i="7" s="1"/>
  <c r="BX109" i="39"/>
  <c r="R103" i="39" s="1"/>
  <c r="EE70" i="7"/>
  <c r="P104" i="39"/>
  <c r="CF104" i="39"/>
  <c r="II5" i="39" s="1"/>
  <c r="N104" i="39"/>
  <c r="AL327" i="7"/>
  <c r="AK326" i="7"/>
  <c r="Y32" i="12"/>
  <c r="BV69" i="7" s="1"/>
  <c r="BF69" i="7" s="1"/>
  <c r="AA29" i="12"/>
  <c r="AA28" i="12"/>
  <c r="Z29" i="12"/>
  <c r="AB34" i="12"/>
  <c r="AB35" i="12"/>
  <c r="AB36" i="12"/>
  <c r="W69" i="7" l="1"/>
  <c r="S69" i="7" s="1"/>
  <c r="U69" i="7"/>
  <c r="AH69" i="7"/>
  <c r="AP69" i="7"/>
  <c r="AQ69" i="7"/>
  <c r="CR69" i="7"/>
  <c r="AE69" i="7"/>
  <c r="AN69" i="7"/>
  <c r="AM69" i="7"/>
  <c r="AD69" i="7"/>
  <c r="AI69" i="7"/>
  <c r="BV73" i="7"/>
  <c r="BF73" i="7" s="1"/>
  <c r="AM73" i="7" s="1"/>
  <c r="BV85" i="7"/>
  <c r="BF85" i="7" s="1"/>
  <c r="U73" i="7"/>
  <c r="T73" i="7" s="1"/>
  <c r="W73" i="7"/>
  <c r="S73" i="7" s="1"/>
  <c r="EE73" i="7"/>
  <c r="EJ73" i="7"/>
  <c r="EE72" i="7"/>
  <c r="EJ72" i="7"/>
  <c r="BV70" i="7"/>
  <c r="BF70" i="7" s="1"/>
  <c r="AI70" i="7" s="1"/>
  <c r="BV72" i="7"/>
  <c r="BF72" i="7" s="1"/>
  <c r="IM5" i="39"/>
  <c r="IK6" i="39"/>
  <c r="BV68" i="7"/>
  <c r="BF68" i="7" s="1"/>
  <c r="U68" i="7" s="1"/>
  <c r="BV79" i="7"/>
  <c r="BF79" i="7" s="1"/>
  <c r="EJ79" i="7"/>
  <c r="AL328" i="7"/>
  <c r="AK327" i="7"/>
  <c r="AK73" i="7"/>
  <c r="AA32" i="12"/>
  <c r="BZ69" i="7" s="1"/>
  <c r="AB29" i="12"/>
  <c r="AB28" i="12"/>
  <c r="N29" i="12"/>
  <c r="N28" i="12"/>
  <c r="M29" i="12"/>
  <c r="M28" i="12"/>
  <c r="J69" i="7" l="1"/>
  <c r="EC69" i="7" s="1"/>
  <c r="ED69" i="7"/>
  <c r="T69" i="7"/>
  <c r="AF69" i="7"/>
  <c r="CY69" i="7"/>
  <c r="AB69" i="7"/>
  <c r="AC69" i="7" s="1"/>
  <c r="DH69" i="7"/>
  <c r="AI73" i="7"/>
  <c r="AD73" i="7"/>
  <c r="CR73" i="7"/>
  <c r="AQ73" i="7"/>
  <c r="AH73" i="7"/>
  <c r="AE73" i="7"/>
  <c r="AP73" i="7"/>
  <c r="AN73" i="7"/>
  <c r="BZ73" i="7"/>
  <c r="AF73" i="7" s="1"/>
  <c r="BZ85" i="7"/>
  <c r="U85" i="7"/>
  <c r="AP85" i="7"/>
  <c r="AH85" i="7"/>
  <c r="AQ85" i="7"/>
  <c r="AI85" i="7"/>
  <c r="AE85" i="7"/>
  <c r="AN85" i="7"/>
  <c r="AD85" i="7"/>
  <c r="CR85" i="7"/>
  <c r="AM85" i="7"/>
  <c r="W85" i="7"/>
  <c r="S85" i="7" s="1"/>
  <c r="U72" i="7"/>
  <c r="T72" i="7" s="1"/>
  <c r="W72" i="7"/>
  <c r="S72" i="7" s="1"/>
  <c r="T68" i="7"/>
  <c r="AP70" i="7"/>
  <c r="AH70" i="7"/>
  <c r="AD70" i="7"/>
  <c r="AE70" i="7"/>
  <c r="U70" i="7"/>
  <c r="T70" i="7" s="1"/>
  <c r="CR70" i="7"/>
  <c r="W70" i="7"/>
  <c r="S70" i="7" s="1"/>
  <c r="AM70" i="7"/>
  <c r="AN70" i="7"/>
  <c r="ED73" i="7"/>
  <c r="J73" i="7"/>
  <c r="EC73" i="7" s="1"/>
  <c r="AQ70" i="7"/>
  <c r="AK70" i="7"/>
  <c r="AK72" i="7"/>
  <c r="AP72" i="7"/>
  <c r="AI72" i="7"/>
  <c r="AH72" i="7"/>
  <c r="AE72" i="7"/>
  <c r="AD72" i="7"/>
  <c r="AQ72" i="7"/>
  <c r="AM72" i="7"/>
  <c r="CR72" i="7"/>
  <c r="AN72" i="7"/>
  <c r="BZ70" i="7"/>
  <c r="AF70" i="7" s="1"/>
  <c r="BZ72" i="7"/>
  <c r="IM6" i="39"/>
  <c r="IM9" i="39" s="1"/>
  <c r="GW7" i="39" s="1"/>
  <c r="IK9" i="39"/>
  <c r="GW5" i="39" s="1"/>
  <c r="W68" i="7"/>
  <c r="S68" i="7" s="1"/>
  <c r="AQ68" i="7"/>
  <c r="AP68" i="7"/>
  <c r="AD68" i="7"/>
  <c r="AH68" i="7"/>
  <c r="AK68" i="7"/>
  <c r="AK79" i="7"/>
  <c r="AM79" i="7"/>
  <c r="AE79" i="7"/>
  <c r="AD79" i="7"/>
  <c r="AH79" i="7"/>
  <c r="AP79" i="7"/>
  <c r="W79" i="7"/>
  <c r="S79" i="7" s="1"/>
  <c r="AI79" i="7"/>
  <c r="CR79" i="7"/>
  <c r="U79" i="7"/>
  <c r="AN79" i="7"/>
  <c r="AQ79" i="7"/>
  <c r="AI68" i="7"/>
  <c r="AE68" i="7"/>
  <c r="AN68" i="7"/>
  <c r="AM68" i="7"/>
  <c r="CR68" i="7"/>
  <c r="BZ68" i="7"/>
  <c r="BZ79" i="7"/>
  <c r="AB32" i="12"/>
  <c r="AL329" i="7"/>
  <c r="AK328" i="7"/>
  <c r="M32" i="12"/>
  <c r="CC69" i="7" s="1"/>
  <c r="N32" i="12"/>
  <c r="CD69" i="7" s="1"/>
  <c r="O28" i="12"/>
  <c r="O29" i="12"/>
  <c r="EG69" i="7" l="1"/>
  <c r="EH69" i="7" s="1"/>
  <c r="DM69" i="7"/>
  <c r="AG69" i="7"/>
  <c r="DG69" i="7"/>
  <c r="CA85" i="7"/>
  <c r="DA85" i="7" s="1"/>
  <c r="CA69" i="7"/>
  <c r="AB68" i="7"/>
  <c r="CY68" i="7"/>
  <c r="DH73" i="7"/>
  <c r="AB73" i="7"/>
  <c r="AC73" i="7" s="1"/>
  <c r="CY73" i="7"/>
  <c r="CC73" i="7"/>
  <c r="CC85" i="7"/>
  <c r="EK85" i="7"/>
  <c r="ED85" i="7"/>
  <c r="T85" i="7"/>
  <c r="DH85" i="7"/>
  <c r="CY85" i="7"/>
  <c r="CD73" i="7"/>
  <c r="CD85" i="7"/>
  <c r="DH70" i="7"/>
  <c r="EK72" i="7"/>
  <c r="J72" i="7"/>
  <c r="EC72" i="7" s="1"/>
  <c r="ED72" i="7"/>
  <c r="EB72" i="7" s="1"/>
  <c r="S88" i="7"/>
  <c r="U88" i="7"/>
  <c r="AD88" i="7"/>
  <c r="DH72" i="7"/>
  <c r="ED70" i="7"/>
  <c r="J70" i="7"/>
  <c r="EC70" i="7" s="1"/>
  <c r="EB73" i="7"/>
  <c r="EG73" i="7"/>
  <c r="CA72" i="7"/>
  <c r="AL72" i="7" s="1"/>
  <c r="CA73" i="7"/>
  <c r="AG73" i="7"/>
  <c r="DM73" i="7"/>
  <c r="CY72" i="7"/>
  <c r="AF72" i="7"/>
  <c r="X102" i="7" s="1"/>
  <c r="AB72" i="7"/>
  <c r="AB70" i="7"/>
  <c r="AC70" i="7" s="1"/>
  <c r="CD70" i="7"/>
  <c r="CD72" i="7"/>
  <c r="CC70" i="7"/>
  <c r="CC72" i="7"/>
  <c r="CY70" i="7"/>
  <c r="CR88" i="7"/>
  <c r="CR89" i="7" s="1"/>
  <c r="AK92" i="7" s="1"/>
  <c r="AG70" i="7"/>
  <c r="CA79" i="7"/>
  <c r="AO79" i="7" s="1"/>
  <c r="CA70" i="7"/>
  <c r="J68" i="7"/>
  <c r="EC68" i="7" s="1"/>
  <c r="CA68" i="7"/>
  <c r="DA68" i="7" s="1"/>
  <c r="ED68" i="7"/>
  <c r="DH79" i="7"/>
  <c r="AF68" i="7"/>
  <c r="DH68" i="7"/>
  <c r="CC68" i="7"/>
  <c r="CC79" i="7"/>
  <c r="AB79" i="7"/>
  <c r="AC79" i="7" s="1"/>
  <c r="CY79" i="7"/>
  <c r="AF79" i="7"/>
  <c r="CD68" i="7"/>
  <c r="CD79" i="7"/>
  <c r="T79" i="7"/>
  <c r="J79" i="7"/>
  <c r="EC79" i="7" s="1"/>
  <c r="ED79" i="7"/>
  <c r="AL330" i="7"/>
  <c r="AK329" i="7"/>
  <c r="O32" i="12"/>
  <c r="CE69" i="7" s="1"/>
  <c r="EZ69" i="7" s="1"/>
  <c r="EH73" i="7" l="1"/>
  <c r="EP72" i="7"/>
  <c r="FA69" i="7"/>
  <c r="EG68" i="7"/>
  <c r="AC72" i="7"/>
  <c r="W102" i="7"/>
  <c r="AC68" i="7"/>
  <c r="ES85" i="7"/>
  <c r="DA69" i="7"/>
  <c r="AO69" i="7"/>
  <c r="AL69" i="7"/>
  <c r="DM72" i="7"/>
  <c r="DG73" i="7"/>
  <c r="T88" i="7"/>
  <c r="CE73" i="7"/>
  <c r="FA73" i="7" s="1"/>
  <c r="CE85" i="7"/>
  <c r="FA85" i="7"/>
  <c r="EZ85" i="7"/>
  <c r="DG70" i="7"/>
  <c r="EL72" i="7"/>
  <c r="EN72" i="7" s="1"/>
  <c r="EG72" i="7"/>
  <c r="EO72" i="7"/>
  <c r="ET72" i="7" s="1"/>
  <c r="EG70" i="7"/>
  <c r="DK73" i="7"/>
  <c r="DA73" i="7"/>
  <c r="AO73" i="7"/>
  <c r="AL73" i="7"/>
  <c r="DJ73" i="7"/>
  <c r="DN73" i="7" s="1"/>
  <c r="DP73" i="7" s="1"/>
  <c r="AO72" i="7"/>
  <c r="DA72" i="7"/>
  <c r="DL73" i="7"/>
  <c r="DM70" i="7"/>
  <c r="DG72" i="7"/>
  <c r="AG72" i="7"/>
  <c r="CE70" i="7"/>
  <c r="EZ70" i="7" s="1"/>
  <c r="CE72" i="7"/>
  <c r="FA72" i="7"/>
  <c r="DK72" i="7"/>
  <c r="EZ72" i="7"/>
  <c r="DA79" i="7"/>
  <c r="DA70" i="7"/>
  <c r="AO70" i="7"/>
  <c r="AL70" i="7"/>
  <c r="AL79" i="7"/>
  <c r="AO68" i="7"/>
  <c r="AL68" i="7"/>
  <c r="EH68" i="7"/>
  <c r="AG68" i="7"/>
  <c r="DM68" i="7"/>
  <c r="DG79" i="7"/>
  <c r="DG68" i="7"/>
  <c r="CE68" i="7"/>
  <c r="FA68" i="7" s="1"/>
  <c r="CE79" i="7"/>
  <c r="EG79" i="7"/>
  <c r="EB79" i="7"/>
  <c r="DM79" i="7"/>
  <c r="AG79" i="7"/>
  <c r="AL331" i="7"/>
  <c r="AK330" i="7"/>
  <c r="EH70" i="7" l="1"/>
  <c r="EH79" i="7"/>
  <c r="EH72" i="7"/>
  <c r="EU72" i="7"/>
  <c r="FA70" i="7"/>
  <c r="EZ73" i="7"/>
  <c r="EZ68" i="7"/>
  <c r="EM72" i="7"/>
  <c r="DJ72" i="7"/>
  <c r="DL72" i="7"/>
  <c r="FA79" i="7"/>
  <c r="EZ79" i="7"/>
  <c r="AL332" i="7"/>
  <c r="AK331" i="7"/>
  <c r="FA89" i="7" l="1"/>
  <c r="EZ89" i="7"/>
  <c r="FA88" i="7"/>
  <c r="EZ88" i="7"/>
  <c r="B55" i="14" s="1"/>
  <c r="DN72" i="7"/>
  <c r="DP72" i="7" s="1"/>
  <c r="DL79" i="7"/>
  <c r="DK79" i="7"/>
  <c r="DJ79" i="7"/>
  <c r="DN79" i="7" s="1"/>
  <c r="DP79" i="7" s="1"/>
  <c r="AL333" i="7"/>
  <c r="AK332" i="7"/>
  <c r="AE64" i="14" l="1"/>
  <c r="CL69" i="7" s="1"/>
  <c r="AF64" i="14"/>
  <c r="CM78" i="7" s="1"/>
  <c r="AG64" i="14"/>
  <c r="CN82" i="7" s="1"/>
  <c r="AF52" i="14"/>
  <c r="AU64" i="14"/>
  <c r="AW64" i="14"/>
  <c r="AV64" i="14"/>
  <c r="AE52" i="14"/>
  <c r="AU52" i="14"/>
  <c r="AV52" i="14" s="1"/>
  <c r="AW52" i="14" s="1"/>
  <c r="AH64" i="14"/>
  <c r="CH86" i="7" s="1"/>
  <c r="AG52" i="14"/>
  <c r="AH61" i="14"/>
  <c r="AG67" i="14"/>
  <c r="AH67" i="14" s="1"/>
  <c r="AL334" i="7"/>
  <c r="AK333" i="7"/>
  <c r="CL71" i="7" l="1"/>
  <c r="CL75" i="7"/>
  <c r="CL86" i="7"/>
  <c r="CL77" i="7"/>
  <c r="CL81" i="7"/>
  <c r="CL73" i="7"/>
  <c r="CL80" i="7"/>
  <c r="CL79" i="7"/>
  <c r="CL82" i="7"/>
  <c r="CL68" i="7"/>
  <c r="CL74" i="7"/>
  <c r="CL78" i="7"/>
  <c r="CL84" i="7"/>
  <c r="CL85" i="7"/>
  <c r="CL76" i="7"/>
  <c r="CL72" i="7"/>
  <c r="CL70" i="7"/>
  <c r="CL87" i="7"/>
  <c r="CM75" i="7"/>
  <c r="CM70" i="7"/>
  <c r="CM84" i="7"/>
  <c r="CM86" i="7"/>
  <c r="CM69" i="7"/>
  <c r="CM83" i="7"/>
  <c r="CM74" i="7"/>
  <c r="CM81" i="7"/>
  <c r="CM73" i="7"/>
  <c r="CM80" i="7"/>
  <c r="DX72" i="7"/>
  <c r="ER72" i="7" s="1"/>
  <c r="CM71" i="7"/>
  <c r="DX71" i="7"/>
  <c r="DX87" i="7"/>
  <c r="CM72" i="7"/>
  <c r="CM77" i="7"/>
  <c r="CM87" i="7"/>
  <c r="DX83" i="7"/>
  <c r="CM68" i="7"/>
  <c r="CM82" i="7"/>
  <c r="CM79" i="7"/>
  <c r="DX74" i="7"/>
  <c r="DX80" i="7"/>
  <c r="CM76" i="7"/>
  <c r="CM85" i="7"/>
  <c r="CF68" i="7"/>
  <c r="DX75" i="7"/>
  <c r="DX82" i="7"/>
  <c r="EQ82" i="7" s="1"/>
  <c r="CL83" i="7"/>
  <c r="CF87" i="7"/>
  <c r="CF71" i="7"/>
  <c r="CG71" i="7"/>
  <c r="DX70" i="7"/>
  <c r="DX76" i="7"/>
  <c r="DX85" i="7"/>
  <c r="CH82" i="7"/>
  <c r="CH74" i="7"/>
  <c r="CF86" i="7"/>
  <c r="FC86" i="7" s="1"/>
  <c r="Y86" i="7" s="1"/>
  <c r="R86" i="7" s="1"/>
  <c r="CP86" i="7" s="1"/>
  <c r="CG80" i="7"/>
  <c r="CG70" i="7"/>
  <c r="CH68" i="7"/>
  <c r="DX81" i="7"/>
  <c r="CH73" i="7"/>
  <c r="CG73" i="7"/>
  <c r="CH81" i="7"/>
  <c r="CG68" i="7"/>
  <c r="CH75" i="7"/>
  <c r="CF69" i="7"/>
  <c r="DX73" i="7"/>
  <c r="CG74" i="7"/>
  <c r="CH85" i="7"/>
  <c r="CF78" i="7"/>
  <c r="FC78" i="7" s="1"/>
  <c r="Y78" i="7" s="1"/>
  <c r="R78" i="7" s="1"/>
  <c r="CP78" i="7" s="1"/>
  <c r="CH76" i="7"/>
  <c r="CF80" i="7"/>
  <c r="FC80" i="7" s="1"/>
  <c r="Y80" i="7" s="1"/>
  <c r="R80" i="7" s="1"/>
  <c r="CP80" i="7" s="1"/>
  <c r="CG82" i="7"/>
  <c r="CF70" i="7"/>
  <c r="CF85" i="7"/>
  <c r="FC85" i="7" s="1"/>
  <c r="CH77" i="7"/>
  <c r="CG69" i="7"/>
  <c r="CF77" i="7"/>
  <c r="FC77" i="7" s="1"/>
  <c r="Y77" i="7" s="1"/>
  <c r="R77" i="7" s="1"/>
  <c r="CP77" i="7" s="1"/>
  <c r="CH84" i="7"/>
  <c r="CH80" i="7"/>
  <c r="CF72" i="7"/>
  <c r="FC72" i="7" s="1"/>
  <c r="CG72" i="7"/>
  <c r="CG87" i="7"/>
  <c r="CF84" i="7"/>
  <c r="FC84" i="7" s="1"/>
  <c r="CH72" i="7"/>
  <c r="CH69" i="7"/>
  <c r="CH83" i="7"/>
  <c r="CG79" i="7"/>
  <c r="CG86" i="7"/>
  <c r="CG76" i="7"/>
  <c r="CF82" i="7"/>
  <c r="FC82" i="7" s="1"/>
  <c r="CG84" i="7"/>
  <c r="CF79" i="7"/>
  <c r="FC79" i="7" s="1"/>
  <c r="Y79" i="7" s="1"/>
  <c r="R79" i="7" s="1"/>
  <c r="CP79" i="7" s="1"/>
  <c r="CG81" i="7"/>
  <c r="CH78" i="7"/>
  <c r="CG77" i="7"/>
  <c r="CH70" i="7"/>
  <c r="CH79" i="7"/>
  <c r="CF81" i="7"/>
  <c r="FC81" i="7" s="1"/>
  <c r="Y81" i="7" s="1"/>
  <c r="R81" i="7" s="1"/>
  <c r="CP81" i="7" s="1"/>
  <c r="CF73" i="7"/>
  <c r="CF76" i="7"/>
  <c r="CF83" i="7"/>
  <c r="FC83" i="7" s="1"/>
  <c r="Y83" i="7" s="1"/>
  <c r="R83" i="7" s="1"/>
  <c r="CP83" i="7" s="1"/>
  <c r="CF74" i="7"/>
  <c r="FC74" i="7" s="1"/>
  <c r="CG83" i="7"/>
  <c r="CF75" i="7"/>
  <c r="FC75" i="7" s="1"/>
  <c r="CH87" i="7"/>
  <c r="CG75" i="7"/>
  <c r="CG78" i="7"/>
  <c r="CG85" i="7"/>
  <c r="CH71" i="7"/>
  <c r="CN80" i="7"/>
  <c r="CN79" i="7"/>
  <c r="DX79" i="7"/>
  <c r="DX78" i="7"/>
  <c r="Y84" i="7"/>
  <c r="R84" i="7" s="1"/>
  <c r="CP84" i="7" s="1"/>
  <c r="CN87" i="7"/>
  <c r="CN71" i="7"/>
  <c r="DX77" i="7"/>
  <c r="DX69" i="7"/>
  <c r="CN68" i="7"/>
  <c r="CN86" i="7"/>
  <c r="DX84" i="7"/>
  <c r="DX86" i="7"/>
  <c r="CN70" i="7"/>
  <c r="CN77" i="7"/>
  <c r="CN69" i="7"/>
  <c r="CN72" i="7"/>
  <c r="CN84" i="7"/>
  <c r="CN76" i="7"/>
  <c r="CN83" i="7"/>
  <c r="CN78" i="7"/>
  <c r="CN75" i="7"/>
  <c r="CN85" i="7"/>
  <c r="CN74" i="7"/>
  <c r="CN81" i="7"/>
  <c r="CN73" i="7"/>
  <c r="Y71" i="7"/>
  <c r="R71" i="7" s="1"/>
  <c r="CP71" i="7" s="1"/>
  <c r="AL335" i="7"/>
  <c r="AK334" i="7"/>
  <c r="FC71" i="7" l="1"/>
  <c r="FC87" i="7"/>
  <c r="Y87" i="7" s="1"/>
  <c r="R87" i="7" s="1"/>
  <c r="CP87" i="7" s="1"/>
  <c r="FC69" i="7"/>
  <c r="FC68" i="7"/>
  <c r="X68" i="7" s="1"/>
  <c r="FB76" i="7"/>
  <c r="Y75" i="7"/>
  <c r="R75" i="7" s="1"/>
  <c r="CP75" i="7" s="1"/>
  <c r="Y74" i="7"/>
  <c r="R74" i="7" s="1"/>
  <c r="CP74" i="7" s="1"/>
  <c r="AX72" i="7"/>
  <c r="AX82" i="7"/>
  <c r="AU78" i="7"/>
  <c r="AT78" i="7"/>
  <c r="ER82" i="7"/>
  <c r="AS79" i="7"/>
  <c r="FB79" i="7"/>
  <c r="EF79" i="7" s="1"/>
  <c r="FB78" i="7"/>
  <c r="K78" i="7" s="1"/>
  <c r="Q78" i="7" s="1"/>
  <c r="AW79" i="7"/>
  <c r="EQ72" i="7"/>
  <c r="ES72" i="7" s="1"/>
  <c r="EW72" i="7" s="1"/>
  <c r="EV72" i="7" s="1"/>
  <c r="FC73" i="7"/>
  <c r="Y73" i="7" s="1"/>
  <c r="R73" i="7" s="1"/>
  <c r="CP73" i="7" s="1"/>
  <c r="FB81" i="7"/>
  <c r="AW78" i="7"/>
  <c r="FC76" i="7"/>
  <c r="Y76" i="7" s="1"/>
  <c r="R76" i="7" s="1"/>
  <c r="CP76" i="7" s="1"/>
  <c r="FB74" i="7"/>
  <c r="FB83" i="7"/>
  <c r="EK83" i="7" s="1"/>
  <c r="AS68" i="7"/>
  <c r="FB85" i="7"/>
  <c r="AS85" i="7"/>
  <c r="AV78" i="7"/>
  <c r="AS74" i="7"/>
  <c r="AV76" i="7"/>
  <c r="FC70" i="7"/>
  <c r="AT76" i="7"/>
  <c r="AV71" i="7"/>
  <c r="AX83" i="7"/>
  <c r="FB77" i="7"/>
  <c r="AS78" i="7"/>
  <c r="AT77" i="7"/>
  <c r="AT74" i="7"/>
  <c r="AS71" i="7"/>
  <c r="FB71" i="7"/>
  <c r="AX69" i="7"/>
  <c r="AW69" i="7"/>
  <c r="FB69" i="7"/>
  <c r="AS69" i="7"/>
  <c r="AT69" i="7"/>
  <c r="FB70" i="7"/>
  <c r="AV69" i="7"/>
  <c r="AW74" i="7"/>
  <c r="AW70" i="7"/>
  <c r="AS70" i="7"/>
  <c r="AW71" i="7"/>
  <c r="AW83" i="7"/>
  <c r="AU76" i="7"/>
  <c r="AV83" i="7"/>
  <c r="AS83" i="7"/>
  <c r="AT83" i="7"/>
  <c r="AV74" i="7"/>
  <c r="AW76" i="7"/>
  <c r="AV72" i="7"/>
  <c r="AV75" i="7"/>
  <c r="FB75" i="7"/>
  <c r="AT75" i="7"/>
  <c r="AW72" i="7"/>
  <c r="AS75" i="7"/>
  <c r="FB72" i="7"/>
  <c r="AV87" i="7"/>
  <c r="AS72" i="7"/>
  <c r="AW87" i="7"/>
  <c r="AW75" i="7"/>
  <c r="AT70" i="7"/>
  <c r="AT72" i="7"/>
  <c r="AS86" i="7"/>
  <c r="AT87" i="7"/>
  <c r="AS82" i="7"/>
  <c r="AV70" i="7"/>
  <c r="AW82" i="7"/>
  <c r="AS84" i="7"/>
  <c r="AS80" i="7"/>
  <c r="FB82" i="7"/>
  <c r="FB84" i="7"/>
  <c r="EF84" i="7" s="1"/>
  <c r="FB68" i="7"/>
  <c r="V68" i="7" s="1"/>
  <c r="AT81" i="7"/>
  <c r="AS81" i="7"/>
  <c r="FB73" i="7"/>
  <c r="AX87" i="7"/>
  <c r="AW84" i="7"/>
  <c r="AV68" i="7"/>
  <c r="AW86" i="7"/>
  <c r="AU86" i="7"/>
  <c r="FB80" i="7"/>
  <c r="AS73" i="7"/>
  <c r="AV84" i="7"/>
  <c r="AW68" i="7"/>
  <c r="AT86" i="7"/>
  <c r="AT80" i="7"/>
  <c r="AU84" i="7"/>
  <c r="AU68" i="7"/>
  <c r="AV73" i="7"/>
  <c r="FB87" i="7"/>
  <c r="FB86" i="7"/>
  <c r="AT73" i="7"/>
  <c r="AT68" i="7"/>
  <c r="DK68" i="7" s="1"/>
  <c r="AV86" i="7"/>
  <c r="AV80" i="7"/>
  <c r="AS87" i="7"/>
  <c r="AU82" i="7"/>
  <c r="AV79" i="7"/>
  <c r="AW85" i="7"/>
  <c r="AW80" i="7"/>
  <c r="AT85" i="7"/>
  <c r="AU80" i="7"/>
  <c r="AV85" i="7"/>
  <c r="AV82" i="7"/>
  <c r="AV81" i="7"/>
  <c r="AS77" i="7"/>
  <c r="AW77" i="7"/>
  <c r="AU74" i="7"/>
  <c r="AU87" i="7"/>
  <c r="AV77" i="7"/>
  <c r="AS76" i="7"/>
  <c r="AT82" i="7"/>
  <c r="AW81" i="7"/>
  <c r="DE81" i="7" s="1"/>
  <c r="AT71" i="7"/>
  <c r="AU77" i="7"/>
  <c r="AU71" i="7"/>
  <c r="AX80" i="7"/>
  <c r="AU73" i="7"/>
  <c r="AX81" i="7"/>
  <c r="AX79" i="7"/>
  <c r="AW73" i="7"/>
  <c r="AU85" i="7"/>
  <c r="AT84" i="7"/>
  <c r="AT79" i="7"/>
  <c r="AX75" i="7"/>
  <c r="AX70" i="7"/>
  <c r="AU79" i="7"/>
  <c r="AX71" i="7"/>
  <c r="AX84" i="7"/>
  <c r="AX68" i="7"/>
  <c r="AX86" i="7"/>
  <c r="AU83" i="7"/>
  <c r="AU70" i="7"/>
  <c r="AX77" i="7"/>
  <c r="AX74" i="7"/>
  <c r="AU69" i="7"/>
  <c r="DL69" i="7" s="1"/>
  <c r="AU72" i="7"/>
  <c r="AX76" i="7"/>
  <c r="AX73" i="7"/>
  <c r="AX78" i="7"/>
  <c r="AX85" i="7"/>
  <c r="AU75" i="7"/>
  <c r="AU81" i="7"/>
  <c r="EK71" i="7"/>
  <c r="EP71" i="7" s="1"/>
  <c r="K71" i="7"/>
  <c r="Q71" i="7" s="1"/>
  <c r="EF71" i="7"/>
  <c r="EL71" i="7"/>
  <c r="EO71" i="7"/>
  <c r="ET71" i="7" s="1"/>
  <c r="AL336" i="7"/>
  <c r="AK335" i="7"/>
  <c r="EU71" i="7" l="1"/>
  <c r="X69" i="7"/>
  <c r="Y69" i="7" s="1"/>
  <c r="R69" i="7" s="1"/>
  <c r="CP69" i="7" s="1"/>
  <c r="V69" i="7"/>
  <c r="EI69" i="7" s="1"/>
  <c r="EJ69" i="7" s="1"/>
  <c r="FC89" i="7"/>
  <c r="FB89" i="7"/>
  <c r="ES83" i="7"/>
  <c r="Y68" i="7"/>
  <c r="R68" i="7" s="1"/>
  <c r="CP68" i="7" s="1"/>
  <c r="DK70" i="7"/>
  <c r="DJ68" i="7"/>
  <c r="DN68" i="7" s="1"/>
  <c r="DP68" i="7" s="1"/>
  <c r="DK69" i="7"/>
  <c r="DJ70" i="7"/>
  <c r="DN70" i="7" s="1"/>
  <c r="DP70" i="7" s="1"/>
  <c r="EF86" i="7"/>
  <c r="EK86" i="7"/>
  <c r="ES86" i="7" s="1"/>
  <c r="EF87" i="7"/>
  <c r="EK87" i="7"/>
  <c r="ES87" i="7" s="1"/>
  <c r="DJ69" i="7"/>
  <c r="DN69" i="7" s="1"/>
  <c r="DP69" i="7" s="1"/>
  <c r="DL70" i="7"/>
  <c r="EL70" i="7"/>
  <c r="DL68" i="7"/>
  <c r="EI68" i="7"/>
  <c r="DF78" i="7"/>
  <c r="DF72" i="7"/>
  <c r="DF82" i="7"/>
  <c r="DE78" i="7"/>
  <c r="DD79" i="7"/>
  <c r="EK81" i="7"/>
  <c r="EP81" i="7" s="1"/>
  <c r="EO81" i="7"/>
  <c r="ET81" i="7" s="1"/>
  <c r="EF81" i="7"/>
  <c r="K81" i="7"/>
  <c r="Q81" i="7" s="1"/>
  <c r="EL81" i="7"/>
  <c r="K80" i="7"/>
  <c r="Q80" i="7" s="1"/>
  <c r="EF80" i="7"/>
  <c r="EK80" i="7"/>
  <c r="EP80" i="7" s="1"/>
  <c r="EL80" i="7"/>
  <c r="EO80" i="7"/>
  <c r="ET80" i="7" s="1"/>
  <c r="EL79" i="7"/>
  <c r="DD85" i="7"/>
  <c r="EO78" i="7"/>
  <c r="ET78" i="7" s="1"/>
  <c r="DE70" i="7"/>
  <c r="EO79" i="7"/>
  <c r="ET79" i="7" s="1"/>
  <c r="EK79" i="7"/>
  <c r="CZ82" i="7"/>
  <c r="EK78" i="7"/>
  <c r="EP78" i="7" s="1"/>
  <c r="EL78" i="7"/>
  <c r="K79" i="7"/>
  <c r="Q79" i="7" s="1"/>
  <c r="EF78" i="7"/>
  <c r="CZ78" i="7"/>
  <c r="FC88" i="7"/>
  <c r="DD78" i="7"/>
  <c r="K77" i="7"/>
  <c r="Q77" i="7" s="1"/>
  <c r="EF77" i="7"/>
  <c r="EK77" i="7"/>
  <c r="EP77" i="7" s="1"/>
  <c r="EL77" i="7"/>
  <c r="EO77" i="7"/>
  <c r="ET77" i="7" s="1"/>
  <c r="DF69" i="7"/>
  <c r="DF73" i="7"/>
  <c r="EF83" i="7"/>
  <c r="CZ68" i="7"/>
  <c r="K76" i="7"/>
  <c r="Q76" i="7" s="1"/>
  <c r="EF76" i="7"/>
  <c r="EK76" i="7"/>
  <c r="EP76" i="7" s="1"/>
  <c r="EO76" i="7"/>
  <c r="ET76" i="7" s="1"/>
  <c r="EL76" i="7"/>
  <c r="K75" i="7"/>
  <c r="Q75" i="7" s="1"/>
  <c r="EF75" i="7"/>
  <c r="EK75" i="7"/>
  <c r="EP75" i="7" s="1"/>
  <c r="EO75" i="7"/>
  <c r="ET75" i="7" s="1"/>
  <c r="EL75" i="7"/>
  <c r="DD76" i="7"/>
  <c r="DD74" i="7"/>
  <c r="K74" i="7"/>
  <c r="Q74" i="7" s="1"/>
  <c r="EF74" i="7"/>
  <c r="EK74" i="7"/>
  <c r="EP74" i="7" s="1"/>
  <c r="EO74" i="7"/>
  <c r="ET74" i="7" s="1"/>
  <c r="EL74" i="7"/>
  <c r="DD71" i="7"/>
  <c r="DF76" i="7"/>
  <c r="EF73" i="7"/>
  <c r="K73" i="7"/>
  <c r="Q73" i="7" s="1"/>
  <c r="EK73" i="7"/>
  <c r="EP73" i="7" s="1"/>
  <c r="EO73" i="7"/>
  <c r="ET73" i="7" s="1"/>
  <c r="EL73" i="7"/>
  <c r="DE76" i="7"/>
  <c r="DF83" i="7"/>
  <c r="DE69" i="7"/>
  <c r="CZ71" i="7"/>
  <c r="DE74" i="7"/>
  <c r="DD72" i="7"/>
  <c r="DE77" i="7"/>
  <c r="CZ80" i="7"/>
  <c r="DE71" i="7"/>
  <c r="CZ72" i="7"/>
  <c r="DD87" i="7"/>
  <c r="DE87" i="7"/>
  <c r="CZ70" i="7"/>
  <c r="DD69" i="7"/>
  <c r="DD83" i="7"/>
  <c r="CZ69" i="7"/>
  <c r="DE82" i="7"/>
  <c r="DD77" i="7"/>
  <c r="CZ79" i="7"/>
  <c r="DE75" i="7"/>
  <c r="CZ76" i="7"/>
  <c r="DD82" i="7"/>
  <c r="DE83" i="7"/>
  <c r="CZ81" i="7"/>
  <c r="CZ74" i="7"/>
  <c r="DE85" i="7"/>
  <c r="DE86" i="7"/>
  <c r="DE72" i="7"/>
  <c r="CZ75" i="7"/>
  <c r="DE84" i="7"/>
  <c r="DD75" i="7"/>
  <c r="DD80" i="7"/>
  <c r="DE73" i="7"/>
  <c r="CZ73" i="7"/>
  <c r="DD73" i="7"/>
  <c r="DF87" i="7"/>
  <c r="DD70" i="7"/>
  <c r="DD81" i="7"/>
  <c r="DF86" i="7"/>
  <c r="DD84" i="7"/>
  <c r="DE68" i="7"/>
  <c r="DF77" i="7"/>
  <c r="DF79" i="7"/>
  <c r="DF80" i="7"/>
  <c r="DE80" i="7"/>
  <c r="DD86" i="7"/>
  <c r="FB88" i="7"/>
  <c r="DD68" i="7"/>
  <c r="AS88" i="7"/>
  <c r="DF74" i="7"/>
  <c r="AS90" i="7"/>
  <c r="DF84" i="7"/>
  <c r="CZ77" i="7"/>
  <c r="AW90" i="7"/>
  <c r="AV88" i="7"/>
  <c r="DF85" i="7"/>
  <c r="EK84" i="7"/>
  <c r="AV90" i="7"/>
  <c r="AT90" i="7"/>
  <c r="AT88" i="7"/>
  <c r="AW88" i="7"/>
  <c r="DE79" i="7"/>
  <c r="DF81" i="7"/>
  <c r="DF71" i="7"/>
  <c r="DF68" i="7"/>
  <c r="DF70" i="7"/>
  <c r="AU90" i="7"/>
  <c r="DF75" i="7"/>
  <c r="AX88" i="7"/>
  <c r="AX90" i="7"/>
  <c r="AU88" i="7"/>
  <c r="EN71" i="7"/>
  <c r="EQ71" i="7"/>
  <c r="ER71" i="7"/>
  <c r="EM71" i="7"/>
  <c r="ES71" i="7"/>
  <c r="EL69" i="7"/>
  <c r="EO69" i="7"/>
  <c r="ET69" i="7" s="1"/>
  <c r="EK69" i="7"/>
  <c r="EP69" i="7" s="1"/>
  <c r="EF69" i="7"/>
  <c r="K69" i="7"/>
  <c r="Q69" i="7" s="1"/>
  <c r="AL337" i="7"/>
  <c r="AK337" i="7" s="1"/>
  <c r="AK336" i="7"/>
  <c r="EU76" i="7" l="1"/>
  <c r="EU77" i="7"/>
  <c r="EU78" i="7"/>
  <c r="EU75" i="7"/>
  <c r="EU80" i="7"/>
  <c r="EU81" i="7"/>
  <c r="EU74" i="7"/>
  <c r="EU73" i="7"/>
  <c r="EU79" i="7"/>
  <c r="EW71" i="7"/>
  <c r="EV71" i="7" s="1"/>
  <c r="EU69" i="7"/>
  <c r="EB86" i="7"/>
  <c r="EB69" i="7"/>
  <c r="EF68" i="7"/>
  <c r="ES84" i="7"/>
  <c r="EP79" i="7"/>
  <c r="ER79" i="7" s="1"/>
  <c r="DK88" i="7"/>
  <c r="H35" i="7" s="1"/>
  <c r="DL88" i="7"/>
  <c r="M93" i="7" s="1"/>
  <c r="EO70" i="7"/>
  <c r="ET70" i="7" s="1"/>
  <c r="K70" i="7"/>
  <c r="Q70" i="7" s="1"/>
  <c r="EU70" i="7" s="1"/>
  <c r="K68" i="7"/>
  <c r="Q68" i="7" s="1"/>
  <c r="EK70" i="7"/>
  <c r="EP70" i="7" s="1"/>
  <c r="EF70" i="7"/>
  <c r="EO68" i="7"/>
  <c r="ET68" i="7" s="1"/>
  <c r="Y70" i="7"/>
  <c r="R70" i="7" s="1"/>
  <c r="R88" i="7" s="1"/>
  <c r="EJ70" i="7"/>
  <c r="EL68" i="7"/>
  <c r="EK68" i="7"/>
  <c r="EP68" i="7" s="1"/>
  <c r="EJ68" i="7"/>
  <c r="ER81" i="7"/>
  <c r="EN81" i="7"/>
  <c r="EN80" i="7"/>
  <c r="EN79" i="7"/>
  <c r="ER78" i="7"/>
  <c r="EQ80" i="7"/>
  <c r="EQ81" i="7"/>
  <c r="ES81" i="7"/>
  <c r="EM81" i="7"/>
  <c r="EM79" i="7"/>
  <c r="ES80" i="7"/>
  <c r="EM80" i="7"/>
  <c r="EB80" i="7"/>
  <c r="ER80" i="7"/>
  <c r="EN78" i="7"/>
  <c r="EM78" i="7"/>
  <c r="ES78" i="7"/>
  <c r="EQ78" i="7"/>
  <c r="ES79" i="7"/>
  <c r="EQ77" i="7"/>
  <c r="EN77" i="7"/>
  <c r="EM77" i="7"/>
  <c r="ES77" i="7"/>
  <c r="ER77" i="7"/>
  <c r="EN75" i="7"/>
  <c r="EN76" i="7"/>
  <c r="ES76" i="7"/>
  <c r="EM76" i="7"/>
  <c r="EQ76" i="7"/>
  <c r="EN74" i="7"/>
  <c r="EM75" i="7"/>
  <c r="EQ75" i="7"/>
  <c r="ES75" i="7" s="1"/>
  <c r="ER75" i="7"/>
  <c r="EM74" i="7"/>
  <c r="ER74" i="7"/>
  <c r="EN73" i="7"/>
  <c r="EM73" i="7"/>
  <c r="ER73" i="7"/>
  <c r="ES73" i="7" s="1"/>
  <c r="EQ73" i="7"/>
  <c r="AW92" i="7"/>
  <c r="AS92" i="7"/>
  <c r="DE88" i="7"/>
  <c r="K95" i="7" s="1"/>
  <c r="H42" i="7" s="1"/>
  <c r="AV92" i="7"/>
  <c r="K94" i="7"/>
  <c r="AT92" i="7"/>
  <c r="J94" i="7"/>
  <c r="AU92" i="7"/>
  <c r="DF88" i="7"/>
  <c r="M95" i="7" s="1"/>
  <c r="I42" i="7" s="1"/>
  <c r="AX92" i="7"/>
  <c r="EN69" i="7"/>
  <c r="ER69" i="7"/>
  <c r="EM69" i="7"/>
  <c r="EQ69" i="7"/>
  <c r="EW81" i="7" l="1"/>
  <c r="EV81" i="7" s="1"/>
  <c r="EW78" i="7"/>
  <c r="EV78" i="7" s="1"/>
  <c r="EW75" i="7"/>
  <c r="EV75" i="7" s="1"/>
  <c r="EW73" i="7"/>
  <c r="EV73" i="7" s="1"/>
  <c r="EW77" i="7"/>
  <c r="EV77" i="7" s="1"/>
  <c r="EW76" i="7"/>
  <c r="EV76" i="7" s="1"/>
  <c r="EW79" i="7"/>
  <c r="EV79" i="7" s="1"/>
  <c r="EW80" i="7"/>
  <c r="EV80" i="7" s="1"/>
  <c r="EB70" i="7"/>
  <c r="EB68" i="7"/>
  <c r="FD88" i="7"/>
  <c r="EQ79" i="7"/>
  <c r="K93" i="7"/>
  <c r="K92" i="7" s="1"/>
  <c r="L93" i="7"/>
  <c r="I35" i="7"/>
  <c r="EM70" i="7"/>
  <c r="EN70" i="7"/>
  <c r="EQ70" i="7"/>
  <c r="CP70" i="7"/>
  <c r="ER70" i="7"/>
  <c r="ER68" i="7"/>
  <c r="EM68" i="7"/>
  <c r="EQ68" i="7"/>
  <c r="EN68" i="7"/>
  <c r="ER76" i="7"/>
  <c r="EQ74" i="7"/>
  <c r="ES74" i="7" s="1"/>
  <c r="EW74" i="7" s="1"/>
  <c r="EV74" i="7" s="1"/>
  <c r="M92" i="7"/>
  <c r="ES69" i="7"/>
  <c r="EW69" i="7" s="1"/>
  <c r="EV69" i="7" s="1"/>
  <c r="AB87" i="7"/>
  <c r="AF87" i="7"/>
  <c r="AL85" i="7"/>
  <c r="AO85" i="7"/>
  <c r="AL87" i="7"/>
  <c r="AO87" i="7"/>
  <c r="AB86" i="7"/>
  <c r="AC86" i="7" s="1"/>
  <c r="AF86" i="7"/>
  <c r="AG86" i="7" s="1"/>
  <c r="AL86" i="7"/>
  <c r="AO86" i="7"/>
  <c r="AO84" i="7"/>
  <c r="AL84" i="7"/>
  <c r="AB84" i="7"/>
  <c r="W103" i="7" s="1"/>
  <c r="AF84" i="7"/>
  <c r="X103" i="7" s="1"/>
  <c r="AF85" i="7"/>
  <c r="AG85" i="7" s="1"/>
  <c r="AB85" i="7"/>
  <c r="AC85" i="7" s="1"/>
  <c r="ES68" i="7" l="1"/>
  <c r="ES70" i="7"/>
  <c r="EW70" i="7" s="1"/>
  <c r="EV70" i="7" s="1"/>
  <c r="AG87" i="7"/>
  <c r="X101" i="7"/>
  <c r="AC87" i="7"/>
  <c r="AC88" i="7" s="1"/>
  <c r="W101" i="7"/>
  <c r="DG84" i="7"/>
  <c r="DM86" i="7"/>
  <c r="DN86" i="7" s="1"/>
  <c r="DG86" i="7"/>
  <c r="DG85" i="7"/>
  <c r="DM87" i="7"/>
  <c r="DN87" i="7" s="1"/>
  <c r="DG87" i="7"/>
  <c r="CZ84" i="7"/>
  <c r="DM84" i="7"/>
  <c r="DN84" i="7" s="1"/>
  <c r="AB88" i="7"/>
  <c r="CZ85" i="7"/>
  <c r="DM85" i="7"/>
  <c r="DN85" i="7" s="1"/>
  <c r="CZ87" i="7"/>
  <c r="CZ86" i="7"/>
  <c r="J84" i="7"/>
  <c r="EC84" i="7" s="1"/>
  <c r="EP84" i="7" s="1"/>
  <c r="J85" i="7"/>
  <c r="EC85" i="7" s="1"/>
  <c r="EP85" i="7" s="1"/>
  <c r="J86" i="7"/>
  <c r="EC86" i="7" s="1"/>
  <c r="EP86" i="7" s="1"/>
  <c r="J87" i="7"/>
  <c r="EC87" i="7" s="1"/>
  <c r="EP87" i="7" s="1"/>
  <c r="K87" i="7"/>
  <c r="Q87" i="7" s="1"/>
  <c r="K85" i="7"/>
  <c r="Q85" i="7" s="1"/>
  <c r="K86" i="7"/>
  <c r="Q86" i="7" s="1"/>
  <c r="K84" i="7"/>
  <c r="Q84" i="7" s="1"/>
  <c r="EL84" i="7" l="1"/>
  <c r="EG84" i="7"/>
  <c r="EO84" i="7"/>
  <c r="ET84" i="7" s="1"/>
  <c r="EG86" i="7"/>
  <c r="EL86" i="7"/>
  <c r="EO86" i="7"/>
  <c r="ET86" i="7" s="1"/>
  <c r="EO85" i="7"/>
  <c r="ET85" i="7" s="1"/>
  <c r="EL85" i="7"/>
  <c r="EG85" i="7"/>
  <c r="EO87" i="7"/>
  <c r="ET87" i="7" s="1"/>
  <c r="EG87" i="7"/>
  <c r="EL87" i="7"/>
  <c r="AH90" i="7"/>
  <c r="EH86" i="7" l="1"/>
  <c r="EU86" i="7"/>
  <c r="EW86" i="7" s="1"/>
  <c r="EV86" i="7" s="1"/>
  <c r="EH87" i="7"/>
  <c r="EU87" i="7"/>
  <c r="EW87" i="7" s="1"/>
  <c r="EV87" i="7" s="1"/>
  <c r="EH84" i="7"/>
  <c r="EQ84" i="7" s="1"/>
  <c r="EU84" i="7"/>
  <c r="EW84" i="7" s="1"/>
  <c r="EV84" i="7" s="1"/>
  <c r="EH85" i="7"/>
  <c r="EQ85" i="7" s="1"/>
  <c r="EU85" i="7"/>
  <c r="EW85" i="7" s="1"/>
  <c r="EV85" i="7" s="1"/>
  <c r="EN87" i="7"/>
  <c r="EM87" i="7"/>
  <c r="ER87" i="7"/>
  <c r="EQ87" i="7"/>
  <c r="EN86" i="7"/>
  <c r="EM86" i="7"/>
  <c r="ER84" i="7"/>
  <c r="EN85" i="7"/>
  <c r="EM85" i="7"/>
  <c r="EQ86" i="7"/>
  <c r="ER86" i="7"/>
  <c r="ER85" i="7"/>
  <c r="EM84" i="7"/>
  <c r="EN84" i="7"/>
  <c r="AO83" i="7"/>
  <c r="AO88" i="7" s="1"/>
  <c r="AL83" i="7"/>
  <c r="AL90" i="7" s="1"/>
  <c r="DA88" i="7"/>
  <c r="J99" i="7" s="1"/>
  <c r="DJ88" i="7"/>
  <c r="CY88" i="7"/>
  <c r="AE92" i="7"/>
  <c r="AE88" i="7"/>
  <c r="AH92" i="7"/>
  <c r="AH88" i="7"/>
  <c r="AD90" i="7"/>
  <c r="DD88" i="7"/>
  <c r="J95" i="7" s="1"/>
  <c r="D103" i="7" l="1"/>
  <c r="CZ83" i="7"/>
  <c r="CZ90" i="7" s="1"/>
  <c r="G35" i="7"/>
  <c r="J93" i="7"/>
  <c r="AF88" i="7"/>
  <c r="AF90" i="7"/>
  <c r="AB90" i="7"/>
  <c r="EJ88" i="7"/>
  <c r="W88" i="7"/>
  <c r="DP88" i="7"/>
  <c r="DP89" i="7" s="1"/>
  <c r="T35" i="7" s="1"/>
  <c r="AO90" i="7"/>
  <c r="AO92" i="7" s="1"/>
  <c r="IJ5" i="39"/>
  <c r="D101" i="7"/>
  <c r="CY90" i="7"/>
  <c r="AD92" i="7"/>
  <c r="AP88" i="7"/>
  <c r="AP90" i="7"/>
  <c r="AQ88" i="7"/>
  <c r="AQ90" i="7"/>
  <c r="AN88" i="7"/>
  <c r="AN90" i="7"/>
  <c r="G42" i="7"/>
  <c r="AL88" i="7"/>
  <c r="DH88" i="7"/>
  <c r="K96" i="7" s="1"/>
  <c r="K97" i="7" s="1"/>
  <c r="AM88" i="7"/>
  <c r="AM90" i="7"/>
  <c r="AI92" i="7"/>
  <c r="AI88" i="7"/>
  <c r="Y88" i="7"/>
  <c r="DG88" i="7"/>
  <c r="AF92" i="7"/>
  <c r="AB92" i="7"/>
  <c r="J96" i="7" l="1"/>
  <c r="J97" i="7" s="1"/>
  <c r="GI165" i="39"/>
  <c r="GK165" i="39" s="1"/>
  <c r="EY165" i="39" s="1"/>
  <c r="EY8" i="39" s="1"/>
  <c r="AJ19" i="42" s="1"/>
  <c r="J92" i="7"/>
  <c r="Z102" i="7"/>
  <c r="EF88" i="7"/>
  <c r="T90" i="7"/>
  <c r="AF290" i="7" s="1"/>
  <c r="AK290" i="7" s="1"/>
  <c r="EI88" i="7"/>
  <c r="IL5" i="39"/>
  <c r="CA100" i="39"/>
  <c r="IJ6" i="39"/>
  <c r="IL6" i="39" s="1"/>
  <c r="GH165" i="39"/>
  <c r="EK88" i="7"/>
  <c r="K83" i="7"/>
  <c r="J83" i="7"/>
  <c r="EB88" i="7"/>
  <c r="CB100" i="39"/>
  <c r="CC100" i="39"/>
  <c r="CD100" i="39"/>
  <c r="IJ8" i="39"/>
  <c r="IL8" i="39" s="1"/>
  <c r="IJ7" i="39"/>
  <c r="IL7" i="39" s="1"/>
  <c r="Z101" i="7"/>
  <c r="Z103" i="7"/>
  <c r="Z104" i="7"/>
  <c r="AC92" i="7"/>
  <c r="AG92" i="7"/>
  <c r="AG88" i="7"/>
  <c r="AQ92" i="7"/>
  <c r="AL92" i="7"/>
  <c r="ED88" i="7"/>
  <c r="AM92" i="7"/>
  <c r="EE88" i="7"/>
  <c r="AN92" i="7"/>
  <c r="AP92" i="7"/>
  <c r="CZ88" i="7"/>
  <c r="F93" i="7" l="1"/>
  <c r="EC83" i="7"/>
  <c r="EP83" i="7" s="1"/>
  <c r="Q91" i="7"/>
  <c r="L238" i="7" s="1"/>
  <c r="Q83" i="7"/>
  <c r="R91" i="7" s="1"/>
  <c r="L240" i="7" s="1"/>
  <c r="E238" i="7"/>
  <c r="S90" i="7"/>
  <c r="AE290" i="7" s="1"/>
  <c r="AE292" i="7" s="1"/>
  <c r="CA104" i="39"/>
  <c r="CA106" i="39" s="1"/>
  <c r="CC104" i="39"/>
  <c r="CC106" i="39" s="1"/>
  <c r="CB104" i="39"/>
  <c r="CB106" i="39" s="1"/>
  <c r="CD104" i="39"/>
  <c r="CD106" i="39" s="1"/>
  <c r="AF292" i="7"/>
  <c r="AK292" i="7" s="1"/>
  <c r="K88" i="7"/>
  <c r="H92" i="7" s="1"/>
  <c r="H93" i="7"/>
  <c r="EX165" i="39"/>
  <c r="EX8" i="39" s="1"/>
  <c r="AG19" i="42" s="1"/>
  <c r="ER165" i="39"/>
  <c r="ER8" i="39" s="1"/>
  <c r="O19" i="42" s="1"/>
  <c r="EU165" i="39"/>
  <c r="EU8" i="39" s="1"/>
  <c r="X19" i="42" s="1"/>
  <c r="ES165" i="39"/>
  <c r="ES8" i="39" s="1"/>
  <c r="R19" i="42" s="1"/>
  <c r="J88" i="7"/>
  <c r="F92" i="7" s="1"/>
  <c r="GJ165" i="39"/>
  <c r="EB165" i="39" s="1"/>
  <c r="EB8" i="39" s="1"/>
  <c r="F12" i="42" s="1"/>
  <c r="EO165" i="39"/>
  <c r="EO8" i="39" s="1"/>
  <c r="F19" i="42" s="1"/>
  <c r="EP165" i="39"/>
  <c r="EP8" i="39" s="1"/>
  <c r="I19" i="42" s="1"/>
  <c r="EV165" i="39"/>
  <c r="EV8" i="39" s="1"/>
  <c r="AA19" i="42" s="1"/>
  <c r="EZ165" i="39"/>
  <c r="EZ8" i="39" s="1"/>
  <c r="AM19" i="42" s="1"/>
  <c r="ET165" i="39"/>
  <c r="ET8" i="39" s="1"/>
  <c r="U19" i="42" s="1"/>
  <c r="EW165" i="39"/>
  <c r="EW8" i="39" s="1"/>
  <c r="AD19" i="42" s="1"/>
  <c r="EQ165" i="39"/>
  <c r="EQ8" i="39" s="1"/>
  <c r="L19" i="42" s="1"/>
  <c r="GN165" i="39"/>
  <c r="GQ165" i="39" s="1"/>
  <c r="AA101" i="7"/>
  <c r="AA103" i="7"/>
  <c r="AA102" i="7"/>
  <c r="AA104" i="7"/>
  <c r="IJ9" i="39"/>
  <c r="V292" i="7"/>
  <c r="J98" i="7"/>
  <c r="K98" i="7"/>
  <c r="EE89" i="7"/>
  <c r="ED91" i="7"/>
  <c r="B32" i="47" l="1"/>
  <c r="EG83" i="7"/>
  <c r="AR92" i="7" a="1"/>
  <c r="AR92" i="7" s="1"/>
  <c r="AU95" i="7"/>
  <c r="AS95" i="7"/>
  <c r="AO95" i="7"/>
  <c r="AW95" i="7"/>
  <c r="AT95" i="7"/>
  <c r="AL95" i="7"/>
  <c r="AV95" i="7"/>
  <c r="AX95" i="7"/>
  <c r="L244" i="7"/>
  <c r="F32" i="47" s="1"/>
  <c r="AG290" i="7"/>
  <c r="AL290" i="7" s="1"/>
  <c r="BZ112" i="39"/>
  <c r="F95" i="7"/>
  <c r="F96" i="7" s="1"/>
  <c r="AJ290" i="7"/>
  <c r="EL83" i="7"/>
  <c r="EO83" i="7"/>
  <c r="ET83" i="7" s="1"/>
  <c r="EH165" i="39"/>
  <c r="EH8" i="39" s="1"/>
  <c r="X12" i="42" s="1"/>
  <c r="H95" i="7"/>
  <c r="H97" i="7" s="1"/>
  <c r="E240" i="7"/>
  <c r="B31" i="47"/>
  <c r="HK165" i="39"/>
  <c r="GY165" i="39" s="1"/>
  <c r="CC105" i="39"/>
  <c r="CD112" i="39"/>
  <c r="CD113" i="39"/>
  <c r="CB112" i="39"/>
  <c r="CB113" i="39"/>
  <c r="CC113" i="39"/>
  <c r="CC112" i="39"/>
  <c r="CA112" i="39"/>
  <c r="CA113" i="39"/>
  <c r="BZ113" i="39"/>
  <c r="EC88" i="7"/>
  <c r="EC89" i="7" s="1"/>
  <c r="EM165" i="39"/>
  <c r="EM8" i="39" s="1"/>
  <c r="AM12" i="42" s="1"/>
  <c r="EC165" i="39"/>
  <c r="EC8" i="39" s="1"/>
  <c r="I12" i="42" s="1"/>
  <c r="EK165" i="39"/>
  <c r="EK8" i="39" s="1"/>
  <c r="AG12" i="42" s="1"/>
  <c r="EE165" i="39"/>
  <c r="EE8" i="39" s="1"/>
  <c r="O12" i="42" s="1"/>
  <c r="EJ165" i="39"/>
  <c r="EJ8" i="39" s="1"/>
  <c r="AD12" i="42" s="1"/>
  <c r="EL165" i="39"/>
  <c r="EL8" i="39" s="1"/>
  <c r="AJ12" i="42" s="1"/>
  <c r="EG165" i="39"/>
  <c r="EG8" i="39" s="1"/>
  <c r="U12" i="42" s="1"/>
  <c r="EF165" i="39"/>
  <c r="EF8" i="39" s="1"/>
  <c r="R12" i="42" s="1"/>
  <c r="EI165" i="39"/>
  <c r="EI8" i="39" s="1"/>
  <c r="AA12" i="42" s="1"/>
  <c r="ED165" i="39"/>
  <c r="ED8" i="39" s="1"/>
  <c r="L12" i="42" s="1"/>
  <c r="IL9" i="39"/>
  <c r="Y99" i="7" a="1"/>
  <c r="Y99" i="7" s="1"/>
  <c r="W99" i="7" s="1"/>
  <c r="E245" i="7" s="1"/>
  <c r="GW4" i="39"/>
  <c r="W294" i="7"/>
  <c r="W295" i="7" s="1"/>
  <c r="W296" i="7" s="1"/>
  <c r="X290" i="7"/>
  <c r="X293" i="7" s="1"/>
  <c r="AJ308" i="7"/>
  <c r="AF308" i="7"/>
  <c r="AE308" i="7" s="1"/>
  <c r="AP308" i="7"/>
  <c r="AJ292" i="7"/>
  <c r="AG292" i="7"/>
  <c r="AE294" i="7" s="1"/>
  <c r="EC95" i="7"/>
  <c r="EH83" i="7" l="1"/>
  <c r="EH88" i="7" s="1"/>
  <c r="R157" i="7" s="1"/>
  <c r="R176" i="7" s="1"/>
  <c r="R179" i="7" s="1"/>
  <c r="EO88" i="7"/>
  <c r="Y157" i="7" s="1"/>
  <c r="Y158" i="7" s="1"/>
  <c r="Y159" i="7" s="1"/>
  <c r="EU83" i="7"/>
  <c r="EW83" i="7" s="1"/>
  <c r="EV83" i="7" s="1"/>
  <c r="AR95" i="7"/>
  <c r="L242" i="7" s="1"/>
  <c r="D32" i="47" s="1"/>
  <c r="EG88" i="7"/>
  <c r="Q157" i="7" s="1"/>
  <c r="Q176" i="7" s="1"/>
  <c r="Q179" i="7" s="1"/>
  <c r="L243" i="7"/>
  <c r="E32" i="47" s="1"/>
  <c r="L246" i="7"/>
  <c r="H32" i="47" s="1"/>
  <c r="L245" i="7"/>
  <c r="G32" i="47" s="1"/>
  <c r="EQ83" i="7"/>
  <c r="ER83" i="7"/>
  <c r="EN83" i="7"/>
  <c r="EM83" i="7"/>
  <c r="EM88" i="7" s="1"/>
  <c r="L35" i="7" s="1"/>
  <c r="EL88" i="7"/>
  <c r="EN88" i="7" s="1"/>
  <c r="GO165" i="39" s="1"/>
  <c r="GP165" i="39" s="1"/>
  <c r="D31" i="47"/>
  <c r="C31" i="47"/>
  <c r="CE113" i="39"/>
  <c r="CE112" i="39"/>
  <c r="EC91" i="7"/>
  <c r="EC92" i="7" s="1"/>
  <c r="ED95" i="7" s="1"/>
  <c r="R158" i="7"/>
  <c r="X294" i="7"/>
  <c r="X295" i="7" s="1"/>
  <c r="X296" i="7" s="1"/>
  <c r="Y293" i="7"/>
  <c r="GW6" i="39"/>
  <c r="AI308" i="7"/>
  <c r="AQ308" i="7"/>
  <c r="AN308" i="7"/>
  <c r="AJ309" i="7"/>
  <c r="AI309" i="7" s="1"/>
  <c r="AF309" i="7"/>
  <c r="AL292" i="7"/>
  <c r="AC94" i="7"/>
  <c r="AG94" i="7"/>
  <c r="AE94" i="7"/>
  <c r="AH94" i="7"/>
  <c r="AB94" i="7"/>
  <c r="AD94" i="7"/>
  <c r="AI94" i="7"/>
  <c r="AF94" i="7"/>
  <c r="E242" i="7"/>
  <c r="F31" i="47" s="1"/>
  <c r="Q158" i="7" l="1"/>
  <c r="EG89" i="7"/>
  <c r="EH89" i="7" s="1"/>
  <c r="AN309" i="7"/>
  <c r="AE309" i="7"/>
  <c r="J42" i="7"/>
  <c r="S157" i="7"/>
  <c r="S158" i="7" s="1"/>
  <c r="J35" i="7"/>
  <c r="F35" i="7" s="1"/>
  <c r="T157" i="7"/>
  <c r="T158" i="7" s="1"/>
  <c r="G105" i="39"/>
  <c r="ES88" i="7"/>
  <c r="AC157" i="7" s="1"/>
  <c r="AC158" i="7" s="1"/>
  <c r="AC159" i="7" s="1"/>
  <c r="S176" i="7"/>
  <c r="AF310" i="7"/>
  <c r="AF311" i="7" s="1"/>
  <c r="AF312" i="7" s="1"/>
  <c r="AP309" i="7"/>
  <c r="AJ310" i="7"/>
  <c r="AI310" i="7" s="1"/>
  <c r="AQ309" i="7"/>
  <c r="GR165" i="39"/>
  <c r="GV165" i="39" s="1"/>
  <c r="HH165" i="39" s="1"/>
  <c r="E241" i="7"/>
  <c r="E31" i="47" s="1"/>
  <c r="AN310" i="7"/>
  <c r="AE310" i="7"/>
  <c r="AQ310" i="7"/>
  <c r="AP310" i="7"/>
  <c r="E244" i="7"/>
  <c r="H31" i="47" s="1"/>
  <c r="EE95" i="7"/>
  <c r="L42" i="7" s="1"/>
  <c r="E243" i="7"/>
  <c r="G31" i="47" s="1"/>
  <c r="GS165" i="39" l="1"/>
  <c r="GT165" i="39" s="1"/>
  <c r="H187" i="7"/>
  <c r="H188" i="7" s="1"/>
  <c r="S179" i="7"/>
  <c r="H189" i="7" s="1"/>
  <c r="AP339" i="7"/>
  <c r="AJ311" i="7"/>
  <c r="AJ312" i="7" s="1"/>
  <c r="AJ313" i="7" s="1"/>
  <c r="AJ314" i="7" s="1"/>
  <c r="AJ315" i="7" s="1"/>
  <c r="AJ316" i="7" s="1"/>
  <c r="AJ317" i="7" s="1"/>
  <c r="AJ318" i="7" s="1"/>
  <c r="AJ319" i="7" s="1"/>
  <c r="AJ320" i="7" s="1"/>
  <c r="AJ321" i="7" s="1"/>
  <c r="AJ322" i="7" s="1"/>
  <c r="AJ323" i="7" s="1"/>
  <c r="AJ324" i="7" s="1"/>
  <c r="AJ325" i="7" s="1"/>
  <c r="AJ326" i="7" s="1"/>
  <c r="AJ327" i="7" s="1"/>
  <c r="AJ328" i="7" s="1"/>
  <c r="AJ329" i="7" s="1"/>
  <c r="AJ330" i="7" s="1"/>
  <c r="AJ331" i="7" s="1"/>
  <c r="AJ332" i="7" s="1"/>
  <c r="AJ333" i="7" s="1"/>
  <c r="AJ334" i="7" s="1"/>
  <c r="AJ335" i="7" s="1"/>
  <c r="AJ336" i="7" s="1"/>
  <c r="AJ337" i="7" s="1"/>
  <c r="AQ339" i="7"/>
  <c r="AI312" i="7"/>
  <c r="AI339" i="7" s="1"/>
  <c r="AF313" i="7"/>
  <c r="AF314" i="7" s="1"/>
  <c r="AF315" i="7" s="1"/>
  <c r="AF316" i="7" s="1"/>
  <c r="AF317" i="7" s="1"/>
  <c r="AF318" i="7" s="1"/>
  <c r="AF319" i="7" s="1"/>
  <c r="AF320" i="7" s="1"/>
  <c r="AF321" i="7" s="1"/>
  <c r="AF322" i="7" s="1"/>
  <c r="AF323" i="7" s="1"/>
  <c r="AF324" i="7" s="1"/>
  <c r="AF325" i="7" s="1"/>
  <c r="AF326" i="7" s="1"/>
  <c r="AF327" i="7" s="1"/>
  <c r="AF328" i="7" s="1"/>
  <c r="AF329" i="7" s="1"/>
  <c r="AF330" i="7" s="1"/>
  <c r="AF331" i="7" s="1"/>
  <c r="AF332" i="7" s="1"/>
  <c r="AF333" i="7" s="1"/>
  <c r="AF334" i="7" s="1"/>
  <c r="AF335" i="7" s="1"/>
  <c r="AF336" i="7" s="1"/>
  <c r="AF337" i="7" s="1"/>
  <c r="AE312" i="7"/>
  <c r="AE339" i="7" s="1"/>
  <c r="AN312" i="7"/>
  <c r="AN339" i="7" s="1"/>
  <c r="P35" i="7"/>
  <c r="F42" i="7"/>
  <c r="GU165" i="39" l="1"/>
  <c r="H179" i="7"/>
  <c r="H190" i="7"/>
  <c r="H191" i="7" s="1"/>
  <c r="G180" i="7" l="1"/>
  <c r="DF6" i="39" l="1"/>
  <c r="Q11" i="42" s="1"/>
  <c r="DC6" i="39" l="1"/>
  <c r="H11" i="42" s="1"/>
  <c r="DD6" i="39" l="1"/>
  <c r="K11" i="42" s="1"/>
  <c r="DE6" i="39" l="1"/>
  <c r="N11" i="42" s="1"/>
  <c r="DG6" i="39" l="1"/>
  <c r="T11" i="42" s="1"/>
  <c r="DH6" i="39" l="1"/>
  <c r="W11" i="42" s="1"/>
  <c r="DI6" i="39" l="1"/>
  <c r="Z11" i="42" s="1"/>
  <c r="DJ6" i="39" l="1"/>
  <c r="AC11" i="42" s="1"/>
  <c r="DK6" i="39" l="1"/>
  <c r="AF11" i="42" s="1"/>
  <c r="DL6" i="39" l="1"/>
  <c r="AI11" i="42" s="1"/>
  <c r="DM6" i="39" l="1"/>
  <c r="AL11" i="42" s="1"/>
  <c r="AX137" i="7" l="1" a="1"/>
  <c r="AX137" i="7" s="1"/>
  <c r="GH39" i="39" l="1"/>
  <c r="GI39" i="39"/>
  <c r="GQ39" i="39"/>
  <c r="GD39" i="39"/>
  <c r="GE39" i="39"/>
  <c r="GQ94" i="39"/>
  <c r="GR94" i="39" s="1" a="1"/>
  <c r="GR94" i="39" s="1"/>
  <c r="GH89" i="39"/>
  <c r="GH88" i="39"/>
  <c r="GH94" i="39"/>
  <c r="GH87" i="39"/>
  <c r="GQ97" i="39"/>
  <c r="GR97" i="39" s="1" a="1"/>
  <c r="GR97" i="39" s="1"/>
  <c r="GH96" i="39"/>
  <c r="GQ96" i="39"/>
  <c r="GQ113" i="39"/>
  <c r="GR113" i="39" s="1" a="1"/>
  <c r="GR113" i="39" s="1"/>
  <c r="GH105" i="39"/>
  <c r="GQ105" i="39"/>
  <c r="GQ107" i="39"/>
  <c r="GR107" i="39" s="1" a="1"/>
  <c r="GR107" i="39" s="1"/>
  <c r="GQ100" i="39"/>
  <c r="GQ115" i="39"/>
  <c r="GR115" i="39" s="1" a="1"/>
  <c r="GR115" i="39" s="1"/>
  <c r="GI96" i="39"/>
  <c r="GI105" i="39"/>
  <c r="GI101" i="39"/>
  <c r="GI100" i="39"/>
  <c r="GI111" i="39"/>
  <c r="GI89" i="39"/>
  <c r="GH113" i="39"/>
  <c r="GQ110" i="39"/>
  <c r="GR110" i="39" s="1" a="1"/>
  <c r="GR110" i="39" s="1"/>
  <c r="GH110" i="39"/>
  <c r="GQ104" i="39"/>
  <c r="GQ112" i="39"/>
  <c r="GI87" i="39"/>
  <c r="GH101" i="39"/>
  <c r="GI103" i="39"/>
  <c r="GH103" i="39"/>
  <c r="GQ103" i="39"/>
  <c r="GI112" i="39"/>
  <c r="GI114" i="39"/>
  <c r="GI116" i="39"/>
  <c r="GI106" i="39"/>
  <c r="GI93" i="39"/>
  <c r="GI91" i="39"/>
  <c r="GI88" i="39"/>
  <c r="GH106" i="39"/>
  <c r="GH114" i="39"/>
  <c r="GH111" i="39"/>
  <c r="GQ109" i="39"/>
  <c r="GI99" i="39"/>
  <c r="GI85" i="39"/>
  <c r="GI92" i="39"/>
  <c r="GQ92" i="39"/>
  <c r="GR92" i="39" s="1" a="1"/>
  <c r="GR92" i="39" s="1"/>
  <c r="GQ106" i="39"/>
  <c r="GR106" i="39" s="1" a="1"/>
  <c r="GR106" i="39" s="1"/>
  <c r="GH108" i="39"/>
  <c r="GH107" i="39"/>
  <c r="GI115" i="39"/>
  <c r="GI95" i="39"/>
  <c r="GQ111" i="39"/>
  <c r="GR111" i="39" s="1" a="1"/>
  <c r="GR111" i="39" s="1"/>
  <c r="GQ95" i="39"/>
  <c r="GR95" i="39" s="1" a="1"/>
  <c r="GR95" i="39" s="1"/>
  <c r="GH85" i="39"/>
  <c r="GH102" i="39"/>
  <c r="GH100" i="39"/>
  <c r="GI108" i="39"/>
  <c r="GI110" i="39"/>
  <c r="GI98" i="39"/>
  <c r="GH115" i="39"/>
  <c r="GH109" i="39"/>
  <c r="GH116" i="39"/>
  <c r="GQ102" i="39"/>
  <c r="GI102" i="39"/>
  <c r="GQ116" i="39"/>
  <c r="GI109" i="39"/>
  <c r="GI94" i="39"/>
  <c r="GI90" i="39"/>
  <c r="GQ108" i="39"/>
  <c r="GR108" i="39" s="1" a="1"/>
  <c r="GR108" i="39" s="1"/>
  <c r="GS108" i="39" s="1"/>
  <c r="GQ114" i="39"/>
  <c r="GR114" i="39" s="1" a="1"/>
  <c r="GR114" i="39" s="1"/>
  <c r="GI97" i="39"/>
  <c r="GI104" i="39"/>
  <c r="GQ101" i="39"/>
  <c r="GR101" i="39" s="1" a="1"/>
  <c r="GR101" i="39" s="1"/>
  <c r="GI107" i="39"/>
  <c r="GI86" i="39"/>
  <c r="GH86" i="39"/>
  <c r="GH92" i="39"/>
  <c r="GI113" i="39"/>
  <c r="GH112" i="39"/>
  <c r="GH104" i="39"/>
  <c r="GH98" i="39"/>
  <c r="GH99" i="39"/>
  <c r="GH95" i="39"/>
  <c r="GQ93" i="39"/>
  <c r="GR93" i="39" s="1" a="1"/>
  <c r="GR93" i="39" s="1"/>
  <c r="GQ99" i="39"/>
  <c r="GQ87" i="39"/>
  <c r="GQ89" i="39"/>
  <c r="GQ86" i="39"/>
  <c r="GR86" i="39" s="1" a="1"/>
  <c r="GR86" i="39" s="1"/>
  <c r="GH91" i="39"/>
  <c r="GH90" i="39"/>
  <c r="GH93" i="39"/>
  <c r="GQ85" i="39"/>
  <c r="GR85" i="39" s="1" a="1"/>
  <c r="GR85" i="39" s="1"/>
  <c r="GQ91" i="39"/>
  <c r="GR91" i="39" s="1" a="1"/>
  <c r="GR91" i="39" s="1"/>
  <c r="GQ88" i="39"/>
  <c r="GR88" i="39" s="1" a="1"/>
  <c r="GR88" i="39" s="1"/>
  <c r="GH97" i="39"/>
  <c r="GQ98" i="39"/>
  <c r="GR98" i="39" s="1" a="1"/>
  <c r="GR98" i="39" s="1"/>
  <c r="GQ90" i="39"/>
  <c r="GR90" i="39" s="1" a="1"/>
  <c r="GR90" i="39" s="1"/>
  <c r="GI16" i="39"/>
  <c r="GH15" i="39"/>
  <c r="GI15" i="39"/>
  <c r="GQ16" i="39"/>
  <c r="GR16" i="39" s="1" a="1"/>
  <c r="GR16" i="39" s="1"/>
  <c r="GH16" i="39"/>
  <c r="GQ15" i="39"/>
  <c r="GR15" i="39" s="1" a="1"/>
  <c r="GR15" i="39" s="1"/>
  <c r="GI84" i="39"/>
  <c r="GH66" i="39"/>
  <c r="GQ66" i="39"/>
  <c r="GR66" i="39" s="1" a="1"/>
  <c r="GR66" i="39" s="1"/>
  <c r="GH57" i="39"/>
  <c r="GQ57" i="39"/>
  <c r="GH75" i="39"/>
  <c r="GQ75" i="39"/>
  <c r="GR75" i="39" s="1" a="1"/>
  <c r="GR75" i="39" s="1"/>
  <c r="GQ45" i="39"/>
  <c r="GI82" i="39"/>
  <c r="GH82" i="39"/>
  <c r="GQ44" i="39"/>
  <c r="GR44" i="39" s="1" a="1"/>
  <c r="GR44" i="39" s="1"/>
  <c r="GI57" i="39"/>
  <c r="GI46" i="39"/>
  <c r="GH46" i="39"/>
  <c r="GI75" i="39"/>
  <c r="GI65" i="39"/>
  <c r="GQ82" i="39"/>
  <c r="GR82" i="39" s="1" a="1"/>
  <c r="GR82" i="39" s="1"/>
  <c r="GI74" i="39"/>
  <c r="GQ46" i="39"/>
  <c r="GI36" i="39"/>
  <c r="GH36" i="39"/>
  <c r="GI56" i="39"/>
  <c r="GH25" i="39"/>
  <c r="GQ25" i="39"/>
  <c r="GR25" i="39" s="1" a="1"/>
  <c r="GR25" i="39" s="1"/>
  <c r="GI64" i="39"/>
  <c r="GH33" i="39"/>
  <c r="GH76" i="39"/>
  <c r="GI26" i="39"/>
  <c r="GI45" i="39"/>
  <c r="GQ13" i="39"/>
  <c r="GH64" i="39"/>
  <c r="GQ64" i="39"/>
  <c r="GR64" i="39" s="1" a="1"/>
  <c r="GR64" i="39" s="1"/>
  <c r="GI54" i="39"/>
  <c r="GH84" i="39"/>
  <c r="GH26" i="39"/>
  <c r="GQ14" i="39"/>
  <c r="GR14" i="39" s="1" a="1"/>
  <c r="GR14" i="39" s="1"/>
  <c r="GQ83" i="39"/>
  <c r="GI35" i="39"/>
  <c r="GQ35" i="39"/>
  <c r="GH54" i="39"/>
  <c r="GI44" i="39"/>
  <c r="GQ84" i="39"/>
  <c r="GR84" i="39" s="1" a="1"/>
  <c r="GR84" i="39" s="1"/>
  <c r="GQ36" i="39"/>
  <c r="GR36" i="39" s="1" a="1"/>
  <c r="GR36" i="39" s="1"/>
  <c r="GI14" i="39"/>
  <c r="GH83" i="39"/>
  <c r="GH35" i="39"/>
  <c r="GH44" i="39"/>
  <c r="GH65" i="39"/>
  <c r="GQ65" i="39"/>
  <c r="GR65" i="39" s="1" a="1"/>
  <c r="GR65" i="39" s="1"/>
  <c r="GI25" i="39"/>
  <c r="GH74" i="39"/>
  <c r="GQ74" i="39"/>
  <c r="GI76" i="39"/>
  <c r="GQ76" i="39"/>
  <c r="GR76" i="39" s="1" a="1"/>
  <c r="GR76" i="39" s="1"/>
  <c r="GI66" i="39"/>
  <c r="GQ26" i="39"/>
  <c r="GH14" i="39"/>
  <c r="GI83" i="39"/>
  <c r="GH56" i="39"/>
  <c r="GQ56" i="39"/>
  <c r="GR56" i="39" s="1" a="1"/>
  <c r="GR56" i="39" s="1"/>
  <c r="GH45" i="39"/>
  <c r="GI13" i="39"/>
  <c r="GH13" i="39"/>
  <c r="GQ54" i="39"/>
  <c r="GQ32" i="39"/>
  <c r="GR32" i="39" s="1" a="1"/>
  <c r="GR32" i="39" s="1"/>
  <c r="GI23" i="39"/>
  <c r="GI10" i="39"/>
  <c r="GH10" i="39"/>
  <c r="GQ52" i="39"/>
  <c r="GR52" i="39" s="1" a="1"/>
  <c r="GR52" i="39" s="1"/>
  <c r="GI21" i="39"/>
  <c r="GI79" i="39"/>
  <c r="GI12" i="39"/>
  <c r="GI9" i="39"/>
  <c r="GI80" i="39"/>
  <c r="GH21" i="39"/>
  <c r="GH41" i="39"/>
  <c r="GI24" i="39"/>
  <c r="GI81" i="39"/>
  <c r="GQ73" i="39"/>
  <c r="GH43" i="39"/>
  <c r="GI72" i="39"/>
  <c r="GH79" i="39"/>
  <c r="GQ60" i="39"/>
  <c r="GR60" i="39" s="1" a="1"/>
  <c r="GR60" i="39" s="1"/>
  <c r="GH50" i="39"/>
  <c r="GQ41" i="39"/>
  <c r="GR41" i="39" s="1" a="1"/>
  <c r="GR41" i="39" s="1"/>
  <c r="GI73" i="39"/>
  <c r="GQ23" i="39"/>
  <c r="GQ10" i="39"/>
  <c r="GH72" i="39"/>
  <c r="GQ72" i="39"/>
  <c r="GR72" i="39" s="1" a="1"/>
  <c r="GR72" i="39" s="1"/>
  <c r="GH61" i="39"/>
  <c r="GH52" i="39"/>
  <c r="GQ31" i="39"/>
  <c r="GR31" i="39" s="1" a="1"/>
  <c r="GR31" i="39" s="1"/>
  <c r="GH70" i="39"/>
  <c r="GQ29" i="39"/>
  <c r="GR29" i="39" s="1" a="1"/>
  <c r="GR29" i="39" s="1"/>
  <c r="GH20" i="39"/>
  <c r="GH24" i="39"/>
  <c r="GH12" i="39"/>
  <c r="GI62" i="39"/>
  <c r="GH62" i="39"/>
  <c r="GQ62" i="39"/>
  <c r="GR62" i="39" s="1" a="1"/>
  <c r="GR62" i="39" s="1"/>
  <c r="GI61" i="39"/>
  <c r="GQ61" i="39"/>
  <c r="GR61" i="39" s="1" a="1"/>
  <c r="GR61" i="39" s="1"/>
  <c r="GI52" i="39"/>
  <c r="GI33" i="39"/>
  <c r="GQ12" i="39"/>
  <c r="GH73" i="39"/>
  <c r="GQ53" i="39"/>
  <c r="GQ43" i="39"/>
  <c r="GR43" i="39" s="1" a="1"/>
  <c r="GR43" i="39" s="1"/>
  <c r="GH32" i="39"/>
  <c r="GH42" i="39"/>
  <c r="GH31" i="39"/>
  <c r="GQ79" i="39"/>
  <c r="GR79" i="39" s="1" a="1"/>
  <c r="GR79" i="39" s="1"/>
  <c r="GI50" i="39"/>
  <c r="GQ50" i="39"/>
  <c r="GR50" i="39" s="1" a="1"/>
  <c r="GR50" i="39" s="1"/>
  <c r="GQ24" i="39"/>
  <c r="GR24" i="39" s="1" a="1"/>
  <c r="GR24" i="39" s="1"/>
  <c r="GH81" i="39"/>
  <c r="GI43" i="39"/>
  <c r="GH80" i="39"/>
  <c r="GI42" i="39"/>
  <c r="GQ42" i="39"/>
  <c r="GQ70" i="39"/>
  <c r="GI41" i="39"/>
  <c r="GI29" i="39"/>
  <c r="GQ33" i="39"/>
  <c r="GR33" i="39" s="1" a="1"/>
  <c r="GR33" i="39" s="1"/>
  <c r="GQ81" i="39"/>
  <c r="GR81" i="39" s="1" a="1"/>
  <c r="GR81" i="39" s="1"/>
  <c r="GI32" i="39"/>
  <c r="GH23" i="39"/>
  <c r="GQ80" i="39"/>
  <c r="GI31" i="39"/>
  <c r="GQ21" i="39"/>
  <c r="GI70" i="39"/>
  <c r="GH29" i="39"/>
  <c r="GI78" i="39"/>
  <c r="GH69" i="39"/>
  <c r="GQ49" i="39"/>
  <c r="GR49" i="39" s="1" a="1"/>
  <c r="GR49" i="39" s="1"/>
  <c r="GH37" i="39"/>
  <c r="GQ37" i="39"/>
  <c r="GR37" i="39" s="1" a="1"/>
  <c r="GR37" i="39" s="1"/>
  <c r="GI69" i="39"/>
  <c r="GQ69" i="39"/>
  <c r="GH59" i="39"/>
  <c r="GH28" i="39"/>
  <c r="GQ28" i="39"/>
  <c r="GH19" i="39"/>
  <c r="GI77" i="39"/>
  <c r="GQ77" i="39"/>
  <c r="GR77" i="39" s="1" a="1"/>
  <c r="GR77" i="39" s="1"/>
  <c r="GI68" i="39"/>
  <c r="GI17" i="39"/>
  <c r="GI59" i="39"/>
  <c r="GQ59" i="39"/>
  <c r="GR59" i="39" s="1" a="1"/>
  <c r="GR59" i="39" s="1"/>
  <c r="GI58" i="39"/>
  <c r="GI20" i="39"/>
  <c r="GI49" i="39"/>
  <c r="GH49" i="39"/>
  <c r="GI48" i="39"/>
  <c r="GI37" i="39"/>
  <c r="GQ27" i="39"/>
  <c r="GR27" i="39" s="1" a="1"/>
  <c r="GR27" i="39" s="1"/>
  <c r="GQ17" i="39"/>
  <c r="GH78" i="39"/>
  <c r="GQ78" i="39"/>
  <c r="GR78" i="39" s="1" a="1"/>
  <c r="GR78" i="39" s="1"/>
  <c r="GI40" i="39"/>
  <c r="GI28" i="39"/>
  <c r="GH68" i="39"/>
  <c r="GI19" i="39"/>
  <c r="GQ68" i="39"/>
  <c r="GH58" i="39"/>
  <c r="GQ20" i="39"/>
  <c r="GR20" i="39" s="1" a="1"/>
  <c r="GR20" i="39" s="1"/>
  <c r="GQ58" i="39"/>
  <c r="GH48" i="39"/>
  <c r="GQ48" i="39"/>
  <c r="GH40" i="39"/>
  <c r="GQ40" i="39"/>
  <c r="GQ19" i="39"/>
  <c r="GH77" i="39"/>
  <c r="GH17" i="39"/>
  <c r="GI51" i="39"/>
  <c r="GI38" i="39"/>
  <c r="GI18" i="39"/>
  <c r="GI34" i="39"/>
  <c r="GH38" i="39"/>
  <c r="GQ38" i="39"/>
  <c r="GR38" i="39" s="1" a="1"/>
  <c r="GR38" i="39" s="1"/>
  <c r="GI47" i="39"/>
  <c r="GH30" i="39"/>
  <c r="GI67" i="39"/>
  <c r="GI55" i="39"/>
  <c r="GH18" i="39"/>
  <c r="GH34" i="39"/>
  <c r="GQ22" i="39"/>
  <c r="GR22" i="39" s="1" a="1"/>
  <c r="GR22" i="39" s="1"/>
  <c r="GH51" i="39"/>
  <c r="GI30" i="39"/>
  <c r="GH55" i="39"/>
  <c r="GQ55" i="39"/>
  <c r="GH71" i="39"/>
  <c r="GQ71" i="39"/>
  <c r="GR71" i="39" s="1" a="1"/>
  <c r="GR71" i="39" s="1"/>
  <c r="GQ18" i="39"/>
  <c r="GR18" i="39" s="1" a="1"/>
  <c r="GR18" i="39" s="1"/>
  <c r="GQ34" i="39"/>
  <c r="GH47" i="39"/>
  <c r="GQ47" i="39"/>
  <c r="GH67" i="39"/>
  <c r="GQ67" i="39"/>
  <c r="GQ63" i="39"/>
  <c r="GI71" i="39"/>
  <c r="GI22" i="39"/>
  <c r="GH22" i="39"/>
  <c r="GQ51" i="39"/>
  <c r="GQ30" i="39"/>
  <c r="GQ11" i="39"/>
  <c r="GD70" i="39"/>
  <c r="GE103" i="39"/>
  <c r="GE85" i="39"/>
  <c r="GD32" i="39"/>
  <c r="GE31" i="39"/>
  <c r="GE101" i="39"/>
  <c r="GD86" i="39"/>
  <c r="GE50" i="39"/>
  <c r="GE99" i="39"/>
  <c r="GD15" i="39"/>
  <c r="GE14" i="39"/>
  <c r="GD31" i="39"/>
  <c r="GE59" i="39"/>
  <c r="GD96" i="39"/>
  <c r="GD90" i="39"/>
  <c r="GE73" i="39"/>
  <c r="GE22" i="39"/>
  <c r="GD40" i="39"/>
  <c r="GE111" i="39"/>
  <c r="GE95" i="39"/>
  <c r="GE57" i="39"/>
  <c r="GD75" i="39"/>
  <c r="GE78" i="39"/>
  <c r="GD28" i="39"/>
  <c r="GE49" i="39"/>
  <c r="GE40" i="39"/>
  <c r="GD79" i="39"/>
  <c r="GJ79" i="39" s="1"/>
  <c r="GE87" i="39"/>
  <c r="GD114" i="39"/>
  <c r="GD97" i="39"/>
  <c r="GE46" i="39"/>
  <c r="GE68" i="39"/>
  <c r="GD91" i="39"/>
  <c r="GE115" i="39"/>
  <c r="GE83" i="39"/>
  <c r="GE80" i="39"/>
  <c r="GD81" i="39"/>
  <c r="GD100" i="39"/>
  <c r="GD56" i="39"/>
  <c r="GE10" i="39"/>
  <c r="GD95" i="39"/>
  <c r="GE108" i="39"/>
  <c r="GE75" i="39"/>
  <c r="GE54" i="39"/>
  <c r="GE23" i="39"/>
  <c r="GE106" i="39"/>
  <c r="GE112" i="39"/>
  <c r="GD85" i="39"/>
  <c r="GE74" i="39"/>
  <c r="GE86" i="39"/>
  <c r="GE113" i="39"/>
  <c r="GD45" i="39"/>
  <c r="GD46" i="39"/>
  <c r="GD69" i="39"/>
  <c r="GE28" i="39"/>
  <c r="GE79" i="39"/>
  <c r="GK79" i="39" s="1"/>
  <c r="GE19" i="39"/>
  <c r="GE105" i="39"/>
  <c r="GE44" i="39"/>
  <c r="GD47" i="39"/>
  <c r="GE116" i="39"/>
  <c r="GD106" i="39"/>
  <c r="GD54" i="39"/>
  <c r="GD115" i="39"/>
  <c r="GE16" i="39"/>
  <c r="GD109" i="39"/>
  <c r="GE102" i="39"/>
  <c r="GE92" i="39"/>
  <c r="GD99" i="39"/>
  <c r="GE52" i="39"/>
  <c r="GD113" i="39"/>
  <c r="GE96" i="39"/>
  <c r="GE36" i="39"/>
  <c r="GE62" i="39"/>
  <c r="GE110" i="39"/>
  <c r="GE94" i="39"/>
  <c r="GD49" i="39"/>
  <c r="GD20" i="39"/>
  <c r="GE77" i="39"/>
  <c r="GE114" i="39"/>
  <c r="GD92" i="39"/>
  <c r="GE56" i="39"/>
  <c r="GD43" i="39"/>
  <c r="GE90" i="39"/>
  <c r="GE33" i="39"/>
  <c r="GE55" i="39"/>
  <c r="GE26" i="39"/>
  <c r="GD88" i="39"/>
  <c r="GE76" i="39"/>
  <c r="GD111" i="39"/>
  <c r="GD30" i="39"/>
  <c r="GD98" i="39"/>
  <c r="GE42" i="39"/>
  <c r="GE71" i="39"/>
  <c r="GD103" i="39"/>
  <c r="GD44" i="39"/>
  <c r="GD36" i="39"/>
  <c r="GD78" i="39"/>
  <c r="GE37" i="39"/>
  <c r="GD74" i="39"/>
  <c r="GE88" i="39"/>
  <c r="GD82" i="39"/>
  <c r="GD73" i="39"/>
  <c r="GD50" i="39"/>
  <c r="GE18" i="39"/>
  <c r="GE30" i="39"/>
  <c r="GD107" i="39"/>
  <c r="GE13" i="39"/>
  <c r="GD22" i="39"/>
  <c r="GE98" i="39"/>
  <c r="GE93" i="39"/>
  <c r="GD83" i="39"/>
  <c r="GD35" i="39"/>
  <c r="GD65" i="39"/>
  <c r="GD38" i="39"/>
  <c r="GD87" i="39"/>
  <c r="GE66" i="39"/>
  <c r="GD42" i="39"/>
  <c r="GD21" i="39"/>
  <c r="GE15" i="39"/>
  <c r="GD66" i="39"/>
  <c r="GD71" i="39"/>
  <c r="GD76" i="39"/>
  <c r="GD62" i="39"/>
  <c r="GE58" i="39"/>
  <c r="GD19" i="39"/>
  <c r="GD105" i="39"/>
  <c r="GD104" i="39"/>
  <c r="GD12" i="39"/>
  <c r="GE38" i="39"/>
  <c r="GE67" i="39"/>
  <c r="GE97" i="39"/>
  <c r="GD112" i="39"/>
  <c r="GD57" i="39"/>
  <c r="GD80" i="39"/>
  <c r="GD52" i="39"/>
  <c r="GD18" i="39"/>
  <c r="GD108" i="39"/>
  <c r="GE35" i="39"/>
  <c r="GE21" i="39"/>
  <c r="GD64" i="39"/>
  <c r="GE89" i="39"/>
  <c r="GD102" i="39"/>
  <c r="GE70" i="39"/>
  <c r="GE12" i="39"/>
  <c r="GE43" i="39"/>
  <c r="GE48" i="39"/>
  <c r="GD68" i="39"/>
  <c r="GD13" i="39"/>
  <c r="GE91" i="39"/>
  <c r="GD26" i="39"/>
  <c r="GE45" i="39"/>
  <c r="GD24" i="39"/>
  <c r="GD67" i="39"/>
  <c r="GE100" i="39"/>
  <c r="GD51" i="39"/>
  <c r="GD89" i="39"/>
  <c r="GD25" i="39"/>
  <c r="GD33" i="39"/>
  <c r="GE72" i="39"/>
  <c r="GE69" i="39"/>
  <c r="GE109" i="39"/>
  <c r="GD23" i="39"/>
  <c r="GD10" i="39"/>
  <c r="GE25" i="39"/>
  <c r="GD72" i="39"/>
  <c r="GD55" i="39"/>
  <c r="GD94" i="39"/>
  <c r="GE24" i="39"/>
  <c r="GD59" i="39"/>
  <c r="GD48" i="39"/>
  <c r="GD77" i="39"/>
  <c r="GD93" i="39"/>
  <c r="GD101" i="39"/>
  <c r="GD14" i="39"/>
  <c r="GD61" i="39"/>
  <c r="GE47" i="39"/>
  <c r="GE64" i="39"/>
  <c r="GE41" i="39"/>
  <c r="GD110" i="39"/>
  <c r="GE65" i="39"/>
  <c r="GD29" i="39"/>
  <c r="GE104" i="39"/>
  <c r="GD116" i="39"/>
  <c r="GD16" i="39"/>
  <c r="GD41" i="39"/>
  <c r="GE82" i="39"/>
  <c r="GE61" i="39"/>
  <c r="GE81" i="39"/>
  <c r="GE29" i="39"/>
  <c r="GE51" i="39"/>
  <c r="GE107" i="39"/>
  <c r="GE32" i="39"/>
  <c r="GD37" i="39"/>
  <c r="GD58" i="39"/>
  <c r="GE20" i="39"/>
  <c r="GD34" i="39"/>
  <c r="GD17" i="39"/>
  <c r="GD84" i="39"/>
  <c r="GE84" i="39"/>
  <c r="GE9" i="39"/>
  <c r="GE34" i="39"/>
  <c r="GE17" i="39"/>
  <c r="GD60" i="39"/>
  <c r="GH60" i="39"/>
  <c r="GE60" i="39"/>
  <c r="GI60" i="39"/>
  <c r="GH11" i="39"/>
  <c r="GD11" i="39"/>
  <c r="GI11" i="39"/>
  <c r="GD27" i="39"/>
  <c r="GH27" i="39"/>
  <c r="GD63" i="39"/>
  <c r="GE11" i="39"/>
  <c r="GH63" i="39"/>
  <c r="GI53" i="39"/>
  <c r="GI27" i="39"/>
  <c r="GH53" i="39"/>
  <c r="GI63" i="39"/>
  <c r="GE53" i="39"/>
  <c r="GE63" i="39"/>
  <c r="GE27" i="39"/>
  <c r="GD53" i="39"/>
  <c r="GQ9" i="39"/>
  <c r="GR9" i="39" s="1" a="1"/>
  <c r="GR9" i="39" s="1"/>
  <c r="GH9" i="39"/>
  <c r="AY137" i="7" a="1"/>
  <c r="AY137" i="7" s="1"/>
  <c r="AW137" i="7" s="1"/>
  <c r="BN137" i="7" s="1"/>
  <c r="GD9" i="39"/>
  <c r="GJ39" i="39" l="1"/>
  <c r="GK110" i="39"/>
  <c r="GK107" i="39"/>
  <c r="GK81" i="39"/>
  <c r="GK99" i="39"/>
  <c r="GK46" i="39"/>
  <c r="GK59" i="39"/>
  <c r="GK39" i="39"/>
  <c r="GR39" i="39" a="1"/>
  <c r="GR39" i="39" s="1"/>
  <c r="GK53" i="39"/>
  <c r="GJ91" i="39"/>
  <c r="GK11" i="39"/>
  <c r="GJ17" i="39"/>
  <c r="GK17" i="39"/>
  <c r="GJ58" i="39"/>
  <c r="GK82" i="39"/>
  <c r="GK41" i="39"/>
  <c r="GJ48" i="39"/>
  <c r="GJ23" i="39"/>
  <c r="GK100" i="39"/>
  <c r="GK48" i="39"/>
  <c r="GK35" i="39"/>
  <c r="GK67" i="39"/>
  <c r="GJ76" i="39"/>
  <c r="GJ38" i="39"/>
  <c r="GJ107" i="39"/>
  <c r="GK37" i="39"/>
  <c r="GJ30" i="39"/>
  <c r="GJ43" i="39"/>
  <c r="GK102" i="39"/>
  <c r="GK44" i="39"/>
  <c r="GK113" i="39"/>
  <c r="GK75" i="39"/>
  <c r="GK83" i="39"/>
  <c r="HK79" i="39"/>
  <c r="GK111" i="39"/>
  <c r="GK14" i="39"/>
  <c r="GK85" i="39"/>
  <c r="GS71" i="39"/>
  <c r="GT71" i="39" s="1"/>
  <c r="GU71" i="39"/>
  <c r="GV71" i="39"/>
  <c r="GR48" i="39" a="1"/>
  <c r="GR48" i="39" s="1"/>
  <c r="GS48" i="39" s="1"/>
  <c r="GT48" i="39" s="1"/>
  <c r="GS77" i="39"/>
  <c r="GT77" i="39" s="1"/>
  <c r="GV77" i="39"/>
  <c r="GU77" i="39"/>
  <c r="GS37" i="39"/>
  <c r="GT37" i="39" s="1"/>
  <c r="GU37" i="39"/>
  <c r="GV37" i="39"/>
  <c r="GR70" i="39" a="1"/>
  <c r="GR70" i="39" s="1"/>
  <c r="GS70" i="39" s="1"/>
  <c r="GT70" i="39" s="1"/>
  <c r="GR12" i="39" a="1"/>
  <c r="GR12" i="39" s="1"/>
  <c r="GS12" i="39" s="1"/>
  <c r="GT12" i="39" s="1"/>
  <c r="GS72" i="39"/>
  <c r="GT72" i="39" s="1"/>
  <c r="GU72" i="39"/>
  <c r="GV72" i="39"/>
  <c r="GS84" i="39"/>
  <c r="GT84" i="39" s="1"/>
  <c r="GU84" i="39" s="1"/>
  <c r="GV84" i="39"/>
  <c r="GS90" i="39"/>
  <c r="GT90" i="39" s="1"/>
  <c r="GU90" i="39"/>
  <c r="GV90" i="39"/>
  <c r="GS101" i="39"/>
  <c r="GT101" i="39" s="1"/>
  <c r="GU101" i="39"/>
  <c r="GV101" i="39"/>
  <c r="GR116" i="39" a="1"/>
  <c r="GR116" i="39" s="1"/>
  <c r="GS116" i="39" s="1"/>
  <c r="GT116" i="39" s="1"/>
  <c r="GR104" i="39" a="1"/>
  <c r="GR104" i="39" s="1"/>
  <c r="GS104" i="39" s="1"/>
  <c r="GT104" i="39" s="1"/>
  <c r="GR96" i="39" a="1"/>
  <c r="GR96" i="39" s="1"/>
  <c r="GS96" i="39" s="1"/>
  <c r="GT96" i="39" s="1"/>
  <c r="GK84" i="39"/>
  <c r="GJ37" i="39"/>
  <c r="GJ41" i="39"/>
  <c r="GK64" i="39"/>
  <c r="GJ59" i="39"/>
  <c r="GK109" i="39"/>
  <c r="GJ67" i="39"/>
  <c r="GK43" i="39"/>
  <c r="GJ108" i="39"/>
  <c r="GK38" i="39"/>
  <c r="GJ71" i="39"/>
  <c r="GJ65" i="39"/>
  <c r="GK30" i="39"/>
  <c r="GJ78" i="39"/>
  <c r="GJ111" i="39"/>
  <c r="GK56" i="39"/>
  <c r="GK62" i="39"/>
  <c r="GJ109" i="39"/>
  <c r="GK105" i="39"/>
  <c r="GK86" i="39"/>
  <c r="GK108" i="39"/>
  <c r="GK115" i="39"/>
  <c r="GK40" i="39"/>
  <c r="GJ40" i="39"/>
  <c r="GJ15" i="39"/>
  <c r="GK103" i="39"/>
  <c r="GR63" i="39" a="1"/>
  <c r="GR63" i="39" s="1"/>
  <c r="GS63" i="39" s="1"/>
  <c r="GT63" i="39" s="1"/>
  <c r="GK77" i="39"/>
  <c r="GR80" i="39" a="1"/>
  <c r="GR80" i="39" s="1"/>
  <c r="GS80" i="39" s="1"/>
  <c r="GT80" i="39" s="1"/>
  <c r="GR42" i="39" a="1"/>
  <c r="GR42" i="39" s="1"/>
  <c r="GS42" i="39" s="1"/>
  <c r="GT42" i="39" s="1"/>
  <c r="GS79" i="39"/>
  <c r="GT79" i="39" s="1"/>
  <c r="GU79" i="39" s="1"/>
  <c r="GV79" i="39"/>
  <c r="GS32" i="39"/>
  <c r="GT32" i="39" s="1"/>
  <c r="GU32" i="39"/>
  <c r="GV32" i="39"/>
  <c r="GS65" i="39"/>
  <c r="GT65" i="39" s="1"/>
  <c r="GU65" i="39"/>
  <c r="GV65" i="39"/>
  <c r="GS82" i="39"/>
  <c r="GT82" i="39" s="1"/>
  <c r="GU82" i="39"/>
  <c r="GV82" i="39"/>
  <c r="GS98" i="39"/>
  <c r="GT98" i="39" s="1"/>
  <c r="GV98" i="39"/>
  <c r="GU98" i="39"/>
  <c r="GS86" i="39"/>
  <c r="GT86" i="39" s="1"/>
  <c r="GV86" i="39"/>
  <c r="GU86" i="39"/>
  <c r="GK27" i="39"/>
  <c r="GJ60" i="39"/>
  <c r="GJ27" i="39"/>
  <c r="GK32" i="39"/>
  <c r="GJ16" i="39"/>
  <c r="GK47" i="39"/>
  <c r="GK24" i="39"/>
  <c r="GJ24" i="39"/>
  <c r="GK12" i="39"/>
  <c r="GJ18" i="39"/>
  <c r="GJ12" i="39"/>
  <c r="GJ66" i="39"/>
  <c r="GJ35" i="39"/>
  <c r="GK18" i="39"/>
  <c r="GJ36" i="39"/>
  <c r="GK76" i="39"/>
  <c r="GJ92" i="39"/>
  <c r="GK36" i="39"/>
  <c r="GK16" i="39"/>
  <c r="GK19" i="39"/>
  <c r="GK74" i="39"/>
  <c r="GK49" i="39"/>
  <c r="GK22" i="39"/>
  <c r="GJ70" i="39"/>
  <c r="GR67" i="39" a="1"/>
  <c r="GR67" i="39" s="1"/>
  <c r="GS67" i="39" s="1"/>
  <c r="GT67" i="39" s="1"/>
  <c r="GR55" i="39" a="1"/>
  <c r="GR55" i="39" s="1"/>
  <c r="GS55" i="39" s="1"/>
  <c r="GT55" i="39" s="1"/>
  <c r="GK51" i="39"/>
  <c r="GR58" i="39" a="1"/>
  <c r="GR58" i="39" s="1"/>
  <c r="GS58" i="39" s="1"/>
  <c r="GT58" i="39" s="1"/>
  <c r="GS78" i="39"/>
  <c r="GT78" i="39" s="1"/>
  <c r="GU78" i="39"/>
  <c r="GV78" i="39"/>
  <c r="GS49" i="39"/>
  <c r="GT49" i="39" s="1"/>
  <c r="GU49" i="39"/>
  <c r="GV49" i="39"/>
  <c r="GR10" i="39" a="1"/>
  <c r="GR10" i="39" s="1"/>
  <c r="GS10" i="39" s="1"/>
  <c r="GT10" i="39" s="1"/>
  <c r="GR54" i="39" a="1"/>
  <c r="GR54" i="39" s="1"/>
  <c r="GS54" i="39" s="1"/>
  <c r="GT54" i="39" s="1"/>
  <c r="GR26" i="39" a="1"/>
  <c r="GR26" i="39" s="1"/>
  <c r="GS26" i="39" s="1"/>
  <c r="GT26" i="39" s="1"/>
  <c r="GS64" i="39"/>
  <c r="GT64" i="39" s="1"/>
  <c r="GV64" i="39"/>
  <c r="GU64" i="39"/>
  <c r="GS25" i="39"/>
  <c r="GT25" i="39" s="1"/>
  <c r="GV25" i="39"/>
  <c r="GU25" i="39"/>
  <c r="GR45" i="39" a="1"/>
  <c r="GR45" i="39" s="1"/>
  <c r="GS45" i="39" s="1"/>
  <c r="GT45" i="39" s="1"/>
  <c r="GS15" i="39"/>
  <c r="GT15" i="39" s="1"/>
  <c r="GU15" i="39"/>
  <c r="GV15" i="39"/>
  <c r="GR89" i="39" a="1"/>
  <c r="GR89" i="39" s="1"/>
  <c r="GJ112" i="39"/>
  <c r="GR102" i="39" a="1"/>
  <c r="GR102" i="39" s="1"/>
  <c r="GS102" i="39" s="1"/>
  <c r="GT102" i="39" s="1"/>
  <c r="GS106" i="39"/>
  <c r="GT106" i="39" s="1"/>
  <c r="GU106" i="39"/>
  <c r="GV106" i="39"/>
  <c r="GR103" i="39" a="1"/>
  <c r="GR103" i="39" s="1"/>
  <c r="GS110" i="39"/>
  <c r="GT110" i="39" s="1"/>
  <c r="GU110" i="39"/>
  <c r="GV110" i="39"/>
  <c r="GS115" i="39"/>
  <c r="GT115" i="39" s="1"/>
  <c r="GU115" i="39" s="1"/>
  <c r="GV115" i="39"/>
  <c r="GS97" i="39"/>
  <c r="GT97" i="39" s="1"/>
  <c r="GU97" i="39"/>
  <c r="GV97" i="39"/>
  <c r="GJ116" i="39"/>
  <c r="GJ61" i="39"/>
  <c r="GJ94" i="39"/>
  <c r="GK72" i="39"/>
  <c r="GK45" i="39"/>
  <c r="GK70" i="39"/>
  <c r="GJ52" i="39"/>
  <c r="GJ104" i="39"/>
  <c r="GK15" i="39"/>
  <c r="GJ83" i="39"/>
  <c r="GJ50" i="39"/>
  <c r="GJ44" i="39"/>
  <c r="GJ88" i="39"/>
  <c r="GK114" i="39"/>
  <c r="GK96" i="39"/>
  <c r="GJ115" i="39"/>
  <c r="GJ85" i="39"/>
  <c r="GK10" i="39"/>
  <c r="GK68" i="39"/>
  <c r="GJ28" i="39"/>
  <c r="GK73" i="39"/>
  <c r="GK50" i="39"/>
  <c r="GR11" i="39" a="1"/>
  <c r="GR11" i="39" s="1"/>
  <c r="GV11" i="39" s="1"/>
  <c r="GS20" i="39"/>
  <c r="GT20" i="39" s="1"/>
  <c r="GU20" i="39"/>
  <c r="GV20" i="39"/>
  <c r="GR28" i="39" a="1"/>
  <c r="GR28" i="39" s="1"/>
  <c r="GS28" i="39" s="1"/>
  <c r="GT28" i="39" s="1"/>
  <c r="GS61" i="39"/>
  <c r="GT61" i="39" s="1"/>
  <c r="GU61" i="39"/>
  <c r="GV61" i="39"/>
  <c r="GS29" i="39"/>
  <c r="GT29" i="39" s="1"/>
  <c r="GU29" i="39"/>
  <c r="GV29" i="39"/>
  <c r="GR23" i="39" a="1"/>
  <c r="GR23" i="39" s="1"/>
  <c r="GS23" i="39" s="1"/>
  <c r="GT23" i="39" s="1"/>
  <c r="GR73" i="39" a="1"/>
  <c r="GR73" i="39" s="1"/>
  <c r="GS73" i="39" s="1"/>
  <c r="GT73" i="39" s="1"/>
  <c r="GR35" i="39" a="1"/>
  <c r="GR35" i="39" s="1"/>
  <c r="GS35" i="39" s="1"/>
  <c r="GT35" i="39" s="1"/>
  <c r="GS75" i="39"/>
  <c r="GT75" i="39" s="1"/>
  <c r="GV75" i="39"/>
  <c r="GU75" i="39"/>
  <c r="GS88" i="39"/>
  <c r="GT88" i="39" s="1"/>
  <c r="GV88" i="39"/>
  <c r="GU88" i="39"/>
  <c r="GR87" i="39" a="1"/>
  <c r="GR87" i="39" s="1"/>
  <c r="GS87" i="39" s="1"/>
  <c r="GT87" i="39" s="1"/>
  <c r="GS114" i="39"/>
  <c r="GT114" i="39" s="1"/>
  <c r="GV114" i="39"/>
  <c r="GU114" i="39"/>
  <c r="GS92" i="39"/>
  <c r="GT92" i="39" s="1"/>
  <c r="GV92" i="39"/>
  <c r="GU92" i="39"/>
  <c r="GR100" i="39" a="1"/>
  <c r="GR100" i="39" s="1"/>
  <c r="GS100" i="39" s="1"/>
  <c r="GT100" i="39" s="1"/>
  <c r="GJ63" i="39"/>
  <c r="GJ11" i="39"/>
  <c r="GJ84" i="39"/>
  <c r="GK104" i="39"/>
  <c r="GJ14" i="39"/>
  <c r="GJ55" i="39"/>
  <c r="GJ33" i="39"/>
  <c r="GJ26" i="39"/>
  <c r="GJ102" i="39"/>
  <c r="GJ80" i="39"/>
  <c r="GJ105" i="39"/>
  <c r="GJ21" i="39"/>
  <c r="GK93" i="39"/>
  <c r="GJ73" i="39"/>
  <c r="GJ103" i="39"/>
  <c r="GK26" i="39"/>
  <c r="GJ113" i="39"/>
  <c r="GJ54" i="39"/>
  <c r="GK28" i="39"/>
  <c r="GK112" i="39"/>
  <c r="GJ56" i="39"/>
  <c r="GK78" i="39"/>
  <c r="GJ90" i="39"/>
  <c r="GJ86" i="39"/>
  <c r="GR30" i="39" a="1"/>
  <c r="GR30" i="39" s="1"/>
  <c r="GR47" i="39" a="1"/>
  <c r="GR47" i="39" s="1"/>
  <c r="GS47" i="39" s="1"/>
  <c r="GT47" i="39" s="1"/>
  <c r="GR17" i="39" a="1"/>
  <c r="GR17" i="39" s="1"/>
  <c r="GV17" i="39" s="1"/>
  <c r="GS59" i="39"/>
  <c r="GT59" i="39" s="1"/>
  <c r="GU59" i="39" s="1"/>
  <c r="GV59" i="39"/>
  <c r="GS81" i="39"/>
  <c r="GT81" i="39" s="1"/>
  <c r="GU81" i="39"/>
  <c r="GV81" i="39"/>
  <c r="GK61" i="39"/>
  <c r="GS76" i="39"/>
  <c r="GT76" i="39" s="1"/>
  <c r="GV76" i="39"/>
  <c r="GU76" i="39"/>
  <c r="GR13" i="39" a="1"/>
  <c r="GR13" i="39" s="1"/>
  <c r="GS16" i="39"/>
  <c r="GT16" i="39" s="1"/>
  <c r="GU16" i="39"/>
  <c r="GV16" i="39"/>
  <c r="GS91" i="39"/>
  <c r="GT91" i="39" s="1"/>
  <c r="GU91" i="39"/>
  <c r="GV91" i="39"/>
  <c r="GR99" i="39" a="1"/>
  <c r="GR99" i="39" s="1"/>
  <c r="GT108" i="39"/>
  <c r="GU108" i="39" s="1"/>
  <c r="GV108" i="39"/>
  <c r="GS95" i="39"/>
  <c r="GT95" i="39" s="1"/>
  <c r="GU95" i="39"/>
  <c r="GV95" i="39"/>
  <c r="GS107" i="39"/>
  <c r="GT107" i="39" s="1"/>
  <c r="GU107" i="39" s="1"/>
  <c r="GV107" i="39"/>
  <c r="GK63" i="39"/>
  <c r="GK34" i="39"/>
  <c r="GK29" i="39"/>
  <c r="GJ29" i="39"/>
  <c r="GJ101" i="39"/>
  <c r="GJ72" i="39"/>
  <c r="GJ25" i="39"/>
  <c r="GK91" i="39"/>
  <c r="GK89" i="39"/>
  <c r="GJ57" i="39"/>
  <c r="GJ19" i="39"/>
  <c r="GJ42" i="39"/>
  <c r="GK98" i="39"/>
  <c r="GJ82" i="39"/>
  <c r="GK71" i="39"/>
  <c r="GK55" i="39"/>
  <c r="GJ20" i="39"/>
  <c r="GK52" i="39"/>
  <c r="GJ106" i="39"/>
  <c r="GJ69" i="39"/>
  <c r="GK106" i="39"/>
  <c r="GJ100" i="39"/>
  <c r="GJ97" i="39"/>
  <c r="GJ75" i="39"/>
  <c r="GJ96" i="39"/>
  <c r="GK101" i="39"/>
  <c r="GR51" i="39" a="1"/>
  <c r="GR51" i="39" s="1"/>
  <c r="GS51" i="39" s="1"/>
  <c r="GT51" i="39" s="1"/>
  <c r="GS38" i="39"/>
  <c r="GT38" i="39" s="1"/>
  <c r="GV38" i="39"/>
  <c r="GU38" i="39"/>
  <c r="GR19" i="39" a="1"/>
  <c r="GR19" i="39" s="1"/>
  <c r="GS19" i="39" s="1"/>
  <c r="GT19" i="39" s="1"/>
  <c r="GR68" i="39" a="1"/>
  <c r="GR68" i="39" s="1"/>
  <c r="GS68" i="39" s="1"/>
  <c r="GT68" i="39" s="1"/>
  <c r="GS27" i="39"/>
  <c r="GT27" i="39" s="1"/>
  <c r="GU27" i="39" s="1"/>
  <c r="GV27" i="39"/>
  <c r="GS33" i="39"/>
  <c r="GT33" i="39" s="1"/>
  <c r="GV33" i="39"/>
  <c r="GU33" i="39"/>
  <c r="GS43" i="39"/>
  <c r="GT43" i="39" s="1"/>
  <c r="GU43" i="39" s="1"/>
  <c r="GV43" i="39"/>
  <c r="GS62" i="39"/>
  <c r="GT62" i="39" s="1"/>
  <c r="GU62" i="39"/>
  <c r="GV62" i="39"/>
  <c r="GS31" i="39"/>
  <c r="GT31" i="39" s="1"/>
  <c r="GU31" i="39"/>
  <c r="GV31" i="39"/>
  <c r="GS41" i="39"/>
  <c r="GT41" i="39" s="1"/>
  <c r="GU41" i="39"/>
  <c r="GV41" i="39"/>
  <c r="GS52" i="39"/>
  <c r="GT52" i="39" s="1"/>
  <c r="GU52" i="39"/>
  <c r="GV52" i="39"/>
  <c r="GR83" i="39" a="1"/>
  <c r="GR83" i="39" s="1"/>
  <c r="GS83" i="39" s="1"/>
  <c r="GT83" i="39" s="1"/>
  <c r="GR57" i="39" a="1"/>
  <c r="GR57" i="39" s="1"/>
  <c r="GS57" i="39" s="1"/>
  <c r="GT57" i="39" s="1"/>
  <c r="GS85" i="39"/>
  <c r="GT85" i="39" s="1"/>
  <c r="GU85" i="39"/>
  <c r="GV85" i="39"/>
  <c r="GS93" i="39"/>
  <c r="GT93" i="39" s="1"/>
  <c r="GV93" i="39"/>
  <c r="GU93" i="39"/>
  <c r="GS111" i="39"/>
  <c r="GT111" i="39" s="1"/>
  <c r="GV111" i="39"/>
  <c r="GU111" i="39"/>
  <c r="GR105" i="39" a="1"/>
  <c r="GR105" i="39" s="1"/>
  <c r="GJ53" i="39"/>
  <c r="GJ34" i="39"/>
  <c r="GK65" i="39"/>
  <c r="GK25" i="39"/>
  <c r="GJ89" i="39"/>
  <c r="GJ13" i="39"/>
  <c r="GJ64" i="39"/>
  <c r="GK58" i="39"/>
  <c r="GK66" i="39"/>
  <c r="GJ22" i="39"/>
  <c r="GK88" i="39"/>
  <c r="GK42" i="39"/>
  <c r="GK33" i="39"/>
  <c r="GJ49" i="39"/>
  <c r="GJ99" i="39"/>
  <c r="GK116" i="39"/>
  <c r="GJ46" i="39"/>
  <c r="GK23" i="39"/>
  <c r="GJ81" i="39"/>
  <c r="GJ114" i="39"/>
  <c r="GK57" i="39"/>
  <c r="GK31" i="39"/>
  <c r="GR34" i="39" a="1"/>
  <c r="GR34" i="39" s="1"/>
  <c r="GS34" i="39" s="1"/>
  <c r="GT34" i="39" s="1"/>
  <c r="GS22" i="39"/>
  <c r="GT22" i="39" s="1"/>
  <c r="GV22" i="39"/>
  <c r="GU22" i="39"/>
  <c r="GR40" i="39" a="1"/>
  <c r="GR40" i="39" s="1"/>
  <c r="GS40" i="39" s="1"/>
  <c r="GT40" i="39" s="1"/>
  <c r="GR69" i="39" a="1"/>
  <c r="GR69" i="39" s="1"/>
  <c r="GS69" i="39" s="1"/>
  <c r="GT69" i="39" s="1"/>
  <c r="GS24" i="39"/>
  <c r="GT24" i="39" s="1"/>
  <c r="GV24" i="39"/>
  <c r="GU24" i="39"/>
  <c r="GR53" i="39" a="1"/>
  <c r="GR53" i="39" s="1"/>
  <c r="GV53" i="39" s="1"/>
  <c r="GS56" i="39"/>
  <c r="GT56" i="39" s="1"/>
  <c r="GU56" i="39"/>
  <c r="GV56" i="39"/>
  <c r="GR74" i="39" a="1"/>
  <c r="GR74" i="39" s="1"/>
  <c r="GS14" i="39"/>
  <c r="GT14" i="39" s="1"/>
  <c r="GU14" i="39" s="1"/>
  <c r="GV14" i="39"/>
  <c r="GJ93" i="39"/>
  <c r="GJ95" i="39"/>
  <c r="GK60" i="39"/>
  <c r="GK20" i="39"/>
  <c r="GJ110" i="39"/>
  <c r="GJ77" i="39"/>
  <c r="GJ10" i="39"/>
  <c r="GJ51" i="39"/>
  <c r="GJ68" i="39"/>
  <c r="GK21" i="39"/>
  <c r="GK97" i="39"/>
  <c r="GJ62" i="39"/>
  <c r="GJ87" i="39"/>
  <c r="GK13" i="39"/>
  <c r="GJ74" i="39"/>
  <c r="GJ98" i="39"/>
  <c r="GK90" i="39"/>
  <c r="GK94" i="39"/>
  <c r="GK92" i="39"/>
  <c r="GJ47" i="39"/>
  <c r="GJ45" i="39"/>
  <c r="GK54" i="39"/>
  <c r="GK80" i="39"/>
  <c r="GK87" i="39"/>
  <c r="GK95" i="39"/>
  <c r="GJ31" i="39"/>
  <c r="GJ32" i="39"/>
  <c r="GS18" i="39"/>
  <c r="GT18" i="39" s="1"/>
  <c r="GU18" i="39" s="1"/>
  <c r="GV18" i="39"/>
  <c r="GK69" i="39"/>
  <c r="GR21" i="39" a="1"/>
  <c r="GR21" i="39" s="1"/>
  <c r="GS21" i="39" s="1"/>
  <c r="GT21" i="39" s="1"/>
  <c r="GS50" i="39"/>
  <c r="GT50" i="39" s="1"/>
  <c r="GU50" i="39"/>
  <c r="GV50" i="39"/>
  <c r="GS60" i="39"/>
  <c r="GT60" i="39" s="1"/>
  <c r="GU60" i="39" s="1"/>
  <c r="GV60" i="39"/>
  <c r="GS36" i="39"/>
  <c r="GT36" i="39" s="1"/>
  <c r="GU36" i="39"/>
  <c r="GV36" i="39"/>
  <c r="GR46" i="39" a="1"/>
  <c r="GR46" i="39" s="1"/>
  <c r="GS46" i="39" s="1"/>
  <c r="GT46" i="39" s="1"/>
  <c r="GS44" i="39"/>
  <c r="GT44" i="39" s="1"/>
  <c r="GU44" i="39" s="1"/>
  <c r="GV44" i="39"/>
  <c r="GS66" i="39"/>
  <c r="GT66" i="39" s="1"/>
  <c r="GU66" i="39"/>
  <c r="GV66" i="39"/>
  <c r="GR109" i="39" a="1"/>
  <c r="GR109" i="39" s="1"/>
  <c r="GR112" i="39" a="1"/>
  <c r="GR112" i="39" s="1"/>
  <c r="GS112" i="39" s="1"/>
  <c r="GT112" i="39" s="1"/>
  <c r="GS113" i="39"/>
  <c r="GT113" i="39" s="1"/>
  <c r="GU113" i="39"/>
  <c r="GV113" i="39"/>
  <c r="GS94" i="39"/>
  <c r="GT94" i="39" s="1"/>
  <c r="GV94" i="39"/>
  <c r="GU94" i="39"/>
  <c r="GK9" i="39"/>
  <c r="AL137" i="7"/>
  <c r="AL156" i="7" s="1"/>
  <c r="J37" i="7" s="1"/>
  <c r="AO137" i="7"/>
  <c r="AT137" i="7" s="1"/>
  <c r="AT156" i="7" s="1"/>
  <c r="H36" i="7" s="1"/>
  <c r="E156" i="7"/>
  <c r="E157" i="7" s="1"/>
  <c r="AP137" i="7"/>
  <c r="AU137" i="7" s="1"/>
  <c r="AU156" i="7" s="1"/>
  <c r="I36" i="7" s="1"/>
  <c r="BM137" i="7"/>
  <c r="AN137" i="7"/>
  <c r="AN156" i="7" s="1"/>
  <c r="G37" i="7" s="1"/>
  <c r="BI137" i="7"/>
  <c r="BJ137" i="7" s="1"/>
  <c r="BJ156" i="7" s="1"/>
  <c r="AM137" i="7"/>
  <c r="AM156" i="7" s="1"/>
  <c r="L37" i="7" s="1"/>
  <c r="GJ9" i="39"/>
  <c r="GH8" i="39"/>
  <c r="GI7" i="39"/>
  <c r="D27" i="42" s="1"/>
  <c r="GI5" i="39"/>
  <c r="D24" i="42" s="1"/>
  <c r="GH6" i="39"/>
  <c r="D26" i="42" s="1"/>
  <c r="GE7" i="39"/>
  <c r="GE5" i="39"/>
  <c r="GE8" i="39"/>
  <c r="GD8" i="39"/>
  <c r="GG8" i="39"/>
  <c r="GD6" i="39"/>
  <c r="GG6" i="39"/>
  <c r="GH4" i="39"/>
  <c r="D23" i="42" s="1"/>
  <c r="GD4" i="39"/>
  <c r="GG4" i="39"/>
  <c r="GS9" i="39"/>
  <c r="BO137" i="7" l="1"/>
  <c r="BP137" i="7" s="1"/>
  <c r="BP156" i="7" s="1"/>
  <c r="BP157" i="7" s="1"/>
  <c r="T36" i="7" s="1"/>
  <c r="HK107" i="39"/>
  <c r="GY107" i="39" s="1"/>
  <c r="GZ107" i="39" s="1"/>
  <c r="HK39" i="39"/>
  <c r="HK110" i="39"/>
  <c r="HE110" i="39" s="1"/>
  <c r="HF110" i="39" s="1"/>
  <c r="HG110" i="39" s="1"/>
  <c r="HK14" i="39"/>
  <c r="HK81" i="39"/>
  <c r="HA81" i="39" s="1"/>
  <c r="AQ137" i="7"/>
  <c r="AQ156" i="7" s="1"/>
  <c r="J36" i="7" s="1"/>
  <c r="J34" i="7" s="1"/>
  <c r="HK59" i="39"/>
  <c r="HE59" i="39" s="1"/>
  <c r="HF59" i="39" s="1"/>
  <c r="HG59" i="39" s="1"/>
  <c r="HK99" i="39"/>
  <c r="HA99" i="39" s="1"/>
  <c r="HK80" i="39"/>
  <c r="HA80" i="39" s="1"/>
  <c r="HK51" i="39"/>
  <c r="HA51" i="39" s="1"/>
  <c r="HK46" i="39"/>
  <c r="HA46" i="39" s="1"/>
  <c r="HK83" i="39"/>
  <c r="HA83" i="39" s="1"/>
  <c r="HK53" i="39"/>
  <c r="HK28" i="39"/>
  <c r="HA28" i="39" s="1"/>
  <c r="HK91" i="39"/>
  <c r="HK100" i="39"/>
  <c r="HA100" i="39" s="1"/>
  <c r="HK11" i="39"/>
  <c r="HK17" i="39"/>
  <c r="GU39" i="39"/>
  <c r="GV39" i="39"/>
  <c r="GS39" i="39"/>
  <c r="GT39" i="39" s="1"/>
  <c r="HK19" i="39"/>
  <c r="HA19" i="39" s="1"/>
  <c r="HK66" i="39"/>
  <c r="HE66" i="39" s="1"/>
  <c r="HF66" i="39" s="1"/>
  <c r="HG66" i="39" s="1"/>
  <c r="HK62" i="39"/>
  <c r="HE62" i="39" s="1"/>
  <c r="HF62" i="39" s="1"/>
  <c r="HG62" i="39" s="1"/>
  <c r="HK77" i="39"/>
  <c r="HE77" i="39" s="1"/>
  <c r="HF77" i="39" s="1"/>
  <c r="HG77" i="39" s="1"/>
  <c r="HK35" i="39"/>
  <c r="HA35" i="39" s="1"/>
  <c r="HK90" i="39"/>
  <c r="GY90" i="39" s="1"/>
  <c r="GZ90" i="39" s="1"/>
  <c r="HK68" i="39"/>
  <c r="HA68" i="39" s="1"/>
  <c r="HK82" i="39"/>
  <c r="GY82" i="39" s="1"/>
  <c r="GZ82" i="39" s="1"/>
  <c r="HK33" i="39"/>
  <c r="GY33" i="39" s="1"/>
  <c r="GZ33" i="39" s="1"/>
  <c r="HK95" i="39"/>
  <c r="HA95" i="39" s="1"/>
  <c r="HK85" i="39"/>
  <c r="GY85" i="39" s="1"/>
  <c r="GZ85" i="39" s="1"/>
  <c r="HK25" i="39"/>
  <c r="GS109" i="39"/>
  <c r="GT109" i="39" s="1"/>
  <c r="HK67" i="39"/>
  <c r="HA67" i="39" s="1"/>
  <c r="HK22" i="39"/>
  <c r="HA22" i="39" s="1"/>
  <c r="HK58" i="39"/>
  <c r="HA58" i="39" s="1"/>
  <c r="HK13" i="39"/>
  <c r="HK112" i="39"/>
  <c r="HA112" i="39" s="1"/>
  <c r="HK104" i="39"/>
  <c r="HA104" i="39" s="1"/>
  <c r="HK41" i="39"/>
  <c r="HA41" i="39" s="1"/>
  <c r="HK109" i="39"/>
  <c r="HK10" i="39"/>
  <c r="HA10" i="39" s="1"/>
  <c r="HK87" i="39"/>
  <c r="HK98" i="39"/>
  <c r="HA98" i="39" s="1"/>
  <c r="HK93" i="39"/>
  <c r="HA93" i="39" s="1"/>
  <c r="HK69" i="39"/>
  <c r="HA69" i="39" s="1"/>
  <c r="HK74" i="39"/>
  <c r="HA74" i="39" s="1"/>
  <c r="HK96" i="39"/>
  <c r="HK44" i="39"/>
  <c r="HK105" i="39"/>
  <c r="HA105" i="39" s="1"/>
  <c r="HK64" i="39"/>
  <c r="HE64" i="39" s="1"/>
  <c r="HF64" i="39" s="1"/>
  <c r="HG64" i="39" s="1"/>
  <c r="HK86" i="39"/>
  <c r="HA86" i="39" s="1"/>
  <c r="HK47" i="39"/>
  <c r="HK114" i="39"/>
  <c r="HA114" i="39" s="1"/>
  <c r="HK88" i="39"/>
  <c r="HA88" i="39" s="1"/>
  <c r="HK73" i="39"/>
  <c r="HA73" i="39" s="1"/>
  <c r="HK115" i="39"/>
  <c r="HK24" i="39"/>
  <c r="HA24" i="39" s="1"/>
  <c r="HK61" i="39"/>
  <c r="HA61" i="39" s="1"/>
  <c r="HK38" i="39"/>
  <c r="HE38" i="39" s="1"/>
  <c r="HF38" i="39" s="1"/>
  <c r="HG38" i="39" s="1"/>
  <c r="HK75" i="39"/>
  <c r="HA75" i="39" s="1"/>
  <c r="HK113" i="39"/>
  <c r="HA113" i="39" s="1"/>
  <c r="AS137" i="7"/>
  <c r="AS156" i="7" s="1"/>
  <c r="G36" i="7" s="1"/>
  <c r="G34" i="7" s="1"/>
  <c r="HK32" i="39"/>
  <c r="HA32" i="39" s="1"/>
  <c r="HK42" i="39"/>
  <c r="HA42" i="39" s="1"/>
  <c r="HK71" i="39"/>
  <c r="HA71" i="39" s="1"/>
  <c r="HK63" i="39"/>
  <c r="HK103" i="39"/>
  <c r="HA103" i="39" s="1"/>
  <c r="HK18" i="39"/>
  <c r="HK65" i="39"/>
  <c r="GY65" i="39" s="1"/>
  <c r="GZ65" i="39" s="1"/>
  <c r="HK106" i="39"/>
  <c r="GY106" i="39" s="1"/>
  <c r="GZ106" i="39" s="1"/>
  <c r="HK16" i="39"/>
  <c r="HK97" i="39"/>
  <c r="HA97" i="39" s="1"/>
  <c r="HK48" i="39"/>
  <c r="HA48" i="39" s="1"/>
  <c r="HK45" i="39"/>
  <c r="HK37" i="39"/>
  <c r="HA37" i="39" s="1"/>
  <c r="HK26" i="39"/>
  <c r="HK50" i="39"/>
  <c r="HE50" i="39" s="1"/>
  <c r="HF50" i="39" s="1"/>
  <c r="HG50" i="39" s="1"/>
  <c r="HK111" i="39"/>
  <c r="GY111" i="39" s="1"/>
  <c r="GZ111" i="39" s="1"/>
  <c r="HK57" i="39"/>
  <c r="HA57" i="39" s="1"/>
  <c r="HK72" i="39"/>
  <c r="HE72" i="39" s="1"/>
  <c r="HF72" i="39" s="1"/>
  <c r="HG72" i="39" s="1"/>
  <c r="HK36" i="39"/>
  <c r="HE36" i="39" s="1"/>
  <c r="HF36" i="39" s="1"/>
  <c r="HG36" i="39" s="1"/>
  <c r="HK108" i="39"/>
  <c r="HE108" i="39" s="1"/>
  <c r="HF108" i="39" s="1"/>
  <c r="HG108" i="39" s="1"/>
  <c r="HK78" i="39"/>
  <c r="HE78" i="39" s="1"/>
  <c r="HF78" i="39" s="1"/>
  <c r="HG78" i="39" s="1"/>
  <c r="HK60" i="39"/>
  <c r="HE60" i="39" s="1"/>
  <c r="HF60" i="39" s="1"/>
  <c r="HG60" i="39" s="1"/>
  <c r="GS17" i="39"/>
  <c r="GT17" i="39" s="1"/>
  <c r="GU17" i="39" s="1"/>
  <c r="HK70" i="39"/>
  <c r="HA70" i="39" s="1"/>
  <c r="HK27" i="39"/>
  <c r="HK30" i="39"/>
  <c r="HK43" i="39"/>
  <c r="GV74" i="39"/>
  <c r="GU74" i="39"/>
  <c r="GU105" i="39"/>
  <c r="GV105" i="39"/>
  <c r="GV99" i="39"/>
  <c r="GU99" i="39"/>
  <c r="GV13" i="39"/>
  <c r="GU30" i="39"/>
  <c r="GV30" i="39"/>
  <c r="HK54" i="39"/>
  <c r="HK52" i="39"/>
  <c r="HE52" i="39" s="1"/>
  <c r="HF52" i="39" s="1"/>
  <c r="HG52" i="39" s="1"/>
  <c r="HK94" i="39"/>
  <c r="GV103" i="39"/>
  <c r="GU103" i="39"/>
  <c r="GV89" i="39"/>
  <c r="HK92" i="39"/>
  <c r="HE92" i="39" s="1"/>
  <c r="HF92" i="39" s="1"/>
  <c r="HG92" i="39" s="1"/>
  <c r="HK84" i="39"/>
  <c r="GV34" i="39"/>
  <c r="GU34" i="39"/>
  <c r="GU10" i="39"/>
  <c r="GV10" i="39"/>
  <c r="GU58" i="39"/>
  <c r="GV58" i="39"/>
  <c r="GV42" i="39"/>
  <c r="GU42" i="39"/>
  <c r="HK76" i="39"/>
  <c r="HE76" i="39" s="1"/>
  <c r="HF76" i="39" s="1"/>
  <c r="HG76" i="39" s="1"/>
  <c r="GU21" i="39"/>
  <c r="GV21" i="39"/>
  <c r="GU69" i="39"/>
  <c r="GV69" i="39"/>
  <c r="GU100" i="39"/>
  <c r="GV100" i="39"/>
  <c r="GU87" i="39"/>
  <c r="GV87" i="39"/>
  <c r="GU35" i="39"/>
  <c r="GV35" i="39"/>
  <c r="GS11" i="39"/>
  <c r="GT11" i="39" s="1"/>
  <c r="GU11" i="39" s="1"/>
  <c r="HK15" i="39"/>
  <c r="GY15" i="39" s="1"/>
  <c r="GZ15" i="39" s="1"/>
  <c r="GU96" i="39"/>
  <c r="GV96" i="39"/>
  <c r="HK102" i="39"/>
  <c r="HK31" i="39"/>
  <c r="GU57" i="39"/>
  <c r="GV57" i="39"/>
  <c r="GU51" i="39"/>
  <c r="GV51" i="39"/>
  <c r="HK20" i="39"/>
  <c r="HE20" i="39" s="1"/>
  <c r="HK34" i="39"/>
  <c r="GU80" i="39"/>
  <c r="GV80" i="39"/>
  <c r="HK23" i="39"/>
  <c r="GS53" i="39"/>
  <c r="GT53" i="39" s="1"/>
  <c r="GU53" i="39" s="1"/>
  <c r="GU40" i="39"/>
  <c r="GV40" i="39"/>
  <c r="GV68" i="39"/>
  <c r="GU68" i="39"/>
  <c r="HK55" i="39"/>
  <c r="GU73" i="39"/>
  <c r="GV73" i="39"/>
  <c r="HK116" i="39"/>
  <c r="GU55" i="39"/>
  <c r="GV55" i="39"/>
  <c r="HK12" i="39"/>
  <c r="HK40" i="39"/>
  <c r="GV104" i="39"/>
  <c r="GU104" i="39"/>
  <c r="GU12" i="39"/>
  <c r="GV12" i="39"/>
  <c r="GV112" i="39"/>
  <c r="GU112" i="39"/>
  <c r="GV83" i="39"/>
  <c r="GU83" i="39"/>
  <c r="HK89" i="39"/>
  <c r="HK101" i="39"/>
  <c r="GU102" i="39"/>
  <c r="GV102" i="39"/>
  <c r="GU45" i="39"/>
  <c r="GV45" i="39"/>
  <c r="GU26" i="39"/>
  <c r="GV26" i="39"/>
  <c r="HK49" i="39"/>
  <c r="HK56" i="39"/>
  <c r="GV19" i="39"/>
  <c r="GU19" i="39"/>
  <c r="GV47" i="39"/>
  <c r="GU47" i="39"/>
  <c r="HK21" i="39"/>
  <c r="GV23" i="39"/>
  <c r="GU23" i="39"/>
  <c r="GU28" i="39"/>
  <c r="GV28" i="39"/>
  <c r="GV67" i="39"/>
  <c r="GU67" i="39"/>
  <c r="GU63" i="39"/>
  <c r="GV63" i="39"/>
  <c r="GU116" i="39"/>
  <c r="GV116" i="39"/>
  <c r="GU70" i="39"/>
  <c r="GV70" i="39"/>
  <c r="GV48" i="39"/>
  <c r="GU48" i="39"/>
  <c r="GU109" i="39"/>
  <c r="GV109" i="39"/>
  <c r="GU46" i="39"/>
  <c r="GV46" i="39"/>
  <c r="GS74" i="39"/>
  <c r="GT74" i="39" s="1"/>
  <c r="GS105" i="39"/>
  <c r="GT105" i="39" s="1"/>
  <c r="HK29" i="39"/>
  <c r="GS99" i="39"/>
  <c r="GT99" i="39" s="1"/>
  <c r="GS13" i="39"/>
  <c r="GT13" i="39" s="1"/>
  <c r="GU13" i="39" s="1"/>
  <c r="GS30" i="39"/>
  <c r="GT30" i="39" s="1"/>
  <c r="GS103" i="39"/>
  <c r="GT103" i="39" s="1"/>
  <c r="GS89" i="39"/>
  <c r="GT89" i="39" s="1"/>
  <c r="GU89" i="39" s="1"/>
  <c r="GU54" i="39"/>
  <c r="GV54" i="39"/>
  <c r="HK9" i="39"/>
  <c r="AO156" i="7"/>
  <c r="H37" i="7" s="1"/>
  <c r="H34" i="7" s="1"/>
  <c r="S46" i="7" s="1"/>
  <c r="L342" i="7" s="1"/>
  <c r="AR137" i="7"/>
  <c r="AR156" i="7" s="1"/>
  <c r="L36" i="7" s="1"/>
  <c r="L34" i="7" s="1"/>
  <c r="AP156" i="7"/>
  <c r="I37" i="7" s="1"/>
  <c r="I34" i="7" s="1"/>
  <c r="I41" i="7" s="1"/>
  <c r="GK5" i="39"/>
  <c r="GJ6" i="39"/>
  <c r="HK6" i="39" s="1"/>
  <c r="HK7" i="39" s="1"/>
  <c r="GT9" i="39"/>
  <c r="GU9" i="39" s="1"/>
  <c r="GK8" i="39"/>
  <c r="GK7" i="39"/>
  <c r="IL10" i="39"/>
  <c r="GX6" i="39" s="1"/>
  <c r="GY117" i="39" s="1"/>
  <c r="GZ117" i="39" s="1"/>
  <c r="IJ10" i="39"/>
  <c r="GX4" i="39" s="1"/>
  <c r="T261" i="7"/>
  <c r="T269" i="7" s="1"/>
  <c r="F37" i="7"/>
  <c r="P37" i="7" s="1"/>
  <c r="GV9" i="39"/>
  <c r="GJ4" i="39"/>
  <c r="HK4" i="39" s="1"/>
  <c r="HK5" i="39" l="1"/>
  <c r="R46" i="7"/>
  <c r="J342" i="7" s="1"/>
  <c r="HE81" i="39"/>
  <c r="HF81" i="39" s="1"/>
  <c r="HG81" i="39" s="1"/>
  <c r="HE107" i="39"/>
  <c r="HF107" i="39" s="1"/>
  <c r="HG107" i="39" s="1"/>
  <c r="HA110" i="39"/>
  <c r="HC110" i="39" s="1"/>
  <c r="GY59" i="39"/>
  <c r="GZ59" i="39" s="1"/>
  <c r="GY14" i="39"/>
  <c r="GZ14" i="39" s="1"/>
  <c r="GY110" i="39"/>
  <c r="GZ110" i="39" s="1"/>
  <c r="G41" i="7"/>
  <c r="AH308" i="7" s="1"/>
  <c r="T34" i="7"/>
  <c r="U34" i="7" s="1"/>
  <c r="GY81" i="39"/>
  <c r="GZ81" i="39" s="1"/>
  <c r="HE28" i="39"/>
  <c r="FC28" i="39" s="1"/>
  <c r="FD28" i="39" s="1"/>
  <c r="FE28" i="39" s="1"/>
  <c r="FF28" i="39" s="1"/>
  <c r="FG28" i="39" s="1"/>
  <c r="FH28" i="39" s="1"/>
  <c r="FI28" i="39" s="1"/>
  <c r="FJ28" i="39" s="1"/>
  <c r="FK28" i="39" s="1"/>
  <c r="FL28" i="39" s="1"/>
  <c r="FM28" i="39" s="1"/>
  <c r="FN28" i="39" s="1"/>
  <c r="GY91" i="39"/>
  <c r="GZ91" i="39" s="1"/>
  <c r="GY80" i="39"/>
  <c r="GZ80" i="39" s="1"/>
  <c r="GY99" i="39"/>
  <c r="GZ99" i="39" s="1"/>
  <c r="HE91" i="39"/>
  <c r="HF91" i="39" s="1"/>
  <c r="HG91" i="39" s="1"/>
  <c r="GY62" i="39"/>
  <c r="GZ62" i="39" s="1"/>
  <c r="GY100" i="39"/>
  <c r="GZ100" i="39" s="1"/>
  <c r="HA62" i="39"/>
  <c r="HB62" i="39" s="1"/>
  <c r="HE87" i="39"/>
  <c r="FC87" i="39" s="1"/>
  <c r="FD87" i="39" s="1"/>
  <c r="FE87" i="39" s="1"/>
  <c r="FF87" i="39" s="1"/>
  <c r="FG87" i="39" s="1"/>
  <c r="FH87" i="39" s="1"/>
  <c r="FI87" i="39" s="1"/>
  <c r="FJ87" i="39" s="1"/>
  <c r="FK87" i="39" s="1"/>
  <c r="FL87" i="39" s="1"/>
  <c r="FM87" i="39" s="1"/>
  <c r="FN87" i="39" s="1"/>
  <c r="HE33" i="39"/>
  <c r="HF33" i="39" s="1"/>
  <c r="HG33" i="39" s="1"/>
  <c r="HA33" i="39"/>
  <c r="HC33" i="39" s="1"/>
  <c r="HA66" i="39"/>
  <c r="HB66" i="39" s="1"/>
  <c r="GY66" i="39"/>
  <c r="GZ66" i="39" s="1"/>
  <c r="GY64" i="39"/>
  <c r="GZ64" i="39" s="1"/>
  <c r="HA64" i="39"/>
  <c r="HC64" i="39" s="1"/>
  <c r="GY22" i="39"/>
  <c r="GZ22" i="39" s="1"/>
  <c r="HE63" i="39"/>
  <c r="FC63" i="39" s="1"/>
  <c r="FD63" i="39" s="1"/>
  <c r="FE63" i="39" s="1"/>
  <c r="FF63" i="39" s="1"/>
  <c r="FG63" i="39" s="1"/>
  <c r="FH63" i="39" s="1"/>
  <c r="FI63" i="39" s="1"/>
  <c r="FJ63" i="39" s="1"/>
  <c r="FK63" i="39" s="1"/>
  <c r="FL63" i="39" s="1"/>
  <c r="FM63" i="39" s="1"/>
  <c r="FN63" i="39" s="1"/>
  <c r="HE22" i="39"/>
  <c r="FC22" i="39" s="1"/>
  <c r="FD22" i="39" s="1"/>
  <c r="FE22" i="39" s="1"/>
  <c r="FF22" i="39" s="1"/>
  <c r="FG22" i="39" s="1"/>
  <c r="FH22" i="39" s="1"/>
  <c r="FI22" i="39" s="1"/>
  <c r="FJ22" i="39" s="1"/>
  <c r="FK22" i="39" s="1"/>
  <c r="FL22" i="39" s="1"/>
  <c r="FM22" i="39" s="1"/>
  <c r="FN22" i="39" s="1"/>
  <c r="GY138" i="39"/>
  <c r="GZ138" i="39" s="1"/>
  <c r="GY39" i="39"/>
  <c r="GZ39" i="39" s="1"/>
  <c r="GY68" i="39"/>
  <c r="GZ68" i="39" s="1"/>
  <c r="HE67" i="39"/>
  <c r="FQ67" i="39" s="1"/>
  <c r="FR67" i="39" s="1"/>
  <c r="FS67" i="39" s="1"/>
  <c r="FT67" i="39" s="1"/>
  <c r="FU67" i="39" s="1"/>
  <c r="FV67" i="39" s="1"/>
  <c r="FW67" i="39" s="1"/>
  <c r="FX67" i="39" s="1"/>
  <c r="FY67" i="39" s="1"/>
  <c r="FZ67" i="39" s="1"/>
  <c r="GA67" i="39" s="1"/>
  <c r="GB67" i="39" s="1"/>
  <c r="HA90" i="39"/>
  <c r="HB90" i="39" s="1"/>
  <c r="HE24" i="39"/>
  <c r="HF24" i="39" s="1"/>
  <c r="HG24" i="39" s="1"/>
  <c r="HE10" i="39"/>
  <c r="FC10" i="39" s="1"/>
  <c r="FD10" i="39" s="1"/>
  <c r="FE10" i="39" s="1"/>
  <c r="FF10" i="39" s="1"/>
  <c r="FG10" i="39" s="1"/>
  <c r="FH10" i="39" s="1"/>
  <c r="FI10" i="39" s="1"/>
  <c r="FJ10" i="39" s="1"/>
  <c r="FK10" i="39" s="1"/>
  <c r="FL10" i="39" s="1"/>
  <c r="FM10" i="39" s="1"/>
  <c r="FN10" i="39" s="1"/>
  <c r="GY24" i="39"/>
  <c r="GZ24" i="39" s="1"/>
  <c r="GY105" i="39"/>
  <c r="GZ105" i="39" s="1"/>
  <c r="HE90" i="39"/>
  <c r="HF90" i="39" s="1"/>
  <c r="HG90" i="39" s="1"/>
  <c r="GY75" i="39"/>
  <c r="GZ75" i="39" s="1"/>
  <c r="HA77" i="39"/>
  <c r="HB77" i="39" s="1"/>
  <c r="GY77" i="39"/>
  <c r="GZ77" i="39" s="1"/>
  <c r="HA82" i="39"/>
  <c r="HB82" i="39" s="1"/>
  <c r="HE82" i="39"/>
  <c r="HF82" i="39" s="1"/>
  <c r="HG82" i="39" s="1"/>
  <c r="HE113" i="39"/>
  <c r="HF113" i="39" s="1"/>
  <c r="HG113" i="39" s="1"/>
  <c r="HE112" i="39"/>
  <c r="GL112" i="39" s="1"/>
  <c r="HE114" i="39"/>
  <c r="HF114" i="39" s="1"/>
  <c r="HG114" i="39" s="1"/>
  <c r="HE65" i="39"/>
  <c r="HF65" i="39" s="1"/>
  <c r="HG65" i="39" s="1"/>
  <c r="GY113" i="39"/>
  <c r="GZ113" i="39" s="1"/>
  <c r="HA65" i="39"/>
  <c r="HC65" i="39" s="1"/>
  <c r="GY114" i="39"/>
  <c r="GZ114" i="39" s="1"/>
  <c r="GY95" i="39"/>
  <c r="GZ95" i="39" s="1"/>
  <c r="HE95" i="39"/>
  <c r="FQ95" i="39" s="1"/>
  <c r="FR95" i="39" s="1"/>
  <c r="FS95" i="39" s="1"/>
  <c r="FT95" i="39" s="1"/>
  <c r="FU95" i="39" s="1"/>
  <c r="FV95" i="39" s="1"/>
  <c r="FW95" i="39" s="1"/>
  <c r="FX95" i="39" s="1"/>
  <c r="FY95" i="39" s="1"/>
  <c r="FZ95" i="39" s="1"/>
  <c r="GA95" i="39" s="1"/>
  <c r="GB95" i="39" s="1"/>
  <c r="GY50" i="39"/>
  <c r="GZ50" i="39" s="1"/>
  <c r="HA106" i="39"/>
  <c r="HC106" i="39" s="1"/>
  <c r="HA85" i="39"/>
  <c r="HC85" i="39" s="1"/>
  <c r="HE85" i="39"/>
  <c r="HF85" i="39" s="1"/>
  <c r="HG85" i="39" s="1"/>
  <c r="GY74" i="39"/>
  <c r="GZ74" i="39" s="1"/>
  <c r="HE106" i="39"/>
  <c r="HF106" i="39" s="1"/>
  <c r="HG106" i="39" s="1"/>
  <c r="HE111" i="39"/>
  <c r="HF111" i="39" s="1"/>
  <c r="HG111" i="39" s="1"/>
  <c r="HE104" i="39"/>
  <c r="FQ104" i="39" s="1"/>
  <c r="FR104" i="39" s="1"/>
  <c r="FS104" i="39" s="1"/>
  <c r="FT104" i="39" s="1"/>
  <c r="FU104" i="39" s="1"/>
  <c r="FV104" i="39" s="1"/>
  <c r="FW104" i="39" s="1"/>
  <c r="FX104" i="39" s="1"/>
  <c r="FY104" i="39" s="1"/>
  <c r="FZ104" i="39" s="1"/>
  <c r="GA104" i="39" s="1"/>
  <c r="GB104" i="39" s="1"/>
  <c r="HA111" i="39"/>
  <c r="HB111" i="39" s="1"/>
  <c r="HE88" i="39"/>
  <c r="GM88" i="39" s="1"/>
  <c r="HE70" i="39"/>
  <c r="FC70" i="39" s="1"/>
  <c r="FD70" i="39" s="1"/>
  <c r="FE70" i="39" s="1"/>
  <c r="FF70" i="39" s="1"/>
  <c r="FG70" i="39" s="1"/>
  <c r="FH70" i="39" s="1"/>
  <c r="FI70" i="39" s="1"/>
  <c r="FJ70" i="39" s="1"/>
  <c r="FK70" i="39" s="1"/>
  <c r="FL70" i="39" s="1"/>
  <c r="FM70" i="39" s="1"/>
  <c r="FN70" i="39" s="1"/>
  <c r="GY88" i="39"/>
  <c r="GZ88" i="39" s="1"/>
  <c r="HE100" i="39"/>
  <c r="FQ100" i="39" s="1"/>
  <c r="FR100" i="39" s="1"/>
  <c r="FS100" i="39" s="1"/>
  <c r="FT100" i="39" s="1"/>
  <c r="FU100" i="39" s="1"/>
  <c r="FV100" i="39" s="1"/>
  <c r="FW100" i="39" s="1"/>
  <c r="FX100" i="39" s="1"/>
  <c r="FY100" i="39" s="1"/>
  <c r="FZ100" i="39" s="1"/>
  <c r="GA100" i="39" s="1"/>
  <c r="GB100" i="39" s="1"/>
  <c r="GY10" i="39"/>
  <c r="GZ10" i="39" s="1"/>
  <c r="HE32" i="39"/>
  <c r="HF32" i="39" s="1"/>
  <c r="HG32" i="39" s="1"/>
  <c r="GY25" i="39"/>
  <c r="GZ25" i="39" s="1"/>
  <c r="HA50" i="39"/>
  <c r="HC50" i="39" s="1"/>
  <c r="GY32" i="39"/>
  <c r="GZ32" i="39" s="1"/>
  <c r="HE25" i="39"/>
  <c r="HF25" i="39" s="1"/>
  <c r="HG25" i="39" s="1"/>
  <c r="GY16" i="39"/>
  <c r="GZ16" i="39" s="1"/>
  <c r="GY96" i="39"/>
  <c r="GZ96" i="39" s="1"/>
  <c r="GY73" i="39"/>
  <c r="GZ73" i="39" s="1"/>
  <c r="GY41" i="39"/>
  <c r="GZ41" i="39" s="1"/>
  <c r="HE57" i="39"/>
  <c r="FQ57" i="39" s="1"/>
  <c r="FR57" i="39" s="1"/>
  <c r="FS57" i="39" s="1"/>
  <c r="FT57" i="39" s="1"/>
  <c r="FU57" i="39" s="1"/>
  <c r="FV57" i="39" s="1"/>
  <c r="FW57" i="39" s="1"/>
  <c r="FX57" i="39" s="1"/>
  <c r="FY57" i="39" s="1"/>
  <c r="FZ57" i="39" s="1"/>
  <c r="GA57" i="39" s="1"/>
  <c r="GB57" i="39" s="1"/>
  <c r="HE41" i="39"/>
  <c r="GL41" i="39" s="1"/>
  <c r="HE75" i="39"/>
  <c r="HF75" i="39" s="1"/>
  <c r="HG75" i="39" s="1"/>
  <c r="GY47" i="39"/>
  <c r="GZ47" i="39" s="1"/>
  <c r="HE93" i="39"/>
  <c r="HF93" i="39" s="1"/>
  <c r="HG93" i="39" s="1"/>
  <c r="GY93" i="39"/>
  <c r="GZ93" i="39" s="1"/>
  <c r="GY18" i="39"/>
  <c r="GZ18" i="39" s="1"/>
  <c r="GY87" i="39"/>
  <c r="GZ87" i="39" s="1"/>
  <c r="HE58" i="39"/>
  <c r="FQ58" i="39" s="1"/>
  <c r="FR58" i="39" s="1"/>
  <c r="FS58" i="39" s="1"/>
  <c r="FT58" i="39" s="1"/>
  <c r="FU58" i="39" s="1"/>
  <c r="FV58" i="39" s="1"/>
  <c r="FW58" i="39" s="1"/>
  <c r="FX58" i="39" s="1"/>
  <c r="FY58" i="39" s="1"/>
  <c r="FZ58" i="39" s="1"/>
  <c r="GA58" i="39" s="1"/>
  <c r="GB58" i="39" s="1"/>
  <c r="HE18" i="39"/>
  <c r="HF18" i="39" s="1"/>
  <c r="HG18" i="39" s="1"/>
  <c r="GY13" i="39"/>
  <c r="GZ13" i="39" s="1"/>
  <c r="GY109" i="39"/>
  <c r="GZ109" i="39" s="1"/>
  <c r="HE96" i="39"/>
  <c r="HF96" i="39" s="1"/>
  <c r="HG96" i="39" s="1"/>
  <c r="GY30" i="39"/>
  <c r="GZ30" i="39" s="1"/>
  <c r="GY78" i="39"/>
  <c r="GZ78" i="39" s="1"/>
  <c r="HE86" i="39"/>
  <c r="HF86" i="39" s="1"/>
  <c r="HG86" i="39" s="1"/>
  <c r="HA78" i="39"/>
  <c r="HB78" i="39" s="1"/>
  <c r="GY37" i="39"/>
  <c r="GZ37" i="39" s="1"/>
  <c r="HE37" i="39"/>
  <c r="HF37" i="39" s="1"/>
  <c r="HG37" i="39" s="1"/>
  <c r="HE98" i="39"/>
  <c r="HF98" i="39" s="1"/>
  <c r="HG98" i="39" s="1"/>
  <c r="GY86" i="39"/>
  <c r="GZ86" i="39" s="1"/>
  <c r="HA38" i="39"/>
  <c r="HB38" i="39" s="1"/>
  <c r="GY98" i="39"/>
  <c r="GZ98" i="39" s="1"/>
  <c r="GY38" i="39"/>
  <c r="GZ38" i="39" s="1"/>
  <c r="GY61" i="39"/>
  <c r="GZ61" i="39" s="1"/>
  <c r="GY48" i="39"/>
  <c r="GZ48" i="39" s="1"/>
  <c r="GY44" i="39"/>
  <c r="GZ44" i="39" s="1"/>
  <c r="HE61" i="39"/>
  <c r="HF61" i="39" s="1"/>
  <c r="HG61" i="39" s="1"/>
  <c r="GY108" i="39"/>
  <c r="GZ108" i="39" s="1"/>
  <c r="GY57" i="39"/>
  <c r="GZ57" i="39" s="1"/>
  <c r="GY115" i="39"/>
  <c r="GZ115" i="39" s="1"/>
  <c r="GY97" i="39"/>
  <c r="GZ97" i="39" s="1"/>
  <c r="HE97" i="39"/>
  <c r="HF97" i="39" s="1"/>
  <c r="HG97" i="39" s="1"/>
  <c r="GY43" i="39"/>
  <c r="GZ43" i="39" s="1"/>
  <c r="GY71" i="39"/>
  <c r="GZ71" i="39" s="1"/>
  <c r="GY72" i="39"/>
  <c r="GZ72" i="39" s="1"/>
  <c r="HE71" i="39"/>
  <c r="GM71" i="39" s="1"/>
  <c r="HE105" i="39"/>
  <c r="FC105" i="39" s="1"/>
  <c r="FD105" i="39" s="1"/>
  <c r="FE105" i="39" s="1"/>
  <c r="FF105" i="39" s="1"/>
  <c r="FG105" i="39" s="1"/>
  <c r="FH105" i="39" s="1"/>
  <c r="FI105" i="39" s="1"/>
  <c r="FJ105" i="39" s="1"/>
  <c r="FK105" i="39" s="1"/>
  <c r="FL105" i="39" s="1"/>
  <c r="FM105" i="39" s="1"/>
  <c r="FN105" i="39" s="1"/>
  <c r="HA36" i="39"/>
  <c r="HB36" i="39" s="1"/>
  <c r="HE30" i="39"/>
  <c r="GL30" i="39" s="1"/>
  <c r="HA72" i="39"/>
  <c r="HC72" i="39" s="1"/>
  <c r="GY36" i="39"/>
  <c r="GZ36" i="39" s="1"/>
  <c r="HA30" i="39"/>
  <c r="HB30" i="39" s="1"/>
  <c r="HE48" i="39"/>
  <c r="FQ48" i="39" s="1"/>
  <c r="FR48" i="39" s="1"/>
  <c r="FS48" i="39" s="1"/>
  <c r="FT48" i="39" s="1"/>
  <c r="FU48" i="39" s="1"/>
  <c r="FV48" i="39" s="1"/>
  <c r="FW48" i="39" s="1"/>
  <c r="FX48" i="39" s="1"/>
  <c r="FY48" i="39" s="1"/>
  <c r="FZ48" i="39" s="1"/>
  <c r="GA48" i="39" s="1"/>
  <c r="GB48" i="39" s="1"/>
  <c r="GY60" i="39"/>
  <c r="GZ60" i="39" s="1"/>
  <c r="GY112" i="39"/>
  <c r="GZ112" i="39" s="1"/>
  <c r="GY27" i="39"/>
  <c r="GZ27" i="39" s="1"/>
  <c r="HE27" i="39"/>
  <c r="HF27" i="39" s="1"/>
  <c r="HG27" i="39" s="1"/>
  <c r="FQ20" i="39"/>
  <c r="FR20" i="39" s="1"/>
  <c r="FS20" i="39" s="1"/>
  <c r="FT20" i="39" s="1"/>
  <c r="FU20" i="39" s="1"/>
  <c r="FV20" i="39" s="1"/>
  <c r="FW20" i="39" s="1"/>
  <c r="FX20" i="39" s="1"/>
  <c r="FY20" i="39" s="1"/>
  <c r="FZ20" i="39" s="1"/>
  <c r="GA20" i="39" s="1"/>
  <c r="GB20" i="39" s="1"/>
  <c r="FC20" i="39"/>
  <c r="FD20" i="39" s="1"/>
  <c r="FE20" i="39" s="1"/>
  <c r="FF20" i="39" s="1"/>
  <c r="FG20" i="39" s="1"/>
  <c r="FH20" i="39" s="1"/>
  <c r="FI20" i="39" s="1"/>
  <c r="FJ20" i="39" s="1"/>
  <c r="FK20" i="39" s="1"/>
  <c r="FL20" i="39" s="1"/>
  <c r="FM20" i="39" s="1"/>
  <c r="FN20" i="39" s="1"/>
  <c r="GM20" i="39"/>
  <c r="GL20" i="39"/>
  <c r="HF20" i="39"/>
  <c r="HG20" i="39" s="1"/>
  <c r="HB71" i="39"/>
  <c r="HC71" i="39"/>
  <c r="HA101" i="39"/>
  <c r="GY101" i="39"/>
  <c r="GZ101" i="39" s="1"/>
  <c r="HA40" i="39"/>
  <c r="HE40" i="39"/>
  <c r="HF40" i="39" s="1"/>
  <c r="HG40" i="39" s="1"/>
  <c r="GY40" i="39"/>
  <c r="GZ40" i="39" s="1"/>
  <c r="HA55" i="39"/>
  <c r="GY55" i="39"/>
  <c r="GZ55" i="39" s="1"/>
  <c r="HE102" i="39"/>
  <c r="HF102" i="39" s="1"/>
  <c r="HG102" i="39" s="1"/>
  <c r="HA102" i="39"/>
  <c r="GY102" i="39"/>
  <c r="GZ102" i="39" s="1"/>
  <c r="GY63" i="39"/>
  <c r="GZ63" i="39" s="1"/>
  <c r="FQ52" i="39"/>
  <c r="FR52" i="39" s="1"/>
  <c r="FS52" i="39" s="1"/>
  <c r="FT52" i="39" s="1"/>
  <c r="FU52" i="39" s="1"/>
  <c r="FV52" i="39" s="1"/>
  <c r="FW52" i="39" s="1"/>
  <c r="FX52" i="39" s="1"/>
  <c r="FY52" i="39" s="1"/>
  <c r="FZ52" i="39" s="1"/>
  <c r="GA52" i="39" s="1"/>
  <c r="GB52" i="39" s="1"/>
  <c r="FC52" i="39"/>
  <c r="FD52" i="39" s="1"/>
  <c r="FE52" i="39" s="1"/>
  <c r="FF52" i="39" s="1"/>
  <c r="FG52" i="39" s="1"/>
  <c r="FH52" i="39" s="1"/>
  <c r="FI52" i="39" s="1"/>
  <c r="FJ52" i="39" s="1"/>
  <c r="FK52" i="39" s="1"/>
  <c r="FL52" i="39" s="1"/>
  <c r="FM52" i="39" s="1"/>
  <c r="FN52" i="39" s="1"/>
  <c r="GL52" i="39"/>
  <c r="HI52" i="39" s="1" a="1"/>
  <c r="HI52" i="39" s="1"/>
  <c r="GM52" i="39"/>
  <c r="HJ52" i="39" s="1" a="1"/>
  <c r="HJ52" i="39" s="1"/>
  <c r="GY89" i="39"/>
  <c r="GZ89" i="39" s="1"/>
  <c r="HB112" i="39"/>
  <c r="HC112" i="39"/>
  <c r="HB95" i="39"/>
  <c r="HC95" i="39"/>
  <c r="FQ72" i="39"/>
  <c r="FR72" i="39" s="1"/>
  <c r="FS72" i="39" s="1"/>
  <c r="FT72" i="39" s="1"/>
  <c r="FU72" i="39" s="1"/>
  <c r="FV72" i="39" s="1"/>
  <c r="FW72" i="39" s="1"/>
  <c r="FX72" i="39" s="1"/>
  <c r="FY72" i="39" s="1"/>
  <c r="FZ72" i="39" s="1"/>
  <c r="GA72" i="39" s="1"/>
  <c r="GB72" i="39" s="1"/>
  <c r="FC72" i="39"/>
  <c r="FD72" i="39" s="1"/>
  <c r="FE72" i="39" s="1"/>
  <c r="FF72" i="39" s="1"/>
  <c r="FG72" i="39" s="1"/>
  <c r="FH72" i="39" s="1"/>
  <c r="FI72" i="39" s="1"/>
  <c r="FJ72" i="39" s="1"/>
  <c r="FK72" i="39" s="1"/>
  <c r="FL72" i="39" s="1"/>
  <c r="FM72" i="39" s="1"/>
  <c r="FN72" i="39" s="1"/>
  <c r="GM72" i="39"/>
  <c r="HJ72" i="39" s="1" a="1"/>
  <c r="HJ72" i="39" s="1"/>
  <c r="GL72" i="39"/>
  <c r="HI72" i="39" s="1" a="1"/>
  <c r="HI72" i="39" s="1"/>
  <c r="HB75" i="39"/>
  <c r="HC75" i="39"/>
  <c r="HC105" i="39"/>
  <c r="HB105" i="39"/>
  <c r="FQ78" i="39"/>
  <c r="FR78" i="39" s="1"/>
  <c r="FS78" i="39" s="1"/>
  <c r="FT78" i="39" s="1"/>
  <c r="FU78" i="39" s="1"/>
  <c r="FV78" i="39" s="1"/>
  <c r="FW78" i="39" s="1"/>
  <c r="FX78" i="39" s="1"/>
  <c r="FY78" i="39" s="1"/>
  <c r="FZ78" i="39" s="1"/>
  <c r="GA78" i="39" s="1"/>
  <c r="GB78" i="39" s="1"/>
  <c r="FC78" i="39"/>
  <c r="FD78" i="39" s="1"/>
  <c r="FE78" i="39" s="1"/>
  <c r="FF78" i="39" s="1"/>
  <c r="FG78" i="39" s="1"/>
  <c r="FH78" i="39" s="1"/>
  <c r="FI78" i="39" s="1"/>
  <c r="FJ78" i="39" s="1"/>
  <c r="FK78" i="39" s="1"/>
  <c r="FL78" i="39" s="1"/>
  <c r="FM78" i="39" s="1"/>
  <c r="FN78" i="39" s="1"/>
  <c r="GM78" i="39"/>
  <c r="HJ78" i="39" s="1" a="1"/>
  <c r="HJ78" i="39" s="1"/>
  <c r="GL78" i="39"/>
  <c r="HI78" i="39" s="1" a="1"/>
  <c r="HI78" i="39" s="1"/>
  <c r="GY26" i="39"/>
  <c r="GZ26" i="39" s="1"/>
  <c r="HB99" i="39"/>
  <c r="HC99" i="39"/>
  <c r="HC104" i="39"/>
  <c r="HB104" i="39"/>
  <c r="HB61" i="39"/>
  <c r="HC61" i="39"/>
  <c r="HC70" i="39"/>
  <c r="HB70" i="39"/>
  <c r="HB10" i="39"/>
  <c r="HC10" i="39"/>
  <c r="GY12" i="39"/>
  <c r="GZ12" i="39" s="1"/>
  <c r="FC92" i="39"/>
  <c r="FD92" i="39" s="1"/>
  <c r="FE92" i="39" s="1"/>
  <c r="FF92" i="39" s="1"/>
  <c r="FG92" i="39" s="1"/>
  <c r="FH92" i="39" s="1"/>
  <c r="FI92" i="39" s="1"/>
  <c r="FJ92" i="39" s="1"/>
  <c r="FK92" i="39" s="1"/>
  <c r="FL92" i="39" s="1"/>
  <c r="FM92" i="39" s="1"/>
  <c r="FN92" i="39" s="1"/>
  <c r="FQ92" i="39"/>
  <c r="FR92" i="39" s="1"/>
  <c r="FS92" i="39" s="1"/>
  <c r="FT92" i="39" s="1"/>
  <c r="FU92" i="39" s="1"/>
  <c r="FV92" i="39" s="1"/>
  <c r="FW92" i="39" s="1"/>
  <c r="FX92" i="39" s="1"/>
  <c r="FY92" i="39" s="1"/>
  <c r="FZ92" i="39" s="1"/>
  <c r="GA92" i="39" s="1"/>
  <c r="GB92" i="39" s="1"/>
  <c r="GL92" i="39"/>
  <c r="HI92" i="39" s="1" a="1"/>
  <c r="HI92" i="39" s="1"/>
  <c r="GM92" i="39"/>
  <c r="HJ92" i="39" s="1" a="1"/>
  <c r="HJ92" i="39" s="1"/>
  <c r="GY35" i="39"/>
  <c r="GZ35" i="39" s="1"/>
  <c r="HE94" i="39"/>
  <c r="GY94" i="39"/>
  <c r="GZ94" i="39" s="1"/>
  <c r="HA94" i="39"/>
  <c r="HE54" i="39"/>
  <c r="HF54" i="39" s="1"/>
  <c r="HG54" i="39" s="1"/>
  <c r="GY54" i="39"/>
  <c r="GZ54" i="39" s="1"/>
  <c r="HA54" i="39"/>
  <c r="HC93" i="39"/>
  <c r="HB93" i="39"/>
  <c r="GM110" i="39"/>
  <c r="HJ110" i="39" s="1" a="1"/>
  <c r="HJ110" i="39" s="1"/>
  <c r="FC110" i="39"/>
  <c r="FD110" i="39" s="1"/>
  <c r="FE110" i="39" s="1"/>
  <c r="FF110" i="39" s="1"/>
  <c r="FG110" i="39" s="1"/>
  <c r="FH110" i="39" s="1"/>
  <c r="FI110" i="39" s="1"/>
  <c r="FJ110" i="39" s="1"/>
  <c r="FK110" i="39" s="1"/>
  <c r="FL110" i="39" s="1"/>
  <c r="FM110" i="39" s="1"/>
  <c r="FN110" i="39" s="1"/>
  <c r="FQ110" i="39"/>
  <c r="FR110" i="39" s="1"/>
  <c r="FS110" i="39" s="1"/>
  <c r="FT110" i="39" s="1"/>
  <c r="FU110" i="39" s="1"/>
  <c r="FV110" i="39" s="1"/>
  <c r="FW110" i="39" s="1"/>
  <c r="FX110" i="39" s="1"/>
  <c r="FY110" i="39" s="1"/>
  <c r="FZ110" i="39" s="1"/>
  <c r="GA110" i="39" s="1"/>
  <c r="GB110" i="39" s="1"/>
  <c r="GL110" i="39"/>
  <c r="HI110" i="39" s="1" a="1"/>
  <c r="HI110" i="39" s="1"/>
  <c r="HB80" i="39"/>
  <c r="HC80" i="39"/>
  <c r="HC97" i="39"/>
  <c r="HB97" i="39"/>
  <c r="GY69" i="39"/>
  <c r="GZ69" i="39" s="1"/>
  <c r="HB28" i="39"/>
  <c r="HC28" i="39"/>
  <c r="HC100" i="39"/>
  <c r="HB100" i="39"/>
  <c r="GY46" i="39"/>
  <c r="GZ46" i="39" s="1"/>
  <c r="HE46" i="39"/>
  <c r="HB22" i="39"/>
  <c r="HC22" i="39"/>
  <c r="GY104" i="39"/>
  <c r="GZ104" i="39" s="1"/>
  <c r="HB24" i="39"/>
  <c r="HC24" i="39"/>
  <c r="HA34" i="39"/>
  <c r="HE34" i="39"/>
  <c r="GY34" i="39"/>
  <c r="GZ34" i="39" s="1"/>
  <c r="FC76" i="39"/>
  <c r="FD76" i="39" s="1"/>
  <c r="FE76" i="39" s="1"/>
  <c r="FF76" i="39" s="1"/>
  <c r="FG76" i="39" s="1"/>
  <c r="FH76" i="39" s="1"/>
  <c r="FI76" i="39" s="1"/>
  <c r="FJ76" i="39" s="1"/>
  <c r="FK76" i="39" s="1"/>
  <c r="FL76" i="39" s="1"/>
  <c r="FM76" i="39" s="1"/>
  <c r="FN76" i="39" s="1"/>
  <c r="FQ76" i="39"/>
  <c r="FR76" i="39" s="1"/>
  <c r="FS76" i="39" s="1"/>
  <c r="FT76" i="39" s="1"/>
  <c r="FU76" i="39" s="1"/>
  <c r="FV76" i="39" s="1"/>
  <c r="FW76" i="39" s="1"/>
  <c r="FX76" i="39" s="1"/>
  <c r="FY76" i="39" s="1"/>
  <c r="FZ76" i="39" s="1"/>
  <c r="GA76" i="39" s="1"/>
  <c r="GB76" i="39" s="1"/>
  <c r="GM76" i="39"/>
  <c r="HJ76" i="39" s="1" a="1"/>
  <c r="HJ76" i="39" s="1"/>
  <c r="GL76" i="39"/>
  <c r="HI76" i="39" s="1" a="1"/>
  <c r="HI76" i="39" s="1"/>
  <c r="HE35" i="39"/>
  <c r="HF35" i="39" s="1"/>
  <c r="HG35" i="39" s="1"/>
  <c r="HA52" i="39"/>
  <c r="GY52" i="39"/>
  <c r="GZ52" i="39" s="1"/>
  <c r="FQ77" i="39"/>
  <c r="FR77" i="39" s="1"/>
  <c r="FS77" i="39" s="1"/>
  <c r="FT77" i="39" s="1"/>
  <c r="FU77" i="39" s="1"/>
  <c r="FV77" i="39" s="1"/>
  <c r="FW77" i="39" s="1"/>
  <c r="FX77" i="39" s="1"/>
  <c r="FY77" i="39" s="1"/>
  <c r="FZ77" i="39" s="1"/>
  <c r="GA77" i="39" s="1"/>
  <c r="GB77" i="39" s="1"/>
  <c r="FC77" i="39"/>
  <c r="FD77" i="39" s="1"/>
  <c r="FE77" i="39" s="1"/>
  <c r="FF77" i="39" s="1"/>
  <c r="FG77" i="39" s="1"/>
  <c r="FH77" i="39" s="1"/>
  <c r="FI77" i="39" s="1"/>
  <c r="FJ77" i="39" s="1"/>
  <c r="FK77" i="39" s="1"/>
  <c r="FL77" i="39" s="1"/>
  <c r="FM77" i="39" s="1"/>
  <c r="FN77" i="39" s="1"/>
  <c r="GL77" i="39"/>
  <c r="HI77" i="39" s="1" a="1"/>
  <c r="HI77" i="39" s="1"/>
  <c r="GM77" i="39"/>
  <c r="HJ77" i="39" s="1" a="1"/>
  <c r="HJ77" i="39" s="1"/>
  <c r="HE103" i="39"/>
  <c r="HC86" i="39"/>
  <c r="HB86" i="39"/>
  <c r="HE80" i="39"/>
  <c r="HF80" i="39" s="1"/>
  <c r="HG80" i="39" s="1"/>
  <c r="HE74" i="39"/>
  <c r="HF74" i="39" s="1"/>
  <c r="HG74" i="39" s="1"/>
  <c r="FQ38" i="39"/>
  <c r="FR38" i="39" s="1"/>
  <c r="FS38" i="39" s="1"/>
  <c r="FT38" i="39" s="1"/>
  <c r="FU38" i="39" s="1"/>
  <c r="FV38" i="39" s="1"/>
  <c r="FW38" i="39" s="1"/>
  <c r="FX38" i="39" s="1"/>
  <c r="FY38" i="39" s="1"/>
  <c r="FZ38" i="39" s="1"/>
  <c r="GA38" i="39" s="1"/>
  <c r="GB38" i="39" s="1"/>
  <c r="FC38" i="39"/>
  <c r="FD38" i="39" s="1"/>
  <c r="FE38" i="39" s="1"/>
  <c r="FF38" i="39" s="1"/>
  <c r="FG38" i="39" s="1"/>
  <c r="FH38" i="39" s="1"/>
  <c r="FI38" i="39" s="1"/>
  <c r="FJ38" i="39" s="1"/>
  <c r="FK38" i="39" s="1"/>
  <c r="FL38" i="39" s="1"/>
  <c r="FM38" i="39" s="1"/>
  <c r="FN38" i="39" s="1"/>
  <c r="GL38" i="39"/>
  <c r="HI38" i="39" s="1" a="1"/>
  <c r="HI38" i="39" s="1"/>
  <c r="GM38" i="39"/>
  <c r="HJ38" i="39" s="1" a="1"/>
  <c r="HJ38" i="39" s="1"/>
  <c r="HE69" i="39"/>
  <c r="HF69" i="39" s="1"/>
  <c r="HG69" i="39" s="1"/>
  <c r="HA29" i="39"/>
  <c r="HE29" i="39"/>
  <c r="HA21" i="39"/>
  <c r="HE21" i="39"/>
  <c r="HF21" i="39" s="1"/>
  <c r="HG21" i="39" s="1"/>
  <c r="GY21" i="39"/>
  <c r="GZ21" i="39" s="1"/>
  <c r="HC46" i="39"/>
  <c r="HB46" i="39"/>
  <c r="HB48" i="39"/>
  <c r="HC48" i="39"/>
  <c r="HE55" i="39"/>
  <c r="HF55" i="39" s="1"/>
  <c r="HG55" i="39" s="1"/>
  <c r="HA23" i="39"/>
  <c r="GY23" i="39"/>
  <c r="GZ23" i="39" s="1"/>
  <c r="HC41" i="39"/>
  <c r="HB41" i="39"/>
  <c r="FQ62" i="39"/>
  <c r="FR62" i="39" s="1"/>
  <c r="FS62" i="39" s="1"/>
  <c r="FT62" i="39" s="1"/>
  <c r="FU62" i="39" s="1"/>
  <c r="FV62" i="39" s="1"/>
  <c r="FW62" i="39" s="1"/>
  <c r="FX62" i="39" s="1"/>
  <c r="FY62" i="39" s="1"/>
  <c r="FZ62" i="39" s="1"/>
  <c r="GA62" i="39" s="1"/>
  <c r="GB62" i="39" s="1"/>
  <c r="FC62" i="39"/>
  <c r="FD62" i="39" s="1"/>
  <c r="FE62" i="39" s="1"/>
  <c r="FF62" i="39" s="1"/>
  <c r="FG62" i="39" s="1"/>
  <c r="FH62" i="39" s="1"/>
  <c r="FI62" i="39" s="1"/>
  <c r="FJ62" i="39" s="1"/>
  <c r="FK62" i="39" s="1"/>
  <c r="FL62" i="39" s="1"/>
  <c r="FM62" i="39" s="1"/>
  <c r="FN62" i="39" s="1"/>
  <c r="GM62" i="39"/>
  <c r="HJ62" i="39" s="1" a="1"/>
  <c r="HJ62" i="39" s="1"/>
  <c r="GL62" i="39"/>
  <c r="HI62" i="39" s="1" a="1"/>
  <c r="HI62" i="39" s="1"/>
  <c r="HC35" i="39"/>
  <c r="HB35" i="39"/>
  <c r="HE83" i="39"/>
  <c r="HE19" i="39"/>
  <c r="FQ108" i="39"/>
  <c r="FR108" i="39" s="1"/>
  <c r="FS108" i="39" s="1"/>
  <c r="FT108" i="39" s="1"/>
  <c r="FU108" i="39" s="1"/>
  <c r="FV108" i="39" s="1"/>
  <c r="FW108" i="39" s="1"/>
  <c r="FX108" i="39" s="1"/>
  <c r="FY108" i="39" s="1"/>
  <c r="FZ108" i="39" s="1"/>
  <c r="GA108" i="39" s="1"/>
  <c r="GB108" i="39" s="1"/>
  <c r="FC108" i="39"/>
  <c r="FD108" i="39" s="1"/>
  <c r="FE108" i="39" s="1"/>
  <c r="FF108" i="39" s="1"/>
  <c r="FG108" i="39" s="1"/>
  <c r="FH108" i="39" s="1"/>
  <c r="FI108" i="39" s="1"/>
  <c r="FJ108" i="39" s="1"/>
  <c r="FK108" i="39" s="1"/>
  <c r="FL108" i="39" s="1"/>
  <c r="FM108" i="39" s="1"/>
  <c r="FN108" i="39" s="1"/>
  <c r="GL108" i="39"/>
  <c r="HI108" i="39" s="1" a="1"/>
  <c r="HI108" i="39" s="1"/>
  <c r="GM108" i="39"/>
  <c r="HJ108" i="39" s="1" a="1"/>
  <c r="HJ108" i="39" s="1"/>
  <c r="GY103" i="39"/>
  <c r="GZ103" i="39" s="1"/>
  <c r="HB74" i="39"/>
  <c r="HC74" i="39"/>
  <c r="HB69" i="39"/>
  <c r="HC69" i="39"/>
  <c r="GY28" i="39"/>
  <c r="GZ28" i="39" s="1"/>
  <c r="HB114" i="39"/>
  <c r="HC114" i="39"/>
  <c r="HE23" i="39"/>
  <c r="HE56" i="39"/>
  <c r="GY56" i="39"/>
  <c r="GZ56" i="39" s="1"/>
  <c r="HA56" i="39"/>
  <c r="GY116" i="39"/>
  <c r="GZ116" i="39" s="1"/>
  <c r="HA116" i="39"/>
  <c r="HE116" i="39"/>
  <c r="HF116" i="39" s="1"/>
  <c r="HG116" i="39" s="1"/>
  <c r="HB88" i="39"/>
  <c r="HC88" i="39"/>
  <c r="HC67" i="39"/>
  <c r="HB67" i="39"/>
  <c r="GY42" i="39"/>
  <c r="GZ42" i="39" s="1"/>
  <c r="HE101" i="39"/>
  <c r="HA92" i="39"/>
  <c r="GY92" i="39"/>
  <c r="GZ92" i="39" s="1"/>
  <c r="GY83" i="39"/>
  <c r="GZ83" i="39" s="1"/>
  <c r="HB19" i="39"/>
  <c r="HC19" i="39"/>
  <c r="HE73" i="39"/>
  <c r="HF73" i="39" s="1"/>
  <c r="HG73" i="39" s="1"/>
  <c r="HC81" i="39"/>
  <c r="HB81" i="39"/>
  <c r="HB103" i="39"/>
  <c r="HC103" i="39"/>
  <c r="HB58" i="39"/>
  <c r="HC58" i="39"/>
  <c r="HB51" i="39"/>
  <c r="HC51" i="39"/>
  <c r="HB37" i="39"/>
  <c r="HC37" i="39"/>
  <c r="FC36" i="39"/>
  <c r="FD36" i="39" s="1"/>
  <c r="FE36" i="39" s="1"/>
  <c r="FF36" i="39" s="1"/>
  <c r="FG36" i="39" s="1"/>
  <c r="FH36" i="39" s="1"/>
  <c r="FI36" i="39" s="1"/>
  <c r="FJ36" i="39" s="1"/>
  <c r="FK36" i="39" s="1"/>
  <c r="FL36" i="39" s="1"/>
  <c r="FM36" i="39" s="1"/>
  <c r="FN36" i="39" s="1"/>
  <c r="FQ36" i="39"/>
  <c r="FR36" i="39" s="1"/>
  <c r="FS36" i="39" s="1"/>
  <c r="FT36" i="39" s="1"/>
  <c r="FU36" i="39" s="1"/>
  <c r="FV36" i="39" s="1"/>
  <c r="FW36" i="39" s="1"/>
  <c r="FX36" i="39" s="1"/>
  <c r="FY36" i="39" s="1"/>
  <c r="FZ36" i="39" s="1"/>
  <c r="GA36" i="39" s="1"/>
  <c r="GB36" i="39" s="1"/>
  <c r="GM36" i="39"/>
  <c r="HJ36" i="39" s="1" a="1"/>
  <c r="HJ36" i="39" s="1"/>
  <c r="GL36" i="39"/>
  <c r="HI36" i="39" s="1" a="1"/>
  <c r="HI36" i="39" s="1"/>
  <c r="HA49" i="39"/>
  <c r="HE49" i="39"/>
  <c r="GY49" i="39"/>
  <c r="GZ49" i="39" s="1"/>
  <c r="HB57" i="39"/>
  <c r="HC57" i="39"/>
  <c r="GY45" i="39"/>
  <c r="GZ45" i="39" s="1"/>
  <c r="HA20" i="39"/>
  <c r="GY20" i="39"/>
  <c r="GZ20" i="39" s="1"/>
  <c r="HE31" i="39"/>
  <c r="GY31" i="39"/>
  <c r="GZ31" i="39" s="1"/>
  <c r="HA31" i="39"/>
  <c r="HE42" i="39"/>
  <c r="HF42" i="39" s="1"/>
  <c r="HG42" i="39" s="1"/>
  <c r="HE84" i="39"/>
  <c r="GY84" i="39"/>
  <c r="GZ84" i="39" s="1"/>
  <c r="HE89" i="39"/>
  <c r="HF89" i="39" s="1"/>
  <c r="HG89" i="39" s="1"/>
  <c r="HB83" i="39"/>
  <c r="HC83" i="39"/>
  <c r="GY29" i="39"/>
  <c r="GZ29" i="39" s="1"/>
  <c r="GY19" i="39"/>
  <c r="GZ19" i="39" s="1"/>
  <c r="FC66" i="39"/>
  <c r="FD66" i="39" s="1"/>
  <c r="FE66" i="39" s="1"/>
  <c r="FF66" i="39" s="1"/>
  <c r="FG66" i="39" s="1"/>
  <c r="FH66" i="39" s="1"/>
  <c r="FI66" i="39" s="1"/>
  <c r="FJ66" i="39" s="1"/>
  <c r="FK66" i="39" s="1"/>
  <c r="FL66" i="39" s="1"/>
  <c r="FM66" i="39" s="1"/>
  <c r="FN66" i="39" s="1"/>
  <c r="FQ66" i="39"/>
  <c r="FR66" i="39" s="1"/>
  <c r="FS66" i="39" s="1"/>
  <c r="FT66" i="39" s="1"/>
  <c r="FU66" i="39" s="1"/>
  <c r="FV66" i="39" s="1"/>
  <c r="FW66" i="39" s="1"/>
  <c r="FX66" i="39" s="1"/>
  <c r="FY66" i="39" s="1"/>
  <c r="FZ66" i="39" s="1"/>
  <c r="GA66" i="39" s="1"/>
  <c r="GB66" i="39" s="1"/>
  <c r="GM66" i="39"/>
  <c r="HJ66" i="39" s="1" a="1"/>
  <c r="HJ66" i="39" s="1"/>
  <c r="GL66" i="39"/>
  <c r="HI66" i="39" s="1" a="1"/>
  <c r="HI66" i="39" s="1"/>
  <c r="HB32" i="39"/>
  <c r="HC32" i="39"/>
  <c r="FQ50" i="39"/>
  <c r="FR50" i="39" s="1"/>
  <c r="FS50" i="39" s="1"/>
  <c r="FT50" i="39" s="1"/>
  <c r="FU50" i="39" s="1"/>
  <c r="FV50" i="39" s="1"/>
  <c r="FW50" i="39" s="1"/>
  <c r="FX50" i="39" s="1"/>
  <c r="FY50" i="39" s="1"/>
  <c r="FZ50" i="39" s="1"/>
  <c r="GA50" i="39" s="1"/>
  <c r="GB50" i="39" s="1"/>
  <c r="FC50" i="39"/>
  <c r="FD50" i="39" s="1"/>
  <c r="FE50" i="39" s="1"/>
  <c r="FF50" i="39" s="1"/>
  <c r="FG50" i="39" s="1"/>
  <c r="FH50" i="39" s="1"/>
  <c r="FI50" i="39" s="1"/>
  <c r="FJ50" i="39" s="1"/>
  <c r="FK50" i="39" s="1"/>
  <c r="FL50" i="39" s="1"/>
  <c r="FM50" i="39" s="1"/>
  <c r="FN50" i="39" s="1"/>
  <c r="GL50" i="39"/>
  <c r="HI50" i="39" s="1" a="1"/>
  <c r="HI50" i="39" s="1"/>
  <c r="GM50" i="39"/>
  <c r="HJ50" i="39" s="1" a="1"/>
  <c r="HJ50" i="39" s="1"/>
  <c r="GY58" i="39"/>
  <c r="GZ58" i="39" s="1"/>
  <c r="GY51" i="39"/>
  <c r="GZ51" i="39" s="1"/>
  <c r="HE68" i="39"/>
  <c r="GM59" i="39"/>
  <c r="HJ59" i="39" s="1" a="1"/>
  <c r="HJ59" i="39" s="1"/>
  <c r="FC59" i="39"/>
  <c r="FD59" i="39" s="1"/>
  <c r="FE59" i="39" s="1"/>
  <c r="FF59" i="39" s="1"/>
  <c r="FG59" i="39" s="1"/>
  <c r="FH59" i="39" s="1"/>
  <c r="FI59" i="39" s="1"/>
  <c r="FJ59" i="39" s="1"/>
  <c r="FK59" i="39" s="1"/>
  <c r="FL59" i="39" s="1"/>
  <c r="FM59" i="39" s="1"/>
  <c r="FN59" i="39" s="1"/>
  <c r="FQ59" i="39"/>
  <c r="FR59" i="39" s="1"/>
  <c r="FS59" i="39" s="1"/>
  <c r="FT59" i="39" s="1"/>
  <c r="FU59" i="39" s="1"/>
  <c r="FV59" i="39" s="1"/>
  <c r="FW59" i="39" s="1"/>
  <c r="FX59" i="39" s="1"/>
  <c r="FY59" i="39" s="1"/>
  <c r="FZ59" i="39" s="1"/>
  <c r="GA59" i="39" s="1"/>
  <c r="GB59" i="39" s="1"/>
  <c r="GL59" i="39"/>
  <c r="HI59" i="39" s="1" a="1"/>
  <c r="HI59" i="39" s="1"/>
  <c r="GY67" i="39"/>
  <c r="GZ67" i="39" s="1"/>
  <c r="FC64" i="39"/>
  <c r="FD64" i="39" s="1"/>
  <c r="FE64" i="39" s="1"/>
  <c r="FF64" i="39" s="1"/>
  <c r="FG64" i="39" s="1"/>
  <c r="FH64" i="39" s="1"/>
  <c r="FI64" i="39" s="1"/>
  <c r="FJ64" i="39" s="1"/>
  <c r="FK64" i="39" s="1"/>
  <c r="FL64" i="39" s="1"/>
  <c r="FM64" i="39" s="1"/>
  <c r="FN64" i="39" s="1"/>
  <c r="FQ64" i="39"/>
  <c r="FR64" i="39" s="1"/>
  <c r="FS64" i="39" s="1"/>
  <c r="FT64" i="39" s="1"/>
  <c r="FU64" i="39" s="1"/>
  <c r="FV64" i="39" s="1"/>
  <c r="FW64" i="39" s="1"/>
  <c r="FX64" i="39" s="1"/>
  <c r="FY64" i="39" s="1"/>
  <c r="FZ64" i="39" s="1"/>
  <c r="GA64" i="39" s="1"/>
  <c r="GB64" i="39" s="1"/>
  <c r="GL64" i="39"/>
  <c r="HI64" i="39" s="1" a="1"/>
  <c r="HI64" i="39" s="1"/>
  <c r="GM64" i="39"/>
  <c r="HJ64" i="39" s="1" a="1"/>
  <c r="HJ64" i="39" s="1"/>
  <c r="HB113" i="39"/>
  <c r="HC113" i="39"/>
  <c r="HA76" i="39"/>
  <c r="GY76" i="39"/>
  <c r="GZ76" i="39" s="1"/>
  <c r="HC42" i="39"/>
  <c r="HB42" i="39"/>
  <c r="HE109" i="39"/>
  <c r="HB73" i="39"/>
  <c r="HC73" i="39"/>
  <c r="HE99" i="39"/>
  <c r="HE51" i="39"/>
  <c r="HF51" i="39" s="1"/>
  <c r="HG51" i="39" s="1"/>
  <c r="HB68" i="39"/>
  <c r="HC68" i="39"/>
  <c r="HB98" i="39"/>
  <c r="HC98" i="39"/>
  <c r="GY70" i="39"/>
  <c r="GZ70" i="39" s="1"/>
  <c r="FQ60" i="39"/>
  <c r="FR60" i="39" s="1"/>
  <c r="FS60" i="39" s="1"/>
  <c r="FT60" i="39" s="1"/>
  <c r="FU60" i="39" s="1"/>
  <c r="FV60" i="39" s="1"/>
  <c r="FW60" i="39" s="1"/>
  <c r="FX60" i="39" s="1"/>
  <c r="FY60" i="39" s="1"/>
  <c r="FZ60" i="39" s="1"/>
  <c r="GA60" i="39" s="1"/>
  <c r="GB60" i="39" s="1"/>
  <c r="FC60" i="39"/>
  <c r="FD60" i="39" s="1"/>
  <c r="FE60" i="39" s="1"/>
  <c r="FF60" i="39" s="1"/>
  <c r="FG60" i="39" s="1"/>
  <c r="FH60" i="39" s="1"/>
  <c r="FI60" i="39" s="1"/>
  <c r="FJ60" i="39" s="1"/>
  <c r="FK60" i="39" s="1"/>
  <c r="FL60" i="39" s="1"/>
  <c r="FM60" i="39" s="1"/>
  <c r="FN60" i="39" s="1"/>
  <c r="GL60" i="39"/>
  <c r="HI60" i="39" s="1" a="1"/>
  <c r="HI60" i="39" s="1"/>
  <c r="GM60" i="39"/>
  <c r="HJ60" i="39" s="1" a="1"/>
  <c r="HJ60" i="39" s="1"/>
  <c r="GY53" i="39"/>
  <c r="GZ53" i="39" s="1"/>
  <c r="GY79" i="39"/>
  <c r="GZ79" i="39" s="1"/>
  <c r="GY17" i="39"/>
  <c r="GZ17" i="39" s="1"/>
  <c r="GY11" i="39"/>
  <c r="GZ11" i="39" s="1"/>
  <c r="F36" i="7"/>
  <c r="P36" i="7" s="1"/>
  <c r="GY154" i="39"/>
  <c r="GZ154" i="39" s="1"/>
  <c r="G206" i="7"/>
  <c r="H41" i="7"/>
  <c r="E206" i="7"/>
  <c r="AH309" i="7"/>
  <c r="HB110" i="39" l="1"/>
  <c r="GL107" i="39"/>
  <c r="HI107" i="39" s="1" a="1"/>
  <c r="HI107" i="39" s="1"/>
  <c r="FC107" i="39"/>
  <c r="FD107" i="39" s="1"/>
  <c r="FE107" i="39" s="1"/>
  <c r="FF107" i="39" s="1"/>
  <c r="FG107" i="39" s="1"/>
  <c r="FH107" i="39" s="1"/>
  <c r="FI107" i="39" s="1"/>
  <c r="FJ107" i="39" s="1"/>
  <c r="FK107" i="39" s="1"/>
  <c r="FL107" i="39" s="1"/>
  <c r="FM107" i="39" s="1"/>
  <c r="FN107" i="39" s="1"/>
  <c r="GM107" i="39"/>
  <c r="HJ107" i="39" s="1" a="1"/>
  <c r="HJ107" i="39" s="1"/>
  <c r="FQ107" i="39"/>
  <c r="FR107" i="39" s="1"/>
  <c r="FS107" i="39" s="1"/>
  <c r="FT107" i="39" s="1"/>
  <c r="FU107" i="39" s="1"/>
  <c r="FV107" i="39" s="1"/>
  <c r="FW107" i="39" s="1"/>
  <c r="FX107" i="39" s="1"/>
  <c r="FY107" i="39" s="1"/>
  <c r="FZ107" i="39" s="1"/>
  <c r="GA107" i="39" s="1"/>
  <c r="GB107" i="39" s="1"/>
  <c r="GL81" i="39"/>
  <c r="HI81" i="39" s="1" a="1"/>
  <c r="HI81" i="39" s="1"/>
  <c r="FQ81" i="39"/>
  <c r="FR81" i="39" s="1"/>
  <c r="FS81" i="39" s="1"/>
  <c r="FT81" i="39" s="1"/>
  <c r="FU81" i="39" s="1"/>
  <c r="FV81" i="39" s="1"/>
  <c r="FW81" i="39" s="1"/>
  <c r="FX81" i="39" s="1"/>
  <c r="FY81" i="39" s="1"/>
  <c r="FZ81" i="39" s="1"/>
  <c r="GA81" i="39" s="1"/>
  <c r="GB81" i="39" s="1"/>
  <c r="FC81" i="39"/>
  <c r="FD81" i="39" s="1"/>
  <c r="FE81" i="39" s="1"/>
  <c r="FF81" i="39" s="1"/>
  <c r="FG81" i="39" s="1"/>
  <c r="FH81" i="39" s="1"/>
  <c r="FI81" i="39" s="1"/>
  <c r="FJ81" i="39" s="1"/>
  <c r="FK81" i="39" s="1"/>
  <c r="FL81" i="39" s="1"/>
  <c r="FM81" i="39" s="1"/>
  <c r="FN81" i="39" s="1"/>
  <c r="GM81" i="39"/>
  <c r="HJ81" i="39" s="1" a="1"/>
  <c r="HJ81" i="39" s="1"/>
  <c r="HF28" i="39"/>
  <c r="HG28" i="39" s="1"/>
  <c r="GL28" i="39"/>
  <c r="HF67" i="39"/>
  <c r="HG67" i="39" s="1"/>
  <c r="GM28" i="39"/>
  <c r="FQ28" i="39"/>
  <c r="FR28" i="39" s="1"/>
  <c r="FS28" i="39" s="1"/>
  <c r="FT28" i="39" s="1"/>
  <c r="FU28" i="39" s="1"/>
  <c r="FV28" i="39" s="1"/>
  <c r="FW28" i="39" s="1"/>
  <c r="FX28" i="39" s="1"/>
  <c r="FY28" i="39" s="1"/>
  <c r="FZ28" i="39" s="1"/>
  <c r="GA28" i="39" s="1"/>
  <c r="GB28" i="39" s="1"/>
  <c r="HF87" i="39"/>
  <c r="HG87" i="39" s="1"/>
  <c r="FC67" i="39"/>
  <c r="FD67" i="39" s="1"/>
  <c r="FE67" i="39" s="1"/>
  <c r="FF67" i="39" s="1"/>
  <c r="FG67" i="39" s="1"/>
  <c r="FH67" i="39" s="1"/>
  <c r="FI67" i="39" s="1"/>
  <c r="FJ67" i="39" s="1"/>
  <c r="FK67" i="39" s="1"/>
  <c r="FL67" i="39" s="1"/>
  <c r="FM67" i="39" s="1"/>
  <c r="FN67" i="39" s="1"/>
  <c r="FC91" i="39"/>
  <c r="FD91" i="39" s="1"/>
  <c r="FE91" i="39" s="1"/>
  <c r="FF91" i="39" s="1"/>
  <c r="FG91" i="39" s="1"/>
  <c r="FH91" i="39" s="1"/>
  <c r="FI91" i="39" s="1"/>
  <c r="FJ91" i="39" s="1"/>
  <c r="FK91" i="39" s="1"/>
  <c r="FL91" i="39" s="1"/>
  <c r="FM91" i="39" s="1"/>
  <c r="FN91" i="39" s="1"/>
  <c r="GL91" i="39"/>
  <c r="HI91" i="39" s="1" a="1"/>
  <c r="HI91" i="39" s="1"/>
  <c r="HC62" i="39"/>
  <c r="GM91" i="39"/>
  <c r="HJ91" i="39" s="1" a="1"/>
  <c r="HJ91" i="39" s="1"/>
  <c r="FQ91" i="39"/>
  <c r="FR91" i="39" s="1"/>
  <c r="FS91" i="39" s="1"/>
  <c r="FT91" i="39" s="1"/>
  <c r="FU91" i="39" s="1"/>
  <c r="FV91" i="39" s="1"/>
  <c r="FW91" i="39" s="1"/>
  <c r="FX91" i="39" s="1"/>
  <c r="FY91" i="39" s="1"/>
  <c r="FZ91" i="39" s="1"/>
  <c r="GA91" i="39" s="1"/>
  <c r="GB91" i="39" s="1"/>
  <c r="FQ87" i="39"/>
  <c r="FR87" i="39" s="1"/>
  <c r="FS87" i="39" s="1"/>
  <c r="FT87" i="39" s="1"/>
  <c r="FU87" i="39" s="1"/>
  <c r="FV87" i="39" s="1"/>
  <c r="FW87" i="39" s="1"/>
  <c r="FX87" i="39" s="1"/>
  <c r="FY87" i="39" s="1"/>
  <c r="FZ87" i="39" s="1"/>
  <c r="GA87" i="39" s="1"/>
  <c r="GB87" i="39" s="1"/>
  <c r="GM87" i="39"/>
  <c r="GL87" i="39"/>
  <c r="FQ63" i="39"/>
  <c r="FR63" i="39" s="1"/>
  <c r="FS63" i="39" s="1"/>
  <c r="FT63" i="39" s="1"/>
  <c r="FU63" i="39" s="1"/>
  <c r="FV63" i="39" s="1"/>
  <c r="FW63" i="39" s="1"/>
  <c r="FX63" i="39" s="1"/>
  <c r="FY63" i="39" s="1"/>
  <c r="FZ63" i="39" s="1"/>
  <c r="GA63" i="39" s="1"/>
  <c r="GB63" i="39" s="1"/>
  <c r="HB33" i="39"/>
  <c r="GM63" i="39"/>
  <c r="GM82" i="39"/>
  <c r="HJ82" i="39" s="1" a="1"/>
  <c r="HJ82" i="39" s="1"/>
  <c r="FQ33" i="39"/>
  <c r="FR33" i="39" s="1"/>
  <c r="FS33" i="39" s="1"/>
  <c r="FT33" i="39" s="1"/>
  <c r="FU33" i="39" s="1"/>
  <c r="FV33" i="39" s="1"/>
  <c r="FW33" i="39" s="1"/>
  <c r="FX33" i="39" s="1"/>
  <c r="FY33" i="39" s="1"/>
  <c r="FZ33" i="39" s="1"/>
  <c r="GA33" i="39" s="1"/>
  <c r="GB33" i="39" s="1"/>
  <c r="HC77" i="39"/>
  <c r="HC66" i="39"/>
  <c r="FC82" i="39"/>
  <c r="FD82" i="39" s="1"/>
  <c r="FE82" i="39" s="1"/>
  <c r="FF82" i="39" s="1"/>
  <c r="FG82" i="39" s="1"/>
  <c r="FH82" i="39" s="1"/>
  <c r="FI82" i="39" s="1"/>
  <c r="FJ82" i="39" s="1"/>
  <c r="FK82" i="39" s="1"/>
  <c r="FL82" i="39" s="1"/>
  <c r="FM82" i="39" s="1"/>
  <c r="FN82" i="39" s="1"/>
  <c r="FC24" i="39"/>
  <c r="FD24" i="39" s="1"/>
  <c r="FE24" i="39" s="1"/>
  <c r="FF24" i="39" s="1"/>
  <c r="FG24" i="39" s="1"/>
  <c r="FH24" i="39" s="1"/>
  <c r="FI24" i="39" s="1"/>
  <c r="FJ24" i="39" s="1"/>
  <c r="FK24" i="39" s="1"/>
  <c r="FL24" i="39" s="1"/>
  <c r="FM24" i="39" s="1"/>
  <c r="FN24" i="39" s="1"/>
  <c r="HC90" i="39"/>
  <c r="GM22" i="39"/>
  <c r="GL33" i="39"/>
  <c r="HI33" i="39" s="1" a="1"/>
  <c r="HI33" i="39" s="1"/>
  <c r="HF22" i="39"/>
  <c r="HG22" i="39" s="1"/>
  <c r="GM33" i="39"/>
  <c r="HJ33" i="39" s="1" a="1"/>
  <c r="HJ33" i="39" s="1"/>
  <c r="FC33" i="39"/>
  <c r="FD33" i="39" s="1"/>
  <c r="FE33" i="39" s="1"/>
  <c r="FF33" i="39" s="1"/>
  <c r="FG33" i="39" s="1"/>
  <c r="FH33" i="39" s="1"/>
  <c r="FI33" i="39" s="1"/>
  <c r="FJ33" i="39" s="1"/>
  <c r="FK33" i="39" s="1"/>
  <c r="FL33" i="39" s="1"/>
  <c r="FM33" i="39" s="1"/>
  <c r="FN33" i="39" s="1"/>
  <c r="FQ82" i="39"/>
  <c r="FR82" i="39" s="1"/>
  <c r="FS82" i="39" s="1"/>
  <c r="FT82" i="39" s="1"/>
  <c r="FU82" i="39" s="1"/>
  <c r="FV82" i="39" s="1"/>
  <c r="FW82" i="39" s="1"/>
  <c r="FX82" i="39" s="1"/>
  <c r="FY82" i="39" s="1"/>
  <c r="FZ82" i="39" s="1"/>
  <c r="GA82" i="39" s="1"/>
  <c r="GB82" i="39" s="1"/>
  <c r="GL10" i="39"/>
  <c r="GM10" i="39"/>
  <c r="FQ10" i="39"/>
  <c r="FR10" i="39" s="1"/>
  <c r="FS10" i="39" s="1"/>
  <c r="FT10" i="39" s="1"/>
  <c r="FU10" i="39" s="1"/>
  <c r="FV10" i="39" s="1"/>
  <c r="FW10" i="39" s="1"/>
  <c r="FX10" i="39" s="1"/>
  <c r="FY10" i="39" s="1"/>
  <c r="FZ10" i="39" s="1"/>
  <c r="GA10" i="39" s="1"/>
  <c r="GB10" i="39" s="1"/>
  <c r="GL82" i="39"/>
  <c r="HI82" i="39" s="1" a="1"/>
  <c r="HI82" i="39" s="1"/>
  <c r="HB64" i="39"/>
  <c r="GL24" i="39"/>
  <c r="HI24" i="39" s="1" a="1"/>
  <c r="HI24" i="39" s="1"/>
  <c r="HC82" i="39"/>
  <c r="GM24" i="39"/>
  <c r="HJ24" i="39" s="1" a="1"/>
  <c r="HJ24" i="39" s="1"/>
  <c r="FQ24" i="39"/>
  <c r="FR24" i="39" s="1"/>
  <c r="FS24" i="39" s="1"/>
  <c r="FT24" i="39" s="1"/>
  <c r="FU24" i="39" s="1"/>
  <c r="FV24" i="39" s="1"/>
  <c r="FW24" i="39" s="1"/>
  <c r="FX24" i="39" s="1"/>
  <c r="FY24" i="39" s="1"/>
  <c r="FZ24" i="39" s="1"/>
  <c r="GA24" i="39" s="1"/>
  <c r="GB24" i="39" s="1"/>
  <c r="GL63" i="39"/>
  <c r="FQ22" i="39"/>
  <c r="FR22" i="39" s="1"/>
  <c r="FS22" i="39" s="1"/>
  <c r="FT22" i="39" s="1"/>
  <c r="FU22" i="39" s="1"/>
  <c r="FV22" i="39" s="1"/>
  <c r="FW22" i="39" s="1"/>
  <c r="FX22" i="39" s="1"/>
  <c r="FY22" i="39" s="1"/>
  <c r="FZ22" i="39" s="1"/>
  <c r="GA22" i="39" s="1"/>
  <c r="GB22" i="39" s="1"/>
  <c r="HF10" i="39"/>
  <c r="HG10" i="39" s="1"/>
  <c r="FC95" i="39"/>
  <c r="FD95" i="39" s="1"/>
  <c r="FE95" i="39" s="1"/>
  <c r="FF95" i="39" s="1"/>
  <c r="FG95" i="39" s="1"/>
  <c r="FH95" i="39" s="1"/>
  <c r="FI95" i="39" s="1"/>
  <c r="FJ95" i="39" s="1"/>
  <c r="FK95" i="39" s="1"/>
  <c r="FL95" i="39" s="1"/>
  <c r="FM95" i="39" s="1"/>
  <c r="FN95" i="39" s="1"/>
  <c r="HF63" i="39"/>
  <c r="HG63" i="39" s="1"/>
  <c r="GL67" i="39"/>
  <c r="GL113" i="39"/>
  <c r="HI113" i="39" s="1" a="1"/>
  <c r="HI113" i="39" s="1"/>
  <c r="FQ113" i="39"/>
  <c r="FR113" i="39" s="1"/>
  <c r="FS113" i="39" s="1"/>
  <c r="FT113" i="39" s="1"/>
  <c r="FU113" i="39" s="1"/>
  <c r="FV113" i="39" s="1"/>
  <c r="FW113" i="39" s="1"/>
  <c r="FX113" i="39" s="1"/>
  <c r="FY113" i="39" s="1"/>
  <c r="FZ113" i="39" s="1"/>
  <c r="GA113" i="39" s="1"/>
  <c r="GB113" i="39" s="1"/>
  <c r="FC113" i="39"/>
  <c r="FD113" i="39" s="1"/>
  <c r="FE113" i="39" s="1"/>
  <c r="FF113" i="39" s="1"/>
  <c r="FG113" i="39" s="1"/>
  <c r="FH113" i="39" s="1"/>
  <c r="FI113" i="39" s="1"/>
  <c r="FJ113" i="39" s="1"/>
  <c r="FK113" i="39" s="1"/>
  <c r="FL113" i="39" s="1"/>
  <c r="FM113" i="39" s="1"/>
  <c r="FN113" i="39" s="1"/>
  <c r="GM113" i="39"/>
  <c r="HJ113" i="39" s="1" a="1"/>
  <c r="HJ113" i="39" s="1"/>
  <c r="GL22" i="39"/>
  <c r="GL95" i="39"/>
  <c r="HF95" i="39"/>
  <c r="HG95" i="39" s="1"/>
  <c r="GM95" i="39"/>
  <c r="GL90" i="39"/>
  <c r="HI90" i="39" s="1" a="1"/>
  <c r="HI90" i="39" s="1"/>
  <c r="GM90" i="39"/>
  <c r="HJ90" i="39" s="1" a="1"/>
  <c r="HJ90" i="39" s="1"/>
  <c r="FQ90" i="39"/>
  <c r="FR90" i="39" s="1"/>
  <c r="FS90" i="39" s="1"/>
  <c r="FT90" i="39" s="1"/>
  <c r="FU90" i="39" s="1"/>
  <c r="FV90" i="39" s="1"/>
  <c r="FW90" i="39" s="1"/>
  <c r="FX90" i="39" s="1"/>
  <c r="FY90" i="39" s="1"/>
  <c r="FZ90" i="39" s="1"/>
  <c r="GA90" i="39" s="1"/>
  <c r="GB90" i="39" s="1"/>
  <c r="FC90" i="39"/>
  <c r="FD90" i="39" s="1"/>
  <c r="FE90" i="39" s="1"/>
  <c r="FF90" i="39" s="1"/>
  <c r="FG90" i="39" s="1"/>
  <c r="FH90" i="39" s="1"/>
  <c r="FI90" i="39" s="1"/>
  <c r="FJ90" i="39" s="1"/>
  <c r="FK90" i="39" s="1"/>
  <c r="FL90" i="39" s="1"/>
  <c r="FM90" i="39" s="1"/>
  <c r="FN90" i="39" s="1"/>
  <c r="HF104" i="39"/>
  <c r="HG104" i="39" s="1"/>
  <c r="FC104" i="39"/>
  <c r="FD104" i="39" s="1"/>
  <c r="FE104" i="39" s="1"/>
  <c r="FF104" i="39" s="1"/>
  <c r="FG104" i="39" s="1"/>
  <c r="FH104" i="39" s="1"/>
  <c r="FI104" i="39" s="1"/>
  <c r="FJ104" i="39" s="1"/>
  <c r="FK104" i="39" s="1"/>
  <c r="FL104" i="39" s="1"/>
  <c r="FM104" i="39" s="1"/>
  <c r="FN104" i="39" s="1"/>
  <c r="GL104" i="39"/>
  <c r="GM67" i="39"/>
  <c r="GM104" i="39"/>
  <c r="FQ112" i="39"/>
  <c r="FR112" i="39" s="1"/>
  <c r="FS112" i="39" s="1"/>
  <c r="FT112" i="39" s="1"/>
  <c r="FU112" i="39" s="1"/>
  <c r="FV112" i="39" s="1"/>
  <c r="FW112" i="39" s="1"/>
  <c r="FX112" i="39" s="1"/>
  <c r="FY112" i="39" s="1"/>
  <c r="FZ112" i="39" s="1"/>
  <c r="GA112" i="39" s="1"/>
  <c r="GB112" i="39" s="1"/>
  <c r="HF112" i="39"/>
  <c r="HG112" i="39" s="1"/>
  <c r="HI112" i="39" s="1" a="1"/>
  <c r="HI112" i="39" s="1"/>
  <c r="HF57" i="39"/>
  <c r="HG57" i="39" s="1"/>
  <c r="HB50" i="39"/>
  <c r="FC112" i="39"/>
  <c r="FD112" i="39" s="1"/>
  <c r="FE112" i="39" s="1"/>
  <c r="FF112" i="39" s="1"/>
  <c r="FG112" i="39" s="1"/>
  <c r="FH112" i="39" s="1"/>
  <c r="FI112" i="39" s="1"/>
  <c r="FJ112" i="39" s="1"/>
  <c r="FK112" i="39" s="1"/>
  <c r="FL112" i="39" s="1"/>
  <c r="FM112" i="39" s="1"/>
  <c r="FN112" i="39" s="1"/>
  <c r="FC57" i="39"/>
  <c r="FD57" i="39" s="1"/>
  <c r="FE57" i="39" s="1"/>
  <c r="FF57" i="39" s="1"/>
  <c r="FG57" i="39" s="1"/>
  <c r="FH57" i="39" s="1"/>
  <c r="FI57" i="39" s="1"/>
  <c r="FJ57" i="39" s="1"/>
  <c r="FK57" i="39" s="1"/>
  <c r="FL57" i="39" s="1"/>
  <c r="FM57" i="39" s="1"/>
  <c r="FN57" i="39" s="1"/>
  <c r="HC111" i="39"/>
  <c r="GM112" i="39"/>
  <c r="FQ41" i="39"/>
  <c r="FR41" i="39" s="1"/>
  <c r="FS41" i="39" s="1"/>
  <c r="FT41" i="39" s="1"/>
  <c r="FU41" i="39" s="1"/>
  <c r="FV41" i="39" s="1"/>
  <c r="FW41" i="39" s="1"/>
  <c r="FX41" i="39" s="1"/>
  <c r="FY41" i="39" s="1"/>
  <c r="FZ41" i="39" s="1"/>
  <c r="GA41" i="39" s="1"/>
  <c r="GB41" i="39" s="1"/>
  <c r="FC88" i="39"/>
  <c r="FD88" i="39" s="1"/>
  <c r="FE88" i="39" s="1"/>
  <c r="FF88" i="39" s="1"/>
  <c r="FG88" i="39" s="1"/>
  <c r="FH88" i="39" s="1"/>
  <c r="FI88" i="39" s="1"/>
  <c r="FJ88" i="39" s="1"/>
  <c r="FK88" i="39" s="1"/>
  <c r="FL88" i="39" s="1"/>
  <c r="FM88" i="39" s="1"/>
  <c r="FN88" i="39" s="1"/>
  <c r="HF88" i="39"/>
  <c r="HG88" i="39" s="1"/>
  <c r="HJ88" i="39" s="1" a="1"/>
  <c r="HJ88" i="39" s="1"/>
  <c r="GL114" i="39"/>
  <c r="HI114" i="39" s="1" a="1"/>
  <c r="HI114" i="39" s="1"/>
  <c r="GM114" i="39"/>
  <c r="HJ114" i="39" s="1" a="1"/>
  <c r="HJ114" i="39" s="1"/>
  <c r="HF58" i="39"/>
  <c r="HG58" i="39" s="1"/>
  <c r="FC114" i="39"/>
  <c r="FD114" i="39" s="1"/>
  <c r="FE114" i="39" s="1"/>
  <c r="FF114" i="39" s="1"/>
  <c r="FG114" i="39" s="1"/>
  <c r="FH114" i="39" s="1"/>
  <c r="FI114" i="39" s="1"/>
  <c r="FJ114" i="39" s="1"/>
  <c r="FK114" i="39" s="1"/>
  <c r="FL114" i="39" s="1"/>
  <c r="FM114" i="39" s="1"/>
  <c r="FN114" i="39" s="1"/>
  <c r="HB106" i="39"/>
  <c r="HF41" i="39"/>
  <c r="HG41" i="39" s="1"/>
  <c r="HI41" i="39" s="1" a="1"/>
  <c r="HI41" i="39" s="1"/>
  <c r="FQ88" i="39"/>
  <c r="FR88" i="39" s="1"/>
  <c r="FS88" i="39" s="1"/>
  <c r="FT88" i="39" s="1"/>
  <c r="FU88" i="39" s="1"/>
  <c r="FV88" i="39" s="1"/>
  <c r="FW88" i="39" s="1"/>
  <c r="FX88" i="39" s="1"/>
  <c r="FY88" i="39" s="1"/>
  <c r="FZ88" i="39" s="1"/>
  <c r="GA88" i="39" s="1"/>
  <c r="GB88" i="39" s="1"/>
  <c r="FQ114" i="39"/>
  <c r="FR114" i="39" s="1"/>
  <c r="FS114" i="39" s="1"/>
  <c r="FT114" i="39" s="1"/>
  <c r="FU114" i="39" s="1"/>
  <c r="FV114" i="39" s="1"/>
  <c r="FW114" i="39" s="1"/>
  <c r="FX114" i="39" s="1"/>
  <c r="FY114" i="39" s="1"/>
  <c r="FZ114" i="39" s="1"/>
  <c r="GA114" i="39" s="1"/>
  <c r="GB114" i="39" s="1"/>
  <c r="GL65" i="39"/>
  <c r="HI65" i="39" s="1" a="1"/>
  <c r="HI65" i="39" s="1"/>
  <c r="HB85" i="39"/>
  <c r="FQ75" i="39"/>
  <c r="FR75" i="39" s="1"/>
  <c r="FS75" i="39" s="1"/>
  <c r="FT75" i="39" s="1"/>
  <c r="FU75" i="39" s="1"/>
  <c r="FV75" i="39" s="1"/>
  <c r="FW75" i="39" s="1"/>
  <c r="FX75" i="39" s="1"/>
  <c r="FY75" i="39" s="1"/>
  <c r="FZ75" i="39" s="1"/>
  <c r="GA75" i="39" s="1"/>
  <c r="GB75" i="39" s="1"/>
  <c r="GL25" i="39"/>
  <c r="HI25" i="39" s="1" a="1"/>
  <c r="HI25" i="39" s="1"/>
  <c r="GM25" i="39"/>
  <c r="HJ25" i="39" s="1" a="1"/>
  <c r="HJ25" i="39" s="1"/>
  <c r="GM70" i="39"/>
  <c r="GM65" i="39"/>
  <c r="HJ65" i="39" s="1" a="1"/>
  <c r="HJ65" i="39" s="1"/>
  <c r="FC65" i="39"/>
  <c r="FD65" i="39" s="1"/>
  <c r="FE65" i="39" s="1"/>
  <c r="FF65" i="39" s="1"/>
  <c r="FG65" i="39" s="1"/>
  <c r="FH65" i="39" s="1"/>
  <c r="FI65" i="39" s="1"/>
  <c r="FJ65" i="39" s="1"/>
  <c r="FK65" i="39" s="1"/>
  <c r="FL65" i="39" s="1"/>
  <c r="FM65" i="39" s="1"/>
  <c r="FN65" i="39" s="1"/>
  <c r="HF70" i="39"/>
  <c r="HG70" i="39" s="1"/>
  <c r="GL75" i="39"/>
  <c r="HI75" i="39" s="1" a="1"/>
  <c r="HI75" i="39" s="1"/>
  <c r="FC25" i="39"/>
  <c r="FD25" i="39" s="1"/>
  <c r="FE25" i="39" s="1"/>
  <c r="FF25" i="39" s="1"/>
  <c r="FG25" i="39" s="1"/>
  <c r="FH25" i="39" s="1"/>
  <c r="FI25" i="39" s="1"/>
  <c r="FJ25" i="39" s="1"/>
  <c r="FK25" i="39" s="1"/>
  <c r="FL25" i="39" s="1"/>
  <c r="FM25" i="39" s="1"/>
  <c r="FN25" i="39" s="1"/>
  <c r="GL70" i="39"/>
  <c r="FQ65" i="39"/>
  <c r="FR65" i="39" s="1"/>
  <c r="FS65" i="39" s="1"/>
  <c r="FT65" i="39" s="1"/>
  <c r="FU65" i="39" s="1"/>
  <c r="FV65" i="39" s="1"/>
  <c r="FW65" i="39" s="1"/>
  <c r="FX65" i="39" s="1"/>
  <c r="FY65" i="39" s="1"/>
  <c r="FZ65" i="39" s="1"/>
  <c r="GA65" i="39" s="1"/>
  <c r="GB65" i="39" s="1"/>
  <c r="FQ18" i="39"/>
  <c r="FR18" i="39" s="1"/>
  <c r="FS18" i="39" s="1"/>
  <c r="FT18" i="39" s="1"/>
  <c r="FU18" i="39" s="1"/>
  <c r="FV18" i="39" s="1"/>
  <c r="FW18" i="39" s="1"/>
  <c r="FX18" i="39" s="1"/>
  <c r="FY18" i="39" s="1"/>
  <c r="FZ18" i="39" s="1"/>
  <c r="GA18" i="39" s="1"/>
  <c r="GB18" i="39" s="1"/>
  <c r="GM75" i="39"/>
  <c r="HJ75" i="39" s="1" a="1"/>
  <c r="HJ75" i="39" s="1"/>
  <c r="FQ25" i="39"/>
  <c r="FR25" i="39" s="1"/>
  <c r="FS25" i="39" s="1"/>
  <c r="FT25" i="39" s="1"/>
  <c r="FU25" i="39" s="1"/>
  <c r="FV25" i="39" s="1"/>
  <c r="FW25" i="39" s="1"/>
  <c r="FX25" i="39" s="1"/>
  <c r="FY25" i="39" s="1"/>
  <c r="FZ25" i="39" s="1"/>
  <c r="GA25" i="39" s="1"/>
  <c r="GB25" i="39" s="1"/>
  <c r="FQ70" i="39"/>
  <c r="FR70" i="39" s="1"/>
  <c r="FS70" i="39" s="1"/>
  <c r="FT70" i="39" s="1"/>
  <c r="FU70" i="39" s="1"/>
  <c r="FV70" i="39" s="1"/>
  <c r="FW70" i="39" s="1"/>
  <c r="FX70" i="39" s="1"/>
  <c r="FY70" i="39" s="1"/>
  <c r="FZ70" i="39" s="1"/>
  <c r="GA70" i="39" s="1"/>
  <c r="GB70" i="39" s="1"/>
  <c r="GM18" i="39"/>
  <c r="HJ18" i="39" s="1" a="1"/>
  <c r="HJ18" i="39" s="1"/>
  <c r="GL18" i="39"/>
  <c r="HI18" i="39" s="1" a="1"/>
  <c r="HI18" i="39" s="1"/>
  <c r="FC18" i="39"/>
  <c r="FD18" i="39" s="1"/>
  <c r="FE18" i="39" s="1"/>
  <c r="FF18" i="39" s="1"/>
  <c r="FG18" i="39" s="1"/>
  <c r="FH18" i="39" s="1"/>
  <c r="FI18" i="39" s="1"/>
  <c r="FJ18" i="39" s="1"/>
  <c r="FK18" i="39" s="1"/>
  <c r="FL18" i="39" s="1"/>
  <c r="FM18" i="39" s="1"/>
  <c r="FN18" i="39" s="1"/>
  <c r="FC75" i="39"/>
  <c r="FD75" i="39" s="1"/>
  <c r="FE75" i="39" s="1"/>
  <c r="FF75" i="39" s="1"/>
  <c r="FG75" i="39" s="1"/>
  <c r="FH75" i="39" s="1"/>
  <c r="FI75" i="39" s="1"/>
  <c r="FJ75" i="39" s="1"/>
  <c r="FK75" i="39" s="1"/>
  <c r="FL75" i="39" s="1"/>
  <c r="FM75" i="39" s="1"/>
  <c r="FN75" i="39" s="1"/>
  <c r="FC98" i="39"/>
  <c r="FD98" i="39" s="1"/>
  <c r="FE98" i="39" s="1"/>
  <c r="FF98" i="39" s="1"/>
  <c r="FG98" i="39" s="1"/>
  <c r="FH98" i="39" s="1"/>
  <c r="FI98" i="39" s="1"/>
  <c r="FJ98" i="39" s="1"/>
  <c r="FK98" i="39" s="1"/>
  <c r="FL98" i="39" s="1"/>
  <c r="FM98" i="39" s="1"/>
  <c r="FN98" i="39" s="1"/>
  <c r="GM100" i="39"/>
  <c r="FQ98" i="39"/>
  <c r="FR98" i="39" s="1"/>
  <c r="FS98" i="39" s="1"/>
  <c r="FT98" i="39" s="1"/>
  <c r="FU98" i="39" s="1"/>
  <c r="FV98" i="39" s="1"/>
  <c r="FW98" i="39" s="1"/>
  <c r="FX98" i="39" s="1"/>
  <c r="FY98" i="39" s="1"/>
  <c r="FZ98" i="39" s="1"/>
  <c r="GA98" i="39" s="1"/>
  <c r="GB98" i="39" s="1"/>
  <c r="GL100" i="39"/>
  <c r="HB65" i="39"/>
  <c r="HF100" i="39"/>
  <c r="HG100" i="39" s="1"/>
  <c r="FC100" i="39"/>
  <c r="FD100" i="39" s="1"/>
  <c r="FE100" i="39" s="1"/>
  <c r="FF100" i="39" s="1"/>
  <c r="FG100" i="39" s="1"/>
  <c r="FH100" i="39" s="1"/>
  <c r="FI100" i="39" s="1"/>
  <c r="FJ100" i="39" s="1"/>
  <c r="FK100" i="39" s="1"/>
  <c r="FL100" i="39" s="1"/>
  <c r="FM100" i="39" s="1"/>
  <c r="FN100" i="39" s="1"/>
  <c r="GM97" i="39"/>
  <c r="HJ97" i="39" s="1" a="1"/>
  <c r="HJ97" i="39" s="1"/>
  <c r="FQ106" i="39"/>
  <c r="FR106" i="39" s="1"/>
  <c r="FS106" i="39" s="1"/>
  <c r="FT106" i="39" s="1"/>
  <c r="FU106" i="39" s="1"/>
  <c r="FV106" i="39" s="1"/>
  <c r="FW106" i="39" s="1"/>
  <c r="FX106" i="39" s="1"/>
  <c r="FY106" i="39" s="1"/>
  <c r="FZ106" i="39" s="1"/>
  <c r="GA106" i="39" s="1"/>
  <c r="GB106" i="39" s="1"/>
  <c r="FC93" i="39"/>
  <c r="FD93" i="39" s="1"/>
  <c r="FE93" i="39" s="1"/>
  <c r="FF93" i="39" s="1"/>
  <c r="FG93" i="39" s="1"/>
  <c r="FH93" i="39" s="1"/>
  <c r="FI93" i="39" s="1"/>
  <c r="FJ93" i="39" s="1"/>
  <c r="FK93" i="39" s="1"/>
  <c r="FL93" i="39" s="1"/>
  <c r="FM93" i="39" s="1"/>
  <c r="FN93" i="39" s="1"/>
  <c r="GL106" i="39"/>
  <c r="HI106" i="39" s="1" a="1"/>
  <c r="HI106" i="39" s="1"/>
  <c r="GM32" i="39"/>
  <c r="HJ32" i="39" s="1" a="1"/>
  <c r="HJ32" i="39" s="1"/>
  <c r="GL111" i="39"/>
  <c r="HI111" i="39" s="1" a="1"/>
  <c r="HI111" i="39" s="1"/>
  <c r="GL32" i="39"/>
  <c r="HI32" i="39" s="1" a="1"/>
  <c r="HI32" i="39" s="1"/>
  <c r="GM111" i="39"/>
  <c r="HJ111" i="39" s="1" a="1"/>
  <c r="HJ111" i="39" s="1"/>
  <c r="FQ32" i="39"/>
  <c r="FR32" i="39" s="1"/>
  <c r="FS32" i="39" s="1"/>
  <c r="FT32" i="39" s="1"/>
  <c r="FU32" i="39" s="1"/>
  <c r="FV32" i="39" s="1"/>
  <c r="FW32" i="39" s="1"/>
  <c r="FX32" i="39" s="1"/>
  <c r="FY32" i="39" s="1"/>
  <c r="FZ32" i="39" s="1"/>
  <c r="GA32" i="39" s="1"/>
  <c r="GB32" i="39" s="1"/>
  <c r="FC111" i="39"/>
  <c r="FD111" i="39" s="1"/>
  <c r="FE111" i="39" s="1"/>
  <c r="FF111" i="39" s="1"/>
  <c r="FG111" i="39" s="1"/>
  <c r="FH111" i="39" s="1"/>
  <c r="FI111" i="39" s="1"/>
  <c r="FJ111" i="39" s="1"/>
  <c r="FK111" i="39" s="1"/>
  <c r="FL111" i="39" s="1"/>
  <c r="FM111" i="39" s="1"/>
  <c r="FN111" i="39" s="1"/>
  <c r="FC32" i="39"/>
  <c r="FD32" i="39" s="1"/>
  <c r="FE32" i="39" s="1"/>
  <c r="FF32" i="39" s="1"/>
  <c r="FG32" i="39" s="1"/>
  <c r="FH32" i="39" s="1"/>
  <c r="FI32" i="39" s="1"/>
  <c r="FJ32" i="39" s="1"/>
  <c r="FK32" i="39" s="1"/>
  <c r="FL32" i="39" s="1"/>
  <c r="FM32" i="39" s="1"/>
  <c r="FN32" i="39" s="1"/>
  <c r="FQ111" i="39"/>
  <c r="FR111" i="39" s="1"/>
  <c r="FS111" i="39" s="1"/>
  <c r="FT111" i="39" s="1"/>
  <c r="FU111" i="39" s="1"/>
  <c r="FV111" i="39" s="1"/>
  <c r="FW111" i="39" s="1"/>
  <c r="FX111" i="39" s="1"/>
  <c r="FY111" i="39" s="1"/>
  <c r="FZ111" i="39" s="1"/>
  <c r="GA111" i="39" s="1"/>
  <c r="GB111" i="39" s="1"/>
  <c r="HC38" i="39"/>
  <c r="GL93" i="39"/>
  <c r="HI93" i="39" s="1" a="1"/>
  <c r="HI93" i="39" s="1"/>
  <c r="GM106" i="39"/>
  <c r="HJ106" i="39" s="1" a="1"/>
  <c r="HJ106" i="39" s="1"/>
  <c r="FQ93" i="39"/>
  <c r="FR93" i="39" s="1"/>
  <c r="FS93" i="39" s="1"/>
  <c r="FT93" i="39" s="1"/>
  <c r="FU93" i="39" s="1"/>
  <c r="FV93" i="39" s="1"/>
  <c r="FW93" i="39" s="1"/>
  <c r="FX93" i="39" s="1"/>
  <c r="FY93" i="39" s="1"/>
  <c r="FZ93" i="39" s="1"/>
  <c r="GA93" i="39" s="1"/>
  <c r="GB93" i="39" s="1"/>
  <c r="GL96" i="39"/>
  <c r="HI96" i="39" s="1" a="1"/>
  <c r="HI96" i="39" s="1"/>
  <c r="FC106" i="39"/>
  <c r="FD106" i="39" s="1"/>
  <c r="FE106" i="39" s="1"/>
  <c r="FF106" i="39" s="1"/>
  <c r="FG106" i="39" s="1"/>
  <c r="FH106" i="39" s="1"/>
  <c r="FI106" i="39" s="1"/>
  <c r="FJ106" i="39" s="1"/>
  <c r="FK106" i="39" s="1"/>
  <c r="FL106" i="39" s="1"/>
  <c r="FM106" i="39" s="1"/>
  <c r="FN106" i="39" s="1"/>
  <c r="GM93" i="39"/>
  <c r="HJ93" i="39" s="1" a="1"/>
  <c r="HJ93" i="39" s="1"/>
  <c r="GM37" i="39"/>
  <c r="HJ37" i="39" s="1" a="1"/>
  <c r="HJ37" i="39" s="1"/>
  <c r="FQ85" i="39"/>
  <c r="FR85" i="39" s="1"/>
  <c r="FS85" i="39" s="1"/>
  <c r="FT85" i="39" s="1"/>
  <c r="FU85" i="39" s="1"/>
  <c r="FV85" i="39" s="1"/>
  <c r="FW85" i="39" s="1"/>
  <c r="FX85" i="39" s="1"/>
  <c r="FY85" i="39" s="1"/>
  <c r="FZ85" i="39" s="1"/>
  <c r="GA85" i="39" s="1"/>
  <c r="GB85" i="39" s="1"/>
  <c r="GM85" i="39"/>
  <c r="HJ85" i="39" s="1" a="1"/>
  <c r="HJ85" i="39" s="1"/>
  <c r="GL85" i="39"/>
  <c r="HI85" i="39" s="1" a="1"/>
  <c r="HI85" i="39" s="1"/>
  <c r="FC85" i="39"/>
  <c r="FD85" i="39" s="1"/>
  <c r="FE85" i="39" s="1"/>
  <c r="FF85" i="39" s="1"/>
  <c r="FG85" i="39" s="1"/>
  <c r="FH85" i="39" s="1"/>
  <c r="FI85" i="39" s="1"/>
  <c r="FJ85" i="39" s="1"/>
  <c r="FK85" i="39" s="1"/>
  <c r="FL85" i="39" s="1"/>
  <c r="FM85" i="39" s="1"/>
  <c r="FN85" i="39" s="1"/>
  <c r="GL57" i="39"/>
  <c r="GM57" i="39"/>
  <c r="GM41" i="39"/>
  <c r="GL88" i="39"/>
  <c r="FC41" i="39"/>
  <c r="FD41" i="39" s="1"/>
  <c r="FE41" i="39" s="1"/>
  <c r="FF41" i="39" s="1"/>
  <c r="FG41" i="39" s="1"/>
  <c r="FH41" i="39" s="1"/>
  <c r="FI41" i="39" s="1"/>
  <c r="FJ41" i="39" s="1"/>
  <c r="FK41" i="39" s="1"/>
  <c r="FL41" i="39" s="1"/>
  <c r="FM41" i="39" s="1"/>
  <c r="FN41" i="39" s="1"/>
  <c r="FC37" i="39"/>
  <c r="FD37" i="39" s="1"/>
  <c r="FE37" i="39" s="1"/>
  <c r="FF37" i="39" s="1"/>
  <c r="FG37" i="39" s="1"/>
  <c r="FH37" i="39" s="1"/>
  <c r="FI37" i="39" s="1"/>
  <c r="FJ37" i="39" s="1"/>
  <c r="FK37" i="39" s="1"/>
  <c r="FL37" i="39" s="1"/>
  <c r="FM37" i="39" s="1"/>
  <c r="FN37" i="39" s="1"/>
  <c r="FQ30" i="39"/>
  <c r="FR30" i="39" s="1"/>
  <c r="FS30" i="39" s="1"/>
  <c r="FT30" i="39" s="1"/>
  <c r="FU30" i="39" s="1"/>
  <c r="FV30" i="39" s="1"/>
  <c r="FW30" i="39" s="1"/>
  <c r="FX30" i="39" s="1"/>
  <c r="FY30" i="39" s="1"/>
  <c r="FZ30" i="39" s="1"/>
  <c r="GA30" i="39" s="1"/>
  <c r="GB30" i="39" s="1"/>
  <c r="HC78" i="39"/>
  <c r="GM58" i="39"/>
  <c r="GL58" i="39"/>
  <c r="FC58" i="39"/>
  <c r="FD58" i="39" s="1"/>
  <c r="FE58" i="39" s="1"/>
  <c r="FF58" i="39" s="1"/>
  <c r="FG58" i="39" s="1"/>
  <c r="FH58" i="39" s="1"/>
  <c r="FI58" i="39" s="1"/>
  <c r="FJ58" i="39" s="1"/>
  <c r="FK58" i="39" s="1"/>
  <c r="FL58" i="39" s="1"/>
  <c r="FM58" i="39" s="1"/>
  <c r="FN58" i="39" s="1"/>
  <c r="GM61" i="39"/>
  <c r="HJ61" i="39" s="1" a="1"/>
  <c r="HJ61" i="39" s="1"/>
  <c r="GM96" i="39"/>
  <c r="HJ96" i="39" s="1" a="1"/>
  <c r="HJ96" i="39" s="1"/>
  <c r="FC96" i="39"/>
  <c r="FD96" i="39" s="1"/>
  <c r="FE96" i="39" s="1"/>
  <c r="FF96" i="39" s="1"/>
  <c r="FG96" i="39" s="1"/>
  <c r="FH96" i="39" s="1"/>
  <c r="FI96" i="39" s="1"/>
  <c r="FJ96" i="39" s="1"/>
  <c r="FK96" i="39" s="1"/>
  <c r="FL96" i="39" s="1"/>
  <c r="FM96" i="39" s="1"/>
  <c r="FN96" i="39" s="1"/>
  <c r="FQ96" i="39"/>
  <c r="FR96" i="39" s="1"/>
  <c r="FS96" i="39" s="1"/>
  <c r="FT96" i="39" s="1"/>
  <c r="FU96" i="39" s="1"/>
  <c r="FV96" i="39" s="1"/>
  <c r="FW96" i="39" s="1"/>
  <c r="FX96" i="39" s="1"/>
  <c r="FY96" i="39" s="1"/>
  <c r="FZ96" i="39" s="1"/>
  <c r="GA96" i="39" s="1"/>
  <c r="GB96" i="39" s="1"/>
  <c r="FC61" i="39"/>
  <c r="FD61" i="39" s="1"/>
  <c r="FE61" i="39" s="1"/>
  <c r="FF61" i="39" s="1"/>
  <c r="FG61" i="39" s="1"/>
  <c r="FH61" i="39" s="1"/>
  <c r="FI61" i="39" s="1"/>
  <c r="FJ61" i="39" s="1"/>
  <c r="FK61" i="39" s="1"/>
  <c r="FL61" i="39" s="1"/>
  <c r="FM61" i="39" s="1"/>
  <c r="FN61" i="39" s="1"/>
  <c r="FC71" i="39"/>
  <c r="FD71" i="39" s="1"/>
  <c r="FE71" i="39" s="1"/>
  <c r="FF71" i="39" s="1"/>
  <c r="FG71" i="39" s="1"/>
  <c r="FH71" i="39" s="1"/>
  <c r="FI71" i="39" s="1"/>
  <c r="FJ71" i="39" s="1"/>
  <c r="FK71" i="39" s="1"/>
  <c r="FL71" i="39" s="1"/>
  <c r="FM71" i="39" s="1"/>
  <c r="FN71" i="39" s="1"/>
  <c r="FQ105" i="39"/>
  <c r="FR105" i="39" s="1"/>
  <c r="FS105" i="39" s="1"/>
  <c r="FT105" i="39" s="1"/>
  <c r="FU105" i="39" s="1"/>
  <c r="FV105" i="39" s="1"/>
  <c r="FW105" i="39" s="1"/>
  <c r="FX105" i="39" s="1"/>
  <c r="FY105" i="39" s="1"/>
  <c r="FZ105" i="39" s="1"/>
  <c r="GA105" i="39" s="1"/>
  <c r="GB105" i="39" s="1"/>
  <c r="HF105" i="39"/>
  <c r="HG105" i="39" s="1"/>
  <c r="GL86" i="39"/>
  <c r="HI86" i="39" s="1" a="1"/>
  <c r="HI86" i="39" s="1"/>
  <c r="HF71" i="39"/>
  <c r="HG71" i="39" s="1"/>
  <c r="HJ71" i="39" s="1" a="1"/>
  <c r="HJ71" i="39" s="1"/>
  <c r="GM86" i="39"/>
  <c r="HJ86" i="39" s="1" a="1"/>
  <c r="HJ86" i="39" s="1"/>
  <c r="FQ86" i="39"/>
  <c r="FR86" i="39" s="1"/>
  <c r="FS86" i="39" s="1"/>
  <c r="FT86" i="39" s="1"/>
  <c r="FU86" i="39" s="1"/>
  <c r="FV86" i="39" s="1"/>
  <c r="FW86" i="39" s="1"/>
  <c r="FX86" i="39" s="1"/>
  <c r="FY86" i="39" s="1"/>
  <c r="FZ86" i="39" s="1"/>
  <c r="GA86" i="39" s="1"/>
  <c r="GB86" i="39" s="1"/>
  <c r="FC86" i="39"/>
  <c r="FD86" i="39" s="1"/>
  <c r="FE86" i="39" s="1"/>
  <c r="FF86" i="39" s="1"/>
  <c r="FG86" i="39" s="1"/>
  <c r="FH86" i="39" s="1"/>
  <c r="FI86" i="39" s="1"/>
  <c r="FJ86" i="39" s="1"/>
  <c r="FK86" i="39" s="1"/>
  <c r="FL86" i="39" s="1"/>
  <c r="FM86" i="39" s="1"/>
  <c r="FN86" i="39" s="1"/>
  <c r="FQ71" i="39"/>
  <c r="FR71" i="39" s="1"/>
  <c r="FS71" i="39" s="1"/>
  <c r="FT71" i="39" s="1"/>
  <c r="FU71" i="39" s="1"/>
  <c r="FV71" i="39" s="1"/>
  <c r="FW71" i="39" s="1"/>
  <c r="FX71" i="39" s="1"/>
  <c r="FY71" i="39" s="1"/>
  <c r="FZ71" i="39" s="1"/>
  <c r="GA71" i="39" s="1"/>
  <c r="GB71" i="39" s="1"/>
  <c r="FQ37" i="39"/>
  <c r="FR37" i="39" s="1"/>
  <c r="FS37" i="39" s="1"/>
  <c r="FT37" i="39" s="1"/>
  <c r="FU37" i="39" s="1"/>
  <c r="FV37" i="39" s="1"/>
  <c r="FW37" i="39" s="1"/>
  <c r="FX37" i="39" s="1"/>
  <c r="FY37" i="39" s="1"/>
  <c r="FZ37" i="39" s="1"/>
  <c r="GA37" i="39" s="1"/>
  <c r="GB37" i="39" s="1"/>
  <c r="HC36" i="39"/>
  <c r="GL37" i="39"/>
  <c r="HI37" i="39" s="1" a="1"/>
  <c r="HI37" i="39" s="1"/>
  <c r="GM98" i="39"/>
  <c r="HJ98" i="39" s="1" a="1"/>
  <c r="HJ98" i="39" s="1"/>
  <c r="GL98" i="39"/>
  <c r="HI98" i="39" s="1" a="1"/>
  <c r="HI98" i="39" s="1"/>
  <c r="HB72" i="39"/>
  <c r="GL97" i="39"/>
  <c r="HI97" i="39" s="1" a="1"/>
  <c r="HI97" i="39" s="1"/>
  <c r="FQ97" i="39"/>
  <c r="FR97" i="39" s="1"/>
  <c r="FS97" i="39" s="1"/>
  <c r="FT97" i="39" s="1"/>
  <c r="FU97" i="39" s="1"/>
  <c r="FV97" i="39" s="1"/>
  <c r="FW97" i="39" s="1"/>
  <c r="FX97" i="39" s="1"/>
  <c r="FY97" i="39" s="1"/>
  <c r="FZ97" i="39" s="1"/>
  <c r="GA97" i="39" s="1"/>
  <c r="GB97" i="39" s="1"/>
  <c r="FC97" i="39"/>
  <c r="FD97" i="39" s="1"/>
  <c r="FE97" i="39" s="1"/>
  <c r="FF97" i="39" s="1"/>
  <c r="FG97" i="39" s="1"/>
  <c r="FH97" i="39" s="1"/>
  <c r="FI97" i="39" s="1"/>
  <c r="FJ97" i="39" s="1"/>
  <c r="FK97" i="39" s="1"/>
  <c r="FL97" i="39" s="1"/>
  <c r="FM97" i="39" s="1"/>
  <c r="FN97" i="39" s="1"/>
  <c r="HI20" i="39" a="1"/>
  <c r="HI20" i="39" s="1"/>
  <c r="HF48" i="39"/>
  <c r="HG48" i="39" s="1"/>
  <c r="FQ61" i="39"/>
  <c r="FR61" i="39" s="1"/>
  <c r="FS61" i="39" s="1"/>
  <c r="FT61" i="39" s="1"/>
  <c r="FU61" i="39" s="1"/>
  <c r="FV61" i="39" s="1"/>
  <c r="FW61" i="39" s="1"/>
  <c r="FX61" i="39" s="1"/>
  <c r="FY61" i="39" s="1"/>
  <c r="FZ61" i="39" s="1"/>
  <c r="GA61" i="39" s="1"/>
  <c r="GB61" i="39" s="1"/>
  <c r="GL61" i="39"/>
  <c r="HI61" i="39" s="1" a="1"/>
  <c r="HI61" i="39" s="1"/>
  <c r="GL48" i="39"/>
  <c r="GM48" i="39"/>
  <c r="FC48" i="39"/>
  <c r="FD48" i="39" s="1"/>
  <c r="FE48" i="39" s="1"/>
  <c r="FF48" i="39" s="1"/>
  <c r="FG48" i="39" s="1"/>
  <c r="FH48" i="39" s="1"/>
  <c r="FI48" i="39" s="1"/>
  <c r="FJ48" i="39" s="1"/>
  <c r="FK48" i="39" s="1"/>
  <c r="FL48" i="39" s="1"/>
  <c r="FM48" i="39" s="1"/>
  <c r="FN48" i="39" s="1"/>
  <c r="HC30" i="39"/>
  <c r="GL27" i="39"/>
  <c r="HI27" i="39" s="1" a="1"/>
  <c r="HI27" i="39" s="1"/>
  <c r="HF30" i="39"/>
  <c r="HG30" i="39" s="1"/>
  <c r="HI30" i="39" s="1" a="1"/>
  <c r="HI30" i="39" s="1"/>
  <c r="FC27" i="39"/>
  <c r="FD27" i="39" s="1"/>
  <c r="FE27" i="39" s="1"/>
  <c r="FF27" i="39" s="1"/>
  <c r="FG27" i="39" s="1"/>
  <c r="FH27" i="39" s="1"/>
  <c r="FI27" i="39" s="1"/>
  <c r="FJ27" i="39" s="1"/>
  <c r="FK27" i="39" s="1"/>
  <c r="FL27" i="39" s="1"/>
  <c r="FM27" i="39" s="1"/>
  <c r="FN27" i="39" s="1"/>
  <c r="GM105" i="39"/>
  <c r="GM27" i="39"/>
  <c r="HJ27" i="39" s="1" a="1"/>
  <c r="HJ27" i="39" s="1"/>
  <c r="GM30" i="39"/>
  <c r="GL105" i="39"/>
  <c r="GL71" i="39"/>
  <c r="FC30" i="39"/>
  <c r="FD30" i="39" s="1"/>
  <c r="FE30" i="39" s="1"/>
  <c r="FF30" i="39" s="1"/>
  <c r="FG30" i="39" s="1"/>
  <c r="FH30" i="39" s="1"/>
  <c r="FI30" i="39" s="1"/>
  <c r="FJ30" i="39" s="1"/>
  <c r="FK30" i="39" s="1"/>
  <c r="FL30" i="39" s="1"/>
  <c r="FM30" i="39" s="1"/>
  <c r="FN30" i="39" s="1"/>
  <c r="FQ27" i="39"/>
  <c r="FR27" i="39" s="1"/>
  <c r="FS27" i="39" s="1"/>
  <c r="FT27" i="39" s="1"/>
  <c r="FU27" i="39" s="1"/>
  <c r="FV27" i="39" s="1"/>
  <c r="FW27" i="39" s="1"/>
  <c r="FX27" i="39" s="1"/>
  <c r="FY27" i="39" s="1"/>
  <c r="FZ27" i="39" s="1"/>
  <c r="GA27" i="39" s="1"/>
  <c r="GB27" i="39" s="1"/>
  <c r="FQ49" i="39"/>
  <c r="FR49" i="39" s="1"/>
  <c r="FS49" i="39" s="1"/>
  <c r="FT49" i="39" s="1"/>
  <c r="FU49" i="39" s="1"/>
  <c r="FV49" i="39" s="1"/>
  <c r="FW49" i="39" s="1"/>
  <c r="FX49" i="39" s="1"/>
  <c r="FY49" i="39" s="1"/>
  <c r="FZ49" i="39" s="1"/>
  <c r="GA49" i="39" s="1"/>
  <c r="GB49" i="39" s="1"/>
  <c r="FC49" i="39"/>
  <c r="FD49" i="39" s="1"/>
  <c r="FE49" i="39" s="1"/>
  <c r="FF49" i="39" s="1"/>
  <c r="FG49" i="39" s="1"/>
  <c r="FH49" i="39" s="1"/>
  <c r="FI49" i="39" s="1"/>
  <c r="FJ49" i="39" s="1"/>
  <c r="FK49" i="39" s="1"/>
  <c r="FL49" i="39" s="1"/>
  <c r="FM49" i="39" s="1"/>
  <c r="FN49" i="39" s="1"/>
  <c r="GM49" i="39"/>
  <c r="GL49" i="39"/>
  <c r="HF49" i="39"/>
  <c r="HG49" i="39" s="1"/>
  <c r="FC23" i="39"/>
  <c r="FD23" i="39" s="1"/>
  <c r="FE23" i="39" s="1"/>
  <c r="FF23" i="39" s="1"/>
  <c r="FG23" i="39" s="1"/>
  <c r="FH23" i="39" s="1"/>
  <c r="FI23" i="39" s="1"/>
  <c r="FJ23" i="39" s="1"/>
  <c r="FK23" i="39" s="1"/>
  <c r="FL23" i="39" s="1"/>
  <c r="FM23" i="39" s="1"/>
  <c r="FN23" i="39" s="1"/>
  <c r="FQ23" i="39"/>
  <c r="FR23" i="39" s="1"/>
  <c r="FS23" i="39" s="1"/>
  <c r="FT23" i="39" s="1"/>
  <c r="FU23" i="39" s="1"/>
  <c r="FV23" i="39" s="1"/>
  <c r="FW23" i="39" s="1"/>
  <c r="FX23" i="39" s="1"/>
  <c r="FY23" i="39" s="1"/>
  <c r="FZ23" i="39" s="1"/>
  <c r="GA23" i="39" s="1"/>
  <c r="GB23" i="39" s="1"/>
  <c r="GM23" i="39"/>
  <c r="GL23" i="39"/>
  <c r="FQ83" i="39"/>
  <c r="FR83" i="39" s="1"/>
  <c r="FS83" i="39" s="1"/>
  <c r="FT83" i="39" s="1"/>
  <c r="FU83" i="39" s="1"/>
  <c r="FV83" i="39" s="1"/>
  <c r="FW83" i="39" s="1"/>
  <c r="FX83" i="39" s="1"/>
  <c r="FY83" i="39" s="1"/>
  <c r="FZ83" i="39" s="1"/>
  <c r="GA83" i="39" s="1"/>
  <c r="GB83" i="39" s="1"/>
  <c r="FC83" i="39"/>
  <c r="FD83" i="39" s="1"/>
  <c r="FE83" i="39" s="1"/>
  <c r="FF83" i="39" s="1"/>
  <c r="FG83" i="39" s="1"/>
  <c r="FH83" i="39" s="1"/>
  <c r="FI83" i="39" s="1"/>
  <c r="FJ83" i="39" s="1"/>
  <c r="FK83" i="39" s="1"/>
  <c r="FL83" i="39" s="1"/>
  <c r="FM83" i="39" s="1"/>
  <c r="FN83" i="39" s="1"/>
  <c r="GL83" i="39"/>
  <c r="GM83" i="39"/>
  <c r="HF83" i="39"/>
  <c r="HG83" i="39" s="1"/>
  <c r="HC21" i="39"/>
  <c r="HB21" i="39"/>
  <c r="HB54" i="39"/>
  <c r="HC54" i="39"/>
  <c r="FC102" i="39"/>
  <c r="FD102" i="39" s="1"/>
  <c r="FE102" i="39" s="1"/>
  <c r="FF102" i="39" s="1"/>
  <c r="FG102" i="39" s="1"/>
  <c r="FH102" i="39" s="1"/>
  <c r="FI102" i="39" s="1"/>
  <c r="FJ102" i="39" s="1"/>
  <c r="FK102" i="39" s="1"/>
  <c r="FL102" i="39" s="1"/>
  <c r="FM102" i="39" s="1"/>
  <c r="FN102" i="39" s="1"/>
  <c r="FQ102" i="39"/>
  <c r="FR102" i="39" s="1"/>
  <c r="FS102" i="39" s="1"/>
  <c r="FT102" i="39" s="1"/>
  <c r="FU102" i="39" s="1"/>
  <c r="FV102" i="39" s="1"/>
  <c r="FW102" i="39" s="1"/>
  <c r="FX102" i="39" s="1"/>
  <c r="FY102" i="39" s="1"/>
  <c r="FZ102" i="39" s="1"/>
  <c r="GA102" i="39" s="1"/>
  <c r="GB102" i="39" s="1"/>
  <c r="GL102" i="39"/>
  <c r="HI102" i="39" s="1" a="1"/>
  <c r="HI102" i="39" s="1"/>
  <c r="GM102" i="39"/>
  <c r="HJ102" i="39" s="1" a="1"/>
  <c r="HJ102" i="39" s="1"/>
  <c r="FQ40" i="39"/>
  <c r="FR40" i="39" s="1"/>
  <c r="FS40" i="39" s="1"/>
  <c r="FT40" i="39" s="1"/>
  <c r="FU40" i="39" s="1"/>
  <c r="FV40" i="39" s="1"/>
  <c r="FW40" i="39" s="1"/>
  <c r="FX40" i="39" s="1"/>
  <c r="FY40" i="39" s="1"/>
  <c r="FZ40" i="39" s="1"/>
  <c r="GA40" i="39" s="1"/>
  <c r="GB40" i="39" s="1"/>
  <c r="FC40" i="39"/>
  <c r="FD40" i="39" s="1"/>
  <c r="FE40" i="39" s="1"/>
  <c r="FF40" i="39" s="1"/>
  <c r="FG40" i="39" s="1"/>
  <c r="FH40" i="39" s="1"/>
  <c r="FI40" i="39" s="1"/>
  <c r="FJ40" i="39" s="1"/>
  <c r="FK40" i="39" s="1"/>
  <c r="FL40" i="39" s="1"/>
  <c r="FM40" i="39" s="1"/>
  <c r="FN40" i="39" s="1"/>
  <c r="GM40" i="39"/>
  <c r="HJ40" i="39" s="1" a="1"/>
  <c r="HJ40" i="39" s="1"/>
  <c r="GL40" i="39"/>
  <c r="HI40" i="39" s="1" a="1"/>
  <c r="HI40" i="39" s="1"/>
  <c r="HB49" i="39"/>
  <c r="HC49" i="39"/>
  <c r="GL73" i="39"/>
  <c r="HI73" i="39" s="1" a="1"/>
  <c r="HI73" i="39" s="1"/>
  <c r="FC73" i="39"/>
  <c r="FD73" i="39" s="1"/>
  <c r="FE73" i="39" s="1"/>
  <c r="FF73" i="39" s="1"/>
  <c r="FG73" i="39" s="1"/>
  <c r="FH73" i="39" s="1"/>
  <c r="FI73" i="39" s="1"/>
  <c r="FJ73" i="39" s="1"/>
  <c r="FK73" i="39" s="1"/>
  <c r="FL73" i="39" s="1"/>
  <c r="FM73" i="39" s="1"/>
  <c r="FN73" i="39" s="1"/>
  <c r="FQ73" i="39"/>
  <c r="FR73" i="39" s="1"/>
  <c r="FS73" i="39" s="1"/>
  <c r="FT73" i="39" s="1"/>
  <c r="FU73" i="39" s="1"/>
  <c r="FV73" i="39" s="1"/>
  <c r="FW73" i="39" s="1"/>
  <c r="FX73" i="39" s="1"/>
  <c r="FY73" i="39" s="1"/>
  <c r="FZ73" i="39" s="1"/>
  <c r="GA73" i="39" s="1"/>
  <c r="GB73" i="39" s="1"/>
  <c r="GM73" i="39"/>
  <c r="HJ73" i="39" s="1" a="1"/>
  <c r="HJ73" i="39" s="1"/>
  <c r="HB40" i="39"/>
  <c r="HC40" i="39"/>
  <c r="FC101" i="39"/>
  <c r="FD101" i="39" s="1"/>
  <c r="FE101" i="39" s="1"/>
  <c r="FF101" i="39" s="1"/>
  <c r="FG101" i="39" s="1"/>
  <c r="FH101" i="39" s="1"/>
  <c r="FI101" i="39" s="1"/>
  <c r="FJ101" i="39" s="1"/>
  <c r="FK101" i="39" s="1"/>
  <c r="FL101" i="39" s="1"/>
  <c r="FM101" i="39" s="1"/>
  <c r="FN101" i="39" s="1"/>
  <c r="FQ101" i="39"/>
  <c r="FR101" i="39" s="1"/>
  <c r="FS101" i="39" s="1"/>
  <c r="FT101" i="39" s="1"/>
  <c r="FU101" i="39" s="1"/>
  <c r="FV101" i="39" s="1"/>
  <c r="FW101" i="39" s="1"/>
  <c r="FX101" i="39" s="1"/>
  <c r="FY101" i="39" s="1"/>
  <c r="FZ101" i="39" s="1"/>
  <c r="GA101" i="39" s="1"/>
  <c r="GB101" i="39" s="1"/>
  <c r="GL101" i="39"/>
  <c r="GM101" i="39"/>
  <c r="HF101" i="39"/>
  <c r="HG101" i="39" s="1"/>
  <c r="HB116" i="39"/>
  <c r="HC116" i="39"/>
  <c r="HB56" i="39"/>
  <c r="HC56" i="39"/>
  <c r="FQ109" i="39"/>
  <c r="FR109" i="39" s="1"/>
  <c r="FS109" i="39" s="1"/>
  <c r="FT109" i="39" s="1"/>
  <c r="FU109" i="39" s="1"/>
  <c r="FV109" i="39" s="1"/>
  <c r="FW109" i="39" s="1"/>
  <c r="FX109" i="39" s="1"/>
  <c r="FY109" i="39" s="1"/>
  <c r="FZ109" i="39" s="1"/>
  <c r="GA109" i="39" s="1"/>
  <c r="GB109" i="39" s="1"/>
  <c r="FC109" i="39"/>
  <c r="FD109" i="39" s="1"/>
  <c r="FE109" i="39" s="1"/>
  <c r="FF109" i="39" s="1"/>
  <c r="FG109" i="39" s="1"/>
  <c r="FH109" i="39" s="1"/>
  <c r="FI109" i="39" s="1"/>
  <c r="FJ109" i="39" s="1"/>
  <c r="FK109" i="39" s="1"/>
  <c r="FL109" i="39" s="1"/>
  <c r="FM109" i="39" s="1"/>
  <c r="FN109" i="39" s="1"/>
  <c r="GL109" i="39"/>
  <c r="GM109" i="39"/>
  <c r="FC51" i="39"/>
  <c r="FD51" i="39" s="1"/>
  <c r="FE51" i="39" s="1"/>
  <c r="FF51" i="39" s="1"/>
  <c r="FG51" i="39" s="1"/>
  <c r="FH51" i="39" s="1"/>
  <c r="FI51" i="39" s="1"/>
  <c r="FJ51" i="39" s="1"/>
  <c r="FK51" i="39" s="1"/>
  <c r="FL51" i="39" s="1"/>
  <c r="FM51" i="39" s="1"/>
  <c r="FN51" i="39" s="1"/>
  <c r="FQ51" i="39"/>
  <c r="FR51" i="39" s="1"/>
  <c r="FS51" i="39" s="1"/>
  <c r="FT51" i="39" s="1"/>
  <c r="FU51" i="39" s="1"/>
  <c r="FV51" i="39" s="1"/>
  <c r="FW51" i="39" s="1"/>
  <c r="FX51" i="39" s="1"/>
  <c r="FY51" i="39" s="1"/>
  <c r="FZ51" i="39" s="1"/>
  <c r="GA51" i="39" s="1"/>
  <c r="GB51" i="39" s="1"/>
  <c r="GM51" i="39"/>
  <c r="HJ51" i="39" s="1" a="1"/>
  <c r="HJ51" i="39" s="1"/>
  <c r="GL51" i="39"/>
  <c r="HI51" i="39" s="1" a="1"/>
  <c r="HI51" i="39" s="1"/>
  <c r="FC68" i="39"/>
  <c r="FD68" i="39" s="1"/>
  <c r="FE68" i="39" s="1"/>
  <c r="FF68" i="39" s="1"/>
  <c r="FG68" i="39" s="1"/>
  <c r="FH68" i="39" s="1"/>
  <c r="FI68" i="39" s="1"/>
  <c r="FJ68" i="39" s="1"/>
  <c r="FK68" i="39" s="1"/>
  <c r="FL68" i="39" s="1"/>
  <c r="FM68" i="39" s="1"/>
  <c r="FN68" i="39" s="1"/>
  <c r="FQ68" i="39"/>
  <c r="FR68" i="39" s="1"/>
  <c r="FS68" i="39" s="1"/>
  <c r="FT68" i="39" s="1"/>
  <c r="FU68" i="39" s="1"/>
  <c r="FV68" i="39" s="1"/>
  <c r="FW68" i="39" s="1"/>
  <c r="FX68" i="39" s="1"/>
  <c r="FY68" i="39" s="1"/>
  <c r="FZ68" i="39" s="1"/>
  <c r="GA68" i="39" s="1"/>
  <c r="GB68" i="39" s="1"/>
  <c r="GL68" i="39"/>
  <c r="GM68" i="39"/>
  <c r="GM99" i="39"/>
  <c r="FC99" i="39"/>
  <c r="FD99" i="39" s="1"/>
  <c r="FE99" i="39" s="1"/>
  <c r="FF99" i="39" s="1"/>
  <c r="FG99" i="39" s="1"/>
  <c r="FH99" i="39" s="1"/>
  <c r="FI99" i="39" s="1"/>
  <c r="FJ99" i="39" s="1"/>
  <c r="FK99" i="39" s="1"/>
  <c r="FL99" i="39" s="1"/>
  <c r="FM99" i="39" s="1"/>
  <c r="FN99" i="39" s="1"/>
  <c r="FQ99" i="39"/>
  <c r="FR99" i="39" s="1"/>
  <c r="FS99" i="39" s="1"/>
  <c r="FT99" i="39" s="1"/>
  <c r="FU99" i="39" s="1"/>
  <c r="FV99" i="39" s="1"/>
  <c r="FW99" i="39" s="1"/>
  <c r="FX99" i="39" s="1"/>
  <c r="FY99" i="39" s="1"/>
  <c r="FZ99" i="39" s="1"/>
  <c r="GA99" i="39" s="1"/>
  <c r="GB99" i="39" s="1"/>
  <c r="GL99" i="39"/>
  <c r="FC42" i="39"/>
  <c r="FD42" i="39" s="1"/>
  <c r="FE42" i="39" s="1"/>
  <c r="FF42" i="39" s="1"/>
  <c r="FG42" i="39" s="1"/>
  <c r="FH42" i="39" s="1"/>
  <c r="FI42" i="39" s="1"/>
  <c r="FJ42" i="39" s="1"/>
  <c r="FK42" i="39" s="1"/>
  <c r="FL42" i="39" s="1"/>
  <c r="FM42" i="39" s="1"/>
  <c r="FN42" i="39" s="1"/>
  <c r="FQ42" i="39"/>
  <c r="FR42" i="39" s="1"/>
  <c r="FS42" i="39" s="1"/>
  <c r="FT42" i="39" s="1"/>
  <c r="FU42" i="39" s="1"/>
  <c r="FV42" i="39" s="1"/>
  <c r="FW42" i="39" s="1"/>
  <c r="FX42" i="39" s="1"/>
  <c r="FY42" i="39" s="1"/>
  <c r="FZ42" i="39" s="1"/>
  <c r="GA42" i="39" s="1"/>
  <c r="GB42" i="39" s="1"/>
  <c r="GL42" i="39"/>
  <c r="HI42" i="39" s="1" a="1"/>
  <c r="HI42" i="39" s="1"/>
  <c r="GM42" i="39"/>
  <c r="HJ42" i="39" s="1" a="1"/>
  <c r="HJ42" i="39" s="1"/>
  <c r="HC92" i="39"/>
  <c r="HB92" i="39"/>
  <c r="FQ116" i="39"/>
  <c r="FR116" i="39" s="1"/>
  <c r="FS116" i="39" s="1"/>
  <c r="FT116" i="39" s="1"/>
  <c r="FU116" i="39" s="1"/>
  <c r="FV116" i="39" s="1"/>
  <c r="FW116" i="39" s="1"/>
  <c r="FX116" i="39" s="1"/>
  <c r="FY116" i="39" s="1"/>
  <c r="FZ116" i="39" s="1"/>
  <c r="GA116" i="39" s="1"/>
  <c r="GB116" i="39" s="1"/>
  <c r="FC116" i="39"/>
  <c r="FD116" i="39" s="1"/>
  <c r="FE116" i="39" s="1"/>
  <c r="FF116" i="39" s="1"/>
  <c r="FG116" i="39" s="1"/>
  <c r="FH116" i="39" s="1"/>
  <c r="FI116" i="39" s="1"/>
  <c r="FJ116" i="39" s="1"/>
  <c r="FK116" i="39" s="1"/>
  <c r="FL116" i="39" s="1"/>
  <c r="FM116" i="39" s="1"/>
  <c r="FN116" i="39" s="1"/>
  <c r="GM116" i="39"/>
  <c r="HJ116" i="39" s="1" a="1"/>
  <c r="HJ116" i="39" s="1"/>
  <c r="GL116" i="39"/>
  <c r="HI116" i="39" s="1" a="1"/>
  <c r="HI116" i="39" s="1"/>
  <c r="FC103" i="39"/>
  <c r="FD103" i="39" s="1"/>
  <c r="FE103" i="39" s="1"/>
  <c r="FF103" i="39" s="1"/>
  <c r="FG103" i="39" s="1"/>
  <c r="FH103" i="39" s="1"/>
  <c r="FI103" i="39" s="1"/>
  <c r="FJ103" i="39" s="1"/>
  <c r="FK103" i="39" s="1"/>
  <c r="FL103" i="39" s="1"/>
  <c r="FM103" i="39" s="1"/>
  <c r="FN103" i="39" s="1"/>
  <c r="FQ103" i="39"/>
  <c r="FR103" i="39" s="1"/>
  <c r="FS103" i="39" s="1"/>
  <c r="FT103" i="39" s="1"/>
  <c r="FU103" i="39" s="1"/>
  <c r="FV103" i="39" s="1"/>
  <c r="FW103" i="39" s="1"/>
  <c r="FX103" i="39" s="1"/>
  <c r="FY103" i="39" s="1"/>
  <c r="FZ103" i="39" s="1"/>
  <c r="GA103" i="39" s="1"/>
  <c r="GB103" i="39" s="1"/>
  <c r="GM103" i="39"/>
  <c r="GL103" i="39"/>
  <c r="FC54" i="39"/>
  <c r="FD54" i="39" s="1"/>
  <c r="FE54" i="39" s="1"/>
  <c r="FF54" i="39" s="1"/>
  <c r="FG54" i="39" s="1"/>
  <c r="FH54" i="39" s="1"/>
  <c r="FI54" i="39" s="1"/>
  <c r="FJ54" i="39" s="1"/>
  <c r="FK54" i="39" s="1"/>
  <c r="FL54" i="39" s="1"/>
  <c r="FM54" i="39" s="1"/>
  <c r="FN54" i="39" s="1"/>
  <c r="FQ54" i="39"/>
  <c r="FR54" i="39" s="1"/>
  <c r="FS54" i="39" s="1"/>
  <c r="FT54" i="39" s="1"/>
  <c r="FU54" i="39" s="1"/>
  <c r="FV54" i="39" s="1"/>
  <c r="FW54" i="39" s="1"/>
  <c r="FX54" i="39" s="1"/>
  <c r="FY54" i="39" s="1"/>
  <c r="FZ54" i="39" s="1"/>
  <c r="GA54" i="39" s="1"/>
  <c r="GB54" i="39" s="1"/>
  <c r="GL54" i="39"/>
  <c r="HI54" i="39" s="1" a="1"/>
  <c r="HI54" i="39" s="1"/>
  <c r="GM54" i="39"/>
  <c r="HJ54" i="39" s="1" a="1"/>
  <c r="HJ54" i="39" s="1"/>
  <c r="HF103" i="39"/>
  <c r="HG103" i="39" s="1"/>
  <c r="HJ20" i="39" a="1"/>
  <c r="HJ20" i="39" s="1"/>
  <c r="GM46" i="39"/>
  <c r="FC46" i="39"/>
  <c r="FD46" i="39" s="1"/>
  <c r="FE46" i="39" s="1"/>
  <c r="FF46" i="39" s="1"/>
  <c r="FG46" i="39" s="1"/>
  <c r="FH46" i="39" s="1"/>
  <c r="FI46" i="39" s="1"/>
  <c r="FJ46" i="39" s="1"/>
  <c r="FK46" i="39" s="1"/>
  <c r="FL46" i="39" s="1"/>
  <c r="FM46" i="39" s="1"/>
  <c r="FN46" i="39" s="1"/>
  <c r="FQ46" i="39"/>
  <c r="FR46" i="39" s="1"/>
  <c r="FS46" i="39" s="1"/>
  <c r="FT46" i="39" s="1"/>
  <c r="FU46" i="39" s="1"/>
  <c r="FV46" i="39" s="1"/>
  <c r="FW46" i="39" s="1"/>
  <c r="FX46" i="39" s="1"/>
  <c r="FY46" i="39" s="1"/>
  <c r="FZ46" i="39" s="1"/>
  <c r="GA46" i="39" s="1"/>
  <c r="GB46" i="39" s="1"/>
  <c r="GL46" i="39"/>
  <c r="HB94" i="39"/>
  <c r="HC94" i="39"/>
  <c r="HB76" i="39"/>
  <c r="HC76" i="39"/>
  <c r="HB23" i="39"/>
  <c r="HC23" i="39"/>
  <c r="FC74" i="39"/>
  <c r="FD74" i="39" s="1"/>
  <c r="FE74" i="39" s="1"/>
  <c r="FF74" i="39" s="1"/>
  <c r="FG74" i="39" s="1"/>
  <c r="FH74" i="39" s="1"/>
  <c r="FI74" i="39" s="1"/>
  <c r="FJ74" i="39" s="1"/>
  <c r="FK74" i="39" s="1"/>
  <c r="FL74" i="39" s="1"/>
  <c r="FM74" i="39" s="1"/>
  <c r="FN74" i="39" s="1"/>
  <c r="FQ74" i="39"/>
  <c r="FR74" i="39" s="1"/>
  <c r="FS74" i="39" s="1"/>
  <c r="FT74" i="39" s="1"/>
  <c r="FU74" i="39" s="1"/>
  <c r="FV74" i="39" s="1"/>
  <c r="FW74" i="39" s="1"/>
  <c r="FX74" i="39" s="1"/>
  <c r="FY74" i="39" s="1"/>
  <c r="FZ74" i="39" s="1"/>
  <c r="GA74" i="39" s="1"/>
  <c r="GB74" i="39" s="1"/>
  <c r="GM74" i="39"/>
  <c r="HJ74" i="39" s="1" a="1"/>
  <c r="HJ74" i="39" s="1"/>
  <c r="GL74" i="39"/>
  <c r="HI74" i="39" s="1" a="1"/>
  <c r="HI74" i="39" s="1"/>
  <c r="FQ31" i="39"/>
  <c r="FR31" i="39" s="1"/>
  <c r="FS31" i="39" s="1"/>
  <c r="FT31" i="39" s="1"/>
  <c r="FU31" i="39" s="1"/>
  <c r="FV31" i="39" s="1"/>
  <c r="FW31" i="39" s="1"/>
  <c r="FX31" i="39" s="1"/>
  <c r="FY31" i="39" s="1"/>
  <c r="FZ31" i="39" s="1"/>
  <c r="GA31" i="39" s="1"/>
  <c r="GB31" i="39" s="1"/>
  <c r="FC31" i="39"/>
  <c r="FD31" i="39" s="1"/>
  <c r="FE31" i="39" s="1"/>
  <c r="FF31" i="39" s="1"/>
  <c r="FG31" i="39" s="1"/>
  <c r="FH31" i="39" s="1"/>
  <c r="FI31" i="39" s="1"/>
  <c r="FJ31" i="39" s="1"/>
  <c r="FK31" i="39" s="1"/>
  <c r="FL31" i="39" s="1"/>
  <c r="FM31" i="39" s="1"/>
  <c r="FN31" i="39" s="1"/>
  <c r="GM31" i="39"/>
  <c r="GL31" i="39"/>
  <c r="HF31" i="39"/>
  <c r="HG31" i="39" s="1"/>
  <c r="FQ56" i="39"/>
  <c r="FR56" i="39" s="1"/>
  <c r="FS56" i="39" s="1"/>
  <c r="FT56" i="39" s="1"/>
  <c r="FU56" i="39" s="1"/>
  <c r="FV56" i="39" s="1"/>
  <c r="FW56" i="39" s="1"/>
  <c r="FX56" i="39" s="1"/>
  <c r="FY56" i="39" s="1"/>
  <c r="FZ56" i="39" s="1"/>
  <c r="GA56" i="39" s="1"/>
  <c r="GB56" i="39" s="1"/>
  <c r="FC56" i="39"/>
  <c r="FD56" i="39" s="1"/>
  <c r="FE56" i="39" s="1"/>
  <c r="FF56" i="39" s="1"/>
  <c r="FG56" i="39" s="1"/>
  <c r="FH56" i="39" s="1"/>
  <c r="FI56" i="39" s="1"/>
  <c r="FJ56" i="39" s="1"/>
  <c r="FK56" i="39" s="1"/>
  <c r="FL56" i="39" s="1"/>
  <c r="FM56" i="39" s="1"/>
  <c r="FN56" i="39" s="1"/>
  <c r="GM56" i="39"/>
  <c r="GL56" i="39"/>
  <c r="HF56" i="39"/>
  <c r="HG56" i="39" s="1"/>
  <c r="HF109" i="39"/>
  <c r="HG109" i="39" s="1"/>
  <c r="HF68" i="39"/>
  <c r="HG68" i="39" s="1"/>
  <c r="FQ29" i="39"/>
  <c r="FR29" i="39" s="1"/>
  <c r="FS29" i="39" s="1"/>
  <c r="FT29" i="39" s="1"/>
  <c r="FU29" i="39" s="1"/>
  <c r="FV29" i="39" s="1"/>
  <c r="FW29" i="39" s="1"/>
  <c r="FX29" i="39" s="1"/>
  <c r="FY29" i="39" s="1"/>
  <c r="FZ29" i="39" s="1"/>
  <c r="GA29" i="39" s="1"/>
  <c r="GB29" i="39" s="1"/>
  <c r="FC29" i="39"/>
  <c r="FD29" i="39" s="1"/>
  <c r="FE29" i="39" s="1"/>
  <c r="FF29" i="39" s="1"/>
  <c r="FG29" i="39" s="1"/>
  <c r="FH29" i="39" s="1"/>
  <c r="FI29" i="39" s="1"/>
  <c r="FJ29" i="39" s="1"/>
  <c r="FK29" i="39" s="1"/>
  <c r="FL29" i="39" s="1"/>
  <c r="FM29" i="39" s="1"/>
  <c r="FN29" i="39" s="1"/>
  <c r="GL29" i="39"/>
  <c r="GM29" i="39"/>
  <c r="HF29" i="39"/>
  <c r="HG29" i="39" s="1"/>
  <c r="FQ80" i="39"/>
  <c r="FR80" i="39" s="1"/>
  <c r="FS80" i="39" s="1"/>
  <c r="FT80" i="39" s="1"/>
  <c r="FU80" i="39" s="1"/>
  <c r="FV80" i="39" s="1"/>
  <c r="FW80" i="39" s="1"/>
  <c r="FX80" i="39" s="1"/>
  <c r="FY80" i="39" s="1"/>
  <c r="FZ80" i="39" s="1"/>
  <c r="GA80" i="39" s="1"/>
  <c r="GB80" i="39" s="1"/>
  <c r="FC80" i="39"/>
  <c r="FD80" i="39" s="1"/>
  <c r="FE80" i="39" s="1"/>
  <c r="FF80" i="39" s="1"/>
  <c r="FG80" i="39" s="1"/>
  <c r="FH80" i="39" s="1"/>
  <c r="FI80" i="39" s="1"/>
  <c r="FJ80" i="39" s="1"/>
  <c r="FK80" i="39" s="1"/>
  <c r="FL80" i="39" s="1"/>
  <c r="FM80" i="39" s="1"/>
  <c r="FN80" i="39" s="1"/>
  <c r="GM80" i="39"/>
  <c r="HJ80" i="39" s="1" a="1"/>
  <c r="HJ80" i="39" s="1"/>
  <c r="GL80" i="39"/>
  <c r="HI80" i="39" s="1" a="1"/>
  <c r="HI80" i="39" s="1"/>
  <c r="FC34" i="39"/>
  <c r="FD34" i="39" s="1"/>
  <c r="FE34" i="39" s="1"/>
  <c r="FF34" i="39" s="1"/>
  <c r="FG34" i="39" s="1"/>
  <c r="FH34" i="39" s="1"/>
  <c r="FI34" i="39" s="1"/>
  <c r="FJ34" i="39" s="1"/>
  <c r="FK34" i="39" s="1"/>
  <c r="FL34" i="39" s="1"/>
  <c r="FM34" i="39" s="1"/>
  <c r="FN34" i="39" s="1"/>
  <c r="FQ34" i="39"/>
  <c r="FR34" i="39" s="1"/>
  <c r="FS34" i="39" s="1"/>
  <c r="FT34" i="39" s="1"/>
  <c r="FU34" i="39" s="1"/>
  <c r="FV34" i="39" s="1"/>
  <c r="FW34" i="39" s="1"/>
  <c r="FX34" i="39" s="1"/>
  <c r="FY34" i="39" s="1"/>
  <c r="FZ34" i="39" s="1"/>
  <c r="GA34" i="39" s="1"/>
  <c r="GB34" i="39" s="1"/>
  <c r="GM34" i="39"/>
  <c r="GL34" i="39"/>
  <c r="FQ94" i="39"/>
  <c r="FR94" i="39" s="1"/>
  <c r="FS94" i="39" s="1"/>
  <c r="FT94" i="39" s="1"/>
  <c r="FU94" i="39" s="1"/>
  <c r="FV94" i="39" s="1"/>
  <c r="FW94" i="39" s="1"/>
  <c r="FX94" i="39" s="1"/>
  <c r="FY94" i="39" s="1"/>
  <c r="FZ94" i="39" s="1"/>
  <c r="GA94" i="39" s="1"/>
  <c r="GB94" i="39" s="1"/>
  <c r="FC94" i="39"/>
  <c r="FD94" i="39" s="1"/>
  <c r="FE94" i="39" s="1"/>
  <c r="FF94" i="39" s="1"/>
  <c r="FG94" i="39" s="1"/>
  <c r="FH94" i="39" s="1"/>
  <c r="FI94" i="39" s="1"/>
  <c r="FJ94" i="39" s="1"/>
  <c r="FK94" i="39" s="1"/>
  <c r="FL94" i="39" s="1"/>
  <c r="FM94" i="39" s="1"/>
  <c r="FN94" i="39" s="1"/>
  <c r="GL94" i="39"/>
  <c r="GM94" i="39"/>
  <c r="HF94" i="39"/>
  <c r="HG94" i="39" s="1"/>
  <c r="HB101" i="39"/>
  <c r="HC101" i="39"/>
  <c r="HB31" i="39"/>
  <c r="HC31" i="39"/>
  <c r="FQ89" i="39"/>
  <c r="FR89" i="39" s="1"/>
  <c r="FS89" i="39" s="1"/>
  <c r="FT89" i="39" s="1"/>
  <c r="FU89" i="39" s="1"/>
  <c r="FV89" i="39" s="1"/>
  <c r="FW89" i="39" s="1"/>
  <c r="FX89" i="39" s="1"/>
  <c r="FY89" i="39" s="1"/>
  <c r="FZ89" i="39" s="1"/>
  <c r="GA89" i="39" s="1"/>
  <c r="GB89" i="39" s="1"/>
  <c r="FC89" i="39"/>
  <c r="FD89" i="39" s="1"/>
  <c r="FE89" i="39" s="1"/>
  <c r="FF89" i="39" s="1"/>
  <c r="FG89" i="39" s="1"/>
  <c r="FH89" i="39" s="1"/>
  <c r="FI89" i="39" s="1"/>
  <c r="FJ89" i="39" s="1"/>
  <c r="FK89" i="39" s="1"/>
  <c r="FL89" i="39" s="1"/>
  <c r="FM89" i="39" s="1"/>
  <c r="FN89" i="39" s="1"/>
  <c r="GM89" i="39"/>
  <c r="HJ89" i="39" s="1" a="1"/>
  <c r="HJ89" i="39" s="1"/>
  <c r="GL89" i="39"/>
  <c r="HI89" i="39" s="1" a="1"/>
  <c r="HI89" i="39" s="1"/>
  <c r="FC19" i="39"/>
  <c r="FD19" i="39" s="1"/>
  <c r="FE19" i="39" s="1"/>
  <c r="FF19" i="39" s="1"/>
  <c r="FG19" i="39" s="1"/>
  <c r="FH19" i="39" s="1"/>
  <c r="FI19" i="39" s="1"/>
  <c r="FJ19" i="39" s="1"/>
  <c r="FK19" i="39" s="1"/>
  <c r="FL19" i="39" s="1"/>
  <c r="FM19" i="39" s="1"/>
  <c r="FN19" i="39" s="1"/>
  <c r="FQ19" i="39"/>
  <c r="FR19" i="39" s="1"/>
  <c r="FS19" i="39" s="1"/>
  <c r="FT19" i="39" s="1"/>
  <c r="FU19" i="39" s="1"/>
  <c r="FV19" i="39" s="1"/>
  <c r="FW19" i="39" s="1"/>
  <c r="FX19" i="39" s="1"/>
  <c r="FY19" i="39" s="1"/>
  <c r="FZ19" i="39" s="1"/>
  <c r="GA19" i="39" s="1"/>
  <c r="GB19" i="39" s="1"/>
  <c r="GL19" i="39"/>
  <c r="GM19" i="39"/>
  <c r="HC29" i="39"/>
  <c r="HB29" i="39"/>
  <c r="HB52" i="39"/>
  <c r="HC52" i="39"/>
  <c r="HC34" i="39"/>
  <c r="HB34" i="39"/>
  <c r="HB55" i="39"/>
  <c r="HC55" i="39"/>
  <c r="FC84" i="39"/>
  <c r="FD84" i="39" s="1"/>
  <c r="FE84" i="39" s="1"/>
  <c r="FF84" i="39" s="1"/>
  <c r="FG84" i="39" s="1"/>
  <c r="FH84" i="39" s="1"/>
  <c r="FI84" i="39" s="1"/>
  <c r="FJ84" i="39" s="1"/>
  <c r="FK84" i="39" s="1"/>
  <c r="FL84" i="39" s="1"/>
  <c r="FM84" i="39" s="1"/>
  <c r="FN84" i="39" s="1"/>
  <c r="GM84" i="39"/>
  <c r="FQ84" i="39"/>
  <c r="FR84" i="39" s="1"/>
  <c r="FS84" i="39" s="1"/>
  <c r="FT84" i="39" s="1"/>
  <c r="FU84" i="39" s="1"/>
  <c r="FV84" i="39" s="1"/>
  <c r="FW84" i="39" s="1"/>
  <c r="FX84" i="39" s="1"/>
  <c r="FY84" i="39" s="1"/>
  <c r="FZ84" i="39" s="1"/>
  <c r="GA84" i="39" s="1"/>
  <c r="GB84" i="39" s="1"/>
  <c r="GL84" i="39"/>
  <c r="HF84" i="39"/>
  <c r="HG84" i="39" s="1"/>
  <c r="HC20" i="39"/>
  <c r="HB20" i="39"/>
  <c r="HF23" i="39"/>
  <c r="HG23" i="39" s="1"/>
  <c r="FC55" i="39"/>
  <c r="FD55" i="39" s="1"/>
  <c r="FE55" i="39" s="1"/>
  <c r="FF55" i="39" s="1"/>
  <c r="FG55" i="39" s="1"/>
  <c r="FH55" i="39" s="1"/>
  <c r="FI55" i="39" s="1"/>
  <c r="FJ55" i="39" s="1"/>
  <c r="FK55" i="39" s="1"/>
  <c r="FL55" i="39" s="1"/>
  <c r="FM55" i="39" s="1"/>
  <c r="FN55" i="39" s="1"/>
  <c r="FQ55" i="39"/>
  <c r="FR55" i="39" s="1"/>
  <c r="FS55" i="39" s="1"/>
  <c r="FT55" i="39" s="1"/>
  <c r="FU55" i="39" s="1"/>
  <c r="FV55" i="39" s="1"/>
  <c r="FW55" i="39" s="1"/>
  <c r="FX55" i="39" s="1"/>
  <c r="FY55" i="39" s="1"/>
  <c r="FZ55" i="39" s="1"/>
  <c r="GA55" i="39" s="1"/>
  <c r="GB55" i="39" s="1"/>
  <c r="GM55" i="39"/>
  <c r="HJ55" i="39" s="1" a="1"/>
  <c r="HJ55" i="39" s="1"/>
  <c r="GL55" i="39"/>
  <c r="HI55" i="39" s="1" a="1"/>
  <c r="HI55" i="39" s="1"/>
  <c r="FC21" i="39"/>
  <c r="FD21" i="39" s="1"/>
  <c r="FE21" i="39" s="1"/>
  <c r="FF21" i="39" s="1"/>
  <c r="FG21" i="39" s="1"/>
  <c r="FH21" i="39" s="1"/>
  <c r="FI21" i="39" s="1"/>
  <c r="FJ21" i="39" s="1"/>
  <c r="FK21" i="39" s="1"/>
  <c r="FL21" i="39" s="1"/>
  <c r="FM21" i="39" s="1"/>
  <c r="FN21" i="39" s="1"/>
  <c r="FQ21" i="39"/>
  <c r="FR21" i="39" s="1"/>
  <c r="FS21" i="39" s="1"/>
  <c r="FT21" i="39" s="1"/>
  <c r="FU21" i="39" s="1"/>
  <c r="FV21" i="39" s="1"/>
  <c r="FW21" i="39" s="1"/>
  <c r="FX21" i="39" s="1"/>
  <c r="FY21" i="39" s="1"/>
  <c r="FZ21" i="39" s="1"/>
  <c r="GA21" i="39" s="1"/>
  <c r="GB21" i="39" s="1"/>
  <c r="GL21" i="39"/>
  <c r="HI21" i="39" s="1" a="1"/>
  <c r="HI21" i="39" s="1"/>
  <c r="GM21" i="39"/>
  <c r="HJ21" i="39" s="1" a="1"/>
  <c r="HJ21" i="39" s="1"/>
  <c r="FC69" i="39"/>
  <c r="FD69" i="39" s="1"/>
  <c r="FE69" i="39" s="1"/>
  <c r="FF69" i="39" s="1"/>
  <c r="FG69" i="39" s="1"/>
  <c r="FH69" i="39" s="1"/>
  <c r="FI69" i="39" s="1"/>
  <c r="FJ69" i="39" s="1"/>
  <c r="FK69" i="39" s="1"/>
  <c r="FL69" i="39" s="1"/>
  <c r="FM69" i="39" s="1"/>
  <c r="FN69" i="39" s="1"/>
  <c r="FQ69" i="39"/>
  <c r="FR69" i="39" s="1"/>
  <c r="FS69" i="39" s="1"/>
  <c r="FT69" i="39" s="1"/>
  <c r="FU69" i="39" s="1"/>
  <c r="FV69" i="39" s="1"/>
  <c r="FW69" i="39" s="1"/>
  <c r="FX69" i="39" s="1"/>
  <c r="FY69" i="39" s="1"/>
  <c r="FZ69" i="39" s="1"/>
  <c r="GA69" i="39" s="1"/>
  <c r="GB69" i="39" s="1"/>
  <c r="GM69" i="39"/>
  <c r="HJ69" i="39" s="1" a="1"/>
  <c r="HJ69" i="39" s="1"/>
  <c r="GL69" i="39"/>
  <c r="HI69" i="39" s="1" a="1"/>
  <c r="HI69" i="39" s="1"/>
  <c r="FC35" i="39"/>
  <c r="FD35" i="39" s="1"/>
  <c r="FE35" i="39" s="1"/>
  <c r="FF35" i="39" s="1"/>
  <c r="FG35" i="39" s="1"/>
  <c r="FH35" i="39" s="1"/>
  <c r="FI35" i="39" s="1"/>
  <c r="FJ35" i="39" s="1"/>
  <c r="FK35" i="39" s="1"/>
  <c r="FL35" i="39" s="1"/>
  <c r="FM35" i="39" s="1"/>
  <c r="FN35" i="39" s="1"/>
  <c r="FQ35" i="39"/>
  <c r="FR35" i="39" s="1"/>
  <c r="FS35" i="39" s="1"/>
  <c r="FT35" i="39" s="1"/>
  <c r="FU35" i="39" s="1"/>
  <c r="FV35" i="39" s="1"/>
  <c r="FW35" i="39" s="1"/>
  <c r="FX35" i="39" s="1"/>
  <c r="FY35" i="39" s="1"/>
  <c r="FZ35" i="39" s="1"/>
  <c r="GA35" i="39" s="1"/>
  <c r="GB35" i="39" s="1"/>
  <c r="GL35" i="39"/>
  <c r="HI35" i="39" s="1" a="1"/>
  <c r="HI35" i="39" s="1"/>
  <c r="GM35" i="39"/>
  <c r="HJ35" i="39" s="1" a="1"/>
  <c r="HJ35" i="39" s="1"/>
  <c r="HF46" i="39"/>
  <c r="HG46" i="39" s="1"/>
  <c r="HF99" i="39"/>
  <c r="HG99" i="39" s="1"/>
  <c r="HF19" i="39"/>
  <c r="HG19" i="39" s="1"/>
  <c r="HF34" i="39"/>
  <c r="HG34" i="39" s="1"/>
  <c r="HB102" i="39"/>
  <c r="HC102" i="39"/>
  <c r="F34" i="7"/>
  <c r="AG309" i="7"/>
  <c r="AH310" i="7"/>
  <c r="HJ28" i="39" l="1" a="1"/>
  <c r="HJ28" i="39" s="1"/>
  <c r="HI28" i="39" a="1"/>
  <c r="HI28" i="39" s="1"/>
  <c r="HJ67" i="39" a="1"/>
  <c r="HJ67" i="39" s="1"/>
  <c r="HI67" i="39" a="1"/>
  <c r="HI67" i="39" s="1"/>
  <c r="HI87" i="39" a="1"/>
  <c r="HI87" i="39" s="1"/>
  <c r="HJ87" i="39" a="1"/>
  <c r="HJ87" i="39" s="1"/>
  <c r="HJ63" i="39" a="1"/>
  <c r="HJ63" i="39" s="1"/>
  <c r="HJ22" i="39" a="1"/>
  <c r="HJ22" i="39" s="1"/>
  <c r="HI63" i="39" a="1"/>
  <c r="HI63" i="39" s="1"/>
  <c r="HI95" i="39" a="1"/>
  <c r="HI95" i="39" s="1"/>
  <c r="HI22" i="39" a="1"/>
  <c r="HI22" i="39" s="1"/>
  <c r="HJ10" i="39" a="1"/>
  <c r="HJ10" i="39" s="1"/>
  <c r="HJ104" i="39" a="1"/>
  <c r="HJ104" i="39" s="1"/>
  <c r="HI10" i="39" a="1"/>
  <c r="HI10" i="39" s="1"/>
  <c r="HJ100" i="39" a="1"/>
  <c r="HJ100" i="39" s="1"/>
  <c r="HJ70" i="39" a="1"/>
  <c r="HJ70" i="39" s="1"/>
  <c r="HI70" i="39" a="1"/>
  <c r="HI70" i="39" s="1"/>
  <c r="HJ95" i="39" a="1"/>
  <c r="HJ95" i="39" s="1"/>
  <c r="HI104" i="39" a="1"/>
  <c r="HI104" i="39" s="1"/>
  <c r="HJ58" i="39" a="1"/>
  <c r="HJ58" i="39" s="1"/>
  <c r="HI88" i="39" a="1"/>
  <c r="HI88" i="39" s="1"/>
  <c r="HJ57" i="39" a="1"/>
  <c r="HJ57" i="39" s="1"/>
  <c r="HI57" i="39" a="1"/>
  <c r="HI57" i="39" s="1"/>
  <c r="HJ112" i="39" a="1"/>
  <c r="HJ112" i="39" s="1"/>
  <c r="HJ41" i="39" a="1"/>
  <c r="HJ41" i="39" s="1"/>
  <c r="HI58" i="39" a="1"/>
  <c r="HI58" i="39" s="1"/>
  <c r="HI100" i="39" a="1"/>
  <c r="HI100" i="39" s="1"/>
  <c r="HI103" i="39" a="1"/>
  <c r="HI103" i="39" s="1"/>
  <c r="HI105" i="39" a="1"/>
  <c r="HI105" i="39" s="1"/>
  <c r="HJ48" i="39" a="1"/>
  <c r="HJ48" i="39" s="1"/>
  <c r="HJ105" i="39" a="1"/>
  <c r="HJ105" i="39" s="1"/>
  <c r="HI23" i="39" a="1"/>
  <c r="HI23" i="39" s="1"/>
  <c r="HI71" i="39" a="1"/>
  <c r="HI71" i="39" s="1"/>
  <c r="HI99" i="39" a="1"/>
  <c r="HI99" i="39" s="1"/>
  <c r="HI46" i="39" a="1"/>
  <c r="HI46" i="39" s="1"/>
  <c r="HI68" i="39" a="1"/>
  <c r="HI68" i="39" s="1"/>
  <c r="HI34" i="39" a="1"/>
  <c r="HI34" i="39" s="1"/>
  <c r="HI109" i="39" a="1"/>
  <c r="HI109" i="39" s="1"/>
  <c r="HJ103" i="39" a="1"/>
  <c r="HJ103" i="39" s="1"/>
  <c r="HI48" i="39" a="1"/>
  <c r="HI48" i="39" s="1"/>
  <c r="HJ30" i="39" a="1"/>
  <c r="HJ30" i="39" s="1"/>
  <c r="HI83" i="39" a="1"/>
  <c r="HI83" i="39" s="1"/>
  <c r="HI31" i="39" a="1"/>
  <c r="HI31" i="39" s="1"/>
  <c r="HJ101" i="39" a="1"/>
  <c r="HJ101" i="39" s="1"/>
  <c r="HI84" i="39" a="1"/>
  <c r="HI84" i="39" s="1"/>
  <c r="HJ34" i="39" a="1"/>
  <c r="HJ34" i="39" s="1"/>
  <c r="HJ29" i="39" a="1"/>
  <c r="HJ29" i="39" s="1"/>
  <c r="HI94" i="39" a="1"/>
  <c r="HI94" i="39" s="1"/>
  <c r="HJ56" i="39" a="1"/>
  <c r="HJ56" i="39" s="1"/>
  <c r="HJ23" i="39" a="1"/>
  <c r="HJ23" i="39" s="1"/>
  <c r="HJ94" i="39" a="1"/>
  <c r="HJ94" i="39" s="1"/>
  <c r="HJ99" i="39" a="1"/>
  <c r="HJ99" i="39" s="1"/>
  <c r="HJ68" i="39" a="1"/>
  <c r="HJ68" i="39" s="1"/>
  <c r="HJ83" i="39" a="1"/>
  <c r="HJ83" i="39" s="1"/>
  <c r="HJ46" i="39" a="1"/>
  <c r="HJ46" i="39" s="1"/>
  <c r="HJ109" i="39" a="1"/>
  <c r="HJ109" i="39" s="1"/>
  <c r="HI101" i="39" a="1"/>
  <c r="HI101" i="39" s="1"/>
  <c r="HI49" i="39" a="1"/>
  <c r="HI49" i="39" s="1"/>
  <c r="HJ19" i="39" a="1"/>
  <c r="HJ19" i="39" s="1"/>
  <c r="HJ49" i="39" a="1"/>
  <c r="HJ49" i="39" s="1"/>
  <c r="HJ84" i="39" a="1"/>
  <c r="HJ84" i="39" s="1"/>
  <c r="HI19" i="39" a="1"/>
  <c r="HI19" i="39" s="1"/>
  <c r="HI29" i="39" a="1"/>
  <c r="HI29" i="39" s="1"/>
  <c r="HI56" i="39" a="1"/>
  <c r="HI56" i="39" s="1"/>
  <c r="HJ31" i="39" a="1"/>
  <c r="HJ31" i="39" s="1"/>
  <c r="AH311" i="7"/>
  <c r="AG310" i="7"/>
  <c r="M338" i="7" l="1" a="1"/>
  <c r="M338" i="7" s="1"/>
  <c r="S229" i="7"/>
  <c r="J238" i="7" s="1"/>
  <c r="AH312" i="7"/>
  <c r="AG311" i="7"/>
  <c r="K338" i="7" l="1" a="1"/>
  <c r="K338" i="7" s="1"/>
  <c r="AA308" i="7"/>
  <c r="AA339" i="7" s="1"/>
  <c r="G45" i="7" s="1"/>
  <c r="F338" i="7"/>
  <c r="S308" i="7"/>
  <c r="Z308" i="7" s="1"/>
  <c r="Z339" i="7" s="1"/>
  <c r="L45" i="7" s="1"/>
  <c r="R308" i="7"/>
  <c r="Y308" i="7" s="1"/>
  <c r="Y339" i="7" s="1"/>
  <c r="J45" i="7" s="1"/>
  <c r="U308" i="7"/>
  <c r="AB308" i="7" s="1"/>
  <c r="AK308" i="7" s="1"/>
  <c r="AK339" i="7" s="1"/>
  <c r="H338" i="7"/>
  <c r="V308" i="7"/>
  <c r="AC308" i="7" s="1"/>
  <c r="AC339" i="7" s="1"/>
  <c r="I45" i="7" s="1"/>
  <c r="L359" i="7" s="1"/>
  <c r="T229" i="7"/>
  <c r="J240" i="7" s="1"/>
  <c r="J241" i="7" s="1"/>
  <c r="K229" i="7"/>
  <c r="J338" i="7" a="1"/>
  <c r="J338" i="7" s="1"/>
  <c r="T339" i="7"/>
  <c r="G44" i="7" s="1"/>
  <c r="J242" i="7"/>
  <c r="J239" i="7"/>
  <c r="AG312" i="7"/>
  <c r="AH313" i="7"/>
  <c r="H359" i="7" l="1"/>
  <c r="AG308" i="7"/>
  <c r="S339" i="7"/>
  <c r="L44" i="7" s="1"/>
  <c r="G46" i="7"/>
  <c r="G47" i="7" s="1"/>
  <c r="B29" i="47"/>
  <c r="D29" i="47" s="1"/>
  <c r="W308" i="7"/>
  <c r="W339" i="7" s="1"/>
  <c r="R339" i="7"/>
  <c r="J44" i="7" s="1"/>
  <c r="V339" i="7"/>
  <c r="I44" i="7" s="1"/>
  <c r="I46" i="7" s="1"/>
  <c r="I47" i="7" s="1"/>
  <c r="F45" i="7"/>
  <c r="P45" i="7" s="1"/>
  <c r="U339" i="7"/>
  <c r="H44" i="7" s="1"/>
  <c r="AB339" i="7"/>
  <c r="H45" i="7" s="1"/>
  <c r="J359" i="7" s="1"/>
  <c r="X308" i="7"/>
  <c r="X339" i="7" s="1"/>
  <c r="I32" i="47"/>
  <c r="C25" i="47"/>
  <c r="J32" i="47"/>
  <c r="AH314" i="7"/>
  <c r="AG313" i="7"/>
  <c r="F44" i="7" l="1"/>
  <c r="P44" i="7" s="1"/>
  <c r="J57" i="7"/>
  <c r="J341" i="7" s="1"/>
  <c r="J343" i="7" s="1"/>
  <c r="B34" i="47"/>
  <c r="H46" i="7"/>
  <c r="L58" i="7" s="1"/>
  <c r="L344" i="7" s="1"/>
  <c r="J29" i="47"/>
  <c r="I29" i="47"/>
  <c r="I31" i="47"/>
  <c r="J31" i="47"/>
  <c r="AG314" i="7"/>
  <c r="AH315" i="7"/>
  <c r="P355" i="7" l="1"/>
  <c r="L57" i="7"/>
  <c r="L341" i="7" s="1"/>
  <c r="L343" i="7" s="1"/>
  <c r="F29" i="47"/>
  <c r="H47" i="7"/>
  <c r="E29" i="47"/>
  <c r="H29" i="47"/>
  <c r="G29" i="47"/>
  <c r="AG315" i="7"/>
  <c r="AH316" i="7"/>
  <c r="AH317" i="7" l="1"/>
  <c r="AG316" i="7"/>
  <c r="AH318" i="7" l="1"/>
  <c r="AG317" i="7"/>
  <c r="AH319" i="7" l="1"/>
  <c r="AG318" i="7"/>
  <c r="AH320" i="7" l="1"/>
  <c r="AG319" i="7"/>
  <c r="AH321" i="7" l="1"/>
  <c r="AG320" i="7"/>
  <c r="AG321" i="7" l="1"/>
  <c r="AH322" i="7"/>
  <c r="AH323" i="7" l="1"/>
  <c r="AG322" i="7"/>
  <c r="AG323" i="7" l="1"/>
  <c r="AH324" i="7"/>
  <c r="AH325" i="7" l="1"/>
  <c r="AG324" i="7"/>
  <c r="AG325" i="7" l="1"/>
  <c r="AH326" i="7"/>
  <c r="D29" i="42"/>
  <c r="GJ8" i="39"/>
  <c r="AH327" i="7" l="1"/>
  <c r="AG326" i="7"/>
  <c r="HK8" i="39"/>
  <c r="AY13" i="39" s="1" a="1"/>
  <c r="AY13" i="39" s="1"/>
  <c r="GY9" i="39" l="1"/>
  <c r="GY4" i="39" s="1" a="1"/>
  <c r="GY4" i="39" s="1"/>
  <c r="C23" i="42" s="1"/>
  <c r="AY53" i="39" a="1"/>
  <c r="AY53" i="39" s="1"/>
  <c r="BC53" i="39" s="1"/>
  <c r="AY46" i="39" a="1"/>
  <c r="AY46" i="39" s="1"/>
  <c r="AY41" i="39" a="1"/>
  <c r="AY41" i="39" s="1"/>
  <c r="AO41" i="39" s="1" a="1"/>
  <c r="AO41" i="39" s="1"/>
  <c r="AY55" i="39" a="1"/>
  <c r="AY55" i="39" s="1"/>
  <c r="AD55" i="39" s="1" a="1"/>
  <c r="AD55" i="39" s="1"/>
  <c r="AY36" i="39" a="1"/>
  <c r="AY36" i="39" s="1"/>
  <c r="AC36" i="39" s="1" a="1"/>
  <c r="AC36" i="39" s="1"/>
  <c r="AY48" i="39" a="1"/>
  <c r="AY48" i="39" s="1"/>
  <c r="BC48" i="39" s="1"/>
  <c r="AY40" i="39" a="1"/>
  <c r="AY40" i="39" s="1"/>
  <c r="AY61" i="39" a="1"/>
  <c r="AY61" i="39" s="1"/>
  <c r="BC61" i="39" s="1"/>
  <c r="AY63" i="39" a="1"/>
  <c r="AY63" i="39" s="1"/>
  <c r="BC63" i="39" s="1"/>
  <c r="AY60" i="39" a="1"/>
  <c r="AY60" i="39" s="1"/>
  <c r="AS60" i="39" s="1" a="1"/>
  <c r="AS60" i="39" s="1"/>
  <c r="AY57" i="39" a="1"/>
  <c r="AY57" i="39" s="1"/>
  <c r="BC57" i="39" s="1"/>
  <c r="AY54" i="39" a="1"/>
  <c r="AY54" i="39" s="1"/>
  <c r="BC54" i="39" s="1"/>
  <c r="AY17" i="39" a="1"/>
  <c r="AY17" i="39" s="1"/>
  <c r="AT17" i="39" s="1" a="1"/>
  <c r="AT17" i="39" s="1"/>
  <c r="AY30" i="39" a="1"/>
  <c r="AY30" i="39" s="1"/>
  <c r="AD30" i="39" s="1" a="1"/>
  <c r="AD30" i="39" s="1"/>
  <c r="AY28" i="39" a="1"/>
  <c r="AY28" i="39" s="1"/>
  <c r="AY16" i="39" a="1"/>
  <c r="AY16" i="39" s="1"/>
  <c r="AH16" i="39" s="1" a="1"/>
  <c r="AH16" i="39" s="1"/>
  <c r="AY29" i="39" a="1"/>
  <c r="AY29" i="39" s="1"/>
  <c r="AY45" i="39" a="1"/>
  <c r="AY45" i="39" s="1"/>
  <c r="AO45" i="39" s="1" a="1"/>
  <c r="AO45" i="39" s="1"/>
  <c r="AY58" i="39" a="1"/>
  <c r="AY58" i="39" s="1"/>
  <c r="BC58" i="39" s="1"/>
  <c r="AY21" i="39" a="1"/>
  <c r="AY21" i="39" s="1"/>
  <c r="AY24" i="39" a="1"/>
  <c r="AY24" i="39" s="1"/>
  <c r="AY23" i="39" a="1"/>
  <c r="AY23" i="39" s="1"/>
  <c r="AY65" i="39" a="1"/>
  <c r="AY65" i="39" s="1"/>
  <c r="BC65" i="39" s="1"/>
  <c r="AY33" i="39" a="1"/>
  <c r="AY33" i="39" s="1"/>
  <c r="AY59" i="39" a="1"/>
  <c r="AY59" i="39" s="1"/>
  <c r="AY15" i="39" a="1"/>
  <c r="AY15" i="39" s="1"/>
  <c r="AY18" i="39" a="1"/>
  <c r="AY18" i="39" s="1"/>
  <c r="Y18" i="39" s="1" a="1"/>
  <c r="Y18" i="39" s="1"/>
  <c r="AY56" i="39" a="1"/>
  <c r="AY56" i="39" s="1"/>
  <c r="BC56" i="39" s="1"/>
  <c r="AY27" i="39" a="1"/>
  <c r="AY27" i="39" s="1"/>
  <c r="AY52" i="39" a="1"/>
  <c r="AY52" i="39" s="1"/>
  <c r="AY62" i="39" a="1"/>
  <c r="AY62" i="39" s="1"/>
  <c r="BC62" i="39" s="1"/>
  <c r="AY64" i="39" a="1"/>
  <c r="AY64" i="39" s="1"/>
  <c r="AY44" i="39" a="1"/>
  <c r="AY44" i="39" s="1"/>
  <c r="AM44" i="39" s="1" a="1"/>
  <c r="AM44" i="39" s="1"/>
  <c r="AY20" i="39" a="1"/>
  <c r="AY20" i="39" s="1"/>
  <c r="AY32" i="39" a="1"/>
  <c r="AY32" i="39" s="1"/>
  <c r="AY51" i="39" a="1"/>
  <c r="AY51" i="39" s="1"/>
  <c r="BC51" i="39" s="1"/>
  <c r="AY34" i="39" a="1"/>
  <c r="AY34" i="39" s="1"/>
  <c r="AY43" i="39" a="1"/>
  <c r="AY43" i="39" s="1"/>
  <c r="AY31" i="39" a="1"/>
  <c r="AY31" i="39" s="1"/>
  <c r="AY25" i="39" a="1"/>
  <c r="AY25" i="39" s="1"/>
  <c r="AY22" i="39" a="1"/>
  <c r="AY22" i="39" s="1"/>
  <c r="AY42" i="39" a="1"/>
  <c r="AY42" i="39" s="1"/>
  <c r="AY67" i="39" a="1"/>
  <c r="AY67" i="39" s="1"/>
  <c r="BC67" i="39" s="1"/>
  <c r="AY49" i="39" a="1"/>
  <c r="AY49" i="39" s="1"/>
  <c r="BC49" i="39" s="1"/>
  <c r="AY68" i="39" a="1"/>
  <c r="AY68" i="39" s="1"/>
  <c r="BC68" i="39" s="1"/>
  <c r="AY14" i="39" a="1"/>
  <c r="AY14" i="39" s="1"/>
  <c r="AY66" i="39" a="1"/>
  <c r="AY66" i="39" s="1"/>
  <c r="BC66" i="39" s="1"/>
  <c r="AY26" i="39" a="1"/>
  <c r="AY26" i="39" s="1"/>
  <c r="AY47" i="39" a="1"/>
  <c r="AY47" i="39" s="1"/>
  <c r="BC47" i="39" s="1"/>
  <c r="AY50" i="39" a="1"/>
  <c r="AY50" i="39" s="1"/>
  <c r="BC50" i="39" s="1"/>
  <c r="AY35" i="39" a="1"/>
  <c r="AY35" i="39" s="1"/>
  <c r="AY19" i="39" a="1"/>
  <c r="AY19" i="39" s="1"/>
  <c r="AG327" i="7"/>
  <c r="AH328" i="7"/>
  <c r="AM15" i="39" l="1" a="1"/>
  <c r="AM15" i="39" s="1"/>
  <c r="Y41" i="39" a="1"/>
  <c r="Y41" i="39" s="1"/>
  <c r="AG41" i="39" a="1"/>
  <c r="AG41" i="39" s="1"/>
  <c r="GZ9" i="39"/>
  <c r="AO36" i="39" a="1"/>
  <c r="AO36" i="39" s="1"/>
  <c r="AM36" i="39" a="1"/>
  <c r="AM36" i="39" s="1"/>
  <c r="AT36" i="39" a="1"/>
  <c r="AT36" i="39" s="1"/>
  <c r="Y36" i="39" a="1"/>
  <c r="Y36" i="39" s="1"/>
  <c r="AL36" i="39" a="1"/>
  <c r="AL36" i="39" s="1"/>
  <c r="AH57" i="39" a="1"/>
  <c r="AH57" i="39" s="1"/>
  <c r="AD36" i="39" a="1"/>
  <c r="AD36" i="39" s="1"/>
  <c r="AK36" i="39" a="1"/>
  <c r="AK36" i="39" s="1"/>
  <c r="BA36" i="39" s="1"/>
  <c r="AH36" i="39" a="1"/>
  <c r="AH36" i="39" s="1"/>
  <c r="AG36" i="39" a="1"/>
  <c r="AG36" i="39" s="1"/>
  <c r="BB36" i="39" a="1"/>
  <c r="BB36" i="39" s="1"/>
  <c r="AE36" i="39" a="1"/>
  <c r="AE36" i="39" s="1"/>
  <c r="AI36" i="39" a="1"/>
  <c r="AI36" i="39" s="1"/>
  <c r="AP36" i="39" a="1"/>
  <c r="AP36" i="39" s="1"/>
  <c r="Y53" i="39" a="1"/>
  <c r="Y53" i="39" s="1"/>
  <c r="AC53" i="39" a="1"/>
  <c r="AC53" i="39" s="1"/>
  <c r="AP53" i="39" a="1"/>
  <c r="AP53" i="39" s="1"/>
  <c r="AT53" i="39" a="1"/>
  <c r="AT53" i="39" s="1"/>
  <c r="AM53" i="39" a="1"/>
  <c r="AM53" i="39" s="1"/>
  <c r="AR53" i="39" a="1"/>
  <c r="AR53" i="39" s="1"/>
  <c r="AU53" i="39" a="1"/>
  <c r="AU53" i="39" s="1"/>
  <c r="AH53" i="39" a="1"/>
  <c r="AH53" i="39" s="1"/>
  <c r="BB53" i="39" a="1"/>
  <c r="BB53" i="39" s="1"/>
  <c r="AI53" i="39" a="1"/>
  <c r="AI53" i="39" s="1"/>
  <c r="AK53" i="39" a="1"/>
  <c r="AK53" i="39" s="1"/>
  <c r="BA53" i="39" s="1"/>
  <c r="AG53" i="39" a="1"/>
  <c r="AG53" i="39" s="1"/>
  <c r="AE53" i="39" a="1"/>
  <c r="AE53" i="39" s="1"/>
  <c r="AL53" i="39" a="1"/>
  <c r="AL53" i="39" s="1"/>
  <c r="AD53" i="39" a="1"/>
  <c r="AD53" i="39" s="1"/>
  <c r="AC30" i="39" a="1"/>
  <c r="AC30" i="39" s="1"/>
  <c r="AO53" i="39" a="1"/>
  <c r="AO53" i="39" s="1"/>
  <c r="AS53" i="39" a="1"/>
  <c r="AS53" i="39" s="1"/>
  <c r="AP41" i="39" a="1"/>
  <c r="AP41" i="39" s="1"/>
  <c r="AH41" i="39" a="1"/>
  <c r="AH41" i="39" s="1"/>
  <c r="AM41" i="39" a="1"/>
  <c r="AM41" i="39" s="1"/>
  <c r="BB41" i="39" a="1"/>
  <c r="BB41" i="39" s="1"/>
  <c r="AL41" i="39" a="1"/>
  <c r="AL41" i="39" s="1"/>
  <c r="AD41" i="39" a="1"/>
  <c r="AD41" i="39" s="1"/>
  <c r="AP63" i="39" a="1"/>
  <c r="AP63" i="39" s="1"/>
  <c r="AI41" i="39" a="1"/>
  <c r="AI41" i="39" s="1"/>
  <c r="AK41" i="39" a="1"/>
  <c r="AK41" i="39" s="1"/>
  <c r="BA41" i="39" s="1"/>
  <c r="Y63" i="39" a="1"/>
  <c r="Y63" i="39" s="1"/>
  <c r="AT41" i="39" a="1"/>
  <c r="AT41" i="39" s="1"/>
  <c r="AC41" i="39" a="1"/>
  <c r="AC41" i="39" s="1"/>
  <c r="AE41" i="39" a="1"/>
  <c r="AE41" i="39" s="1"/>
  <c r="AL63" i="39" a="1"/>
  <c r="AL63" i="39" s="1"/>
  <c r="AK63" i="39" a="1"/>
  <c r="AK63" i="39" s="1"/>
  <c r="BA63" i="39" s="1"/>
  <c r="AM58" i="39" a="1"/>
  <c r="AM58" i="39" s="1"/>
  <c r="AO63" i="39" a="1"/>
  <c r="AO63" i="39" s="1"/>
  <c r="BB63" i="39" a="1"/>
  <c r="BB63" i="39" s="1"/>
  <c r="AI63" i="39" a="1"/>
  <c r="AI63" i="39" s="1"/>
  <c r="AG63" i="39" a="1"/>
  <c r="AG63" i="39" s="1"/>
  <c r="AM63" i="39" a="1"/>
  <c r="AM63" i="39" s="1"/>
  <c r="AR63" i="39" a="1"/>
  <c r="AR63" i="39" s="1"/>
  <c r="AS63" i="39" a="1"/>
  <c r="AS63" i="39" s="1"/>
  <c r="AE63" i="39" a="1"/>
  <c r="AE63" i="39" s="1"/>
  <c r="AU63" i="39" a="1"/>
  <c r="AU63" i="39" s="1"/>
  <c r="AC54" i="39" a="1"/>
  <c r="AC54" i="39" s="1"/>
  <c r="AH63" i="39" a="1"/>
  <c r="AH63" i="39" s="1"/>
  <c r="AC63" i="39" a="1"/>
  <c r="AC63" i="39" s="1"/>
  <c r="AM54" i="39" a="1"/>
  <c r="AM54" i="39" s="1"/>
  <c r="AD63" i="39" a="1"/>
  <c r="AD63" i="39" s="1"/>
  <c r="AT63" i="39" a="1"/>
  <c r="AT63" i="39" s="1"/>
  <c r="BB58" i="39" a="1"/>
  <c r="BB58" i="39" s="1"/>
  <c r="AK18" i="39" a="1"/>
  <c r="AK18" i="39" s="1"/>
  <c r="BA18" i="39" s="1"/>
  <c r="AT48" i="39" a="1"/>
  <c r="AT48" i="39" s="1"/>
  <c r="AR48" i="39" a="1"/>
  <c r="AR48" i="39" s="1"/>
  <c r="AE62" i="39" a="1"/>
  <c r="AE62" i="39" s="1"/>
  <c r="AD28" i="39" a="1"/>
  <c r="AD28" i="39" s="1"/>
  <c r="AP28" i="39" a="1"/>
  <c r="AP28" i="39" s="1"/>
  <c r="BB48" i="39" a="1"/>
  <c r="BB48" i="39" s="1"/>
  <c r="AL48" i="39" a="1"/>
  <c r="AL48" i="39" s="1"/>
  <c r="Y28" i="39" a="1"/>
  <c r="Y28" i="39" s="1"/>
  <c r="AT28" i="39" a="1"/>
  <c r="AT28" i="39" s="1"/>
  <c r="AH48" i="39" a="1"/>
  <c r="AH48" i="39" s="1"/>
  <c r="Y48" i="39" a="1"/>
  <c r="Y48" i="39" s="1"/>
  <c r="AC28" i="39" a="1"/>
  <c r="AC28" i="39" s="1"/>
  <c r="AK28" i="39" a="1"/>
  <c r="AK28" i="39" s="1"/>
  <c r="BA28" i="39" s="1"/>
  <c r="AE48" i="39" a="1"/>
  <c r="AE48" i="39" s="1"/>
  <c r="AM48" i="39" a="1"/>
  <c r="AM48" i="39" s="1"/>
  <c r="AG28" i="39" a="1"/>
  <c r="AG28" i="39" s="1"/>
  <c r="AH28" i="39" a="1"/>
  <c r="AH28" i="39" s="1"/>
  <c r="AG48" i="39" a="1"/>
  <c r="AG48" i="39" s="1"/>
  <c r="AS48" i="39" a="1"/>
  <c r="AS48" i="39" s="1"/>
  <c r="AK48" i="39" a="1"/>
  <c r="AK48" i="39" s="1"/>
  <c r="BA48" i="39" s="1"/>
  <c r="AE28" i="39" a="1"/>
  <c r="AE28" i="39" s="1"/>
  <c r="BB28" i="39" a="1"/>
  <c r="BB28" i="39" s="1"/>
  <c r="AD48" i="39" a="1"/>
  <c r="AD48" i="39" s="1"/>
  <c r="AI48" i="39" a="1"/>
  <c r="AI48" i="39" s="1"/>
  <c r="AO28" i="39" a="1"/>
  <c r="AO28" i="39" s="1"/>
  <c r="AL28" i="39" a="1"/>
  <c r="AL28" i="39" s="1"/>
  <c r="AO48" i="39" a="1"/>
  <c r="AO48" i="39" s="1"/>
  <c r="AU48" i="39" a="1"/>
  <c r="AU48" i="39" s="1"/>
  <c r="AC33" i="39" a="1"/>
  <c r="AC33" i="39" s="1"/>
  <c r="AI28" i="39" a="1"/>
  <c r="AI28" i="39" s="1"/>
  <c r="AM28" i="39" a="1"/>
  <c r="AM28" i="39" s="1"/>
  <c r="AC48" i="39" a="1"/>
  <c r="AC48" i="39" s="1"/>
  <c r="AP48" i="39" a="1"/>
  <c r="AP48" i="39" s="1"/>
  <c r="AO33" i="39" a="1"/>
  <c r="AO33" i="39" s="1"/>
  <c r="AK62" i="39" a="1"/>
  <c r="AK62" i="39" s="1"/>
  <c r="BA62" i="39" s="1"/>
  <c r="AO18" i="39" a="1"/>
  <c r="AO18" i="39" s="1"/>
  <c r="AS54" i="39" a="1"/>
  <c r="AS54" i="39" s="1"/>
  <c r="AI54" i="39" a="1"/>
  <c r="AI54" i="39" s="1"/>
  <c r="AH54" i="39" a="1"/>
  <c r="AH54" i="39" s="1"/>
  <c r="AC58" i="39" a="1"/>
  <c r="AC58" i="39" s="1"/>
  <c r="AD58" i="39" a="1"/>
  <c r="AD58" i="39" s="1"/>
  <c r="AL18" i="39" a="1"/>
  <c r="AL18" i="39" s="1"/>
  <c r="BB54" i="39" a="1"/>
  <c r="BB54" i="39" s="1"/>
  <c r="AL54" i="39" a="1"/>
  <c r="AL54" i="39" s="1"/>
  <c r="Y58" i="39" a="1"/>
  <c r="Y58" i="39" s="1"/>
  <c r="AT58" i="39" a="1"/>
  <c r="AT58" i="39" s="1"/>
  <c r="AT18" i="39" a="1"/>
  <c r="AT18" i="39" s="1"/>
  <c r="Y54" i="39" a="1"/>
  <c r="Y54" i="39" s="1"/>
  <c r="AU54" i="39" a="1"/>
  <c r="AU54" i="39" s="1"/>
  <c r="AT54" i="39" a="1"/>
  <c r="AT54" i="39" s="1"/>
  <c r="AE54" i="39" a="1"/>
  <c r="AE54" i="39" s="1"/>
  <c r="AU58" i="39" a="1"/>
  <c r="AU58" i="39" s="1"/>
  <c r="AO58" i="39" a="1"/>
  <c r="AO58" i="39" s="1"/>
  <c r="AU62" i="39" a="1"/>
  <c r="AU62" i="39" s="1"/>
  <c r="AG18" i="39" a="1"/>
  <c r="AG18" i="39" s="1"/>
  <c r="AR54" i="39" a="1"/>
  <c r="AR54" i="39" s="1"/>
  <c r="AD54" i="39" a="1"/>
  <c r="AD54" i="39" s="1"/>
  <c r="AG58" i="39" a="1"/>
  <c r="AG58" i="39" s="1"/>
  <c r="AI58" i="39" a="1"/>
  <c r="AI58" i="39" s="1"/>
  <c r="AE18" i="39" a="1"/>
  <c r="AE18" i="39" s="1"/>
  <c r="AG54" i="39" a="1"/>
  <c r="AG54" i="39" s="1"/>
  <c r="AO54" i="39" a="1"/>
  <c r="AO54" i="39" s="1"/>
  <c r="AL58" i="39" a="1"/>
  <c r="AL58" i="39" s="1"/>
  <c r="AP58" i="39" a="1"/>
  <c r="AP58" i="39" s="1"/>
  <c r="AH58" i="39" a="1"/>
  <c r="AH58" i="39" s="1"/>
  <c r="AR58" i="39" a="1"/>
  <c r="AR58" i="39" s="1"/>
  <c r="AO62" i="39" a="1"/>
  <c r="AO62" i="39" s="1"/>
  <c r="AP54" i="39" a="1"/>
  <c r="AP54" i="39" s="1"/>
  <c r="AK54" i="39" a="1"/>
  <c r="AK54" i="39" s="1"/>
  <c r="BA54" i="39" s="1"/>
  <c r="AE58" i="39" a="1"/>
  <c r="AE58" i="39" s="1"/>
  <c r="AS58" i="39" a="1"/>
  <c r="AS58" i="39" s="1"/>
  <c r="AK58" i="39" a="1"/>
  <c r="AK58" i="39" s="1"/>
  <c r="BA58" i="39" s="1"/>
  <c r="AG61" i="39" a="1"/>
  <c r="AG61" i="39" s="1"/>
  <c r="AD15" i="39" a="1"/>
  <c r="AD15" i="39" s="1"/>
  <c r="AG46" i="39" a="1"/>
  <c r="AG46" i="39" s="1"/>
  <c r="AK46" i="39" a="1"/>
  <c r="AK46" i="39" s="1"/>
  <c r="BA46" i="39" s="1"/>
  <c r="AR61" i="39" a="1"/>
  <c r="AR61" i="39" s="1"/>
  <c r="AK15" i="39" a="1"/>
  <c r="AK15" i="39" s="1"/>
  <c r="BA15" i="39" s="1"/>
  <c r="AT46" i="39" a="1"/>
  <c r="AT46" i="39" s="1"/>
  <c r="AE46" i="39" a="1"/>
  <c r="AE46" i="39" s="1"/>
  <c r="AI61" i="39" a="1"/>
  <c r="AI61" i="39" s="1"/>
  <c r="AH46" i="39" a="1"/>
  <c r="AH46" i="39" s="1"/>
  <c r="AL46" i="39" a="1"/>
  <c r="AL46" i="39" s="1"/>
  <c r="AM61" i="39" a="1"/>
  <c r="AM61" i="39" s="1"/>
  <c r="AP46" i="39" a="1"/>
  <c r="AP46" i="39" s="1"/>
  <c r="AS61" i="39" a="1"/>
  <c r="AS61" i="39" s="1"/>
  <c r="AO46" i="39" a="1"/>
  <c r="AO46" i="39" s="1"/>
  <c r="AI46" i="39" a="1"/>
  <c r="AI46" i="39" s="1"/>
  <c r="AM46" i="39" a="1"/>
  <c r="AM46" i="39" s="1"/>
  <c r="AU61" i="39" a="1"/>
  <c r="AU61" i="39" s="1"/>
  <c r="Y46" i="39" a="1"/>
  <c r="Y46" i="39" s="1"/>
  <c r="AK61" i="39" a="1"/>
  <c r="AK61" i="39" s="1"/>
  <c r="BA61" i="39" s="1"/>
  <c r="BB46" i="39" a="1"/>
  <c r="BB46" i="39" s="1"/>
  <c r="AP61" i="39" a="1"/>
  <c r="AP61" i="39" s="1"/>
  <c r="AT61" i="39" a="1"/>
  <c r="AT61" i="39" s="1"/>
  <c r="AD46" i="39" a="1"/>
  <c r="AD46" i="39" s="1"/>
  <c r="AC46" i="39" a="1"/>
  <c r="AC46" i="39" s="1"/>
  <c r="AE61" i="39" a="1"/>
  <c r="AE61" i="39" s="1"/>
  <c r="AL61" i="39" a="1"/>
  <c r="AL61" i="39" s="1"/>
  <c r="AH30" i="39" a="1"/>
  <c r="AH30" i="39" s="1"/>
  <c r="AE30" i="39" a="1"/>
  <c r="AE30" i="39" s="1"/>
  <c r="AE45" i="39" a="1"/>
  <c r="AE45" i="39" s="1"/>
  <c r="AT30" i="39" a="1"/>
  <c r="AT30" i="39" s="1"/>
  <c r="BB30" i="39" a="1"/>
  <c r="BB30" i="39" s="1"/>
  <c r="AM45" i="39" a="1"/>
  <c r="AM45" i="39" s="1"/>
  <c r="AP30" i="39" a="1"/>
  <c r="AP30" i="39" s="1"/>
  <c r="AK45" i="39" a="1"/>
  <c r="AK45" i="39" s="1"/>
  <c r="BA45" i="39" s="1"/>
  <c r="AT45" i="39" a="1"/>
  <c r="AT45" i="39" s="1"/>
  <c r="AP45" i="39" a="1"/>
  <c r="AP45" i="39" s="1"/>
  <c r="AL30" i="39" a="1"/>
  <c r="AL30" i="39" s="1"/>
  <c r="AM30" i="39" a="1"/>
  <c r="AM30" i="39" s="1"/>
  <c r="BB45" i="39" a="1"/>
  <c r="BB45" i="39" s="1"/>
  <c r="AL45" i="39" a="1"/>
  <c r="AL45" i="39" s="1"/>
  <c r="Y30" i="39" a="1"/>
  <c r="Y30" i="39" s="1"/>
  <c r="AI30" i="39" a="1"/>
  <c r="AI30" i="39" s="1"/>
  <c r="AD45" i="39" a="1"/>
  <c r="AD45" i="39" s="1"/>
  <c r="AO30" i="39" a="1"/>
  <c r="AO30" i="39" s="1"/>
  <c r="AG30" i="39" a="1"/>
  <c r="AG30" i="39" s="1"/>
  <c r="AI45" i="39" a="1"/>
  <c r="AI45" i="39" s="1"/>
  <c r="Y45" i="39" a="1"/>
  <c r="Y45" i="39" s="1"/>
  <c r="AK30" i="39" a="1"/>
  <c r="AK30" i="39" s="1"/>
  <c r="BA30" i="39" s="1"/>
  <c r="AT15" i="39" a="1"/>
  <c r="AT15" i="39" s="1"/>
  <c r="AC61" i="39" a="1"/>
  <c r="AC61" i="39" s="1"/>
  <c r="AD61" i="39" a="1"/>
  <c r="AD61" i="39" s="1"/>
  <c r="Y15" i="39" a="1"/>
  <c r="Y15" i="39" s="1"/>
  <c r="AH15" i="39" a="1"/>
  <c r="AH15" i="39" s="1"/>
  <c r="AE15" i="39" a="1"/>
  <c r="AE15" i="39" s="1"/>
  <c r="AI15" i="39" a="1"/>
  <c r="AI15" i="39" s="1"/>
  <c r="AH61" i="39" a="1"/>
  <c r="AH61" i="39" s="1"/>
  <c r="BB61" i="39" a="1"/>
  <c r="BB61" i="39" s="1"/>
  <c r="BB15" i="39" a="1"/>
  <c r="BB15" i="39" s="1"/>
  <c r="Y61" i="39" a="1"/>
  <c r="Y61" i="39" s="1"/>
  <c r="AO61" i="39" a="1"/>
  <c r="AO61" i="39" s="1"/>
  <c r="AG15" i="39" a="1"/>
  <c r="AG15" i="39" s="1"/>
  <c r="AP27" i="39" a="1"/>
  <c r="AP27" i="39" s="1"/>
  <c r="AC27" i="39" a="1"/>
  <c r="AC27" i="39" s="1"/>
  <c r="AT27" i="39" a="1"/>
  <c r="AT27" i="39" s="1"/>
  <c r="AL65" i="39" a="1"/>
  <c r="AL65" i="39" s="1"/>
  <c r="AI29" i="39" a="1"/>
  <c r="AI29" i="39" s="1"/>
  <c r="AM33" i="39" a="1"/>
  <c r="AM33" i="39" s="1"/>
  <c r="AD33" i="39" a="1"/>
  <c r="AD33" i="39" s="1"/>
  <c r="AI33" i="39" a="1"/>
  <c r="AI33" i="39" s="1"/>
  <c r="AS62" i="39" a="1"/>
  <c r="AS62" i="39" s="1"/>
  <c r="Y62" i="39" a="1"/>
  <c r="Y62" i="39" s="1"/>
  <c r="AM62" i="39" a="1"/>
  <c r="AM62" i="39" s="1"/>
  <c r="BB18" i="39" a="1"/>
  <c r="BB18" i="39" s="1"/>
  <c r="AI18" i="39" a="1"/>
  <c r="AI18" i="39" s="1"/>
  <c r="AE27" i="39" a="1"/>
  <c r="AE27" i="39" s="1"/>
  <c r="AK27" i="39" a="1"/>
  <c r="AK27" i="39" s="1"/>
  <c r="BA27" i="39" s="1"/>
  <c r="AL33" i="39" a="1"/>
  <c r="AL33" i="39" s="1"/>
  <c r="AP33" i="39" a="1"/>
  <c r="AP33" i="39" s="1"/>
  <c r="AR62" i="39" a="1"/>
  <c r="AR62" i="39" s="1"/>
  <c r="AL62" i="39" a="1"/>
  <c r="AL62" i="39" s="1"/>
  <c r="AD44" i="39" a="1"/>
  <c r="AD44" i="39" s="1"/>
  <c r="AG27" i="39" a="1"/>
  <c r="AG27" i="39" s="1"/>
  <c r="AM27" i="39" a="1"/>
  <c r="AM27" i="39" s="1"/>
  <c r="AG33" i="39" a="1"/>
  <c r="AG33" i="39" s="1"/>
  <c r="BB33" i="39" a="1"/>
  <c r="BB33" i="39" s="1"/>
  <c r="AT33" i="39" a="1"/>
  <c r="AT33" i="39" s="1"/>
  <c r="AK33" i="39" a="1"/>
  <c r="AK33" i="39" s="1"/>
  <c r="BA33" i="39" s="1"/>
  <c r="AO15" i="39" a="1"/>
  <c r="AO15" i="39" s="1"/>
  <c r="AC15" i="39" a="1"/>
  <c r="AC15" i="39" s="1"/>
  <c r="AL15" i="39" a="1"/>
  <c r="AL15" i="39" s="1"/>
  <c r="AG45" i="39" a="1"/>
  <c r="AG45" i="39" s="1"/>
  <c r="AH45" i="39" a="1"/>
  <c r="AH45" i="39" s="1"/>
  <c r="AC45" i="39" a="1"/>
  <c r="AC45" i="39" s="1"/>
  <c r="AD62" i="39" a="1"/>
  <c r="AD62" i="39" s="1"/>
  <c r="AG62" i="39" a="1"/>
  <c r="AG62" i="39" s="1"/>
  <c r="BB62" i="39" a="1"/>
  <c r="BB62" i="39" s="1"/>
  <c r="AL27" i="39" a="1"/>
  <c r="AL27" i="39" s="1"/>
  <c r="AD27" i="39" a="1"/>
  <c r="AD27" i="39" s="1"/>
  <c r="AH62" i="39" a="1"/>
  <c r="AH62" i="39" s="1"/>
  <c r="AH27" i="39" a="1"/>
  <c r="AH27" i="39" s="1"/>
  <c r="BB27" i="39" a="1"/>
  <c r="BB27" i="39" s="1"/>
  <c r="AT62" i="39" a="1"/>
  <c r="AT62" i="39" s="1"/>
  <c r="AI62" i="39" a="1"/>
  <c r="AI62" i="39" s="1"/>
  <c r="AC62" i="39" a="1"/>
  <c r="AC62" i="39" s="1"/>
  <c r="AP62" i="39" a="1"/>
  <c r="AP62" i="39" s="1"/>
  <c r="AH18" i="39" a="1"/>
  <c r="AH18" i="39" s="1"/>
  <c r="AC18" i="39" a="1"/>
  <c r="AC18" i="39" s="1"/>
  <c r="AM18" i="39" a="1"/>
  <c r="AM18" i="39" s="1"/>
  <c r="AD18" i="39" a="1"/>
  <c r="AD18" i="39" s="1"/>
  <c r="AI27" i="39" a="1"/>
  <c r="AI27" i="39" s="1"/>
  <c r="AO27" i="39" a="1"/>
  <c r="AO27" i="39" s="1"/>
  <c r="Y27" i="39" a="1"/>
  <c r="Y27" i="39" s="1"/>
  <c r="Y33" i="39" a="1"/>
  <c r="Y33" i="39" s="1"/>
  <c r="AH33" i="39" a="1"/>
  <c r="AH33" i="39" s="1"/>
  <c r="AE33" i="39" a="1"/>
  <c r="AE33" i="39" s="1"/>
  <c r="AI55" i="39" a="1"/>
  <c r="AI55" i="39" s="1"/>
  <c r="Y16" i="39" a="1"/>
  <c r="Y16" i="39" s="1"/>
  <c r="AR64" i="39" a="1"/>
  <c r="AR64" i="39" s="1"/>
  <c r="BC64" i="39"/>
  <c r="AP52" i="39" a="1"/>
  <c r="AP52" i="39" s="1"/>
  <c r="BC52" i="39"/>
  <c r="AC59" i="39" a="1"/>
  <c r="AC59" i="39" s="1"/>
  <c r="BC59" i="39"/>
  <c r="AC21" i="39" a="1"/>
  <c r="AC21" i="39" s="1"/>
  <c r="AD17" i="39" a="1"/>
  <c r="AD17" i="39" s="1"/>
  <c r="AC60" i="39" a="1"/>
  <c r="AC60" i="39" s="1"/>
  <c r="BC60" i="39"/>
  <c r="AH40" i="39" a="1"/>
  <c r="AH40" i="39" s="1"/>
  <c r="AO55" i="39" a="1"/>
  <c r="AO55" i="39" s="1"/>
  <c r="BC55" i="39"/>
  <c r="AO34" i="39" a="1"/>
  <c r="AO34" i="39" s="1"/>
  <c r="BB13" i="39" a="1"/>
  <c r="BB13" i="39" s="1"/>
  <c r="AL55" i="39" a="1"/>
  <c r="AL55" i="39" s="1"/>
  <c r="AU55" i="39" a="1"/>
  <c r="AU55" i="39" s="1"/>
  <c r="BB60" i="39" a="1"/>
  <c r="BB60" i="39" s="1"/>
  <c r="AG16" i="39" a="1"/>
  <c r="AG16" i="39" s="1"/>
  <c r="AM17" i="39" a="1"/>
  <c r="AM17" i="39" s="1"/>
  <c r="AT40" i="39" a="1"/>
  <c r="AT40" i="39" s="1"/>
  <c r="AP55" i="39" a="1"/>
  <c r="AP55" i="39" s="1"/>
  <c r="AH60" i="39" a="1"/>
  <c r="AH60" i="39" s="1"/>
  <c r="AT16" i="39" a="1"/>
  <c r="AT16" i="39" s="1"/>
  <c r="AH17" i="39" a="1"/>
  <c r="AH17" i="39" s="1"/>
  <c r="Y21" i="39" a="1"/>
  <c r="Y21" i="39" s="1"/>
  <c r="Y60" i="39" a="1"/>
  <c r="Y60" i="39" s="1"/>
  <c r="AK17" i="39" a="1"/>
  <c r="AK17" i="39" s="1"/>
  <c r="BA17" i="39" s="1"/>
  <c r="Y40" i="39" a="1"/>
  <c r="Y40" i="39" s="1"/>
  <c r="AT44" i="39" a="1"/>
  <c r="AT44" i="39" s="1"/>
  <c r="Y44" i="39" a="1"/>
  <c r="Y44" i="39" s="1"/>
  <c r="AE44" i="39" a="1"/>
  <c r="AE44" i="39" s="1"/>
  <c r="AG44" i="39" a="1"/>
  <c r="AG44" i="39" s="1"/>
  <c r="AO44" i="39" a="1"/>
  <c r="AO44" i="39" s="1"/>
  <c r="GY6" i="39" a="1"/>
  <c r="GY6" i="39" s="1"/>
  <c r="GZ4" i="39"/>
  <c r="GY5" i="39" a="1"/>
  <c r="GY5" i="39" s="1"/>
  <c r="GY7" i="39" a="1"/>
  <c r="GY7" i="39" s="1"/>
  <c r="BB55" i="39" a="1"/>
  <c r="BB55" i="39" s="1"/>
  <c r="AK21" i="39" a="1"/>
  <c r="AK21" i="39" s="1"/>
  <c r="BA21" i="39" s="1"/>
  <c r="AG55" i="39" a="1"/>
  <c r="AG55" i="39" s="1"/>
  <c r="AM55" i="39" a="1"/>
  <c r="AM55" i="39" s="1"/>
  <c r="AM16" i="39" a="1"/>
  <c r="AM16" i="39" s="1"/>
  <c r="AK16" i="39" a="1"/>
  <c r="AK16" i="39" s="1"/>
  <c r="BA16" i="39" s="1"/>
  <c r="Y17" i="39" a="1"/>
  <c r="Y17" i="39" s="1"/>
  <c r="BB17" i="39" a="1"/>
  <c r="BB17" i="39" s="1"/>
  <c r="AE17" i="39" a="1"/>
  <c r="AE17" i="39" s="1"/>
  <c r="AL40" i="39" a="1"/>
  <c r="AL40" i="39" s="1"/>
  <c r="AE40" i="39" a="1"/>
  <c r="AE40" i="39" s="1"/>
  <c r="AR55" i="39" a="1"/>
  <c r="AR55" i="39" s="1"/>
  <c r="AC55" i="39" a="1"/>
  <c r="AC55" i="39" s="1"/>
  <c r="AT55" i="39" a="1"/>
  <c r="AT55" i="39" s="1"/>
  <c r="AS55" i="39" a="1"/>
  <c r="AS55" i="39" s="1"/>
  <c r="AR60" i="39" a="1"/>
  <c r="AR60" i="39" s="1"/>
  <c r="AO60" i="39" a="1"/>
  <c r="AO60" i="39" s="1"/>
  <c r="AD60" i="39" a="1"/>
  <c r="AD60" i="39" s="1"/>
  <c r="AP60" i="39" a="1"/>
  <c r="AP60" i="39" s="1"/>
  <c r="BB16" i="39" a="1"/>
  <c r="BB16" i="39" s="1"/>
  <c r="AC16" i="39" a="1"/>
  <c r="AC16" i="39" s="1"/>
  <c r="AI16" i="39" a="1"/>
  <c r="AI16" i="39" s="1"/>
  <c r="AL16" i="39" a="1"/>
  <c r="AL16" i="39" s="1"/>
  <c r="AC17" i="39" a="1"/>
  <c r="AC17" i="39" s="1"/>
  <c r="AL17" i="39" a="1"/>
  <c r="AL17" i="39" s="1"/>
  <c r="AI17" i="39" a="1"/>
  <c r="AI17" i="39" s="1"/>
  <c r="BB40" i="39" a="1"/>
  <c r="BB40" i="39" s="1"/>
  <c r="AD40" i="39" a="1"/>
  <c r="AD40" i="39" s="1"/>
  <c r="AM40" i="39" a="1"/>
  <c r="AM40" i="39" s="1"/>
  <c r="AK40" i="39" a="1"/>
  <c r="AK40" i="39" s="1"/>
  <c r="BA40" i="39" s="1"/>
  <c r="AH55" i="39" a="1"/>
  <c r="AH55" i="39" s="1"/>
  <c r="AE60" i="39" a="1"/>
  <c r="AE60" i="39" s="1"/>
  <c r="AU60" i="39" a="1"/>
  <c r="AU60" i="39" s="1"/>
  <c r="AT60" i="39" a="1"/>
  <c r="AT60" i="39" s="1"/>
  <c r="AM60" i="39" a="1"/>
  <c r="AM60" i="39" s="1"/>
  <c r="AD16" i="39" a="1"/>
  <c r="AD16" i="39" s="1"/>
  <c r="AO40" i="39" a="1"/>
  <c r="AO40" i="39" s="1"/>
  <c r="AG40" i="39" a="1"/>
  <c r="AG40" i="39" s="1"/>
  <c r="AK55" i="39" a="1"/>
  <c r="AK55" i="39" s="1"/>
  <c r="BA55" i="39" s="1"/>
  <c r="AE55" i="39" a="1"/>
  <c r="AE55" i="39" s="1"/>
  <c r="Y55" i="39" a="1"/>
  <c r="Y55" i="39" s="1"/>
  <c r="AL60" i="39" a="1"/>
  <c r="AL60" i="39" s="1"/>
  <c r="AK60" i="39" a="1"/>
  <c r="AK60" i="39" s="1"/>
  <c r="BA60" i="39" s="1"/>
  <c r="AI60" i="39" a="1"/>
  <c r="AI60" i="39" s="1"/>
  <c r="AG60" i="39" a="1"/>
  <c r="AG60" i="39" s="1"/>
  <c r="AO16" i="39" a="1"/>
  <c r="AO16" i="39" s="1"/>
  <c r="AE16" i="39" a="1"/>
  <c r="AE16" i="39" s="1"/>
  <c r="AG17" i="39" a="1"/>
  <c r="AG17" i="39" s="1"/>
  <c r="AO17" i="39" a="1"/>
  <c r="AO17" i="39" s="1"/>
  <c r="AP40" i="39" a="1"/>
  <c r="AP40" i="39" s="1"/>
  <c r="AC40" i="39" a="1"/>
  <c r="AC40" i="39" s="1"/>
  <c r="AI40" i="39" a="1"/>
  <c r="AI40" i="39" s="1"/>
  <c r="AN19" i="39" a="1"/>
  <c r="AN19" i="39" s="1"/>
  <c r="AF19" i="39" a="1"/>
  <c r="AF19" i="39" s="1"/>
  <c r="AN35" i="39" a="1"/>
  <c r="AN35" i="39" s="1"/>
  <c r="AF35" i="39" a="1"/>
  <c r="AF35" i="39" s="1"/>
  <c r="AJ35" i="39" a="1"/>
  <c r="AJ35" i="39" s="1"/>
  <c r="AN47" i="39" a="1"/>
  <c r="AN47" i="39" s="1"/>
  <c r="AJ47" i="39" a="1"/>
  <c r="AJ47" i="39" s="1"/>
  <c r="AV47" i="39" a="1"/>
  <c r="AV47" i="39" s="1"/>
  <c r="AF47" i="39" a="1"/>
  <c r="AF47" i="39" s="1"/>
  <c r="AJ68" i="39" a="1"/>
  <c r="AJ68" i="39" s="1"/>
  <c r="AV68" i="39" a="1"/>
  <c r="AV68" i="39" s="1"/>
  <c r="AN68" i="39" a="1"/>
  <c r="AN68" i="39" s="1"/>
  <c r="AF68" i="39" a="1"/>
  <c r="AF68" i="39" s="1"/>
  <c r="AN42" i="39" a="1"/>
  <c r="AN42" i="39" s="1"/>
  <c r="AJ42" i="39" a="1"/>
  <c r="AJ42" i="39" s="1"/>
  <c r="AF42" i="39" a="1"/>
  <c r="AF42" i="39" s="1"/>
  <c r="AN22" i="39" a="1"/>
  <c r="AN22" i="39" s="1"/>
  <c r="AF22" i="39" a="1"/>
  <c r="AF22" i="39" s="1"/>
  <c r="AN43" i="39" a="1"/>
  <c r="AN43" i="39" s="1"/>
  <c r="AJ43" i="39" a="1"/>
  <c r="AJ43" i="39" s="1"/>
  <c r="AF43" i="39" a="1"/>
  <c r="AF43" i="39" s="1"/>
  <c r="AN51" i="39" a="1"/>
  <c r="AN51" i="39" s="1"/>
  <c r="AV51" i="39" a="1"/>
  <c r="AV51" i="39" s="1"/>
  <c r="AJ51" i="39" a="1"/>
  <c r="AJ51" i="39" s="1"/>
  <c r="AF51" i="39" a="1"/>
  <c r="AF51" i="39" s="1"/>
  <c r="AG32" i="39" a="1"/>
  <c r="AG32" i="39" s="1"/>
  <c r="AN32" i="39" a="1"/>
  <c r="AN32" i="39" s="1"/>
  <c r="AF32" i="39" a="1"/>
  <c r="AF32" i="39" s="1"/>
  <c r="AJ32" i="39" a="1"/>
  <c r="AJ32" i="39" s="1"/>
  <c r="AN20" i="39" a="1"/>
  <c r="AN20" i="39" s="1"/>
  <c r="AF20" i="39" a="1"/>
  <c r="AF20" i="39" s="1"/>
  <c r="AH64" i="39" a="1"/>
  <c r="AH64" i="39" s="1"/>
  <c r="AN64" i="39" a="1"/>
  <c r="AN64" i="39" s="1"/>
  <c r="AV64" i="39" a="1"/>
  <c r="AV64" i="39" s="1"/>
  <c r="AJ64" i="39" a="1"/>
  <c r="AJ64" i="39" s="1"/>
  <c r="AF64" i="39" a="1"/>
  <c r="AF64" i="39" s="1"/>
  <c r="AI52" i="39" a="1"/>
  <c r="AI52" i="39" s="1"/>
  <c r="AV52" i="39" a="1"/>
  <c r="AV52" i="39" s="1"/>
  <c r="AJ52" i="39" a="1"/>
  <c r="AJ52" i="39" s="1"/>
  <c r="AN52" i="39" a="1"/>
  <c r="AN52" i="39" s="1"/>
  <c r="AF52" i="39" a="1"/>
  <c r="AF52" i="39" s="1"/>
  <c r="Y59" i="39" a="1"/>
  <c r="Y59" i="39" s="1"/>
  <c r="AV59" i="39" a="1"/>
  <c r="AV59" i="39" s="1"/>
  <c r="AN59" i="39" a="1"/>
  <c r="AN59" i="39" s="1"/>
  <c r="AJ59" i="39" a="1"/>
  <c r="AJ59" i="39" s="1"/>
  <c r="AF59" i="39" a="1"/>
  <c r="AF59" i="39" s="1"/>
  <c r="AN23" i="39" a="1"/>
  <c r="AN23" i="39" s="1"/>
  <c r="AF23" i="39" a="1"/>
  <c r="AF23" i="39" s="1"/>
  <c r="AN21" i="39" a="1"/>
  <c r="AN21" i="39" s="1"/>
  <c r="AF21" i="39" a="1"/>
  <c r="AF21" i="39" s="1"/>
  <c r="AN16" i="39" a="1"/>
  <c r="AN16" i="39" s="1"/>
  <c r="AF16" i="39" a="1"/>
  <c r="AF16" i="39" s="1"/>
  <c r="AN17" i="39" a="1"/>
  <c r="AN17" i="39" s="1"/>
  <c r="AF17" i="39" a="1"/>
  <c r="AF17" i="39" s="1"/>
  <c r="AJ60" i="39" a="1"/>
  <c r="AJ60" i="39" s="1"/>
  <c r="AV60" i="39" a="1"/>
  <c r="AV60" i="39" s="1"/>
  <c r="AN60" i="39" a="1"/>
  <c r="AN60" i="39" s="1"/>
  <c r="AF60" i="39" a="1"/>
  <c r="AF60" i="39" s="1"/>
  <c r="AN40" i="39" a="1"/>
  <c r="AN40" i="39" s="1"/>
  <c r="AF40" i="39" a="1"/>
  <c r="AF40" i="39" s="1"/>
  <c r="AJ40" i="39" a="1"/>
  <c r="AJ40" i="39" s="1"/>
  <c r="AN55" i="39" a="1"/>
  <c r="AN55" i="39" s="1"/>
  <c r="AV55" i="39" a="1"/>
  <c r="AV55" i="39" s="1"/>
  <c r="AJ55" i="39" a="1"/>
  <c r="AJ55" i="39" s="1"/>
  <c r="AF55" i="39" a="1"/>
  <c r="AF55" i="39" s="1"/>
  <c r="AN50" i="39" a="1"/>
  <c r="AN50" i="39" s="1"/>
  <c r="AJ50" i="39" a="1"/>
  <c r="AJ50" i="39" s="1"/>
  <c r="AV50" i="39" a="1"/>
  <c r="AV50" i="39" s="1"/>
  <c r="AF50" i="39" a="1"/>
  <c r="AF50" i="39" s="1"/>
  <c r="AN26" i="39" a="1"/>
  <c r="AN26" i="39" s="1"/>
  <c r="AJ26" i="39" a="1"/>
  <c r="AJ26" i="39" s="1"/>
  <c r="AF26" i="39" a="1"/>
  <c r="AF26" i="39" s="1"/>
  <c r="AJ49" i="39" a="1"/>
  <c r="AJ49" i="39" s="1"/>
  <c r="AV49" i="39" a="1"/>
  <c r="AV49" i="39" s="1"/>
  <c r="AN49" i="39" a="1"/>
  <c r="AN49" i="39" s="1"/>
  <c r="AF49" i="39" a="1"/>
  <c r="AF49" i="39" s="1"/>
  <c r="AN25" i="39" a="1"/>
  <c r="AN25" i="39" s="1"/>
  <c r="AF25" i="39" a="1"/>
  <c r="AF25" i="39" s="1"/>
  <c r="AJ25" i="39" a="1"/>
  <c r="AJ25" i="39" s="1"/>
  <c r="BB34" i="39" a="1"/>
  <c r="BB34" i="39" s="1"/>
  <c r="AN34" i="39" a="1"/>
  <c r="AN34" i="39" s="1"/>
  <c r="AJ34" i="39" a="1"/>
  <c r="AJ34" i="39" s="1"/>
  <c r="AF34" i="39" a="1"/>
  <c r="AF34" i="39" s="1"/>
  <c r="AI44" i="39" a="1"/>
  <c r="AI44" i="39" s="1"/>
  <c r="AJ44" i="39" a="1"/>
  <c r="AJ44" i="39" s="1"/>
  <c r="AN44" i="39" a="1"/>
  <c r="AN44" i="39" s="1"/>
  <c r="AF44" i="39" a="1"/>
  <c r="AF44" i="39" s="1"/>
  <c r="AN62" i="39" a="1"/>
  <c r="AN62" i="39" s="1"/>
  <c r="AV62" i="39" a="1"/>
  <c r="AV62" i="39" s="1"/>
  <c r="AJ62" i="39" a="1"/>
  <c r="AJ62" i="39" s="1"/>
  <c r="AF62" i="39" a="1"/>
  <c r="AF62" i="39" s="1"/>
  <c r="AN27" i="39" a="1"/>
  <c r="AN27" i="39" s="1"/>
  <c r="AF27" i="39" a="1"/>
  <c r="AF27" i="39" s="1"/>
  <c r="AJ27" i="39" a="1"/>
  <c r="AJ27" i="39" s="1"/>
  <c r="AN18" i="39" a="1"/>
  <c r="AN18" i="39" s="1"/>
  <c r="AF18" i="39" a="1"/>
  <c r="AF18" i="39" s="1"/>
  <c r="AN33" i="39" a="1"/>
  <c r="AN33" i="39" s="1"/>
  <c r="AF33" i="39" a="1"/>
  <c r="AF33" i="39" s="1"/>
  <c r="AJ33" i="39" a="1"/>
  <c r="AJ33" i="39" s="1"/>
  <c r="AN58" i="39" a="1"/>
  <c r="AN58" i="39" s="1"/>
  <c r="AJ58" i="39" a="1"/>
  <c r="AJ58" i="39" s="1"/>
  <c r="AV58" i="39" a="1"/>
  <c r="AV58" i="39" s="1"/>
  <c r="AF58" i="39" a="1"/>
  <c r="AF58" i="39" s="1"/>
  <c r="AN28" i="39" a="1"/>
  <c r="AN28" i="39" s="1"/>
  <c r="AJ28" i="39" a="1"/>
  <c r="AJ28" i="39" s="1"/>
  <c r="AF28" i="39" a="1"/>
  <c r="AF28" i="39" s="1"/>
  <c r="AN54" i="39" a="1"/>
  <c r="AN54" i="39" s="1"/>
  <c r="AV54" i="39" a="1"/>
  <c r="AV54" i="39" s="1"/>
  <c r="AJ54" i="39" a="1"/>
  <c r="AJ54" i="39" s="1"/>
  <c r="AF54" i="39" a="1"/>
  <c r="AF54" i="39" s="1"/>
  <c r="AN63" i="39" a="1"/>
  <c r="AN63" i="39" s="1"/>
  <c r="AV63" i="39" a="1"/>
  <c r="AV63" i="39" s="1"/>
  <c r="AJ63" i="39" a="1"/>
  <c r="AJ63" i="39" s="1"/>
  <c r="AF63" i="39" a="1"/>
  <c r="AF63" i="39" s="1"/>
  <c r="AV48" i="39" a="1"/>
  <c r="AV48" i="39" s="1"/>
  <c r="AN48" i="39" a="1"/>
  <c r="AN48" i="39" s="1"/>
  <c r="AJ48" i="39" a="1"/>
  <c r="AJ48" i="39" s="1"/>
  <c r="AF48" i="39" a="1"/>
  <c r="AF48" i="39" s="1"/>
  <c r="AJ41" i="39" a="1"/>
  <c r="AJ41" i="39" s="1"/>
  <c r="AN41" i="39" a="1"/>
  <c r="AN41" i="39" s="1"/>
  <c r="AF41" i="39" a="1"/>
  <c r="AF41" i="39" s="1"/>
  <c r="AG66" i="39" a="1"/>
  <c r="AG66" i="39" s="1"/>
  <c r="AN66" i="39" a="1"/>
  <c r="AN66" i="39" s="1"/>
  <c r="AJ66" i="39" a="1"/>
  <c r="AJ66" i="39" s="1"/>
  <c r="AV66" i="39" a="1"/>
  <c r="AV66" i="39" s="1"/>
  <c r="AF66" i="39" a="1"/>
  <c r="AF66" i="39" s="1"/>
  <c r="Y67" i="39" a="1"/>
  <c r="Y67" i="39" s="1"/>
  <c r="AV67" i="39" a="1"/>
  <c r="AV67" i="39" s="1"/>
  <c r="AN67" i="39" a="1"/>
  <c r="AN67" i="39" s="1"/>
  <c r="AF67" i="39" a="1"/>
  <c r="AF67" i="39" s="1"/>
  <c r="AJ67" i="39" a="1"/>
  <c r="AJ67" i="39" s="1"/>
  <c r="AN15" i="39" a="1"/>
  <c r="AN15" i="39" s="1"/>
  <c r="AF15" i="39" a="1"/>
  <c r="AF15" i="39" s="1"/>
  <c r="AN45" i="39" a="1"/>
  <c r="AN45" i="39" s="1"/>
  <c r="AJ45" i="39" a="1"/>
  <c r="AJ45" i="39" s="1"/>
  <c r="AF45" i="39" a="1"/>
  <c r="AF45" i="39" s="1"/>
  <c r="AN30" i="39" a="1"/>
  <c r="AN30" i="39" s="1"/>
  <c r="AF30" i="39" a="1"/>
  <c r="AF30" i="39" s="1"/>
  <c r="AJ30" i="39" a="1"/>
  <c r="AJ30" i="39" s="1"/>
  <c r="AN61" i="39" a="1"/>
  <c r="AN61" i="39" s="1"/>
  <c r="AV61" i="39" a="1"/>
  <c r="AV61" i="39" s="1"/>
  <c r="AJ61" i="39" a="1"/>
  <c r="AJ61" i="39" s="1"/>
  <c r="AF61" i="39" a="1"/>
  <c r="AF61" i="39" s="1"/>
  <c r="AN46" i="39" a="1"/>
  <c r="AN46" i="39" s="1"/>
  <c r="AJ46" i="39" a="1"/>
  <c r="AJ46" i="39" s="1"/>
  <c r="AF46" i="39" a="1"/>
  <c r="AF46" i="39" s="1"/>
  <c r="AN53" i="39" a="1"/>
  <c r="AN53" i="39" s="1"/>
  <c r="AV53" i="39" a="1"/>
  <c r="AV53" i="39" s="1"/>
  <c r="AJ53" i="39" a="1"/>
  <c r="AJ53" i="39" s="1"/>
  <c r="AF53" i="39" a="1"/>
  <c r="AF53" i="39" s="1"/>
  <c r="AN14" i="39" a="1"/>
  <c r="AN14" i="39" s="1"/>
  <c r="AF14" i="39" a="1"/>
  <c r="AF14" i="39" s="1"/>
  <c r="AN31" i="39" a="1"/>
  <c r="AN31" i="39" s="1"/>
  <c r="AJ31" i="39" a="1"/>
  <c r="AJ31" i="39" s="1"/>
  <c r="AF31" i="39" a="1"/>
  <c r="AF31" i="39" s="1"/>
  <c r="AN56" i="39" a="1"/>
  <c r="AN56" i="39" s="1"/>
  <c r="AV56" i="39" a="1"/>
  <c r="AV56" i="39" s="1"/>
  <c r="AJ56" i="39" a="1"/>
  <c r="AJ56" i="39" s="1"/>
  <c r="AF56" i="39" a="1"/>
  <c r="AF56" i="39" s="1"/>
  <c r="AJ65" i="39" a="1"/>
  <c r="AJ65" i="39" s="1"/>
  <c r="AV65" i="39" a="1"/>
  <c r="AV65" i="39" s="1"/>
  <c r="AN65" i="39" a="1"/>
  <c r="AN65" i="39" s="1"/>
  <c r="AF65" i="39" a="1"/>
  <c r="AF65" i="39" s="1"/>
  <c r="AN24" i="39" a="1"/>
  <c r="AN24" i="39" s="1"/>
  <c r="AF24" i="39" a="1"/>
  <c r="AF24" i="39" s="1"/>
  <c r="AN29" i="39" a="1"/>
  <c r="AN29" i="39" s="1"/>
  <c r="AJ29" i="39" a="1"/>
  <c r="AJ29" i="39" s="1"/>
  <c r="AF29" i="39" a="1"/>
  <c r="AF29" i="39" s="1"/>
  <c r="AN13" i="39" a="1"/>
  <c r="AN13" i="39" s="1"/>
  <c r="AF13" i="39" a="1"/>
  <c r="AF13" i="39" s="1"/>
  <c r="AJ57" i="39" a="1"/>
  <c r="AJ57" i="39" s="1"/>
  <c r="AV57" i="39" a="1"/>
  <c r="AV57" i="39" s="1"/>
  <c r="AN57" i="39" a="1"/>
  <c r="AN57" i="39" s="1"/>
  <c r="AF57" i="39" a="1"/>
  <c r="AF57" i="39" s="1"/>
  <c r="AN36" i="39" a="1"/>
  <c r="AN36" i="39" s="1"/>
  <c r="AJ36" i="39" a="1"/>
  <c r="AJ36" i="39" s="1"/>
  <c r="AF36" i="39" a="1"/>
  <c r="AF36" i="39" s="1"/>
  <c r="AE67" i="39" a="1"/>
  <c r="AE67" i="39" s="1"/>
  <c r="AC34" i="39" a="1"/>
  <c r="AC34" i="39" s="1"/>
  <c r="AP34" i="39" a="1"/>
  <c r="AP34" i="39" s="1"/>
  <c r="AH34" i="39" a="1"/>
  <c r="AH34" i="39" s="1"/>
  <c r="BB44" i="39" a="1"/>
  <c r="BB44" i="39" s="1"/>
  <c r="AC44" i="39" a="1"/>
  <c r="AC44" i="39" s="1"/>
  <c r="AP44" i="39" a="1"/>
  <c r="AP44" i="39" s="1"/>
  <c r="AH44" i="39" a="1"/>
  <c r="AH44" i="39" s="1"/>
  <c r="AL44" i="39" a="1"/>
  <c r="AL44" i="39" s="1"/>
  <c r="AK44" i="39" a="1"/>
  <c r="AK44" i="39" s="1"/>
  <c r="BA44" i="39" s="1"/>
  <c r="AH66" i="39" a="1"/>
  <c r="AH66" i="39" s="1"/>
  <c r="AP66" i="39" a="1"/>
  <c r="AP66" i="39" s="1"/>
  <c r="AT64" i="39" a="1"/>
  <c r="AT64" i="39" s="1"/>
  <c r="AL52" i="39" a="1"/>
  <c r="AL52" i="39" s="1"/>
  <c r="AM23" i="39" a="1"/>
  <c r="AM23" i="39" s="1"/>
  <c r="AG59" i="39" a="1"/>
  <c r="AG59" i="39" s="1"/>
  <c r="AE64" i="39" a="1"/>
  <c r="AE64" i="39" s="1"/>
  <c r="AK52" i="39" a="1"/>
  <c r="AK52" i="39" s="1"/>
  <c r="BA52" i="39" s="1"/>
  <c r="AG52" i="39" a="1"/>
  <c r="AG52" i="39" s="1"/>
  <c r="AC23" i="39" a="1"/>
  <c r="AC23" i="39" s="1"/>
  <c r="AL59" i="39" a="1"/>
  <c r="AL59" i="39" s="1"/>
  <c r="AK59" i="39" a="1"/>
  <c r="AK59" i="39" s="1"/>
  <c r="BA59" i="39" s="1"/>
  <c r="AG67" i="39" a="1"/>
  <c r="AG67" i="39" s="1"/>
  <c r="AL14" i="39" a="1"/>
  <c r="AL14" i="39" s="1"/>
  <c r="AL66" i="39" a="1"/>
  <c r="AL66" i="39" s="1"/>
  <c r="AT67" i="39" a="1"/>
  <c r="AT67" i="39" s="1"/>
  <c r="AK67" i="39" a="1"/>
  <c r="AK67" i="39" s="1"/>
  <c r="BA67" i="39" s="1"/>
  <c r="AD35" i="39" a="1"/>
  <c r="AD35" i="39" s="1"/>
  <c r="AP47" i="39" a="1"/>
  <c r="AP47" i="39" s="1"/>
  <c r="AD68" i="39" a="1"/>
  <c r="AD68" i="39" s="1"/>
  <c r="AH42" i="39" a="1"/>
  <c r="AH42" i="39" s="1"/>
  <c r="AT43" i="39" a="1"/>
  <c r="AT43" i="39" s="1"/>
  <c r="BB51" i="39" a="1"/>
  <c r="BB51" i="39" s="1"/>
  <c r="AH32" i="39" a="1"/>
  <c r="AH32" i="39" s="1"/>
  <c r="AD20" i="39" a="1"/>
  <c r="AD20" i="39" s="1"/>
  <c r="AK64" i="39" a="1"/>
  <c r="AK64" i="39" s="1"/>
  <c r="BA64" i="39" s="1"/>
  <c r="AT52" i="39" a="1"/>
  <c r="AT52" i="39" s="1"/>
  <c r="AD59" i="39" a="1"/>
  <c r="AD59" i="39" s="1"/>
  <c r="AK23" i="39" a="1"/>
  <c r="AK23" i="39" s="1"/>
  <c r="BA23" i="39" s="1"/>
  <c r="AE21" i="39" a="1"/>
  <c r="AE21" i="39" s="1"/>
  <c r="AT66" i="39" a="1"/>
  <c r="AT66" i="39" s="1"/>
  <c r="BB66" i="39" a="1"/>
  <c r="BB66" i="39" s="1"/>
  <c r="AR66" i="39" a="1"/>
  <c r="AR66" i="39" s="1"/>
  <c r="AS67" i="39" a="1"/>
  <c r="AS67" i="39" s="1"/>
  <c r="AH50" i="39" a="1"/>
  <c r="AH50" i="39" s="1"/>
  <c r="AS49" i="39" a="1"/>
  <c r="AS49" i="39" s="1"/>
  <c r="AH25" i="39" a="1"/>
  <c r="AH25" i="39" s="1"/>
  <c r="AE66" i="39" a="1"/>
  <c r="AE66" i="39" s="1"/>
  <c r="AU67" i="39" a="1"/>
  <c r="AU67" i="39" s="1"/>
  <c r="AL56" i="39" a="1"/>
  <c r="AL56" i="39" s="1"/>
  <c r="AU65" i="39" a="1"/>
  <c r="AU65" i="39" s="1"/>
  <c r="BB24" i="39" a="1"/>
  <c r="BB24" i="39" s="1"/>
  <c r="Y29" i="39" a="1"/>
  <c r="Y29" i="39" s="1"/>
  <c r="AM13" i="39" a="1"/>
  <c r="AM13" i="39" s="1"/>
  <c r="AI13" i="39" a="1"/>
  <c r="AI13" i="39" s="1"/>
  <c r="AE13" i="39" a="1"/>
  <c r="AE13" i="39" s="1"/>
  <c r="AO56" i="39" a="1"/>
  <c r="AO56" i="39" s="1"/>
  <c r="AM20" i="39" a="1"/>
  <c r="AM20" i="39" s="1"/>
  <c r="AU66" i="39" a="1"/>
  <c r="AU66" i="39" s="1"/>
  <c r="AO66" i="39" a="1"/>
  <c r="AO66" i="39" s="1"/>
  <c r="AI66" i="39" a="1"/>
  <c r="AI66" i="39" s="1"/>
  <c r="AD67" i="39" a="1"/>
  <c r="AD67" i="39" s="1"/>
  <c r="AL67" i="39" a="1"/>
  <c r="AL67" i="39" s="1"/>
  <c r="AP67" i="39" a="1"/>
  <c r="AP67" i="39" s="1"/>
  <c r="AK66" i="39" a="1"/>
  <c r="AK66" i="39" s="1"/>
  <c r="BA66" i="39" s="1"/>
  <c r="Y66" i="39" a="1"/>
  <c r="Y66" i="39" s="1"/>
  <c r="AC66" i="39" a="1"/>
  <c r="AC66" i="39" s="1"/>
  <c r="AM67" i="39" a="1"/>
  <c r="AM67" i="39" s="1"/>
  <c r="AI67" i="39" a="1"/>
  <c r="AI67" i="39" s="1"/>
  <c r="AR67" i="39" a="1"/>
  <c r="AR67" i="39" s="1"/>
  <c r="AH67" i="39" a="1"/>
  <c r="AH67" i="39" s="1"/>
  <c r="AL51" i="39" a="1"/>
  <c r="AL51" i="39" s="1"/>
  <c r="AE32" i="39" a="1"/>
  <c r="AE32" i="39" s="1"/>
  <c r="AO20" i="39" a="1"/>
  <c r="AO20" i="39" s="1"/>
  <c r="AK43" i="39" a="1"/>
  <c r="AK43" i="39" s="1"/>
  <c r="BA43" i="39" s="1"/>
  <c r="AI43" i="39" a="1"/>
  <c r="AI43" i="39" s="1"/>
  <c r="Y68" i="39" a="1"/>
  <c r="Y68" i="39" s="1"/>
  <c r="AL34" i="39" a="1"/>
  <c r="AL34" i="39" s="1"/>
  <c r="AT34" i="39" a="1"/>
  <c r="AT34" i="39" s="1"/>
  <c r="AE34" i="39" a="1"/>
  <c r="AE34" i="39" s="1"/>
  <c r="AG35" i="39" a="1"/>
  <c r="AG35" i="39" s="1"/>
  <c r="AM34" i="39" a="1"/>
  <c r="AM34" i="39" s="1"/>
  <c r="AD34" i="39" a="1"/>
  <c r="AD34" i="39" s="1"/>
  <c r="AG34" i="39" a="1"/>
  <c r="AG34" i="39" s="1"/>
  <c r="AT22" i="39" a="1"/>
  <c r="AT22" i="39" s="1"/>
  <c r="AG22" i="39" a="1"/>
  <c r="AG22" i="39" s="1"/>
  <c r="AK42" i="39" a="1"/>
  <c r="AK42" i="39" s="1"/>
  <c r="BA42" i="39" s="1"/>
  <c r="AR51" i="39" a="1"/>
  <c r="AR51" i="39" s="1"/>
  <c r="AD66" i="39" a="1"/>
  <c r="AD66" i="39" s="1"/>
  <c r="AS66" i="39" a="1"/>
  <c r="AS66" i="39" s="1"/>
  <c r="AM66" i="39" a="1"/>
  <c r="AM66" i="39" s="1"/>
  <c r="AM68" i="39" a="1"/>
  <c r="AM68" i="39" s="1"/>
  <c r="AO67" i="39" a="1"/>
  <c r="AO67" i="39" s="1"/>
  <c r="BB67" i="39" a="1"/>
  <c r="BB67" i="39" s="1"/>
  <c r="AC67" i="39" a="1"/>
  <c r="AC67" i="39" s="1"/>
  <c r="BB43" i="39" a="1"/>
  <c r="BB43" i="39" s="1"/>
  <c r="AH51" i="39" a="1"/>
  <c r="AH51" i="39" s="1"/>
  <c r="Y20" i="39" a="1"/>
  <c r="Y20" i="39" s="1"/>
  <c r="AM64" i="39" a="1"/>
  <c r="AM64" i="39" s="1"/>
  <c r="AC52" i="39" a="1"/>
  <c r="AC52" i="39" s="1"/>
  <c r="AU52" i="39" a="1"/>
  <c r="AU52" i="39" s="1"/>
  <c r="AR52" i="39" a="1"/>
  <c r="AR52" i="39" s="1"/>
  <c r="AE52" i="39" a="1"/>
  <c r="AE52" i="39" s="1"/>
  <c r="AG68" i="39" a="1"/>
  <c r="AG68" i="39" s="1"/>
  <c r="AS68" i="39" a="1"/>
  <c r="AS68" i="39" s="1"/>
  <c r="AG21" i="39" a="1"/>
  <c r="AG21" i="39" s="1"/>
  <c r="AL21" i="39" a="1"/>
  <c r="AL21" i="39" s="1"/>
  <c r="AI21" i="39" a="1"/>
  <c r="AI21" i="39" s="1"/>
  <c r="AP42" i="39" a="1"/>
  <c r="AP42" i="39" s="1"/>
  <c r="AP43" i="39" a="1"/>
  <c r="AP43" i="39" s="1"/>
  <c r="AM43" i="39" a="1"/>
  <c r="AM43" i="39" s="1"/>
  <c r="Y43" i="39" a="1"/>
  <c r="Y43" i="39" s="1"/>
  <c r="AG23" i="39" a="1"/>
  <c r="AG23" i="39" s="1"/>
  <c r="AT23" i="39" a="1"/>
  <c r="AT23" i="39" s="1"/>
  <c r="AD23" i="39" a="1"/>
  <c r="AD23" i="39" s="1"/>
  <c r="AI22" i="39" a="1"/>
  <c r="AI22" i="39" s="1"/>
  <c r="AH22" i="39" a="1"/>
  <c r="AH22" i="39" s="1"/>
  <c r="AT59" i="39" a="1"/>
  <c r="AT59" i="39" s="1"/>
  <c r="AE59" i="39" a="1"/>
  <c r="AE59" i="39" s="1"/>
  <c r="AI59" i="39" a="1"/>
  <c r="AI59" i="39" s="1"/>
  <c r="AM59" i="39" a="1"/>
  <c r="AM59" i="39" s="1"/>
  <c r="AG51" i="39" a="1"/>
  <c r="AG51" i="39" s="1"/>
  <c r="AC51" i="39" a="1"/>
  <c r="AC51" i="39" s="1"/>
  <c r="AT51" i="39" a="1"/>
  <c r="AT51" i="39" s="1"/>
  <c r="AD32" i="39" a="1"/>
  <c r="AD32" i="39" s="1"/>
  <c r="AM32" i="39" a="1"/>
  <c r="AM32" i="39" s="1"/>
  <c r="AL32" i="39" a="1"/>
  <c r="AL32" i="39" s="1"/>
  <c r="AP32" i="39" a="1"/>
  <c r="AP32" i="39" s="1"/>
  <c r="AI20" i="39" a="1"/>
  <c r="AI20" i="39" s="1"/>
  <c r="AG20" i="39" a="1"/>
  <c r="AG20" i="39" s="1"/>
  <c r="AI64" i="39" a="1"/>
  <c r="AI64" i="39" s="1"/>
  <c r="AL64" i="39" a="1"/>
  <c r="AL64" i="39" s="1"/>
  <c r="AG64" i="39" a="1"/>
  <c r="AG64" i="39" s="1"/>
  <c r="AH52" i="39" a="1"/>
  <c r="AH52" i="39" s="1"/>
  <c r="AD52" i="39" a="1"/>
  <c r="AD52" i="39" s="1"/>
  <c r="AC68" i="39" a="1"/>
  <c r="AC68" i="39" s="1"/>
  <c r="AO68" i="39" a="1"/>
  <c r="AO68" i="39" s="1"/>
  <c r="AI68" i="39" a="1"/>
  <c r="AI68" i="39" s="1"/>
  <c r="AT21" i="39" a="1"/>
  <c r="AT21" i="39" s="1"/>
  <c r="BB21" i="39" a="1"/>
  <c r="BB21" i="39" s="1"/>
  <c r="AH21" i="39" a="1"/>
  <c r="AH21" i="39" s="1"/>
  <c r="AL42" i="39" a="1"/>
  <c r="AL42" i="39" s="1"/>
  <c r="AM42" i="39" a="1"/>
  <c r="AM42" i="39" s="1"/>
  <c r="AG43" i="39" a="1"/>
  <c r="AG43" i="39" s="1"/>
  <c r="AL23" i="39" a="1"/>
  <c r="AL23" i="39" s="1"/>
  <c r="AH23" i="39" a="1"/>
  <c r="AH23" i="39" s="1"/>
  <c r="AO23" i="39" a="1"/>
  <c r="AO23" i="39" s="1"/>
  <c r="AE23" i="39" a="1"/>
  <c r="AE23" i="39" s="1"/>
  <c r="AO22" i="39" a="1"/>
  <c r="AO22" i="39" s="1"/>
  <c r="AE22" i="39" a="1"/>
  <c r="AE22" i="39" s="1"/>
  <c r="AP59" i="39" a="1"/>
  <c r="AP59" i="39" s="1"/>
  <c r="BB59" i="39" a="1"/>
  <c r="BB59" i="39" s="1"/>
  <c r="AS59" i="39" a="1"/>
  <c r="AS59" i="39" s="1"/>
  <c r="AR59" i="39" a="1"/>
  <c r="AR59" i="39" s="1"/>
  <c r="AS51" i="39" a="1"/>
  <c r="AS51" i="39" s="1"/>
  <c r="Y51" i="39" a="1"/>
  <c r="Y51" i="39" s="1"/>
  <c r="AD51" i="39" a="1"/>
  <c r="AD51" i="39" s="1"/>
  <c r="AT32" i="39" a="1"/>
  <c r="AT32" i="39" s="1"/>
  <c r="AC32" i="39" a="1"/>
  <c r="AC32" i="39" s="1"/>
  <c r="BB32" i="39" a="1"/>
  <c r="BB32" i="39" s="1"/>
  <c r="AI32" i="39" a="1"/>
  <c r="AI32" i="39" s="1"/>
  <c r="AH20" i="39" a="1"/>
  <c r="AH20" i="39" s="1"/>
  <c r="AK20" i="39" a="1"/>
  <c r="AK20" i="39" s="1"/>
  <c r="BA20" i="39" s="1"/>
  <c r="BB20" i="39" a="1"/>
  <c r="BB20" i="39" s="1"/>
  <c r="AE20" i="39" a="1"/>
  <c r="AE20" i="39" s="1"/>
  <c r="AL20" i="39" a="1"/>
  <c r="AL20" i="39" s="1"/>
  <c r="AC64" i="39" a="1"/>
  <c r="AC64" i="39" s="1"/>
  <c r="AD64" i="39" a="1"/>
  <c r="AD64" i="39" s="1"/>
  <c r="AU64" i="39" a="1"/>
  <c r="AU64" i="39" s="1"/>
  <c r="Y64" i="39" a="1"/>
  <c r="Y64" i="39" s="1"/>
  <c r="AS64" i="39" a="1"/>
  <c r="AS64" i="39" s="1"/>
  <c r="AS52" i="39" a="1"/>
  <c r="AS52" i="39" s="1"/>
  <c r="BB52" i="39" a="1"/>
  <c r="BB52" i="39" s="1"/>
  <c r="AO64" i="39" a="1"/>
  <c r="AO64" i="39" s="1"/>
  <c r="AP64" i="39" a="1"/>
  <c r="AP64" i="39" s="1"/>
  <c r="BB64" i="39" a="1"/>
  <c r="BB64" i="39" s="1"/>
  <c r="AM52" i="39" a="1"/>
  <c r="AM52" i="39" s="1"/>
  <c r="AO52" i="39" a="1"/>
  <c r="AO52" i="39" s="1"/>
  <c r="Y52" i="39" a="1"/>
  <c r="Y52" i="39" s="1"/>
  <c r="AP68" i="39" a="1"/>
  <c r="AP68" i="39" s="1"/>
  <c r="AE68" i="39" a="1"/>
  <c r="AE68" i="39" s="1"/>
  <c r="AD21" i="39" a="1"/>
  <c r="AD21" i="39" s="1"/>
  <c r="AO21" i="39" a="1"/>
  <c r="AO21" i="39" s="1"/>
  <c r="AM21" i="39" a="1"/>
  <c r="AM21" i="39" s="1"/>
  <c r="AD42" i="39" a="1"/>
  <c r="AD42" i="39" s="1"/>
  <c r="AI42" i="39" a="1"/>
  <c r="AI42" i="39" s="1"/>
  <c r="AO43" i="39" a="1"/>
  <c r="AO43" i="39" s="1"/>
  <c r="AE43" i="39" a="1"/>
  <c r="AE43" i="39" s="1"/>
  <c r="AI23" i="39" a="1"/>
  <c r="AI23" i="39" s="1"/>
  <c r="Y23" i="39" a="1"/>
  <c r="Y23" i="39" s="1"/>
  <c r="BB23" i="39" a="1"/>
  <c r="BB23" i="39" s="1"/>
  <c r="BB22" i="39" a="1"/>
  <c r="BB22" i="39" s="1"/>
  <c r="AK22" i="39" a="1"/>
  <c r="AK22" i="39" s="1"/>
  <c r="BA22" i="39" s="1"/>
  <c r="AO59" i="39" a="1"/>
  <c r="AO59" i="39" s="1"/>
  <c r="AH59" i="39" a="1"/>
  <c r="AH59" i="39" s="1"/>
  <c r="AU59" i="39" a="1"/>
  <c r="AU59" i="39" s="1"/>
  <c r="AM51" i="39" a="1"/>
  <c r="AM51" i="39" s="1"/>
  <c r="AI51" i="39" a="1"/>
  <c r="AI51" i="39" s="1"/>
  <c r="AU51" i="39" a="1"/>
  <c r="AU51" i="39" s="1"/>
  <c r="AK32" i="39" a="1"/>
  <c r="AK32" i="39" s="1"/>
  <c r="BA32" i="39" s="1"/>
  <c r="Y32" i="39" a="1"/>
  <c r="Y32" i="39" s="1"/>
  <c r="AO32" i="39" a="1"/>
  <c r="AO32" i="39" s="1"/>
  <c r="AC20" i="39" a="1"/>
  <c r="AC20" i="39" s="1"/>
  <c r="AT20" i="39" a="1"/>
  <c r="AT20" i="39" s="1"/>
  <c r="AO50" i="39" a="1"/>
  <c r="AO50" i="39" s="1"/>
  <c r="AI34" i="39" a="1"/>
  <c r="AI34" i="39" s="1"/>
  <c r="AK34" i="39" a="1"/>
  <c r="AK34" i="39" s="1"/>
  <c r="BA34" i="39" s="1"/>
  <c r="Y34" i="39" a="1"/>
  <c r="Y34" i="39" s="1"/>
  <c r="AT26" i="39" a="1"/>
  <c r="AT26" i="39" s="1"/>
  <c r="AM25" i="39" a="1"/>
  <c r="AM25" i="39" s="1"/>
  <c r="AM26" i="39" a="1"/>
  <c r="AM26" i="39" s="1"/>
  <c r="AE49" i="39" a="1"/>
  <c r="AE49" i="39" s="1"/>
  <c r="AI25" i="39" a="1"/>
  <c r="AI25" i="39" s="1"/>
  <c r="AC50" i="39" a="1"/>
  <c r="AC50" i="39" s="1"/>
  <c r="BB50" i="39" a="1"/>
  <c r="BB50" i="39" s="1"/>
  <c r="AG26" i="39" a="1"/>
  <c r="AG26" i="39" s="1"/>
  <c r="AM49" i="39" a="1"/>
  <c r="AM49" i="39" s="1"/>
  <c r="AC25" i="39" a="1"/>
  <c r="AC25" i="39" s="1"/>
  <c r="AP50" i="39" a="1"/>
  <c r="AP50" i="39" s="1"/>
  <c r="AK50" i="39" a="1"/>
  <c r="AK50" i="39" s="1"/>
  <c r="BA50" i="39" s="1"/>
  <c r="AC26" i="39" a="1"/>
  <c r="AC26" i="39" s="1"/>
  <c r="BB26" i="39" a="1"/>
  <c r="BB26" i="39" s="1"/>
  <c r="AE26" i="39" a="1"/>
  <c r="AE26" i="39" s="1"/>
  <c r="AH49" i="39" a="1"/>
  <c r="AH49" i="39" s="1"/>
  <c r="AD49" i="39" a="1"/>
  <c r="AD49" i="39" s="1"/>
  <c r="BB25" i="39" a="1"/>
  <c r="BB25" i="39" s="1"/>
  <c r="Y25" i="39" a="1"/>
  <c r="Y25" i="39" s="1"/>
  <c r="AE25" i="39" a="1"/>
  <c r="AE25" i="39" s="1"/>
  <c r="AK25" i="39" a="1"/>
  <c r="AK25" i="39" s="1"/>
  <c r="BA25" i="39" s="1"/>
  <c r="AU50" i="39" a="1"/>
  <c r="AU50" i="39" s="1"/>
  <c r="AL50" i="39" a="1"/>
  <c r="AL50" i="39" s="1"/>
  <c r="AD26" i="39" a="1"/>
  <c r="AD26" i="39" s="1"/>
  <c r="AK26" i="39" a="1"/>
  <c r="AK26" i="39" s="1"/>
  <c r="BA26" i="39" s="1"/>
  <c r="AH26" i="39" a="1"/>
  <c r="AH26" i="39" s="1"/>
  <c r="AO49" i="39" a="1"/>
  <c r="AO49" i="39" s="1"/>
  <c r="AG49" i="39" a="1"/>
  <c r="AG49" i="39" s="1"/>
  <c r="AK49" i="39" a="1"/>
  <c r="AK49" i="39" s="1"/>
  <c r="BA49" i="39" s="1"/>
  <c r="AD25" i="39" a="1"/>
  <c r="AD25" i="39" s="1"/>
  <c r="AL25" i="39" a="1"/>
  <c r="AL25" i="39" s="1"/>
  <c r="AT25" i="39" a="1"/>
  <c r="AT25" i="39" s="1"/>
  <c r="AD50" i="39" a="1"/>
  <c r="AD50" i="39" s="1"/>
  <c r="AM50" i="39" a="1"/>
  <c r="AM50" i="39" s="1"/>
  <c r="Y26" i="39" a="1"/>
  <c r="Y26" i="39" s="1"/>
  <c r="BB49" i="39" a="1"/>
  <c r="BB49" i="39" s="1"/>
  <c r="AC49" i="39" a="1"/>
  <c r="AC49" i="39" s="1"/>
  <c r="AO25" i="39" a="1"/>
  <c r="AO25" i="39" s="1"/>
  <c r="AG25" i="39" a="1"/>
  <c r="AG25" i="39" s="1"/>
  <c r="AM47" i="39" a="1"/>
  <c r="AM47" i="39" s="1"/>
  <c r="AR47" i="39" a="1"/>
  <c r="AR47" i="39" s="1"/>
  <c r="AH35" i="39" a="1"/>
  <c r="AH35" i="39" s="1"/>
  <c r="AI47" i="39" a="1"/>
  <c r="AI47" i="39" s="1"/>
  <c r="AU68" i="39" a="1"/>
  <c r="AU68" i="39" s="1"/>
  <c r="BB68" i="39" a="1"/>
  <c r="BB68" i="39" s="1"/>
  <c r="AR68" i="39" a="1"/>
  <c r="AR68" i="39" s="1"/>
  <c r="AK68" i="39" a="1"/>
  <c r="AK68" i="39" s="1"/>
  <c r="BA68" i="39" s="1"/>
  <c r="AL68" i="39" a="1"/>
  <c r="AL68" i="39" s="1"/>
  <c r="AH68" i="39" a="1"/>
  <c r="AH68" i="39" s="1"/>
  <c r="AT68" i="39" a="1"/>
  <c r="AT68" i="39" s="1"/>
  <c r="BB35" i="39" a="1"/>
  <c r="BB35" i="39" s="1"/>
  <c r="BB42" i="39" a="1"/>
  <c r="BB42" i="39" s="1"/>
  <c r="AC42" i="39" a="1"/>
  <c r="AC42" i="39" s="1"/>
  <c r="AC43" i="39" a="1"/>
  <c r="AC43" i="39" s="1"/>
  <c r="AH43" i="39" a="1"/>
  <c r="AH43" i="39" s="1"/>
  <c r="AL43" i="39" a="1"/>
  <c r="AL43" i="39" s="1"/>
  <c r="AD43" i="39" a="1"/>
  <c r="AD43" i="39" s="1"/>
  <c r="AD22" i="39" a="1"/>
  <c r="AD22" i="39" s="1"/>
  <c r="AC22" i="39" a="1"/>
  <c r="AC22" i="39" s="1"/>
  <c r="AL22" i="39" a="1"/>
  <c r="AL22" i="39" s="1"/>
  <c r="AH47" i="39" a="1"/>
  <c r="AH47" i="39" s="1"/>
  <c r="AO51" i="39" a="1"/>
  <c r="AO51" i="39" s="1"/>
  <c r="AP51" i="39" a="1"/>
  <c r="AP51" i="39" s="1"/>
  <c r="AK51" i="39" a="1"/>
  <c r="AK51" i="39" s="1"/>
  <c r="BA51" i="39" s="1"/>
  <c r="AE51" i="39" a="1"/>
  <c r="AE51" i="39" s="1"/>
  <c r="Y42" i="39" a="1"/>
  <c r="Y42" i="39" s="1"/>
  <c r="AE42" i="39" a="1"/>
  <c r="AE42" i="39" s="1"/>
  <c r="Y22" i="39" a="1"/>
  <c r="Y22" i="39" s="1"/>
  <c r="AM22" i="39" a="1"/>
  <c r="AM22" i="39" s="1"/>
  <c r="BB47" i="39" a="1"/>
  <c r="BB47" i="39" s="1"/>
  <c r="AE31" i="39" a="1"/>
  <c r="AE31" i="39" s="1"/>
  <c r="AT31" i="39" a="1"/>
  <c r="AT31" i="39" s="1"/>
  <c r="AD31" i="39" a="1"/>
  <c r="AD31" i="39" s="1"/>
  <c r="AC31" i="39" a="1"/>
  <c r="AC31" i="39" s="1"/>
  <c r="AL31" i="39" a="1"/>
  <c r="AL31" i="39" s="1"/>
  <c r="AI31" i="39" a="1"/>
  <c r="AI31" i="39" s="1"/>
  <c r="Y31" i="39" a="1"/>
  <c r="Y31" i="39" s="1"/>
  <c r="AH31" i="39" a="1"/>
  <c r="AH31" i="39" s="1"/>
  <c r="AP31" i="39" a="1"/>
  <c r="AP31" i="39" s="1"/>
  <c r="BB31" i="39" a="1"/>
  <c r="BB31" i="39" s="1"/>
  <c r="AK31" i="39" a="1"/>
  <c r="AK31" i="39" s="1"/>
  <c r="BA31" i="39" s="1"/>
  <c r="AP57" i="39" a="1"/>
  <c r="AP57" i="39" s="1"/>
  <c r="Y57" i="39" a="1"/>
  <c r="Y57" i="39" s="1"/>
  <c r="AR57" i="39" a="1"/>
  <c r="AR57" i="39" s="1"/>
  <c r="AE57" i="39" a="1"/>
  <c r="AE57" i="39" s="1"/>
  <c r="AC57" i="39" a="1"/>
  <c r="AC57" i="39" s="1"/>
  <c r="AO57" i="39" a="1"/>
  <c r="AO57" i="39" s="1"/>
  <c r="AS57" i="39" a="1"/>
  <c r="AS57" i="39" s="1"/>
  <c r="AI57" i="39" a="1"/>
  <c r="AI57" i="39" s="1"/>
  <c r="AG57" i="39" a="1"/>
  <c r="AG57" i="39" s="1"/>
  <c r="BB57" i="39" a="1"/>
  <c r="BB57" i="39" s="1"/>
  <c r="AU57" i="39" a="1"/>
  <c r="AU57" i="39" s="1"/>
  <c r="AK57" i="39" a="1"/>
  <c r="AK57" i="39" s="1"/>
  <c r="BA57" i="39" s="1"/>
  <c r="AT57" i="39" a="1"/>
  <c r="AT57" i="39" s="1"/>
  <c r="AG31" i="39" a="1"/>
  <c r="AG31" i="39" s="1"/>
  <c r="AD57" i="39" a="1"/>
  <c r="AD57" i="39" s="1"/>
  <c r="AM14" i="39" a="1"/>
  <c r="AM14" i="39" s="1"/>
  <c r="AT14" i="39" a="1"/>
  <c r="AT14" i="39" s="1"/>
  <c r="AG14" i="39" a="1"/>
  <c r="AG14" i="39" s="1"/>
  <c r="AD14" i="39" a="1"/>
  <c r="AD14" i="39" s="1"/>
  <c r="AI14" i="39" a="1"/>
  <c r="AI14" i="39" s="1"/>
  <c r="BB14" i="39" a="1"/>
  <c r="BB14" i="39" s="1"/>
  <c r="AK14" i="39" a="1"/>
  <c r="AK14" i="39" s="1"/>
  <c r="BA14" i="39" s="1"/>
  <c r="AC14" i="39" a="1"/>
  <c r="AC14" i="39" s="1"/>
  <c r="Y14" i="39" a="1"/>
  <c r="Y14" i="39" s="1"/>
  <c r="AH14" i="39" a="1"/>
  <c r="AH14" i="39" s="1"/>
  <c r="AT56" i="39" a="1"/>
  <c r="AT56" i="39" s="1"/>
  <c r="AC56" i="39" a="1"/>
  <c r="AC56" i="39" s="1"/>
  <c r="AK56" i="39" a="1"/>
  <c r="AK56" i="39" s="1"/>
  <c r="BA56" i="39" s="1"/>
  <c r="AH56" i="39" a="1"/>
  <c r="AH56" i="39" s="1"/>
  <c r="AP56" i="39" a="1"/>
  <c r="AP56" i="39" s="1"/>
  <c r="BB56" i="39" a="1"/>
  <c r="BB56" i="39" s="1"/>
  <c r="AI56" i="39" a="1"/>
  <c r="AI56" i="39" s="1"/>
  <c r="AG56" i="39" a="1"/>
  <c r="AG56" i="39" s="1"/>
  <c r="AR56" i="39" a="1"/>
  <c r="AR56" i="39" s="1"/>
  <c r="AS56" i="39" a="1"/>
  <c r="AS56" i="39" s="1"/>
  <c r="AD56" i="39" a="1"/>
  <c r="AD56" i="39" s="1"/>
  <c r="AU56" i="39" a="1"/>
  <c r="AU56" i="39" s="1"/>
  <c r="AE56" i="39" a="1"/>
  <c r="AE56" i="39" s="1"/>
  <c r="Y56" i="39" a="1"/>
  <c r="Y56" i="39" s="1"/>
  <c r="AM24" i="39" a="1"/>
  <c r="AM24" i="39" s="1"/>
  <c r="AD24" i="39" a="1"/>
  <c r="AD24" i="39" s="1"/>
  <c r="AI24" i="39" a="1"/>
  <c r="AI24" i="39" s="1"/>
  <c r="AK24" i="39" a="1"/>
  <c r="AK24" i="39" s="1"/>
  <c r="BA24" i="39" s="1"/>
  <c r="AC24" i="39" a="1"/>
  <c r="AC24" i="39" s="1"/>
  <c r="AO24" i="39" a="1"/>
  <c r="AO24" i="39" s="1"/>
  <c r="AL24" i="39" a="1"/>
  <c r="AL24" i="39" s="1"/>
  <c r="Y24" i="39" a="1"/>
  <c r="Y24" i="39" s="1"/>
  <c r="AH24" i="39" a="1"/>
  <c r="AH24" i="39" s="1"/>
  <c r="AE24" i="39" a="1"/>
  <c r="AE24" i="39" s="1"/>
  <c r="AT24" i="39" a="1"/>
  <c r="AT24" i="39" s="1"/>
  <c r="AL29" i="39" a="1"/>
  <c r="AL29" i="39" s="1"/>
  <c r="AD29" i="39" a="1"/>
  <c r="AD29" i="39" s="1"/>
  <c r="AP29" i="39" a="1"/>
  <c r="AP29" i="39" s="1"/>
  <c r="AM29" i="39" a="1"/>
  <c r="AM29" i="39" s="1"/>
  <c r="AG29" i="39" a="1"/>
  <c r="AG29" i="39" s="1"/>
  <c r="AH29" i="39" a="1"/>
  <c r="AH29" i="39" s="1"/>
  <c r="AC29" i="39" a="1"/>
  <c r="AC29" i="39" s="1"/>
  <c r="AE29" i="39" a="1"/>
  <c r="AE29" i="39" s="1"/>
  <c r="BB29" i="39" a="1"/>
  <c r="BB29" i="39" s="1"/>
  <c r="AT29" i="39" a="1"/>
  <c r="AT29" i="39" s="1"/>
  <c r="AM56" i="39" a="1"/>
  <c r="AM56" i="39" s="1"/>
  <c r="AM57" i="39" a="1"/>
  <c r="AM57" i="39" s="1"/>
  <c r="AS65" i="39" a="1"/>
  <c r="AS65" i="39" s="1"/>
  <c r="AE65" i="39" a="1"/>
  <c r="AE65" i="39" s="1"/>
  <c r="AR65" i="39" a="1"/>
  <c r="AR65" i="39" s="1"/>
  <c r="AT65" i="39" a="1"/>
  <c r="AT65" i="39" s="1"/>
  <c r="AP65" i="39" a="1"/>
  <c r="AP65" i="39" s="1"/>
  <c r="AM65" i="39" a="1"/>
  <c r="AM65" i="39" s="1"/>
  <c r="AO65" i="39" a="1"/>
  <c r="AO65" i="39" s="1"/>
  <c r="AK65" i="39" a="1"/>
  <c r="AK65" i="39" s="1"/>
  <c r="BA65" i="39" s="1"/>
  <c r="Y65" i="39" a="1"/>
  <c r="Y65" i="39" s="1"/>
  <c r="AI65" i="39" a="1"/>
  <c r="AI65" i="39" s="1"/>
  <c r="AH65" i="39" a="1"/>
  <c r="AH65" i="39" s="1"/>
  <c r="AG65" i="39" a="1"/>
  <c r="AG65" i="39" s="1"/>
  <c r="BB65" i="39" a="1"/>
  <c r="BB65" i="39" s="1"/>
  <c r="AC65" i="39" a="1"/>
  <c r="AC65" i="39" s="1"/>
  <c r="AL13" i="39" a="1"/>
  <c r="AL13" i="39" s="1"/>
  <c r="AO13" i="39" a="1"/>
  <c r="AO13" i="39" s="1"/>
  <c r="Y13" i="39" a="1"/>
  <c r="Y13" i="39" s="1"/>
  <c r="AH13" i="39" a="1"/>
  <c r="AH13" i="39" s="1"/>
  <c r="AT13" i="39" a="1"/>
  <c r="AT13" i="39" s="1"/>
  <c r="AK13" i="39" a="1"/>
  <c r="AK13" i="39" s="1"/>
  <c r="BA13" i="39" s="1"/>
  <c r="AC13" i="39" a="1"/>
  <c r="AC13" i="39" s="1"/>
  <c r="AD13" i="39" a="1"/>
  <c r="AD13" i="39" s="1"/>
  <c r="AO31" i="39" a="1"/>
  <c r="AO31" i="39" s="1"/>
  <c r="AK29" i="39" a="1"/>
  <c r="AK29" i="39" s="1"/>
  <c r="BA29" i="39" s="1"/>
  <c r="AG24" i="39" a="1"/>
  <c r="AG24" i="39" s="1"/>
  <c r="AE14" i="39" a="1"/>
  <c r="AE14" i="39" s="1"/>
  <c r="AM31" i="39" a="1"/>
  <c r="AM31" i="39" s="1"/>
  <c r="AO29" i="39" a="1"/>
  <c r="AO29" i="39" s="1"/>
  <c r="AG13" i="39" a="1"/>
  <c r="AG13" i="39" s="1"/>
  <c r="AO14" i="39" a="1"/>
  <c r="AO14" i="39" s="1"/>
  <c r="AD65" i="39" a="1"/>
  <c r="AD65" i="39" s="1"/>
  <c r="AL57" i="39" a="1"/>
  <c r="AL57" i="39" s="1"/>
  <c r="AL19" i="39" a="1"/>
  <c r="AL19" i="39" s="1"/>
  <c r="AC19" i="39" a="1"/>
  <c r="AC19" i="39" s="1"/>
  <c r="AM35" i="39" a="1"/>
  <c r="AM35" i="39" s="1"/>
  <c r="Y35" i="39" a="1"/>
  <c r="Y35" i="39" s="1"/>
  <c r="AO47" i="39" a="1"/>
  <c r="AO47" i="39" s="1"/>
  <c r="AE47" i="39" a="1"/>
  <c r="AE47" i="39" s="1"/>
  <c r="AC47" i="39" a="1"/>
  <c r="AC47" i="39" s="1"/>
  <c r="AC35" i="39" a="1"/>
  <c r="AC35" i="39" s="1"/>
  <c r="AL35" i="39" a="1"/>
  <c r="AL35" i="39" s="1"/>
  <c r="Y19" i="39" a="1"/>
  <c r="Y19" i="39" s="1"/>
  <c r="BB19" i="39" a="1"/>
  <c r="BB19" i="39" s="1"/>
  <c r="AE50" i="39" a="1"/>
  <c r="AE50" i="39" s="1"/>
  <c r="AS50" i="39" a="1"/>
  <c r="AS50" i="39" s="1"/>
  <c r="AI50" i="39" a="1"/>
  <c r="AI50" i="39" s="1"/>
  <c r="AR50" i="39" a="1"/>
  <c r="AR50" i="39" s="1"/>
  <c r="Y50" i="39" a="1"/>
  <c r="Y50" i="39" s="1"/>
  <c r="AI26" i="39" a="1"/>
  <c r="AI26" i="39" s="1"/>
  <c r="AL26" i="39" a="1"/>
  <c r="AL26" i="39" s="1"/>
  <c r="AO26" i="39" a="1"/>
  <c r="AO26" i="39" s="1"/>
  <c r="AP35" i="39" a="1"/>
  <c r="AP35" i="39" s="1"/>
  <c r="AT35" i="39" a="1"/>
  <c r="AT35" i="39" s="1"/>
  <c r="AI35" i="39" a="1"/>
  <c r="AI35" i="39" s="1"/>
  <c r="AE35" i="39" a="1"/>
  <c r="AE35" i="39" s="1"/>
  <c r="AT42" i="39" a="1"/>
  <c r="AT42" i="39" s="1"/>
  <c r="AG42" i="39" a="1"/>
  <c r="AG42" i="39" s="1"/>
  <c r="AO42" i="39" a="1"/>
  <c r="AO42" i="39" s="1"/>
  <c r="AP49" i="39" a="1"/>
  <c r="AP49" i="39" s="1"/>
  <c r="AU49" i="39" a="1"/>
  <c r="AU49" i="39" s="1"/>
  <c r="Y49" i="39" a="1"/>
  <c r="Y49" i="39" s="1"/>
  <c r="AL49" i="39" a="1"/>
  <c r="AL49" i="39" s="1"/>
  <c r="AT19" i="39" a="1"/>
  <c r="AT19" i="39" s="1"/>
  <c r="AG19" i="39" a="1"/>
  <c r="AG19" i="39" s="1"/>
  <c r="AI19" i="39" a="1"/>
  <c r="AI19" i="39" s="1"/>
  <c r="AG47" i="39" a="1"/>
  <c r="AG47" i="39" s="1"/>
  <c r="AU47" i="39" a="1"/>
  <c r="AU47" i="39" s="1"/>
  <c r="Y47" i="39" a="1"/>
  <c r="Y47" i="39" s="1"/>
  <c r="AS47" i="39" a="1"/>
  <c r="AS47" i="39" s="1"/>
  <c r="AK47" i="39" a="1"/>
  <c r="AK47" i="39" s="1"/>
  <c r="BA47" i="39" s="1"/>
  <c r="AM19" i="39" a="1"/>
  <c r="AM19" i="39" s="1"/>
  <c r="AG50" i="39" a="1"/>
  <c r="AG50" i="39" s="1"/>
  <c r="AT50" i="39" a="1"/>
  <c r="AT50" i="39" s="1"/>
  <c r="AK35" i="39" a="1"/>
  <c r="AK35" i="39" s="1"/>
  <c r="BA35" i="39" s="1"/>
  <c r="AO35" i="39" a="1"/>
  <c r="AO35" i="39" s="1"/>
  <c r="AR49" i="39" a="1"/>
  <c r="AR49" i="39" s="1"/>
  <c r="AT49" i="39" a="1"/>
  <c r="AT49" i="39" s="1"/>
  <c r="AI49" i="39" a="1"/>
  <c r="AI49" i="39" s="1"/>
  <c r="AE19" i="39" a="1"/>
  <c r="AE19" i="39" s="1"/>
  <c r="AH19" i="39" a="1"/>
  <c r="AH19" i="39" s="1"/>
  <c r="AL47" i="39" a="1"/>
  <c r="AL47" i="39" s="1"/>
  <c r="AT47" i="39" a="1"/>
  <c r="AT47" i="39" s="1"/>
  <c r="AD47" i="39" a="1"/>
  <c r="AD47" i="39" s="1"/>
  <c r="AO19" i="39" a="1"/>
  <c r="AO19" i="39" s="1"/>
  <c r="AD19" i="39" a="1"/>
  <c r="AD19" i="39" s="1"/>
  <c r="AK19" i="39" a="1"/>
  <c r="AK19" i="39" s="1"/>
  <c r="BA19" i="39" s="1"/>
  <c r="AH329" i="7"/>
  <c r="AG328" i="7"/>
  <c r="HA44" i="39" l="1"/>
  <c r="HB44" i="39" s="1"/>
  <c r="HA16" i="39"/>
  <c r="HA89" i="39"/>
  <c r="HB89" i="39" s="1"/>
  <c r="HA59" i="39"/>
  <c r="HC59" i="39" s="1"/>
  <c r="HA26" i="39"/>
  <c r="HB26" i="39" s="1"/>
  <c r="HA117" i="39"/>
  <c r="HB117" i="39" s="1"/>
  <c r="HA18" i="39"/>
  <c r="HC18" i="39" s="1"/>
  <c r="HA96" i="39"/>
  <c r="HB96" i="39" s="1"/>
  <c r="HA91" i="39"/>
  <c r="HA84" i="39"/>
  <c r="HB84" i="39" s="1"/>
  <c r="HA25" i="39"/>
  <c r="HA12" i="39"/>
  <c r="HA13" i="39"/>
  <c r="HA47" i="39"/>
  <c r="HA14" i="39"/>
  <c r="HA87" i="39"/>
  <c r="HC87" i="39" s="1"/>
  <c r="HA45" i="39"/>
  <c r="HA115" i="39"/>
  <c r="HA15" i="39"/>
  <c r="HC15" i="39" s="1"/>
  <c r="HA39" i="39"/>
  <c r="HA107" i="39"/>
  <c r="HA109" i="39"/>
  <c r="HA108" i="39"/>
  <c r="HA63" i="39"/>
  <c r="HA27" i="39"/>
  <c r="HA60" i="39"/>
  <c r="HA138" i="39"/>
  <c r="HB138" i="39" s="1"/>
  <c r="HA17" i="39"/>
  <c r="HA11" i="39"/>
  <c r="HA43" i="39"/>
  <c r="HA79" i="39"/>
  <c r="HA53" i="39"/>
  <c r="BA11" i="39"/>
  <c r="HA154" i="39"/>
  <c r="HC154" i="39" s="1"/>
  <c r="HA9" i="39"/>
  <c r="GZ6" i="39"/>
  <c r="C26" i="42"/>
  <c r="GZ7" i="39"/>
  <c r="AP19" i="39" s="1" a="1"/>
  <c r="AP19" i="39" s="1"/>
  <c r="C27" i="42"/>
  <c r="GZ5" i="39"/>
  <c r="C24" i="42"/>
  <c r="HA165" i="39"/>
  <c r="BV3" i="39"/>
  <c r="BT3" i="39" s="1"/>
  <c r="AH330" i="7"/>
  <c r="AG329" i="7"/>
  <c r="HC44" i="39" l="1"/>
  <c r="HC16" i="39"/>
  <c r="HE16" i="39"/>
  <c r="HB16" i="39"/>
  <c r="HE15" i="39"/>
  <c r="GM15" i="39" s="1"/>
  <c r="HC89" i="39"/>
  <c r="HB59" i="39"/>
  <c r="HB12" i="39"/>
  <c r="HE26" i="39"/>
  <c r="HF26" i="39" s="1"/>
  <c r="HG26" i="39" s="1"/>
  <c r="HC26" i="39"/>
  <c r="HC117" i="39"/>
  <c r="HB18" i="39"/>
  <c r="HC96" i="39"/>
  <c r="HC91" i="39"/>
  <c r="HB91" i="39"/>
  <c r="HC84" i="39"/>
  <c r="HB25" i="39"/>
  <c r="HC25" i="39"/>
  <c r="HC12" i="39"/>
  <c r="HB14" i="39"/>
  <c r="HC14" i="39"/>
  <c r="HB87" i="39"/>
  <c r="HB15" i="39"/>
  <c r="HE115" i="39"/>
  <c r="HB115" i="39"/>
  <c r="HC115" i="39"/>
  <c r="HB39" i="39"/>
  <c r="HC39" i="39"/>
  <c r="FC15" i="39"/>
  <c r="FD15" i="39" s="1"/>
  <c r="FE15" i="39" s="1"/>
  <c r="FF15" i="39" s="1"/>
  <c r="FG15" i="39" s="1"/>
  <c r="FH15" i="39" s="1"/>
  <c r="FI15" i="39" s="1"/>
  <c r="FJ15" i="39" s="1"/>
  <c r="FK15" i="39" s="1"/>
  <c r="FL15" i="39" s="1"/>
  <c r="FM15" i="39" s="1"/>
  <c r="FN15" i="39" s="1"/>
  <c r="HB109" i="39"/>
  <c r="HC109" i="39"/>
  <c r="HC108" i="39"/>
  <c r="HB108" i="39"/>
  <c r="HB107" i="39"/>
  <c r="HC107" i="39"/>
  <c r="HC60" i="39"/>
  <c r="HB60" i="39"/>
  <c r="HC27" i="39"/>
  <c r="HB27" i="39"/>
  <c r="HB63" i="39"/>
  <c r="HC63" i="39"/>
  <c r="HC138" i="39"/>
  <c r="HB53" i="39"/>
  <c r="HC53" i="39"/>
  <c r="HB79" i="39"/>
  <c r="HC79" i="39"/>
  <c r="HB11" i="39"/>
  <c r="HC11" i="39"/>
  <c r="HB17" i="39"/>
  <c r="HC17" i="39"/>
  <c r="HB154" i="39"/>
  <c r="AP25" i="39" a="1"/>
  <c r="AP25" i="39" s="1"/>
  <c r="AP26" i="39" a="1"/>
  <c r="AP26" i="39" s="1"/>
  <c r="AP23" i="39" a="1"/>
  <c r="AP23" i="39" s="1"/>
  <c r="AP24" i="39" a="1"/>
  <c r="AP24" i="39" s="1"/>
  <c r="AP21" i="39" a="1"/>
  <c r="AP21" i="39" s="1"/>
  <c r="AP22" i="39" a="1"/>
  <c r="AP22" i="39" s="1"/>
  <c r="AP15" i="39" a="1"/>
  <c r="AP15" i="39" s="1"/>
  <c r="AP20" i="39" a="1"/>
  <c r="AP20" i="39" s="1"/>
  <c r="AR46" i="39" a="1"/>
  <c r="AR46" i="39" s="1"/>
  <c r="AU46" i="39" a="1"/>
  <c r="AU46" i="39" s="1"/>
  <c r="AV46" i="39" a="1"/>
  <c r="AV46" i="39" s="1"/>
  <c r="HC9" i="39"/>
  <c r="HE9" i="39"/>
  <c r="FQ9" i="39" s="1"/>
  <c r="FR9" i="39" s="1"/>
  <c r="FS9" i="39" s="1"/>
  <c r="FT9" i="39" s="1"/>
  <c r="FU9" i="39" s="1"/>
  <c r="FV9" i="39" s="1"/>
  <c r="FW9" i="39" s="1"/>
  <c r="FX9" i="39" s="1"/>
  <c r="FY9" i="39" s="1"/>
  <c r="FZ9" i="39" s="1"/>
  <c r="GA9" i="39" s="1"/>
  <c r="GB9" i="39" s="1"/>
  <c r="HB9" i="39"/>
  <c r="AP18" i="39" a="1"/>
  <c r="AP18" i="39" s="1"/>
  <c r="AP16" i="39" a="1"/>
  <c r="AP16" i="39" s="1"/>
  <c r="AP14" i="39" a="1"/>
  <c r="AP14" i="39" s="1"/>
  <c r="AP17" i="39" a="1"/>
  <c r="AP17" i="39" s="1"/>
  <c r="AP13" i="39" a="1"/>
  <c r="AP13" i="39" s="1"/>
  <c r="AH331" i="7"/>
  <c r="AG330" i="7"/>
  <c r="FQ16" i="39" l="1"/>
  <c r="FR16" i="39" s="1"/>
  <c r="FS16" i="39" s="1"/>
  <c r="FT16" i="39" s="1"/>
  <c r="FU16" i="39" s="1"/>
  <c r="FV16" i="39" s="1"/>
  <c r="FW16" i="39" s="1"/>
  <c r="FX16" i="39" s="1"/>
  <c r="FY16" i="39" s="1"/>
  <c r="FZ16" i="39" s="1"/>
  <c r="GA16" i="39" s="1"/>
  <c r="GB16" i="39" s="1"/>
  <c r="GL16" i="39"/>
  <c r="HF16" i="39"/>
  <c r="HG16" i="39" s="1"/>
  <c r="FC16" i="39"/>
  <c r="FD16" i="39" s="1"/>
  <c r="FE16" i="39" s="1"/>
  <c r="FF16" i="39" s="1"/>
  <c r="FG16" i="39" s="1"/>
  <c r="FH16" i="39" s="1"/>
  <c r="FI16" i="39" s="1"/>
  <c r="FJ16" i="39" s="1"/>
  <c r="FK16" i="39" s="1"/>
  <c r="FL16" i="39" s="1"/>
  <c r="FM16" i="39" s="1"/>
  <c r="FN16" i="39" s="1"/>
  <c r="GM16" i="39"/>
  <c r="FQ15" i="39"/>
  <c r="FR15" i="39" s="1"/>
  <c r="FS15" i="39" s="1"/>
  <c r="FT15" i="39" s="1"/>
  <c r="FU15" i="39" s="1"/>
  <c r="FV15" i="39" s="1"/>
  <c r="FW15" i="39" s="1"/>
  <c r="FX15" i="39" s="1"/>
  <c r="FY15" i="39" s="1"/>
  <c r="FZ15" i="39" s="1"/>
  <c r="GA15" i="39" s="1"/>
  <c r="GB15" i="39" s="1"/>
  <c r="HF15" i="39"/>
  <c r="HG15" i="39" s="1"/>
  <c r="HJ15" i="39" s="1" a="1"/>
  <c r="HJ15" i="39" s="1"/>
  <c r="GL15" i="39"/>
  <c r="GM26" i="39"/>
  <c r="HJ26" i="39" s="1" a="1"/>
  <c r="HJ26" i="39" s="1"/>
  <c r="FC26" i="39"/>
  <c r="FD26" i="39" s="1"/>
  <c r="FE26" i="39" s="1"/>
  <c r="FF26" i="39" s="1"/>
  <c r="FG26" i="39" s="1"/>
  <c r="FH26" i="39" s="1"/>
  <c r="FI26" i="39" s="1"/>
  <c r="FJ26" i="39" s="1"/>
  <c r="FK26" i="39" s="1"/>
  <c r="FL26" i="39" s="1"/>
  <c r="FM26" i="39" s="1"/>
  <c r="FN26" i="39" s="1"/>
  <c r="FQ26" i="39"/>
  <c r="FR26" i="39" s="1"/>
  <c r="FS26" i="39" s="1"/>
  <c r="FT26" i="39" s="1"/>
  <c r="FU26" i="39" s="1"/>
  <c r="FV26" i="39" s="1"/>
  <c r="FW26" i="39" s="1"/>
  <c r="FX26" i="39" s="1"/>
  <c r="FY26" i="39" s="1"/>
  <c r="FZ26" i="39" s="1"/>
  <c r="GA26" i="39" s="1"/>
  <c r="GB26" i="39" s="1"/>
  <c r="GL26" i="39"/>
  <c r="HI26" i="39" s="1" a="1"/>
  <c r="HI26" i="39" s="1"/>
  <c r="HF115" i="39"/>
  <c r="HG115" i="39" s="1"/>
  <c r="FQ115" i="39"/>
  <c r="FR115" i="39" s="1"/>
  <c r="FS115" i="39" s="1"/>
  <c r="FT115" i="39" s="1"/>
  <c r="FU115" i="39" s="1"/>
  <c r="FV115" i="39" s="1"/>
  <c r="FW115" i="39" s="1"/>
  <c r="FX115" i="39" s="1"/>
  <c r="FY115" i="39" s="1"/>
  <c r="FZ115" i="39" s="1"/>
  <c r="GA115" i="39" s="1"/>
  <c r="GB115" i="39" s="1"/>
  <c r="GL115" i="39"/>
  <c r="GM115" i="39"/>
  <c r="FC115" i="39"/>
  <c r="FD115" i="39" s="1"/>
  <c r="FE115" i="39" s="1"/>
  <c r="FF115" i="39" s="1"/>
  <c r="FG115" i="39" s="1"/>
  <c r="FH115" i="39" s="1"/>
  <c r="FI115" i="39" s="1"/>
  <c r="FJ115" i="39" s="1"/>
  <c r="FK115" i="39" s="1"/>
  <c r="FL115" i="39" s="1"/>
  <c r="FM115" i="39" s="1"/>
  <c r="FN115" i="39" s="1"/>
  <c r="AR43" i="39" a="1"/>
  <c r="AR43" i="39" s="1"/>
  <c r="AV44" i="39" a="1"/>
  <c r="AV44" i="39" s="1"/>
  <c r="GM9" i="39"/>
  <c r="GL9" i="39"/>
  <c r="FC9" i="39"/>
  <c r="FD9" i="39" s="1"/>
  <c r="FE9" i="39" s="1"/>
  <c r="FF9" i="39" s="1"/>
  <c r="FG9" i="39" s="1"/>
  <c r="HF9" i="39"/>
  <c r="HG9" i="39" s="1"/>
  <c r="AG331" i="7"/>
  <c r="AH332" i="7"/>
  <c r="HI16" i="39" l="1" a="1"/>
  <c r="HI16" i="39" s="1"/>
  <c r="HJ16" i="39" a="1"/>
  <c r="HJ16" i="39" s="1"/>
  <c r="HI15" i="39" a="1"/>
  <c r="HI15" i="39" s="1"/>
  <c r="HJ115" i="39" a="1"/>
  <c r="HJ115" i="39" s="1"/>
  <c r="HI115" i="39" a="1"/>
  <c r="HI115" i="39" s="1"/>
  <c r="HI9" i="39" a="1"/>
  <c r="HI9" i="39" s="1"/>
  <c r="AU44" i="39" a="1"/>
  <c r="AU44" i="39" s="1"/>
  <c r="AU45" i="39" a="1"/>
  <c r="AU45" i="39" s="1"/>
  <c r="AV45" i="39" a="1"/>
  <c r="AV45" i="39" s="1"/>
  <c r="AS46" i="39" a="1"/>
  <c r="AS46" i="39" s="1"/>
  <c r="AR45" i="39" a="1"/>
  <c r="AR45" i="39" s="1"/>
  <c r="AR44" i="39" a="1"/>
  <c r="AR44" i="39" s="1"/>
  <c r="AU42" i="39" a="1"/>
  <c r="AU42" i="39" s="1"/>
  <c r="AU43" i="39" a="1"/>
  <c r="AU43" i="39" s="1"/>
  <c r="AV43" i="39" a="1"/>
  <c r="AV43" i="39" s="1"/>
  <c r="AV42" i="39" a="1"/>
  <c r="AV42" i="39" s="1"/>
  <c r="AR42" i="39" a="1"/>
  <c r="AR42" i="39" s="1"/>
  <c r="AR41" i="39" a="1"/>
  <c r="AR41" i="39" s="1"/>
  <c r="BC46" i="39"/>
  <c r="HJ9" i="39" a="1"/>
  <c r="HJ9" i="39" s="1"/>
  <c r="AH333" i="7"/>
  <c r="AG332" i="7"/>
  <c r="FH9" i="39"/>
  <c r="AS43" i="39" l="1" a="1"/>
  <c r="AS43" i="39" s="1"/>
  <c r="AS45" i="39" a="1"/>
  <c r="AS45" i="39" s="1"/>
  <c r="AS44" i="39" a="1"/>
  <c r="AS44" i="39" s="1"/>
  <c r="AS42" i="39" a="1"/>
  <c r="AS42" i="39" s="1"/>
  <c r="AS41" i="39" a="1"/>
  <c r="AS41" i="39" s="1"/>
  <c r="BC42" i="39"/>
  <c r="AG333" i="7"/>
  <c r="AH334" i="7"/>
  <c r="FI9" i="39"/>
  <c r="BC45" i="39" l="1"/>
  <c r="BC44" i="39"/>
  <c r="BC43" i="39"/>
  <c r="BC41" i="39"/>
  <c r="AH335" i="7"/>
  <c r="AG334" i="7"/>
  <c r="FJ9" i="39"/>
  <c r="AH336" i="7" l="1"/>
  <c r="AG335" i="7"/>
  <c r="FK9" i="39"/>
  <c r="AH337" i="7" l="1"/>
  <c r="AG337" i="7" s="1"/>
  <c r="AG336" i="7"/>
  <c r="FL9" i="39"/>
  <c r="AG339" i="7" l="1"/>
  <c r="P7" i="7" s="1"/>
  <c r="FM9" i="39"/>
  <c r="L350" i="7" l="1"/>
  <c r="FN9" i="39"/>
  <c r="GI8" i="39"/>
  <c r="P8" i="7" l="1"/>
  <c r="AJ23" i="39" a="1"/>
  <c r="AJ23" i="39" s="1"/>
  <c r="AJ24" i="39" a="1"/>
  <c r="AJ24" i="39" s="1"/>
  <c r="AJ14" i="39" a="1"/>
  <c r="AJ14" i="39" s="1"/>
  <c r="AJ22" i="39" a="1"/>
  <c r="AJ22" i="39" s="1"/>
  <c r="AJ15" i="39" a="1"/>
  <c r="AJ15" i="39" s="1"/>
  <c r="AJ19" i="39" a="1"/>
  <c r="AJ19" i="39" s="1"/>
  <c r="AJ17" i="39" a="1"/>
  <c r="AJ17" i="39" s="1"/>
  <c r="AJ18" i="39" a="1"/>
  <c r="AJ18" i="39" s="1"/>
  <c r="AJ16" i="39" a="1"/>
  <c r="AJ16" i="39" s="1"/>
  <c r="AJ13" i="39" a="1"/>
  <c r="AJ13" i="39" s="1"/>
  <c r="AJ21" i="39" a="1"/>
  <c r="AJ21" i="39" s="1"/>
  <c r="AJ20" i="39" a="1"/>
  <c r="AJ20" i="39" s="1"/>
  <c r="D30" i="42"/>
  <c r="L352" i="7"/>
  <c r="A356" i="7" s="1"/>
  <c r="J353" i="7"/>
  <c r="J350" i="7" l="1"/>
  <c r="J352" i="7" s="1"/>
  <c r="P354" i="7" s="1"/>
  <c r="P356" i="7" s="1"/>
  <c r="A355" i="7" s="1"/>
  <c r="J58" i="7"/>
  <c r="J344" i="7" s="1"/>
  <c r="E45" i="7"/>
  <c r="HE165" i="39" l="1"/>
  <c r="HB165" i="39" s="1"/>
  <c r="HC165" i="39" l="1"/>
  <c r="GM165" i="39"/>
  <c r="HF165" i="39"/>
  <c r="GL165" i="39"/>
  <c r="HG165" i="39" l="1"/>
  <c r="AS14" i="39" l="1" a="1"/>
  <c r="AS14" i="39" s="1"/>
  <c r="AV41" i="39" l="1" a="1"/>
  <c r="AV41" i="39" s="1"/>
  <c r="BC14" i="39"/>
  <c r="AU26" i="39" l="1" a="1"/>
  <c r="AU26" i="39" s="1"/>
  <c r="AV30" i="39" l="1" a="1"/>
  <c r="AV30" i="39" s="1"/>
  <c r="AV32" i="39" a="1"/>
  <c r="AV32" i="39" s="1"/>
  <c r="AU32" i="39" a="1"/>
  <c r="AU32" i="39" s="1"/>
  <c r="AV36" i="39" a="1"/>
  <c r="AV36" i="39" s="1"/>
  <c r="AU36" i="39" a="1"/>
  <c r="AU36" i="39" s="1"/>
  <c r="AV28" i="39" a="1"/>
  <c r="AV28" i="39" s="1"/>
  <c r="AU34" i="39" a="1"/>
  <c r="AU34" i="39" s="1"/>
  <c r="AU35" i="39" a="1"/>
  <c r="AU35" i="39" s="1"/>
  <c r="AV31" i="39" a="1"/>
  <c r="AV31" i="39" s="1"/>
  <c r="AU31" i="39" a="1"/>
  <c r="AU31" i="39" s="1"/>
  <c r="AV25" i="39" a="1"/>
  <c r="AV25" i="39" s="1"/>
  <c r="AS25" i="39" a="1"/>
  <c r="AS25" i="39" s="1"/>
  <c r="AS26" i="39" a="1"/>
  <c r="AS26" i="39" s="1"/>
  <c r="AR40" i="39" l="1" a="1"/>
  <c r="AR40" i="39" s="1"/>
  <c r="AV40" i="39" a="1"/>
  <c r="AV40" i="39" s="1"/>
  <c r="AR25" i="39" a="1"/>
  <c r="AR25" i="39" s="1"/>
  <c r="AR27" i="39" a="1"/>
  <c r="AR27" i="39" s="1"/>
  <c r="AV35" i="39" a="1"/>
  <c r="AV35" i="39" s="1"/>
  <c r="AR28" i="39" a="1"/>
  <c r="AR28" i="39" s="1"/>
  <c r="AR33" i="39" a="1"/>
  <c r="AR33" i="39" s="1"/>
  <c r="AU27" i="39" a="1"/>
  <c r="AU27" i="39" s="1"/>
  <c r="AR31" i="39" a="1"/>
  <c r="AR31" i="39" s="1"/>
  <c r="AV27" i="39" a="1"/>
  <c r="AV27" i="39" s="1"/>
  <c r="AR32" i="39" a="1"/>
  <c r="AR32" i="39" s="1"/>
  <c r="AU28" i="39" a="1"/>
  <c r="AU28" i="39" s="1"/>
  <c r="AU30" i="39" a="1"/>
  <c r="AU30" i="39" s="1"/>
  <c r="AV33" i="39" a="1"/>
  <c r="AV33" i="39" s="1"/>
  <c r="AR35" i="39" a="1"/>
  <c r="AR35" i="39" s="1"/>
  <c r="AR34" i="39" a="1"/>
  <c r="AR34" i="39" s="1"/>
  <c r="AR36" i="39" a="1"/>
  <c r="AR36" i="39" s="1"/>
  <c r="AR30" i="39" a="1"/>
  <c r="AR30" i="39" s="1"/>
  <c r="AV34" i="39" a="1"/>
  <c r="AV34" i="39" s="1"/>
  <c r="AR29" i="39" a="1"/>
  <c r="AR29" i="39" s="1"/>
  <c r="BC26" i="39"/>
  <c r="AS40" i="39" l="1" a="1"/>
  <c r="AS40" i="39" s="1"/>
  <c r="AS30" i="39" a="1"/>
  <c r="AS30" i="39" s="1"/>
  <c r="BC30" i="39"/>
  <c r="BC34" i="39"/>
  <c r="AS34" i="39" a="1"/>
  <c r="AS34" i="39" s="1"/>
  <c r="AS27" i="39" a="1"/>
  <c r="AS27" i="39" s="1"/>
  <c r="AV26" i="39" a="1"/>
  <c r="AV26" i="39" s="1"/>
  <c r="AS33" i="39" a="1"/>
  <c r="AS33" i="39" s="1"/>
  <c r="AS35" i="39" a="1"/>
  <c r="AS35" i="39" s="1"/>
  <c r="AR24" i="39" a="1"/>
  <c r="AR24" i="39" s="1"/>
  <c r="AS28" i="39" a="1"/>
  <c r="AS28" i="39" s="1"/>
  <c r="AS36" i="39" a="1"/>
  <c r="AS36" i="39" s="1"/>
  <c r="AS31" i="39" a="1"/>
  <c r="AS31" i="39" s="1"/>
  <c r="AS32" i="39" a="1"/>
  <c r="AS32" i="39" s="1"/>
  <c r="BC32" i="39"/>
  <c r="AS29" i="39" a="1"/>
  <c r="AS29" i="39" s="1"/>
  <c r="BC29" i="39" l="1"/>
  <c r="BC35" i="39"/>
  <c r="BC25" i="39"/>
  <c r="BC27" i="39"/>
  <c r="BC31" i="39"/>
  <c r="BC28" i="39"/>
  <c r="BC36" i="39"/>
  <c r="AS24" i="39" a="1"/>
  <c r="AS24" i="39" s="1"/>
  <c r="BC24" i="39"/>
  <c r="AV29" i="39" l="1" a="1"/>
  <c r="AV29" i="39" s="1"/>
  <c r="AU29" i="39" a="1"/>
  <c r="AU29" i="39" s="1"/>
  <c r="AU25" i="39" l="1" a="1"/>
  <c r="AU25" i="39" s="1"/>
  <c r="AR26" i="39" a="1"/>
  <c r="AR26" i="39" s="1"/>
  <c r="AU40" i="39" l="1" a="1"/>
  <c r="AU40" i="39" s="1"/>
  <c r="BC40" i="39" l="1"/>
  <c r="AU33" i="39" l="1" a="1"/>
  <c r="AU33" i="39" s="1"/>
  <c r="AU41" i="39" l="1" a="1"/>
  <c r="AU41" i="39" s="1"/>
  <c r="BC33" i="39"/>
  <c r="HE43" i="39" l="1"/>
  <c r="HE39" i="39"/>
  <c r="HE79" i="39"/>
  <c r="HE138" i="39"/>
  <c r="HE154" i="39"/>
  <c r="FQ154" i="39" s="1"/>
  <c r="FR154" i="39" s="1"/>
  <c r="FS154" i="39" s="1"/>
  <c r="FT154" i="39" s="1"/>
  <c r="FU154" i="39" s="1"/>
  <c r="FV154" i="39" s="1"/>
  <c r="FW154" i="39" s="1"/>
  <c r="FX154" i="39" s="1"/>
  <c r="FY154" i="39" s="1"/>
  <c r="FZ154" i="39" s="1"/>
  <c r="GA154" i="39" s="1"/>
  <c r="GB154" i="39" s="1"/>
  <c r="GM8" i="39"/>
  <c r="GL8" i="39"/>
  <c r="AU14" i="39" s="1" a="1"/>
  <c r="AU14" i="39" s="1"/>
  <c r="HC43" i="39" l="1"/>
  <c r="HB43" i="39"/>
  <c r="HF43" i="39"/>
  <c r="HG43" i="39" s="1"/>
  <c r="FC43" i="39"/>
  <c r="FD43" i="39" s="1"/>
  <c r="FE43" i="39" s="1"/>
  <c r="FF43" i="39" s="1"/>
  <c r="FG43" i="39" s="1"/>
  <c r="FH43" i="39" s="1"/>
  <c r="FI43" i="39" s="1"/>
  <c r="FJ43" i="39" s="1"/>
  <c r="FK43" i="39" s="1"/>
  <c r="FL43" i="39" s="1"/>
  <c r="FM43" i="39" s="1"/>
  <c r="FN43" i="39" s="1"/>
  <c r="FQ43" i="39"/>
  <c r="FR43" i="39" s="1"/>
  <c r="FS43" i="39" s="1"/>
  <c r="FT43" i="39" s="1"/>
  <c r="FU43" i="39" s="1"/>
  <c r="FV43" i="39" s="1"/>
  <c r="FW43" i="39" s="1"/>
  <c r="FX43" i="39" s="1"/>
  <c r="FY43" i="39" s="1"/>
  <c r="FZ43" i="39" s="1"/>
  <c r="GA43" i="39" s="1"/>
  <c r="GB43" i="39" s="1"/>
  <c r="GM43" i="39"/>
  <c r="GL43" i="39"/>
  <c r="HF39" i="39"/>
  <c r="HG39" i="39" s="1"/>
  <c r="FC39" i="39"/>
  <c r="FD39" i="39" s="1"/>
  <c r="FE39" i="39" s="1"/>
  <c r="FF39" i="39" s="1"/>
  <c r="FG39" i="39" s="1"/>
  <c r="FH39" i="39" s="1"/>
  <c r="FI39" i="39" s="1"/>
  <c r="FJ39" i="39" s="1"/>
  <c r="FK39" i="39" s="1"/>
  <c r="FL39" i="39" s="1"/>
  <c r="FM39" i="39" s="1"/>
  <c r="FN39" i="39" s="1"/>
  <c r="GL39" i="39"/>
  <c r="FQ39" i="39"/>
  <c r="FR39" i="39" s="1"/>
  <c r="FS39" i="39" s="1"/>
  <c r="FT39" i="39" s="1"/>
  <c r="FU39" i="39" s="1"/>
  <c r="FV39" i="39" s="1"/>
  <c r="FW39" i="39" s="1"/>
  <c r="FX39" i="39" s="1"/>
  <c r="FY39" i="39" s="1"/>
  <c r="FZ39" i="39" s="1"/>
  <c r="GA39" i="39" s="1"/>
  <c r="GB39" i="39" s="1"/>
  <c r="GM39" i="39"/>
  <c r="FQ79" i="39"/>
  <c r="FR79" i="39" s="1"/>
  <c r="FS79" i="39" s="1"/>
  <c r="FT79" i="39" s="1"/>
  <c r="FU79" i="39" s="1"/>
  <c r="FV79" i="39" s="1"/>
  <c r="FW79" i="39" s="1"/>
  <c r="FX79" i="39" s="1"/>
  <c r="FY79" i="39" s="1"/>
  <c r="FZ79" i="39" s="1"/>
  <c r="GA79" i="39" s="1"/>
  <c r="GB79" i="39" s="1"/>
  <c r="FC79" i="39"/>
  <c r="FD79" i="39" s="1"/>
  <c r="FE79" i="39" s="1"/>
  <c r="FF79" i="39" s="1"/>
  <c r="FG79" i="39" s="1"/>
  <c r="FH79" i="39" s="1"/>
  <c r="FI79" i="39" s="1"/>
  <c r="FJ79" i="39" s="1"/>
  <c r="FK79" i="39" s="1"/>
  <c r="FL79" i="39" s="1"/>
  <c r="FM79" i="39" s="1"/>
  <c r="FN79" i="39" s="1"/>
  <c r="GM79" i="39"/>
  <c r="HF79" i="39"/>
  <c r="HG79" i="39" s="1"/>
  <c r="GL79" i="39"/>
  <c r="FC138" i="39"/>
  <c r="FD138" i="39" s="1"/>
  <c r="FE138" i="39" s="1"/>
  <c r="FF138" i="39" s="1"/>
  <c r="FG138" i="39" s="1"/>
  <c r="FH138" i="39" s="1"/>
  <c r="FI138" i="39" s="1"/>
  <c r="FJ138" i="39" s="1"/>
  <c r="FK138" i="39" s="1"/>
  <c r="FL138" i="39" s="1"/>
  <c r="FM138" i="39" s="1"/>
  <c r="FN138" i="39" s="1"/>
  <c r="GL138" i="39"/>
  <c r="FQ138" i="39"/>
  <c r="FR138" i="39" s="1"/>
  <c r="FS138" i="39" s="1"/>
  <c r="FT138" i="39" s="1"/>
  <c r="FU138" i="39" s="1"/>
  <c r="FV138" i="39" s="1"/>
  <c r="FW138" i="39" s="1"/>
  <c r="FX138" i="39" s="1"/>
  <c r="FY138" i="39" s="1"/>
  <c r="FZ138" i="39" s="1"/>
  <c r="GA138" i="39" s="1"/>
  <c r="GB138" i="39" s="1"/>
  <c r="GM138" i="39"/>
  <c r="HF138" i="39"/>
  <c r="HG138" i="39" s="1"/>
  <c r="AU24" i="39" a="1"/>
  <c r="AU24" i="39" s="1"/>
  <c r="AV24" i="39" a="1"/>
  <c r="AV24" i="39" s="1"/>
  <c r="FC8" i="39"/>
  <c r="E5" i="42" s="1"/>
  <c r="FQ8" i="39"/>
  <c r="F5" i="42" s="1"/>
  <c r="GM154" i="39"/>
  <c r="GL154" i="39"/>
  <c r="HF154" i="39"/>
  <c r="HG154" i="39" s="1"/>
  <c r="FC154" i="39"/>
  <c r="FD154" i="39" s="1"/>
  <c r="FE154" i="39" s="1"/>
  <c r="FF154" i="39" s="1"/>
  <c r="FG154" i="39" s="1"/>
  <c r="FH154" i="39" s="1"/>
  <c r="FI154" i="39" s="1"/>
  <c r="FJ154" i="39" s="1"/>
  <c r="FK154" i="39" s="1"/>
  <c r="FL154" i="39" s="1"/>
  <c r="FM154" i="39" s="1"/>
  <c r="FN154" i="39" s="1"/>
  <c r="AS18" i="39" a="1"/>
  <c r="AS18" i="39" s="1"/>
  <c r="HI43" i="39" l="1" a="1"/>
  <c r="HI43" i="39" s="1"/>
  <c r="HE45" i="39"/>
  <c r="HJ43" i="39" a="1"/>
  <c r="HJ43" i="39" s="1"/>
  <c r="HJ39" i="39" a="1"/>
  <c r="HJ39" i="39" s="1"/>
  <c r="HI39" i="39" a="1"/>
  <c r="HI39" i="39" s="1"/>
  <c r="AU21" i="39" a="1"/>
  <c r="AU21" i="39" s="1"/>
  <c r="HI79" i="39" a="1"/>
  <c r="HI79" i="39" s="1"/>
  <c r="HI138" i="39" a="1"/>
  <c r="HI138" i="39" s="1"/>
  <c r="HJ79" i="39" a="1"/>
  <c r="HJ79" i="39" s="1"/>
  <c r="HJ138" i="39" a="1"/>
  <c r="HJ138" i="39" s="1"/>
  <c r="AV21" i="39" a="1"/>
  <c r="AV21" i="39" s="1"/>
  <c r="HI154" i="39" a="1"/>
  <c r="HI154" i="39" s="1"/>
  <c r="AS21" i="39" a="1"/>
  <c r="AS21" i="39" s="1"/>
  <c r="AU22" i="39" a="1"/>
  <c r="AU22" i="39" s="1"/>
  <c r="AV22" i="39" a="1"/>
  <c r="AV22" i="39" s="1"/>
  <c r="AV23" i="39" a="1"/>
  <c r="AV23" i="39" s="1"/>
  <c r="AS23" i="39" a="1"/>
  <c r="AS23" i="39" s="1"/>
  <c r="AR22" i="39" a="1"/>
  <c r="AR22" i="39" s="1"/>
  <c r="AR23" i="39" a="1"/>
  <c r="AR23" i="39" s="1"/>
  <c r="AU23" i="39" a="1"/>
  <c r="AU23" i="39" s="1"/>
  <c r="AS22" i="39" a="1"/>
  <c r="AS22" i="39" s="1"/>
  <c r="AR21" i="39" a="1"/>
  <c r="AR21" i="39" s="1"/>
  <c r="FR8" i="39"/>
  <c r="I5" i="42" s="1"/>
  <c r="FD8" i="39"/>
  <c r="H5" i="42" s="1"/>
  <c r="AU19" i="39" a="1"/>
  <c r="AU19" i="39" s="1"/>
  <c r="HJ154" i="39" a="1"/>
  <c r="HJ154" i="39" s="1"/>
  <c r="AS19" i="39" a="1"/>
  <c r="AS19" i="39" s="1"/>
  <c r="BC19" i="39"/>
  <c r="BC18" i="39"/>
  <c r="HC45" i="39" l="1"/>
  <c r="HB45" i="39"/>
  <c r="FQ45" i="39"/>
  <c r="HF45" i="39"/>
  <c r="GL45" i="39"/>
  <c r="FC45" i="39"/>
  <c r="GM45" i="39"/>
  <c r="BC22" i="39"/>
  <c r="BC23" i="39"/>
  <c r="BC21" i="39"/>
  <c r="FE8" i="39"/>
  <c r="K5" i="42" s="1"/>
  <c r="FS8" i="39"/>
  <c r="L5" i="42" s="1"/>
  <c r="FD45" i="39" l="1"/>
  <c r="HG45" i="39"/>
  <c r="FR45" i="39"/>
  <c r="FT8" i="39"/>
  <c r="O5" i="42" s="1"/>
  <c r="FF8" i="39"/>
  <c r="N5" i="42" s="1"/>
  <c r="HB47" i="39" l="1"/>
  <c r="HB4" i="39" s="1"/>
  <c r="HC47" i="39"/>
  <c r="HC4" i="39" s="1"/>
  <c r="FE45" i="39"/>
  <c r="HI45" i="39" a="1"/>
  <c r="HI45" i="39" s="1"/>
  <c r="FS45" i="39"/>
  <c r="HJ45" i="39" a="1"/>
  <c r="HJ45" i="39" s="1"/>
  <c r="FG8" i="39"/>
  <c r="Q5" i="42" s="1"/>
  <c r="FU8" i="39"/>
  <c r="R5" i="42" s="1"/>
  <c r="FT45" i="39" l="1"/>
  <c r="FF45" i="39"/>
  <c r="FV8" i="39"/>
  <c r="U5" i="42" s="1"/>
  <c r="FH8" i="39"/>
  <c r="T5" i="42" s="1"/>
  <c r="HE12" i="39" l="1"/>
  <c r="FC12" i="39" s="1"/>
  <c r="FD12" i="39" s="1"/>
  <c r="FE12" i="39" s="1"/>
  <c r="FF12" i="39" s="1"/>
  <c r="FG12" i="39" s="1"/>
  <c r="FH12" i="39" s="1"/>
  <c r="FI12" i="39" s="1"/>
  <c r="FJ12" i="39" s="1"/>
  <c r="FK12" i="39" s="1"/>
  <c r="FL12" i="39" s="1"/>
  <c r="FM12" i="39" s="1"/>
  <c r="FN12" i="39" s="1"/>
  <c r="HE44" i="39"/>
  <c r="HE47" i="39"/>
  <c r="HE117" i="39"/>
  <c r="HE14" i="39"/>
  <c r="FG45" i="39"/>
  <c r="FU45" i="39"/>
  <c r="FI8" i="39"/>
  <c r="W5" i="42" s="1"/>
  <c r="FW8" i="39"/>
  <c r="X5" i="42" s="1"/>
  <c r="HF12" i="39" l="1"/>
  <c r="HG12" i="39" s="1"/>
  <c r="GM12" i="39"/>
  <c r="GL12" i="39"/>
  <c r="FQ12" i="39"/>
  <c r="FR12" i="39" s="1"/>
  <c r="FS12" i="39" s="1"/>
  <c r="FT12" i="39" s="1"/>
  <c r="FU12" i="39" s="1"/>
  <c r="FV12" i="39" s="1"/>
  <c r="FW12" i="39" s="1"/>
  <c r="FX12" i="39" s="1"/>
  <c r="FY12" i="39" s="1"/>
  <c r="FZ12" i="39" s="1"/>
  <c r="GA12" i="39" s="1"/>
  <c r="GB12" i="39" s="1"/>
  <c r="HF44" i="39"/>
  <c r="HG44" i="39" s="1"/>
  <c r="GL44" i="39"/>
  <c r="GM44" i="39"/>
  <c r="FC44" i="39"/>
  <c r="FD44" i="39" s="1"/>
  <c r="FE44" i="39" s="1"/>
  <c r="FF44" i="39" s="1"/>
  <c r="FG44" i="39" s="1"/>
  <c r="FH44" i="39" s="1"/>
  <c r="FI44" i="39" s="1"/>
  <c r="FJ44" i="39" s="1"/>
  <c r="FK44" i="39" s="1"/>
  <c r="FL44" i="39" s="1"/>
  <c r="FM44" i="39" s="1"/>
  <c r="FN44" i="39" s="1"/>
  <c r="FQ44" i="39"/>
  <c r="FR44" i="39" s="1"/>
  <c r="FS44" i="39" s="1"/>
  <c r="FT44" i="39" s="1"/>
  <c r="FU44" i="39" s="1"/>
  <c r="FV44" i="39" s="1"/>
  <c r="FW44" i="39" s="1"/>
  <c r="FX44" i="39" s="1"/>
  <c r="FY44" i="39" s="1"/>
  <c r="FZ44" i="39" s="1"/>
  <c r="GA44" i="39" s="1"/>
  <c r="GB44" i="39" s="1"/>
  <c r="FQ47" i="39"/>
  <c r="FR47" i="39" s="1"/>
  <c r="FS47" i="39" s="1"/>
  <c r="FT47" i="39" s="1"/>
  <c r="GL47" i="39"/>
  <c r="FC47" i="39"/>
  <c r="FD47" i="39" s="1"/>
  <c r="FE47" i="39" s="1"/>
  <c r="FF47" i="39" s="1"/>
  <c r="HF47" i="39"/>
  <c r="HG47" i="39" s="1"/>
  <c r="GM47" i="39"/>
  <c r="GM117" i="39"/>
  <c r="FC117" i="39"/>
  <c r="FD117" i="39" s="1"/>
  <c r="FE117" i="39" s="1"/>
  <c r="FF117" i="39" s="1"/>
  <c r="FG117" i="39" s="1"/>
  <c r="FH117" i="39" s="1"/>
  <c r="FI117" i="39" s="1"/>
  <c r="FJ117" i="39" s="1"/>
  <c r="FK117" i="39" s="1"/>
  <c r="FL117" i="39" s="1"/>
  <c r="FM117" i="39" s="1"/>
  <c r="FN117" i="39" s="1"/>
  <c r="FQ117" i="39"/>
  <c r="FR117" i="39" s="1"/>
  <c r="FS117" i="39" s="1"/>
  <c r="FT117" i="39" s="1"/>
  <c r="FU117" i="39" s="1"/>
  <c r="FV117" i="39" s="1"/>
  <c r="FW117" i="39" s="1"/>
  <c r="FX117" i="39" s="1"/>
  <c r="FY117" i="39" s="1"/>
  <c r="FZ117" i="39" s="1"/>
  <c r="GA117" i="39" s="1"/>
  <c r="GB117" i="39" s="1"/>
  <c r="HF117" i="39"/>
  <c r="HG117" i="39" s="1"/>
  <c r="GL117" i="39"/>
  <c r="HF14" i="39"/>
  <c r="HG14" i="39" s="1"/>
  <c r="FC14" i="39"/>
  <c r="FD14" i="39" s="1"/>
  <c r="FE14" i="39" s="1"/>
  <c r="FF14" i="39" s="1"/>
  <c r="FG14" i="39" s="1"/>
  <c r="FH14" i="39" s="1"/>
  <c r="FI14" i="39" s="1"/>
  <c r="FJ14" i="39" s="1"/>
  <c r="FK14" i="39" s="1"/>
  <c r="FL14" i="39" s="1"/>
  <c r="FM14" i="39" s="1"/>
  <c r="FN14" i="39" s="1"/>
  <c r="FQ14" i="39"/>
  <c r="FR14" i="39" s="1"/>
  <c r="FS14" i="39" s="1"/>
  <c r="FT14" i="39" s="1"/>
  <c r="FU14" i="39" s="1"/>
  <c r="FV14" i="39" s="1"/>
  <c r="FW14" i="39" s="1"/>
  <c r="FX14" i="39" s="1"/>
  <c r="FY14" i="39" s="1"/>
  <c r="FZ14" i="39" s="1"/>
  <c r="GA14" i="39" s="1"/>
  <c r="GB14" i="39" s="1"/>
  <c r="GL14" i="39"/>
  <c r="GM14" i="39"/>
  <c r="AR19" i="39" a="1"/>
  <c r="AR19" i="39" s="1"/>
  <c r="AV20" i="39" a="1"/>
  <c r="AV20" i="39" s="1"/>
  <c r="AR20" i="39" a="1"/>
  <c r="AR20" i="39" s="1"/>
  <c r="AU20" i="39" a="1"/>
  <c r="AU20" i="39" s="1"/>
  <c r="FV45" i="39"/>
  <c r="FH45" i="39"/>
  <c r="FX8" i="39"/>
  <c r="AA5" i="42" s="1"/>
  <c r="FJ8" i="39"/>
  <c r="Z5" i="42" s="1"/>
  <c r="HJ12" i="39" l="1" a="1"/>
  <c r="HJ12" i="39" s="1"/>
  <c r="HI12" i="39" a="1"/>
  <c r="HI12" i="39" s="1"/>
  <c r="HE17" i="39"/>
  <c r="HJ47" i="39" a="1"/>
  <c r="HJ47" i="39" s="1"/>
  <c r="HJ44" i="39" a="1"/>
  <c r="HJ44" i="39" s="1"/>
  <c r="HI44" i="39" a="1"/>
  <c r="HI44" i="39" s="1"/>
  <c r="HI47" i="39" a="1"/>
  <c r="HI47" i="39" s="1"/>
  <c r="HI117" i="39" a="1"/>
  <c r="HI117" i="39" s="1"/>
  <c r="HJ117" i="39" a="1"/>
  <c r="HJ117" i="39" s="1"/>
  <c r="AR17" i="39" a="1"/>
  <c r="AR17" i="39" s="1"/>
  <c r="HI14" i="39" a="1"/>
  <c r="HI14" i="39" s="1"/>
  <c r="HJ14" i="39" a="1"/>
  <c r="HJ14" i="39" s="1"/>
  <c r="AV19" i="39" a="1"/>
  <c r="AV19" i="39" s="1"/>
  <c r="AU18" i="39" a="1"/>
  <c r="AU18" i="39" s="1"/>
  <c r="AS20" i="39" a="1"/>
  <c r="AS20" i="39" s="1"/>
  <c r="FG47" i="39"/>
  <c r="FU47" i="39"/>
  <c r="FI45" i="39"/>
  <c r="FW45" i="39"/>
  <c r="FK8" i="39"/>
  <c r="AC5" i="42" s="1"/>
  <c r="FY8" i="39"/>
  <c r="AD5" i="42" s="1"/>
  <c r="FQ17" i="39" l="1"/>
  <c r="HF17" i="39"/>
  <c r="FC17" i="39"/>
  <c r="GM17" i="39"/>
  <c r="GL17" i="39"/>
  <c r="AV18" i="39" a="1"/>
  <c r="AV18" i="39" s="1"/>
  <c r="AV17" i="39" a="1"/>
  <c r="AV17" i="39" s="1"/>
  <c r="AS17" i="39" a="1"/>
  <c r="AS17" i="39" s="1"/>
  <c r="AS13" i="39" a="1"/>
  <c r="AS13" i="39" s="1"/>
  <c r="BC20" i="39"/>
  <c r="FV47" i="39"/>
  <c r="FH47" i="39"/>
  <c r="FX45" i="39"/>
  <c r="FJ45" i="39"/>
  <c r="FZ8" i="39"/>
  <c r="AG5" i="42" s="1"/>
  <c r="FL8" i="39"/>
  <c r="AF5" i="42" s="1"/>
  <c r="FD17" i="39" l="1"/>
  <c r="AU16" i="39" a="1"/>
  <c r="AU16" i="39" s="1"/>
  <c r="HG17" i="39"/>
  <c r="HJ17" i="39" s="1" a="1"/>
  <c r="HJ17" i="39" s="1"/>
  <c r="FR17" i="39"/>
  <c r="AR18" i="39" a="1"/>
  <c r="AR18" i="39" s="1"/>
  <c r="BC17" i="39"/>
  <c r="BC13" i="39"/>
  <c r="FI47" i="39"/>
  <c r="FW47" i="39"/>
  <c r="FK45" i="39"/>
  <c r="FY45" i="39"/>
  <c r="FM8" i="39"/>
  <c r="AI5" i="42" s="1"/>
  <c r="FN8" i="39"/>
  <c r="AL5" i="42" s="1"/>
  <c r="GB8" i="39"/>
  <c r="AM5" i="42" s="1"/>
  <c r="GA8" i="39"/>
  <c r="AJ5" i="42" s="1"/>
  <c r="FS17" i="39" l="1"/>
  <c r="AV13" i="39" a="1"/>
  <c r="AV13" i="39" s="1"/>
  <c r="HI17" i="39" a="1"/>
  <c r="HI17" i="39" s="1"/>
  <c r="BC16" i="39" s="1"/>
  <c r="AS16" i="39" a="1"/>
  <c r="AS16" i="39" s="1"/>
  <c r="FE17" i="39"/>
  <c r="FX47" i="39"/>
  <c r="FJ47" i="39"/>
  <c r="FZ45" i="39"/>
  <c r="FL45" i="39"/>
  <c r="FF17" i="39" l="1"/>
  <c r="FT17" i="39"/>
  <c r="FK47" i="39"/>
  <c r="FY47" i="39"/>
  <c r="FM45" i="39"/>
  <c r="GA45" i="39"/>
  <c r="FG17" i="39" l="1"/>
  <c r="FU17" i="39"/>
  <c r="FZ47" i="39"/>
  <c r="FL47" i="39"/>
  <c r="GB45" i="39"/>
  <c r="FN45" i="39"/>
  <c r="FV17" i="39" l="1"/>
  <c r="FH17" i="39"/>
  <c r="FM47" i="39"/>
  <c r="GA47" i="39"/>
  <c r="FI17" i="39" l="1"/>
  <c r="FW17" i="39"/>
  <c r="GB47" i="39"/>
  <c r="FN47" i="39"/>
  <c r="FX17" i="39" l="1"/>
  <c r="FJ17" i="39"/>
  <c r="FK17" i="39" l="1"/>
  <c r="FY17" i="39"/>
  <c r="FZ17" i="39" l="1"/>
  <c r="FL17" i="39"/>
  <c r="FM17" i="39" l="1"/>
  <c r="GA17" i="39"/>
  <c r="GB17" i="39" l="1"/>
  <c r="FN17" i="39"/>
  <c r="HE13" i="39" l="1"/>
  <c r="GL13" i="39" s="1"/>
  <c r="HE53" i="39"/>
  <c r="HF53" i="39" s="1"/>
  <c r="HG53" i="39" s="1"/>
  <c r="FC53" i="39"/>
  <c r="FD53" i="39" s="1"/>
  <c r="FQ53" i="39"/>
  <c r="FR53" i="39" s="1"/>
  <c r="HB13" i="39"/>
  <c r="HB6" i="39" s="1"/>
  <c r="HC13" i="39"/>
  <c r="HC6" i="39" s="1"/>
  <c r="FQ5" i="39"/>
  <c r="F3" i="42" s="1"/>
  <c r="GM53" i="39"/>
  <c r="GM5" i="39" s="1"/>
  <c r="AU17" i="39" a="1"/>
  <c r="AU17" i="39" s="1"/>
  <c r="FC4" i="39" l="1"/>
  <c r="E3" i="42" s="1"/>
  <c r="HJ53" i="39" a="1"/>
  <c r="HJ53" i="39" s="1"/>
  <c r="GL53" i="39"/>
  <c r="GL4" i="39" s="1"/>
  <c r="GM13" i="39"/>
  <c r="HF13" i="39"/>
  <c r="HG13" i="39" s="1"/>
  <c r="FQ13" i="39"/>
  <c r="FC13" i="39"/>
  <c r="FD13" i="39" s="1"/>
  <c r="HD6" i="39"/>
  <c r="HE11" i="39" s="1"/>
  <c r="HD4" i="39"/>
  <c r="FE53" i="39"/>
  <c r="FD4" i="39"/>
  <c r="H3" i="42" s="1"/>
  <c r="FS53" i="39"/>
  <c r="FR5" i="39"/>
  <c r="I3" i="42" s="1"/>
  <c r="HJ13" i="39" l="1" a="1"/>
  <c r="HJ13" i="39" s="1"/>
  <c r="HI13" i="39" a="1"/>
  <c r="HI13" i="39" s="1"/>
  <c r="FQ11" i="39"/>
  <c r="FR11" i="39" s="1"/>
  <c r="FS11" i="39" s="1"/>
  <c r="FT11" i="39" s="1"/>
  <c r="FU11" i="39" s="1"/>
  <c r="FV11" i="39" s="1"/>
  <c r="FW11" i="39" s="1"/>
  <c r="FX11" i="39" s="1"/>
  <c r="FY11" i="39" s="1"/>
  <c r="FZ11" i="39" s="1"/>
  <c r="GA11" i="39" s="1"/>
  <c r="GB11" i="39" s="1"/>
  <c r="FC11" i="39"/>
  <c r="FD11" i="39" s="1"/>
  <c r="FE11" i="39" s="1"/>
  <c r="FF11" i="39" s="1"/>
  <c r="FG11" i="39" s="1"/>
  <c r="FH11" i="39" s="1"/>
  <c r="FI11" i="39" s="1"/>
  <c r="FJ11" i="39" s="1"/>
  <c r="FK11" i="39" s="1"/>
  <c r="FL11" i="39" s="1"/>
  <c r="FM11" i="39" s="1"/>
  <c r="FN11" i="39" s="1"/>
  <c r="GM11" i="39"/>
  <c r="GM7" i="39" s="1"/>
  <c r="HF11" i="39"/>
  <c r="GL11" i="39"/>
  <c r="HE6" i="39" a="1"/>
  <c r="HE6" i="39" s="1"/>
  <c r="HF6" i="39" s="1"/>
  <c r="HE5" i="39" a="1"/>
  <c r="HE5" i="39" s="1"/>
  <c r="HF5" i="39" s="1"/>
  <c r="HE4" i="39" a="1"/>
  <c r="HE4" i="39" s="1"/>
  <c r="HF4" i="39" s="1"/>
  <c r="HE7" i="39" a="1"/>
  <c r="HE7" i="39" s="1"/>
  <c r="HF7" i="39" s="1"/>
  <c r="HI53" i="39" a="1"/>
  <c r="HI53" i="39" s="1"/>
  <c r="FE13" i="39"/>
  <c r="FF13" i="39" s="1"/>
  <c r="FR13" i="39"/>
  <c r="FS5" i="39"/>
  <c r="L3" i="42" s="1"/>
  <c r="FT53" i="39"/>
  <c r="FE4" i="39"/>
  <c r="K3" i="42" s="1"/>
  <c r="FF53" i="39"/>
  <c r="FQ7" i="39" l="1"/>
  <c r="F4" i="42" s="1"/>
  <c r="FC6" i="39"/>
  <c r="E4" i="42" s="1"/>
  <c r="AR13" i="39" a="1"/>
  <c r="AR13" i="39" s="1"/>
  <c r="AV14" i="39" a="1"/>
  <c r="AV14" i="39" s="1"/>
  <c r="AV16" i="39" a="1"/>
  <c r="AV16" i="39" s="1"/>
  <c r="AR14" i="39" a="1"/>
  <c r="AR14" i="39" s="1"/>
  <c r="AR16" i="39" a="1"/>
  <c r="AR16" i="39" s="1"/>
  <c r="AC1" i="39"/>
  <c r="AC4" i="39"/>
  <c r="GL6" i="39"/>
  <c r="AU13" i="39" s="1" a="1"/>
  <c r="AU13" i="39" s="1"/>
  <c r="FD6" i="39"/>
  <c r="H4" i="42" s="1"/>
  <c r="HG11" i="39"/>
  <c r="HJ11" i="39" s="1" a="1"/>
  <c r="HJ11" i="39" s="1"/>
  <c r="AR15" i="39" a="1"/>
  <c r="AR15" i="39" s="1"/>
  <c r="AV15" i="39" a="1"/>
  <c r="AV15" i="39" s="1"/>
  <c r="FE6" i="39"/>
  <c r="K4" i="42" s="1"/>
  <c r="FR7" i="39"/>
  <c r="I4" i="42" s="1"/>
  <c r="FS13" i="39"/>
  <c r="FF4" i="39"/>
  <c r="N3" i="42" s="1"/>
  <c r="FG53" i="39"/>
  <c r="FU53" i="39"/>
  <c r="FT5" i="39"/>
  <c r="O3" i="42" s="1"/>
  <c r="FF6" i="39"/>
  <c r="N4" i="42" s="1"/>
  <c r="FG13" i="39"/>
  <c r="AU15" i="39" l="1" a="1"/>
  <c r="AU15" i="39" s="1"/>
  <c r="HI11" i="39" a="1"/>
  <c r="HI11" i="39" s="1"/>
  <c r="BC15" i="39" s="1"/>
  <c r="BC11" i="39" s="1"/>
  <c r="AJ3" i="39" s="1"/>
  <c r="K6" i="39" s="1"/>
  <c r="AS15" i="39" a="1"/>
  <c r="AS15" i="39" s="1"/>
  <c r="FS7" i="39"/>
  <c r="L4" i="42" s="1"/>
  <c r="FT13" i="39"/>
  <c r="FG6" i="39"/>
  <c r="Q4" i="42" s="1"/>
  <c r="FH13" i="39"/>
  <c r="FU5" i="39"/>
  <c r="R3" i="42" s="1"/>
  <c r="FV53" i="39"/>
  <c r="FG4" i="39"/>
  <c r="Q3" i="42" s="1"/>
  <c r="FH53" i="39"/>
  <c r="FT7" i="39" l="1"/>
  <c r="O4" i="42" s="1"/>
  <c r="FU13" i="39"/>
  <c r="FI53" i="39"/>
  <c r="FH4" i="39"/>
  <c r="T3" i="42" s="1"/>
  <c r="FW53" i="39"/>
  <c r="FV5" i="39"/>
  <c r="U3" i="42" s="1"/>
  <c r="FH6" i="39"/>
  <c r="T4" i="42" s="1"/>
  <c r="FI13" i="39"/>
  <c r="FU7" i="39" l="1"/>
  <c r="R4" i="42" s="1"/>
  <c r="FV13" i="39"/>
  <c r="FJ13" i="39"/>
  <c r="FI6" i="39"/>
  <c r="W4" i="42" s="1"/>
  <c r="FX53" i="39"/>
  <c r="FW5" i="39"/>
  <c r="X3" i="42" s="1"/>
  <c r="FI4" i="39"/>
  <c r="W3" i="42" s="1"/>
  <c r="FJ53" i="39"/>
  <c r="FV7" i="39" l="1"/>
  <c r="U4" i="42" s="1"/>
  <c r="FW13" i="39"/>
  <c r="FK53" i="39"/>
  <c r="FJ4" i="39"/>
  <c r="Z3" i="42" s="1"/>
  <c r="FY53" i="39"/>
  <c r="FX5" i="39"/>
  <c r="AA3" i="42" s="1"/>
  <c r="FK13" i="39"/>
  <c r="FJ6" i="39"/>
  <c r="Z4" i="42" s="1"/>
  <c r="FW7" i="39" l="1"/>
  <c r="X4" i="42" s="1"/>
  <c r="FX13" i="39"/>
  <c r="FL13" i="39"/>
  <c r="FK6" i="39"/>
  <c r="AC4" i="42" s="1"/>
  <c r="FZ53" i="39"/>
  <c r="FY5" i="39"/>
  <c r="AD3" i="42" s="1"/>
  <c r="FK4" i="39"/>
  <c r="AC3" i="42" s="1"/>
  <c r="FL53" i="39"/>
  <c r="FX7" i="39" l="1"/>
  <c r="AA4" i="42" s="1"/>
  <c r="FY13" i="39"/>
  <c r="FM53" i="39"/>
  <c r="FL4" i="39"/>
  <c r="AF3" i="42" s="1"/>
  <c r="FZ5" i="39"/>
  <c r="AG3" i="42" s="1"/>
  <c r="GA53" i="39"/>
  <c r="FL6" i="39"/>
  <c r="AF4" i="42" s="1"/>
  <c r="FM13" i="39"/>
  <c r="FZ13" i="39" l="1"/>
  <c r="FY7" i="39"/>
  <c r="AD4" i="42" s="1"/>
  <c r="FN13" i="39"/>
  <c r="FN6" i="39" s="1"/>
  <c r="AL4" i="42" s="1"/>
  <c r="FM6" i="39"/>
  <c r="AI4" i="42" s="1"/>
  <c r="GA5" i="39"/>
  <c r="AJ3" i="42" s="1"/>
  <c r="GB53" i="39"/>
  <c r="GB5" i="39" s="1"/>
  <c r="AM3" i="42" s="1"/>
  <c r="FM4" i="39"/>
  <c r="AI3" i="42" s="1"/>
  <c r="FN53" i="39"/>
  <c r="FN4" i="39" s="1"/>
  <c r="AL3" i="42" s="1"/>
  <c r="FZ7" i="39" l="1"/>
  <c r="AG4" i="42" s="1"/>
  <c r="GA13" i="39"/>
  <c r="GB13" i="39" l="1"/>
  <c r="GB7" i="39" s="1"/>
  <c r="AM4" i="42" s="1"/>
  <c r="GA7" i="39"/>
  <c r="AJ4" i="42" s="1"/>
  <c r="K233" i="7"/>
  <c r="J245" i="7" s="1"/>
  <c r="K234" i="7"/>
  <c r="J246" i="7" s="1"/>
  <c r="K231" i="7"/>
  <c r="J243" i="7" s="1"/>
  <c r="K232" i="7"/>
  <c r="J244" i="7" s="1"/>
  <c r="EU68" i="7"/>
  <c r="EW68" i="7" s="1"/>
  <c r="EW88" i="7" l="1"/>
  <c r="AG157" i="7" s="1"/>
  <c r="AG158" i="7" s="1"/>
  <c r="AG159" i="7" s="1"/>
  <c r="T159" i="7" s="1"/>
  <c r="L39" i="7" s="1"/>
  <c r="L41" i="7" s="1"/>
  <c r="L46" i="7" s="1"/>
  <c r="EV68" i="7"/>
  <c r="EV88" i="7" s="1"/>
  <c r="AF157" i="7" s="1"/>
  <c r="AF158" i="7" s="1"/>
  <c r="L47" i="7" l="1"/>
  <c r="AH157" i="7"/>
  <c r="AH158" i="7"/>
  <c r="AF159" i="7"/>
  <c r="S159" i="7" s="1"/>
  <c r="J39" i="7" s="1"/>
  <c r="J41" i="7" l="1"/>
  <c r="F39" i="7"/>
  <c r="P39" i="7" s="1"/>
  <c r="F41" i="7" l="1"/>
  <c r="P41" i="7" s="1"/>
  <c r="T267" i="7"/>
  <c r="T270" i="7" s="1"/>
  <c r="S271" i="7" s="1"/>
  <c r="P292" i="7" s="1"/>
  <c r="J46" i="7"/>
  <c r="J47" i="7" s="1"/>
  <c r="P293" i="7" l="1"/>
  <c r="J293" i="7" s="1"/>
  <c r="J292" i="7"/>
  <c r="Y294" i="7"/>
  <c r="Y295" i="7" s="1"/>
  <c r="AE295" i="7" s="1"/>
  <c r="B205" i="7"/>
  <c r="E24" i="7"/>
  <c r="E25" i="7" s="1"/>
  <c r="F205" i="7" s="1"/>
  <c r="E27" i="7"/>
  <c r="E205" i="7"/>
  <c r="G205" i="7"/>
  <c r="H205" i="7"/>
  <c r="E23" i="7"/>
  <c r="E22" i="7"/>
  <c r="AG291" i="7"/>
  <c r="P294" i="7"/>
  <c r="F46" i="7"/>
  <c r="P46" i="7" s="1"/>
  <c r="D205" i="7"/>
  <c r="E26" i="7"/>
  <c r="F47" i="7" l="1"/>
  <c r="P229" i="7"/>
  <c r="B229" i="7" s="1"/>
  <c r="J53" i="7"/>
  <c r="AE291" i="7"/>
  <c r="AG293" i="7"/>
  <c r="U216" i="7"/>
  <c r="W215" i="7"/>
  <c r="AA215" i="7" s="1"/>
  <c r="V215" i="7"/>
  <c r="W218" i="7"/>
  <c r="V216" i="7"/>
  <c r="X215" i="7"/>
  <c r="X218" i="7"/>
  <c r="U215" i="7"/>
  <c r="U217" i="7"/>
  <c r="U218" i="7"/>
  <c r="V218" i="7"/>
  <c r="W216" i="7"/>
  <c r="W217" i="7"/>
  <c r="X216" i="7"/>
  <c r="X217" i="7"/>
  <c r="V217" i="7"/>
  <c r="AA217" i="7" l="1"/>
  <c r="AA216" i="7"/>
  <c r="B230" i="7"/>
  <c r="B233" i="7"/>
  <c r="B234" i="7"/>
  <c r="B231" i="7"/>
  <c r="B232" i="7"/>
  <c r="B27" i="47"/>
  <c r="AE297" i="7"/>
  <c r="AG298" i="7" s="1"/>
  <c r="AE293" i="7"/>
  <c r="AF291" i="7"/>
  <c r="AF293" i="7" s="1"/>
  <c r="AA218" i="7"/>
  <c r="Q229" i="7"/>
  <c r="F229" i="7" s="1"/>
  <c r="P236" i="7" s="1"/>
  <c r="C238" i="7" s="1"/>
  <c r="AI298" i="7" l="1"/>
  <c r="P289" i="7" s="1"/>
  <c r="B30" i="47"/>
  <c r="H30" i="47" s="1"/>
  <c r="C245" i="7"/>
  <c r="C239" i="7"/>
  <c r="AL291" i="7"/>
  <c r="D27" i="47"/>
  <c r="H27" i="47"/>
  <c r="G27" i="47"/>
  <c r="J27" i="47"/>
  <c r="F27" i="47"/>
  <c r="E27" i="47"/>
  <c r="I27" i="47"/>
  <c r="B35" i="47"/>
  <c r="I30" i="47"/>
  <c r="F30" i="47"/>
  <c r="J30" i="47"/>
  <c r="F233" i="7"/>
  <c r="P238" i="7"/>
  <c r="C240" i="7" s="1"/>
  <c r="Z217" i="7"/>
  <c r="P241" i="7" s="1"/>
  <c r="C243" i="7" s="1"/>
  <c r="G235" i="7"/>
  <c r="Z215" i="7"/>
  <c r="P239" i="7" s="1"/>
  <c r="C241" i="7" s="1"/>
  <c r="Z218" i="7"/>
  <c r="P242" i="7" s="1"/>
  <c r="C244" i="7" s="1"/>
  <c r="F232" i="7"/>
  <c r="Z216" i="7"/>
  <c r="P240" i="7" s="1"/>
  <c r="C242" i="7" s="1"/>
  <c r="F231" i="7"/>
  <c r="B28" i="47"/>
  <c r="F234" i="7"/>
  <c r="AB300" i="7" l="1"/>
  <c r="CO229" i="7"/>
  <c r="CP229" i="7" s="1"/>
  <c r="CP238" i="7" s="1"/>
  <c r="CP239" i="7" s="1"/>
  <c r="Q289" i="7" s="1"/>
  <c r="Q290" i="7" s="1"/>
  <c r="L290" i="7" s="1"/>
  <c r="E30" i="47"/>
  <c r="D30" i="47"/>
  <c r="G30" i="47"/>
  <c r="AJ291" i="7"/>
  <c r="AL293" i="7"/>
  <c r="F28" i="47"/>
  <c r="J28" i="47"/>
  <c r="I28" i="47"/>
  <c r="D28" i="47"/>
  <c r="H28" i="47"/>
  <c r="B33" i="47"/>
  <c r="E28" i="47"/>
  <c r="G28" i="47"/>
  <c r="Q288" i="7" l="1"/>
  <c r="L289" i="7" s="1"/>
  <c r="L51" i="7" s="1"/>
  <c r="AJ293" i="7"/>
  <c r="AE300" i="7" s="1"/>
  <c r="AK291" i="7"/>
  <c r="AK293" i="7" s="1"/>
  <c r="AF300" i="7" s="1"/>
  <c r="L52" i="7"/>
  <c r="L294" i="7"/>
  <c r="L54" i="7" s="1"/>
  <c r="AG300" i="7" l="1"/>
  <c r="P290" i="7" s="1"/>
  <c r="J290" i="7" s="1"/>
  <c r="J294" i="7" s="1"/>
  <c r="J54" i="7" s="1"/>
  <c r="J52" i="7" l="1"/>
  <c r="P288" i="7"/>
  <c r="J289" i="7" s="1"/>
  <c r="J51" i="7" s="1"/>
</calcChain>
</file>

<file path=xl/comments1.xml><?xml version="1.0" encoding="utf-8"?>
<comments xmlns="http://schemas.openxmlformats.org/spreadsheetml/2006/main">
  <authors>
    <author>Offenberger, Konrad (LfL)</author>
    <author>Sperger, Christian (LfL)</author>
    <author>msbo</author>
    <author>Schmücker, Rebekka (LfL)</author>
    <author>Michaelis, Katja (LfL)</author>
    <author>Karrer, Johannes (LfL)</author>
    <author>Deimel, R. (LfL)</author>
    <author>Brandl, Maria (LfL)</author>
    <author>Hierlmeier, Michael (LfL)</author>
  </authors>
  <commentList>
    <comment ref="A1" authorId="0" shapeId="0">
      <text>
        <r>
          <rPr>
            <sz val="10"/>
            <color indexed="81"/>
            <rFont val="Arial"/>
            <family val="2"/>
          </rPr>
          <t>Die Berechnung ist je Betrieb.
Abfallanlagen können nicht (nur eingeschänkt) berechnet werden.
Berechnung für gewerbliche Tierhalter (ohne Fläche) möglich.</t>
        </r>
      </text>
    </comment>
    <comment ref="A3" authorId="0" shapeId="0">
      <text>
        <r>
          <rPr>
            <sz val="10"/>
            <color indexed="81"/>
            <rFont val="Arial"/>
            <family val="2"/>
          </rPr>
          <t>- Dieser Rechner dient ausschließlich der Berechnung der Lagerkapazität nach DüV §12 sowie WDüngV.
- Auf Gefahren beim Absenken des Nachgärers sei hingewiesen (z. B. UEG).
- Einzelbetrieblich muss sowohl aus technischer, genehmigungsrechtlicher als auch aus Sicht weiterer fachrechtlicher Belange geprüft werden, ob eine Absenkung des Nächgärers möglich oder zulässig ist!</t>
        </r>
      </text>
    </comment>
    <comment ref="A5" authorId="1" shapeId="0">
      <text>
        <r>
          <rPr>
            <sz val="10"/>
            <color indexed="81"/>
            <rFont val="Arial"/>
            <family val="2"/>
          </rPr>
          <t>Pflichtfeld:
Betriebsnummer ist</t>
        </r>
        <r>
          <rPr>
            <b/>
            <sz val="10"/>
            <color indexed="81"/>
            <rFont val="Arial"/>
            <family val="2"/>
          </rPr>
          <t xml:space="preserve"> </t>
        </r>
        <r>
          <rPr>
            <sz val="10"/>
            <color indexed="81"/>
            <rFont val="Arial"/>
            <family val="2"/>
          </rPr>
          <t xml:space="preserve">hier </t>
        </r>
        <r>
          <rPr>
            <b/>
            <sz val="10"/>
            <color indexed="81"/>
            <rFont val="Arial"/>
            <family val="2"/>
          </rPr>
          <t>10stellig</t>
        </r>
        <r>
          <rPr>
            <sz val="10"/>
            <color indexed="81"/>
            <rFont val="Arial"/>
            <family val="2"/>
          </rPr>
          <t xml:space="preserve"> anzugeben
Bsp.: 1781001010
Betriebe ohne Betriebsnummer müssen mindestens die Landkreisnummer mit 7 Nullen angeben.
Bsp.: 1780000000</t>
        </r>
      </text>
    </comment>
    <comment ref="G5" authorId="2" shapeId="0">
      <text>
        <r>
          <rPr>
            <sz val="10"/>
            <color indexed="81"/>
            <rFont val="Arial"/>
            <family val="2"/>
          </rPr>
          <t>Landwirtschaftlich genutzte Fläche.</t>
        </r>
      </text>
    </comment>
    <comment ref="Z5" authorId="2" shapeId="0">
      <text>
        <r>
          <rPr>
            <sz val="10"/>
            <color indexed="81"/>
            <rFont val="Tahoma"/>
            <family val="2"/>
          </rPr>
          <t xml:space="preserve">Landwirtschaftlich genutzte Fläche.
</t>
        </r>
        <r>
          <rPr>
            <sz val="8"/>
            <color indexed="81"/>
            <rFont val="Tahoma"/>
            <family val="2"/>
          </rPr>
          <t>(Bei gewerblichen Tierhaltern/Biogasanlagen ohne Fläche muss bei  ha LF 0,1 und bei ha gesamte Grünlandfläche 0,1 eingetragen werden.)</t>
        </r>
      </text>
    </comment>
    <comment ref="A6" authorId="3" shapeId="0">
      <text>
        <r>
          <rPr>
            <sz val="10"/>
            <color indexed="81"/>
            <rFont val="Arial"/>
            <family val="2"/>
          </rPr>
          <t>Verfügungsberechtigter (bei mehreren Verfügungsberechtigten eindeutiger Ansprechpartner) oder Anlagenname mit eindeutigem Ansprechpartner</t>
        </r>
      </text>
    </comment>
    <comment ref="A7" authorId="4" shapeId="0">
      <text>
        <r>
          <rPr>
            <sz val="10"/>
            <color indexed="81"/>
            <rFont val="Arial"/>
            <family val="2"/>
          </rPr>
          <t>Wird keine Betriebsnummer angegeben, ist das Geburtsdatum ein Pflichtfeld.</t>
        </r>
      </text>
    </comment>
    <comment ref="H7" authorId="0" shapeId="0">
      <text>
        <r>
          <rPr>
            <sz val="10"/>
            <color indexed="81"/>
            <rFont val="Arial"/>
            <family val="2"/>
          </rPr>
          <t>z. B. Wasserschutzgebiet Zone II, Kulap,Vertragsnaturschutzprogramm.
Stilllegungsflächen sind nicht hier, sondern in H8 anzugeben.</t>
        </r>
      </text>
    </comment>
    <comment ref="H8" authorId="2" shapeId="0">
      <text>
        <r>
          <rPr>
            <sz val="10"/>
            <color indexed="81"/>
            <rFont val="Arial"/>
            <family val="2"/>
          </rPr>
          <t>Hier sind nur Flächen anzugeben, die nicht gedüngt und auch nicht genutzt werden. (z. B. ÖR1a).</t>
        </r>
      </text>
    </comment>
    <comment ref="Z9" authorId="0" shapeId="0">
      <text>
        <r>
          <rPr>
            <sz val="9"/>
            <color indexed="81"/>
            <rFont val="Tahoma"/>
            <family val="2"/>
          </rPr>
          <t>(Bei gewerblichen Tierhaltern ohne Fläche muss bei  ha LF 0,1 und bei ha gesamt Grünlandfläche 0,1 eingetragen werden.)</t>
        </r>
      </text>
    </comment>
    <comment ref="H10" authorId="0" shapeId="0">
      <text>
        <r>
          <rPr>
            <sz val="10"/>
            <color indexed="81"/>
            <rFont val="Arial"/>
            <family val="2"/>
          </rPr>
          <t>z. B. Wasserschutzgebiet Zone II, Kulap,Vertragsnaturschutzprogramm.
Ist eine Beweidung mit im Betrieb vorhandenen Tieren zulässig, brauchen diese hier nicht angegeben werden.
Stilllegungsflächen sind nicht hier, sondern in G11 anzugeben.</t>
        </r>
      </text>
    </comment>
    <comment ref="H11" authorId="2" shapeId="0">
      <text>
        <r>
          <rPr>
            <sz val="10"/>
            <color indexed="81"/>
            <rFont val="Arial"/>
            <family val="2"/>
          </rPr>
          <t>Hier sind die Grünlandflächen anzugeben, die nicht gedüngt und auch nicht genutzt werden.</t>
        </r>
      </text>
    </comment>
    <comment ref="B12" authorId="2" shapeId="0">
      <text>
        <r>
          <rPr>
            <sz val="10"/>
            <color indexed="81"/>
            <rFont val="Arial"/>
            <family val="2"/>
          </rPr>
          <t>Milchleistung = Abgelieferte Milchmenge / Anzahl Kühe</t>
        </r>
      </text>
    </comment>
    <comment ref="G12" authorId="0" shapeId="0">
      <text>
        <r>
          <rPr>
            <sz val="10"/>
            <color indexed="81"/>
            <rFont val="Arial"/>
            <family val="2"/>
          </rPr>
          <t>Nur</t>
        </r>
        <r>
          <rPr>
            <b/>
            <sz val="10"/>
            <color indexed="81"/>
            <rFont val="Arial"/>
            <family val="2"/>
          </rPr>
          <t xml:space="preserve"> relevant für</t>
        </r>
        <r>
          <rPr>
            <sz val="10"/>
            <color indexed="81"/>
            <rFont val="Arial"/>
            <family val="2"/>
          </rPr>
          <t xml:space="preserve"> Betriebe, die ab 2020 mehr als 6 Monate Lagerraum für flüssige Wirtschaftsdünger belegen müssen (Biogasbetriebe, Betriebe über 3 GV/ha).
Sie können durch "zusätzliche Ausbringfläche" den notwendigen Lagerraum verringern. 
Als </t>
        </r>
        <r>
          <rPr>
            <b/>
            <sz val="10"/>
            <color indexed="81"/>
            <rFont val="Arial"/>
            <family val="2"/>
          </rPr>
          <t>zusätzliche Ausbringfläche</t>
        </r>
        <r>
          <rPr>
            <sz val="10"/>
            <color indexed="81"/>
            <rFont val="Arial"/>
            <family val="2"/>
          </rPr>
          <t xml:space="preserve"> werden Flächen von anderen Betrieben anerkannt, auf denen </t>
        </r>
        <r>
          <rPr>
            <u/>
            <sz val="10"/>
            <color indexed="81"/>
            <rFont val="Arial"/>
            <family val="2"/>
          </rPr>
          <t>vertraglich</t>
        </r>
        <r>
          <rPr>
            <sz val="10"/>
            <color indexed="81"/>
            <rFont val="Arial"/>
            <family val="2"/>
          </rPr>
          <t xml:space="preserve"> die Ausbringung der flüssigen Wirtschaftsdünger bis zu einer Menge von 170 kg N/ha geregelt ist.
Flächen, auf denen weniger als 170 kg N/ha  flüssiger org. Dünger ausgebracht werden kann/darf, dürfen nur anteilig berücksichtigt werden. 
Ein Mustervertrag kann über die rechts stehende Verlinkung oder folgende  Internetadresse aufgerufen werden: https://www.lfl.bayern.de/lagerkapazitaet.</t>
        </r>
      </text>
    </comment>
    <comment ref="B13" authorId="0" shapeId="0">
      <text>
        <r>
          <rPr>
            <sz val="10"/>
            <color indexed="81"/>
            <rFont val="Arial"/>
            <family val="2"/>
          </rPr>
          <t xml:space="preserve">Niederschlagsmenge auf Landkreisebene ist ausreichend, optional können die Gemarkungsniederschläge verwendet werden.
Eine Liste der Gemarkungsniederschläge finden Sie im entsprechenden Tabellenblatt.
Angaben nur notwendig, wenn die tatsächlichen langjährigen (10 Jahre) Niederschläge im Betrieb vom vorgeschlagenen langjährigem Mittel des Landkreises (C13) abweicht.
</t>
        </r>
      </text>
    </comment>
    <comment ref="I13" authorId="0" shapeId="0">
      <text>
        <r>
          <rPr>
            <sz val="10"/>
            <color indexed="81"/>
            <rFont val="Arial"/>
            <family val="2"/>
          </rPr>
          <t>Betriebe, die Erleichterungen nach Ausführungsverordnung Düngeverordnung (AVDüV) nutzen dürfen (weder rote noch gelbe Flächen im Betrieb und weniger als 20 % der Betriebsflächen im Wasserschutzgebiet).
Erleichterungen können nur für rinderhaltende Betriebe mit Grünlandbewirtschaftung die Lagerkapazität zwischen 6 und 9 Monaten verringern.</t>
        </r>
      </text>
    </comment>
    <comment ref="E22" authorId="1" shapeId="0">
      <text>
        <r>
          <rPr>
            <sz val="10"/>
            <color indexed="81"/>
            <rFont val="Arial"/>
            <family val="2"/>
          </rPr>
          <t>Diese Mengen und Nährstoffgehalte sind für die Plausibilisierung des Betriebes sinnvoll. Die Werte berechnen sich aus den Einsatzstoffen, dem eingeleitetem Wasser und der Gasproduktion. Betriebe mit Separation können diese nur für die Gesamtplausibilisierung verwenden.</t>
        </r>
      </text>
    </comment>
    <comment ref="A35" authorId="0" shapeId="0">
      <text>
        <r>
          <rPr>
            <sz val="10"/>
            <color indexed="81"/>
            <rFont val="Arial"/>
            <family val="2"/>
          </rPr>
          <t>Die anrechenbaren Stall-/ Lagerverluste sind bereits abgezogen.</t>
        </r>
      </text>
    </comment>
    <comment ref="A40" authorId="0" shapeId="0">
      <text>
        <r>
          <rPr>
            <b/>
            <sz val="10"/>
            <color indexed="81"/>
            <rFont val="Arial"/>
            <family val="2"/>
          </rPr>
          <t>Bei Stickstoff dürfen Stall-/ Lagerverluste nach DüV berücksichtigt werden.</t>
        </r>
        <r>
          <rPr>
            <sz val="10"/>
            <color indexed="81"/>
            <rFont val="Arial"/>
            <family val="2"/>
          </rPr>
          <t xml:space="preserve">
Neben den Verlusten aus der Tierhaltung dürfen für pflanzliche Stoffe, die in der Biogasanlage verwertet werden, 5 % gasförmige N-Verluste angerechnet werden.</t>
        </r>
      </text>
    </comment>
    <comment ref="A50" authorId="0" shapeId="0">
      <text>
        <r>
          <rPr>
            <sz val="10"/>
            <color indexed="81"/>
            <rFont val="Arial"/>
            <family val="2"/>
          </rPr>
          <t>Notwendiger Lagerraum 
laut den angegebenen Tieren, Substrateinsatzstoffen und Flächen.</t>
        </r>
        <r>
          <rPr>
            <b/>
            <sz val="10"/>
            <color indexed="81"/>
            <rFont val="Arial"/>
            <family val="2"/>
          </rPr>
          <t xml:space="preserve">
Dieser Rechner dient ausschließlich der Berechnung der Lagerkapazität nach DüV § 12, andere rechtliche Belange werden hier nicht miteinbezogen.</t>
        </r>
      </text>
    </comment>
    <comment ref="J51" authorId="1" shapeId="0">
      <text>
        <r>
          <rPr>
            <sz val="10"/>
            <color indexed="81"/>
            <rFont val="Arial"/>
            <family val="2"/>
          </rPr>
          <t>Beispiel für die Berechnung des Güllelagerraumes anteilig:
Wenn ein Betrieb 50 % der Gülle auf eigenen Ausbringflächen verwerten kann, sind dafür nur 6 Monate notwendig. Also für den Gesamtbetrieb 7,5 Monate Lagerraum (50 % 6 Monate und 50 % 9 Monate).</t>
        </r>
      </text>
    </comment>
    <comment ref="A53" authorId="0" shapeId="0">
      <text>
        <r>
          <rPr>
            <sz val="10"/>
            <color indexed="81"/>
            <rFont val="Arial"/>
            <family val="2"/>
          </rPr>
          <t>Nachgärer: Einzelbetrieblich muss sowohl aus technischer, genehmigungsrechtlicher als auch aus Sicht weiterer fachrechtlicher Belange (z. B. Wasserrecht, StörfallVO) geprüft werden, ob eine Absenkung des Nachgärers möglich oder zulässig ist. 
Auf Gefahren beim Absenken des Nachgärers sei hingewiesen (z. B. UEG).
Berechnungsbeispiel siehe Tabellenblatt "Anrechnung Nachgärer".</t>
        </r>
      </text>
    </comment>
    <comment ref="A54" authorId="0" shapeId="0">
      <text>
        <r>
          <rPr>
            <sz val="10"/>
            <color indexed="81"/>
            <rFont val="Arial"/>
            <family val="2"/>
          </rPr>
          <t xml:space="preserve">Eine Änderung der Substratzusammensetzung wird meist zu veränderten Lagerkapazitäten führen. </t>
        </r>
      </text>
    </comment>
    <comment ref="A56" authorId="1" shapeId="0">
      <text>
        <r>
          <rPr>
            <sz val="10"/>
            <color indexed="81"/>
            <rFont val="Arial"/>
            <family val="2"/>
          </rPr>
          <t>Es werden für die Einsatzstoffe (Ausnahme zugekaufte Wirtschaftsdünger) Toleranzen akzeptiert, welche bereits bei der Berechnung berücksichtigt wurden.</t>
        </r>
      </text>
    </comment>
    <comment ref="A58" authorId="5" shapeId="0">
      <text>
        <r>
          <rPr>
            <b/>
            <sz val="10"/>
            <color indexed="81"/>
            <rFont val="Arial"/>
            <family val="2"/>
          </rPr>
          <t>Wird die Fehlermeldung "&gt;170 kg" angezeigt, so ist die 170 kg N/ ha Grenze im Betrieb überschritten.</t>
        </r>
        <r>
          <rPr>
            <sz val="10"/>
            <color indexed="81"/>
            <rFont val="Arial"/>
            <family val="2"/>
          </rPr>
          <t xml:space="preserve"> Das heißt, die Verwertung des org. Düngers im eigenen Betrieb ist zu hoch. Es muss mehr org. Dünger abgegeben werden.</t>
        </r>
      </text>
    </comment>
    <comment ref="EW62" authorId="0" shapeId="0">
      <text>
        <r>
          <rPr>
            <b/>
            <sz val="9"/>
            <color indexed="81"/>
            <rFont val="Tahoma"/>
            <family val="2"/>
          </rPr>
          <t>15,44 % Gaserzeugung aus Wasser</t>
        </r>
      </text>
    </comment>
    <comment ref="A64" authorId="0" shapeId="0">
      <text>
        <r>
          <rPr>
            <sz val="10"/>
            <color indexed="81"/>
            <rFont val="Arial"/>
            <family val="2"/>
          </rPr>
          <t xml:space="preserve">Bei Damwild und Rotwild muss Weide 100 % angegeben werden. </t>
        </r>
      </text>
    </comment>
    <comment ref="E64" authorId="0" shapeId="0">
      <text>
        <r>
          <rPr>
            <sz val="10"/>
            <color indexed="81"/>
            <rFont val="Arial"/>
            <family val="2"/>
          </rPr>
          <t>mittlerer Jahresbestand = Anzahl Tiere * Haltungsdauer in Tagen / 365 Tage</t>
        </r>
      </text>
    </comment>
    <comment ref="M64" authorId="0" shapeId="0">
      <text>
        <r>
          <rPr>
            <sz val="10"/>
            <color indexed="81"/>
            <rFont val="Arial"/>
            <family val="2"/>
          </rPr>
          <t>Wird die Gülle/Jauche bzw. der Stallmist</t>
        </r>
        <r>
          <rPr>
            <b/>
            <sz val="10"/>
            <color indexed="81"/>
            <rFont val="Arial"/>
            <family val="2"/>
          </rPr>
          <t xml:space="preserve"> in der eigenen Biogasanlage </t>
        </r>
        <r>
          <rPr>
            <sz val="10"/>
            <color indexed="81"/>
            <rFont val="Arial"/>
            <family val="2"/>
          </rPr>
          <t>vergoren? 
Wenn ja, dann Haken setzen.</t>
        </r>
      </text>
    </comment>
    <comment ref="ET64" authorId="0" shapeId="0">
      <text>
        <r>
          <rPr>
            <b/>
            <sz val="9"/>
            <color indexed="81"/>
            <rFont val="Tahoma"/>
            <family val="2"/>
          </rPr>
          <t>887 = idealisierter Gasertrag</t>
        </r>
      </text>
    </comment>
    <comment ref="EU64" authorId="0" shapeId="0">
      <text>
        <r>
          <rPr>
            <b/>
            <sz val="9"/>
            <color indexed="81"/>
            <rFont val="Tahoma"/>
            <family val="2"/>
          </rPr>
          <t>15,44 % bei idealisertem Gasertrag</t>
        </r>
      </text>
    </comment>
    <comment ref="E65" authorId="0" shapeId="0">
      <text>
        <r>
          <rPr>
            <sz val="10"/>
            <color indexed="81"/>
            <rFont val="Tahoma"/>
            <family val="2"/>
          </rPr>
          <t>Angabe nur für Rinder und Schweine sinnvoll, da nur bei diesen Tierarten Gülle anfällt. 
Bei Geflügelbetrieben mit Trockenkot ist die Anzahl der Tiere bei Gülle anzugeben. Der Anfall wird bei Stallmist angezeigt.
Bei allen anderen Tierarten ist nur "Stallmist" möglich.</t>
        </r>
      </text>
    </comment>
    <comment ref="Z65" authorId="0" shapeId="0">
      <text>
        <r>
          <rPr>
            <sz val="9"/>
            <color indexed="81"/>
            <rFont val="Tahoma"/>
            <family val="2"/>
          </rPr>
          <t>Damit Geflügel immer mit Mist gerechnet werden</t>
        </r>
      </text>
    </comment>
    <comment ref="G66" authorId="0" shapeId="0">
      <text>
        <r>
          <rPr>
            <sz val="10"/>
            <color indexed="81"/>
            <rFont val="Arial"/>
            <family val="2"/>
          </rPr>
          <t>Bei Anbindehaltung kann mit einer geringen und bei Tiefstall mit einer hohen Einstreumenge gerechnet werden. 
Die Einstreumenge muss bei einer Kontrolle nicht belegt werden.
Einstreumenge gering = 3 - 4 kg Stroh, mittel = 6 - 8 kg Stroh, 
hoch &gt;11 kg Stroh/ GV und Tag</t>
        </r>
      </text>
    </comment>
    <comment ref="H66" authorId="0" shapeId="0">
      <text>
        <r>
          <rPr>
            <sz val="10"/>
            <color indexed="81"/>
            <rFont val="Arial"/>
            <family val="2"/>
          </rPr>
          <t>Weide zwischen 01.04. und 30.09. in %.
Beipiel: 30 % bedeutet, dass in 30 % der Stunden die Tiere auf der Weide stehen und 70 % im Stall.</t>
        </r>
        <r>
          <rPr>
            <sz val="9"/>
            <color indexed="81"/>
            <rFont val="Tahoma"/>
            <family val="2"/>
          </rPr>
          <t xml:space="preserve">
</t>
        </r>
      </text>
    </comment>
    <comment ref="I66" authorId="0" shapeId="0">
      <text>
        <r>
          <rPr>
            <sz val="10"/>
            <color indexed="81"/>
            <rFont val="Arial"/>
            <family val="2"/>
          </rPr>
          <t>Weide zwischen 01.10. und 31.03. in %.
Beispiel: 30 % bedeutet, dass in 30 % der Stunden die Tiere auf der Weide stehen und 70 % im Stall.
(Es ist das Kalenderjahr zu berücksichtigen 01.01.24 - 31.03.24 und 01.10.24 - 31.12.24)</t>
        </r>
      </text>
    </comment>
    <comment ref="A102" authorId="3" shapeId="0">
      <text>
        <r>
          <rPr>
            <sz val="10"/>
            <color indexed="81"/>
            <rFont val="Arial"/>
            <family val="2"/>
          </rPr>
          <t>Sollen unterschiedliche Weideintensitäten getrennt berechnet werden, kann dazu das Lagerraumprogramm Tiere verwendet werden.</t>
        </r>
      </text>
    </comment>
    <comment ref="A103" authorId="3" shapeId="0">
      <text>
        <r>
          <rPr>
            <sz val="10"/>
            <color indexed="81"/>
            <rFont val="Arial"/>
            <family val="2"/>
          </rPr>
          <t>Es sind die nach DüV zulässigen gasförmigen Verluste berücksichtigt.</t>
        </r>
      </text>
    </comment>
    <comment ref="AG109" authorId="0" shapeId="0">
      <text>
        <r>
          <rPr>
            <b/>
            <sz val="9"/>
            <color indexed="81"/>
            <rFont val="Tahoma"/>
            <family val="2"/>
          </rPr>
          <t>15,44 % Gaserzeugung aus Wasser</t>
        </r>
      </text>
    </comment>
    <comment ref="D111" authorId="3" shapeId="0">
      <text>
        <r>
          <rPr>
            <sz val="10"/>
            <color indexed="81"/>
            <rFont val="Arial"/>
            <family val="2"/>
          </rPr>
          <t>Flüssige Wirtschaftsdünger (≤ 15 % TS) werden in m³, feste Wirtschaftsdünger 
(&gt; 15 % TS) in t angegeben.</t>
        </r>
      </text>
    </comment>
    <comment ref="AD111" authorId="0" shapeId="0">
      <text>
        <r>
          <rPr>
            <b/>
            <sz val="9"/>
            <color indexed="81"/>
            <rFont val="Tahoma"/>
            <family val="2"/>
          </rPr>
          <t>887 = idealisierter Gasertrag</t>
        </r>
        <r>
          <rPr>
            <sz val="9"/>
            <color indexed="81"/>
            <rFont val="Tahoma"/>
            <family val="2"/>
          </rPr>
          <t xml:space="preserve">
</t>
        </r>
      </text>
    </comment>
    <comment ref="AE111" authorId="0" shapeId="0">
      <text>
        <r>
          <rPr>
            <b/>
            <sz val="9"/>
            <color indexed="81"/>
            <rFont val="Tahoma"/>
            <family val="2"/>
          </rPr>
          <t xml:space="preserve">15,44 % bei idealisertem Gasertrag
</t>
        </r>
      </text>
    </comment>
    <comment ref="D112" authorId="0" shapeId="0">
      <text>
        <r>
          <rPr>
            <sz val="10"/>
            <color indexed="81"/>
            <rFont val="Arial"/>
            <family val="2"/>
          </rPr>
          <t>Bei Grünland in der Regel TM.</t>
        </r>
      </text>
    </comment>
    <comment ref="A134" authorId="6" shapeId="0">
      <text>
        <r>
          <rPr>
            <sz val="10"/>
            <color indexed="81"/>
            <rFont val="Arial"/>
            <family val="2"/>
          </rPr>
          <t>Bei Verwendung eigener Daten sind diese durch Untersuchungen zu belegen. Dabei ist die Probenahme zum Erntezeitpunkt entscheidend. 
Des Weiteren sind diese Werte in allen weiteren Berechnungen des Düngerechts zu verwenden (z .B. Düngebedarfsermittlung).</t>
        </r>
      </text>
    </comment>
    <comment ref="AW134" authorId="3" shapeId="0">
      <text>
        <r>
          <rPr>
            <b/>
            <sz val="9"/>
            <color indexed="81"/>
            <rFont val="Segoe UI"/>
            <family val="2"/>
          </rPr>
          <t>Alte Zielzelle tier. Herkunft</t>
        </r>
      </text>
    </comment>
    <comment ref="E135" authorId="3" shapeId="0">
      <text>
        <r>
          <rPr>
            <sz val="10"/>
            <color indexed="81"/>
            <rFont val="Arial"/>
            <family val="2"/>
          </rPr>
          <t>Flüssige Wirtschaftsdünger (≤ 15 % TS) werden in m³, feste Wirtschaftsdünger 
(&gt; 15 % TS) in t angegeben.</t>
        </r>
      </text>
    </comment>
    <comment ref="E136" authorId="0" shapeId="0">
      <text>
        <r>
          <rPr>
            <sz val="10"/>
            <color indexed="81"/>
            <rFont val="Arial"/>
            <family val="2"/>
          </rPr>
          <t>Bei Grünland in der Regel TM.</t>
        </r>
      </text>
    </comment>
    <comment ref="A164" authorId="0" shapeId="0">
      <text>
        <r>
          <rPr>
            <sz val="10"/>
            <color indexed="81"/>
            <rFont val="Arial"/>
            <family val="2"/>
          </rPr>
          <t xml:space="preserve">Bei </t>
        </r>
        <r>
          <rPr>
            <b/>
            <sz val="10"/>
            <color indexed="81"/>
            <rFont val="Arial"/>
            <family val="2"/>
          </rPr>
          <t>offenen Gülle-, Gärrest- und Jauchebehältern</t>
        </r>
        <r>
          <rPr>
            <sz val="10"/>
            <color indexed="81"/>
            <rFont val="Arial"/>
            <family val="2"/>
          </rPr>
          <t xml:space="preserve"> (nicht abgedeckte Lager) werden höhere Verdunstungsraten (30 %) angesetzt als bei abgedeckten Behältern. Deshalb müssen diese Flächen separat erfasst werden.</t>
        </r>
      </text>
    </comment>
    <comment ref="A165" authorId="0" shapeId="0">
      <text>
        <r>
          <rPr>
            <b/>
            <sz val="10"/>
            <color indexed="81"/>
            <rFont val="Arial"/>
            <family val="2"/>
          </rPr>
          <t>Verunreinigtes Niederschlagswasser</t>
        </r>
        <r>
          <rPr>
            <sz val="10"/>
            <color indexed="81"/>
            <rFont val="Arial"/>
            <family val="2"/>
          </rPr>
          <t xml:space="preserve"> von nicht nass gereinigten Siloflächen und Ladeflächen muss separat erfasst werden.
Die Menge darf zusammen mit dem Gärsaft nur 10 % der Gesamtlagermenge betragen. 
Bei höherem Anteil sind gesonderte Anforderungen an den Güllebehälter notwendig. 
Bei der Mengenberechnung wird eine  Verdunstungsrate von 15 % berücksichtigt.</t>
        </r>
      </text>
    </comment>
    <comment ref="A166" authorId="0" shapeId="0">
      <text>
        <r>
          <rPr>
            <sz val="10"/>
            <color indexed="81"/>
            <rFont val="Arial"/>
            <family val="2"/>
          </rPr>
          <t xml:space="preserve">Als </t>
        </r>
        <r>
          <rPr>
            <b/>
            <sz val="10"/>
            <color indexed="81"/>
            <rFont val="Arial"/>
            <family val="2"/>
          </rPr>
          <t xml:space="preserve">sauberes Wasser </t>
        </r>
        <r>
          <rPr>
            <sz val="10"/>
            <color indexed="81"/>
            <rFont val="Arial"/>
            <family val="2"/>
          </rPr>
          <t xml:space="preserve">sind folgende Einleitungen zu berücksichtigen:
- nass gereinigte Siloflächen
- mit Planen abgedeckte Siloflächen
- abgedeckte Gülle-, Gärrest- und Jauchelager
- alle Stallmistlager.
Bei der Mengenberechnung wird eine  Verdunstungsrate von 15 % berücksichtigt. </t>
        </r>
      </text>
    </comment>
    <comment ref="A167" authorId="3" shapeId="0">
      <text>
        <r>
          <rPr>
            <sz val="10"/>
            <color indexed="81"/>
            <rFont val="Arial"/>
            <family val="2"/>
          </rPr>
          <t>Der Anfall von 50 m³ Hausabwässern pro Person und Jahr benötigt eine Mindestlagerdauer von 4 Monaten. Damit müssen 16,5 m³ Mindestlagerkapazität bereitgestellt werden. Um dies im Programm, bezogen auf 6 Monate abzubilden, ergibt sich ein Jahresanfall von 33 m³.</t>
        </r>
      </text>
    </comment>
    <comment ref="A169" authorId="3" shapeId="0">
      <text>
        <r>
          <rPr>
            <sz val="10"/>
            <color indexed="81"/>
            <rFont val="Arial"/>
            <family val="2"/>
          </rPr>
          <t>Waschwasser aus z. B. Stall oder Milchkammer</t>
        </r>
        <r>
          <rPr>
            <sz val="10"/>
            <color indexed="81"/>
            <rFont val="Segoe UI"/>
            <family val="2"/>
          </rPr>
          <t>.</t>
        </r>
      </text>
    </comment>
    <comment ref="A170" authorId="3" shapeId="0">
      <text>
        <r>
          <rPr>
            <sz val="10"/>
            <color indexed="81"/>
            <rFont val="Arial"/>
            <family val="2"/>
          </rPr>
          <t>Waschwasser aus z. B. Stall oder Milchkammer.</t>
        </r>
      </text>
    </comment>
    <comment ref="U177" authorId="3" shapeId="0">
      <text>
        <r>
          <rPr>
            <b/>
            <sz val="9"/>
            <color indexed="81"/>
            <rFont val="Segoe UI"/>
            <family val="2"/>
          </rPr>
          <t>1 Liter Zündöl = 9,0816 kWh
1 kg Zündöl = 10,32 kWh</t>
        </r>
      </text>
    </comment>
    <comment ref="G178" authorId="7" shapeId="0">
      <text>
        <r>
          <rPr>
            <sz val="10"/>
            <color indexed="81"/>
            <rFont val="Arial"/>
            <family val="2"/>
          </rPr>
          <t>vorgeschlagener</t>
        </r>
        <r>
          <rPr>
            <b/>
            <sz val="10"/>
            <color indexed="81"/>
            <rFont val="Arial"/>
            <family val="2"/>
          </rPr>
          <t xml:space="preserve"> Mittelwert: </t>
        </r>
        <r>
          <rPr>
            <sz val="10"/>
            <color indexed="81"/>
            <rFont val="Arial"/>
            <family val="2"/>
          </rPr>
          <t>38 %</t>
        </r>
        <r>
          <rPr>
            <b/>
            <sz val="10"/>
            <color indexed="81"/>
            <rFont val="Arial"/>
            <family val="2"/>
          </rPr>
          <t xml:space="preserve">
Möglicher Angabebereich: </t>
        </r>
        <r>
          <rPr>
            <sz val="10"/>
            <color indexed="81"/>
            <rFont val="Arial"/>
            <family val="2"/>
          </rPr>
          <t>30 - 40 %
(in begründeten Ausnahmen auch Angaben bis 44 % möglich)</t>
        </r>
      </text>
    </comment>
    <comment ref="I206" authorId="1" shapeId="0">
      <text>
        <r>
          <rPr>
            <sz val="10"/>
            <color indexed="81"/>
            <rFont val="Arial"/>
            <family val="2"/>
          </rPr>
          <t xml:space="preserve">Diese Werte werden in der Düngebedarfsermittlung bei der Anlage eines Düngers mit eigenen Werten benötigt (Anlage 5 der DüV 2020). </t>
        </r>
      </text>
    </comment>
    <comment ref="A227" authorId="0" shapeId="0">
      <text>
        <r>
          <rPr>
            <sz val="10"/>
            <color indexed="81"/>
            <rFont val="Arial"/>
            <family val="2"/>
          </rPr>
          <t>Ändern sich der Tierbestand bzw. Substrateinsatz um ≤ 15 %, dürfen diese Werte verwendet werden:
- für die Düngebedarfsermittlung (auch für rote Flächen). Dieses berechnete Ergebnis ist gleich mit einer Untersuchung im Labor zu sehen.
- für die Deklaration bei Zu- und Abgängen von Gärrest, Gülle, Jauche und Mist
  (auch für die Aufzeichnungen nach Verbringungsverordnung).
Zur Deklaration abgegebener Wirtschaftsdünger kann das Tabellenblatt "Abgabebeleg" verwendet werden. 
Bei Verwendung der berechneten Nährstoffgehalte zu den oben genannten Zwecken ist die Berechnung aufzubewahren und ggf. bei einer Kontrolle vorzulegen.
Die Aufteilung der Nährstoffe in die feste und flüssige Phase der Separation wird nach Erfahrungswerten der LfL berechnet. Wird ein abweichender Nährstoffgehalt erwartet, kann/sollte eine Laboruntersuchung herangezogen werden.</t>
        </r>
      </text>
    </comment>
    <comment ref="D230" authorId="0" shapeId="0">
      <text>
        <r>
          <rPr>
            <sz val="10"/>
            <color indexed="81"/>
            <rFont val="Arial"/>
            <family val="2"/>
          </rPr>
          <t xml:space="preserve">TS in % aus der Untersuchung eintragen.
</t>
        </r>
      </text>
    </comment>
    <comment ref="H230" authorId="4" shapeId="0">
      <text>
        <r>
          <rPr>
            <sz val="10"/>
            <color indexed="81"/>
            <rFont val="Arial"/>
            <family val="2"/>
          </rPr>
          <t>TS in % aus der Untersuchung eintragen. In der Regel liegt der TS-Gehalt zwischen 20 und 30 %.</t>
        </r>
      </text>
    </comment>
    <comment ref="E240" authorId="3" shapeId="0">
      <text>
        <r>
          <rPr>
            <sz val="10"/>
            <color indexed="81"/>
            <rFont val="Arial"/>
            <family val="2"/>
          </rPr>
          <t>Die Wassereinleitung im Jahr wird ausschließlich zum Biogasgärrest gerechnet.</t>
        </r>
      </text>
    </comment>
    <comment ref="A253" authorId="0" shapeId="0">
      <text>
        <r>
          <rPr>
            <sz val="10"/>
            <color indexed="81"/>
            <rFont val="Tahoma"/>
            <family val="2"/>
          </rPr>
          <t>In der Spalte "Fermenter" ist anzugeben:
Fermenter = 
 - Gärbehälter der mit Substrat befüllt und
 - Behälter (auch Teilmengen) die nie entleert werden 
    (z.B. Nachgärer oder 2. Fermenter) 
Nachgärer: Einzelbetrieblich muss sowohl aus technischer und genehmigungsrechtlicher als auch aus Sicht weiterer fachrechtlicher Belange (z.B. Wasserrecht) geprüft werden, ob eine Absenkung des Nachgärers möglich oder zulässig ist. 
Auf Gefahren beim Absenken des Nachgärers sein hingewiesen (z.B. UEG).
Berechnungsbeispiel siehe Tabellenblatt "Anrechnung Nachgärer".</t>
        </r>
      </text>
    </comment>
    <comment ref="C255" authorId="0" shapeId="0">
      <text>
        <r>
          <rPr>
            <sz val="10"/>
            <color indexed="81"/>
            <rFont val="Arial"/>
            <family val="2"/>
          </rPr>
          <t>Es sind alle Fermenter (Nächgärer) anzugeben:
Fermenter = 
 - Gärbehälter, der mit Substrat befüllt und
 - Behälter (auch Teilmengen), die nie entleert werden 
    (z. B. Nachgärer oder 2. Fermenter) 
Nachgärer: Einzelbetrieblich muss sowohl aus technischer und genehmigungsrechtlicher, als auch aus Sicht weiterer fachrechtlicher Belange (z. B. Wasserrecht, StörfallVO) geprüft werden, ob eine Absenkung des Nachgärers möglich oder zulässig ist. 
Auf Gefahren beim Absenken des Nachgärers sei hingewiesen 
(z. B. UEG).
Berechnungsbeispiel siehe Tabellenblatt "Anrechnung Nachgärer".</t>
        </r>
      </text>
    </comment>
    <comment ref="C264" authorId="3" shapeId="0">
      <text>
        <r>
          <rPr>
            <sz val="10"/>
            <color indexed="81"/>
            <rFont val="Arial"/>
            <family val="2"/>
          </rPr>
          <t>Das Berechnungsprogramm ist nur für Flüssigverfahren geeignet.</t>
        </r>
      </text>
    </comment>
    <comment ref="A270" authorId="0" shapeId="0">
      <text>
        <r>
          <rPr>
            <sz val="10"/>
            <color indexed="81"/>
            <rFont val="Arial"/>
            <family val="2"/>
          </rPr>
          <t>Güllekeller und Güllekanäle können auf das Fassungsvermögen angerechnet werden, wenn die Anforderungen nach Anlagenverordnung erfüllt  sind.</t>
        </r>
      </text>
    </comment>
    <comment ref="A276" authorId="8" shapeId="0">
      <text>
        <r>
          <rPr>
            <sz val="10"/>
            <color indexed="81"/>
            <rFont val="Arial"/>
            <family val="2"/>
          </rPr>
          <t xml:space="preserve">Bei </t>
        </r>
        <r>
          <rPr>
            <b/>
            <sz val="10"/>
            <color indexed="81"/>
            <rFont val="Arial"/>
            <family val="2"/>
          </rPr>
          <t>Verpachtung</t>
        </r>
        <r>
          <rPr>
            <sz val="10"/>
            <color indexed="81"/>
            <rFont val="Arial"/>
            <family val="2"/>
          </rPr>
          <t xml:space="preserve"> von Lagerraum, muss die Zahl mit einem </t>
        </r>
        <r>
          <rPr>
            <b/>
            <sz val="10"/>
            <color indexed="81"/>
            <rFont val="Arial"/>
            <family val="2"/>
          </rPr>
          <t>negativen Vorzeichen</t>
        </r>
        <r>
          <rPr>
            <sz val="10"/>
            <color indexed="81"/>
            <rFont val="Arial"/>
            <family val="2"/>
          </rPr>
          <t xml:space="preserve"> eingegeben werden.</t>
        </r>
      </text>
    </comment>
    <comment ref="X290" authorId="0" shapeId="0">
      <text>
        <r>
          <rPr>
            <b/>
            <sz val="9"/>
            <color indexed="81"/>
            <rFont val="Tahoma"/>
            <family val="2"/>
          </rPr>
          <t xml:space="preserve">Fläche Rinder Grünland
</t>
        </r>
      </text>
    </comment>
    <comment ref="A292" authorId="0" shapeId="0">
      <text>
        <r>
          <rPr>
            <sz val="10"/>
            <color indexed="81"/>
            <rFont val="Arial"/>
            <family val="2"/>
          </rPr>
          <t>Wenn der Fermenter kleiner ist als die Menge, die aufgrund der Mindestverweilzeit notwendig ist, wird die Menge, die aus der Mindesverweilzeit berechnet ist, als Fermentergröße verwendet.
Nachgärer: Einzelbetrieblich muss sowohl aus technischer und genehmigungsrechtlicher, als auch aus Sicht weiterer fachrechtlicher Belange (z. B. Wasserrecht, StörfallVO) geprüft werden, ob eine Absenkung des Nachgärers möglich oder zulässig ist. 
Auf Gefahren beim Absenken des Nachgärers sei hingewiesen (z. B. UEG).
Berechnungsbeispiel siehe Tabellenblatt "Anrechnung Nachgärer"</t>
        </r>
      </text>
    </comment>
    <comment ref="P294" authorId="8" shapeId="0">
      <text>
        <r>
          <rPr>
            <b/>
            <sz val="9"/>
            <color indexed="81"/>
            <rFont val="Tahoma"/>
            <family val="2"/>
          </rPr>
          <t>Wenn der Anteil vom Gärsaft und verunreinigtem Niederschlagswasser über 10 % des Inhaltes der Güllebehälter beträgt, muss der Behälter beschichtet sein oder eine bestimmte Betonqualität haben.</t>
        </r>
      </text>
    </comment>
    <comment ref="A304" authorId="1" shapeId="0">
      <text>
        <r>
          <rPr>
            <sz val="10"/>
            <color indexed="81"/>
            <rFont val="Arial"/>
            <family val="2"/>
          </rPr>
          <t>Es muss auch eigen verwertete(r) Gülle/Mist/BGR angegeben werden. 
Weitere Zeilen im Tabellenblatt "Abgabeliste". Summe(n) müssen in diese Tabelle übertragen werden.</t>
        </r>
      </text>
    </comment>
    <comment ref="D306" authorId="1" shapeId="0">
      <text>
        <r>
          <rPr>
            <sz val="10"/>
            <color indexed="81"/>
            <rFont val="Arial"/>
            <family val="2"/>
          </rPr>
          <t>BGR = Biogasgärrest</t>
        </r>
      </text>
    </comment>
    <comment ref="E306" authorId="0" shapeId="0">
      <text>
        <r>
          <rPr>
            <b/>
            <sz val="10"/>
            <color indexed="81"/>
            <rFont val="Arial"/>
            <family val="2"/>
          </rPr>
          <t xml:space="preserve">Ankreuzen, wenn Abgabe: </t>
        </r>
        <r>
          <rPr>
            <sz val="10"/>
            <color indexed="81"/>
            <rFont val="Arial"/>
            <family val="2"/>
          </rPr>
          <t xml:space="preserve">
 - an anderen Betriebe 
 - an die zusätzlichen Ausbringflächen 
Bei Verwertung im eigenen Betrieb nicht ankreuzen!</t>
        </r>
      </text>
    </comment>
    <comment ref="F307" authorId="3" shapeId="0">
      <text>
        <r>
          <rPr>
            <sz val="10"/>
            <color indexed="81"/>
            <rFont val="Arial"/>
            <family val="2"/>
          </rPr>
          <t>Flüssige Wirtschaftsdünger (≤ 15 % TS) werden in m³, feste Wirtschaftsdünger 
(&gt; 15 % TS) in t angegeben.</t>
        </r>
      </text>
    </comment>
    <comment ref="A344" authorId="5" shapeId="0">
      <text>
        <r>
          <rPr>
            <b/>
            <sz val="10"/>
            <color indexed="81"/>
            <rFont val="Arial"/>
            <family val="2"/>
          </rPr>
          <t xml:space="preserve">Wird die Fehlermeldung "&gt;170 kg" angezeigt, so ist die 170 kg N/ ha Grenze im Betrieb überschritten. </t>
        </r>
        <r>
          <rPr>
            <sz val="10"/>
            <color indexed="81"/>
            <rFont val="Arial"/>
            <family val="2"/>
          </rPr>
          <t>Das heißt, die Verwertung des org. Düngers im eigenen Betrieb ist zu hoch. Es muss mehr org. Dünger abgegeben werden.</t>
        </r>
      </text>
    </comment>
    <comment ref="A358" authorId="3" shapeId="0">
      <text>
        <r>
          <rPr>
            <sz val="10"/>
            <color indexed="81"/>
            <rFont val="Arial"/>
            <family val="2"/>
          </rPr>
          <t>Bei der durchschnittlichen organischen Düngung pro Jahr werden alle organischen Dünger abzüglich Stall-/ Lagerverluste (einschließlich Weide), die im Betrieb verbleiben, auf die LF abzüglich der Flächen ohne Nutzung und ohne Düngung sowie abzüglich der Flächen mit Verbot der org. Düngung, verteilt. 
Diese Werte können für die Berechnung der P</t>
        </r>
        <r>
          <rPr>
            <vertAlign val="subscript"/>
            <sz val="10"/>
            <color indexed="81"/>
            <rFont val="Arial"/>
            <family val="2"/>
          </rPr>
          <t>2</t>
        </r>
        <r>
          <rPr>
            <sz val="10"/>
            <color indexed="81"/>
            <rFont val="Arial"/>
            <family val="2"/>
          </rPr>
          <t>O</t>
        </r>
        <r>
          <rPr>
            <vertAlign val="subscript"/>
            <sz val="10"/>
            <color indexed="81"/>
            <rFont val="Arial"/>
            <family val="2"/>
          </rPr>
          <t>5</t>
        </r>
        <r>
          <rPr>
            <sz val="10"/>
            <color indexed="81"/>
            <rFont val="Arial"/>
            <family val="2"/>
          </rPr>
          <t>-/K</t>
        </r>
        <r>
          <rPr>
            <vertAlign val="subscript"/>
            <sz val="10"/>
            <color indexed="81"/>
            <rFont val="Arial"/>
            <family val="2"/>
          </rPr>
          <t>2</t>
        </r>
        <r>
          <rPr>
            <sz val="10"/>
            <color indexed="81"/>
            <rFont val="Arial"/>
            <family val="2"/>
          </rPr>
          <t>O- Schaukeldüngung und als Anhaltspunkt zum Abgleich mit den ausgebrachten Nährstoffen der org. Düngung in der Düngebedarfsermittlung verwendet werden (LfL Düngebedarf Online Ausdruck: S. 2 Gesamte org. Düngung (Differenz Weide beachten) / LfL Düngebedarf Excel: Überblick - org. Düngung je ha).</t>
        </r>
      </text>
    </comment>
    <comment ref="A359" authorId="3" shapeId="0">
      <text>
        <r>
          <rPr>
            <sz val="10"/>
            <color indexed="81"/>
            <rFont val="Arial"/>
            <family val="2"/>
          </rPr>
          <t>Im Unterschied zum Berechnungsergebnis der 170 kg N/ ha Grenze sind bei eigenerzeugtem Mist auch die Nährstoffe aus dem Einstreumaterial enthalten.</t>
        </r>
      </text>
    </comment>
  </commentList>
</comments>
</file>

<file path=xl/comments2.xml><?xml version="1.0" encoding="utf-8"?>
<comments xmlns="http://schemas.openxmlformats.org/spreadsheetml/2006/main">
  <authors>
    <author>Hierlmeier, Michael (LfL)</author>
    <author>Schmücker, Rebekka (LfL)</author>
    <author>Offenberger, Konrad (LfL)</author>
    <author>Michaelis, Katja (LfL)</author>
    <author>Karrer, Johannes (LfL)</author>
  </authors>
  <commentList>
    <comment ref="A1" authorId="0" shapeId="0">
      <text>
        <r>
          <rPr>
            <sz val="10"/>
            <color indexed="81"/>
            <rFont val="Arial"/>
            <family val="2"/>
          </rPr>
          <t>Abweichende Werte müssen bei einer Kontrolle belegt werden.
Es dürfen nur Zahlen verwendet werden, die die landeszuständige Stelle genehmigt hat.</t>
        </r>
      </text>
    </comment>
    <comment ref="J4" authorId="1" shapeId="0">
      <text>
        <r>
          <rPr>
            <sz val="10"/>
            <color indexed="81"/>
            <rFont val="Arial"/>
            <family val="2"/>
          </rPr>
          <t xml:space="preserve">Eingabemöglichkeit:
</t>
        </r>
        <r>
          <rPr>
            <b/>
            <sz val="10"/>
            <color indexed="81"/>
            <rFont val="Arial"/>
            <family val="2"/>
          </rPr>
          <t>Mastschwein: 20 - 150 kg LM
Ferkel: 8 - 35 kg LM</t>
        </r>
      </text>
    </comment>
    <comment ref="L4" authorId="1" shapeId="0">
      <text>
        <r>
          <rPr>
            <sz val="10"/>
            <color indexed="81"/>
            <rFont val="Arial"/>
            <family val="2"/>
          </rPr>
          <t xml:space="preserve">Eingabemöglichkeit:  </t>
        </r>
        <r>
          <rPr>
            <b/>
            <sz val="10"/>
            <color indexed="81"/>
            <rFont val="Arial"/>
            <family val="2"/>
          </rPr>
          <t>Mastschwein: 20 - 150 kg LM
Ferkel: 8 - 35 kg LM</t>
        </r>
      </text>
    </comment>
    <comment ref="N4" authorId="1" shapeId="0">
      <text>
        <r>
          <rPr>
            <sz val="10"/>
            <color indexed="81"/>
            <rFont val="Arial"/>
            <family val="2"/>
          </rPr>
          <t>Die stufenlose Berechnung erfolgt für Mastschweine zwischen 700 und 950 g täglicher Zunahme. Für Ferkel erfolgt die Berechnung zwischen 450 und 500 g täglicher Zunahme (im Mittel von 8 - 28 kg).</t>
        </r>
      </text>
    </comment>
    <comment ref="AD5" authorId="1" shapeId="0">
      <text>
        <r>
          <rPr>
            <b/>
            <sz val="9"/>
            <color indexed="81"/>
            <rFont val="Segoe UI"/>
            <family val="2"/>
          </rPr>
          <t>Prüfung, ob Daten verarbeitet werden können</t>
        </r>
      </text>
    </comment>
    <comment ref="J10" authorId="1" shapeId="0">
      <text>
        <r>
          <rPr>
            <sz val="10"/>
            <color indexed="81"/>
            <rFont val="Arial"/>
            <family val="2"/>
          </rPr>
          <t>Ferkelverluste bis 8 kg LM bleiben ohne Berücksichtigung. Verluste ab 8 kg LM können berücksichtigt werden.</t>
        </r>
      </text>
    </comment>
    <comment ref="L10" authorId="1" shapeId="0">
      <text>
        <r>
          <rPr>
            <sz val="10"/>
            <color indexed="81"/>
            <rFont val="Arial"/>
            <family val="2"/>
          </rPr>
          <t xml:space="preserve">Eingabemöglichkeit:
</t>
        </r>
        <r>
          <rPr>
            <b/>
            <sz val="10"/>
            <color indexed="81"/>
            <rFont val="Arial"/>
            <family val="2"/>
          </rPr>
          <t>8 - 35 kg LM</t>
        </r>
      </text>
    </comment>
    <comment ref="AD11" authorId="1" shapeId="0">
      <text>
        <r>
          <rPr>
            <b/>
            <sz val="9"/>
            <color indexed="81"/>
            <rFont val="Segoe UI"/>
            <family val="2"/>
          </rPr>
          <t>Prüfung, ob Daten verarbeitet werden können</t>
        </r>
      </text>
    </comment>
    <comment ref="C16" authorId="2" shapeId="0">
      <text>
        <r>
          <rPr>
            <sz val="10"/>
            <color indexed="81"/>
            <rFont val="Arial"/>
            <family val="2"/>
          </rPr>
          <t>Ist gleich je Tier und Jahr (365 Tage)</t>
        </r>
      </text>
    </comment>
    <comment ref="D17" authorId="2" shapeId="0">
      <text>
        <r>
          <rPr>
            <sz val="10"/>
            <color indexed="81"/>
            <rFont val="Arial"/>
            <family val="2"/>
          </rPr>
          <t>Nährstoffausscheidung</t>
        </r>
      </text>
    </comment>
    <comment ref="B18" authorId="1" shapeId="0">
      <text>
        <r>
          <rPr>
            <sz val="10"/>
            <color indexed="81"/>
            <rFont val="Arial"/>
            <family val="2"/>
          </rPr>
          <t xml:space="preserve">Eigene Werte finden Sie im Tabellenblatt "Nährstoffe und Lagerraum" bei der Auswahl Tierhaltung am </t>
        </r>
        <r>
          <rPr>
            <b/>
            <sz val="10"/>
            <color indexed="81"/>
            <rFont val="Arial"/>
            <family val="2"/>
          </rPr>
          <t>Ende des Dropdown-</t>
        </r>
        <r>
          <rPr>
            <sz val="10"/>
            <color indexed="81"/>
            <rFont val="Arial"/>
            <family val="2"/>
          </rPr>
          <t>Bereiches.
Eigene Zahlen müssen bei einer Kontrolle belegt werden. Es dürfen nur Zahlen verwendet werden, die die zuständige Stelle genehmigt hat.</t>
        </r>
      </text>
    </comment>
    <comment ref="G18" authorId="2" shapeId="0">
      <text>
        <r>
          <rPr>
            <sz val="10"/>
            <color indexed="81"/>
            <rFont val="Arial"/>
            <family val="2"/>
          </rPr>
          <t>Bei Geflügel ist der Anfall bei Mist anzugeben.</t>
        </r>
      </text>
    </comment>
    <comment ref="H18" authorId="2" shapeId="0">
      <text>
        <r>
          <rPr>
            <sz val="10"/>
            <color indexed="81"/>
            <rFont val="Arial"/>
            <family val="2"/>
          </rPr>
          <t xml:space="preserve">Jaucheanfall bei geringer Einstreumenge. Angaben zum Jaucheanfall dürfen nur bei Rindern und Schweinen erfolgen. </t>
        </r>
      </text>
    </comment>
    <comment ref="I18" authorId="1" shapeId="0">
      <text>
        <r>
          <rPr>
            <sz val="10"/>
            <color indexed="81"/>
            <rFont val="Arial"/>
            <family val="2"/>
          </rPr>
          <t>Die Unterscheidung in gering, mittel und hoch bezieht sich auf die eingesetzte Einstreumenge.</t>
        </r>
      </text>
    </comment>
    <comment ref="N18" authorId="1" shapeId="0">
      <text>
        <r>
          <rPr>
            <sz val="10"/>
            <color indexed="81"/>
            <rFont val="Arial"/>
            <family val="2"/>
          </rPr>
          <t>Die Unterscheidung in gering, mittel und hoch bezieht sich auf die eingesetzte Einstreumenge.</t>
        </r>
      </text>
    </comment>
    <comment ref="Q20" authorId="1" shapeId="0">
      <text>
        <r>
          <rPr>
            <sz val="10"/>
            <color indexed="81"/>
            <rFont val="Arial"/>
            <family val="2"/>
          </rPr>
          <t>in kg und Tag je mittleren Jahresbestand</t>
        </r>
      </text>
    </comment>
    <comment ref="G37" authorId="1" shapeId="0">
      <text>
        <r>
          <rPr>
            <sz val="10"/>
            <color indexed="81"/>
            <rFont val="Arial"/>
            <family val="2"/>
          </rPr>
          <t>Verhältnis kg Futter (FM, 88 % TS) zu kg Lebendgewicht</t>
        </r>
      </text>
    </comment>
    <comment ref="H38" authorId="1" shapeId="0">
      <text>
        <r>
          <rPr>
            <sz val="10"/>
            <color indexed="81"/>
            <rFont val="Arial"/>
            <family val="2"/>
          </rPr>
          <t>Hierbei handelt es sich um die durchschnittlichen Nährstoffgehalte, die im Mittel der gesamten Mastphase benötigt werden. Diese bewegen sich im Rahmen der nachfolgend angegebenden Nährstoffgehalte.</t>
        </r>
      </text>
    </comment>
    <comment ref="N38" authorId="1" shapeId="0">
      <text>
        <r>
          <rPr>
            <sz val="10"/>
            <color indexed="81"/>
            <rFont val="Arial"/>
            <family val="2"/>
          </rPr>
          <t>Hierbei handelt es sich um die durchschnittlichen Nährstoffgehalte, die im Mittel der gesamten Mastphase benötigt werden. Diese bewegen sich im Rahmen der nachfolgend angegebenden Nährstoffgehalte.</t>
        </r>
      </text>
    </comment>
    <comment ref="C39" authorId="1" shapeId="0">
      <text>
        <r>
          <rPr>
            <sz val="10"/>
            <color indexed="81"/>
            <rFont val="Arial"/>
            <family val="2"/>
          </rPr>
          <t>je mittleren Jahresbestand</t>
        </r>
      </text>
    </comment>
    <comment ref="AU50" authorId="3" shapeId="0">
      <text>
        <r>
          <rPr>
            <b/>
            <sz val="9"/>
            <color indexed="81"/>
            <rFont val="Segoe UI"/>
            <family val="2"/>
          </rPr>
          <t>Michaelis, Katja (LfL):</t>
        </r>
        <r>
          <rPr>
            <sz val="9"/>
            <color indexed="81"/>
            <rFont val="Segoe UI"/>
            <family val="2"/>
          </rPr>
          <t xml:space="preserve">
Gasausbeute und Methangehalt wird bei höheren Strohmengen nicht anteilig verändert (Antscheidung vom 30.09.2024, Of,Ks, Bj, De und Mk).</t>
        </r>
      </text>
    </comment>
    <comment ref="A61" authorId="3" shapeId="0">
      <text>
        <r>
          <rPr>
            <sz val="10"/>
            <color indexed="81"/>
            <rFont val="Arial"/>
            <family val="2"/>
          </rPr>
          <t>Eigene Zahlen müssen bei einer Kontrolle belegt werden.
Bei einer Veränderung des TS-Gehalts ohne weiterführende Untersuchungen müssen die Nährstoffgehalte auf den neuen TS-Gehalt umgerechnet werden.</t>
        </r>
      </text>
    </comment>
    <comment ref="AH67" authorId="4" shapeId="0">
      <text>
        <r>
          <rPr>
            <b/>
            <sz val="9"/>
            <color indexed="81"/>
            <rFont val="Segoe UI"/>
            <family val="2"/>
          </rPr>
          <t>Karrer, Johannes (LfL):</t>
        </r>
        <r>
          <rPr>
            <sz val="9"/>
            <color indexed="81"/>
            <rFont val="Segoe UI"/>
            <family val="2"/>
          </rPr>
          <t xml:space="preserve">
erst wenn das abw. Einstruem. Die berechnete Strohmenge übersteigt wird in der Gasausbeute die Gasausbeute des zusätzlichen menge verrechnet</t>
        </r>
      </text>
    </comment>
  </commentList>
</comments>
</file>

<file path=xl/comments3.xml><?xml version="1.0" encoding="utf-8"?>
<comments xmlns="http://schemas.openxmlformats.org/spreadsheetml/2006/main">
  <authors>
    <author>Schmücker, Rebekka (LfL)</author>
    <author>Offenberger, Konrad (LfL)</author>
  </authors>
  <commentList>
    <comment ref="A1" authorId="0" shapeId="0">
      <text>
        <r>
          <rPr>
            <sz val="10"/>
            <color indexed="81"/>
            <rFont val="Arial"/>
            <family val="2"/>
          </rPr>
          <t>Die Berechnung der Lagerhaltung ist nicht zwingend notwendig. Zur Plausibilisierung der Gesamtnährstoffe im Betrieb (vgl. Stoffstrombilanz) ist eine Berechnung zu empfehlen.
Das Programm eignet sich für Betriebe mit und ohne Fläche sowie mit und ohne Tiere</t>
        </r>
        <r>
          <rPr>
            <sz val="9"/>
            <color indexed="81"/>
            <rFont val="Segoe UI"/>
            <family val="2"/>
          </rPr>
          <t>.</t>
        </r>
      </text>
    </comment>
    <comment ref="HA1" authorId="0" shapeId="0">
      <text>
        <r>
          <rPr>
            <sz val="9"/>
            <color indexed="81"/>
            <rFont val="Segoe UI"/>
            <family val="2"/>
          </rPr>
          <t>Schwankung zwischen berechnetem Grobfutter und Kraftfutteranteilen</t>
        </r>
      </text>
    </comment>
    <comment ref="HC1" authorId="0" shapeId="0">
      <text>
        <r>
          <rPr>
            <sz val="9"/>
            <color indexed="81"/>
            <rFont val="Segoe UI"/>
            <family val="2"/>
          </rPr>
          <t>Tolerierte Schwankung zwischen berechnetem und akzepitertem Futterbedarf</t>
        </r>
      </text>
    </comment>
    <comment ref="GD2" authorId="0" shapeId="0">
      <text>
        <r>
          <rPr>
            <b/>
            <sz val="9"/>
            <color indexed="81"/>
            <rFont val="Segoe UI"/>
            <family val="2"/>
          </rPr>
          <t xml:space="preserve">Lager + Ernte + Zukauf - Einsatz Biogas
</t>
        </r>
      </text>
    </comment>
    <comment ref="GU3" authorId="0" shapeId="0">
      <text>
        <r>
          <rPr>
            <b/>
            <sz val="9"/>
            <color indexed="81"/>
            <rFont val="Segoe UI"/>
            <family val="2"/>
          </rPr>
          <t xml:space="preserve">Lager + Ernte + Zukauf (alles ohne Verkauf) - Einsatz in Biogas
</t>
        </r>
      </text>
    </comment>
    <comment ref="HD3" authorId="0" shapeId="0">
      <text>
        <r>
          <rPr>
            <b/>
            <sz val="9"/>
            <color indexed="81"/>
            <rFont val="Segoe UI"/>
            <family val="2"/>
          </rPr>
          <t xml:space="preserve">Bedarf, der durch verfügbare Substrate gedeckt werden muss
</t>
        </r>
      </text>
    </comment>
    <comment ref="HG3" authorId="0" shapeId="0">
      <text>
        <r>
          <rPr>
            <b/>
            <sz val="9"/>
            <color indexed="81"/>
            <rFont val="Segoe UI"/>
            <family val="2"/>
          </rPr>
          <t xml:space="preserve">Zukauf, Ernte, Lager - Biogas Tierfutter
</t>
        </r>
      </text>
    </comment>
    <comment ref="HK3" authorId="0" shapeId="0">
      <text>
        <r>
          <rPr>
            <b/>
            <sz val="9"/>
            <color indexed="81"/>
            <rFont val="Segoe UI"/>
            <family val="2"/>
          </rPr>
          <t>0=ja, kein Futter
1= ja, Grobfutter
2=ja, Kraftfutter
3=nein</t>
        </r>
      </text>
    </comment>
    <comment ref="GY4" authorId="0" shapeId="0">
      <text>
        <r>
          <rPr>
            <sz val="9"/>
            <color indexed="81"/>
            <rFont val="Segoe UI"/>
            <family val="2"/>
          </rPr>
          <t xml:space="preserve">N über Fütterung (wie angegeben)
</t>
        </r>
      </text>
    </comment>
    <comment ref="HE4" authorId="0" shapeId="0">
      <text>
        <r>
          <rPr>
            <sz val="9"/>
            <color indexed="81"/>
            <rFont val="Segoe UI"/>
            <family val="2"/>
          </rPr>
          <t xml:space="preserve">N über Fütterung (wie angegeben)
</t>
        </r>
      </text>
    </comment>
    <comment ref="AP6" authorId="0" shapeId="0">
      <text>
        <r>
          <rPr>
            <sz val="10"/>
            <color indexed="81"/>
            <rFont val="Arial"/>
            <family val="2"/>
          </rPr>
          <t>Die vorgeschlagene Futterration ist ausschließlich anhand des Stickstoffbedarfs berechnet.</t>
        </r>
      </text>
    </comment>
    <comment ref="GY6" authorId="0" shapeId="0">
      <text>
        <r>
          <rPr>
            <sz val="9"/>
            <color indexed="81"/>
            <rFont val="Segoe UI"/>
            <family val="2"/>
          </rPr>
          <t xml:space="preserve">N über Fütterung (wie angegeben)
</t>
        </r>
      </text>
    </comment>
    <comment ref="HE6" authorId="0" shapeId="0">
      <text>
        <r>
          <rPr>
            <sz val="9"/>
            <color indexed="81"/>
            <rFont val="Segoe UI"/>
            <family val="2"/>
          </rPr>
          <t xml:space="preserve">N über Fütterung (wie angegeben)
</t>
        </r>
      </text>
    </comment>
    <comment ref="I10" authorId="0" shapeId="0">
      <text>
        <r>
          <rPr>
            <sz val="10"/>
            <color indexed="81"/>
            <rFont val="Arial"/>
            <family val="2"/>
          </rPr>
          <t>Hier ist der Lagerbestand vom 1. Januar zu erfassen.</t>
        </r>
      </text>
    </comment>
    <comment ref="Q10" authorId="1" shapeId="0">
      <text>
        <r>
          <rPr>
            <sz val="10"/>
            <color indexed="81"/>
            <rFont val="Arial"/>
            <family val="2"/>
          </rPr>
          <t xml:space="preserve">Verkauf mit </t>
        </r>
        <r>
          <rPr>
            <b/>
            <sz val="10"/>
            <color indexed="81"/>
            <rFont val="Arial"/>
            <family val="2"/>
          </rPr>
          <t>negativem Vorzeichen</t>
        </r>
        <r>
          <rPr>
            <sz val="10"/>
            <color indexed="81"/>
            <rFont val="Arial"/>
            <family val="2"/>
          </rPr>
          <t xml:space="preserve"> eingeben.
Ernteprodukte, die über den Haken in Spalte P bereits als verkauft angegeben wurden, sind hier nicht nochmal zu erfassen.</t>
        </r>
      </text>
    </comment>
    <comment ref="A11" authorId="0" shapeId="0">
      <text>
        <r>
          <rPr>
            <sz val="10"/>
            <color indexed="81"/>
            <rFont val="Arial"/>
            <family val="2"/>
          </rPr>
          <t>Die Lagerhaltung von Stroh (Getreide- oder Körnermaisstroh) nur erfassen, wenn dieses direkt als Einsatzstoff in die Biogasanlage aufgeführt wird. Es werden keine Strohmengen erfasst, die als Einstreu oder Tierfutter  dienen.</t>
        </r>
      </text>
    </comment>
    <comment ref="I11" authorId="0" shapeId="0">
      <text>
        <r>
          <rPr>
            <sz val="10"/>
            <color indexed="81"/>
            <rFont val="Arial"/>
            <family val="2"/>
          </rPr>
          <t xml:space="preserve">Ist der TS bekannt und abweichend von den Basisdaten, kann dieser hier eingeben werden.
</t>
        </r>
      </text>
    </comment>
    <comment ref="J11" authorId="0" shapeId="0">
      <text>
        <r>
          <rPr>
            <sz val="10"/>
            <color indexed="81"/>
            <rFont val="Arial"/>
            <family val="2"/>
          </rPr>
          <t>Frischmasse in t. Bei Grünland i.d.R. TM. Alternativ kann der TS angepasst werden.</t>
        </r>
      </text>
    </comment>
    <comment ref="K11" authorId="0" shapeId="0">
      <text>
        <r>
          <rPr>
            <sz val="10"/>
            <color indexed="81"/>
            <rFont val="Arial"/>
            <family val="2"/>
          </rPr>
          <t>Ist der TS-Gehalt bekannt und abweichend von den Basisdaten, kann dieser hier eingeben werden.</t>
        </r>
        <r>
          <rPr>
            <sz val="9"/>
            <color indexed="81"/>
            <rFont val="Segoe UI"/>
            <family val="2"/>
          </rPr>
          <t xml:space="preserve">
</t>
        </r>
      </text>
    </comment>
    <comment ref="M11" authorId="0" shapeId="0">
      <text>
        <r>
          <rPr>
            <sz val="10"/>
            <color indexed="81"/>
            <rFont val="Arial"/>
            <family val="2"/>
          </rPr>
          <t>Frischmasseertrag in dt/ha. Bei Grünland i.d.R. Trockenmasseertrag. Alternativ kann der TS angepasst werden.</t>
        </r>
      </text>
    </comment>
    <comment ref="P11" authorId="0" shapeId="0">
      <text>
        <r>
          <rPr>
            <sz val="10"/>
            <color indexed="81"/>
            <rFont val="Arial"/>
            <family val="2"/>
          </rPr>
          <t>Wird Verkauf ausgewählt, gilt die gesamte geerntete Ware als verkauft und wird nicht in den Lagerbestand eingerechnet. 
Werden nur Teile der Ernte verkauft, sind die entsprechenden Flächen auf zwei Zeilen aufzuteilen oder die Menge rechts mit einem negativen Vorzeichen als Verkauf eingegeben werden.</t>
        </r>
      </text>
    </comment>
    <comment ref="Q11" authorId="0" shapeId="0">
      <text>
        <r>
          <rPr>
            <sz val="10"/>
            <color indexed="81"/>
            <rFont val="Arial"/>
            <family val="2"/>
          </rPr>
          <t>Ist der TS bekannt und abweichend von den Basisdaten, kann dieser hier eingeben werden.</t>
        </r>
      </text>
    </comment>
    <comment ref="R11" authorId="0" shapeId="0">
      <text>
        <r>
          <rPr>
            <sz val="10"/>
            <color indexed="81"/>
            <rFont val="Arial"/>
            <family val="2"/>
          </rPr>
          <t>Frischmasse in t. Bei Grünland i.d.R. TM. Alternativ kann der TS angepasst werden.</t>
        </r>
      </text>
    </comment>
    <comment ref="CU12" authorId="0" shapeId="0">
      <text>
        <r>
          <rPr>
            <sz val="9"/>
            <color indexed="81"/>
            <rFont val="Segoe UI"/>
            <family val="2"/>
          </rPr>
          <t xml:space="preserve">wird mit unterschiedlichen TS im Eingang + Verkauf gerechnet? 1=ja = mit Basisdaten TS rechnen. 2 = nein = Summe rechnen
(im ersten Teil der Bedingung: in einer Zeile, im 2. Teil der Bedingung: wird über mehrere Zeilen das Gleiche eingetragen und mind. eines davon verkauft)
</t>
        </r>
      </text>
    </comment>
    <comment ref="CV12" authorId="0" shapeId="0">
      <text>
        <r>
          <rPr>
            <sz val="9"/>
            <color indexed="81"/>
            <rFont val="Segoe UI"/>
            <family val="2"/>
          </rPr>
          <t>Veränderte Formel bei eigene Werte (2. Block)</t>
        </r>
      </text>
    </comment>
    <comment ref="N13" authorId="0" shapeId="0">
      <text>
        <r>
          <rPr>
            <sz val="10"/>
            <color indexed="81"/>
            <rFont val="Arial"/>
            <family val="2"/>
          </rPr>
          <t>Bei Kulturen des mehrschnittigen Feldfutterbaus und mehrschnittigen Zweitfrüchten muss der Erntezeitraum zusätzlich angegeben werden. Geben Sie in nicht schraffierten Zellen den Monat als Zahl zwischen 1 (Januar) und 12 (Dezember) an.
Bei einmaliger Ernte der Kultur den Erntemonat eingeben. Wird die Kultur mehrfach geerntet, wird hier der Erntemonat der ersten Ernte ausgewählt.
Wird eine Kultur nicht in einem zusammenhängenden Zeitraum geerntet (z.B. Ackergras als Zweitfrucht 2023/24 im Frühjahr und Ackergras als Zweitfrucht 2024/25 im Herbst) sind die jeweiligen Ernteperioden einzeln einzugeben.</t>
        </r>
      </text>
    </comment>
    <comment ref="O13" authorId="0" shapeId="0">
      <text>
        <r>
          <rPr>
            <sz val="10"/>
            <color indexed="81"/>
            <rFont val="Arial"/>
            <family val="2"/>
          </rPr>
          <t>Geben Sie in nicht schraffierten Zellen den Monat als Zahl zwischen 1 (Januar) und 12 (Dezember) an.
Bei mehrfacher Nutzung einer Kultur (z. B. Grünland, mehrschnittiger Feldfutterbau) ist der erste und letzte Erntemonat einzugeben. Bei einmaliger Ernte ist diese Spalte frei zu lassen.</t>
        </r>
        <r>
          <rPr>
            <sz val="9"/>
            <color indexed="81"/>
            <rFont val="Segoe UI"/>
            <family val="2"/>
          </rPr>
          <t xml:space="preserve">
</t>
        </r>
      </text>
    </comment>
    <comment ref="S13" authorId="0" shapeId="0">
      <text>
        <r>
          <rPr>
            <sz val="10"/>
            <color indexed="81"/>
            <rFont val="Arial"/>
            <family val="2"/>
          </rPr>
          <t>Geben Sie den Monat als Zahl zwischen 1 (Januar) und 12 (Dezember) an.
Bei einmaligem Zukauf muss der Monat lediglich einmal angegeben werden. Findet ein regelmäßiger Zukauf statt, wird hier der erste Monat der Zukaufperiode ausgewählt.</t>
        </r>
      </text>
    </comment>
    <comment ref="T13" authorId="0" shapeId="0">
      <text>
        <r>
          <rPr>
            <sz val="10"/>
            <color indexed="81"/>
            <rFont val="Arial"/>
            <family val="2"/>
          </rPr>
          <t>Geben Sie den Monat als Zahl zwischen 1 (Januar) und 12 (Dezember) an. Bei regelmäßigem Zukauf muss der hier der letzte Monat der Zukaufperiode angegeben werden. Bei einmaligem Zukauf ist diese Spalte frei zu lassen.</t>
        </r>
      </text>
    </comment>
    <comment ref="CU13" authorId="0" shapeId="0">
      <text>
        <r>
          <rPr>
            <b/>
            <sz val="9"/>
            <color indexed="81"/>
            <rFont val="Segoe UI"/>
            <family val="2"/>
          </rPr>
          <t>Veränderte Formel bei Futtermittel</t>
        </r>
      </text>
    </comment>
    <comment ref="I40" authorId="0" shapeId="0">
      <text>
        <r>
          <rPr>
            <sz val="10"/>
            <color indexed="81"/>
            <rFont val="Arial"/>
            <family val="2"/>
          </rPr>
          <t>Hier ist der Lagerbestand vom 1. Januar zu erfassen.</t>
        </r>
      </text>
    </comment>
    <comment ref="Q40" authorId="1" shapeId="0">
      <text>
        <r>
          <rPr>
            <sz val="10"/>
            <color indexed="81"/>
            <rFont val="Arial"/>
            <family val="2"/>
          </rPr>
          <t xml:space="preserve">Verkauf mit </t>
        </r>
        <r>
          <rPr>
            <b/>
            <sz val="10"/>
            <color indexed="81"/>
            <rFont val="Arial"/>
            <family val="2"/>
          </rPr>
          <t>negativem Vorzeichen</t>
        </r>
        <r>
          <rPr>
            <sz val="10"/>
            <color indexed="81"/>
            <rFont val="Arial"/>
            <family val="2"/>
          </rPr>
          <t xml:space="preserve"> eingeben.
Ernteprodukte, die über den Haken in Spalte P bereits als verkauft angegeben wurden, sind hier nicht nochmal zu erfassen.</t>
        </r>
      </text>
    </comment>
    <comment ref="A41" authorId="0" shapeId="0">
      <text>
        <r>
          <rPr>
            <sz val="10"/>
            <color indexed="81"/>
            <rFont val="Arial"/>
            <family val="2"/>
          </rPr>
          <t>Die Lagerhaltung von Stroh (Getreide- oder Körnermaisstroh) nur erfassen, wenn dieses direkt als Einsatzstoff in die Biogasanlage aufgeführt wird. Es werden keine Strohmengen erfasst, die als Einstreu oder Tierfutter dienen.</t>
        </r>
      </text>
    </comment>
    <comment ref="J41" authorId="0" shapeId="0">
      <text>
        <r>
          <rPr>
            <sz val="10"/>
            <color indexed="81"/>
            <rFont val="Arial"/>
            <family val="2"/>
          </rPr>
          <t>Frischmasse in t. Bei Grünland i.d.R. TM. Alternativ kann der TS angepasst werden.</t>
        </r>
      </text>
    </comment>
    <comment ref="M41" authorId="0" shapeId="0">
      <text>
        <r>
          <rPr>
            <sz val="10"/>
            <color indexed="81"/>
            <rFont val="Arial"/>
            <family val="2"/>
          </rPr>
          <t>Frischmasseertrag in dt/ha. Bei Grünland i.d.R. Trockenmasseertrag. Alternativ kann der TS angepasst werden.</t>
        </r>
      </text>
    </comment>
    <comment ref="P41" authorId="0" shapeId="0">
      <text>
        <r>
          <rPr>
            <sz val="10"/>
            <color indexed="81"/>
            <rFont val="Arial"/>
            <family val="2"/>
          </rPr>
          <t>Wird Verkauf ausgewählt, gilt die gesamte geerntete Ware als verkauft und wird nicht in den Lagerbestand eingerechnet. 
Werden nur Teile der Ernte verkauft, sind die entsprechenden Flächen auf zwei Zeilen aufzuteilen oder die Menge rechts mit einem negativen Vorzeichen als Verkauf eingegeben werden.</t>
        </r>
      </text>
    </comment>
    <comment ref="R41" authorId="0" shapeId="0">
      <text>
        <r>
          <rPr>
            <sz val="10"/>
            <color indexed="81"/>
            <rFont val="Arial"/>
            <family val="2"/>
          </rPr>
          <t>Frischmasse in t. Bei Grünland i.d.R. TM. Alternativ kann der TS angepasst werden.</t>
        </r>
      </text>
    </comment>
    <comment ref="N43" authorId="0" shapeId="0">
      <text>
        <r>
          <rPr>
            <sz val="10"/>
            <color indexed="81"/>
            <rFont val="Arial"/>
            <family val="2"/>
          </rPr>
          <t>Bei Kulturen des mehrschnittigen Feldfutterbaus und mehrschnittigen Zweitfrüchten muss der Erntezeitraum zusätzlich angegeben werden. Geben Sie in nicht schraffierten Zellen den Monat als Zahl zwischen 1 (Januar) und 12 (Dezember) an.
Bei einmaliger Ernte der Kultur den Erntemonat eingeben. Wird die Kultur mehrfach geerntet, wird hier der Erntemonat der ersten Ernte ausgewählt.
Wird eine Kultur nicht in einem zusammenhängenden Zeitraum geerntet (z.B. Ackergras als Zweitfrucht 2023/24 im Frühjahr und Ackergras als Zweitfrucht 2024/25 im Herbst) sind die jeweiligen Ernteperioden einzeln einzugeben.</t>
        </r>
      </text>
    </comment>
    <comment ref="O43" authorId="0" shapeId="0">
      <text>
        <r>
          <rPr>
            <sz val="10"/>
            <color indexed="81"/>
            <rFont val="Arial"/>
            <family val="2"/>
          </rPr>
          <t>Geben Sie in nicht schraffierten Zellen den Monat als Zahl zwischen 1 (Januar) und 12 (Dezember) an.
Bei mehrfacher Nutzung einer Kultur (z.B. Grünland, mehrschnittiger Feldfutterbau) ist der erste und letzte Erntemonat einzugeben. Bei einmaliger Ernte ist diese Spalte frei zu lassen.</t>
        </r>
      </text>
    </comment>
    <comment ref="S43" authorId="0" shapeId="0">
      <text>
        <r>
          <rPr>
            <sz val="10"/>
            <color indexed="81"/>
            <rFont val="Arial"/>
            <family val="2"/>
          </rPr>
          <t>Geben Sie den Monat als Zahl zwischen 1 (Januar) und 12 (Dezember) an.
Bei einmaligem Zukauf muss der Monat lediglich einmal angegeben werden. Findet ein regelmäßiger Zukauf statt, wird hier der erste Monat der Zukaufperiode ausgewählt.</t>
        </r>
      </text>
    </comment>
    <comment ref="T43" authorId="0" shapeId="0">
      <text>
        <r>
          <rPr>
            <sz val="10"/>
            <color indexed="81"/>
            <rFont val="Arial"/>
            <family val="2"/>
          </rPr>
          <t>Geben Sie den Monat als Zahl zwischen 1 (Januar) und 12 (Dezember) an. Bei regelmäßigem Zukauf muss der hier der letzte Monat der Zukaufperiode angegeben werden. Bei einmaligem Zukauf ist diese Spalte frei zu lassen.</t>
        </r>
      </text>
    </comment>
    <comment ref="I71" authorId="0" shapeId="0">
      <text>
        <r>
          <rPr>
            <sz val="10"/>
            <color indexed="81"/>
            <rFont val="Arial"/>
            <family val="2"/>
          </rPr>
          <t>Hier ist der Lagerbestand vom 1. Januar zu erfassen.</t>
        </r>
      </text>
    </comment>
    <comment ref="Q71" authorId="1" shapeId="0">
      <text>
        <r>
          <rPr>
            <sz val="10"/>
            <color indexed="81"/>
            <rFont val="Arial"/>
            <family val="2"/>
          </rPr>
          <t xml:space="preserve">Verkauf mit </t>
        </r>
        <r>
          <rPr>
            <b/>
            <sz val="10"/>
            <color indexed="81"/>
            <rFont val="Arial"/>
            <family val="2"/>
          </rPr>
          <t>negativem Vorzeichen</t>
        </r>
        <r>
          <rPr>
            <sz val="10"/>
            <color indexed="81"/>
            <rFont val="Arial"/>
            <family val="2"/>
          </rPr>
          <t xml:space="preserve"> eingeben.</t>
        </r>
      </text>
    </comment>
    <comment ref="I72" authorId="0" shapeId="0">
      <text>
        <r>
          <rPr>
            <sz val="10"/>
            <color indexed="81"/>
            <rFont val="Arial"/>
            <family val="2"/>
          </rPr>
          <t>Ist der TS bekannt und abweichend von den Basisdaten, kann dieser hier eingeben werden.</t>
        </r>
      </text>
    </comment>
    <comment ref="J72" authorId="0" shapeId="0">
      <text>
        <r>
          <rPr>
            <sz val="10"/>
            <color indexed="81"/>
            <rFont val="Arial"/>
            <family val="2"/>
          </rPr>
          <t>Frischmasse in t. Bei Grünland i.d.R. TM. Alternativ kann der TS angepasst werden.</t>
        </r>
      </text>
    </comment>
    <comment ref="Q72" authorId="0" shapeId="0">
      <text>
        <r>
          <rPr>
            <sz val="10"/>
            <color indexed="81"/>
            <rFont val="Arial"/>
            <family val="2"/>
          </rPr>
          <t>Ist der TS bekannt und abweichend von den Basisdaten, kann dieser hier eingeben werden.</t>
        </r>
      </text>
    </comment>
    <comment ref="R72" authorId="0" shapeId="0">
      <text>
        <r>
          <rPr>
            <sz val="10"/>
            <color indexed="81"/>
            <rFont val="Arial"/>
            <family val="2"/>
          </rPr>
          <t>Frischmasse in t. Bei Grünland i.d.R. TM. Alternativ kann der TS angepasst werden.</t>
        </r>
      </text>
    </comment>
    <comment ref="S74" authorId="0" shapeId="0">
      <text>
        <r>
          <rPr>
            <sz val="10"/>
            <color indexed="81"/>
            <rFont val="Arial"/>
            <family val="2"/>
          </rPr>
          <t>Geben Sie den Monat als Zahl zwischen 1 (Januar) und 12 (Dezember) an.
Bei einmaligem Zukauf muss der Monat lediglich einmal angegeben werden. Findet ein regelmäßiger Zukauf statt, wird hier der erste Monat der Zukaufperiode ausgewählt.</t>
        </r>
      </text>
    </comment>
    <comment ref="T74" authorId="0" shapeId="0">
      <text>
        <r>
          <rPr>
            <sz val="10"/>
            <color indexed="81"/>
            <rFont val="Arial"/>
            <family val="2"/>
          </rPr>
          <t>Geben Sie den Monat als Zahl zwischen 1 (Januar) und 12 (Dezember) an. Bei regelmäßigem Zukauf muss der hier der letzte Monat der Zukaufperiode angegeben werden. Bei einmaligem Zukauf ist diese Spalte frei zu lassen.</t>
        </r>
      </text>
    </comment>
    <comment ref="HI83" authorId="0" shapeId="0">
      <text>
        <r>
          <rPr>
            <b/>
            <sz val="9"/>
            <color indexed="81"/>
            <rFont val="Segoe UI"/>
            <family val="2"/>
          </rPr>
          <t xml:space="preserve">Bezung *HG$1$ (Toleranz Pflanzen) auf HG$2$ (Toleranz WDünger)
</t>
        </r>
      </text>
    </comment>
    <comment ref="HJ83" authorId="0" shapeId="0">
      <text>
        <r>
          <rPr>
            <b/>
            <sz val="9"/>
            <color indexed="81"/>
            <rFont val="Segoe UI"/>
            <family val="2"/>
          </rPr>
          <t xml:space="preserve">Bezung *HG$1$ (Toleranz Pflanzen) auf HG$2$ (Toleranz WDünger)
in Formel 2x
</t>
        </r>
      </text>
    </comment>
    <comment ref="A99" authorId="0" shapeId="0">
      <text>
        <r>
          <rPr>
            <sz val="10"/>
            <color indexed="81"/>
            <rFont val="Arial"/>
            <family val="2"/>
          </rPr>
          <t>Zuwachs Tierkörper: Summe Verkauf Tierkörper (Lebendgewicht) im Jahr (inkl. verendete Tiere) - Zukauf Tierkörper (Lebendgewicht) im Jahr.</t>
        </r>
      </text>
    </comment>
    <comment ref="CA103" authorId="0" shapeId="0">
      <text>
        <r>
          <rPr>
            <sz val="9"/>
            <color indexed="81"/>
            <rFont val="Segoe UI"/>
            <family val="2"/>
          </rPr>
          <t>die eingegebenen tier. Produkte (Fleisch) dürfen max x % von den Basisdaten abweichen</t>
        </r>
        <r>
          <rPr>
            <b/>
            <sz val="9"/>
            <color indexed="81"/>
            <rFont val="Segoe UI"/>
            <family val="2"/>
          </rPr>
          <t xml:space="preserve">
</t>
        </r>
      </text>
    </comment>
    <comment ref="BW110" authorId="0" shapeId="0">
      <text>
        <r>
          <rPr>
            <sz val="9"/>
            <color indexed="81"/>
            <rFont val="Segoe UI"/>
            <family val="2"/>
          </rPr>
          <t>Sind Geflügel bzw. sonstige Tiere bei den Abweichenden Werten eingegeben, kann die Leistung nicht überprüft werden, da keine Basisdaten/Informationen zum Abgleich.
1=ja=keine abweichenden Tiere der Kategorie Geflügel bzw. sonstige ausgewählt</t>
        </r>
      </text>
    </comment>
  </commentList>
</comments>
</file>

<file path=xl/comments4.xml><?xml version="1.0" encoding="utf-8"?>
<comments xmlns="http://schemas.openxmlformats.org/spreadsheetml/2006/main">
  <authors>
    <author>Schmücker, Rebekka (LfL)</author>
    <author>Brandl, Maria (LfL)</author>
  </authors>
  <commentList>
    <comment ref="BH5" authorId="0" shapeId="0">
      <text>
        <r>
          <rPr>
            <sz val="9"/>
            <color indexed="81"/>
            <rFont val="Segoe UI"/>
            <family val="2"/>
          </rPr>
          <t>Alle Rinder: Nährstoffgehalte von Rinderjauche etc.</t>
        </r>
      </text>
    </comment>
    <comment ref="BM5" authorId="0" shapeId="0">
      <text>
        <r>
          <rPr>
            <sz val="9"/>
            <color indexed="81"/>
            <rFont val="Segoe UI"/>
            <family val="2"/>
          </rPr>
          <t>Alle Rinder: Nährstoffgehalte von Rinderjauche
Schweine: Nährstoffgehalte von Schweinejauche (Basisdaten org. Dünger)
Andere Tierarten haben keine Jauche, daher 0</t>
        </r>
      </text>
    </comment>
    <comment ref="C6" authorId="1" shapeId="0">
      <text>
        <r>
          <rPr>
            <b/>
            <u/>
            <sz val="9"/>
            <color indexed="81"/>
            <rFont val="Tahoma"/>
            <family val="2"/>
          </rPr>
          <t>Tierart (zur Berechnung gasförmige Verluste + Grobfutteraufnahme:</t>
        </r>
        <r>
          <rPr>
            <sz val="9"/>
            <color indexed="81"/>
            <rFont val="Tahoma"/>
            <family val="2"/>
          </rPr>
          <t xml:space="preserve">
1 = Rind
2 = Schwein
3 = Geflügel
4 = Schaf
5 = Ziege
6 = Pferd
7 = Kaninchen
8 = Gehegewild
9 = sonstige
</t>
        </r>
        <r>
          <rPr>
            <u/>
            <sz val="9"/>
            <color indexed="81"/>
            <rFont val="Tahoma"/>
            <family val="2"/>
          </rPr>
          <t xml:space="preserve">
Gruppen bei der Berechnung des Grobfutterverbrauchs im Betrieb durch die Tiere:</t>
        </r>
        <r>
          <rPr>
            <sz val="9"/>
            <color indexed="81"/>
            <rFont val="Tahoma"/>
            <family val="2"/>
          </rPr>
          <t xml:space="preserve">
Grobfutterfresser sind Nr. 1+4+5+8
Nichtgrobfutterfresser: Nr 2+3+6+7+9
Gruppen bei der Anrechnung gasförmiger Verluste:
Rind: Nr 1
Schwein: Nr 2
Geflügel: Nr 3
andere: Nr 4+5+6+7+8+9
</t>
        </r>
      </text>
    </comment>
    <comment ref="BL8" authorId="0" shapeId="0">
      <text>
        <r>
          <rPr>
            <sz val="9"/>
            <color indexed="81"/>
            <rFont val="Segoe UI"/>
            <family val="2"/>
          </rPr>
          <t xml:space="preserve">1=Rind
2=Schwein
</t>
        </r>
      </text>
    </comment>
  </commentList>
</comments>
</file>

<file path=xl/comments5.xml><?xml version="1.0" encoding="utf-8"?>
<comments xmlns="http://schemas.openxmlformats.org/spreadsheetml/2006/main">
  <authors>
    <author>Brandl, Maria (LfL)</author>
    <author>Schmücker, Rebekka (LfL)</author>
  </authors>
  <commentList>
    <comment ref="J6" authorId="0" shapeId="0">
      <text>
        <r>
          <rPr>
            <b/>
            <u/>
            <sz val="9"/>
            <color indexed="81"/>
            <rFont val="Tahoma"/>
            <family val="2"/>
          </rPr>
          <t>Tierart (zur Berechnung gasförmige Verluste + Grobfutteraufnahme:</t>
        </r>
        <r>
          <rPr>
            <sz val="9"/>
            <color indexed="81"/>
            <rFont val="Tahoma"/>
            <family val="2"/>
          </rPr>
          <t xml:space="preserve">
1 = Rind
2 = Schwein
3 = Geflügel
4 = Schaf
5 = Ziege
6 = Pferd
7 = Kaninchen
8 = Gehegewild
9 = sonstige
</t>
        </r>
        <r>
          <rPr>
            <u/>
            <sz val="9"/>
            <color indexed="81"/>
            <rFont val="Tahoma"/>
            <family val="2"/>
          </rPr>
          <t xml:space="preserve">
Gruppen bei der Berechnung des Grobfutterverbrauchs im Betrieb durch die Tiere:</t>
        </r>
        <r>
          <rPr>
            <sz val="9"/>
            <color indexed="81"/>
            <rFont val="Tahoma"/>
            <family val="2"/>
          </rPr>
          <t xml:space="preserve">
Grobfutterfresser sind Nr. 1+4+5+8
Nichtgrobfutterfresser: Nr 2+3+6+7+9
Gruppen bei der Anrechnung gasförmiger Verluste:
Rind: Nr 1
Schwein: Nr 2
Geflügel: Nr 3
andere: Nr 4+5+6+7+8+9
</t>
        </r>
      </text>
    </comment>
    <comment ref="H23" authorId="1" shapeId="0">
      <text>
        <r>
          <rPr>
            <b/>
            <sz val="9"/>
            <color indexed="81"/>
            <rFont val="Segoe UI"/>
            <family val="2"/>
          </rPr>
          <t>für Dropdown</t>
        </r>
      </text>
    </comment>
  </commentList>
</comments>
</file>

<file path=xl/comments6.xml><?xml version="1.0" encoding="utf-8"?>
<comments xmlns="http://schemas.openxmlformats.org/spreadsheetml/2006/main">
  <authors>
    <author>Schmücker, Rebekka (LfL)</author>
  </authors>
  <commentList>
    <comment ref="C24" authorId="0" shapeId="0">
      <text>
        <r>
          <rPr>
            <sz val="10"/>
            <color indexed="81"/>
            <rFont val="Arial"/>
            <family val="2"/>
          </rPr>
          <t xml:space="preserve">Hier wird die </t>
        </r>
        <r>
          <rPr>
            <b/>
            <sz val="10"/>
            <color indexed="81"/>
            <rFont val="Arial"/>
            <family val="2"/>
          </rPr>
          <t>Tierart mit dem höchsten Stickstoffanteil</t>
        </r>
        <r>
          <rPr>
            <sz val="10"/>
            <color indexed="81"/>
            <rFont val="Arial"/>
            <family val="2"/>
          </rPr>
          <t xml:space="preserve"> in der Gülle/Jauche ausgegeben bzw. ist für Stallmist einzugeben. 
Wird die Gülle von unterschiedlichen Tiergruppen (z. B. Rinder und Schweine) separat gelagert und abgegeben, ist eine getrennte Berechnung notwendig.
</t>
        </r>
        <r>
          <rPr>
            <sz val="9"/>
            <color indexed="81"/>
            <rFont val="Segoe UI"/>
            <family val="2"/>
          </rPr>
          <t xml:space="preserve">
</t>
        </r>
      </text>
    </comment>
  </commentList>
</comments>
</file>

<file path=xl/comments7.xml><?xml version="1.0" encoding="utf-8"?>
<comments xmlns="http://schemas.openxmlformats.org/spreadsheetml/2006/main">
  <authors>
    <author>Schmücker, Rebekka (LfL)</author>
  </authors>
  <commentList>
    <comment ref="B3" authorId="0" shapeId="0">
      <text>
        <r>
          <rPr>
            <b/>
            <sz val="9"/>
            <color indexed="81"/>
            <rFont val="Segoe UI"/>
            <family val="2"/>
          </rPr>
          <t>Schmücker, Rebekka (LfL):</t>
        </r>
        <r>
          <rPr>
            <sz val="9"/>
            <color indexed="81"/>
            <rFont val="Segoe UI"/>
            <family val="2"/>
          </rPr>
          <t xml:space="preserve">
Sonstige Kulturen sind am Ende der Kulturenliste. Indexgibt an, an welcher stelle die links ausgewählten Produkte in der rechten liste sind, damit nur eine Matrix genutzt werden kann.</t>
        </r>
      </text>
    </comment>
    <comment ref="E77" authorId="0" shapeId="0">
      <text>
        <r>
          <rPr>
            <b/>
            <sz val="9"/>
            <color indexed="81"/>
            <rFont val="Segoe UI"/>
            <family val="2"/>
          </rPr>
          <t xml:space="preserve">orgduenger_art2
herk_org
</t>
        </r>
      </text>
    </comment>
    <comment ref="F77" authorId="0" shapeId="0">
      <text>
        <r>
          <rPr>
            <b/>
            <sz val="9"/>
            <color indexed="81"/>
            <rFont val="Segoe UI"/>
            <family val="2"/>
          </rPr>
          <t>orgduenger_art3
kons_org</t>
        </r>
      </text>
    </comment>
    <comment ref="I77" authorId="0" shapeId="0">
      <text>
        <r>
          <rPr>
            <b/>
            <sz val="9"/>
            <color indexed="81"/>
            <rFont val="Segoe UI"/>
            <family val="2"/>
          </rPr>
          <t>tm
tm_kul</t>
        </r>
      </text>
    </comment>
    <comment ref="N77" authorId="0" shapeId="0">
      <text>
        <r>
          <rPr>
            <b/>
            <sz val="9"/>
            <color indexed="81"/>
            <rFont val="Segoe UI"/>
            <family val="2"/>
          </rPr>
          <t>bgr_ots
ots_dezimal_bgr</t>
        </r>
      </text>
    </comment>
    <comment ref="O77" authorId="0" shapeId="0">
      <text>
        <r>
          <rPr>
            <b/>
            <sz val="9"/>
            <color indexed="81"/>
            <rFont val="Segoe UI"/>
            <family val="2"/>
          </rPr>
          <t>bgr_ots_in_TM
ots_proz_bgr</t>
        </r>
      </text>
    </comment>
    <comment ref="P77" authorId="0" shapeId="0">
      <text>
        <r>
          <rPr>
            <b/>
            <sz val="9"/>
            <color indexed="81"/>
            <rFont val="Segoe UI"/>
            <family val="2"/>
          </rPr>
          <t>bgr_gas_ots
gas_ots_liter_bgr</t>
        </r>
      </text>
    </comment>
    <comment ref="Q77" authorId="0" shapeId="0">
      <text>
        <r>
          <rPr>
            <b/>
            <sz val="9"/>
            <color indexed="81"/>
            <rFont val="Segoe UI"/>
            <family val="2"/>
          </rPr>
          <t>bgr_methangehalt
methangeh_org</t>
        </r>
      </text>
    </comment>
    <comment ref="R77" authorId="0" shapeId="0">
      <text>
        <r>
          <rPr>
            <b/>
            <sz val="9"/>
            <color indexed="81"/>
            <rFont val="Segoe UI"/>
            <family val="2"/>
          </rPr>
          <t>bgr_verweilzeit_min
verweilzeit_bgr</t>
        </r>
      </text>
    </comment>
    <comment ref="S77" authorId="0" shapeId="0">
      <text>
        <r>
          <rPr>
            <b/>
            <sz val="9"/>
            <color indexed="81"/>
            <rFont val="Segoe UI"/>
            <family val="2"/>
          </rPr>
          <t>anteil_nh4_an_nges
anteil_nh4_nges_bgr</t>
        </r>
      </text>
    </comment>
    <comment ref="W77" authorId="0" shapeId="0">
      <text>
        <r>
          <rPr>
            <b/>
            <sz val="9"/>
            <color indexed="81"/>
            <rFont val="Segoe UI"/>
            <family val="2"/>
          </rPr>
          <t>gehalt_fm_nges
geh_fm_nges_org</t>
        </r>
      </text>
    </comment>
    <comment ref="X77" authorId="0" shapeId="0">
      <text>
        <r>
          <rPr>
            <b/>
            <sz val="9"/>
            <color indexed="81"/>
            <rFont val="Segoe UI"/>
            <family val="2"/>
          </rPr>
          <t>gehalt_fm_p2o5
geh_fm_p2o5_org</t>
        </r>
      </text>
    </comment>
    <comment ref="Y77" authorId="0" shapeId="0">
      <text>
        <r>
          <rPr>
            <b/>
            <sz val="9"/>
            <color indexed="81"/>
            <rFont val="Segoe UI"/>
            <family val="2"/>
          </rPr>
          <t>gehalt_fm_k2o
geh_fm_k2o_org</t>
        </r>
      </text>
    </comment>
    <comment ref="Z77" authorId="0" shapeId="0">
      <text>
        <r>
          <rPr>
            <b/>
            <sz val="9"/>
            <color indexed="81"/>
            <rFont val="Segoe UI"/>
            <family val="2"/>
          </rPr>
          <t>gehalt_fm_mgo
geh_fm_mgo_org</t>
        </r>
      </text>
    </comment>
  </commentList>
</comments>
</file>

<file path=xl/comments8.xml><?xml version="1.0" encoding="utf-8"?>
<comments xmlns="http://schemas.openxmlformats.org/spreadsheetml/2006/main">
  <authors>
    <author>Schmücker, Rebekka (LfL)</author>
  </authors>
  <commentList>
    <comment ref="E4" authorId="0" shapeId="0">
      <text>
        <r>
          <rPr>
            <sz val="10"/>
            <color indexed="81"/>
            <rFont val="Arial"/>
            <family val="2"/>
          </rPr>
          <t>Flüssige Wirtschaftsdünger (≤ 15 % TS) werden in m³ angegeben, feste Wirtschaftsdünger (&gt; 15 % TS) werden 
in t angegeben.</t>
        </r>
      </text>
    </comment>
    <comment ref="H5" authorId="0" shapeId="0">
      <text>
        <r>
          <rPr>
            <sz val="10"/>
            <color indexed="81"/>
            <rFont val="Arial"/>
            <family val="2"/>
          </rPr>
          <t>Flüssige Wirtschaftsdünger (≤ 15 % TS) werden in m³ angegeben, feste Wirtschaftsdünger (&gt; 15 % TS) werden 
in t angegeben.</t>
        </r>
      </text>
    </comment>
    <comment ref="D6" authorId="0" shapeId="0">
      <text>
        <r>
          <rPr>
            <sz val="10"/>
            <color indexed="81"/>
            <rFont val="Arial"/>
            <family val="2"/>
          </rPr>
          <t>BGR = Biogasgärrest</t>
        </r>
      </text>
    </comment>
  </commentList>
</comments>
</file>

<file path=xl/comments9.xml><?xml version="1.0" encoding="utf-8"?>
<comments xmlns="http://schemas.openxmlformats.org/spreadsheetml/2006/main">
  <authors>
    <author>Schmücker, Rebekka (LfL)</author>
  </authors>
  <commentList>
    <comment ref="BW3" authorId="0" shapeId="0">
      <text>
        <r>
          <rPr>
            <b/>
            <sz val="9"/>
            <color indexed="81"/>
            <rFont val="Segoe UI"/>
            <family val="2"/>
          </rPr>
          <t>Ferkel der Zuchtsauen</t>
        </r>
      </text>
    </comment>
    <comment ref="Z10" authorId="0" shapeId="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10" authorId="0" shapeId="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Q12" authorId="0" shapeId="0">
      <text>
        <r>
          <rPr>
            <b/>
            <sz val="9"/>
            <color indexed="81"/>
            <rFont val="Segoe UI"/>
            <family val="2"/>
          </rPr>
          <t xml:space="preserve">Formel zur Berechnung der Mittelwerte über die TZ mit 1050 g TZ
</t>
        </r>
      </text>
    </comment>
    <comment ref="Z22" authorId="0" shapeId="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22" authorId="0" shapeId="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34" authorId="0" shapeId="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34" authorId="0" shapeId="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46" authorId="0" shapeId="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46" authorId="0" shapeId="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58" authorId="0" shapeId="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58" authorId="0" shapeId="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72" authorId="0" shapeId="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72" authorId="0" shapeId="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81" authorId="0" shapeId="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81" authorId="0" shapeId="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90" authorId="0" shapeId="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90" authorId="0" shapeId="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99" authorId="0" shapeId="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99" authorId="0" shapeId="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108" authorId="0" shapeId="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108" authorId="0" shapeId="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B118" authorId="0" shapeId="0">
      <text>
        <r>
          <rPr>
            <b/>
            <sz val="9"/>
            <color indexed="81"/>
            <rFont val="Segoe UI"/>
            <family val="2"/>
          </rPr>
          <t>Ferkel mit 450 g TZ</t>
        </r>
      </text>
    </comment>
    <comment ref="B136" authorId="0" shapeId="0">
      <text>
        <r>
          <rPr>
            <b/>
            <sz val="9"/>
            <color indexed="81"/>
            <rFont val="Segoe UI"/>
            <family val="2"/>
          </rPr>
          <t>Ferkel mit 450 g TZ</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<sst xmlns="http://schemas.openxmlformats.org/spreadsheetml/2006/main" count="12874" uniqueCount="8862">
  <si>
    <t>Gülle</t>
  </si>
  <si>
    <t>m³</t>
  </si>
  <si>
    <t>%</t>
  </si>
  <si>
    <t>Nährstoffausscheidung</t>
  </si>
  <si>
    <t>N</t>
  </si>
  <si>
    <t>P2O5</t>
  </si>
  <si>
    <t>K2O</t>
  </si>
  <si>
    <t>Weibliche Rinder über 1 Jahr bis 2 Jahre</t>
  </si>
  <si>
    <t>Andere weibliche Rinder über 2 Jahre</t>
  </si>
  <si>
    <t>Jauche</t>
  </si>
  <si>
    <t>nach</t>
  </si>
  <si>
    <t>Mist</t>
  </si>
  <si>
    <t>Anzahl</t>
  </si>
  <si>
    <t>Vorname/Name:</t>
  </si>
  <si>
    <t>Straße:</t>
  </si>
  <si>
    <t>PLZ/Ort:</t>
  </si>
  <si>
    <t>Telefon:</t>
  </si>
  <si>
    <t>Kalenderjahr:</t>
  </si>
  <si>
    <t>Milchleistung:</t>
  </si>
  <si>
    <t>kg/Kuh und Jahr</t>
  </si>
  <si>
    <t>Milchkuh ohne Kalb</t>
  </si>
  <si>
    <t xml:space="preserve"> --</t>
  </si>
  <si>
    <t>ha gesamte Ackerfläche</t>
  </si>
  <si>
    <t>ha gesamte Grünlandfläche</t>
  </si>
  <si>
    <t>Niederschlag:</t>
  </si>
  <si>
    <t>% Grünlandanteil</t>
  </si>
  <si>
    <t>Durchmesser</t>
  </si>
  <si>
    <r>
      <t>Behälter</t>
    </r>
    <r>
      <rPr>
        <sz val="10"/>
        <rFont val="Arial"/>
        <family val="2"/>
      </rPr>
      <t xml:space="preserve"> 1</t>
    </r>
  </si>
  <si>
    <r>
      <t>Behälter</t>
    </r>
    <r>
      <rPr>
        <sz val="10"/>
        <rFont val="Arial"/>
        <family val="2"/>
      </rPr>
      <t xml:space="preserve"> 2</t>
    </r>
    <r>
      <rPr>
        <sz val="10"/>
        <rFont val="Arial"/>
        <family val="2"/>
      </rPr>
      <t/>
    </r>
  </si>
  <si>
    <r>
      <t>Behälter</t>
    </r>
    <r>
      <rPr>
        <sz val="10"/>
        <rFont val="Arial"/>
        <family val="2"/>
      </rPr>
      <t xml:space="preserve"> 3</t>
    </r>
    <r>
      <rPr>
        <sz val="10"/>
        <rFont val="Arial"/>
        <family val="2"/>
      </rPr>
      <t/>
    </r>
  </si>
  <si>
    <t>Länge</t>
  </si>
  <si>
    <t>Breite</t>
  </si>
  <si>
    <t>menge</t>
  </si>
  <si>
    <t>Weide</t>
  </si>
  <si>
    <t>in %</t>
  </si>
  <si>
    <t>gering</t>
  </si>
  <si>
    <t>mittel</t>
  </si>
  <si>
    <t>hoch</t>
  </si>
  <si>
    <t>t</t>
  </si>
  <si>
    <t>Stall-</t>
  </si>
  <si>
    <t>mist</t>
  </si>
  <si>
    <t>Gülle,</t>
  </si>
  <si>
    <t>Okt-Mär</t>
  </si>
  <si>
    <t>Apr-Sep</t>
  </si>
  <si>
    <r>
      <t>Stallmist</t>
    </r>
    <r>
      <rPr>
        <sz val="8"/>
        <rFont val="Arial"/>
        <family val="2"/>
      </rPr>
      <t>/Jauche</t>
    </r>
  </si>
  <si>
    <t>Einstreu-</t>
  </si>
  <si>
    <t>Programmname</t>
  </si>
  <si>
    <t>Rinder</t>
  </si>
  <si>
    <t>Männl. Rinder über 6 Monate bis 1 Jahr</t>
  </si>
  <si>
    <t>Männl. Rinder über 1 Jahr bis zwei Jahre (Mast)</t>
  </si>
  <si>
    <t>Mutterkuh mit Kalb bis 6 Monate</t>
  </si>
  <si>
    <t>Zuchtsauen mit 25 Ferkel bis 8 kg, Standard</t>
  </si>
  <si>
    <t>Zuchtsauen mit 25 Ferkel bis 8 kg, N-/P-reduziert</t>
  </si>
  <si>
    <t>Zuchtsauen mit 28 Ferkel bis 8 kg, Standard</t>
  </si>
  <si>
    <t>Zuchtsauen mit 28 Ferkel bis 8 kg, N-/P-reduziert</t>
  </si>
  <si>
    <t>Zuchtsauen mit 25 Ferkel bis 28 kg, Standard</t>
  </si>
  <si>
    <t>Zuchtsauen mit 25 Ferkel bis 28 kg, N-/P-reduziert</t>
  </si>
  <si>
    <t>Zuchtsauen mit 28 Ferkel bis 28 kg, Standard</t>
  </si>
  <si>
    <t>Zuchtsauen mit 28 Ferkel bis 28 kg, N-/P-reduziert</t>
  </si>
  <si>
    <t>Ferkel von 8 bis 28 kg, Standard</t>
  </si>
  <si>
    <t>Ferkel von 8 bis 28 kg, N-/P-reduziert</t>
  </si>
  <si>
    <t>Mastschweine (850 g TZ), Standard</t>
  </si>
  <si>
    <t>Mastschweine (850 g TZ), N-/P-reduziert</t>
  </si>
  <si>
    <t>Zuchteber</t>
  </si>
  <si>
    <t>Legehennen über 16 Wochen, Standard</t>
  </si>
  <si>
    <t>Legehennen über 16 Wochen, N-/P-reduziert</t>
  </si>
  <si>
    <t>Junghennen bis 16 Wochen, Standard</t>
  </si>
  <si>
    <t>Junghennen bis 16 Wochen, N-/P-reduziert</t>
  </si>
  <si>
    <t>Masthähnchen, Standard</t>
  </si>
  <si>
    <t>Masthähnchen, N-/P-reduziert</t>
  </si>
  <si>
    <t>Putenhähne bis 21 Wochen Mast, Standard</t>
  </si>
  <si>
    <t>Putenhähne bis 21 Wochen Mast, N-/P-reduziert</t>
  </si>
  <si>
    <t>Putenhennen bis 16 Wochen Mast, Standard</t>
  </si>
  <si>
    <t>Putenhennen bis 16 Wochen Mast, N-/P-reduziert</t>
  </si>
  <si>
    <t>Gänse Spätmast/Weidemast</t>
  </si>
  <si>
    <t>Pekingenten</t>
  </si>
  <si>
    <t>Flugenten</t>
  </si>
  <si>
    <t>Mutterschafe (ohne Lamm), andere Schafe, konventionell</t>
  </si>
  <si>
    <t>Milchziegen mit Lämmer, andere Ziegen</t>
  </si>
  <si>
    <t>Pferde bis ein Jahr, Ponys und Kleinpferde</t>
  </si>
  <si>
    <t>Pferde über ein Jahr</t>
  </si>
  <si>
    <t>Kaninchenaufz. bis 3 kg (Häsin + 52 Jungtiere je Jahr)</t>
  </si>
  <si>
    <t>Damwild Alttier</t>
  </si>
  <si>
    <t>Rotwild Alttier</t>
  </si>
  <si>
    <t>Schweine</t>
  </si>
  <si>
    <t>Geflügel</t>
  </si>
  <si>
    <t xml:space="preserve">andere Tiere </t>
  </si>
  <si>
    <t>Mehrfachantrag</t>
  </si>
  <si>
    <t>Code</t>
  </si>
  <si>
    <t>Viehverzeichnis</t>
  </si>
  <si>
    <t>Tierauswahl</t>
  </si>
  <si>
    <t>01</t>
  </si>
  <si>
    <t xml:space="preserve">  Kälber (Zucht/Mast) bis 6 Monate</t>
  </si>
  <si>
    <t xml:space="preserve">  Kälber (Zucht/Mast) bis 6 Monate </t>
  </si>
  <si>
    <t>04</t>
  </si>
  <si>
    <t xml:space="preserve">  Männliche Rinder über 6 Monate bis 1 Jahr</t>
  </si>
  <si>
    <t>05</t>
  </si>
  <si>
    <t xml:space="preserve">  Männliche Rinder über 1 Jahr bis 2 Jahre</t>
  </si>
  <si>
    <t xml:space="preserve">  Männliche Rinder über 1 Jahr bis zwei Jahre (Mast)</t>
  </si>
  <si>
    <t>06</t>
  </si>
  <si>
    <t xml:space="preserve">  Männliche Rinder über 2 Jahre, Zuchtbullen</t>
  </si>
  <si>
    <t xml:space="preserve">  Männliche Rinder über 2 Jahre, Zuchtbullen </t>
  </si>
  <si>
    <t>07</t>
  </si>
  <si>
    <t xml:space="preserve">  Weibliche Rinder über 6 Monate bis 1 Jahr</t>
  </si>
  <si>
    <t xml:space="preserve">  Weibliche Rinder über 6 Monate bis 1 Jahr </t>
  </si>
  <si>
    <t>10</t>
  </si>
  <si>
    <t xml:space="preserve">  Weibliche Rinder über 1 Jahr bis 2 Jahre</t>
  </si>
  <si>
    <t>13</t>
  </si>
  <si>
    <t xml:space="preserve">  Andere weibliche Rinder über 2 Jahre</t>
  </si>
  <si>
    <t xml:space="preserve">  Kühe (Milch-, Mutter- und Ammenkühe)</t>
  </si>
  <si>
    <t xml:space="preserve">  Mutterkuh mit Kalb bis 6 Monate</t>
  </si>
  <si>
    <t>21</t>
  </si>
  <si>
    <t xml:space="preserve">  Lämmer, Schafe bis 1 Jahr</t>
  </si>
  <si>
    <t xml:space="preserve">  Lämmer, Schafe bis 1 Jahr, konventionell</t>
  </si>
  <si>
    <t>22</t>
  </si>
  <si>
    <t xml:space="preserve">  Mutterschafe</t>
  </si>
  <si>
    <t>23</t>
  </si>
  <si>
    <t xml:space="preserve">  Andere Schafe über 1 Jahr, einschl. Hammel</t>
  </si>
  <si>
    <t xml:space="preserve">  Mutterschafe (ohne Lamm), andere Schafe, konvent.</t>
  </si>
  <si>
    <t>24</t>
  </si>
  <si>
    <t xml:space="preserve">  Schafböcke</t>
  </si>
  <si>
    <t>31</t>
  </si>
  <si>
    <t xml:space="preserve">  Mutterziegen, einschl. gedeckte Jungziegen</t>
  </si>
  <si>
    <t xml:space="preserve">  Milchziegen mit Lämmer, andere Ziegen</t>
  </si>
  <si>
    <t>32</t>
  </si>
  <si>
    <t xml:space="preserve">  Andere Ziegen über 1 Jahr</t>
  </si>
  <si>
    <t>41</t>
  </si>
  <si>
    <t xml:space="preserve">  Pferde bis 1 Jahr, Ponys und Kleinpferde</t>
  </si>
  <si>
    <t xml:space="preserve">  Pferde bis ein Jahr, Ponys und Kleinpferde</t>
  </si>
  <si>
    <t>42</t>
  </si>
  <si>
    <t xml:space="preserve">  Pferde über 1 Jahr</t>
  </si>
  <si>
    <t xml:space="preserve">  Pferde über ein Jahr</t>
  </si>
  <si>
    <t>50</t>
  </si>
  <si>
    <t xml:space="preserve">  Ferkel bis unter 30 kg</t>
  </si>
  <si>
    <t xml:space="preserve">  Ferkel von 8 bis 28 kg, Standard</t>
  </si>
  <si>
    <t xml:space="preserve">  Ferkel von 8 bis 28 kg, N-/P-reduziert</t>
  </si>
  <si>
    <t xml:space="preserve">  Zuchtsauen mit 25 Ferkel bis 8 kg, Standard</t>
  </si>
  <si>
    <t xml:space="preserve">  Zuchtsauen mit 25 Ferkel bis 8 kg, N-/P-reduziert</t>
  </si>
  <si>
    <t xml:space="preserve">  Zuchtsauen mit 28 Ferkel bis 8 kg, Standard</t>
  </si>
  <si>
    <t>51</t>
  </si>
  <si>
    <t xml:space="preserve"> Zuchtsauen ab erstem Abferkeln, Jungsauen trächtig</t>
  </si>
  <si>
    <t xml:space="preserve">  Zuchtsauen mit 28 Ferkel bis 8 kg, N-/P-reduziert</t>
  </si>
  <si>
    <t xml:space="preserve">  Zuchtsauen mit 25 Ferkel bis 28 kg, Standard</t>
  </si>
  <si>
    <t xml:space="preserve">  Zuchtsauen mit 25 Ferkel bis 28 kg, N-/P-reduziert</t>
  </si>
  <si>
    <t xml:space="preserve">  Zuchtsauen mit 28 Ferkel bis 28 kg, Standard</t>
  </si>
  <si>
    <t xml:space="preserve">  Zuchtsauen mit 28 Ferkel bis 28 kg, N-/P-reduziert</t>
  </si>
  <si>
    <t>53</t>
  </si>
  <si>
    <t xml:space="preserve">  Andere Zuchtschweine (ohne Eber) ab 50 kg</t>
  </si>
  <si>
    <t>54</t>
  </si>
  <si>
    <t xml:space="preserve">  Jungschweine (Zucht/Mast) 30 kg bis unter 50 kg</t>
  </si>
  <si>
    <t xml:space="preserve">  Mastschweine (850 g TZ), Standard</t>
  </si>
  <si>
    <t>55</t>
  </si>
  <si>
    <t xml:space="preserve">  Mastschweine (einschl. Eber) ab 50 kg</t>
  </si>
  <si>
    <t xml:space="preserve">  Mastschweine (850 g TZ), N-/P-reduziert</t>
  </si>
  <si>
    <t xml:space="preserve">  Zuchteber</t>
  </si>
  <si>
    <t>61</t>
  </si>
  <si>
    <t xml:space="preserve">  Legehennen über 6 Monate</t>
  </si>
  <si>
    <t xml:space="preserve">  Legehennen über 16 Wochen, Standard</t>
  </si>
  <si>
    <t xml:space="preserve">  Legehennen über 16 Wochen, N-/P-reduziert</t>
  </si>
  <si>
    <t>62</t>
  </si>
  <si>
    <t xml:space="preserve">  Küken und Junghennen bis 6 Monate zur Aufzucht</t>
  </si>
  <si>
    <t xml:space="preserve">  Junghennen bis 16 Wochen, Standard</t>
  </si>
  <si>
    <t xml:space="preserve">  Junghennen bis 16 Wochen, N-/P-reduziert</t>
  </si>
  <si>
    <t>63</t>
  </si>
  <si>
    <t xml:space="preserve">  Masthühner/-hähne und übrige Küken</t>
  </si>
  <si>
    <t xml:space="preserve">  Masthähnchen, Standard</t>
  </si>
  <si>
    <t xml:space="preserve">  Masthähnchen, N-/P-reduziert</t>
  </si>
  <si>
    <t>64</t>
  </si>
  <si>
    <t xml:space="preserve">  Enten</t>
  </si>
  <si>
    <t xml:space="preserve">  Pekingenten</t>
  </si>
  <si>
    <t xml:space="preserve">  Flugenten</t>
  </si>
  <si>
    <t>65</t>
  </si>
  <si>
    <t xml:space="preserve">  Gänse</t>
  </si>
  <si>
    <t xml:space="preserve">  Gänse Spätmast/Weidemast</t>
  </si>
  <si>
    <t xml:space="preserve">  Putenhähne bis 21 Wochen Mast, Standard</t>
  </si>
  <si>
    <t>66</t>
  </si>
  <si>
    <t xml:space="preserve">  Puten</t>
  </si>
  <si>
    <t xml:space="preserve">  Putenhähne bis 21 Wochen Mast, N-/P-reduziert</t>
  </si>
  <si>
    <t xml:space="preserve">  Putenhennen bis 16 Wochen Mast, Standard</t>
  </si>
  <si>
    <t xml:space="preserve">  Putenhennen bis 16 Wochen Mast, N-/P-reduziert</t>
  </si>
  <si>
    <t>72</t>
  </si>
  <si>
    <t xml:space="preserve">  Kaninchen</t>
  </si>
  <si>
    <t xml:space="preserve">  Kaninchenaufz. bis 3 kg (Häsin + 52 Jungtiere je Jahr)</t>
  </si>
  <si>
    <t>73</t>
  </si>
  <si>
    <t xml:space="preserve">  Damwild</t>
  </si>
  <si>
    <t xml:space="preserve">  Damwild Alttier</t>
  </si>
  <si>
    <t>74</t>
  </si>
  <si>
    <t xml:space="preserve">  Rotwild</t>
  </si>
  <si>
    <t xml:space="preserve">  Rotwild Alttier</t>
  </si>
  <si>
    <t>82</t>
  </si>
  <si>
    <t xml:space="preserve">  Neuweltkameliden (Lama/Alpaka)</t>
  </si>
  <si>
    <t>85</t>
  </si>
  <si>
    <t xml:space="preserve">  Perlhühner</t>
  </si>
  <si>
    <t xml:space="preserve">  Perlhuhn</t>
  </si>
  <si>
    <t>Stallmist</t>
  </si>
  <si>
    <t>GV</t>
  </si>
  <si>
    <t>Milchleistung</t>
  </si>
  <si>
    <t xml:space="preserve"> </t>
  </si>
  <si>
    <t>TM</t>
  </si>
  <si>
    <t>in</t>
  </si>
  <si>
    <t>Rind</t>
  </si>
  <si>
    <t>Schwein</t>
  </si>
  <si>
    <t>Im Programm hinterlegte Daten aus Tabelle 4a+b+c</t>
  </si>
  <si>
    <t xml:space="preserve">Einstreu </t>
  </si>
  <si>
    <t>Jaucheanfall</t>
  </si>
  <si>
    <t>Verluste in %</t>
  </si>
  <si>
    <t>Stall- und Lager</t>
  </si>
  <si>
    <t>nach DüV</t>
  </si>
  <si>
    <r>
      <t xml:space="preserve">Jahresbestand </t>
    </r>
    <r>
      <rPr>
        <b/>
        <vertAlign val="superscript"/>
        <sz val="10"/>
        <rFont val="Arial"/>
        <family val="2"/>
      </rPr>
      <t>2)</t>
    </r>
  </si>
  <si>
    <r>
      <t>P</t>
    </r>
    <r>
      <rPr>
        <b/>
        <vertAlign val="subscript"/>
        <sz val="10"/>
        <rFont val="Arial"/>
        <family val="2"/>
      </rPr>
      <t>2</t>
    </r>
    <r>
      <rPr>
        <b/>
        <sz val="10"/>
        <rFont val="Arial"/>
        <family val="2"/>
      </rPr>
      <t>O</t>
    </r>
    <r>
      <rPr>
        <b/>
        <vertAlign val="subscript"/>
        <sz val="10"/>
        <rFont val="Arial"/>
        <family val="2"/>
      </rPr>
      <t>5</t>
    </r>
  </si>
  <si>
    <r>
      <t>K</t>
    </r>
    <r>
      <rPr>
        <b/>
        <vertAlign val="subscript"/>
        <sz val="10"/>
        <rFont val="Arial"/>
        <family val="2"/>
      </rPr>
      <t>2</t>
    </r>
    <r>
      <rPr>
        <b/>
        <sz val="10"/>
        <rFont val="Arial"/>
        <family val="2"/>
      </rPr>
      <t>O</t>
    </r>
  </si>
  <si>
    <t>Milchkuh (6000 kg Milch)</t>
  </si>
  <si>
    <t>Milchkuh (8000 kg Milch)</t>
  </si>
  <si>
    <t>Milchkuh (10000 kg Milch)</t>
  </si>
  <si>
    <t>Milchkuh (12000 kg Milch)</t>
  </si>
  <si>
    <t>Sonstige</t>
  </si>
  <si>
    <t>je Tier</t>
  </si>
  <si>
    <t>Grünlandanteil in %</t>
  </si>
  <si>
    <t>Milchkuh Acker</t>
  </si>
  <si>
    <t>Milchkuh GL</t>
  </si>
  <si>
    <t>Stroh</t>
  </si>
  <si>
    <t>Anfall</t>
  </si>
  <si>
    <t>Verluste</t>
  </si>
  <si>
    <t>Mist,Jauche</t>
  </si>
  <si>
    <t>Tiergruppe</t>
  </si>
  <si>
    <t>Anzahl ohne Weide</t>
  </si>
  <si>
    <t>m³/Jahr</t>
  </si>
  <si>
    <t>t/Jahr</t>
  </si>
  <si>
    <t>Nährstoffanfall Betrieb</t>
  </si>
  <si>
    <t>Festmist</t>
  </si>
  <si>
    <t>P205</t>
  </si>
  <si>
    <t>Tierart</t>
  </si>
  <si>
    <t>Jauche Nährstoffg.</t>
  </si>
  <si>
    <t>Tierbezeichnung</t>
  </si>
  <si>
    <t>Anfall Mist</t>
  </si>
  <si>
    <t>Nährstoffauss. Anfall</t>
  </si>
  <si>
    <t>Tierart wählen</t>
  </si>
  <si>
    <t>Gesamt</t>
  </si>
  <si>
    <t>kg/t bzw. m³</t>
  </si>
  <si>
    <t>flüssig</t>
  </si>
  <si>
    <t>fest</t>
  </si>
  <si>
    <t>fest in t</t>
  </si>
  <si>
    <t>kg</t>
  </si>
  <si>
    <t>spez. Gewicht</t>
  </si>
  <si>
    <t>spez.Gew.</t>
  </si>
  <si>
    <t>SM</t>
  </si>
  <si>
    <t>Lager</t>
  </si>
  <si>
    <t>Lagerraum m³</t>
  </si>
  <si>
    <t>Zu-/Verpacht</t>
  </si>
  <si>
    <t>Lager 4</t>
  </si>
  <si>
    <t xml:space="preserve">Zu- und Verpacht von Lagerkapazität </t>
  </si>
  <si>
    <t xml:space="preserve">Mindestanforderung nach DüV wird eingehalten: </t>
  </si>
  <si>
    <t>GV/ha</t>
  </si>
  <si>
    <t>bei Anteil</t>
  </si>
  <si>
    <t>ger.</t>
  </si>
  <si>
    <t>Nähstoffgehalt Stroh kg/t</t>
  </si>
  <si>
    <t>Einstreu</t>
  </si>
  <si>
    <t>kg je GV und Tag</t>
  </si>
  <si>
    <t>Einstreu kg je GV und Tag</t>
  </si>
  <si>
    <t>Menge Zu- und Verpacht m³</t>
  </si>
  <si>
    <t>Anfall in dieser Zeit (bzw. mindestens benötigter Lagerraum) in m³</t>
  </si>
  <si>
    <t>Zupacht</t>
  </si>
  <si>
    <t>Verpacht</t>
  </si>
  <si>
    <t>Fläche im grünen Gebiet (%) ab 2020</t>
  </si>
  <si>
    <t>Plaus. Tiere ohne Gülle</t>
  </si>
  <si>
    <t>GV/ha im Betrieb:</t>
  </si>
  <si>
    <t>bis 2020</t>
  </si>
  <si>
    <t>ab 2020</t>
  </si>
  <si>
    <t>Lager in Monaten Stallmist</t>
  </si>
  <si>
    <t>Silosaft</t>
  </si>
  <si>
    <t>% TS</t>
  </si>
  <si>
    <t xml:space="preserve">Anfall Gülle </t>
  </si>
  <si>
    <t xml:space="preserve">gesamt </t>
  </si>
  <si>
    <t xml:space="preserve">Anfall Jauche </t>
  </si>
  <si>
    <t>gesamt</t>
  </si>
  <si>
    <t>Menge</t>
  </si>
  <si>
    <t>TS</t>
  </si>
  <si>
    <t>Wasser</t>
  </si>
  <si>
    <t>org. Dünger</t>
  </si>
  <si>
    <t>Menge in m³</t>
  </si>
  <si>
    <t>Menge in t</t>
  </si>
  <si>
    <t>TS in %</t>
  </si>
  <si>
    <t>t/m³</t>
  </si>
  <si>
    <t>ja</t>
  </si>
  <si>
    <t>nein</t>
  </si>
  <si>
    <t>fest in m³</t>
  </si>
  <si>
    <t xml:space="preserve">1) Bei offenen Behältern sind von der Höhe 20 cm (Freiraum) und bei geschlossenen Behältern 10 cm abzuziehen. </t>
  </si>
  <si>
    <r>
      <t>Höhe</t>
    </r>
    <r>
      <rPr>
        <b/>
        <vertAlign val="superscript"/>
        <sz val="10"/>
        <rFont val="Arial"/>
        <family val="2"/>
      </rPr>
      <t>1)</t>
    </r>
  </si>
  <si>
    <t>TS-Gehalt</t>
  </si>
  <si>
    <t>Hausabwässer Anzahl Personen</t>
  </si>
  <si>
    <t>ha zusätzliche Ausbringfläche</t>
  </si>
  <si>
    <t xml:space="preserve"> welcher Anteil in % wird separiert</t>
  </si>
  <si>
    <r>
      <t>P</t>
    </r>
    <r>
      <rPr>
        <vertAlign val="subscript"/>
        <sz val="10"/>
        <rFont val="Arial"/>
        <family val="2"/>
      </rPr>
      <t>2</t>
    </r>
    <r>
      <rPr>
        <sz val="10"/>
        <rFont val="Arial"/>
        <family val="2"/>
      </rPr>
      <t>O</t>
    </r>
    <r>
      <rPr>
        <vertAlign val="subscript"/>
        <sz val="10"/>
        <rFont val="Arial"/>
        <family val="2"/>
      </rPr>
      <t>5</t>
    </r>
  </si>
  <si>
    <r>
      <t>K</t>
    </r>
    <r>
      <rPr>
        <vertAlign val="subscript"/>
        <sz val="10"/>
        <rFont val="Arial"/>
        <family val="2"/>
      </rPr>
      <t>2</t>
    </r>
    <r>
      <rPr>
        <sz val="10"/>
        <rFont val="Arial"/>
        <family val="2"/>
      </rPr>
      <t>O</t>
    </r>
  </si>
  <si>
    <t>ha</t>
  </si>
  <si>
    <t>Zwiz.</t>
  </si>
  <si>
    <t>Mindestanfall für Gärsaft  - mind. 3 % des Volumens des größten Silos</t>
  </si>
  <si>
    <t>Fläche verunreinigtes Wasser z.B. ungereinigte Silofläche oder Ladefläche</t>
  </si>
  <si>
    <t>ha LF nach MFA</t>
  </si>
  <si>
    <t>LKR_txt</t>
  </si>
  <si>
    <t>lkrname</t>
  </si>
  <si>
    <t>mm</t>
  </si>
  <si>
    <t>Ingolstadt</t>
  </si>
  <si>
    <t>M┬ünchen</t>
  </si>
  <si>
    <t>München</t>
  </si>
  <si>
    <t>Rosenheim</t>
  </si>
  <si>
    <t>AltÔÇØtting</t>
  </si>
  <si>
    <t>Altötting</t>
  </si>
  <si>
    <t>Berchtesgadener Land</t>
  </si>
  <si>
    <t>Bad TÔÇØlz-Wolfratshausen</t>
  </si>
  <si>
    <t>Bad Tölz-Wolfratshausen</t>
  </si>
  <si>
    <t>Dachau</t>
  </si>
  <si>
    <t>Ebersberg</t>
  </si>
  <si>
    <t>EichstÔÇ×tt</t>
  </si>
  <si>
    <t>Eichstätt</t>
  </si>
  <si>
    <t>Erding</t>
  </si>
  <si>
    <t>Freising</t>
  </si>
  <si>
    <t>F┬ürstenfeldbruck</t>
  </si>
  <si>
    <t>Fürstenfeldbruck</t>
  </si>
  <si>
    <t>Garmisch-Partenkirchen</t>
  </si>
  <si>
    <t>Landsberg am Lech</t>
  </si>
  <si>
    <t>Miesbach</t>
  </si>
  <si>
    <t>M┬ühldorf a.Inn</t>
  </si>
  <si>
    <t>Mühldorf a.Inn</t>
  </si>
  <si>
    <t>Neuburg-Schrobenhausen</t>
  </si>
  <si>
    <t>Pfaffenhofen a.d.Ilm</t>
  </si>
  <si>
    <t>Starnberg</t>
  </si>
  <si>
    <t>Traunstein</t>
  </si>
  <si>
    <t>Weilheim-Schongau</t>
  </si>
  <si>
    <t>Landshut</t>
  </si>
  <si>
    <t>Passau</t>
  </si>
  <si>
    <t>Straubing</t>
  </si>
  <si>
    <t>Deggendorf</t>
  </si>
  <si>
    <t>Freyung-Grafenau</t>
  </si>
  <si>
    <t>Kelheim</t>
  </si>
  <si>
    <t>Regen</t>
  </si>
  <si>
    <t>Rottal-Inn</t>
  </si>
  <si>
    <t>Straubing-Bogen</t>
  </si>
  <si>
    <t>Dingolfing-Landau</t>
  </si>
  <si>
    <t>Amberg</t>
  </si>
  <si>
    <t>Regensburg</t>
  </si>
  <si>
    <t>Weiden i.d.OPf.</t>
  </si>
  <si>
    <t>Amberg-Sulzbach</t>
  </si>
  <si>
    <t>Cham</t>
  </si>
  <si>
    <t>Neumarkt i.d.OPf.</t>
  </si>
  <si>
    <t>Neustadt a.d.Waldnaab</t>
  </si>
  <si>
    <t>Schwandorf</t>
  </si>
  <si>
    <t>Tirschenreuth</t>
  </si>
  <si>
    <t>Bamberg</t>
  </si>
  <si>
    <t>Bayreuth</t>
  </si>
  <si>
    <t>Coburg</t>
  </si>
  <si>
    <t>Hof</t>
  </si>
  <si>
    <t>Forchheim</t>
  </si>
  <si>
    <t>Kronach</t>
  </si>
  <si>
    <t>Kulmbach</t>
  </si>
  <si>
    <t>Lichtenfels</t>
  </si>
  <si>
    <t>Wunsiedel i.Fichtelgebirge</t>
  </si>
  <si>
    <t>Ansbach</t>
  </si>
  <si>
    <t>Erlangen</t>
  </si>
  <si>
    <t>F┬ürth</t>
  </si>
  <si>
    <t>Fürth</t>
  </si>
  <si>
    <t>N┬ürnberg</t>
  </si>
  <si>
    <t>Nürnberg</t>
  </si>
  <si>
    <t>Schwabach</t>
  </si>
  <si>
    <t>Erlangen-HÔÇØchstadt</t>
  </si>
  <si>
    <t>Erlangen-Höchstadt</t>
  </si>
  <si>
    <t>N┬ürnberger Land</t>
  </si>
  <si>
    <t>Nürnberger Land</t>
  </si>
  <si>
    <t>Neustadt a.d.Aisch-Bad Windsheim</t>
  </si>
  <si>
    <t>Roth</t>
  </si>
  <si>
    <t>Wei├íenburg-Gunzenhausen</t>
  </si>
  <si>
    <t>Weißenburg-Gunzenhausen</t>
  </si>
  <si>
    <t>Aschaffenburg</t>
  </si>
  <si>
    <t>Schweinfurt</t>
  </si>
  <si>
    <t>W┬ürzburg</t>
  </si>
  <si>
    <t>Würzburg</t>
  </si>
  <si>
    <t>Bad Kissingen</t>
  </si>
  <si>
    <t>RhÔÇØn-Grabfeld</t>
  </si>
  <si>
    <t>Rhön-Grabfeld</t>
  </si>
  <si>
    <t>Ha├íberge</t>
  </si>
  <si>
    <t>Haßberge</t>
  </si>
  <si>
    <t>Kitzingen</t>
  </si>
  <si>
    <t>Miltenberg</t>
  </si>
  <si>
    <t>Main-Spessart</t>
  </si>
  <si>
    <t>Augsburg</t>
  </si>
  <si>
    <t>Kaufbeuren</t>
  </si>
  <si>
    <t>Kempten (AllgÔÇ×u)</t>
  </si>
  <si>
    <t>Kempten (Allgäu)</t>
  </si>
  <si>
    <t>Memmingen</t>
  </si>
  <si>
    <t>Aichach-Friedberg</t>
  </si>
  <si>
    <t>Dillingen a.d.Donau</t>
  </si>
  <si>
    <t>G┬ünzburg</t>
  </si>
  <si>
    <t>Günzburg</t>
  </si>
  <si>
    <t>Neu-Ulm</t>
  </si>
  <si>
    <t>Lindau (Bodensee)</t>
  </si>
  <si>
    <t>OstallgÔÇ×u</t>
  </si>
  <si>
    <t>Ostallgäu</t>
  </si>
  <si>
    <t>UnterallgÔÇ×u</t>
  </si>
  <si>
    <t>Unterallgäu</t>
  </si>
  <si>
    <t>Donau-Ries</t>
  </si>
  <si>
    <t>OberallgÔÇ×u</t>
  </si>
  <si>
    <t>Oberallgäu</t>
  </si>
  <si>
    <t>Landkreis aus Betriebsnummer</t>
  </si>
  <si>
    <t>NH4-N Anteil</t>
  </si>
  <si>
    <t xml:space="preserve">Jauche </t>
  </si>
  <si>
    <t>NH4-Gehalt</t>
  </si>
  <si>
    <t>NH4 in kg N</t>
  </si>
  <si>
    <t>Gülle/Jauche</t>
  </si>
  <si>
    <t>Sommer</t>
  </si>
  <si>
    <t>Winter</t>
  </si>
  <si>
    <t xml:space="preserve">Gülle </t>
  </si>
  <si>
    <t>Anfall Betrieb t/Jahr</t>
  </si>
  <si>
    <t>Mist für Stroh Geflügel</t>
  </si>
  <si>
    <t>Notwendiger Lagerraum nach DüV in Monate</t>
  </si>
  <si>
    <t xml:space="preserve"> in Tonnen im Betrieb</t>
  </si>
  <si>
    <t>Nährstoffe</t>
  </si>
  <si>
    <t>Betrieb</t>
  </si>
  <si>
    <t>1: Zugang in Biogasanlage</t>
  </si>
  <si>
    <t>4: Biogasgärrestanfall im Jahr</t>
  </si>
  <si>
    <t>TS (%)</t>
  </si>
  <si>
    <t>Menge:</t>
  </si>
  <si>
    <t>TS:</t>
  </si>
  <si>
    <t>N:</t>
  </si>
  <si>
    <t>Zusammenfassung</t>
  </si>
  <si>
    <t>Summe Anfall eigene Tierhaltung</t>
  </si>
  <si>
    <t>Gas</t>
  </si>
  <si>
    <t>Methan</t>
  </si>
  <si>
    <r>
      <t>P</t>
    </r>
    <r>
      <rPr>
        <vertAlign val="subscript"/>
        <sz val="11"/>
        <color indexed="8"/>
        <rFont val="Calibri"/>
        <family val="2"/>
      </rPr>
      <t>2</t>
    </r>
    <r>
      <rPr>
        <sz val="10"/>
        <rFont val="Arial"/>
        <family val="2"/>
      </rPr>
      <t>O</t>
    </r>
    <r>
      <rPr>
        <vertAlign val="subscript"/>
        <sz val="11"/>
        <color indexed="8"/>
        <rFont val="Calibri"/>
        <family val="2"/>
      </rPr>
      <t>5</t>
    </r>
  </si>
  <si>
    <r>
      <t>K</t>
    </r>
    <r>
      <rPr>
        <vertAlign val="subscript"/>
        <sz val="11"/>
        <color indexed="8"/>
        <rFont val="Calibri"/>
        <family val="2"/>
      </rPr>
      <t>2</t>
    </r>
    <r>
      <rPr>
        <sz val="10"/>
        <rFont val="Arial"/>
        <family val="2"/>
      </rPr>
      <t>O</t>
    </r>
  </si>
  <si>
    <t>Gas in</t>
  </si>
  <si>
    <t>t, m³</t>
  </si>
  <si>
    <t>falls</t>
  </si>
  <si>
    <t>in TS</t>
  </si>
  <si>
    <t>Liter/kg</t>
  </si>
  <si>
    <t>Gehalt</t>
  </si>
  <si>
    <t>1000 m³</t>
  </si>
  <si>
    <t>in Tonnen</t>
  </si>
  <si>
    <t>FM</t>
  </si>
  <si>
    <t>bekannt</t>
  </si>
  <si>
    <t>5: Lagerraum siehe unten</t>
  </si>
  <si>
    <t xml:space="preserve">Mindestanforderung Lagerraum nach DüV wird eingehalten: </t>
  </si>
  <si>
    <t xml:space="preserve">        a) davon Wirtschaftsdünger aus eigener Tierhaltung</t>
  </si>
  <si>
    <t>Einsatzstoffe mit eigenen Daten</t>
  </si>
  <si>
    <r>
      <t xml:space="preserve">    Verbleibende Mengen </t>
    </r>
    <r>
      <rPr>
        <sz val="8"/>
        <rFont val="Arial"/>
        <family val="2"/>
      </rPr>
      <t>(Über-, Unterhang)</t>
    </r>
  </si>
  <si>
    <t>Verbleibende Nährstoffmenge in kg/Betrieb</t>
  </si>
  <si>
    <t>Anfall im Jahr</t>
  </si>
  <si>
    <t xml:space="preserve">in </t>
  </si>
  <si>
    <t>Bio-</t>
  </si>
  <si>
    <t>gas</t>
  </si>
  <si>
    <t>anlage</t>
  </si>
  <si>
    <t>Tonnen</t>
  </si>
  <si>
    <t>Zukauf</t>
  </si>
  <si>
    <t>kultur_edvname</t>
  </si>
  <si>
    <t>edv_code</t>
  </si>
  <si>
    <t>erzeugt_auf</t>
  </si>
  <si>
    <t>status_fruchtfolge</t>
  </si>
  <si>
    <t>ernteprodukt_art</t>
  </si>
  <si>
    <t>futtermittel_art</t>
  </si>
  <si>
    <t>tm%</t>
  </si>
  <si>
    <t>gehalt_hauptprodukt_fm_n</t>
  </si>
  <si>
    <t>gehalt_hauptprodukt_fm_p2o5</t>
  </si>
  <si>
    <t>gehalt_hauptprodukt_fm_k2o</t>
  </si>
  <si>
    <t>bgr_ots</t>
  </si>
  <si>
    <t>bgr_gas_ots</t>
  </si>
  <si>
    <t>bgr_methangehalt</t>
  </si>
  <si>
    <t>Kultur</t>
  </si>
  <si>
    <t>Futtermittel</t>
  </si>
  <si>
    <t>Nährstoffgehalt Haupternteprodukt</t>
  </si>
  <si>
    <t>Summe</t>
  </si>
  <si>
    <t>Methan-</t>
  </si>
  <si>
    <t>auf</t>
  </si>
  <si>
    <t>der Fruchtfolge</t>
  </si>
  <si>
    <t xml:space="preserve">oTS </t>
  </si>
  <si>
    <t>l/kg</t>
  </si>
  <si>
    <t>gehalt</t>
  </si>
  <si>
    <t>% in TM</t>
  </si>
  <si>
    <t>oTS</t>
  </si>
  <si>
    <t>l/kg oTS</t>
  </si>
  <si>
    <t>Winterweizen C-Sorte</t>
  </si>
  <si>
    <t>WW-C</t>
  </si>
  <si>
    <t>Acker</t>
  </si>
  <si>
    <t>Hfru</t>
  </si>
  <si>
    <t>Korn</t>
  </si>
  <si>
    <t>Winterweizen A/B-Sorte</t>
  </si>
  <si>
    <t>WW-AB</t>
  </si>
  <si>
    <t>Sommerweizen</t>
  </si>
  <si>
    <t>SW</t>
  </si>
  <si>
    <t/>
  </si>
  <si>
    <t>WG</t>
  </si>
  <si>
    <t>Sommerfuttergerste</t>
  </si>
  <si>
    <t>SG-F</t>
  </si>
  <si>
    <t>Winterroggen</t>
  </si>
  <si>
    <t>WRO</t>
  </si>
  <si>
    <t>Hafer</t>
  </si>
  <si>
    <t>HA</t>
  </si>
  <si>
    <t>Triticale</t>
  </si>
  <si>
    <t>TR</t>
  </si>
  <si>
    <t>Dinkel</t>
  </si>
  <si>
    <t>DI</t>
  </si>
  <si>
    <t>Körnermaisstroh</t>
  </si>
  <si>
    <t>STRO-M1</t>
  </si>
  <si>
    <t>KM</t>
  </si>
  <si>
    <t>Ganzpflanze</t>
  </si>
  <si>
    <t xml:space="preserve"> +++Hackfrüchte+++</t>
  </si>
  <si>
    <t>KA</t>
  </si>
  <si>
    <t>Knolle</t>
  </si>
  <si>
    <t>Zuckerrüben</t>
  </si>
  <si>
    <t>ZR</t>
  </si>
  <si>
    <t>Rübe</t>
  </si>
  <si>
    <t>Futter-, Runkelrüben</t>
  </si>
  <si>
    <t>FR-G</t>
  </si>
  <si>
    <t xml:space="preserve"> +++Mehrschnittiger Feldfutterbau +++</t>
  </si>
  <si>
    <t>WEG5</t>
  </si>
  <si>
    <t>Kleegras (Kleeanteil 30 %)</t>
  </si>
  <si>
    <t>KLG30</t>
  </si>
  <si>
    <t>Kleegras (Kleeanteil 50 %)</t>
  </si>
  <si>
    <t>KLG50</t>
  </si>
  <si>
    <t>Kleegras (Kleeanteil 70 %)</t>
  </si>
  <si>
    <t>KLG70</t>
  </si>
  <si>
    <t>Luzernegras (Luz.anteil 30 %)</t>
  </si>
  <si>
    <t>LUZG30</t>
  </si>
  <si>
    <t>Luzernegras (Luz.anteil 50 %)</t>
  </si>
  <si>
    <t>LUZG50</t>
  </si>
  <si>
    <t>Luzernegras (Luz.anteil 70 %)</t>
  </si>
  <si>
    <t>LUZG70</t>
  </si>
  <si>
    <t>Klee (Reinkultur)</t>
  </si>
  <si>
    <t>RKL</t>
  </si>
  <si>
    <t>Luzerne (Reinkultur)</t>
  </si>
  <si>
    <t>LUZ</t>
  </si>
  <si>
    <t xml:space="preserve"> +++Futterpflanzen+++</t>
  </si>
  <si>
    <t>Corn-Cop-Mix (CCM)</t>
  </si>
  <si>
    <t>CCM</t>
  </si>
  <si>
    <t>Kolben</t>
  </si>
  <si>
    <t>GPS Weizen</t>
  </si>
  <si>
    <t>GPS-W</t>
  </si>
  <si>
    <t>GPS-G</t>
  </si>
  <si>
    <t>GPS-T</t>
  </si>
  <si>
    <t>GPS Roggen</t>
  </si>
  <si>
    <t>GPS-RO</t>
  </si>
  <si>
    <t>GPS Hafer</t>
  </si>
  <si>
    <t>GPS-HA</t>
  </si>
  <si>
    <t xml:space="preserve"> +++Energiepflanzen+++</t>
  </si>
  <si>
    <t>Sorgumhirse</t>
  </si>
  <si>
    <t>SUG</t>
  </si>
  <si>
    <t xml:space="preserve"> +++Zweitfrucht (2. Hauptfrucht)+++</t>
  </si>
  <si>
    <t>2F-WEG</t>
  </si>
  <si>
    <t>Nfru</t>
  </si>
  <si>
    <t>GPS Winterraps</t>
  </si>
  <si>
    <t>2F-RAW</t>
  </si>
  <si>
    <t>2F-RO</t>
  </si>
  <si>
    <t xml:space="preserve"> +++Zwischenfrucht+++</t>
  </si>
  <si>
    <t>Zwischenfrucht mit 0 - 25 % Leg.</t>
  </si>
  <si>
    <t>Z-L25</t>
  </si>
  <si>
    <t>Zwischenfrucht mit 25 - 75 % Leg.</t>
  </si>
  <si>
    <t>Z-L50</t>
  </si>
  <si>
    <t>Z-L75</t>
  </si>
  <si>
    <t xml:space="preserve"> +++Grünland+++</t>
  </si>
  <si>
    <t>GRL</t>
  </si>
  <si>
    <t>Grünland</t>
  </si>
  <si>
    <t>Biogas</t>
  </si>
  <si>
    <t>Gasaus-</t>
  </si>
  <si>
    <t>beute</t>
  </si>
  <si>
    <t>O TS</t>
  </si>
  <si>
    <t>L/kg TS</t>
  </si>
  <si>
    <t>Eigener Anbau</t>
  </si>
  <si>
    <t>Menge*</t>
  </si>
  <si>
    <t>Biogasgärrest</t>
  </si>
  <si>
    <t>Menge (flüssig)</t>
  </si>
  <si>
    <t>Relativ in %</t>
  </si>
  <si>
    <t>t im Betrieb</t>
  </si>
  <si>
    <t>Lager 1</t>
  </si>
  <si>
    <r>
      <t>Lager 2</t>
    </r>
    <r>
      <rPr>
        <sz val="10"/>
        <rFont val="Arial"/>
        <family val="2"/>
      </rPr>
      <t/>
    </r>
  </si>
  <si>
    <r>
      <t>Lager 3</t>
    </r>
    <r>
      <rPr>
        <sz val="10"/>
        <rFont val="Arial"/>
        <family val="2"/>
      </rPr>
      <t/>
    </r>
  </si>
  <si>
    <r>
      <t>Behälter 4</t>
    </r>
    <r>
      <rPr>
        <sz val="10"/>
        <rFont val="Arial"/>
        <family val="2"/>
      </rPr>
      <t/>
    </r>
  </si>
  <si>
    <r>
      <t>Behälter 5</t>
    </r>
    <r>
      <rPr>
        <sz val="10"/>
        <rFont val="Arial"/>
        <family val="2"/>
      </rPr>
      <t/>
    </r>
  </si>
  <si>
    <t>Behälter 6</t>
  </si>
  <si>
    <t>oder Monat</t>
  </si>
  <si>
    <t xml:space="preserve">Datum </t>
  </si>
  <si>
    <t>Name/Adresse</t>
  </si>
  <si>
    <t>Abgang</t>
  </si>
  <si>
    <t>Berechneter Gasertrag aus Einsatzstoffe Biogas ohne Korrektur</t>
  </si>
  <si>
    <t>Berechneter Gasertrag aus Einsatzstoffe Biogas mit Korrektur</t>
  </si>
  <si>
    <t>Verkauftes Gas (bzw. aus Stromverkauf/-verbrauch berechnet)</t>
  </si>
  <si>
    <t>in 1000 kWh</t>
  </si>
  <si>
    <t xml:space="preserve">Verkauf Strom im Jahr </t>
  </si>
  <si>
    <t xml:space="preserve">plus Eigenstromverbrauch im Jahr </t>
  </si>
  <si>
    <t xml:space="preserve">Gasertrag gegenüber "normal"  </t>
  </si>
  <si>
    <t xml:space="preserve">Vorschlag: </t>
  </si>
  <si>
    <t>Methangeh.</t>
  </si>
  <si>
    <t>Festmist ohne Stroh</t>
  </si>
  <si>
    <t>Nährstoffanfall Weide (netto)</t>
  </si>
  <si>
    <t>Nährstoffanfall Stall ohne Biogas  (netto)</t>
  </si>
  <si>
    <t>Nährstoffanfall über Biogas  (netto)</t>
  </si>
  <si>
    <t>Tiere</t>
  </si>
  <si>
    <t xml:space="preserve">TS </t>
  </si>
  <si>
    <t xml:space="preserve"> Gülle/Jauche</t>
  </si>
  <si>
    <t>Gülle/Jauche + Mist</t>
  </si>
  <si>
    <t>CO2</t>
  </si>
  <si>
    <t>oTM</t>
  </si>
  <si>
    <t>org. FM</t>
  </si>
  <si>
    <t xml:space="preserve"> + CO2</t>
  </si>
  <si>
    <t>aus TS</t>
  </si>
  <si>
    <t>aus H2O</t>
  </si>
  <si>
    <t>Basis für</t>
  </si>
  <si>
    <t>Hydratberechnung</t>
  </si>
  <si>
    <t>Gas/887</t>
  </si>
  <si>
    <t>Volumen</t>
  </si>
  <si>
    <t>Gärrest</t>
  </si>
  <si>
    <t>Eigene Tier</t>
  </si>
  <si>
    <t>Korrektur Gas</t>
  </si>
  <si>
    <t>Verweilzeit</t>
  </si>
  <si>
    <t>Fermenter</t>
  </si>
  <si>
    <t>mind.</t>
  </si>
  <si>
    <t>Biogas Verweilzeit mind.</t>
  </si>
  <si>
    <t>Tage</t>
  </si>
  <si>
    <t>zeit</t>
  </si>
  <si>
    <t>m²</t>
  </si>
  <si>
    <t>Anz.</t>
  </si>
  <si>
    <t>tierisch</t>
  </si>
  <si>
    <t>1=ja</t>
  </si>
  <si>
    <t>Endlager</t>
  </si>
  <si>
    <t>Fermenter/</t>
  </si>
  <si>
    <t>in Biogas</t>
  </si>
  <si>
    <t xml:space="preserve">t </t>
  </si>
  <si>
    <t xml:space="preserve">   davon Weide</t>
  </si>
  <si>
    <t>Tonnen im Betrieb</t>
  </si>
  <si>
    <t>Zukauf+Eigenanbau</t>
  </si>
  <si>
    <t>Abgabe anderer Betrieb</t>
  </si>
  <si>
    <t>Verwertung eigener Betrieb</t>
  </si>
  <si>
    <t>6: Abgabe an andere Betriebe</t>
  </si>
  <si>
    <t>Gesamtmenge mit/ohne Biogas</t>
  </si>
  <si>
    <t>einge Flächen zur Düngung</t>
  </si>
  <si>
    <t>kg N/ha</t>
  </si>
  <si>
    <t xml:space="preserve">     Wirtschaftsdünger eigene Tierhaltung (nicht in Biogasanlage)</t>
  </si>
  <si>
    <t xml:space="preserve">N </t>
  </si>
  <si>
    <t>Grenze absolut</t>
  </si>
  <si>
    <t>ges</t>
  </si>
  <si>
    <t>nicht Biogas</t>
  </si>
  <si>
    <t>Lagerrraum Mist</t>
  </si>
  <si>
    <t>Monate</t>
  </si>
  <si>
    <t>ohne Biogas</t>
  </si>
  <si>
    <t>LF Grünland</t>
  </si>
  <si>
    <t>normal</t>
  </si>
  <si>
    <t>grün</t>
  </si>
  <si>
    <t>Max. Verwertung 6 Mo</t>
  </si>
  <si>
    <t>Monate ohne Biogas</t>
  </si>
  <si>
    <t>Lagerung 9 Mo</t>
  </si>
  <si>
    <t>Anfall Rinder Gülle N</t>
  </si>
  <si>
    <t>Zusätzliche Flächen</t>
  </si>
  <si>
    <t>Monate ohne Biogas (korr)</t>
  </si>
  <si>
    <t>ha "nur" Verbot der org. Düngung</t>
  </si>
  <si>
    <t>ha Stilllegung</t>
  </si>
  <si>
    <t>Gülle und Jauche (netto)</t>
  </si>
  <si>
    <t>S-Mist</t>
  </si>
  <si>
    <t>je Monat</t>
  </si>
  <si>
    <t>Gülle/Jauche ohne Biogas</t>
  </si>
  <si>
    <t>Jahr</t>
  </si>
  <si>
    <t>Rechengang flüssig: ohne Biogas</t>
  </si>
  <si>
    <t>Rechengang flüssig mit Biogas</t>
  </si>
  <si>
    <t>davon Gülle/Jauche</t>
  </si>
  <si>
    <t>Gesamt 6 Monte</t>
  </si>
  <si>
    <t>Gesamt 9 Monate</t>
  </si>
  <si>
    <t xml:space="preserve">Für </t>
  </si>
  <si>
    <t>Tiere in 6 Monate</t>
  </si>
  <si>
    <t>Summe in 6 Monate</t>
  </si>
  <si>
    <t>rot/grün</t>
  </si>
  <si>
    <t>N/m³</t>
  </si>
  <si>
    <t xml:space="preserve">   davon Mist nicht in Biogasanlage</t>
  </si>
  <si>
    <t>kg N</t>
  </si>
  <si>
    <t>eigene Tierhaltung</t>
  </si>
  <si>
    <t>Eigene pflanzliche (Mais, …)</t>
  </si>
  <si>
    <t>Zukauf pflanzliche (Mais, …)</t>
  </si>
  <si>
    <t xml:space="preserve"> +++org. Dünger+++</t>
  </si>
  <si>
    <t>tierisch  1=ja</t>
  </si>
  <si>
    <t>Abweichung plausibel</t>
  </si>
  <si>
    <r>
      <t xml:space="preserve">Wassereinleitung im Jahr </t>
    </r>
    <r>
      <rPr>
        <sz val="11"/>
        <rFont val="Arial"/>
        <family val="2"/>
      </rPr>
      <t>(in Fermenter oder Endlager)</t>
    </r>
  </si>
  <si>
    <t xml:space="preserve">in  </t>
  </si>
  <si>
    <t>in 1000 m³</t>
  </si>
  <si>
    <t xml:space="preserve">ggf. Verkauf Biogas im Jahr </t>
  </si>
  <si>
    <t xml:space="preserve">Plausibilisierung Gasertrag </t>
  </si>
  <si>
    <t>NH4-N</t>
  </si>
  <si>
    <t>Behälter 7</t>
  </si>
  <si>
    <t>(Fermenter bitte ankreuzen)</t>
  </si>
  <si>
    <t>so. Tiere</t>
  </si>
  <si>
    <r>
      <t>P</t>
    </r>
    <r>
      <rPr>
        <b/>
        <vertAlign val="subscript"/>
        <sz val="10"/>
        <color indexed="8"/>
        <rFont val="Arial"/>
        <family val="2"/>
      </rPr>
      <t>2</t>
    </r>
    <r>
      <rPr>
        <b/>
        <sz val="10"/>
        <color indexed="8"/>
        <rFont val="Arial"/>
        <family val="2"/>
      </rPr>
      <t>O</t>
    </r>
    <r>
      <rPr>
        <b/>
        <vertAlign val="subscript"/>
        <sz val="10"/>
        <color indexed="8"/>
        <rFont val="Arial"/>
        <family val="2"/>
      </rPr>
      <t>5</t>
    </r>
  </si>
  <si>
    <r>
      <t>K</t>
    </r>
    <r>
      <rPr>
        <b/>
        <vertAlign val="subscript"/>
        <sz val="10"/>
        <color indexed="8"/>
        <rFont val="Arial"/>
        <family val="2"/>
      </rPr>
      <t>2</t>
    </r>
    <r>
      <rPr>
        <b/>
        <sz val="10"/>
        <color indexed="8"/>
        <rFont val="Arial"/>
        <family val="2"/>
      </rPr>
      <t>O</t>
    </r>
  </si>
  <si>
    <t>zwi</t>
  </si>
  <si>
    <t>Mindest</t>
  </si>
  <si>
    <t>Verweil-</t>
  </si>
  <si>
    <t>Substrat</t>
  </si>
  <si>
    <t>max</t>
  </si>
  <si>
    <t>Fehler</t>
  </si>
  <si>
    <t>NH4-Anteil</t>
  </si>
  <si>
    <t>je ha **</t>
  </si>
  <si>
    <t>Mögliche Nährstoffausbringung nach DüV § 6 (170 kg N/ha)</t>
  </si>
  <si>
    <t xml:space="preserve">ha </t>
  </si>
  <si>
    <t xml:space="preserve">Ausgebrachte Stickstoffmenge im Betrieb </t>
  </si>
  <si>
    <t>NH-4</t>
  </si>
  <si>
    <t>Anteil</t>
  </si>
  <si>
    <t xml:space="preserve">Mittel </t>
  </si>
  <si>
    <t>Mittel</t>
  </si>
  <si>
    <t>1=nein</t>
  </si>
  <si>
    <t>2=Rind, 3=schwein, 4=Geflügel, 5=sont.</t>
  </si>
  <si>
    <t>Tatsächlich</t>
  </si>
  <si>
    <t>NH-N</t>
  </si>
  <si>
    <t>tierischer Anteil in %</t>
  </si>
  <si>
    <t>Angabe der Weideflächen</t>
  </si>
  <si>
    <t>Nährstoffanfall in kg/ha</t>
  </si>
  <si>
    <t>mit Stroh</t>
  </si>
  <si>
    <t>ohne Stroh</t>
  </si>
  <si>
    <t xml:space="preserve">Maximal akzeptierter Überhang in kg/Betrieb </t>
  </si>
  <si>
    <t xml:space="preserve">Überschreitung des akzeptierten Überhangs in kg/Betrieb </t>
  </si>
  <si>
    <t>Überschreitung nach DüV § 6 (170 kg N/ha)</t>
  </si>
  <si>
    <r>
      <t>P</t>
    </r>
    <r>
      <rPr>
        <vertAlign val="subscript"/>
        <sz val="11"/>
        <rFont val="Arial"/>
        <family val="2"/>
      </rPr>
      <t>2</t>
    </r>
    <r>
      <rPr>
        <sz val="11"/>
        <rFont val="Arial"/>
        <family val="2"/>
      </rPr>
      <t>O</t>
    </r>
    <r>
      <rPr>
        <vertAlign val="subscript"/>
        <sz val="11"/>
        <rFont val="Arial"/>
        <family val="2"/>
      </rPr>
      <t>5</t>
    </r>
  </si>
  <si>
    <r>
      <t>K</t>
    </r>
    <r>
      <rPr>
        <vertAlign val="subscript"/>
        <sz val="11"/>
        <rFont val="Arial"/>
        <family val="2"/>
      </rPr>
      <t>2</t>
    </r>
    <r>
      <rPr>
        <sz val="11"/>
        <rFont val="Arial"/>
        <family val="2"/>
      </rPr>
      <t>O</t>
    </r>
  </si>
  <si>
    <t>7: Verwertung im eigenen Betrieb</t>
  </si>
  <si>
    <t>Relativ (%)</t>
  </si>
  <si>
    <t xml:space="preserve">1a: Anfall flüssiger/fester Wirtschaftsdünger (Gülle/Stallmist) aus eigener Tierhaltung </t>
  </si>
  <si>
    <r>
      <t>K</t>
    </r>
    <r>
      <rPr>
        <vertAlign val="subscript"/>
        <sz val="10"/>
        <rFont val="Arial"/>
        <family val="2"/>
      </rPr>
      <t>2</t>
    </r>
    <r>
      <rPr>
        <sz val="10"/>
        <rFont val="Arial"/>
        <family val="2"/>
      </rPr>
      <t>O</t>
    </r>
  </si>
  <si>
    <t>Anfall eigene Tierhaltung im Jahr</t>
  </si>
  <si>
    <r>
      <t>NH</t>
    </r>
    <r>
      <rPr>
        <b/>
        <vertAlign val="subscript"/>
        <sz val="10"/>
        <rFont val="Arial"/>
        <family val="2"/>
      </rPr>
      <t>4</t>
    </r>
    <r>
      <rPr>
        <b/>
        <sz val="10"/>
        <rFont val="Arial"/>
        <family val="2"/>
      </rPr>
      <t>-N:</t>
    </r>
  </si>
  <si>
    <r>
      <t>P</t>
    </r>
    <r>
      <rPr>
        <b/>
        <vertAlign val="subscript"/>
        <sz val="10"/>
        <rFont val="Arial"/>
        <family val="2"/>
      </rPr>
      <t>2</t>
    </r>
    <r>
      <rPr>
        <b/>
        <sz val="10"/>
        <rFont val="Arial"/>
        <family val="2"/>
      </rPr>
      <t>O</t>
    </r>
    <r>
      <rPr>
        <b/>
        <vertAlign val="subscript"/>
        <sz val="10"/>
        <rFont val="Arial"/>
        <family val="2"/>
      </rPr>
      <t>5</t>
    </r>
    <r>
      <rPr>
        <b/>
        <sz val="10"/>
        <rFont val="Arial"/>
        <family val="2"/>
      </rPr>
      <t>:</t>
    </r>
  </si>
  <si>
    <r>
      <t>K</t>
    </r>
    <r>
      <rPr>
        <b/>
        <vertAlign val="subscript"/>
        <sz val="10"/>
        <rFont val="Arial"/>
        <family val="2"/>
      </rPr>
      <t>2</t>
    </r>
    <r>
      <rPr>
        <b/>
        <sz val="10"/>
        <rFont val="Arial"/>
        <family val="2"/>
      </rPr>
      <t>O:</t>
    </r>
  </si>
  <si>
    <t>Es werden nur die  Lagerverluste berücksichtigt (ggf. anfallende Ausbringverluste sind nicht zu berücksichtigen)</t>
  </si>
  <si>
    <t>Rechteckige Behälter (flüssig)</t>
  </si>
  <si>
    <t>bzw. Lagerflächen (fest)</t>
  </si>
  <si>
    <t>Runde Behälter (flüssig)</t>
  </si>
  <si>
    <t>Sonstige Lagerkapazitäten</t>
  </si>
  <si>
    <t>Adresse des Betriebs</t>
  </si>
  <si>
    <r>
      <t>P</t>
    </r>
    <r>
      <rPr>
        <b/>
        <vertAlign val="subscript"/>
        <sz val="12"/>
        <rFont val="Arial"/>
        <family val="2"/>
      </rPr>
      <t>2</t>
    </r>
    <r>
      <rPr>
        <b/>
        <sz val="12"/>
        <rFont val="Arial"/>
        <family val="2"/>
      </rPr>
      <t>O</t>
    </r>
    <r>
      <rPr>
        <b/>
        <vertAlign val="subscript"/>
        <sz val="12"/>
        <rFont val="Arial"/>
        <family val="2"/>
      </rPr>
      <t>5</t>
    </r>
  </si>
  <si>
    <t>Anforderungen nach DüV § 6 (170 kg N/ha) eingehalten?</t>
  </si>
  <si>
    <t>Vorgaben der DüV § 6 (170 kg N/ha) eingehalten</t>
  </si>
  <si>
    <t>Berechnung Nährstoffflüsse und notwendiger Lagerraum</t>
  </si>
  <si>
    <t xml:space="preserve">        d) davon eingeleitetes Wasser</t>
  </si>
  <si>
    <t>Bewertung Nährstoffflüsse nach WDüngV</t>
  </si>
  <si>
    <t>(nach Abzug der Stall-/Lagerverluste)</t>
  </si>
  <si>
    <r>
      <t>P</t>
    </r>
    <r>
      <rPr>
        <b/>
        <vertAlign val="subscript"/>
        <sz val="11"/>
        <color indexed="8"/>
        <rFont val="Calibri"/>
        <family val="2"/>
      </rPr>
      <t>2</t>
    </r>
    <r>
      <rPr>
        <b/>
        <sz val="10"/>
        <rFont val="Arial"/>
        <family val="2"/>
      </rPr>
      <t>O</t>
    </r>
    <r>
      <rPr>
        <b/>
        <vertAlign val="subscript"/>
        <sz val="11"/>
        <color indexed="8"/>
        <rFont val="Calibri"/>
        <family val="2"/>
      </rPr>
      <t>5</t>
    </r>
  </si>
  <si>
    <t>Gasertrag (von - 10 % bis + 20 %)</t>
  </si>
  <si>
    <t>Gasertrag in</t>
  </si>
  <si>
    <t>1000 m³ im Jahr</t>
  </si>
  <si>
    <t>2: Verkauf von Biogas oder Strom</t>
  </si>
  <si>
    <r>
      <t>NH</t>
    </r>
    <r>
      <rPr>
        <b/>
        <vertAlign val="subscript"/>
        <sz val="10"/>
        <rFont val="Arial"/>
        <family val="2"/>
      </rPr>
      <t>4</t>
    </r>
    <r>
      <rPr>
        <b/>
        <sz val="10"/>
        <rFont val="Arial"/>
        <family val="2"/>
      </rPr>
      <t>-N</t>
    </r>
  </si>
  <si>
    <r>
      <t>K</t>
    </r>
    <r>
      <rPr>
        <b/>
        <vertAlign val="subscript"/>
        <sz val="11"/>
        <color indexed="8"/>
        <rFont val="Calibri"/>
        <family val="2"/>
      </rPr>
      <t>2</t>
    </r>
    <r>
      <rPr>
        <b/>
        <sz val="10"/>
        <rFont val="Arial"/>
        <family val="2"/>
      </rPr>
      <t>O</t>
    </r>
  </si>
  <si>
    <r>
      <t>Biogasgärreste</t>
    </r>
    <r>
      <rPr>
        <b/>
        <sz val="10"/>
        <rFont val="Arial"/>
        <family val="2"/>
      </rPr>
      <t xml:space="preserve"> </t>
    </r>
    <r>
      <rPr>
        <sz val="10"/>
        <rFont val="Arial"/>
        <family val="2"/>
      </rPr>
      <t>bzw. Gülle/Mist</t>
    </r>
  </si>
  <si>
    <r>
      <t xml:space="preserve">t </t>
    </r>
    <r>
      <rPr>
        <sz val="7"/>
        <rFont val="Arial"/>
        <family val="2"/>
      </rPr>
      <t>bzw.</t>
    </r>
    <r>
      <rPr>
        <b/>
        <sz val="10"/>
        <rFont val="Arial"/>
        <family val="2"/>
      </rPr>
      <t xml:space="preserve"> m³</t>
    </r>
  </si>
  <si>
    <r>
      <rPr>
        <b/>
        <sz val="10"/>
        <rFont val="Arial"/>
        <family val="2"/>
      </rPr>
      <t>in kg/t</t>
    </r>
    <r>
      <rPr>
        <sz val="10"/>
        <rFont val="Arial"/>
        <family val="2"/>
      </rPr>
      <t xml:space="preserve">                        </t>
    </r>
    <r>
      <rPr>
        <sz val="8"/>
        <rFont val="Arial"/>
        <family val="2"/>
      </rPr>
      <t>bzw.</t>
    </r>
    <r>
      <rPr>
        <sz val="10"/>
        <rFont val="Arial"/>
        <family val="2"/>
      </rPr>
      <t xml:space="preserve"> kg/m³</t>
    </r>
  </si>
  <si>
    <t>3: Die anrechenbaren gasf. N-Verluste (Lager)</t>
  </si>
  <si>
    <t>Milchviehgülle (Grünland)</t>
  </si>
  <si>
    <t>Milchviehgülle (Acker)</t>
  </si>
  <si>
    <t>Mastschweinegülle, N-/P-red. Fütterung</t>
  </si>
  <si>
    <t>Schweinejauche</t>
  </si>
  <si>
    <t>Putenmist</t>
  </si>
  <si>
    <t>Flugentenmist</t>
  </si>
  <si>
    <t>Pferdemist</t>
  </si>
  <si>
    <t>Einsatzstoffe mit Inhaltsstoffen nach Basisdaten</t>
  </si>
  <si>
    <t>Wirkungsgrad Motor (wenn bekannt 30-40 %)</t>
  </si>
  <si>
    <t>5: Behälter für flüssige und feste Wirtschaftsdünger</t>
  </si>
  <si>
    <t>Beispiel:</t>
  </si>
  <si>
    <t>1 Fermenter mit 393 m³</t>
  </si>
  <si>
    <t>1 Nachgärer mit 393 m³ der um 70 % abgesenkt werden kann/darf</t>
  </si>
  <si>
    <t xml:space="preserve">Biogasanlage mit </t>
  </si>
  <si>
    <t>1 Endlager mit 1060 m³</t>
  </si>
  <si>
    <t xml:space="preserve">Das Endlager "Behälter 4" ist in einer Zeile zu erfassen. </t>
  </si>
  <si>
    <t>Fermenter mit 393 m³</t>
  </si>
  <si>
    <t>Nachgärer mit 393 m³ der um 70 % abgesenkt werden kann/darf</t>
  </si>
  <si>
    <t>Endlager mit 1060 m³</t>
  </si>
  <si>
    <t>Der Nachgärer muss in "zwei" Behälter geteilt und erfasst werden, weil ein Teil als Endlager genutzt werden kann. Dazu sind 30 % als Fermenter und 70 % als Endlager zu erfassen.</t>
  </si>
  <si>
    <r>
      <t xml:space="preserve">Der nicht absenkbare Teil des Nachgärers (Behälter 2) ist wie ein Fermenter zu behandeln, weil er nicht als Endlager genutzt werden kann. Dazu kann die Höhe des Behälters zur Aufteilung verwendet werden. Im Beispiel sind 30 % als Fermenter zu erfassen (30 % von 5 m = 1,5 m). In der Spalte Fermenter </t>
    </r>
    <r>
      <rPr>
        <b/>
        <sz val="12"/>
        <rFont val="Wingdings"/>
        <charset val="2"/>
      </rPr>
      <t>þ</t>
    </r>
    <r>
      <rPr>
        <sz val="10"/>
        <rFont val="Arial"/>
        <family val="2"/>
      </rPr>
      <t xml:space="preserve"> setzen.</t>
    </r>
  </si>
  <si>
    <r>
      <t xml:space="preserve">Der Fermenter "Behälter 1" muss als Fermenter </t>
    </r>
    <r>
      <rPr>
        <b/>
        <sz val="12"/>
        <rFont val="Wingdings"/>
        <charset val="2"/>
      </rPr>
      <t>þ</t>
    </r>
    <r>
      <rPr>
        <b/>
        <sz val="10"/>
        <rFont val="Arial"/>
        <family val="2"/>
      </rPr>
      <t xml:space="preserve"> </t>
    </r>
    <r>
      <rPr>
        <sz val="10"/>
        <rFont val="Arial"/>
        <family val="2"/>
      </rPr>
      <t>werden.</t>
    </r>
  </si>
  <si>
    <t xml:space="preserve">Der absenkbare Teil des Nachgärers (Behälter 3) kann als Endlager genutzt werden. Dazu kann die Höhe des Behälters zur Aufteilung verwendet werden. Im Beispiel sind 70 % als Endlager zu erfassen (70 % von 5 m = 3,5 m). </t>
  </si>
  <si>
    <t>Wie sind die Behälter Fermenter, Nachgärer und Endlager                                               im Programm zu erfassen?</t>
  </si>
  <si>
    <t>Summe N FM ohne Stroh in Biogas</t>
  </si>
  <si>
    <t>Summe N Mist ohne Stroh nicht in Biogas</t>
  </si>
  <si>
    <t>BGR</t>
  </si>
  <si>
    <t>Dünger</t>
  </si>
  <si>
    <t>Art</t>
  </si>
  <si>
    <t>N-Anteil</t>
  </si>
  <si>
    <t xml:space="preserve">             davon Gülle nicht in Biogasanlage </t>
  </si>
  <si>
    <t>Zusammenfassung und Ergebnis (nach Dateneingabe)</t>
  </si>
  <si>
    <t>Betriebsnr.:</t>
  </si>
  <si>
    <t xml:space="preserve">Hinweis: Es müssen alle Werte vollständig eingetragen werden. </t>
  </si>
  <si>
    <t>Bewertung notwendiger Lagerraum nach DüV § 12</t>
  </si>
  <si>
    <t>Überschreitung 170 ohne Toleranz</t>
  </si>
  <si>
    <t>Verbleibende Toleranz aus WDüngV</t>
  </si>
  <si>
    <t>Max Toleranz</t>
  </si>
  <si>
    <t>ausblenden</t>
  </si>
  <si>
    <t>Summe Stroh in Biogas</t>
  </si>
  <si>
    <t>P-Anteil</t>
  </si>
  <si>
    <r>
      <t xml:space="preserve">Notwendiger Lagerraum DüV § 12 </t>
    </r>
    <r>
      <rPr>
        <sz val="12"/>
        <rFont val="Arial"/>
        <family val="2"/>
      </rPr>
      <t>(</t>
    </r>
    <r>
      <rPr>
        <sz val="10"/>
        <rFont val="Arial"/>
        <family val="2"/>
      </rPr>
      <t>bei erfassten Tieren und Flächen</t>
    </r>
    <r>
      <rPr>
        <vertAlign val="superscript"/>
        <sz val="10"/>
        <rFont val="Arial"/>
        <family val="2"/>
      </rPr>
      <t>2)</t>
    </r>
    <r>
      <rPr>
        <sz val="10"/>
        <rFont val="Arial"/>
        <family val="2"/>
      </rPr>
      <t xml:space="preserve">) </t>
    </r>
  </si>
  <si>
    <t>Betriebe mit Separation</t>
  </si>
  <si>
    <t>Basisdaten: Nährstoffgehalte, Gasausbeute und Methangehalte von Biogassubstraten</t>
  </si>
  <si>
    <t>Pflanzenteil</t>
  </si>
  <si>
    <t>Nährstoffgehalt</t>
  </si>
  <si>
    <t>Winterweizen E-Sorte</t>
  </si>
  <si>
    <t>Winterbrauweizen</t>
  </si>
  <si>
    <t>Weizenstroh</t>
  </si>
  <si>
    <t>Gerstenstroh</t>
  </si>
  <si>
    <t>Sommerbraugerste</t>
  </si>
  <si>
    <t>Roggenstroh</t>
  </si>
  <si>
    <t>Sommerroggen</t>
  </si>
  <si>
    <t>Haferstroh</t>
  </si>
  <si>
    <t>Emmer/Einkorn</t>
  </si>
  <si>
    <t>Hartweizen (Durum)</t>
  </si>
  <si>
    <t xml:space="preserve"> +++Körnerleguminosen+++</t>
  </si>
  <si>
    <t>Ackerbohnen</t>
  </si>
  <si>
    <t>Erbsen</t>
  </si>
  <si>
    <t>Lupinen blau</t>
  </si>
  <si>
    <t>Sojabohnen</t>
  </si>
  <si>
    <t xml:space="preserve"> +++Ölfrüchte+++</t>
  </si>
  <si>
    <t>Winterraps</t>
  </si>
  <si>
    <t>Sommerraps</t>
  </si>
  <si>
    <t>Rübsen</t>
  </si>
  <si>
    <t>Leindotter</t>
  </si>
  <si>
    <t>Kartoffel (Speise, Stärke)</t>
  </si>
  <si>
    <t>Kartoffel (Veredelung)</t>
  </si>
  <si>
    <t>Frühkartoffel</t>
  </si>
  <si>
    <t>Kohl-, Steckrüben</t>
  </si>
  <si>
    <t>Esparsette</t>
  </si>
  <si>
    <t>Silomais (32 % TM)</t>
  </si>
  <si>
    <t>Lieschkolbensilage</t>
  </si>
  <si>
    <t>Kolben/Liesch.</t>
  </si>
  <si>
    <t>GPS Lupinen</t>
  </si>
  <si>
    <t>GPS Erbsen/Ackerb.</t>
  </si>
  <si>
    <t>GPS Sonnenblumen</t>
  </si>
  <si>
    <t>Silphie (ab 2. Standjahr)</t>
  </si>
  <si>
    <t>Sida (Virginiamalve)</t>
  </si>
  <si>
    <t>Riesenweizengras (Szarvasi)</t>
  </si>
  <si>
    <t>Chinaschilf (Miscanthus)</t>
  </si>
  <si>
    <t>Switchgras</t>
  </si>
  <si>
    <t>Streuwiese</t>
  </si>
  <si>
    <t xml:space="preserve"> +++Futtermittel Stoffstrombilanz+++</t>
  </si>
  <si>
    <t>Altbrot</t>
  </si>
  <si>
    <t>Apfeltrester</t>
  </si>
  <si>
    <t>Bierhefe, flüssig</t>
  </si>
  <si>
    <t>Biertreber, siliert</t>
  </si>
  <si>
    <t>Fischmehl</t>
  </si>
  <si>
    <t>Getreideschlempe, frisch (Weizen)</t>
  </si>
  <si>
    <t>Getreideschlempe, getrocknet (Weizen)</t>
  </si>
  <si>
    <t>Haferschälkleie</t>
  </si>
  <si>
    <t>Kartoffelschlempe, frisch</t>
  </si>
  <si>
    <t>Leinextraktionsschrot</t>
  </si>
  <si>
    <t>Leinkuchen</t>
  </si>
  <si>
    <t>Luzernegrünmehl</t>
  </si>
  <si>
    <t>Magermilch, frisch</t>
  </si>
  <si>
    <t>Maiskeimextraktionsschrot</t>
  </si>
  <si>
    <t>Maiskleberfutter (23-35 % RP)</t>
  </si>
  <si>
    <t>Malzkeime</t>
  </si>
  <si>
    <t>Maniok</t>
  </si>
  <si>
    <t>Melasseschnitzel</t>
  </si>
  <si>
    <t>Molke, Permeat</t>
  </si>
  <si>
    <t>Pressschnitzel, siliert</t>
  </si>
  <si>
    <t>Rapsextraktionsschrot</t>
  </si>
  <si>
    <t>Rapskuchen, fettarm</t>
  </si>
  <si>
    <t>Roggengrießkleie</t>
  </si>
  <si>
    <t>Roggenkleie</t>
  </si>
  <si>
    <t>Rübenkleinteile</t>
  </si>
  <si>
    <t>Sojaextraktionsschrot, geschält, 48 % RP</t>
  </si>
  <si>
    <t>Sojaextraktionsschrot, ungeschält, 44 % RP</t>
  </si>
  <si>
    <t>Sojaschalen</t>
  </si>
  <si>
    <t>Sonnenblumenextraktionsschrot, teilgeschält</t>
  </si>
  <si>
    <t>Sauermolke, frisch</t>
  </si>
  <si>
    <t>Süßmolke, frisch</t>
  </si>
  <si>
    <t>Trockenschnitzel</t>
  </si>
  <si>
    <t>Weizengrießkleie</t>
  </si>
  <si>
    <t>Weizenkleie</t>
  </si>
  <si>
    <t>Weizennachmehl</t>
  </si>
  <si>
    <t>Zuckerrübenmelasse</t>
  </si>
  <si>
    <t>nach Düngeverordnung (DüV) und Verbringungsverordnung (WDüngV)</t>
  </si>
  <si>
    <t>3: Anrechenbare gasförmige N-Verluste Lager</t>
  </si>
  <si>
    <t>Summe Behälter, die dem Betrieb zur Verfügung stehen, in m³</t>
  </si>
  <si>
    <t>Berechnung 170 kg N/ha Grenze</t>
  </si>
  <si>
    <t>Summe Fermenter + Nachgärer + Endlager, die dem Betrieb zur Verfügung steht, in m³</t>
  </si>
  <si>
    <t>Fermenter (Nachgärer), in m³</t>
  </si>
  <si>
    <t>Summe Behälter im Betrieb für flüssige und feste Wirtschaftsdünger m³</t>
  </si>
  <si>
    <t xml:space="preserve">    Zusätzlich sind für nicht abpumpfähige Mengen 10 cm zu berücksichtigen und von der Höhe abzuziehen.   
    Individuell sind z.B. bei gasdicht ausgeführten Behältern von Biogasanlagen teils mehr als 10 cm nicht nutzbar 
    (z.B. 50 cm durch Gasraum, Schaugläser, Überläufe usw.). Diese sind bei der Eingabe der Behälterhöhe abzuziehen.</t>
  </si>
  <si>
    <t>Biogasbetrieb</t>
  </si>
  <si>
    <t>in m</t>
  </si>
  <si>
    <t>Flächen korrektur</t>
  </si>
  <si>
    <t>Fläche nach DüV</t>
  </si>
  <si>
    <t>LF nach DüV gesamt</t>
  </si>
  <si>
    <t>2) LF abzüglich Flächen ohne Nutzung und ohne Düngung, abzüglich Flächen mit Verbot der org. Düngung:</t>
  </si>
  <si>
    <t xml:space="preserve">     zusätzliche Ausbringflächen</t>
  </si>
  <si>
    <t>** LF abzüglich Flächen ohne Nutzung und ohne Düngung, abzüglich Flächen mit Verbot der org. Düngung:</t>
  </si>
  <si>
    <r>
      <t>mm/Jahr</t>
    </r>
    <r>
      <rPr>
        <sz val="8"/>
        <rFont val="Arial"/>
        <family val="2"/>
      </rPr>
      <t xml:space="preserve">            </t>
    </r>
  </si>
  <si>
    <t>Betrieb mit Erleichterungen</t>
  </si>
  <si>
    <r>
      <rPr>
        <b/>
        <sz val="11"/>
        <rFont val="Arial"/>
        <family val="2"/>
      </rPr>
      <t>1b/c: Einsatzstoffe Biogasanlage</t>
    </r>
    <r>
      <rPr>
        <sz val="10"/>
        <rFont val="Arial"/>
        <family val="2"/>
      </rPr>
      <t xml:space="preserve"> (Wirtschaftsdünger aus eigener Tierhaltung bereits in 1a enthalten)</t>
    </r>
  </si>
  <si>
    <r>
      <t xml:space="preserve">6/7: Abgabe an andere Betriebe </t>
    </r>
    <r>
      <rPr>
        <b/>
        <i/>
        <sz val="11"/>
        <rFont val="Arial"/>
        <family val="2"/>
      </rPr>
      <t>und</t>
    </r>
    <r>
      <rPr>
        <b/>
        <sz val="11"/>
        <rFont val="Arial"/>
        <family val="2"/>
      </rPr>
      <t xml:space="preserve"> Ausbringung im eigenen Betrieb </t>
    </r>
  </si>
  <si>
    <t>in Liter</t>
  </si>
  <si>
    <t>eingesetztes Zündöl</t>
  </si>
  <si>
    <t>Zündöl</t>
  </si>
  <si>
    <r>
      <t>NH</t>
    </r>
    <r>
      <rPr>
        <vertAlign val="subscript"/>
        <sz val="10"/>
        <rFont val="Arial"/>
        <family val="2"/>
      </rPr>
      <t>4</t>
    </r>
    <r>
      <rPr>
        <sz val="10"/>
        <rFont val="Arial"/>
        <family val="2"/>
      </rPr>
      <t>-N</t>
    </r>
  </si>
  <si>
    <t>1000 kWh</t>
  </si>
  <si>
    <t>MgO</t>
  </si>
  <si>
    <t>gehalt_hauptprodukt_fm_mgo</t>
  </si>
  <si>
    <t>Anfall Stroh (t/Jahr)</t>
  </si>
  <si>
    <t>P</t>
  </si>
  <si>
    <t>K</t>
  </si>
  <si>
    <t>Nährstoffe durch</t>
  </si>
  <si>
    <t>Nährstoffe nach Separation</t>
  </si>
  <si>
    <t>gelöst</t>
  </si>
  <si>
    <r>
      <t>NH</t>
    </r>
    <r>
      <rPr>
        <vertAlign val="subscript"/>
        <sz val="8"/>
        <rFont val="Arial"/>
        <family val="2"/>
      </rPr>
      <t>4</t>
    </r>
    <r>
      <rPr>
        <sz val="8"/>
        <rFont val="Arial"/>
        <family val="2"/>
      </rPr>
      <t>-N</t>
    </r>
  </si>
  <si>
    <r>
      <t>P</t>
    </r>
    <r>
      <rPr>
        <vertAlign val="subscript"/>
        <sz val="8"/>
        <rFont val="Arial"/>
        <family val="2"/>
      </rPr>
      <t>2</t>
    </r>
    <r>
      <rPr>
        <sz val="8"/>
        <rFont val="Arial"/>
        <family val="2"/>
      </rPr>
      <t>O</t>
    </r>
    <r>
      <rPr>
        <vertAlign val="subscript"/>
        <sz val="8"/>
        <rFont val="Arial"/>
        <family val="2"/>
      </rPr>
      <t>5</t>
    </r>
  </si>
  <si>
    <r>
      <t>K</t>
    </r>
    <r>
      <rPr>
        <vertAlign val="subscript"/>
        <sz val="8"/>
        <rFont val="Arial"/>
        <family val="2"/>
      </rPr>
      <t>2</t>
    </r>
    <r>
      <rPr>
        <sz val="8"/>
        <rFont val="Arial"/>
        <family val="2"/>
      </rPr>
      <t>O</t>
    </r>
  </si>
  <si>
    <t>Anfall im Jahr 
- flüssig -</t>
  </si>
  <si>
    <t>Anfall im Jahr
- fest -</t>
  </si>
  <si>
    <t>Biogas-gärrest</t>
  </si>
  <si>
    <t>nicht in Biogas</t>
  </si>
  <si>
    <t>Summe SM gesamt nicht in Biogas</t>
  </si>
  <si>
    <t xml:space="preserve">TS Mist </t>
  </si>
  <si>
    <t>Summe Stoh nicht in Biogas</t>
  </si>
  <si>
    <t>Gehalte Mist ohne Stroh nicht in Biogas</t>
  </si>
  <si>
    <t>Gehalte Mist mit Stroh nicht in Biogas</t>
  </si>
  <si>
    <t>Summe nicht in Biogas</t>
  </si>
  <si>
    <t>Gehalte nicht in Biogas</t>
  </si>
  <si>
    <t>Basisdaten</t>
  </si>
  <si>
    <t>Düngerart</t>
  </si>
  <si>
    <t>N Sommer</t>
  </si>
  <si>
    <t>N Winter</t>
  </si>
  <si>
    <t>N Gesamt</t>
  </si>
  <si>
    <t>sonstige</t>
  </si>
  <si>
    <t>2: Verkauf Biogas/Strom (TS + Wasser)</t>
  </si>
  <si>
    <t>Tierhaltung nicht in Biogasanlage</t>
  </si>
  <si>
    <t>org. TS</t>
  </si>
  <si>
    <t>org. TM</t>
  </si>
  <si>
    <r>
      <t>P</t>
    </r>
    <r>
      <rPr>
        <vertAlign val="subscript"/>
        <sz val="11"/>
        <color indexed="8"/>
        <rFont val="Arial"/>
        <family val="2"/>
      </rPr>
      <t>2</t>
    </r>
    <r>
      <rPr>
        <sz val="10"/>
        <rFont val="Arial"/>
        <family val="2"/>
      </rPr>
      <t>O</t>
    </r>
    <r>
      <rPr>
        <vertAlign val="subscript"/>
        <sz val="11"/>
        <color indexed="8"/>
        <rFont val="Arial"/>
        <family val="2"/>
      </rPr>
      <t>5</t>
    </r>
  </si>
  <si>
    <t>Jan</t>
  </si>
  <si>
    <t>Feb</t>
  </si>
  <si>
    <t>Mrz</t>
  </si>
  <si>
    <t>Apr</t>
  </si>
  <si>
    <t>Mai</t>
  </si>
  <si>
    <t>Jun</t>
  </si>
  <si>
    <t>Jul</t>
  </si>
  <si>
    <t>Aug</t>
  </si>
  <si>
    <t>Sep</t>
  </si>
  <si>
    <t>Okt</t>
  </si>
  <si>
    <t>Nov</t>
  </si>
  <si>
    <t>Dez</t>
  </si>
  <si>
    <r>
      <rPr>
        <b/>
        <sz val="10"/>
        <color rgb="FFFF0000"/>
        <rFont val="Arial"/>
        <family val="2"/>
      </rPr>
      <t>kg/dt</t>
    </r>
    <r>
      <rPr>
        <b/>
        <sz val="10"/>
        <rFont val="Arial"/>
        <family val="2"/>
      </rPr>
      <t xml:space="preserve"> Frischmasse</t>
    </r>
  </si>
  <si>
    <t>nicht aus Basisdaten</t>
  </si>
  <si>
    <r>
      <rPr>
        <b/>
        <sz val="10"/>
        <color rgb="FFFF0000"/>
        <rFont val="Arial"/>
        <family val="2"/>
      </rPr>
      <t>kg/t</t>
    </r>
    <r>
      <rPr>
        <b/>
        <sz val="10"/>
        <rFont val="Arial"/>
        <family val="2"/>
      </rPr>
      <t xml:space="preserve"> Frischmasse</t>
    </r>
    <r>
      <rPr>
        <b/>
        <sz val="10"/>
        <color rgb="FFFF0000"/>
        <rFont val="Arial"/>
        <family val="2"/>
      </rPr>
      <t xml:space="preserve"> </t>
    </r>
  </si>
  <si>
    <t xml:space="preserve">oTM </t>
  </si>
  <si>
    <t>in % TM</t>
  </si>
  <si>
    <t>Verkauf</t>
  </si>
  <si>
    <t>bis</t>
  </si>
  <si>
    <t>Verkauf tierischer Produkte</t>
  </si>
  <si>
    <t xml:space="preserve"> a) Nährstoffgehalte im Tierkörper in Abhängigkeit von der Tierart </t>
  </si>
  <si>
    <t>Nährstoffgehalt in kg je dt Lebendgewicht</t>
  </si>
  <si>
    <t>S</t>
  </si>
  <si>
    <t>Rinder, fleischbetont</t>
  </si>
  <si>
    <t>Zuchtschweine, Mastschweine, Ferkel</t>
  </si>
  <si>
    <t>Legehennen</t>
  </si>
  <si>
    <t>Masthähnchen</t>
  </si>
  <si>
    <t>Puten</t>
  </si>
  <si>
    <t xml:space="preserve">Gänse </t>
  </si>
  <si>
    <t>Enten</t>
  </si>
  <si>
    <t>Ziegen</t>
  </si>
  <si>
    <t>Pferde über 5 Monate</t>
  </si>
  <si>
    <t>Kaninchen</t>
  </si>
  <si>
    <t>Gehegewild</t>
  </si>
  <si>
    <t xml:space="preserve">Orientierungswerte für die  </t>
  </si>
  <si>
    <t>Umrechnung des angegebenen Schlachtgewichts (%) in Lebendgewicht</t>
  </si>
  <si>
    <t>alle</t>
  </si>
  <si>
    <t>männl. Tiere</t>
  </si>
  <si>
    <t>weibl. Tiere</t>
  </si>
  <si>
    <t>Milchkühe</t>
  </si>
  <si>
    <t>Rinder, milchbetont</t>
  </si>
  <si>
    <t>Schafe (mit Nachzucht), Damtiere</t>
  </si>
  <si>
    <t xml:space="preserve"> b) Nährstoffgehalte in der Milch (Kuh-, Schaf-, Ziegen-, Pferdemilch)</t>
  </si>
  <si>
    <t>Milch</t>
  </si>
  <si>
    <t>Nährstoffgehalt in kg je 1000 kg Milch FM</t>
  </si>
  <si>
    <t>RP</t>
  </si>
  <si>
    <t>Kuhmilch (3,2 % Eiweiß)</t>
  </si>
  <si>
    <t>Kuhmilch (3,4 % Eiweiß)</t>
  </si>
  <si>
    <t>Kuhmilch (3,6 % Eiweiß)</t>
  </si>
  <si>
    <t>Stutenmilch</t>
  </si>
  <si>
    <t>Ziegenmilch</t>
  </si>
  <si>
    <t>Schafmilch</t>
  </si>
  <si>
    <t>Die Berechnung des N-Gehaltes der Milch ist auch über den Eiweißgehalt möglich.</t>
  </si>
  <si>
    <r>
      <t>Rechengang: (Eiweißgehalt/</t>
    </r>
    <r>
      <rPr>
        <sz val="10"/>
        <rFont val="Arial"/>
        <family val="2"/>
      </rPr>
      <t>6,38</t>
    </r>
    <r>
      <rPr>
        <sz val="10"/>
        <color indexed="8"/>
        <rFont val="Arial"/>
        <family val="2"/>
      </rPr>
      <t>) * 10</t>
    </r>
  </si>
  <si>
    <t>c) Nährstoffgehalte in Eiern</t>
  </si>
  <si>
    <t>Eier</t>
  </si>
  <si>
    <t>Nährstoffgehalt in kg FM</t>
  </si>
  <si>
    <t>d) Nährstoffgehalte in Wolle</t>
  </si>
  <si>
    <t>Wolle</t>
  </si>
  <si>
    <t>Nährstoffgehalt in kg je 1000 kg Wolle FM</t>
  </si>
  <si>
    <t>Schafwolle</t>
  </si>
  <si>
    <t>Tabelle 6:  Nährstoffgehalte tierischer Produkte</t>
  </si>
  <si>
    <t xml:space="preserve">                 (Stand: Januar 2018)</t>
  </si>
  <si>
    <t>Verkauf/Jahr</t>
  </si>
  <si>
    <t>Ei</t>
  </si>
  <si>
    <t>Schaf</t>
  </si>
  <si>
    <t>Ziege</t>
  </si>
  <si>
    <t>Pferd</t>
  </si>
  <si>
    <t>in 1000 kg</t>
  </si>
  <si>
    <t>Anzahl Monate</t>
  </si>
  <si>
    <t>Summe in Biogas</t>
  </si>
  <si>
    <t xml:space="preserve">Summe </t>
  </si>
  <si>
    <t>tier. Produkte</t>
  </si>
  <si>
    <t>in dt</t>
  </si>
  <si>
    <t xml:space="preserve">Ausscheidung (brutto) </t>
  </si>
  <si>
    <t xml:space="preserve">P </t>
  </si>
  <si>
    <t>für Berechnung Toleranzen</t>
  </si>
  <si>
    <t>CC</t>
  </si>
  <si>
    <t>WdüngV</t>
  </si>
  <si>
    <t>Soja</t>
  </si>
  <si>
    <t>Sonstiges</t>
  </si>
  <si>
    <t>Grob-</t>
  </si>
  <si>
    <t>Kraft-</t>
  </si>
  <si>
    <t>Auswahl</t>
  </si>
  <si>
    <t>Kraftfutter</t>
  </si>
  <si>
    <t>Sonstige Wirtschaftsdünger - Geflügel</t>
  </si>
  <si>
    <t>Sonstige Wirtschaftsdünger - Schwein</t>
  </si>
  <si>
    <t>Sonstige Wirtschaftsdünger - Rind</t>
  </si>
  <si>
    <t>Sonstige Wirtschaftsdünger - sonstige Tiere</t>
  </si>
  <si>
    <t>TS 
in %</t>
  </si>
  <si>
    <t>Menge
in t</t>
  </si>
  <si>
    <t>Ernte im Betrieb</t>
  </si>
  <si>
    <t>Fläche in ha</t>
  </si>
  <si>
    <t>Ertrag in dt/ha</t>
  </si>
  <si>
    <t>Index Pflanzen</t>
  </si>
  <si>
    <t>Grobfutter (1); Kraftfutter 2, Sonstiges 3</t>
  </si>
  <si>
    <t>Lagerbestand in t N</t>
  </si>
  <si>
    <t xml:space="preserve">Mai </t>
  </si>
  <si>
    <t xml:space="preserve">Jun </t>
  </si>
  <si>
    <t>Bestand t</t>
  </si>
  <si>
    <t>Ernte von</t>
  </si>
  <si>
    <t>Ernte bis</t>
  </si>
  <si>
    <t>kg/t; kg/m³</t>
  </si>
  <si>
    <t xml:space="preserve">TS 
in % </t>
  </si>
  <si>
    <t>Ernte</t>
  </si>
  <si>
    <t>t N je Monat</t>
  </si>
  <si>
    <t>Summe N (t)</t>
  </si>
  <si>
    <t>Aus Eingabe</t>
  </si>
  <si>
    <t>Aus Basisdaten</t>
  </si>
  <si>
    <t>Berechnung</t>
  </si>
  <si>
    <t>Status in FF</t>
  </si>
  <si>
    <t>Notiz</t>
  </si>
  <si>
    <t>Korrektur Zukauf von</t>
  </si>
  <si>
    <t>Korrektur Zukauf bis</t>
  </si>
  <si>
    <t>Summe Grünland in ha</t>
  </si>
  <si>
    <t>Summe Ackerflächen in ha</t>
  </si>
  <si>
    <t xml:space="preserve"> +++Zukauf org. Dünger+++</t>
  </si>
  <si>
    <t>NUR Zukauf organische (Gülle,…)</t>
  </si>
  <si>
    <t>Zielzelle Auswahl</t>
  </si>
  <si>
    <t>1=Rind, 2 = Schwein, 3= Geflügel, 4=sonst. Tier., rest = Pflanze</t>
  </si>
  <si>
    <t>Pflanzlich</t>
  </si>
  <si>
    <t>Zukauf Tierisch</t>
  </si>
  <si>
    <t>0=nein</t>
  </si>
  <si>
    <t xml:space="preserve">        b) davon Zukauf Wirtschaftsdünger </t>
  </si>
  <si>
    <t>Zukauf tierisch</t>
  </si>
  <si>
    <t xml:space="preserve">        c) davon pflanzliche Einsatzstoffe (Zukauf + eigener Anbau)</t>
  </si>
  <si>
    <t>Summe Zukauf Wirtschaftsdünger (1b)</t>
  </si>
  <si>
    <t>Summe pflanzliche Einsatzstoffe (1c)</t>
  </si>
  <si>
    <t>Produkt</t>
  </si>
  <si>
    <t>t FM</t>
  </si>
  <si>
    <t>Korrektur Ernte von</t>
  </si>
  <si>
    <t>Korrektur Ernte bis</t>
  </si>
  <si>
    <t>Kultur ausgeben</t>
  </si>
  <si>
    <t>Summe ohne Abgabe Biogas (t N)</t>
  </si>
  <si>
    <t>Einsatz Biogas (t)</t>
  </si>
  <si>
    <t>Bestand Lager+Ernte + Zukauf</t>
  </si>
  <si>
    <t>Einsatz Biogasanlage</t>
  </si>
  <si>
    <t>N in t</t>
  </si>
  <si>
    <t>Index</t>
  </si>
  <si>
    <t>Grobfutteraufnahme</t>
  </si>
  <si>
    <t>kg je mittl. Jahresbestand</t>
  </si>
  <si>
    <t>kg N je Jahresbest.</t>
  </si>
  <si>
    <t>t N</t>
  </si>
  <si>
    <t>Tierarten</t>
  </si>
  <si>
    <t>Index 1-4</t>
  </si>
  <si>
    <t>Index 1-9</t>
  </si>
  <si>
    <t>&gt;3</t>
  </si>
  <si>
    <t>Ausscheidungen brutto</t>
  </si>
  <si>
    <t>Bedarf Tiere</t>
  </si>
  <si>
    <t>% vom Lager</t>
  </si>
  <si>
    <t>Vorschlag Ration t</t>
  </si>
  <si>
    <t>Bedarf Korrigiert</t>
  </si>
  <si>
    <t>Korrektur</t>
  </si>
  <si>
    <t>Korrektur eingegeben?</t>
  </si>
  <si>
    <t>% vom Lager nach Korrektur</t>
  </si>
  <si>
    <t>N nicht abrufbar</t>
  </si>
  <si>
    <t>Korrektur Bedarf</t>
  </si>
  <si>
    <t>N fest durch Korrektur</t>
  </si>
  <si>
    <t>Toleranz Abweichung</t>
  </si>
  <si>
    <t>Veränderte Ration (t)</t>
  </si>
  <si>
    <t>Lagerbestand (t)</t>
  </si>
  <si>
    <t>Bedarf Tiere korrigiert t N</t>
  </si>
  <si>
    <t>Toleranz</t>
  </si>
  <si>
    <t>t N im Jahr</t>
  </si>
  <si>
    <t>Fläche nach DüV:</t>
  </si>
  <si>
    <t xml:space="preserve">    davon Acker:</t>
  </si>
  <si>
    <t xml:space="preserve">    davon Grünland:</t>
  </si>
  <si>
    <t>Betriebsnummer:</t>
  </si>
  <si>
    <t>eig. Wirtschaftsdünger in BGA</t>
  </si>
  <si>
    <t>N lager</t>
  </si>
  <si>
    <t>Ankauf und Produktion</t>
  </si>
  <si>
    <t xml:space="preserve"> +++Sonst. Biogas-Einsatzstoffe+++</t>
  </si>
  <si>
    <t>Mögl. Ration</t>
  </si>
  <si>
    <t>Futter-ration</t>
  </si>
  <si>
    <t>Eingabemaske</t>
  </si>
  <si>
    <t>Dyn. Tabelle</t>
  </si>
  <si>
    <t>Bestand abzüglich Biogaseinsatzstoffe</t>
  </si>
  <si>
    <t>Lagerbestand Jahresende</t>
  </si>
  <si>
    <t>Mischung</t>
  </si>
  <si>
    <t>Kauf</t>
  </si>
  <si>
    <t>Prod</t>
  </si>
  <si>
    <t>01.01.</t>
  </si>
  <si>
    <t>Nährstoffgehalt Jauche</t>
  </si>
  <si>
    <t>kg/m³</t>
  </si>
  <si>
    <t>Grobfutter</t>
  </si>
  <si>
    <t>Sonst. Biogas-Einsatzstoffe</t>
  </si>
  <si>
    <t>Toleranz Futter</t>
  </si>
  <si>
    <t xml:space="preserve">Ration </t>
  </si>
  <si>
    <t>zu hoch</t>
  </si>
  <si>
    <t>Druckbereich</t>
  </si>
  <si>
    <t>Teil 1</t>
  </si>
  <si>
    <t>Länge Dyn Tab</t>
  </si>
  <si>
    <t>X1:AR</t>
  </si>
  <si>
    <t>Tolerierte Abweichung</t>
  </si>
  <si>
    <t>%nach unten</t>
  </si>
  <si>
    <t>% nach oben</t>
  </si>
  <si>
    <t>Mittlerer Jahresniederschlag je Gemarkung</t>
  </si>
  <si>
    <t>Gemarkungs- nummer</t>
  </si>
  <si>
    <t>Gemarkungsname</t>
  </si>
  <si>
    <t>Mittlerer Jahresniederschlag 2011-2020 (mm)</t>
  </si>
  <si>
    <t>Huflar</t>
  </si>
  <si>
    <t>Leubach</t>
  </si>
  <si>
    <t>Oberfladungen</t>
  </si>
  <si>
    <t>Brüchs</t>
  </si>
  <si>
    <t>Weimarschmieden</t>
  </si>
  <si>
    <t>Rüdenschwinden</t>
  </si>
  <si>
    <t>Fladungen</t>
  </si>
  <si>
    <t>Sands</t>
  </si>
  <si>
    <t>Mellrichstadter Forst</t>
  </si>
  <si>
    <t>Filke</t>
  </si>
  <si>
    <t>Hausen</t>
  </si>
  <si>
    <t>Heufurt</t>
  </si>
  <si>
    <t>Neustädtles</t>
  </si>
  <si>
    <t>Willmars</t>
  </si>
  <si>
    <t>Altenfeld</t>
  </si>
  <si>
    <t>Stetten</t>
  </si>
  <si>
    <t>Nordheim v.d.Rhön</t>
  </si>
  <si>
    <t>Forst Ostheim v.d.Rhön</t>
  </si>
  <si>
    <t>Völkershausen</t>
  </si>
  <si>
    <t>Ginolfs</t>
  </si>
  <si>
    <t>Oberelsbach</t>
  </si>
  <si>
    <t>Urspringen</t>
  </si>
  <si>
    <t>Sondheim v.d.Rhön</t>
  </si>
  <si>
    <t>Ostheim v.d.Rhön</t>
  </si>
  <si>
    <t>Stockheim</t>
  </si>
  <si>
    <t>Eußenhausen</t>
  </si>
  <si>
    <t>Oberweißenbrunn</t>
  </si>
  <si>
    <t>Frankenheim</t>
  </si>
  <si>
    <t>Bischofsheim a.d.Rhön</t>
  </si>
  <si>
    <t>Weisbach</t>
  </si>
  <si>
    <t>Sondernau</t>
  </si>
  <si>
    <t>Unterelsbach</t>
  </si>
  <si>
    <t>Oberwaldbehrungen</t>
  </si>
  <si>
    <t>Unterwaldbehrungen</t>
  </si>
  <si>
    <t>Mellrichstadt</t>
  </si>
  <si>
    <t>Mühlfeld</t>
  </si>
  <si>
    <t>Roßrieth</t>
  </si>
  <si>
    <t>Haselbach i.d.Rhön</t>
  </si>
  <si>
    <t>Unterweißenbrunn</t>
  </si>
  <si>
    <t>Wegfurt</t>
  </si>
  <si>
    <t>Schönau a.d.Brend</t>
  </si>
  <si>
    <t>Reyersbach</t>
  </si>
  <si>
    <t>Bastheim</t>
  </si>
  <si>
    <t>Frickenhausen</t>
  </si>
  <si>
    <t>Oberstreu</t>
  </si>
  <si>
    <t>Sondheim</t>
  </si>
  <si>
    <t>Wechterswinkeler Forst</t>
  </si>
  <si>
    <t>Rödles</t>
  </si>
  <si>
    <t>Braidbach</t>
  </si>
  <si>
    <t>Wechterswinkel</t>
  </si>
  <si>
    <t>Unsleben</t>
  </si>
  <si>
    <t>Mittelstreu</t>
  </si>
  <si>
    <t>Bahra</t>
  </si>
  <si>
    <t>Hendungen</t>
  </si>
  <si>
    <t>Rappershausen</t>
  </si>
  <si>
    <t>Rothausen</t>
  </si>
  <si>
    <t>Sandberg</t>
  </si>
  <si>
    <t>Forst Schmalwasser-Nord</t>
  </si>
  <si>
    <t>Burgwallbacher Forst</t>
  </si>
  <si>
    <t>Burgwallbach</t>
  </si>
  <si>
    <t>Lebenhan</t>
  </si>
  <si>
    <t>Wollbach</t>
  </si>
  <si>
    <t>Heustreu</t>
  </si>
  <si>
    <t>Hollstadt</t>
  </si>
  <si>
    <t>Junkershausen</t>
  </si>
  <si>
    <t>Wargolshausen</t>
  </si>
  <si>
    <t>Weigler</t>
  </si>
  <si>
    <t>Gollmuthhausen</t>
  </si>
  <si>
    <t>Höchheim</t>
  </si>
  <si>
    <t>Irmelshausen</t>
  </si>
  <si>
    <t>Breitensee</t>
  </si>
  <si>
    <t>Langenleiten</t>
  </si>
  <si>
    <t>Waldberg</t>
  </si>
  <si>
    <t>Schmalwasser</t>
  </si>
  <si>
    <t>Forst Schmalwasser-Süd</t>
  </si>
  <si>
    <t>Steinacher Forst r.d.Saale</t>
  </si>
  <si>
    <t>Windshausen</t>
  </si>
  <si>
    <t>Leutershausen</t>
  </si>
  <si>
    <t>Brendlorenzen</t>
  </si>
  <si>
    <t>Herschfeld</t>
  </si>
  <si>
    <t>Wülfershausen a.d.Saale</t>
  </si>
  <si>
    <t>Waltershausen</t>
  </si>
  <si>
    <t>Aubstadt</t>
  </si>
  <si>
    <t>Ottelmannshausen</t>
  </si>
  <si>
    <t>Herbstadt</t>
  </si>
  <si>
    <t>Unterebersbach</t>
  </si>
  <si>
    <t>Hohenroth</t>
  </si>
  <si>
    <t>Bad Neustadt a.d.Saale</t>
  </si>
  <si>
    <t>Mühlbach</t>
  </si>
  <si>
    <t>Bad Neuhaus</t>
  </si>
  <si>
    <t>Dürrnhof</t>
  </si>
  <si>
    <t>Rödelmaier</t>
  </si>
  <si>
    <t>Eichenhausen</t>
  </si>
  <si>
    <t>Saal a.d.Saale</t>
  </si>
  <si>
    <t>Großeibstadt</t>
  </si>
  <si>
    <t>Bad Königshofen i.Grabfeld</t>
  </si>
  <si>
    <t>Ipthausen</t>
  </si>
  <si>
    <t>Eyershausen</t>
  </si>
  <si>
    <t>Trappstadt</t>
  </si>
  <si>
    <t>Oberebersbach</t>
  </si>
  <si>
    <t>Niederlauer</t>
  </si>
  <si>
    <t>Salz</t>
  </si>
  <si>
    <t>Löhrieth</t>
  </si>
  <si>
    <t>Kleineibstadt</t>
  </si>
  <si>
    <t>Kleinbardorf</t>
  </si>
  <si>
    <t>Merkershausen</t>
  </si>
  <si>
    <t>Alsleben</t>
  </si>
  <si>
    <t>Burglauer Wald</t>
  </si>
  <si>
    <t>Burglauer</t>
  </si>
  <si>
    <t>Strahlungen</t>
  </si>
  <si>
    <t>Großbardorf</t>
  </si>
  <si>
    <t>Sulzfeld</t>
  </si>
  <si>
    <t>Althausen</t>
  </si>
  <si>
    <t>Aub</t>
  </si>
  <si>
    <t>Gabolshausen</t>
  </si>
  <si>
    <t>Untereßfeld</t>
  </si>
  <si>
    <t>Obereßfeld</t>
  </si>
  <si>
    <t>Sternberg i.Grabfeld</t>
  </si>
  <si>
    <t>Zimmerau</t>
  </si>
  <si>
    <t>Leinach</t>
  </si>
  <si>
    <t>Sulzfelder Forst</t>
  </si>
  <si>
    <t>Bundorfer Forst</t>
  </si>
  <si>
    <t>Sulzdorf a.d.Lederhecke</t>
  </si>
  <si>
    <t>Schwanhausen</t>
  </si>
  <si>
    <t>Serrfeld</t>
  </si>
  <si>
    <t>Steinach - gemeindefrei</t>
  </si>
  <si>
    <t>Motten</t>
  </si>
  <si>
    <t>Mottener Forst-Nord</t>
  </si>
  <si>
    <t>Neuwildflecken</t>
  </si>
  <si>
    <t>Mottener Forst-West</t>
  </si>
  <si>
    <t>Kothen</t>
  </si>
  <si>
    <t>Wildflecken</t>
  </si>
  <si>
    <t>Oberwildflecken</t>
  </si>
  <si>
    <t>Speicherz</t>
  </si>
  <si>
    <t>Mottener Forst-Süd</t>
  </si>
  <si>
    <t>Oberbach</t>
  </si>
  <si>
    <t>Römershager Forst-Nord</t>
  </si>
  <si>
    <t>Großer Auersberg</t>
  </si>
  <si>
    <t>Volkers</t>
  </si>
  <si>
    <t>Oberriedenberg</t>
  </si>
  <si>
    <t>Römershager Forst-West</t>
  </si>
  <si>
    <t>Römershag</t>
  </si>
  <si>
    <t>Bad Brückenau</t>
  </si>
  <si>
    <t>Römershager Forst-Ost</t>
  </si>
  <si>
    <t>Unterriedenberg</t>
  </si>
  <si>
    <t>Salzforst</t>
  </si>
  <si>
    <t>Gefäll</t>
  </si>
  <si>
    <t>Premich</t>
  </si>
  <si>
    <t>Wernarz</t>
  </si>
  <si>
    <t>Römershager Forst-Süd</t>
  </si>
  <si>
    <t>Breitenbach</t>
  </si>
  <si>
    <t>Mitgenfeld</t>
  </si>
  <si>
    <t>Geroda</t>
  </si>
  <si>
    <t>Stangenroth</t>
  </si>
  <si>
    <t>Steinach</t>
  </si>
  <si>
    <t>Nickersfelden</t>
  </si>
  <si>
    <t>Eckarts-Rupboden</t>
  </si>
  <si>
    <t>Dreistelzer Forst</t>
  </si>
  <si>
    <t>Oberleichtersbach</t>
  </si>
  <si>
    <t>Roth a.d.Saale</t>
  </si>
  <si>
    <t>Bildhausen-Nordost</t>
  </si>
  <si>
    <t>Schondra</t>
  </si>
  <si>
    <t>Platz</t>
  </si>
  <si>
    <t>Burkardroth</t>
  </si>
  <si>
    <t>Klauswald-Nord</t>
  </si>
  <si>
    <t>Hohn</t>
  </si>
  <si>
    <t>Steinacher Forst l.d.Saale</t>
  </si>
  <si>
    <t>Bildhausen-Südwest</t>
  </si>
  <si>
    <t>Zeitlofs</t>
  </si>
  <si>
    <t>Rupbodener Forst</t>
  </si>
  <si>
    <t>Forst Detter-Nord</t>
  </si>
  <si>
    <t>Modlos</t>
  </si>
  <si>
    <t>Unterleichtersbach</t>
  </si>
  <si>
    <t>Waldfensterer Forst</t>
  </si>
  <si>
    <t>Waldfenster</t>
  </si>
  <si>
    <t>Zahlbach</t>
  </si>
  <si>
    <t>Frauenroth</t>
  </si>
  <si>
    <t>Aschach</t>
  </si>
  <si>
    <t>Bad Bocklet</t>
  </si>
  <si>
    <t>Windheim/Münnerstadt</t>
  </si>
  <si>
    <t>Reichenbach</t>
  </si>
  <si>
    <t>Fridritt</t>
  </si>
  <si>
    <t>Kleinwenkheim</t>
  </si>
  <si>
    <t>Großwenkheim</t>
  </si>
  <si>
    <t>Singenrain</t>
  </si>
  <si>
    <t>Oehrberg</t>
  </si>
  <si>
    <t>Roßbach</t>
  </si>
  <si>
    <t>Weißenbach</t>
  </si>
  <si>
    <t>Schönderling</t>
  </si>
  <si>
    <t>Lauter</t>
  </si>
  <si>
    <t>Großenbrach</t>
  </si>
  <si>
    <t>Burghausen</t>
  </si>
  <si>
    <t>Geiersnest-West</t>
  </si>
  <si>
    <t>Katzenbach</t>
  </si>
  <si>
    <t>Stralsbach</t>
  </si>
  <si>
    <t>Haard</t>
  </si>
  <si>
    <t>Münnerstadt</t>
  </si>
  <si>
    <t>Brünn</t>
  </si>
  <si>
    <t>Roßbacher Forst</t>
  </si>
  <si>
    <t>Detter</t>
  </si>
  <si>
    <t>Geiersnest-Ost</t>
  </si>
  <si>
    <t>Kleinbrach</t>
  </si>
  <si>
    <t>Wermerichshausen</t>
  </si>
  <si>
    <t>Hassenbach</t>
  </si>
  <si>
    <t>Poppenroth</t>
  </si>
  <si>
    <t>Klauswald-Süd</t>
  </si>
  <si>
    <t>Seubrigshausen</t>
  </si>
  <si>
    <t>Forst Detter-Süd</t>
  </si>
  <si>
    <t>Neuwirtshauser Forst</t>
  </si>
  <si>
    <t>Schlimpfhof</t>
  </si>
  <si>
    <t>Nüdlingen</t>
  </si>
  <si>
    <t>Gressertshof</t>
  </si>
  <si>
    <t>Poppenlauer</t>
  </si>
  <si>
    <t>Weichtungen</t>
  </si>
  <si>
    <t>Theinfeld</t>
  </si>
  <si>
    <t>Heiligkreuz</t>
  </si>
  <si>
    <t>Oberthulba</t>
  </si>
  <si>
    <t>Albertshausen</t>
  </si>
  <si>
    <t>Winkels</t>
  </si>
  <si>
    <t>Völkersleier</t>
  </si>
  <si>
    <t>Schwärzelbach</t>
  </si>
  <si>
    <t>Hetzlos</t>
  </si>
  <si>
    <t>Frankenbrunn</t>
  </si>
  <si>
    <t>Reith</t>
  </si>
  <si>
    <t>Euerdorfer Forst</t>
  </si>
  <si>
    <t>Garitz</t>
  </si>
  <si>
    <t>Reiterswiesen</t>
  </si>
  <si>
    <t>Thundorf i.UFr.</t>
  </si>
  <si>
    <t>Thulba</t>
  </si>
  <si>
    <t>Wittershausen</t>
  </si>
  <si>
    <t>Dittlofsroda</t>
  </si>
  <si>
    <t>Wartmannsroth</t>
  </si>
  <si>
    <t>Windheim/Wartmannsroth</t>
  </si>
  <si>
    <t>Untererthal</t>
  </si>
  <si>
    <t>Obererthal</t>
  </si>
  <si>
    <t>Feuerthal</t>
  </si>
  <si>
    <t>Elfershausen</t>
  </si>
  <si>
    <t>Aura a.d.Saale</t>
  </si>
  <si>
    <t>Euerdorf</t>
  </si>
  <si>
    <t>Arnshausen</t>
  </si>
  <si>
    <t>Eltingshausen</t>
  </si>
  <si>
    <t>Rottershausen</t>
  </si>
  <si>
    <t>Rannungen</t>
  </si>
  <si>
    <t>Maßberg</t>
  </si>
  <si>
    <t>Maßbach</t>
  </si>
  <si>
    <t>Rothhausen</t>
  </si>
  <si>
    <t>Volkershausen</t>
  </si>
  <si>
    <t>Waizenbach</t>
  </si>
  <si>
    <t>Wirmsthal</t>
  </si>
  <si>
    <t>Diebach</t>
  </si>
  <si>
    <t>Hammelburg</t>
  </si>
  <si>
    <t>Westheim</t>
  </si>
  <si>
    <t>Trimberg</t>
  </si>
  <si>
    <t>Engenthal</t>
  </si>
  <si>
    <t>Oerlenbach</t>
  </si>
  <si>
    <t>Morlesau</t>
  </si>
  <si>
    <t>Untereschenbach</t>
  </si>
  <si>
    <t>Langendorf</t>
  </si>
  <si>
    <t>Machtilshausen</t>
  </si>
  <si>
    <t>Sulzthal</t>
  </si>
  <si>
    <t>Ramsthal</t>
  </si>
  <si>
    <t>Ebenhausen</t>
  </si>
  <si>
    <t>Obereschenbach</t>
  </si>
  <si>
    <t>Pfaffenhausen</t>
  </si>
  <si>
    <t>Fuchsstadt</t>
  </si>
  <si>
    <t>Hundsfeld</t>
  </si>
  <si>
    <t>Bonnland</t>
  </si>
  <si>
    <t>Gauaschach</t>
  </si>
  <si>
    <t>Geiselbacher Forst</t>
  </si>
  <si>
    <t>Albstadt</t>
  </si>
  <si>
    <t>Geiselbach</t>
  </si>
  <si>
    <t>Huckelheim</t>
  </si>
  <si>
    <t>Oberwestern</t>
  </si>
  <si>
    <t>Alzenau</t>
  </si>
  <si>
    <t>Kälberau</t>
  </si>
  <si>
    <t>Michelbach</t>
  </si>
  <si>
    <t>Dörnsteinbach</t>
  </si>
  <si>
    <t>Omersbach</t>
  </si>
  <si>
    <t>Hofstädten</t>
  </si>
  <si>
    <t>Schneppenbach</t>
  </si>
  <si>
    <t>Unterwestern</t>
  </si>
  <si>
    <t>Großlaudenbach</t>
  </si>
  <si>
    <t>Kleinlaudenbach</t>
  </si>
  <si>
    <t>Kleinkahl</t>
  </si>
  <si>
    <t>Großkahl</t>
  </si>
  <si>
    <t>Edelbach</t>
  </si>
  <si>
    <t>Wiesener Forst</t>
  </si>
  <si>
    <t>Wiesen</t>
  </si>
  <si>
    <t>Kahl a.Main</t>
  </si>
  <si>
    <t>Wasserlos</t>
  </si>
  <si>
    <t>Hemsbach</t>
  </si>
  <si>
    <t>Niedersteinbach</t>
  </si>
  <si>
    <t>Mömbris</t>
  </si>
  <si>
    <t>Mensengesäß</t>
  </si>
  <si>
    <t>Krombach</t>
  </si>
  <si>
    <t>Schöllkrippen</t>
  </si>
  <si>
    <t>Sommerkahl</t>
  </si>
  <si>
    <t>Schöllkrippener Forst</t>
  </si>
  <si>
    <t>Heinrichsthal</t>
  </si>
  <si>
    <t>Großwelzheim</t>
  </si>
  <si>
    <t>Hörstein</t>
  </si>
  <si>
    <t>Hohl</t>
  </si>
  <si>
    <t>Schimborn</t>
  </si>
  <si>
    <t>Königshofen a.d.Kahl</t>
  </si>
  <si>
    <t>Großblankenbach</t>
  </si>
  <si>
    <t>Kleinblankenbach</t>
  </si>
  <si>
    <t>Eichenberg</t>
  </si>
  <si>
    <t>Jakobsthal</t>
  </si>
  <si>
    <t>Heinrichsthaler Forst</t>
  </si>
  <si>
    <t>Dettingen a.Main</t>
  </si>
  <si>
    <t>Rückersbach</t>
  </si>
  <si>
    <t>Oberafferbach</t>
  </si>
  <si>
    <t>Johannesberg</t>
  </si>
  <si>
    <t>Breunsberg</t>
  </si>
  <si>
    <t>Daxberg</t>
  </si>
  <si>
    <t>Wenighösbach</t>
  </si>
  <si>
    <t>Feldkahl</t>
  </si>
  <si>
    <t>Rottenberg</t>
  </si>
  <si>
    <t>Sailaufer Forst</t>
  </si>
  <si>
    <t>Steinbach</t>
  </si>
  <si>
    <t>Glattbach</t>
  </si>
  <si>
    <t>Unterafferbach</t>
  </si>
  <si>
    <t>Sailauf</t>
  </si>
  <si>
    <t>Laufach</t>
  </si>
  <si>
    <t>Hain i.Spessart</t>
  </si>
  <si>
    <t>Heigenbrücken</t>
  </si>
  <si>
    <t>Kleinostheim</t>
  </si>
  <si>
    <t>Stockstadt a.Main</t>
  </si>
  <si>
    <t>Damm</t>
  </si>
  <si>
    <t>Goldbach</t>
  </si>
  <si>
    <t>Hösbach</t>
  </si>
  <si>
    <t>Forst Hain i.Spessart</t>
  </si>
  <si>
    <t>Mainaschaff</t>
  </si>
  <si>
    <t>Leider</t>
  </si>
  <si>
    <t>Haibach</t>
  </si>
  <si>
    <t>Winzenhohl</t>
  </si>
  <si>
    <t>Keilberg</t>
  </si>
  <si>
    <t>Waldaschaff</t>
  </si>
  <si>
    <t>Waldaschaffer Forst</t>
  </si>
  <si>
    <t>Rothenbuch</t>
  </si>
  <si>
    <t>Schweinheim</t>
  </si>
  <si>
    <t>Gailbach</t>
  </si>
  <si>
    <t>Grünmorsbach</t>
  </si>
  <si>
    <t>Dörrmorsbach</t>
  </si>
  <si>
    <t>Straßbessenbach</t>
  </si>
  <si>
    <t>Oberbessenbach</t>
  </si>
  <si>
    <t>Rothenbucher Forst</t>
  </si>
  <si>
    <t>Großostheim</t>
  </si>
  <si>
    <t>Obernau</t>
  </si>
  <si>
    <t>Hessenthal</t>
  </si>
  <si>
    <t>Weibersbrunn</t>
  </si>
  <si>
    <t>Pflaumheim</t>
  </si>
  <si>
    <t>Mespelbrunn</t>
  </si>
  <si>
    <t>Rohrbrunner Forst</t>
  </si>
  <si>
    <t>Wenigumstadt</t>
  </si>
  <si>
    <t>Heimbuchenthal</t>
  </si>
  <si>
    <t>Wintersbach</t>
  </si>
  <si>
    <t>Krausenbach</t>
  </si>
  <si>
    <t>Krausenbacher Forst</t>
  </si>
  <si>
    <t>Niedernberg</t>
  </si>
  <si>
    <t>Sulzbach a.Main</t>
  </si>
  <si>
    <t>Soden</t>
  </si>
  <si>
    <t>Ebersbach</t>
  </si>
  <si>
    <t>Leidersbach</t>
  </si>
  <si>
    <t>Hohe Wart</t>
  </si>
  <si>
    <t>Dornau</t>
  </si>
  <si>
    <t>Volkersbrunn</t>
  </si>
  <si>
    <t>Großwallstadt</t>
  </si>
  <si>
    <t>Kleinwallstadt</t>
  </si>
  <si>
    <t>Mömlingen</t>
  </si>
  <si>
    <t>Eisenbach</t>
  </si>
  <si>
    <t>Obernburg a.Main</t>
  </si>
  <si>
    <t>Elsenfeld</t>
  </si>
  <si>
    <t>Hofstetten</t>
  </si>
  <si>
    <t>Eichelsbach</t>
  </si>
  <si>
    <t>Hobbach</t>
  </si>
  <si>
    <t>Erlenbach a.Main</t>
  </si>
  <si>
    <t>Forstwald</t>
  </si>
  <si>
    <t>Rück</t>
  </si>
  <si>
    <t>Schippach/Els</t>
  </si>
  <si>
    <t>Sommerau</t>
  </si>
  <si>
    <t>Oberaulenbach</t>
  </si>
  <si>
    <t>Altenbucher Forst</t>
  </si>
  <si>
    <t>Eschau</t>
  </si>
  <si>
    <t>Wildensee</t>
  </si>
  <si>
    <t>Oberaltenbuch</t>
  </si>
  <si>
    <t>Unteraltenbuch</t>
  </si>
  <si>
    <t>Wörth a.Main</t>
  </si>
  <si>
    <t>Klingenberg a.Main</t>
  </si>
  <si>
    <t>Mechenhard</t>
  </si>
  <si>
    <t>Streit</t>
  </si>
  <si>
    <t>Schmachtenberg</t>
  </si>
  <si>
    <t>Mönchberg</t>
  </si>
  <si>
    <t>Fechenbach</t>
  </si>
  <si>
    <t>Dorfprozelten</t>
  </si>
  <si>
    <t>Stadtprozelten</t>
  </si>
  <si>
    <t>Neuenbuch</t>
  </si>
  <si>
    <t>Hoher Berg</t>
  </si>
  <si>
    <t>Breitenbrunn</t>
  </si>
  <si>
    <t>Faulbach</t>
  </si>
  <si>
    <t>Trennfurt</t>
  </si>
  <si>
    <t>Röllfeld</t>
  </si>
  <si>
    <t>Röllbach</t>
  </si>
  <si>
    <t>Reistenhausen</t>
  </si>
  <si>
    <t>Laudenbach</t>
  </si>
  <si>
    <t>Großheubach</t>
  </si>
  <si>
    <t>Kleinheubach</t>
  </si>
  <si>
    <t>Bürgstadt</t>
  </si>
  <si>
    <t>Rüdenau</t>
  </si>
  <si>
    <t>Mainbullau</t>
  </si>
  <si>
    <t>Breitendiel</t>
  </si>
  <si>
    <t>Eichenbühl</t>
  </si>
  <si>
    <t>Umpfenbach</t>
  </si>
  <si>
    <t>Neunkirchen</t>
  </si>
  <si>
    <t>Richelbach</t>
  </si>
  <si>
    <t>Ohrenbach</t>
  </si>
  <si>
    <t>Weckbach</t>
  </si>
  <si>
    <t>Weilbach</t>
  </si>
  <si>
    <t>Wenschdorf</t>
  </si>
  <si>
    <t>Schippach/Mil</t>
  </si>
  <si>
    <t>Heppdiel</t>
  </si>
  <si>
    <t>Boxbrunn i.Odenwald</t>
  </si>
  <si>
    <t>Amorbach</t>
  </si>
  <si>
    <t>Schneeberg</t>
  </si>
  <si>
    <t>Reichartshausen</t>
  </si>
  <si>
    <t>Windischbuchen</t>
  </si>
  <si>
    <t>Riedern</t>
  </si>
  <si>
    <t>Otterbach</t>
  </si>
  <si>
    <t>Watterbach</t>
  </si>
  <si>
    <t>Kirchzell</t>
  </si>
  <si>
    <t>Ottorfszell</t>
  </si>
  <si>
    <t>Preunschen</t>
  </si>
  <si>
    <t>Beuchen</t>
  </si>
  <si>
    <t>Zittenfelden</t>
  </si>
  <si>
    <t>Hambrunn</t>
  </si>
  <si>
    <t>Burgjoß</t>
  </si>
  <si>
    <t>Obersinn</t>
  </si>
  <si>
    <t>Forst Aura</t>
  </si>
  <si>
    <t>Mittelsinn</t>
  </si>
  <si>
    <t>Aura i.Sinngrund</t>
  </si>
  <si>
    <t>Fellen</t>
  </si>
  <si>
    <t>Burgsinn</t>
  </si>
  <si>
    <t>Rengersbrunn</t>
  </si>
  <si>
    <t>Herrnwald</t>
  </si>
  <si>
    <t>Rieneck</t>
  </si>
  <si>
    <t>Schaippach</t>
  </si>
  <si>
    <t>Wolfsmünster</t>
  </si>
  <si>
    <t>Schonderfeld</t>
  </si>
  <si>
    <t>Gräfendorf</t>
  </si>
  <si>
    <t>Michelau a.d.Saale</t>
  </si>
  <si>
    <t>Weickersgrüben</t>
  </si>
  <si>
    <t>Aschenroth</t>
  </si>
  <si>
    <t>Weyersfeld</t>
  </si>
  <si>
    <t>Seifriedsburg</t>
  </si>
  <si>
    <t>Höllrich</t>
  </si>
  <si>
    <t>Habichsthal</t>
  </si>
  <si>
    <t>Frammersbacher Forst</t>
  </si>
  <si>
    <t>Frammersbach</t>
  </si>
  <si>
    <t>Haurain</t>
  </si>
  <si>
    <t>Ruppertshüttener Forst</t>
  </si>
  <si>
    <t>Ruppertshütten</t>
  </si>
  <si>
    <t>Langenprozeltener Forst</t>
  </si>
  <si>
    <t>Langenprozelten</t>
  </si>
  <si>
    <t>Gemünden a.Main</t>
  </si>
  <si>
    <t>Heßdorf</t>
  </si>
  <si>
    <t>Karsbach</t>
  </si>
  <si>
    <t>Wiesthal</t>
  </si>
  <si>
    <t>Neuhütten</t>
  </si>
  <si>
    <t>Krommenthal</t>
  </si>
  <si>
    <t>Partensteiner Forst</t>
  </si>
  <si>
    <t>Partenstein</t>
  </si>
  <si>
    <t>Neuendorf</t>
  </si>
  <si>
    <t>Massenbuch</t>
  </si>
  <si>
    <t>Wernfeld</t>
  </si>
  <si>
    <t>Harrbach</t>
  </si>
  <si>
    <t>Adelsberg</t>
  </si>
  <si>
    <t>Sachsenheim</t>
  </si>
  <si>
    <t>Gössenheim</t>
  </si>
  <si>
    <t>Aschfeld</t>
  </si>
  <si>
    <t>Eußenheim</t>
  </si>
  <si>
    <t>Münster</t>
  </si>
  <si>
    <t>Bühler</t>
  </si>
  <si>
    <t>Hundsbach</t>
  </si>
  <si>
    <t>Obersfeld</t>
  </si>
  <si>
    <t>Forst Lohrerstraße</t>
  </si>
  <si>
    <t>Rechtenbach</t>
  </si>
  <si>
    <t>Rothenberg</t>
  </si>
  <si>
    <t>Wombach</t>
  </si>
  <si>
    <t>Lohr a.Main</t>
  </si>
  <si>
    <t>Sackenbach</t>
  </si>
  <si>
    <t>Sendelbach</t>
  </si>
  <si>
    <t>Rodenbach</t>
  </si>
  <si>
    <t>Pflochsbach</t>
  </si>
  <si>
    <t>Halsbach</t>
  </si>
  <si>
    <t>Wiesenfeld</t>
  </si>
  <si>
    <t>Steinfeld</t>
  </si>
  <si>
    <t>Rohrbach</t>
  </si>
  <si>
    <t>Gainfurter Markung</t>
  </si>
  <si>
    <t>Gambach</t>
  </si>
  <si>
    <t>Karlburg</t>
  </si>
  <si>
    <t>Karlstadt</t>
  </si>
  <si>
    <t>Heßlar</t>
  </si>
  <si>
    <t>Fürstl.Löwenstein'scher Park</t>
  </si>
  <si>
    <t>Neustadt a.Main</t>
  </si>
  <si>
    <t>Erlach a.Main</t>
  </si>
  <si>
    <t>Waldzell</t>
  </si>
  <si>
    <t>Stadelhofen</t>
  </si>
  <si>
    <t>Bergrothenfels</t>
  </si>
  <si>
    <t>Rothenfels</t>
  </si>
  <si>
    <t>Windheim</t>
  </si>
  <si>
    <t>Zimmern</t>
  </si>
  <si>
    <t>Roden</t>
  </si>
  <si>
    <t>Bischbrunner Forst</t>
  </si>
  <si>
    <t>Bischbrunn</t>
  </si>
  <si>
    <t>Oberndorf</t>
  </si>
  <si>
    <t>Steinmark</t>
  </si>
  <si>
    <t>Esselbach</t>
  </si>
  <si>
    <t>Kredenbach</t>
  </si>
  <si>
    <t>Marienbrunn</t>
  </si>
  <si>
    <t>Hafenlohr</t>
  </si>
  <si>
    <t>Karbach</t>
  </si>
  <si>
    <t>Billingshausen</t>
  </si>
  <si>
    <t>Birkenfeld</t>
  </si>
  <si>
    <t>Schollbrunn</t>
  </si>
  <si>
    <t>Michelrieth</t>
  </si>
  <si>
    <t>Altfeld</t>
  </si>
  <si>
    <t>Marktheidenfeld</t>
  </si>
  <si>
    <t>Glasofen</t>
  </si>
  <si>
    <t>Hasselberg</t>
  </si>
  <si>
    <t>Hasloch</t>
  </si>
  <si>
    <t>Röttbach</t>
  </si>
  <si>
    <t>Oberwittbach</t>
  </si>
  <si>
    <t>Wiebelbach</t>
  </si>
  <si>
    <t>Kreuzwertheim</t>
  </si>
  <si>
    <t>Unterwittbach</t>
  </si>
  <si>
    <t>Rettersheim</t>
  </si>
  <si>
    <t>Lengfurt</t>
  </si>
  <si>
    <t>Erlenbach b.Marktheidenfeld</t>
  </si>
  <si>
    <t>Tiefenthal</t>
  </si>
  <si>
    <t>Trennfeld</t>
  </si>
  <si>
    <t>Homburg a.Main</t>
  </si>
  <si>
    <t>Duttenbrunn</t>
  </si>
  <si>
    <t>Himmelstadt</t>
  </si>
  <si>
    <t>Zellingen</t>
  </si>
  <si>
    <t>Markt Retzbach</t>
  </si>
  <si>
    <t>Thüngen</t>
  </si>
  <si>
    <t>Retzstadt</t>
  </si>
  <si>
    <t>Gramschatzer Wald</t>
  </si>
  <si>
    <t>Gramschatz</t>
  </si>
  <si>
    <t>Erbshausen</t>
  </si>
  <si>
    <t>Rieden</t>
  </si>
  <si>
    <t>Opferbaum</t>
  </si>
  <si>
    <t>Unterleinach</t>
  </si>
  <si>
    <t>Oberleinach</t>
  </si>
  <si>
    <t>Erlabrunn</t>
  </si>
  <si>
    <t>Thüngersheim</t>
  </si>
  <si>
    <t>Güntersleben</t>
  </si>
  <si>
    <t>Rimpar</t>
  </si>
  <si>
    <t>Hilpertshausen</t>
  </si>
  <si>
    <t>Burggrumbach</t>
  </si>
  <si>
    <t>Bergtheim</t>
  </si>
  <si>
    <t>Dipbach</t>
  </si>
  <si>
    <t>Untereisenheim</t>
  </si>
  <si>
    <t>Obereisenheim</t>
  </si>
  <si>
    <t>Maidbronner Wald</t>
  </si>
  <si>
    <t>Maidbronn</t>
  </si>
  <si>
    <t>Mühlhausen</t>
  </si>
  <si>
    <t>Unterpleichfeld</t>
  </si>
  <si>
    <t>Oberpleichfeld</t>
  </si>
  <si>
    <t>Püssensheim</t>
  </si>
  <si>
    <t>Prosselsheim</t>
  </si>
  <si>
    <t>Remlingen</t>
  </si>
  <si>
    <t>Greußenheim</t>
  </si>
  <si>
    <t>Margetshöchheim</t>
  </si>
  <si>
    <t>Veitshöchheim</t>
  </si>
  <si>
    <t>Oberdürrbach</t>
  </si>
  <si>
    <t>Versbach</t>
  </si>
  <si>
    <t>Estenfeld</t>
  </si>
  <si>
    <t>Kürnach</t>
  </si>
  <si>
    <t>Wüstenzell</t>
  </si>
  <si>
    <t>Holzkirchen</t>
  </si>
  <si>
    <t>Uettingen</t>
  </si>
  <si>
    <t>Roßbrunn</t>
  </si>
  <si>
    <t>Hettstadt</t>
  </si>
  <si>
    <t>Zell a.Main</t>
  </si>
  <si>
    <t>Unterdürrbach</t>
  </si>
  <si>
    <t>Lengfeld</t>
  </si>
  <si>
    <t>Rottendorf</t>
  </si>
  <si>
    <t>Holzkirchhausen</t>
  </si>
  <si>
    <t>Helmstadt</t>
  </si>
  <si>
    <t>Waldbrunn</t>
  </si>
  <si>
    <t>Waldbüttelbrunn</t>
  </si>
  <si>
    <t>Eisingen</t>
  </si>
  <si>
    <t>Höchberg</t>
  </si>
  <si>
    <t>Guttenberger Wald</t>
  </si>
  <si>
    <t>Heidingsfeld</t>
  </si>
  <si>
    <t>Gerbrunn</t>
  </si>
  <si>
    <t>Randersacker</t>
  </si>
  <si>
    <t>Theilheim</t>
  </si>
  <si>
    <t>Neubrunn</t>
  </si>
  <si>
    <t>Unteraltertheim</t>
  </si>
  <si>
    <t>Oberaltertheim</t>
  </si>
  <si>
    <t>Irtenberger Wald</t>
  </si>
  <si>
    <t>Kist</t>
  </si>
  <si>
    <t>Reichenberg</t>
  </si>
  <si>
    <t>Böttigheim</t>
  </si>
  <si>
    <t>Kleinrinderfeld</t>
  </si>
  <si>
    <t>Uengershausen</t>
  </si>
  <si>
    <t>Lindflur</t>
  </si>
  <si>
    <t>Rottenbauer</t>
  </si>
  <si>
    <t>Eibelstadt</t>
  </si>
  <si>
    <t>Lindelbach</t>
  </si>
  <si>
    <t>Winterhausen</t>
  </si>
  <si>
    <t>Sommerhausen</t>
  </si>
  <si>
    <t>Erlach</t>
  </si>
  <si>
    <t>Moos</t>
  </si>
  <si>
    <t>Geroldshausen</t>
  </si>
  <si>
    <t>Kirchheim</t>
  </si>
  <si>
    <t>Sulzdorf</t>
  </si>
  <si>
    <t>Ingolstadt i.UFr.</t>
  </si>
  <si>
    <t>Eßfeld</t>
  </si>
  <si>
    <t>Darstadt</t>
  </si>
  <si>
    <t>Goßmannsdorf a.Main</t>
  </si>
  <si>
    <t>Kleinochsenfurt</t>
  </si>
  <si>
    <t>Zeubelried</t>
  </si>
  <si>
    <t>Giebelstadt</t>
  </si>
  <si>
    <t>Acholshausen</t>
  </si>
  <si>
    <t>Tückelhausen</t>
  </si>
  <si>
    <t>Hohestadt</t>
  </si>
  <si>
    <t>Ochsenfurt</t>
  </si>
  <si>
    <t>Frickenhausen a.Main</t>
  </si>
  <si>
    <t>Gaubüttelbrunn</t>
  </si>
  <si>
    <t>Gützingen</t>
  </si>
  <si>
    <t>Allersheim</t>
  </si>
  <si>
    <t>Herchsheim</t>
  </si>
  <si>
    <t>Gaukönigshofen</t>
  </si>
  <si>
    <t>Eichelsee</t>
  </si>
  <si>
    <t>Hopferstadt</t>
  </si>
  <si>
    <t>Bütthard</t>
  </si>
  <si>
    <t>Höttingen</t>
  </si>
  <si>
    <t>Euerhausen</t>
  </si>
  <si>
    <t>Wolkshausen</t>
  </si>
  <si>
    <t>Rittershausen</t>
  </si>
  <si>
    <t>Gaurettersheim</t>
  </si>
  <si>
    <t>Sächsenheim</t>
  </si>
  <si>
    <t>Sonderhofen</t>
  </si>
  <si>
    <t>Bolzhausen</t>
  </si>
  <si>
    <t>Osthausen</t>
  </si>
  <si>
    <t>Oesfeld</t>
  </si>
  <si>
    <t>Stalldorf</t>
  </si>
  <si>
    <t>Gelchsheim</t>
  </si>
  <si>
    <t>Oellingen</t>
  </si>
  <si>
    <t>Riedenheim</t>
  </si>
  <si>
    <t>Baldersheim</t>
  </si>
  <si>
    <t>Strüth</t>
  </si>
  <si>
    <t>Aufstetten</t>
  </si>
  <si>
    <t>Burgerroth</t>
  </si>
  <si>
    <t>Röttingen</t>
  </si>
  <si>
    <t>Bieberehren</t>
  </si>
  <si>
    <t>Buch</t>
  </si>
  <si>
    <t>Tauberrettersheim</t>
  </si>
  <si>
    <t>Klingen</t>
  </si>
  <si>
    <t>Oberlauringen</t>
  </si>
  <si>
    <t>Bundorf</t>
  </si>
  <si>
    <t>Mailes</t>
  </si>
  <si>
    <t>Wetzhausen</t>
  </si>
  <si>
    <t>Birnfeld</t>
  </si>
  <si>
    <t>Kimmelsbach</t>
  </si>
  <si>
    <t>Neuses</t>
  </si>
  <si>
    <t>Stadtlauringen</t>
  </si>
  <si>
    <t>Nassach</t>
  </si>
  <si>
    <t>Rottensteiner Forst</t>
  </si>
  <si>
    <t>Stöckach</t>
  </si>
  <si>
    <t>Schweinshaupten</t>
  </si>
  <si>
    <t>Ballingshausen</t>
  </si>
  <si>
    <t>Altenmünster</t>
  </si>
  <si>
    <t>Wettringen</t>
  </si>
  <si>
    <t>Aidhausen</t>
  </si>
  <si>
    <t>Happertshausen</t>
  </si>
  <si>
    <t>Friesenhausen</t>
  </si>
  <si>
    <t>Reckertshausen</t>
  </si>
  <si>
    <t>Eichelsdorf</t>
  </si>
  <si>
    <t>Walchenfeld</t>
  </si>
  <si>
    <t>Manau</t>
  </si>
  <si>
    <t>Sulzbach</t>
  </si>
  <si>
    <t>Erlsdorf</t>
  </si>
  <si>
    <t>Ueschersdorf</t>
  </si>
  <si>
    <t>Birkach</t>
  </si>
  <si>
    <t>Gemeinfeld</t>
  </si>
  <si>
    <t>Pfersdorf</t>
  </si>
  <si>
    <t>Pfändhausen</t>
  </si>
  <si>
    <t>Jeusing</t>
  </si>
  <si>
    <t>Madenhausen</t>
  </si>
  <si>
    <t>Ebertshausen</t>
  </si>
  <si>
    <t>Kerbfeld</t>
  </si>
  <si>
    <t>Lendershausen</t>
  </si>
  <si>
    <t>Hofheim i.UFr.</t>
  </si>
  <si>
    <t>Goßmannsdorf</t>
  </si>
  <si>
    <t>Fitzendorf</t>
  </si>
  <si>
    <t>Ibind</t>
  </si>
  <si>
    <t>Burgpreppach</t>
  </si>
  <si>
    <t>Leuzendorf i.UFr.</t>
  </si>
  <si>
    <t>Hain</t>
  </si>
  <si>
    <t>Holzhausen</t>
  </si>
  <si>
    <t>Weipoltshausen</t>
  </si>
  <si>
    <t>Hesselbach</t>
  </si>
  <si>
    <t>Reichmannshausen</t>
  </si>
  <si>
    <t>Humprechtshausen</t>
  </si>
  <si>
    <t>Kleinsteinach</t>
  </si>
  <si>
    <t>Rügheim</t>
  </si>
  <si>
    <t>Ostheim</t>
  </si>
  <si>
    <t>Hohnhausen</t>
  </si>
  <si>
    <t>Goßmannsdorfer Forst</t>
  </si>
  <si>
    <t>Wasserlosen</t>
  </si>
  <si>
    <t>Poppenhausen</t>
  </si>
  <si>
    <t>Kronungen</t>
  </si>
  <si>
    <t>Maibach</t>
  </si>
  <si>
    <t>Hambach</t>
  </si>
  <si>
    <t>Zell</t>
  </si>
  <si>
    <t>Üchtelhausen</t>
  </si>
  <si>
    <t>Löffelsterz</t>
  </si>
  <si>
    <t>Kleinmünster</t>
  </si>
  <si>
    <t>Mechenried</t>
  </si>
  <si>
    <t>Junkersdorf</t>
  </si>
  <si>
    <t>Unfinden</t>
  </si>
  <si>
    <t>Greßthal</t>
  </si>
  <si>
    <t>Schwemmelsbach</t>
  </si>
  <si>
    <t>Rütschenhausen</t>
  </si>
  <si>
    <t>Obbach</t>
  </si>
  <si>
    <t>Kützberg</t>
  </si>
  <si>
    <t>Euerbach</t>
  </si>
  <si>
    <t>Oberwerrn</t>
  </si>
  <si>
    <t>Niederwerrn</t>
  </si>
  <si>
    <t>Dittelbrunn</t>
  </si>
  <si>
    <t>Marktsteinach</t>
  </si>
  <si>
    <t>Abersfeld</t>
  </si>
  <si>
    <t>Uchenhofen</t>
  </si>
  <si>
    <t>Römershofen</t>
  </si>
  <si>
    <t>Hellingen</t>
  </si>
  <si>
    <t>Königsberg i.Bay.</t>
  </si>
  <si>
    <t>Neubessingen</t>
  </si>
  <si>
    <t>Wülfershausen</t>
  </si>
  <si>
    <t>Kaisten</t>
  </si>
  <si>
    <t>Brebersdorf</t>
  </si>
  <si>
    <t>Sömmersdorf</t>
  </si>
  <si>
    <t>Geldersheim</t>
  </si>
  <si>
    <t>Sennfeld</t>
  </si>
  <si>
    <t>Mainberg</t>
  </si>
  <si>
    <t>Schonungen</t>
  </si>
  <si>
    <t>Waldsachsen</t>
  </si>
  <si>
    <t>Sailershausen</t>
  </si>
  <si>
    <t>Oberhohenried</t>
  </si>
  <si>
    <t>Unterhohenried</t>
  </si>
  <si>
    <t>Sylbach</t>
  </si>
  <si>
    <t>Prappach</t>
  </si>
  <si>
    <t>Sechsthal</t>
  </si>
  <si>
    <t>Altershausen</t>
  </si>
  <si>
    <t>Windberger Forst</t>
  </si>
  <si>
    <t>Kottenbrunn</t>
  </si>
  <si>
    <t>Köslau</t>
  </si>
  <si>
    <t>Pettstadt</t>
  </si>
  <si>
    <t>Altbessingen</t>
  </si>
  <si>
    <t>Schwebenried</t>
  </si>
  <si>
    <t>Vasbühl</t>
  </si>
  <si>
    <t>Egenhausen</t>
  </si>
  <si>
    <t>Weyer</t>
  </si>
  <si>
    <t>Forst</t>
  </si>
  <si>
    <t>Gädheim</t>
  </si>
  <si>
    <t>Greßhausen</t>
  </si>
  <si>
    <t>Wülflingen</t>
  </si>
  <si>
    <t>Haßfurt</t>
  </si>
  <si>
    <t>Krum</t>
  </si>
  <si>
    <t>Bischofsheim</t>
  </si>
  <si>
    <t>Bischofsheimer Forst-Südwest</t>
  </si>
  <si>
    <t>Bischofsheimer Forst-Nordost</t>
  </si>
  <si>
    <t>Dörflis</t>
  </si>
  <si>
    <t>Kirchlauter</t>
  </si>
  <si>
    <t>Büchold</t>
  </si>
  <si>
    <t>Stettbach</t>
  </si>
  <si>
    <t>Eckartshausen</t>
  </si>
  <si>
    <t>Schleerieth</t>
  </si>
  <si>
    <t>Rundelshausen</t>
  </si>
  <si>
    <t>Schnackenwerth</t>
  </si>
  <si>
    <t>Bergrheinfeld</t>
  </si>
  <si>
    <t>Grafenrheinfeld</t>
  </si>
  <si>
    <t>Gochsheim</t>
  </si>
  <si>
    <t>Untereuerheim</t>
  </si>
  <si>
    <t>Obereuerheim</t>
  </si>
  <si>
    <t>Ottendorf</t>
  </si>
  <si>
    <t>Untertheres</t>
  </si>
  <si>
    <t>Horhausen</t>
  </si>
  <si>
    <t>Obertheres</t>
  </si>
  <si>
    <t>Wonfurt</t>
  </si>
  <si>
    <t>Augsfeld</t>
  </si>
  <si>
    <t>Zeil a.Main</t>
  </si>
  <si>
    <t>Schönbach</t>
  </si>
  <si>
    <t>Breitbrunn</t>
  </si>
  <si>
    <t>Hermannsberg</t>
  </si>
  <si>
    <t>Lußberg</t>
  </si>
  <si>
    <t>Heugrumbach</t>
  </si>
  <si>
    <t>Arnstein</t>
  </si>
  <si>
    <t>Schraudenbach</t>
  </si>
  <si>
    <t>Werneck</t>
  </si>
  <si>
    <t>Ettleben</t>
  </si>
  <si>
    <t>Röthlein</t>
  </si>
  <si>
    <t>Schwebheim</t>
  </si>
  <si>
    <t>Grettstadt</t>
  </si>
  <si>
    <t>Dürrfeld</t>
  </si>
  <si>
    <t>Pusselsheim</t>
  </si>
  <si>
    <t>Dampfach</t>
  </si>
  <si>
    <t>Steinsfeld</t>
  </si>
  <si>
    <t>Hainert</t>
  </si>
  <si>
    <t>Knetzgau</t>
  </si>
  <si>
    <t>Sand a.Main</t>
  </si>
  <si>
    <t>Ziegelanger</t>
  </si>
  <si>
    <t>Limbach</t>
  </si>
  <si>
    <t>Ebelsbach</t>
  </si>
  <si>
    <t>Gleisenau</t>
  </si>
  <si>
    <t>Schönbrunn</t>
  </si>
  <si>
    <t>Rudendorf</t>
  </si>
  <si>
    <t>Halsheim</t>
  </si>
  <si>
    <t>Müdesheim</t>
  </si>
  <si>
    <t>Reuchelheim</t>
  </si>
  <si>
    <t>Gänheim</t>
  </si>
  <si>
    <t>Zeuzleben</t>
  </si>
  <si>
    <t>Waigolshausen</t>
  </si>
  <si>
    <t>Hergolshausen</t>
  </si>
  <si>
    <t>Garstadt</t>
  </si>
  <si>
    <t>Heidenfeld</t>
  </si>
  <si>
    <t>Tugendorf</t>
  </si>
  <si>
    <t>Donnersdorf</t>
  </si>
  <si>
    <t>Falkenstein</t>
  </si>
  <si>
    <t>Reinhardswinden</t>
  </si>
  <si>
    <t>Wohnau</t>
  </si>
  <si>
    <t>Unterschwappach</t>
  </si>
  <si>
    <t>Oberschwappach</t>
  </si>
  <si>
    <t>Eschenau</t>
  </si>
  <si>
    <t>Zell a.Ebersberg</t>
  </si>
  <si>
    <t>Zeller Forst-West</t>
  </si>
  <si>
    <t>Eltmann</t>
  </si>
  <si>
    <t>Eschenbach</t>
  </si>
  <si>
    <t>Stettfeld</t>
  </si>
  <si>
    <t>Binsfeld</t>
  </si>
  <si>
    <t>Binsbach</t>
  </si>
  <si>
    <t>Eßleben</t>
  </si>
  <si>
    <t>Hirschfeld</t>
  </si>
  <si>
    <t>Gernach</t>
  </si>
  <si>
    <t>Unterspiesheim</t>
  </si>
  <si>
    <t>Oberspiesheim</t>
  </si>
  <si>
    <t>Sulzheim</t>
  </si>
  <si>
    <t>Kleinrheinfeld</t>
  </si>
  <si>
    <t>Traustadt</t>
  </si>
  <si>
    <t>Neuhauser Forst</t>
  </si>
  <si>
    <t>Neuschleichach</t>
  </si>
  <si>
    <t>Oberschleichach</t>
  </si>
  <si>
    <t>Unterschleichach</t>
  </si>
  <si>
    <t>Zeller Forst-Ost</t>
  </si>
  <si>
    <t>Dippach a.Main</t>
  </si>
  <si>
    <t>Roßstadt</t>
  </si>
  <si>
    <t>Schwanfeld</t>
  </si>
  <si>
    <t>Wipfeld</t>
  </si>
  <si>
    <t>Lindach</t>
  </si>
  <si>
    <t>Kolitzheim</t>
  </si>
  <si>
    <t>Herlheim</t>
  </si>
  <si>
    <t>Alitzheim</t>
  </si>
  <si>
    <t>Mönchstockheim</t>
  </si>
  <si>
    <t>Vögnitz</t>
  </si>
  <si>
    <t>Bischwind</t>
  </si>
  <si>
    <t>Hundelshausen</t>
  </si>
  <si>
    <t>Altmannsdorf</t>
  </si>
  <si>
    <t>Fabrik-Schleichacher Forst-SW</t>
  </si>
  <si>
    <t>Fabrik-Schleichacher Forst-NO</t>
  </si>
  <si>
    <t>Fabrikschleichach</t>
  </si>
  <si>
    <t>Fatschenbrunn</t>
  </si>
  <si>
    <t>Tretzendorf</t>
  </si>
  <si>
    <t>Trossenfurt</t>
  </si>
  <si>
    <t>Weisbrunn</t>
  </si>
  <si>
    <t>Lembach</t>
  </si>
  <si>
    <t>Stammheim</t>
  </si>
  <si>
    <t>Zeilitzheim</t>
  </si>
  <si>
    <t>Brünnstadt</t>
  </si>
  <si>
    <t>Gerolzhofen</t>
  </si>
  <si>
    <t>Rügshofen</t>
  </si>
  <si>
    <t>Dingolshausen</t>
  </si>
  <si>
    <t>Michelau i.Steigerwald</t>
  </si>
  <si>
    <t>Prüßberg</t>
  </si>
  <si>
    <t>Wustvieler Forst</t>
  </si>
  <si>
    <t>Obersteinbach</t>
  </si>
  <si>
    <t>Kirchaich</t>
  </si>
  <si>
    <t>Dankenfeld</t>
  </si>
  <si>
    <t>Frankenwinheim</t>
  </si>
  <si>
    <t>Wiebelsberg</t>
  </si>
  <si>
    <t>Geusfeld</t>
  </si>
  <si>
    <t>Wustviel</t>
  </si>
  <si>
    <t>Untersteinbach</t>
  </si>
  <si>
    <t>Theinheim</t>
  </si>
  <si>
    <t>Falsbrunn</t>
  </si>
  <si>
    <t>Fürnbach</t>
  </si>
  <si>
    <t>Lülsfeld</t>
  </si>
  <si>
    <t>Schallfeld</t>
  </si>
  <si>
    <t>Mutzenroth</t>
  </si>
  <si>
    <t>Oberschwarzach</t>
  </si>
  <si>
    <t>Handthal</t>
  </si>
  <si>
    <t>Koppenwind</t>
  </si>
  <si>
    <t>Prölsdorf</t>
  </si>
  <si>
    <t>Breitbach</t>
  </si>
  <si>
    <t>Siegendorf</t>
  </si>
  <si>
    <t>Fahr</t>
  </si>
  <si>
    <t>Gaibach</t>
  </si>
  <si>
    <t>Escherndorf</t>
  </si>
  <si>
    <t>Astheim</t>
  </si>
  <si>
    <t>Volkach</t>
  </si>
  <si>
    <t>Obervolkach</t>
  </si>
  <si>
    <t>Krautheim</t>
  </si>
  <si>
    <t>Neusetz</t>
  </si>
  <si>
    <t>Köhler</t>
  </si>
  <si>
    <t>Nordheim a.Main</t>
  </si>
  <si>
    <t>Hallburg</t>
  </si>
  <si>
    <t>Rimbach</t>
  </si>
  <si>
    <t>Eichfeld</t>
  </si>
  <si>
    <t>Järkendorf</t>
  </si>
  <si>
    <t>Brünnau</t>
  </si>
  <si>
    <t>Neuses a.Sand</t>
  </si>
  <si>
    <t>Bimbach</t>
  </si>
  <si>
    <t>Neudorf</t>
  </si>
  <si>
    <t>Euerfeld</t>
  </si>
  <si>
    <t>Schernau</t>
  </si>
  <si>
    <t>Schnepfenbach</t>
  </si>
  <si>
    <t>Brück</t>
  </si>
  <si>
    <t>Neuses a.Berg</t>
  </si>
  <si>
    <t>Sommerach</t>
  </si>
  <si>
    <t>Gerlachshausen</t>
  </si>
  <si>
    <t>Dimbach</t>
  </si>
  <si>
    <t>Reupelsdorf</t>
  </si>
  <si>
    <t>Laub</t>
  </si>
  <si>
    <t>Stadelschwarzach</t>
  </si>
  <si>
    <t>Prichsenstadt</t>
  </si>
  <si>
    <t>Kirchschönbach</t>
  </si>
  <si>
    <t>Altenschönbach</t>
  </si>
  <si>
    <t>Effeldorf</t>
  </si>
  <si>
    <t>Bibergau</t>
  </si>
  <si>
    <t>Dettelbach</t>
  </si>
  <si>
    <t>Mainsondheim</t>
  </si>
  <si>
    <t>Schwarzenau</t>
  </si>
  <si>
    <t>Münsterschwarzach</t>
  </si>
  <si>
    <t>Stadtschwarzach</t>
  </si>
  <si>
    <t>Düllstadt</t>
  </si>
  <si>
    <t>Atzhausen</t>
  </si>
  <si>
    <t>Feuerbach</t>
  </si>
  <si>
    <t>Wiesentheid</t>
  </si>
  <si>
    <t>Geesdorf</t>
  </si>
  <si>
    <t>Rüdern</t>
  </si>
  <si>
    <t>Gräfenneuses</t>
  </si>
  <si>
    <t>Ebersbrunn</t>
  </si>
  <si>
    <t>Biebelried</t>
  </si>
  <si>
    <t>Mainstockheim</t>
  </si>
  <si>
    <t>Albertshofen</t>
  </si>
  <si>
    <t>Klosterforst</t>
  </si>
  <si>
    <t>Hörblach</t>
  </si>
  <si>
    <t>Haidt</t>
  </si>
  <si>
    <t>Kleinlangheim</t>
  </si>
  <si>
    <t>Rüdenhausen</t>
  </si>
  <si>
    <t>Abtswind</t>
  </si>
  <si>
    <t>Untersambach</t>
  </si>
  <si>
    <t>Langenberg</t>
  </si>
  <si>
    <t>Geiselwind</t>
  </si>
  <si>
    <t>Füttersee</t>
  </si>
  <si>
    <t>Ilmenau</t>
  </si>
  <si>
    <t>Burggrub</t>
  </si>
  <si>
    <t>Holzberndorf</t>
  </si>
  <si>
    <t>Kaltensondheim</t>
  </si>
  <si>
    <t>Repperndorf</t>
  </si>
  <si>
    <t>Buchbrunn</t>
  </si>
  <si>
    <t>Großlangheim</t>
  </si>
  <si>
    <t>Wiesenbronn</t>
  </si>
  <si>
    <t>Greuth</t>
  </si>
  <si>
    <t>Castell</t>
  </si>
  <si>
    <t>Herper</t>
  </si>
  <si>
    <t>Rehweiler</t>
  </si>
  <si>
    <t>Dürrnbuch</t>
  </si>
  <si>
    <t>Wasserberndorf</t>
  </si>
  <si>
    <t>Burghöchstadt</t>
  </si>
  <si>
    <t>Freihaslach</t>
  </si>
  <si>
    <t>Fürstenforst</t>
  </si>
  <si>
    <t>Sulzfeld a.Main</t>
  </si>
  <si>
    <t>Hohenfeld</t>
  </si>
  <si>
    <t>Sickershausen</t>
  </si>
  <si>
    <t>Hoheim</t>
  </si>
  <si>
    <t>Mainbernheim</t>
  </si>
  <si>
    <t>Fröhstockheim</t>
  </si>
  <si>
    <t>Rödelsee</t>
  </si>
  <si>
    <t>Iphofen</t>
  </si>
  <si>
    <t>Birklingen</t>
  </si>
  <si>
    <t>Wüstenfelden</t>
  </si>
  <si>
    <t>Mannhofer Forst</t>
  </si>
  <si>
    <t>Stierhöfstetten</t>
  </si>
  <si>
    <t>Krettenbach</t>
  </si>
  <si>
    <t>Oberscheinfeld</t>
  </si>
  <si>
    <t>Prühl</t>
  </si>
  <si>
    <t>Appenfelden</t>
  </si>
  <si>
    <t>Oberrimbach</t>
  </si>
  <si>
    <t>Seitenbuch</t>
  </si>
  <si>
    <t>Markt Taschendorf</t>
  </si>
  <si>
    <t>Burghaslach</t>
  </si>
  <si>
    <t>Breitenlohe</t>
  </si>
  <si>
    <t>Niederndorf</t>
  </si>
  <si>
    <t>Gleißenberg</t>
  </si>
  <si>
    <t>Segnitz</t>
  </si>
  <si>
    <t>Marktsteft</t>
  </si>
  <si>
    <t>Michelfeld</t>
  </si>
  <si>
    <t>Willanzheim</t>
  </si>
  <si>
    <t>Markt Einersheim</t>
  </si>
  <si>
    <t>Possenheim</t>
  </si>
  <si>
    <t>Ziegenbach</t>
  </si>
  <si>
    <t>Schönaich</t>
  </si>
  <si>
    <t>Herpersdorf</t>
  </si>
  <si>
    <t>Erlabronn</t>
  </si>
  <si>
    <t>Schnodsenbach</t>
  </si>
  <si>
    <t>Kornhöfstadt</t>
  </si>
  <si>
    <t>Frankfurt</t>
  </si>
  <si>
    <t>Hombeer</t>
  </si>
  <si>
    <t>Marktbreit</t>
  </si>
  <si>
    <t>Obernbreit</t>
  </si>
  <si>
    <t>Tiefenstockheim</t>
  </si>
  <si>
    <t>Markt Herrnsheim</t>
  </si>
  <si>
    <t>Mönchsondheim</t>
  </si>
  <si>
    <t>Hellmitzheim</t>
  </si>
  <si>
    <t>Altmannshausen</t>
  </si>
  <si>
    <t>Burgambach</t>
  </si>
  <si>
    <t>Grappertshofen</t>
  </si>
  <si>
    <t>Scheinfeld</t>
  </si>
  <si>
    <t>Schwarzenberg</t>
  </si>
  <si>
    <t>Thierberg</t>
  </si>
  <si>
    <t>Gnodstadt</t>
  </si>
  <si>
    <t>Enheim</t>
  </si>
  <si>
    <t>Martinsheim</t>
  </si>
  <si>
    <t>Unterickelsheim</t>
  </si>
  <si>
    <t>Gnötzheim</t>
  </si>
  <si>
    <t>Wässerndorf</t>
  </si>
  <si>
    <t>Iffigheim</t>
  </si>
  <si>
    <t>Seinsheim</t>
  </si>
  <si>
    <t>Hüttenheim i.Bay.</t>
  </si>
  <si>
    <t>Nenzenheim</t>
  </si>
  <si>
    <t>Dornheim</t>
  </si>
  <si>
    <t>Limpurgerforst</t>
  </si>
  <si>
    <t>Neundorf</t>
  </si>
  <si>
    <t>Markt Bibart</t>
  </si>
  <si>
    <t>Oberlaimbach</t>
  </si>
  <si>
    <t>Unterlaimbach</t>
  </si>
  <si>
    <t>Ruthmannsweiler</t>
  </si>
  <si>
    <t>Krassolzheim</t>
  </si>
  <si>
    <t>Ezelheim</t>
  </si>
  <si>
    <t>Krautostheim</t>
  </si>
  <si>
    <t>Deutenheim</t>
  </si>
  <si>
    <t>Sugenheim</t>
  </si>
  <si>
    <t>Ullstadt</t>
  </si>
  <si>
    <t>Langenfeld</t>
  </si>
  <si>
    <t>Altmannshausen Nordwest</t>
  </si>
  <si>
    <t>Freihaslach Nordwest</t>
  </si>
  <si>
    <t>Ahlstadt</t>
  </si>
  <si>
    <t>Ahorn</t>
  </si>
  <si>
    <t>Aicha</t>
  </si>
  <si>
    <t>Altenbanz</t>
  </si>
  <si>
    <t>Altenhof</t>
  </si>
  <si>
    <t>Autenhausen</t>
  </si>
  <si>
    <t>Beiersdorf b.Coburg</t>
  </si>
  <si>
    <t>Bertelsdorf</t>
  </si>
  <si>
    <t>Beuerfeld</t>
  </si>
  <si>
    <t>Bieberbach</t>
  </si>
  <si>
    <t>Birkach a.Forst</t>
  </si>
  <si>
    <t>Birkig</t>
  </si>
  <si>
    <t>Blumenrod</t>
  </si>
  <si>
    <t>Boderndorf</t>
  </si>
  <si>
    <t>Breitenau</t>
  </si>
  <si>
    <t>Breitenauer Forst</t>
  </si>
  <si>
    <t>Breitengüßbacher Forst</t>
  </si>
  <si>
    <t>Brüx</t>
  </si>
  <si>
    <t>Brüxer Forst</t>
  </si>
  <si>
    <t>Buch a.Forst</t>
  </si>
  <si>
    <t>Buchenrod</t>
  </si>
  <si>
    <t>Burgberg</t>
  </si>
  <si>
    <t>Callenberger Forst-West</t>
  </si>
  <si>
    <t>Coburger Forst-Nordwest</t>
  </si>
  <si>
    <t>Coburger Forst-Südost</t>
  </si>
  <si>
    <t>Cortendorf</t>
  </si>
  <si>
    <t>Creidlitz</t>
  </si>
  <si>
    <t>Dietersdorf</t>
  </si>
  <si>
    <t>Dittersbrunn</t>
  </si>
  <si>
    <t>Dörfles b.Coburg</t>
  </si>
  <si>
    <t>Döringstadt</t>
  </si>
  <si>
    <t>Draisdorf</t>
  </si>
  <si>
    <t>Drossenhausen</t>
  </si>
  <si>
    <t>Ebensfeld</t>
  </si>
  <si>
    <t>Ebersdorf b.Coburg</t>
  </si>
  <si>
    <t>Ebersdorf</t>
  </si>
  <si>
    <t>Eggenbach</t>
  </si>
  <si>
    <t>Einberg</t>
  </si>
  <si>
    <t>Elsa</t>
  </si>
  <si>
    <t>Esbach</t>
  </si>
  <si>
    <t>Fechheim</t>
  </si>
  <si>
    <t>Fischbach</t>
  </si>
  <si>
    <t>Fornbach</t>
  </si>
  <si>
    <t>Forst Buch a.Forst</t>
  </si>
  <si>
    <t>Frauendorf</t>
  </si>
  <si>
    <t>Freiberg</t>
  </si>
  <si>
    <t>Friesendorf</t>
  </si>
  <si>
    <t>Frohnlach</t>
  </si>
  <si>
    <t>Fürth a.Berg</t>
  </si>
  <si>
    <t>Gauerstadt</t>
  </si>
  <si>
    <t>Gellnhausen</t>
  </si>
  <si>
    <t>Gemünda i.OFr.</t>
  </si>
  <si>
    <t>Gestungshausen</t>
  </si>
  <si>
    <t>Gleismuthhausen</t>
  </si>
  <si>
    <t>Gleußen</t>
  </si>
  <si>
    <t>Gossenberg</t>
  </si>
  <si>
    <t>Grattstadt</t>
  </si>
  <si>
    <t>Großgarnstadt</t>
  </si>
  <si>
    <t>Großheirath</t>
  </si>
  <si>
    <t>Großwalbur</t>
  </si>
  <si>
    <t>Grub a.Forst</t>
  </si>
  <si>
    <t>Grundfeld</t>
  </si>
  <si>
    <t>Haarbrücken</t>
  </si>
  <si>
    <t>Haarth</t>
  </si>
  <si>
    <t>Hähnles</t>
  </si>
  <si>
    <t>Hassenberg</t>
  </si>
  <si>
    <t>Hattersdorf</t>
  </si>
  <si>
    <t>Heilgersdorf</t>
  </si>
  <si>
    <t>Heldritt</t>
  </si>
  <si>
    <t>Herbartsdorf</t>
  </si>
  <si>
    <t>Herreth</t>
  </si>
  <si>
    <t>Hochstadt a.Main</t>
  </si>
  <si>
    <t>Höhn</t>
  </si>
  <si>
    <t>Hohensteiner Forst</t>
  </si>
  <si>
    <t>Horb b.Fürth a.Berg</t>
  </si>
  <si>
    <t>Horsdorf</t>
  </si>
  <si>
    <t>Isling</t>
  </si>
  <si>
    <t>Kaltenbrunn</t>
  </si>
  <si>
    <t>Kemmaten</t>
  </si>
  <si>
    <t>Ketschenbach</t>
  </si>
  <si>
    <t>Ketschendorf</t>
  </si>
  <si>
    <t>Kipfendorf</t>
  </si>
  <si>
    <t>Kirchberg</t>
  </si>
  <si>
    <t>Kleingarnstadt</t>
  </si>
  <si>
    <t>Kleinwalbur</t>
  </si>
  <si>
    <t>Kleukheim</t>
  </si>
  <si>
    <t>Köllnholz</t>
  </si>
  <si>
    <t>Kösfeld</t>
  </si>
  <si>
    <t>Kösten</t>
  </si>
  <si>
    <t>Köttel</t>
  </si>
  <si>
    <t>Kümmel</t>
  </si>
  <si>
    <t>Lahm b.Lichtenfels</t>
  </si>
  <si>
    <t>Lahm</t>
  </si>
  <si>
    <t>Langheim</t>
  </si>
  <si>
    <t>Lauterburg</t>
  </si>
  <si>
    <t>Lechenroth</t>
  </si>
  <si>
    <t>Lempertshausen</t>
  </si>
  <si>
    <t>Lettenreuth</t>
  </si>
  <si>
    <t>Lützelbuch</t>
  </si>
  <si>
    <t>Mährenhausen</t>
  </si>
  <si>
    <t>Mannsgereuth</t>
  </si>
  <si>
    <t>Marktgraitz</t>
  </si>
  <si>
    <t>Marktzeuln</t>
  </si>
  <si>
    <t>Meilschnitz</t>
  </si>
  <si>
    <t>Meeder</t>
  </si>
  <si>
    <t>Merlach</t>
  </si>
  <si>
    <t>Messenfeld</t>
  </si>
  <si>
    <t>Meschenbach</t>
  </si>
  <si>
    <t>Michelau i.OFr.</t>
  </si>
  <si>
    <t>Mirsdorf</t>
  </si>
  <si>
    <t>Mistelfeld</t>
  </si>
  <si>
    <t>Mittelberg</t>
  </si>
  <si>
    <t>Mittelwasungen</t>
  </si>
  <si>
    <t>Mönchkröttendorf</t>
  </si>
  <si>
    <t>Mönchröden</t>
  </si>
  <si>
    <t>Mönchrödener Forst</t>
  </si>
  <si>
    <t>Moggenbrunn</t>
  </si>
  <si>
    <t>Nedensdorf</t>
  </si>
  <si>
    <t>Neida</t>
  </si>
  <si>
    <t>Neuensee</t>
  </si>
  <si>
    <t>Neuensorg</t>
  </si>
  <si>
    <t>Neuensorger Forst</t>
  </si>
  <si>
    <t>Neukirchen</t>
  </si>
  <si>
    <t>Neuses a.Brand</t>
  </si>
  <si>
    <t>Neuses a.d.Eichen</t>
  </si>
  <si>
    <t>Neuses b.Coburg</t>
  </si>
  <si>
    <t>Neustadt b.Coburg</t>
  </si>
  <si>
    <t>Neustadter Forst</t>
  </si>
  <si>
    <t>Neu- u.Neershof</t>
  </si>
  <si>
    <t>Niederfüllbach</t>
  </si>
  <si>
    <t>Oberbrunn</t>
  </si>
  <si>
    <t>Oberelldorf</t>
  </si>
  <si>
    <t>Oberküps</t>
  </si>
  <si>
    <t>Oberfüllbach</t>
  </si>
  <si>
    <t>Oberlangheim</t>
  </si>
  <si>
    <t>Oberlauter</t>
  </si>
  <si>
    <t>Obersdorf</t>
  </si>
  <si>
    <t>Obersiemau</t>
  </si>
  <si>
    <t>Oberwohlsbach</t>
  </si>
  <si>
    <t>Oberwallenstadt</t>
  </si>
  <si>
    <t>Oberwasungen</t>
  </si>
  <si>
    <t>Oeslau</t>
  </si>
  <si>
    <t>Oettingshausen</t>
  </si>
  <si>
    <t>Ottowind</t>
  </si>
  <si>
    <t>Plesten</t>
  </si>
  <si>
    <t>Prächting</t>
  </si>
  <si>
    <t>Redwitz a.d.Rodach</t>
  </si>
  <si>
    <t>Reundorf</t>
  </si>
  <si>
    <t>Rodach</t>
  </si>
  <si>
    <t>Rögen</t>
  </si>
  <si>
    <t>Rossach</t>
  </si>
  <si>
    <t>Roßfeld</t>
  </si>
  <si>
    <t>Roth a.Forst</t>
  </si>
  <si>
    <t>Rothenhof</t>
  </si>
  <si>
    <t>Rothmannsthal</t>
  </si>
  <si>
    <t>Rottenbach</t>
  </si>
  <si>
    <t>Rüttmannsdorf</t>
  </si>
  <si>
    <t>Rudelsdorf</t>
  </si>
  <si>
    <t>Schafhof</t>
  </si>
  <si>
    <t>Scherneck</t>
  </si>
  <si>
    <t>Scheuerfeld</t>
  </si>
  <si>
    <t>Schney</t>
  </si>
  <si>
    <t>Schönstädt</t>
  </si>
  <si>
    <t>Schottenstein</t>
  </si>
  <si>
    <t>Schorkendorf</t>
  </si>
  <si>
    <t>Schwabthal</t>
  </si>
  <si>
    <t>Schwürbitz</t>
  </si>
  <si>
    <t>Seidmannsdorf</t>
  </si>
  <si>
    <t>Seßlach</t>
  </si>
  <si>
    <t>Seubelsdorf</t>
  </si>
  <si>
    <t>Sonnefeld</t>
  </si>
  <si>
    <t>Sonnefelder Forst-Nord</t>
  </si>
  <si>
    <t>Sonnefelder Forst-Süd</t>
  </si>
  <si>
    <t>Sonnefelder Forst-West</t>
  </si>
  <si>
    <t>Spittelstein</t>
  </si>
  <si>
    <t>Stadel</t>
  </si>
  <si>
    <t>Bad Staffelstein</t>
  </si>
  <si>
    <t>Stöppach</t>
  </si>
  <si>
    <t>Stublang</t>
  </si>
  <si>
    <t>Sülzfeld</t>
  </si>
  <si>
    <t>Thann</t>
  </si>
  <si>
    <t>Tiefenlauter</t>
  </si>
  <si>
    <t>Trainau</t>
  </si>
  <si>
    <t>Tremersdorf</t>
  </si>
  <si>
    <t>Trieb</t>
  </si>
  <si>
    <t>Trübenbach</t>
  </si>
  <si>
    <t>Uetzing</t>
  </si>
  <si>
    <t>Unnersdorf</t>
  </si>
  <si>
    <t>Unterbrunn</t>
  </si>
  <si>
    <t>Unterelldorf</t>
  </si>
  <si>
    <t>Unterlangenstadt</t>
  </si>
  <si>
    <t>Unterlauter</t>
  </si>
  <si>
    <t>Unterneuses</t>
  </si>
  <si>
    <t>Untersiemau</t>
  </si>
  <si>
    <t>Unterwasungen</t>
  </si>
  <si>
    <t>Unterwohlsbach</t>
  </si>
  <si>
    <t>Unterzettlitz</t>
  </si>
  <si>
    <t>Waltersdorf</t>
  </si>
  <si>
    <t>Watzendorf</t>
  </si>
  <si>
    <t>Weickenbach</t>
  </si>
  <si>
    <t>Weidach</t>
  </si>
  <si>
    <t>Weidhausen b.Coburg</t>
  </si>
  <si>
    <t>Weimersdorf</t>
  </si>
  <si>
    <t>Weingarten</t>
  </si>
  <si>
    <t>Weischau</t>
  </si>
  <si>
    <t>Weitramsdorf</t>
  </si>
  <si>
    <t>Weißenbrunn a.Forst</t>
  </si>
  <si>
    <t>Weißenbrunn vorm Wald</t>
  </si>
  <si>
    <t>Wellmersdorf</t>
  </si>
  <si>
    <t>Welsberg</t>
  </si>
  <si>
    <t>Wiesenfeld b.Coburg</t>
  </si>
  <si>
    <t>Wildenheid</t>
  </si>
  <si>
    <t>Witzmannsberg</t>
  </si>
  <si>
    <t>Wörlsdorf</t>
  </si>
  <si>
    <t>Wohlbach</t>
  </si>
  <si>
    <t>Wolfsdorf</t>
  </si>
  <si>
    <t>Wolfsloch</t>
  </si>
  <si>
    <t>Wüstenahorn</t>
  </si>
  <si>
    <t>Zedersdorf</t>
  </si>
  <si>
    <t>Zeickhorn</t>
  </si>
  <si>
    <t>Zettlitz</t>
  </si>
  <si>
    <t>Ziegelsdorf</t>
  </si>
  <si>
    <t>Lauenstein</t>
  </si>
  <si>
    <t>Steinbach a.d.Haide</t>
  </si>
  <si>
    <t>Ludwigsstadt</t>
  </si>
  <si>
    <t>Lauenhain</t>
  </si>
  <si>
    <t>Tettau</t>
  </si>
  <si>
    <t>Kleintettau</t>
  </si>
  <si>
    <t>Kehlbach</t>
  </si>
  <si>
    <t>Langenau</t>
  </si>
  <si>
    <t>Steinbach a.Wald</t>
  </si>
  <si>
    <t>Buchbach</t>
  </si>
  <si>
    <t>Haßlach</t>
  </si>
  <si>
    <t>Teuschnitz</t>
  </si>
  <si>
    <t>Rappoltengrün</t>
  </si>
  <si>
    <t>Wickendorf</t>
  </si>
  <si>
    <t>Tschirn</t>
  </si>
  <si>
    <t>Förtschendorf</t>
  </si>
  <si>
    <t>Friedersdorf</t>
  </si>
  <si>
    <t>Rothenkirchen</t>
  </si>
  <si>
    <t>Marienroth</t>
  </si>
  <si>
    <t>Welitsch</t>
  </si>
  <si>
    <t>Pressig</t>
  </si>
  <si>
    <t>Brauersdorf</t>
  </si>
  <si>
    <t>Eila</t>
  </si>
  <si>
    <t>Posseck i.Bay.</t>
  </si>
  <si>
    <t>Grössau</t>
  </si>
  <si>
    <t>Effelter</t>
  </si>
  <si>
    <t>Gifting</t>
  </si>
  <si>
    <t>Wilhelmsthal</t>
  </si>
  <si>
    <t>Steinberg</t>
  </si>
  <si>
    <t>Eibenberg</t>
  </si>
  <si>
    <t>Roßlach</t>
  </si>
  <si>
    <t>Nordhalben</t>
  </si>
  <si>
    <t>Heinersberg</t>
  </si>
  <si>
    <t>Langenbacher Forst</t>
  </si>
  <si>
    <t>Birnbaum</t>
  </si>
  <si>
    <t>Nurn</t>
  </si>
  <si>
    <t>Neufang</t>
  </si>
  <si>
    <t>Steinwiesen</t>
  </si>
  <si>
    <t>Neukenroth</t>
  </si>
  <si>
    <t>Wolfersdorf</t>
  </si>
  <si>
    <t>Reitsch</t>
  </si>
  <si>
    <t>Haßlach b.Kronach</t>
  </si>
  <si>
    <t>Haig</t>
  </si>
  <si>
    <t>Glosberg</t>
  </si>
  <si>
    <t>Gundelsdorf</t>
  </si>
  <si>
    <t>Knellendorf</t>
  </si>
  <si>
    <t>Friesen</t>
  </si>
  <si>
    <t>Dörfles</t>
  </si>
  <si>
    <t>Rotschreuth</t>
  </si>
  <si>
    <t>Seelach</t>
  </si>
  <si>
    <t>Gehülz</t>
  </si>
  <si>
    <t>Dobersgrund</t>
  </si>
  <si>
    <t>Ziegelerden</t>
  </si>
  <si>
    <t>Vogtendorf</t>
  </si>
  <si>
    <t>Höfles</t>
  </si>
  <si>
    <t>Wötzelsdorf</t>
  </si>
  <si>
    <t>Wolfersgrün</t>
  </si>
  <si>
    <t>Neuengrün</t>
  </si>
  <si>
    <t>Schnaid</t>
  </si>
  <si>
    <t>Wallenfels</t>
  </si>
  <si>
    <t>Dörnach</t>
  </si>
  <si>
    <t>Geuser</t>
  </si>
  <si>
    <t>Zeyern</t>
  </si>
  <si>
    <t>Oberrodach</t>
  </si>
  <si>
    <t>Unterrodach</t>
  </si>
  <si>
    <t>Großvichtach</t>
  </si>
  <si>
    <t>Seibelsdorf</t>
  </si>
  <si>
    <t>Schwärzdorf</t>
  </si>
  <si>
    <t>Steinach a.d.Steinach</t>
  </si>
  <si>
    <t>Mitwitz</t>
  </si>
  <si>
    <t>Burgstall</t>
  </si>
  <si>
    <t>Hof a.d.Steinach</t>
  </si>
  <si>
    <t>Horb a.d.Steinach</t>
  </si>
  <si>
    <t>Leutendorf</t>
  </si>
  <si>
    <t>Mödlitz</t>
  </si>
  <si>
    <t>Schneckenlohe</t>
  </si>
  <si>
    <t>Beikheim</t>
  </si>
  <si>
    <t>Theisenort</t>
  </si>
  <si>
    <t>Schmölz</t>
  </si>
  <si>
    <t>Johannisthal</t>
  </si>
  <si>
    <t>Tüschnitz</t>
  </si>
  <si>
    <t>Au</t>
  </si>
  <si>
    <t>Oberlangenstadt</t>
  </si>
  <si>
    <t>Küps</t>
  </si>
  <si>
    <t>Burkersdorf</t>
  </si>
  <si>
    <t>Thonberg</t>
  </si>
  <si>
    <t>Hummendorf</t>
  </si>
  <si>
    <t>Reuth</t>
  </si>
  <si>
    <t>Weißenbrunn</t>
  </si>
  <si>
    <t>Wildenberg</t>
  </si>
  <si>
    <t>Gössersdorf</t>
  </si>
  <si>
    <t>Köstenberg</t>
  </si>
  <si>
    <t>Heinersreuth</t>
  </si>
  <si>
    <t>Oberehesberg</t>
  </si>
  <si>
    <t>Wartenfels</t>
  </si>
  <si>
    <t>Presseck</t>
  </si>
  <si>
    <t>Schnebes</t>
  </si>
  <si>
    <t>Schlackenreuth</t>
  </si>
  <si>
    <t>Wildenstein</t>
  </si>
  <si>
    <t>Rodecker Forst-West</t>
  </si>
  <si>
    <t>Rugendorf</t>
  </si>
  <si>
    <t>Schwand</t>
  </si>
  <si>
    <t>Zaubach</t>
  </si>
  <si>
    <t>Stadtsteinacher Forst</t>
  </si>
  <si>
    <t>Triebenreuth</t>
  </si>
  <si>
    <t>Stadtsteinach</t>
  </si>
  <si>
    <t>Grafengehaig</t>
  </si>
  <si>
    <t>Eppenreuth</t>
  </si>
  <si>
    <t>Schlockenau</t>
  </si>
  <si>
    <t>Walberngrün</t>
  </si>
  <si>
    <t>Horbach</t>
  </si>
  <si>
    <t>Rappetenreuth</t>
  </si>
  <si>
    <t>Grünlas</t>
  </si>
  <si>
    <t>Weidmes</t>
  </si>
  <si>
    <t>Hohenberg</t>
  </si>
  <si>
    <t>Marktleugast</t>
  </si>
  <si>
    <t>Traindorf</t>
  </si>
  <si>
    <t>Marienweiher</t>
  </si>
  <si>
    <t>Schimmendorf</t>
  </si>
  <si>
    <t>Danndorf</t>
  </si>
  <si>
    <t>Schmeilsdorf</t>
  </si>
  <si>
    <t>Veitlahm</t>
  </si>
  <si>
    <t>Schwarzach b.Kulmbach</t>
  </si>
  <si>
    <t>Wernstein</t>
  </si>
  <si>
    <t>Motschenbach</t>
  </si>
  <si>
    <t>Willmersreuth</t>
  </si>
  <si>
    <t>Mainleus</t>
  </si>
  <si>
    <t>Buchau</t>
  </si>
  <si>
    <t>Wüstendorf</t>
  </si>
  <si>
    <t>Proß</t>
  </si>
  <si>
    <t>Kirchleus</t>
  </si>
  <si>
    <t>Lösau</t>
  </si>
  <si>
    <t>Lehenthal</t>
  </si>
  <si>
    <t>Oberdornlach</t>
  </si>
  <si>
    <t>Ziegelhüttener Forst</t>
  </si>
  <si>
    <t>Höferänger</t>
  </si>
  <si>
    <t>Burghaig</t>
  </si>
  <si>
    <t>Metzdorf</t>
  </si>
  <si>
    <t>Blaich</t>
  </si>
  <si>
    <t>Kauernburg</t>
  </si>
  <si>
    <t>Melkendorf</t>
  </si>
  <si>
    <t>Mangersreuth</t>
  </si>
  <si>
    <t>Kulmbacher Forst</t>
  </si>
  <si>
    <t>Katschenreuth</t>
  </si>
  <si>
    <t>Leuchau</t>
  </si>
  <si>
    <t>Untersteinach</t>
  </si>
  <si>
    <t>Guttenberg</t>
  </si>
  <si>
    <t>Kupferberg</t>
  </si>
  <si>
    <t>Ludwigschorgast</t>
  </si>
  <si>
    <t>Kauerndorf</t>
  </si>
  <si>
    <t>Ködnitz</t>
  </si>
  <si>
    <t>Trebgaster Forst</t>
  </si>
  <si>
    <t>Lindau</t>
  </si>
  <si>
    <t>Trebgast</t>
  </si>
  <si>
    <t>Harsdorf</t>
  </si>
  <si>
    <t>Hegnabrunn</t>
  </si>
  <si>
    <t>Neuenmarkt</t>
  </si>
  <si>
    <t>Wirsberg</t>
  </si>
  <si>
    <t>Ziegenburg</t>
  </si>
  <si>
    <t>Marktschorgast</t>
  </si>
  <si>
    <t>Pulst</t>
  </si>
  <si>
    <t>Himmelkroner Forst</t>
  </si>
  <si>
    <t>Himmelkron</t>
  </si>
  <si>
    <t>Gössenreuth</t>
  </si>
  <si>
    <t>Lanzendorf</t>
  </si>
  <si>
    <t>Lopp</t>
  </si>
  <si>
    <t>Peesten</t>
  </si>
  <si>
    <t>Döllnitz</t>
  </si>
  <si>
    <t>Azendorf</t>
  </si>
  <si>
    <t>Kasendorf</t>
  </si>
  <si>
    <t>Heubsch</t>
  </si>
  <si>
    <t>Wonsees</t>
  </si>
  <si>
    <t>Schirradorf</t>
  </si>
  <si>
    <t>Sanspareil</t>
  </si>
  <si>
    <t>Hutschdorf</t>
  </si>
  <si>
    <t>Thurnau</t>
  </si>
  <si>
    <t>Menchau</t>
  </si>
  <si>
    <t>Berndorf</t>
  </si>
  <si>
    <t>Limmersdorf I</t>
  </si>
  <si>
    <t>Limmersdorf II</t>
  </si>
  <si>
    <t>Limmersdorf III</t>
  </si>
  <si>
    <t>Felkendorf</t>
  </si>
  <si>
    <t>Tannfeld</t>
  </si>
  <si>
    <t>Alladorf</t>
  </si>
  <si>
    <t>Limmersdorfer Forst</t>
  </si>
  <si>
    <t>Langenstadt</t>
  </si>
  <si>
    <t>Neuenreuth a.Main</t>
  </si>
  <si>
    <t>Brücklein</t>
  </si>
  <si>
    <t>Neudrossenfeld</t>
  </si>
  <si>
    <t>Pechgraben</t>
  </si>
  <si>
    <t>Muckenreuth</t>
  </si>
  <si>
    <t>Altdrossenfeld</t>
  </si>
  <si>
    <t>Ebneth</t>
  </si>
  <si>
    <t>Kirchlein</t>
  </si>
  <si>
    <t>Gärtenroth</t>
  </si>
  <si>
    <t>Neuses a.Main</t>
  </si>
  <si>
    <t>Weidnitz</t>
  </si>
  <si>
    <t>Burgkunstadt</t>
  </si>
  <si>
    <t>Theisau</t>
  </si>
  <si>
    <t>Mainroth</t>
  </si>
  <si>
    <t>Zeublitz</t>
  </si>
  <si>
    <t>Strössendorf</t>
  </si>
  <si>
    <t>Burkheim</t>
  </si>
  <si>
    <t>Pfaffendorf</t>
  </si>
  <si>
    <t>Altenkunstadt</t>
  </si>
  <si>
    <t>Maineck</t>
  </si>
  <si>
    <t>Mainecker Forst (West)</t>
  </si>
  <si>
    <t>Kaspauer</t>
  </si>
  <si>
    <t>Weismain</t>
  </si>
  <si>
    <t>Geutenreuth</t>
  </si>
  <si>
    <t>Wallersberg</t>
  </si>
  <si>
    <t>Modschiedel</t>
  </si>
  <si>
    <t>Weiden</t>
  </si>
  <si>
    <t>Großziegenfeld</t>
  </si>
  <si>
    <t>Kleinziegenfeld</t>
  </si>
  <si>
    <t>Fesselsdorf</t>
  </si>
  <si>
    <t>Buckendorf</t>
  </si>
  <si>
    <t>Mainecker Forst (Ost)</t>
  </si>
  <si>
    <t>Geroldsgrün</t>
  </si>
  <si>
    <t>Dürrenwaid</t>
  </si>
  <si>
    <t>Steinbach b.Geroldsgrün</t>
  </si>
  <si>
    <t>Langenbach</t>
  </si>
  <si>
    <t>Bad Steben</t>
  </si>
  <si>
    <t>Thierbach</t>
  </si>
  <si>
    <t>Bobengrün</t>
  </si>
  <si>
    <t>Obersteben</t>
  </si>
  <si>
    <t>Carlsgrün</t>
  </si>
  <si>
    <t>Lichtenberg</t>
  </si>
  <si>
    <t>Issigau</t>
  </si>
  <si>
    <t>Eichenstein</t>
  </si>
  <si>
    <t>Kemlas</t>
  </si>
  <si>
    <t>Reitzenstein</t>
  </si>
  <si>
    <t>Berg</t>
  </si>
  <si>
    <t>Hadermannsgrün</t>
  </si>
  <si>
    <t>Eisenbühl</t>
  </si>
  <si>
    <t>Rudolphstein</t>
  </si>
  <si>
    <t>Tiefengrün</t>
  </si>
  <si>
    <t>Schnarchenreuth</t>
  </si>
  <si>
    <t>Gottsmannsgrün</t>
  </si>
  <si>
    <t>Bug b.Berg</t>
  </si>
  <si>
    <t>Bruck</t>
  </si>
  <si>
    <t>Köditz</t>
  </si>
  <si>
    <t>Schlegel</t>
  </si>
  <si>
    <t>Joditz</t>
  </si>
  <si>
    <t>Brunnenthal</t>
  </si>
  <si>
    <t>Töpen</t>
  </si>
  <si>
    <t>Isaar</t>
  </si>
  <si>
    <t>Münchenreuth</t>
  </si>
  <si>
    <t>Zedtwitz</t>
  </si>
  <si>
    <t>Feilitzsch</t>
  </si>
  <si>
    <t>Trogen</t>
  </si>
  <si>
    <t>Gattendorf</t>
  </si>
  <si>
    <t>Leimitz</t>
  </si>
  <si>
    <t>Unterkotzau</t>
  </si>
  <si>
    <t>Hofeck</t>
  </si>
  <si>
    <t>Moschendorf</t>
  </si>
  <si>
    <t>Wölbattendorf</t>
  </si>
  <si>
    <t>Föhrenreuth</t>
  </si>
  <si>
    <t>Martinsreuth</t>
  </si>
  <si>
    <t>Konradsreuth</t>
  </si>
  <si>
    <t>Silberbach</t>
  </si>
  <si>
    <t>Gottfriedsreuth</t>
  </si>
  <si>
    <t>Markersreuth</t>
  </si>
  <si>
    <t>Ahornberg</t>
  </si>
  <si>
    <t>Helmbrechts</t>
  </si>
  <si>
    <t>Kleinschwarzenbach</t>
  </si>
  <si>
    <t>Baiergrün</t>
  </si>
  <si>
    <t>Enchenreuth</t>
  </si>
  <si>
    <t>Gösmes</t>
  </si>
  <si>
    <t>Oberweißenbach</t>
  </si>
  <si>
    <t>Wüstenselbitz</t>
  </si>
  <si>
    <t>Dörnthal</t>
  </si>
  <si>
    <t>Neuhaus</t>
  </si>
  <si>
    <t>Rodesgrün</t>
  </si>
  <si>
    <t>Selbitz</t>
  </si>
  <si>
    <t>Weidesgrün</t>
  </si>
  <si>
    <t>Froschgrün</t>
  </si>
  <si>
    <t>Naila</t>
  </si>
  <si>
    <t>Marxgrün</t>
  </si>
  <si>
    <t>Culmitz</t>
  </si>
  <si>
    <t>Lippertsgrün</t>
  </si>
  <si>
    <t>Marlesreuth</t>
  </si>
  <si>
    <t>Bernstein a.Wald</t>
  </si>
  <si>
    <t>Löhmar</t>
  </si>
  <si>
    <t>Räumlas</t>
  </si>
  <si>
    <t>Meierhof</t>
  </si>
  <si>
    <t>Schwarzenstein</t>
  </si>
  <si>
    <t>Kleindöbra</t>
  </si>
  <si>
    <t>Forst Schwarzenbach a.Wald</t>
  </si>
  <si>
    <t>Straßdorf</t>
  </si>
  <si>
    <t>Schwarzenbach a.Wald</t>
  </si>
  <si>
    <t>Döbra</t>
  </si>
  <si>
    <t>Rodecker Forst-Ost</t>
  </si>
  <si>
    <t>Rodeck</t>
  </si>
  <si>
    <t>Windischengrün</t>
  </si>
  <si>
    <t>Volkmannsgrün</t>
  </si>
  <si>
    <t>Schauenstein</t>
  </si>
  <si>
    <t>Haidengrün</t>
  </si>
  <si>
    <t>Leupoldsgrün</t>
  </si>
  <si>
    <t>Lipperts</t>
  </si>
  <si>
    <t>Poppenreuth</t>
  </si>
  <si>
    <t>Meierhof b.Münchberg</t>
  </si>
  <si>
    <t>Münchberg</t>
  </si>
  <si>
    <t>Mechlenreuth</t>
  </si>
  <si>
    <t>Sauerhof</t>
  </si>
  <si>
    <t>Straas</t>
  </si>
  <si>
    <t>Gundlitz</t>
  </si>
  <si>
    <t>Stammbach</t>
  </si>
  <si>
    <t>Fleisnitz</t>
  </si>
  <si>
    <t>Förstenreuth</t>
  </si>
  <si>
    <t>Grossenau</t>
  </si>
  <si>
    <t>Walpenreuth</t>
  </si>
  <si>
    <t>Zell im Fichtelgebirge</t>
  </si>
  <si>
    <t>Kleinlosnitz</t>
  </si>
  <si>
    <t>Friedmannsdorf</t>
  </si>
  <si>
    <t>Sparneck</t>
  </si>
  <si>
    <t>Weißdorf</t>
  </si>
  <si>
    <t>Bug</t>
  </si>
  <si>
    <t>Wulmersreuth</t>
  </si>
  <si>
    <t>Seulbitz</t>
  </si>
  <si>
    <t>Hallerstein</t>
  </si>
  <si>
    <t>Schwarzenbach a.d.Saale</t>
  </si>
  <si>
    <t>Martinlamitz</t>
  </si>
  <si>
    <t>Quellenreuth</t>
  </si>
  <si>
    <t>Stobersreuth</t>
  </si>
  <si>
    <t>Förbau</t>
  </si>
  <si>
    <t>Hallersteiner Forst-Nordwest</t>
  </si>
  <si>
    <t>Fattigau</t>
  </si>
  <si>
    <t>Autengrün</t>
  </si>
  <si>
    <t>Oberkotzau</t>
  </si>
  <si>
    <t>Martinlamitzer Forst-Nord</t>
  </si>
  <si>
    <t>Neuhausen</t>
  </si>
  <si>
    <t>Fohrenreuth</t>
  </si>
  <si>
    <t>Pilgramsreuth</t>
  </si>
  <si>
    <t>Rehau</t>
  </si>
  <si>
    <t>Wurlitz</t>
  </si>
  <si>
    <t>Faßmannsreuth</t>
  </si>
  <si>
    <t>Rehauer Forst</t>
  </si>
  <si>
    <t>Kautendorf</t>
  </si>
  <si>
    <t>Döhlau</t>
  </si>
  <si>
    <t>Tauperlitz</t>
  </si>
  <si>
    <t>Draisendorf</t>
  </si>
  <si>
    <t>Vierschau</t>
  </si>
  <si>
    <t>Regnitzlosau</t>
  </si>
  <si>
    <t>Schwesendorf</t>
  </si>
  <si>
    <t>Prex</t>
  </si>
  <si>
    <t>Kühschwitz</t>
  </si>
  <si>
    <t>Nentschau</t>
  </si>
  <si>
    <t>Gerlaser Forst</t>
  </si>
  <si>
    <t>Geroldsgrüner Forst</t>
  </si>
  <si>
    <t>Sparnecker Forst</t>
  </si>
  <si>
    <t>Schönwald</t>
  </si>
  <si>
    <t>Lauterbach</t>
  </si>
  <si>
    <t>Vielitz</t>
  </si>
  <si>
    <t>Selb-Plößberg</t>
  </si>
  <si>
    <t>Erkersreuth</t>
  </si>
  <si>
    <t>Selb</t>
  </si>
  <si>
    <t>Längenau</t>
  </si>
  <si>
    <t>Buchwald</t>
  </si>
  <si>
    <t>Steinselb</t>
  </si>
  <si>
    <t>Unterweißenbach</t>
  </si>
  <si>
    <t>Spielberg</t>
  </si>
  <si>
    <t>Heidelheim</t>
  </si>
  <si>
    <t>Hallersteiner Forst-Nordost</t>
  </si>
  <si>
    <t>Unterschieda</t>
  </si>
  <si>
    <t>Dörflas b.Kirchenlamitz</t>
  </si>
  <si>
    <t>Kirchenlamitz</t>
  </si>
  <si>
    <t>Niederlamitz</t>
  </si>
  <si>
    <t>Raumetengrün</t>
  </si>
  <si>
    <t>Reicholdsgrün</t>
  </si>
  <si>
    <t>Martinlamitzer Forst-Süd</t>
  </si>
  <si>
    <t>Hallersteiner Forst-Süd</t>
  </si>
  <si>
    <t>Selber Forst</t>
  </si>
  <si>
    <t>Hohenberger Forst</t>
  </si>
  <si>
    <t>Kaiserhammer Forst-Ost</t>
  </si>
  <si>
    <t>Weißenstadter Forst-Nord</t>
  </si>
  <si>
    <t>Großwendern</t>
  </si>
  <si>
    <t>Marktleuthen</t>
  </si>
  <si>
    <t>Schwarzenhammer</t>
  </si>
  <si>
    <t>Neudes</t>
  </si>
  <si>
    <t>Thierstein</t>
  </si>
  <si>
    <t>Birkenbühl</t>
  </si>
  <si>
    <t>Hendelhammer</t>
  </si>
  <si>
    <t>Höchstädt i.Fichtelgebirge</t>
  </si>
  <si>
    <t>Neuhaus a.d.Eger</t>
  </si>
  <si>
    <t>Hohenberg a.d.Eger</t>
  </si>
  <si>
    <t>Fischern</t>
  </si>
  <si>
    <t>Schirnding</t>
  </si>
  <si>
    <t>Kothigenbibersbach</t>
  </si>
  <si>
    <t>Seedorf</t>
  </si>
  <si>
    <t>Arzberger Forst</t>
  </si>
  <si>
    <t>Weißenstadt</t>
  </si>
  <si>
    <t>Voitsumra</t>
  </si>
  <si>
    <t>Franken</t>
  </si>
  <si>
    <t>Oberröslau</t>
  </si>
  <si>
    <t>Bödlas</t>
  </si>
  <si>
    <t>Dürnberg</t>
  </si>
  <si>
    <t>Grün</t>
  </si>
  <si>
    <t>Thiersheim</t>
  </si>
  <si>
    <t>Grafenreuth</t>
  </si>
  <si>
    <t>Stemmas</t>
  </si>
  <si>
    <t>Weißenstadter Forst-Süd</t>
  </si>
  <si>
    <t>Meierhöfer Seite</t>
  </si>
  <si>
    <t>Vordorfer Forst</t>
  </si>
  <si>
    <t>Neubauer Forst-Süd</t>
  </si>
  <si>
    <t>Tröstauer Forst-West</t>
  </si>
  <si>
    <t>Tröstauer Forst-Ost</t>
  </si>
  <si>
    <t>Vordorf</t>
  </si>
  <si>
    <t>Tröstau</t>
  </si>
  <si>
    <t>Nagel</t>
  </si>
  <si>
    <t>Bad Alexandersbad</t>
  </si>
  <si>
    <t>Hildenbach</t>
  </si>
  <si>
    <t>Wunsiedel</t>
  </si>
  <si>
    <t>Bernstein</t>
  </si>
  <si>
    <t>Holenbrunn</t>
  </si>
  <si>
    <t>Bergnersreuth</t>
  </si>
  <si>
    <t>Schlottenhof</t>
  </si>
  <si>
    <t>Oschwitz</t>
  </si>
  <si>
    <t>Röthenbach</t>
  </si>
  <si>
    <t>Arzberg</t>
  </si>
  <si>
    <t>Seußen</t>
  </si>
  <si>
    <t>Haid</t>
  </si>
  <si>
    <t>Thölau</t>
  </si>
  <si>
    <t>Lorenzreuth</t>
  </si>
  <si>
    <t>Brand</t>
  </si>
  <si>
    <t>Oberredwitz</t>
  </si>
  <si>
    <t>Marktredwitz</t>
  </si>
  <si>
    <t>Wölsau</t>
  </si>
  <si>
    <t>Wölsauerhammer</t>
  </si>
  <si>
    <t>Haingrün</t>
  </si>
  <si>
    <t>Dörflas</t>
  </si>
  <si>
    <t>Korbersdorf</t>
  </si>
  <si>
    <t>Albersdorf</t>
  </si>
  <si>
    <t>Allertshausen</t>
  </si>
  <si>
    <t>Altendorf</t>
  </si>
  <si>
    <t>Altenstein</t>
  </si>
  <si>
    <t>Amlingstadt</t>
  </si>
  <si>
    <t>Ampferbach</t>
  </si>
  <si>
    <t>Appendorf</t>
  </si>
  <si>
    <t>Aschbach</t>
  </si>
  <si>
    <t>Baunach</t>
  </si>
  <si>
    <t>Birkacher Wald</t>
  </si>
  <si>
    <t>Bischwind a.Raueneck</t>
  </si>
  <si>
    <t>Bischberg</t>
  </si>
  <si>
    <t>Bojendorf</t>
  </si>
  <si>
    <t>Bramberg</t>
  </si>
  <si>
    <t>Bramberger Wald</t>
  </si>
  <si>
    <t>Breitengüßbach</t>
  </si>
  <si>
    <t>Bruderwald</t>
  </si>
  <si>
    <t>Brunn</t>
  </si>
  <si>
    <t>Burgebrach</t>
  </si>
  <si>
    <t>Burgellern</t>
  </si>
  <si>
    <t>Burgholz</t>
  </si>
  <si>
    <t>Burglesau</t>
  </si>
  <si>
    <t>Burgwindheim</t>
  </si>
  <si>
    <t>Busendorf</t>
  </si>
  <si>
    <t>Buttenheim</t>
  </si>
  <si>
    <t>Daschendorf</t>
  </si>
  <si>
    <t>Daschendorfer Forst</t>
  </si>
  <si>
    <t>Demmelsdorf</t>
  </si>
  <si>
    <t>Deusdorf</t>
  </si>
  <si>
    <t>Dippach</t>
  </si>
  <si>
    <t>Ditterswind</t>
  </si>
  <si>
    <t>Dörfleins</t>
  </si>
  <si>
    <t>Dörrnwasserlos</t>
  </si>
  <si>
    <t>Dorgendorf</t>
  </si>
  <si>
    <t>Dreuschendorf</t>
  </si>
  <si>
    <t>Drosendorf</t>
  </si>
  <si>
    <t>Dürrenried</t>
  </si>
  <si>
    <t>Ebern</t>
  </si>
  <si>
    <t>Ebing</t>
  </si>
  <si>
    <t>Ebrach</t>
  </si>
  <si>
    <t>Eckersbach</t>
  </si>
  <si>
    <t>Ehrl</t>
  </si>
  <si>
    <t>Eichelberg</t>
  </si>
  <si>
    <t>Eichwald</t>
  </si>
  <si>
    <t>Elsendorf</t>
  </si>
  <si>
    <t>Erlau</t>
  </si>
  <si>
    <t>Ermershausen</t>
  </si>
  <si>
    <t>Eyrichshof</t>
  </si>
  <si>
    <t>Frankendorf</t>
  </si>
  <si>
    <t>Frensdorf</t>
  </si>
  <si>
    <t>Gaustadt</t>
  </si>
  <si>
    <t>Geisberger Forst</t>
  </si>
  <si>
    <t>Geisfeld</t>
  </si>
  <si>
    <t>Gerach</t>
  </si>
  <si>
    <t>Gereuth</t>
  </si>
  <si>
    <t>Gleusdorf</t>
  </si>
  <si>
    <t>Gräfenhäusling</t>
  </si>
  <si>
    <t>Grasmannsdorf</t>
  </si>
  <si>
    <t>Großbirkach</t>
  </si>
  <si>
    <t>Großgressingen</t>
  </si>
  <si>
    <t>Grub</t>
  </si>
  <si>
    <t>Grumbach</t>
  </si>
  <si>
    <t>Gückelhirn</t>
  </si>
  <si>
    <t>Gundelsheim</t>
  </si>
  <si>
    <t>Gunzendorf</t>
  </si>
  <si>
    <t>Hafenpreppach</t>
  </si>
  <si>
    <t>Halbersdorf</t>
  </si>
  <si>
    <t>Hallstadt</t>
  </si>
  <si>
    <t>Hartlanden</t>
  </si>
  <si>
    <t>Haßwald-Nord</t>
  </si>
  <si>
    <t>Haßwald-Süd</t>
  </si>
  <si>
    <t>Haube</t>
  </si>
  <si>
    <t>Hauptsmoor</t>
  </si>
  <si>
    <t>Heiligenstadt i.OFr.</t>
  </si>
  <si>
    <t>Herrnsdorf</t>
  </si>
  <si>
    <t>Herzogenreuth</t>
  </si>
  <si>
    <t>Heubach</t>
  </si>
  <si>
    <t>Heuchelheim</t>
  </si>
  <si>
    <t>Hirschaid</t>
  </si>
  <si>
    <t>Höfen</t>
  </si>
  <si>
    <t>Höfen b.Rattelsdorf</t>
  </si>
  <si>
    <t>Hohenhäusling</t>
  </si>
  <si>
    <t>Hohengüßbach</t>
  </si>
  <si>
    <t>Hohenpölz</t>
  </si>
  <si>
    <t>Huppendorf</t>
  </si>
  <si>
    <t>Jesserndorf</t>
  </si>
  <si>
    <t>Junkersdorf a.d.Weisach</t>
  </si>
  <si>
    <t>Kalteneggolsfeld</t>
  </si>
  <si>
    <t>Kemmern</t>
  </si>
  <si>
    <t>Kirchschletten</t>
  </si>
  <si>
    <t>Königsfeld</t>
  </si>
  <si>
    <t>Kötsch</t>
  </si>
  <si>
    <t>Kolmsdorf</t>
  </si>
  <si>
    <t>Kraisdorf</t>
  </si>
  <si>
    <t>Kremmeldorf</t>
  </si>
  <si>
    <t>Laimbach</t>
  </si>
  <si>
    <t>Lauf</t>
  </si>
  <si>
    <t>Leesten</t>
  </si>
  <si>
    <t>Lichtenstein</t>
  </si>
  <si>
    <t>Lindach b.Maroldsweisach</t>
  </si>
  <si>
    <t>Lisberg</t>
  </si>
  <si>
    <t>Litzendorf</t>
  </si>
  <si>
    <t>Lohndorf</t>
  </si>
  <si>
    <t>Lohr</t>
  </si>
  <si>
    <t>Losbergsgereuth</t>
  </si>
  <si>
    <t>Ludwag</t>
  </si>
  <si>
    <t>Lußberger Forst</t>
  </si>
  <si>
    <t>Marbach</t>
  </si>
  <si>
    <t>Maroldsweisach</t>
  </si>
  <si>
    <t>Medlitz</t>
  </si>
  <si>
    <t>Meedensdorf</t>
  </si>
  <si>
    <t>Memmelsdorf</t>
  </si>
  <si>
    <t>Memmelsdorf i.UFr.</t>
  </si>
  <si>
    <t>Merkendorf</t>
  </si>
  <si>
    <t>Mistendorf</t>
  </si>
  <si>
    <t>Mönchherrnsdorf</t>
  </si>
  <si>
    <t>Mönchsambach</t>
  </si>
  <si>
    <t>Mühlendorf</t>
  </si>
  <si>
    <t>Mürsbach</t>
  </si>
  <si>
    <t>Naisa</t>
  </si>
  <si>
    <t>Neudorf b.Scheßlitz</t>
  </si>
  <si>
    <t>Neudorf b.Ebrach</t>
  </si>
  <si>
    <t>Neuses a.Raueneck</t>
  </si>
  <si>
    <t>Oberhaid</t>
  </si>
  <si>
    <t>Oberharnsbach</t>
  </si>
  <si>
    <t>Oberköst</t>
  </si>
  <si>
    <t>Oberleinleiter</t>
  </si>
  <si>
    <t>Oberleiterbach</t>
  </si>
  <si>
    <t>Obermerzbach</t>
  </si>
  <si>
    <t>Oberngrub</t>
  </si>
  <si>
    <t>Oberoberndorf</t>
  </si>
  <si>
    <t>Peulendorf</t>
  </si>
  <si>
    <t>Pfarrweisach</t>
  </si>
  <si>
    <t>Pödeldorf</t>
  </si>
  <si>
    <t>Pommersfelden</t>
  </si>
  <si>
    <t>Poxdorf</t>
  </si>
  <si>
    <t>Priegendorf</t>
  </si>
  <si>
    <t>Priesendorf</t>
  </si>
  <si>
    <t>Rabelsdorf</t>
  </si>
  <si>
    <t>Rattelsdorf</t>
  </si>
  <si>
    <t>Recheldorf</t>
  </si>
  <si>
    <t>Reckendorf</t>
  </si>
  <si>
    <t>Reckenneusig</t>
  </si>
  <si>
    <t>Reichmannsdorf</t>
  </si>
  <si>
    <t>Rentweinsdorf</t>
  </si>
  <si>
    <t>Rentweinsdorfer Hauptwald</t>
  </si>
  <si>
    <t>Reuthlos</t>
  </si>
  <si>
    <t>Reutersbrunn</t>
  </si>
  <si>
    <t>Röbersdorf</t>
  </si>
  <si>
    <t>Roschlaub</t>
  </si>
  <si>
    <t>Roßdorf a.Forst</t>
  </si>
  <si>
    <t>Rothensand</t>
  </si>
  <si>
    <t>Salmsdorf</t>
  </si>
  <si>
    <t>Sambach</t>
  </si>
  <si>
    <t>Sassanfahrt</t>
  </si>
  <si>
    <t>Sassendorf</t>
  </si>
  <si>
    <t>Schammelsdorf</t>
  </si>
  <si>
    <t>Schederndorf</t>
  </si>
  <si>
    <t>Scheßlitz</t>
  </si>
  <si>
    <t>Schlüsselfeld</t>
  </si>
  <si>
    <t>Schönbrunn i.Steigerwald</t>
  </si>
  <si>
    <t>Schweisdorf</t>
  </si>
  <si>
    <t>Seigendorf</t>
  </si>
  <si>
    <t>Semberg</t>
  </si>
  <si>
    <t>Seußling</t>
  </si>
  <si>
    <t>Siegritz</t>
  </si>
  <si>
    <t>Stackendorf</t>
  </si>
  <si>
    <t>Staffelbach</t>
  </si>
  <si>
    <t>Stappenbach</t>
  </si>
  <si>
    <t>Stegaurach</t>
  </si>
  <si>
    <t>Steinsdorf</t>
  </si>
  <si>
    <t>Steppach</t>
  </si>
  <si>
    <t>Stiefenberg</t>
  </si>
  <si>
    <t>Straßgiech</t>
  </si>
  <si>
    <t>Strullendorf</t>
  </si>
  <si>
    <t>Stübig</t>
  </si>
  <si>
    <t>Stücht</t>
  </si>
  <si>
    <t>Teuchatz</t>
  </si>
  <si>
    <t>Thüngfeld</t>
  </si>
  <si>
    <t>Tiefenellern</t>
  </si>
  <si>
    <t>Tiefenhöchstadt</t>
  </si>
  <si>
    <t>Tiefenpölz</t>
  </si>
  <si>
    <t>Trabelsdorf</t>
  </si>
  <si>
    <t>Treinfeld</t>
  </si>
  <si>
    <t>Treppendorf</t>
  </si>
  <si>
    <t>Treunitz</t>
  </si>
  <si>
    <t>Trosdorf</t>
  </si>
  <si>
    <t>Trunstadt</t>
  </si>
  <si>
    <t>Tütschengereuth</t>
  </si>
  <si>
    <t>Unterhaid</t>
  </si>
  <si>
    <t>Unterleiterbach</t>
  </si>
  <si>
    <t>Untermelsendorf</t>
  </si>
  <si>
    <t>Untermerzbach</t>
  </si>
  <si>
    <t>Unteroberndorf</t>
  </si>
  <si>
    <t>Unterpreppach</t>
  </si>
  <si>
    <t>Unterweiler</t>
  </si>
  <si>
    <t>Viereth</t>
  </si>
  <si>
    <t>Voccawind</t>
  </si>
  <si>
    <t>Voitmannsdorf</t>
  </si>
  <si>
    <t>Vollmannsdorf</t>
  </si>
  <si>
    <t>Vorbach</t>
  </si>
  <si>
    <t>Walsdorf</t>
  </si>
  <si>
    <t>Wasmuthhausen</t>
  </si>
  <si>
    <t>Wattendorf</t>
  </si>
  <si>
    <t>Weichendorf</t>
  </si>
  <si>
    <t>Weichenwasserlos</t>
  </si>
  <si>
    <t>Welkendorf</t>
  </si>
  <si>
    <t>Wernsdorf</t>
  </si>
  <si>
    <t>Wiesengiech</t>
  </si>
  <si>
    <t>Wildensorg</t>
  </si>
  <si>
    <t>Windischletten</t>
  </si>
  <si>
    <t>Wölkendorf</t>
  </si>
  <si>
    <t>Würgau</t>
  </si>
  <si>
    <t>Wüstenwelsberg</t>
  </si>
  <si>
    <t>Zapfendorf</t>
  </si>
  <si>
    <t>Zeckendorf</t>
  </si>
  <si>
    <t>Zeegendorf</t>
  </si>
  <si>
    <t>Zettmannsdorf</t>
  </si>
  <si>
    <t>Ziegelsambach</t>
  </si>
  <si>
    <t>Zoggendorf</t>
  </si>
  <si>
    <t>Zückshut</t>
  </si>
  <si>
    <t>Zückshuter Forst</t>
  </si>
  <si>
    <t>Streitau</t>
  </si>
  <si>
    <t>Falls</t>
  </si>
  <si>
    <t>Witzleshofen</t>
  </si>
  <si>
    <t>Wundenbach</t>
  </si>
  <si>
    <t>Gefrees</t>
  </si>
  <si>
    <t>Kornbach</t>
  </si>
  <si>
    <t>Lützenreuth</t>
  </si>
  <si>
    <t>Grünstein</t>
  </si>
  <si>
    <t>Metzlersreuth</t>
  </si>
  <si>
    <t>Wasserknoden</t>
  </si>
  <si>
    <t>Rimlas</t>
  </si>
  <si>
    <t>Bad Berneck i.Fichtelgebirge</t>
  </si>
  <si>
    <t>Bärnreuth</t>
  </si>
  <si>
    <t>Nenntmannsreuth</t>
  </si>
  <si>
    <t>Goldmühl</t>
  </si>
  <si>
    <t>Escherlich</t>
  </si>
  <si>
    <t>Wülfersreuth</t>
  </si>
  <si>
    <t>Bischofsgrün</t>
  </si>
  <si>
    <t>Bischofsgrüner Forst</t>
  </si>
  <si>
    <t>Neubauer Forst-Nord</t>
  </si>
  <si>
    <t>Benk</t>
  </si>
  <si>
    <t>Ramsenthal</t>
  </si>
  <si>
    <t>Crottendorf</t>
  </si>
  <si>
    <t>Euben</t>
  </si>
  <si>
    <t>Bindlach</t>
  </si>
  <si>
    <t>Leisau</t>
  </si>
  <si>
    <t>Brandholz</t>
  </si>
  <si>
    <t>Goldkronach</t>
  </si>
  <si>
    <t>Dressendorf</t>
  </si>
  <si>
    <t>Nemmersdorf</t>
  </si>
  <si>
    <t>Goldkronacher Forst</t>
  </si>
  <si>
    <t>Warmensteinacher Forst-Nord</t>
  </si>
  <si>
    <t>Warmensteinach</t>
  </si>
  <si>
    <t>Oberwarmensteinach</t>
  </si>
  <si>
    <t>Mähring</t>
  </si>
  <si>
    <t>Fichtelberg</t>
  </si>
  <si>
    <t>Neugrün</t>
  </si>
  <si>
    <t>Mehlmeisel</t>
  </si>
  <si>
    <t>Krögelstein</t>
  </si>
  <si>
    <t>Wiesentfels</t>
  </si>
  <si>
    <t>Freienfels</t>
  </si>
  <si>
    <t>Kainach</t>
  </si>
  <si>
    <t>Weiher</t>
  </si>
  <si>
    <t>Hollfeld</t>
  </si>
  <si>
    <t>Schönfeld</t>
  </si>
  <si>
    <t>Drosendorf a.d.Aufseß</t>
  </si>
  <si>
    <t>Stechendorf</t>
  </si>
  <si>
    <t>Sachsendorf</t>
  </si>
  <si>
    <t>Aufseß</t>
  </si>
  <si>
    <t>Hochstahl</t>
  </si>
  <si>
    <t>Zochenreuth</t>
  </si>
  <si>
    <t>Schressendorf</t>
  </si>
  <si>
    <t>Plankenfels</t>
  </si>
  <si>
    <t>Obernsees</t>
  </si>
  <si>
    <t>Seitenbach</t>
  </si>
  <si>
    <t>Truppach</t>
  </si>
  <si>
    <t>Mengersdorf</t>
  </si>
  <si>
    <t>Frankenhaag</t>
  </si>
  <si>
    <t>Mistelgau</t>
  </si>
  <si>
    <t>Wohnsgehaig</t>
  </si>
  <si>
    <t>Plösen</t>
  </si>
  <si>
    <t>Glashütten</t>
  </si>
  <si>
    <t>Neustädtlein a.Forst</t>
  </si>
  <si>
    <t>Busbach</t>
  </si>
  <si>
    <t>Eschen</t>
  </si>
  <si>
    <t>Oberwaiz</t>
  </si>
  <si>
    <t>Donndorf</t>
  </si>
  <si>
    <t>Eckersdorf</t>
  </si>
  <si>
    <t>Forst Neustädtlein a.Forst</t>
  </si>
  <si>
    <t>Heinersreuther Forst</t>
  </si>
  <si>
    <t>Altenplos</t>
  </si>
  <si>
    <t>Unterwaiz</t>
  </si>
  <si>
    <t>Cottenbach</t>
  </si>
  <si>
    <t>Laineck</t>
  </si>
  <si>
    <t>Oberpreuschwitz</t>
  </si>
  <si>
    <t>Sankt Johannis</t>
  </si>
  <si>
    <t>Meyernberg</t>
  </si>
  <si>
    <t>Colmdorf</t>
  </si>
  <si>
    <t>Aichig</t>
  </si>
  <si>
    <t>Oberkonnersreuth</t>
  </si>
  <si>
    <t>Thiergarten</t>
  </si>
  <si>
    <t>Wolfsbach</t>
  </si>
  <si>
    <t>Schamelsberg</t>
  </si>
  <si>
    <t>Emtmannsberg</t>
  </si>
  <si>
    <t>Hauendorf</t>
  </si>
  <si>
    <t>Birk</t>
  </si>
  <si>
    <t>Görschnitz</t>
  </si>
  <si>
    <t>Sophienthal</t>
  </si>
  <si>
    <t>Lankendorf</t>
  </si>
  <si>
    <t>Weidenberg</t>
  </si>
  <si>
    <t>Mengersreuth</t>
  </si>
  <si>
    <t>Neunkirchen a.Main</t>
  </si>
  <si>
    <t>Lessau</t>
  </si>
  <si>
    <t>Lehen</t>
  </si>
  <si>
    <t>Kirchenpingarten</t>
  </si>
  <si>
    <t>Lienlas</t>
  </si>
  <si>
    <t>Reislas</t>
  </si>
  <si>
    <t>Tressau</t>
  </si>
  <si>
    <t>Seybothenreuth</t>
  </si>
  <si>
    <t>Sophienthaler Forst</t>
  </si>
  <si>
    <t>Warmensteinacher Forst-Süd</t>
  </si>
  <si>
    <t>Mistelbach</t>
  </si>
  <si>
    <t>Forkendorf</t>
  </si>
  <si>
    <t>Gesees</t>
  </si>
  <si>
    <t>Pittersdorf</t>
  </si>
  <si>
    <t>Pettendorf</t>
  </si>
  <si>
    <t>Creez</t>
  </si>
  <si>
    <t>Hinterkleebach</t>
  </si>
  <si>
    <t>Forst Thiergarten</t>
  </si>
  <si>
    <t>Seybothenreuther Forst</t>
  </si>
  <si>
    <t>Breitenlesau</t>
  </si>
  <si>
    <t>Nankendorf</t>
  </si>
  <si>
    <t>Löhlitz</t>
  </si>
  <si>
    <t>Waischenfeld</t>
  </si>
  <si>
    <t>Hannberg</t>
  </si>
  <si>
    <t>Seelig</t>
  </si>
  <si>
    <t>Gösseldorf</t>
  </si>
  <si>
    <t>Langenloh</t>
  </si>
  <si>
    <t>Eichenbirkig</t>
  </si>
  <si>
    <t>Köttweinsdorf</t>
  </si>
  <si>
    <t>Löhlitzer Wald</t>
  </si>
  <si>
    <t>Langweiler Wald</t>
  </si>
  <si>
    <t>Glashüttener Forst</t>
  </si>
  <si>
    <t>Lindenhardter Forst-Nordwest</t>
  </si>
  <si>
    <t>Obernschreez</t>
  </si>
  <si>
    <t>Unternschreez</t>
  </si>
  <si>
    <t>Haag</t>
  </si>
  <si>
    <t>Boden</t>
  </si>
  <si>
    <t>Seidwitz</t>
  </si>
  <si>
    <t>Creußen</t>
  </si>
  <si>
    <t>Gottsfeld</t>
  </si>
  <si>
    <t>Bühl</t>
  </si>
  <si>
    <t>Neuhof</t>
  </si>
  <si>
    <t>Lindenhardt</t>
  </si>
  <si>
    <t>Stockmühle</t>
  </si>
  <si>
    <t>Haidhof</t>
  </si>
  <si>
    <t>Prebitz</t>
  </si>
  <si>
    <t>Schnabelwaid</t>
  </si>
  <si>
    <t>Preunersfeld</t>
  </si>
  <si>
    <t>Schnabelwaider Kütschenrain</t>
  </si>
  <si>
    <t>Zeulenreuth</t>
  </si>
  <si>
    <t>Haidenaab</t>
  </si>
  <si>
    <t>Kirchenlaibach</t>
  </si>
  <si>
    <t>Speichersdorf</t>
  </si>
  <si>
    <t>Wirbenz</t>
  </si>
  <si>
    <t>Windischenlaibach</t>
  </si>
  <si>
    <t>Roslas</t>
  </si>
  <si>
    <t>Nairitz</t>
  </si>
  <si>
    <t>Plössen</t>
  </si>
  <si>
    <t>Kodlitz</t>
  </si>
  <si>
    <t>Ramlesreuth</t>
  </si>
  <si>
    <t>Guttenthau</t>
  </si>
  <si>
    <t>Volsbach</t>
  </si>
  <si>
    <t>Körzendorf</t>
  </si>
  <si>
    <t>Reizendorf</t>
  </si>
  <si>
    <t>Poppendorfer Wald</t>
  </si>
  <si>
    <t>Freiahorn</t>
  </si>
  <si>
    <t>Kirchahorn</t>
  </si>
  <si>
    <t>Christanz</t>
  </si>
  <si>
    <t>Poppendorf</t>
  </si>
  <si>
    <t>Adlitz</t>
  </si>
  <si>
    <t>Oberailsfeld</t>
  </si>
  <si>
    <t>Vorderkleebach</t>
  </si>
  <si>
    <t>Hohenmirsberg</t>
  </si>
  <si>
    <t>Püttlach</t>
  </si>
  <si>
    <t>Tüchersfeld</t>
  </si>
  <si>
    <t>Pottenstein</t>
  </si>
  <si>
    <t>Elbersberg</t>
  </si>
  <si>
    <t>Kirchenbirkig</t>
  </si>
  <si>
    <t>Kühlenfels</t>
  </si>
  <si>
    <t>Regenthal</t>
  </si>
  <si>
    <t>Leienfels</t>
  </si>
  <si>
    <t>Prüll</t>
  </si>
  <si>
    <t>Trockau</t>
  </si>
  <si>
    <t>Leups</t>
  </si>
  <si>
    <t>Büchenbach</t>
  </si>
  <si>
    <t>Zips</t>
  </si>
  <si>
    <t>Körbeldorf</t>
  </si>
  <si>
    <t>Troschenreuth</t>
  </si>
  <si>
    <t>Pegnitz</t>
  </si>
  <si>
    <t>Hainbronn</t>
  </si>
  <si>
    <t>Penzenreuth</t>
  </si>
  <si>
    <t>Bronn</t>
  </si>
  <si>
    <t>Waidacher Forst</t>
  </si>
  <si>
    <t>Ottenberg</t>
  </si>
  <si>
    <t>Weidensees</t>
  </si>
  <si>
    <t>Leupoldstein</t>
  </si>
  <si>
    <t>Stierberg</t>
  </si>
  <si>
    <t>Betzenstein</t>
  </si>
  <si>
    <t>Spies</t>
  </si>
  <si>
    <t>Ottenhof</t>
  </si>
  <si>
    <t>Plech</t>
  </si>
  <si>
    <t>Veldensteinerforst</t>
  </si>
  <si>
    <t>Wüstenstein</t>
  </si>
  <si>
    <t>Oberfellendorf</t>
  </si>
  <si>
    <t>Albertshof</t>
  </si>
  <si>
    <t>Streitberg</t>
  </si>
  <si>
    <t>Muggendorf</t>
  </si>
  <si>
    <t>Engelhardsberg</t>
  </si>
  <si>
    <t>Birkenreuth</t>
  </si>
  <si>
    <t>Wohlmannsgesees</t>
  </si>
  <si>
    <t>Tiefenstürmig</t>
  </si>
  <si>
    <t>Götzendorf</t>
  </si>
  <si>
    <t>Drügendorf</t>
  </si>
  <si>
    <t>Drosendorf a.Eggerbach</t>
  </si>
  <si>
    <t>Unterstürmig</t>
  </si>
  <si>
    <t>Weigelshofen</t>
  </si>
  <si>
    <t>Neuses a.d.Regnitz</t>
  </si>
  <si>
    <t>Eggolsheim</t>
  </si>
  <si>
    <t>Kauernhofen</t>
  </si>
  <si>
    <t>Rettern</t>
  </si>
  <si>
    <t>Bammersdorf</t>
  </si>
  <si>
    <t>Dürrbrunn</t>
  </si>
  <si>
    <t>Unterleinleiter</t>
  </si>
  <si>
    <t>Eschlipp</t>
  </si>
  <si>
    <t>Gasseldorf</t>
  </si>
  <si>
    <t>Niedermirsberg</t>
  </si>
  <si>
    <t>Ebermannstadt</t>
  </si>
  <si>
    <t>Rüssenbach</t>
  </si>
  <si>
    <t>Wohlmuthshüll</t>
  </si>
  <si>
    <t>Burggaillenreuth</t>
  </si>
  <si>
    <t>Moggast</t>
  </si>
  <si>
    <t>Pretzfeld</t>
  </si>
  <si>
    <t>Lützelsdorf</t>
  </si>
  <si>
    <t>Hagenbach</t>
  </si>
  <si>
    <t>Wannbach</t>
  </si>
  <si>
    <t>Hetzelsdorf</t>
  </si>
  <si>
    <t>Zaunsbach</t>
  </si>
  <si>
    <t>Unterailsfeld</t>
  </si>
  <si>
    <t>Behringersmühle</t>
  </si>
  <si>
    <t>Gößweinstein</t>
  </si>
  <si>
    <t>Leutzdorf</t>
  </si>
  <si>
    <t>Morschreuth</t>
  </si>
  <si>
    <t>Wichsenstein</t>
  </si>
  <si>
    <t>Kleingesee</t>
  </si>
  <si>
    <t>Hallerndorf</t>
  </si>
  <si>
    <t>Trailsdorf</t>
  </si>
  <si>
    <t>Schlammersdorf</t>
  </si>
  <si>
    <t>Pautzfeld</t>
  </si>
  <si>
    <t>Willersdorf</t>
  </si>
  <si>
    <t>Untere Mark</t>
  </si>
  <si>
    <t>Buckenhofen</t>
  </si>
  <si>
    <t>Burk</t>
  </si>
  <si>
    <t>Kersbach</t>
  </si>
  <si>
    <t>Oberweilersbach</t>
  </si>
  <si>
    <t>Unterweilersbach</t>
  </si>
  <si>
    <t>Reifenberg</t>
  </si>
  <si>
    <t>Kirchehrenbach</t>
  </si>
  <si>
    <t>Leutenbach</t>
  </si>
  <si>
    <t>Mittelehrenbach</t>
  </si>
  <si>
    <t>Oberehrenbach</t>
  </si>
  <si>
    <t>Hundshaupten</t>
  </si>
  <si>
    <t>Egloffstein</t>
  </si>
  <si>
    <t>Affalterthal</t>
  </si>
  <si>
    <t>Geschwand</t>
  </si>
  <si>
    <t>Wolfsberg</t>
  </si>
  <si>
    <t>Obertrubach</t>
  </si>
  <si>
    <t>Oesdorf</t>
  </si>
  <si>
    <t>Heroldsbach</t>
  </si>
  <si>
    <t>Thurn</t>
  </si>
  <si>
    <t>Wimmelbach</t>
  </si>
  <si>
    <t>Wiesenthau</t>
  </si>
  <si>
    <t>Schlaifhausen</t>
  </si>
  <si>
    <t>Gosberg</t>
  </si>
  <si>
    <t>Pinzberg</t>
  </si>
  <si>
    <t>Dobenreuth</t>
  </si>
  <si>
    <t>Kunreuth</t>
  </si>
  <si>
    <t>Ermreus</t>
  </si>
  <si>
    <t>Gaiganz</t>
  </si>
  <si>
    <t>Effeltrich</t>
  </si>
  <si>
    <t>Langensendelbach</t>
  </si>
  <si>
    <t>Thuisbrunn</t>
  </si>
  <si>
    <t>Walkersbrunn</t>
  </si>
  <si>
    <t>Gräfenberg</t>
  </si>
  <si>
    <t>Guttenburg</t>
  </si>
  <si>
    <t>Lilling</t>
  </si>
  <si>
    <t>Schossaritz</t>
  </si>
  <si>
    <t>Kappel</t>
  </si>
  <si>
    <t>Hiltpoltstein</t>
  </si>
  <si>
    <t>Pommer</t>
  </si>
  <si>
    <t>Dachstadt</t>
  </si>
  <si>
    <t>Igensdorf</t>
  </si>
  <si>
    <t>Pettensiedel</t>
  </si>
  <si>
    <t>Rüsselbach</t>
  </si>
  <si>
    <t>Weißenohe</t>
  </si>
  <si>
    <t>Hetzles</t>
  </si>
  <si>
    <t>Ermreuth</t>
  </si>
  <si>
    <t>Rödlas</t>
  </si>
  <si>
    <t>Neunkirchen a.Brand</t>
  </si>
  <si>
    <t>Großenbuch</t>
  </si>
  <si>
    <t>Rosenbach</t>
  </si>
  <si>
    <t>Dormitz</t>
  </si>
  <si>
    <t>Kleinsendelbach</t>
  </si>
  <si>
    <t>Adelsdorf</t>
  </si>
  <si>
    <t>Aisch</t>
  </si>
  <si>
    <t>Atzelsberg</t>
  </si>
  <si>
    <t>Baiersdorf</t>
  </si>
  <si>
    <t>Benzendorf</t>
  </si>
  <si>
    <t>Biengarten</t>
  </si>
  <si>
    <t>Boxbrunn</t>
  </si>
  <si>
    <t>Bubenreuth</t>
  </si>
  <si>
    <t>Buckenhof</t>
  </si>
  <si>
    <t>Buckenhofer Forst</t>
  </si>
  <si>
    <t>Büg</t>
  </si>
  <si>
    <t>Dormitzer Forst</t>
  </si>
  <si>
    <t>Dutendorf</t>
  </si>
  <si>
    <t>Eckenhaid</t>
  </si>
  <si>
    <t>Eltersdorf</t>
  </si>
  <si>
    <t>Erlenstegener Forst</t>
  </si>
  <si>
    <t>Etzelskirchen</t>
  </si>
  <si>
    <t>Falkendorf</t>
  </si>
  <si>
    <t>Fetzelhofen</t>
  </si>
  <si>
    <t>Forst Tennenlohe</t>
  </si>
  <si>
    <t>Forth</t>
  </si>
  <si>
    <t>Frauenaurach</t>
  </si>
  <si>
    <t>Frickenhöchstadt</t>
  </si>
  <si>
    <t>Frimmersdorf</t>
  </si>
  <si>
    <t>Geschaidt</t>
  </si>
  <si>
    <t>Gremsdorf</t>
  </si>
  <si>
    <t>Großdechsendorf</t>
  </si>
  <si>
    <t>Großenseebach</t>
  </si>
  <si>
    <t>Großgeschaidt</t>
  </si>
  <si>
    <t>Hammerbach</t>
  </si>
  <si>
    <t>Haundorf</t>
  </si>
  <si>
    <t>Hemhofen</t>
  </si>
  <si>
    <t>Heppstädt</t>
  </si>
  <si>
    <t>Heroldsberg</t>
  </si>
  <si>
    <t>Herzogenaurach</t>
  </si>
  <si>
    <t>Hesselberg</t>
  </si>
  <si>
    <t>Höchstadt a.d.Aisch</t>
  </si>
  <si>
    <t>Hüttendorf</t>
  </si>
  <si>
    <t>Käferhölzlein u.Eichelberg</t>
  </si>
  <si>
    <t>Kairlindach</t>
  </si>
  <si>
    <t>Kalchreuth</t>
  </si>
  <si>
    <t>Kalchreuther Forst</t>
  </si>
  <si>
    <t>Kleingeschaidt</t>
  </si>
  <si>
    <t>Kleinseebach</t>
  </si>
  <si>
    <t>Kleinweisach</t>
  </si>
  <si>
    <t>Klosterwald</t>
  </si>
  <si>
    <t>Kosbach</t>
  </si>
  <si>
    <t>Kraftshofer Forst</t>
  </si>
  <si>
    <t>Kriegenbrunn</t>
  </si>
  <si>
    <t>Lonnerstadt</t>
  </si>
  <si>
    <t>Mailach</t>
  </si>
  <si>
    <t>Mark</t>
  </si>
  <si>
    <t>Marloffstein</t>
  </si>
  <si>
    <t>Möhrendorf</t>
  </si>
  <si>
    <t>Mönau</t>
  </si>
  <si>
    <t>Münchaurach</t>
  </si>
  <si>
    <t>Neunhofer Forst</t>
  </si>
  <si>
    <t>Oberlindach</t>
  </si>
  <si>
    <t>Oberreichenbach</t>
  </si>
  <si>
    <t>Oberschöllenbach</t>
  </si>
  <si>
    <t>Reinersdorf</t>
  </si>
  <si>
    <t>Rezelsdorf</t>
  </si>
  <si>
    <t>Röckenhof</t>
  </si>
  <si>
    <t>Röttenbach</t>
  </si>
  <si>
    <t>Sauerheim</t>
  </si>
  <si>
    <t>Schirnsdorf</t>
  </si>
  <si>
    <t>Schwarzenbach</t>
  </si>
  <si>
    <t>Spardorf</t>
  </si>
  <si>
    <t>Sterpersdorf</t>
  </si>
  <si>
    <t>Tennenlohe</t>
  </si>
  <si>
    <t>Unterreichenbach</t>
  </si>
  <si>
    <t>Unterschöllenbach</t>
  </si>
  <si>
    <t>Uttenreuth</t>
  </si>
  <si>
    <t>Uttstadt</t>
  </si>
  <si>
    <t>Vestenbergsgreuth</t>
  </si>
  <si>
    <t>Wachenroth</t>
  </si>
  <si>
    <t>Warmersdorf</t>
  </si>
  <si>
    <t>Weingartsgreuth</t>
  </si>
  <si>
    <t>Weisendorf</t>
  </si>
  <si>
    <t>Wellerstadt</t>
  </si>
  <si>
    <t>Weppersdorf</t>
  </si>
  <si>
    <t>Wiesendorf</t>
  </si>
  <si>
    <t>Zeckern</t>
  </si>
  <si>
    <t>Zentbechhofen</t>
  </si>
  <si>
    <t>Zweifelsheim</t>
  </si>
  <si>
    <t>Adelhofen</t>
  </si>
  <si>
    <t>Adelshofen</t>
  </si>
  <si>
    <t>Aichau</t>
  </si>
  <si>
    <t>Aichenzell</t>
  </si>
  <si>
    <t>Altheim</t>
  </si>
  <si>
    <t>Auernhofen</t>
  </si>
  <si>
    <t>Bad Windsheim</t>
  </si>
  <si>
    <t>Banzenweiler</t>
  </si>
  <si>
    <t>Beerbach</t>
  </si>
  <si>
    <t>Bellershausen</t>
  </si>
  <si>
    <t>Berolzheim</t>
  </si>
  <si>
    <t>Bettenfeld</t>
  </si>
  <si>
    <t>Bettwar</t>
  </si>
  <si>
    <t>Bockenfeld</t>
  </si>
  <si>
    <t>Brackenlohr</t>
  </si>
  <si>
    <t>Buch a.Wald</t>
  </si>
  <si>
    <t>Buchheim</t>
  </si>
  <si>
    <t>Bullenheim</t>
  </si>
  <si>
    <t>Burgbernheim</t>
  </si>
  <si>
    <t>Cadolzhofen</t>
  </si>
  <si>
    <t>Custenlohr</t>
  </si>
  <si>
    <t>Deffersdorf</t>
  </si>
  <si>
    <t>Dentlein a.Forst</t>
  </si>
  <si>
    <t>Dickersbronn</t>
  </si>
  <si>
    <t>Dietersheim</t>
  </si>
  <si>
    <t>Dinkelsbühl</t>
  </si>
  <si>
    <t>Dombühl</t>
  </si>
  <si>
    <t>Dorfgütingen</t>
  </si>
  <si>
    <t>Dornhausen</t>
  </si>
  <si>
    <t>Dottenheim</t>
  </si>
  <si>
    <t>Dürrwangen</t>
  </si>
  <si>
    <t>Endsee</t>
  </si>
  <si>
    <t>Equarhofen</t>
  </si>
  <si>
    <t>Ergersheim</t>
  </si>
  <si>
    <t>Ermetzhof</t>
  </si>
  <si>
    <t>Ermetzhofen</t>
  </si>
  <si>
    <t>Erzberg</t>
  </si>
  <si>
    <t>Faulenberg</t>
  </si>
  <si>
    <t>Feuchtwangen</t>
  </si>
  <si>
    <t>Schloß Frankenberg</t>
  </si>
  <si>
    <t>Gailnau</t>
  </si>
  <si>
    <t>Gailroth</t>
  </si>
  <si>
    <t>Gallmersgarten</t>
  </si>
  <si>
    <t>Gastenfelden</t>
  </si>
  <si>
    <t>Gattenhofen</t>
  </si>
  <si>
    <t>Gebsattel</t>
  </si>
  <si>
    <t>Geckenheim</t>
  </si>
  <si>
    <t>Geißlingen</t>
  </si>
  <si>
    <t>Geslau</t>
  </si>
  <si>
    <t>Gollachostheim</t>
  </si>
  <si>
    <t>Gollhofen</t>
  </si>
  <si>
    <t>Großharbach</t>
  </si>
  <si>
    <t>Gülchsheim</t>
  </si>
  <si>
    <t>Habelsee</t>
  </si>
  <si>
    <t>Hagenau</t>
  </si>
  <si>
    <t>Hartershofen</t>
  </si>
  <si>
    <t>Haslach</t>
  </si>
  <si>
    <t>Heilbronn</t>
  </si>
  <si>
    <t>Hellenbach</t>
  </si>
  <si>
    <t>Hemmersheim</t>
  </si>
  <si>
    <t>Herbolzheim</t>
  </si>
  <si>
    <t>Herrnberchtheim</t>
  </si>
  <si>
    <t>Hohlach</t>
  </si>
  <si>
    <t>Humprechtsau</t>
  </si>
  <si>
    <t>Ickelheim</t>
  </si>
  <si>
    <t>Illesheim</t>
  </si>
  <si>
    <t>Insingen</t>
  </si>
  <si>
    <t>Ippesheim</t>
  </si>
  <si>
    <t>Ipsheim</t>
  </si>
  <si>
    <t>Kaubenheim</t>
  </si>
  <si>
    <t>Kirnberg</t>
  </si>
  <si>
    <t>Kloster Sulz</t>
  </si>
  <si>
    <t>Krapfenau</t>
  </si>
  <si>
    <t>Külsheim</t>
  </si>
  <si>
    <t>Langensteinach</t>
  </si>
  <si>
    <t>Langensteinbach</t>
  </si>
  <si>
    <t>Larrieden</t>
  </si>
  <si>
    <t>Lehengütingen</t>
  </si>
  <si>
    <t>Lenkersheim</t>
  </si>
  <si>
    <t>Leuzenbronn</t>
  </si>
  <si>
    <t>Lipprichhausen</t>
  </si>
  <si>
    <t>Mailheim</t>
  </si>
  <si>
    <t>Marktbergel</t>
  </si>
  <si>
    <t>Markt Nordheim</t>
  </si>
  <si>
    <t>Meierndorf</t>
  </si>
  <si>
    <t>Mörlbach</t>
  </si>
  <si>
    <t>Mosbach</t>
  </si>
  <si>
    <t>Neuherberg</t>
  </si>
  <si>
    <t>Neusitz</t>
  </si>
  <si>
    <t>Neustädtlein</t>
  </si>
  <si>
    <t>Neustett</t>
  </si>
  <si>
    <t>Nordenberg</t>
  </si>
  <si>
    <t>Oberaltenbernheim</t>
  </si>
  <si>
    <t>Oberampfrach</t>
  </si>
  <si>
    <t>Oberickelsheim</t>
  </si>
  <si>
    <t>Obernesselbach</t>
  </si>
  <si>
    <t>Oberntief</t>
  </si>
  <si>
    <t>Obernzenn</t>
  </si>
  <si>
    <t>Oberradach</t>
  </si>
  <si>
    <t>Oberroßbach</t>
  </si>
  <si>
    <t>Oberscheckenbach</t>
  </si>
  <si>
    <t>Oestheim</t>
  </si>
  <si>
    <t>Ottenhofen</t>
  </si>
  <si>
    <t>Pfaffenhofen</t>
  </si>
  <si>
    <t>Pfahlenheim</t>
  </si>
  <si>
    <t>Preuntsfelden</t>
  </si>
  <si>
    <t>Reusch</t>
  </si>
  <si>
    <t>Rodheim</t>
  </si>
  <si>
    <t>Rothenburg ob der Tauber</t>
  </si>
  <si>
    <t>Rüdisbronn</t>
  </si>
  <si>
    <t>Rudolzhofen</t>
  </si>
  <si>
    <t>Schillingsfürst</t>
  </si>
  <si>
    <t>Schopfloch</t>
  </si>
  <si>
    <t>Schwabsroth</t>
  </si>
  <si>
    <t>Schweinsdorf</t>
  </si>
  <si>
    <t>Seenheim</t>
  </si>
  <si>
    <t>Segringen</t>
  </si>
  <si>
    <t>Seidelsdorf</t>
  </si>
  <si>
    <t>Simmershofen</t>
  </si>
  <si>
    <t>Sinbronn</t>
  </si>
  <si>
    <t>Steinach a.d.Ens</t>
  </si>
  <si>
    <t>Stettberg</t>
  </si>
  <si>
    <t>Stilzendorf</t>
  </si>
  <si>
    <t>Sulzach</t>
  </si>
  <si>
    <t>Tauberscheckenbach</t>
  </si>
  <si>
    <t>Tauberzell</t>
  </si>
  <si>
    <t>Thürnhofen</t>
  </si>
  <si>
    <t>Uffenheim</t>
  </si>
  <si>
    <t>Ulsenheim</t>
  </si>
  <si>
    <t>Unteraltenbernheim</t>
  </si>
  <si>
    <t>Unterampfrach</t>
  </si>
  <si>
    <t>Unternesselbach</t>
  </si>
  <si>
    <t>Unternzenn</t>
  </si>
  <si>
    <t>Urfersheim</t>
  </si>
  <si>
    <t>Urphertshofen</t>
  </si>
  <si>
    <t>Uttenhofen</t>
  </si>
  <si>
    <t>Vorderbreitenthann</t>
  </si>
  <si>
    <t>Walddachsbach</t>
  </si>
  <si>
    <t>Waldeck</t>
  </si>
  <si>
    <t>Waldhäuslein</t>
  </si>
  <si>
    <t>Walkershofen</t>
  </si>
  <si>
    <t>Wallmersbach</t>
  </si>
  <si>
    <t>Weidelbach</t>
  </si>
  <si>
    <t>Weigenheim</t>
  </si>
  <si>
    <t>Welbhausen</t>
  </si>
  <si>
    <t>Wiebelsheim</t>
  </si>
  <si>
    <t>Wieseth</t>
  </si>
  <si>
    <t>Wildenholz</t>
  </si>
  <si>
    <t>Windelsbach</t>
  </si>
  <si>
    <t>Wörnitz</t>
  </si>
  <si>
    <t>Wolfertsbronn</t>
  </si>
  <si>
    <t>Zwernberg</t>
  </si>
  <si>
    <t>Aich</t>
  </si>
  <si>
    <t>Alberndorf</t>
  </si>
  <si>
    <t>Altendettelsau</t>
  </si>
  <si>
    <t>Anfelden</t>
  </si>
  <si>
    <t>Arberg</t>
  </si>
  <si>
    <t>Auerbach</t>
  </si>
  <si>
    <t>Aurach</t>
  </si>
  <si>
    <t>Bechhofen</t>
  </si>
  <si>
    <t>Bechhofen b.Neuendettelsau</t>
  </si>
  <si>
    <t>Bernhardswinden</t>
  </si>
  <si>
    <t>Bertholdsdorf</t>
  </si>
  <si>
    <t>Betzendorf</t>
  </si>
  <si>
    <t>Biederbach</t>
  </si>
  <si>
    <t>Binzwangen</t>
  </si>
  <si>
    <t>Bonnhof</t>
  </si>
  <si>
    <t>Brodswinden</t>
  </si>
  <si>
    <t>Bruckberg</t>
  </si>
  <si>
    <t>Brünst</t>
  </si>
  <si>
    <t>Brunst</t>
  </si>
  <si>
    <t>Büchelberg</t>
  </si>
  <si>
    <t>Bürglein</t>
  </si>
  <si>
    <t>Burgoberbach</t>
  </si>
  <si>
    <t>Claffheim</t>
  </si>
  <si>
    <t>Colmberg</t>
  </si>
  <si>
    <t>Dierersdorf</t>
  </si>
  <si>
    <t>Dietenhofen</t>
  </si>
  <si>
    <t>Eckartsweiler</t>
  </si>
  <si>
    <t>Elbersroth</t>
  </si>
  <si>
    <t>Elpersdorf b.Ansbach</t>
  </si>
  <si>
    <t>Elpersdorf b.Windsbach</t>
  </si>
  <si>
    <t>Erlbach</t>
  </si>
  <si>
    <t>Eyb</t>
  </si>
  <si>
    <t>Flachslanden</t>
  </si>
  <si>
    <t>Frommetsfelden</t>
  </si>
  <si>
    <t>Gebersdorf</t>
  </si>
  <si>
    <t>Gerbersdorf</t>
  </si>
  <si>
    <t>Gern</t>
  </si>
  <si>
    <t>Götteldorf</t>
  </si>
  <si>
    <t>Gräfenbuch</t>
  </si>
  <si>
    <t>Großbreitenbronn</t>
  </si>
  <si>
    <t>Großenried</t>
  </si>
  <si>
    <t>Großhaslach</t>
  </si>
  <si>
    <t>Großlellenfeld</t>
  </si>
  <si>
    <t>Haasgang</t>
  </si>
  <si>
    <t>Heglau</t>
  </si>
  <si>
    <t>Heilsbronn</t>
  </si>
  <si>
    <t>Hennenbach</t>
  </si>
  <si>
    <t>Hergersbach</t>
  </si>
  <si>
    <t>Herpersdorf b.Dietenhofen</t>
  </si>
  <si>
    <t>Herrieden</t>
  </si>
  <si>
    <t>Heßbach</t>
  </si>
  <si>
    <t>Heuberg</t>
  </si>
  <si>
    <t>Hirschlach</t>
  </si>
  <si>
    <t>Höfstetten</t>
  </si>
  <si>
    <t>Immeldorf</t>
  </si>
  <si>
    <t>Ismannsdorf</t>
  </si>
  <si>
    <t>Jochsberg</t>
  </si>
  <si>
    <t>Kaudorf</t>
  </si>
  <si>
    <t>Kehlmünz</t>
  </si>
  <si>
    <t>Kemmathen</t>
  </si>
  <si>
    <t>Ketteldorf</t>
  </si>
  <si>
    <t>Kettenhöfstetten</t>
  </si>
  <si>
    <t>Kleinhaslach</t>
  </si>
  <si>
    <t>Kleinlellenfeld</t>
  </si>
  <si>
    <t>Königshofen a.d.Heide</t>
  </si>
  <si>
    <t>Lammelbach</t>
  </si>
  <si>
    <t>Lehrberg</t>
  </si>
  <si>
    <t>Leidendorf</t>
  </si>
  <si>
    <t>Leonrod</t>
  </si>
  <si>
    <t>Lichtenau</t>
  </si>
  <si>
    <t>Liebersdorf</t>
  </si>
  <si>
    <t>Malmersdorf</t>
  </si>
  <si>
    <t>Mitteldachstetten</t>
  </si>
  <si>
    <t>Mitteleschenbach</t>
  </si>
  <si>
    <t>Mittelramstadt</t>
  </si>
  <si>
    <t>Mörlach</t>
  </si>
  <si>
    <t>Mörsach</t>
  </si>
  <si>
    <t>Moosbach</t>
  </si>
  <si>
    <t>Müncherlbach</t>
  </si>
  <si>
    <t>Neuendettelsau</t>
  </si>
  <si>
    <t>Neunkirchen b.Leutershausen</t>
  </si>
  <si>
    <t>Neunstetten</t>
  </si>
  <si>
    <t>Neuses b.Ansbach</t>
  </si>
  <si>
    <t>Neustetten</t>
  </si>
  <si>
    <t>Niederoberbach</t>
  </si>
  <si>
    <t>Oberdachstetten</t>
  </si>
  <si>
    <t>Oberfelden</t>
  </si>
  <si>
    <t>Oberschönbronn</t>
  </si>
  <si>
    <t>Obersulzbach</t>
  </si>
  <si>
    <t>Ornbau</t>
  </si>
  <si>
    <t>Petersaurach</t>
  </si>
  <si>
    <t>Poppenbach</t>
  </si>
  <si>
    <t>Ratzenwinden</t>
  </si>
  <si>
    <t>Rauenbuch</t>
  </si>
  <si>
    <t>Rauenzell</t>
  </si>
  <si>
    <t>Retzendorf</t>
  </si>
  <si>
    <t>Reutern</t>
  </si>
  <si>
    <t>Rügland</t>
  </si>
  <si>
    <t>Sachsbach</t>
  </si>
  <si>
    <t>Sachsen b.Ansbach</t>
  </si>
  <si>
    <t>Sauernheim</t>
  </si>
  <si>
    <t>Schalkhausen</t>
  </si>
  <si>
    <t>Schlauersbach</t>
  </si>
  <si>
    <t>Seitendorf</t>
  </si>
  <si>
    <t>Selgenstadt</t>
  </si>
  <si>
    <t>Seubersdorf</t>
  </si>
  <si>
    <t>Sommersdorf</t>
  </si>
  <si>
    <t>Sondernohe</t>
  </si>
  <si>
    <t>Suddersdorf</t>
  </si>
  <si>
    <t>Unternbibert</t>
  </si>
  <si>
    <t>Unterrottmannsdorf</t>
  </si>
  <si>
    <t>Veitsaurach</t>
  </si>
  <si>
    <t>Vestenberg</t>
  </si>
  <si>
    <t>Virnsberg</t>
  </si>
  <si>
    <t>Volkersdorf</t>
  </si>
  <si>
    <t>Waizendorf</t>
  </si>
  <si>
    <t>Wattenbach</t>
  </si>
  <si>
    <t>Weidenbach</t>
  </si>
  <si>
    <t>Weihenzell</t>
  </si>
  <si>
    <t>Weinberg</t>
  </si>
  <si>
    <t>Weißenbronn</t>
  </si>
  <si>
    <t>Weiterndorf</t>
  </si>
  <si>
    <t>Wernsbach</t>
  </si>
  <si>
    <t>Wernsbach b.Ansbach</t>
  </si>
  <si>
    <t>Wiedersbach</t>
  </si>
  <si>
    <t>Wiesethbruck</t>
  </si>
  <si>
    <t>Windsbach</t>
  </si>
  <si>
    <t>Winkelhaid</t>
  </si>
  <si>
    <t>Wolframs-Eschenbach</t>
  </si>
  <si>
    <t>Wollersdorf</t>
  </si>
  <si>
    <t>Baudenbach</t>
  </si>
  <si>
    <t>Frankenfeld</t>
  </si>
  <si>
    <t>Mönchsberg</t>
  </si>
  <si>
    <t>Hambühl</t>
  </si>
  <si>
    <t>Münchsteinach</t>
  </si>
  <si>
    <t>Abtsgreuth</t>
  </si>
  <si>
    <t>Neuebersbach</t>
  </si>
  <si>
    <t>Gutenstetten</t>
  </si>
  <si>
    <t>Rockenbach</t>
  </si>
  <si>
    <t>Reinhardshofen</t>
  </si>
  <si>
    <t>Pahres</t>
  </si>
  <si>
    <t>Diespeck</t>
  </si>
  <si>
    <t>Stübach</t>
  </si>
  <si>
    <t>Dettendorf</t>
  </si>
  <si>
    <t>Uehlfeld</t>
  </si>
  <si>
    <t>Schornweisach</t>
  </si>
  <si>
    <t>Tragelhöchstädt</t>
  </si>
  <si>
    <t>Demantsfürth</t>
  </si>
  <si>
    <t>Peppenhöchstädt</t>
  </si>
  <si>
    <t>Dachsbach</t>
  </si>
  <si>
    <t>Rauschenberg</t>
  </si>
  <si>
    <t>Oberhöchstädt</t>
  </si>
  <si>
    <t>Traishöchstädt</t>
  </si>
  <si>
    <t>Gerhardshofen</t>
  </si>
  <si>
    <t>Kästel</t>
  </si>
  <si>
    <t>Willmersbach</t>
  </si>
  <si>
    <t>Göttelhöf</t>
  </si>
  <si>
    <t>Neustadt a.d.Aisch</t>
  </si>
  <si>
    <t>Schauerheim</t>
  </si>
  <si>
    <t>Unterschweinach</t>
  </si>
  <si>
    <t>Herrnneuses</t>
  </si>
  <si>
    <t>Schellert</t>
  </si>
  <si>
    <t>Emskirchen</t>
  </si>
  <si>
    <t>Hohholz</t>
  </si>
  <si>
    <t>Eckenberg</t>
  </si>
  <si>
    <t>Rennhofen</t>
  </si>
  <si>
    <t>Buchklingen</t>
  </si>
  <si>
    <t>Schauerberg</t>
  </si>
  <si>
    <t>Mausdorf</t>
  </si>
  <si>
    <t>Pirkach</t>
  </si>
  <si>
    <t>Neidhardswinden</t>
  </si>
  <si>
    <t>Wilhelmsdorf</t>
  </si>
  <si>
    <t>Hagenbüchach</t>
  </si>
  <si>
    <t>Bräuersdorf</t>
  </si>
  <si>
    <t>Markt Erlbach</t>
  </si>
  <si>
    <t>Klausaurach</t>
  </si>
  <si>
    <t>Buchen</t>
  </si>
  <si>
    <t>Losaurach</t>
  </si>
  <si>
    <t>Kotzenaurach</t>
  </si>
  <si>
    <t>Siedelbach</t>
  </si>
  <si>
    <t>Jobstgreuth</t>
  </si>
  <si>
    <t>Linden</t>
  </si>
  <si>
    <t>Altselingsbach</t>
  </si>
  <si>
    <t>Trautskirchen</t>
  </si>
  <si>
    <t>Neuhof a.d.Zenn</t>
  </si>
  <si>
    <t>Neuziegenrück</t>
  </si>
  <si>
    <t>Oberfeldbrecht</t>
  </si>
  <si>
    <t>Hirschneuses</t>
  </si>
  <si>
    <t>Wilhermsdorf</t>
  </si>
  <si>
    <t>Dippoldsberg</t>
  </si>
  <si>
    <t>Katterbach</t>
  </si>
  <si>
    <t>Kirchfarrnbach</t>
  </si>
  <si>
    <t>Langenzenn</t>
  </si>
  <si>
    <t>Laubendorf</t>
  </si>
  <si>
    <t>Kirchfembach</t>
  </si>
  <si>
    <t>Keidenzell</t>
  </si>
  <si>
    <t>Puschendorf</t>
  </si>
  <si>
    <t>Tuchenbach</t>
  </si>
  <si>
    <t>Veitsbronn</t>
  </si>
  <si>
    <t>Obermichelbach</t>
  </si>
  <si>
    <t>Seukendorf</t>
  </si>
  <si>
    <t>Vach</t>
  </si>
  <si>
    <t>Stadeln</t>
  </si>
  <si>
    <t>Sack</t>
  </si>
  <si>
    <t>Burgfarrnbach</t>
  </si>
  <si>
    <t>Unterfarrnbach</t>
  </si>
  <si>
    <t>Ronhof</t>
  </si>
  <si>
    <t>Fürther Stadtwald</t>
  </si>
  <si>
    <t>Dambach</t>
  </si>
  <si>
    <t>Cadolzburg</t>
  </si>
  <si>
    <t>Roßendorf</t>
  </si>
  <si>
    <t>Deberndorf</t>
  </si>
  <si>
    <t>Zirndorf</t>
  </si>
  <si>
    <t>Bronnamberg</t>
  </si>
  <si>
    <t>Weinzierlein</t>
  </si>
  <si>
    <t>Leichendorf</t>
  </si>
  <si>
    <t>Oberasbach</t>
  </si>
  <si>
    <t>Großhabersdorf</t>
  </si>
  <si>
    <t>Unterschlauersbach</t>
  </si>
  <si>
    <t>Fernabrünst</t>
  </si>
  <si>
    <t>Ammerndorf</t>
  </si>
  <si>
    <t>Roßtal</t>
  </si>
  <si>
    <t>Weitersdorf</t>
  </si>
  <si>
    <t>Buchschwabach</t>
  </si>
  <si>
    <t>Großweismannsdorf</t>
  </si>
  <si>
    <t>Stein</t>
  </si>
  <si>
    <t>Gutzberg</t>
  </si>
  <si>
    <t>Almoshof</t>
  </si>
  <si>
    <t>Altdorf b.Nürnberg</t>
  </si>
  <si>
    <t>Altenthann</t>
  </si>
  <si>
    <t>Behringersdorf</t>
  </si>
  <si>
    <t>Boxdorf</t>
  </si>
  <si>
    <t>Burgthann</t>
  </si>
  <si>
    <t>Diepersdorf</t>
  </si>
  <si>
    <t>Dörlbach</t>
  </si>
  <si>
    <t>Eibach</t>
  </si>
  <si>
    <t>Eibacher Forst</t>
  </si>
  <si>
    <t>Eismannsberg</t>
  </si>
  <si>
    <t>Entenberg</t>
  </si>
  <si>
    <t>Erlenstegen</t>
  </si>
  <si>
    <t>Ezelsdorf</t>
  </si>
  <si>
    <t>Feucht</t>
  </si>
  <si>
    <t>Fischbach b.Nürnberg</t>
  </si>
  <si>
    <t>Gärten b.Wöhrd</t>
  </si>
  <si>
    <t>Gärten h.d.Veste</t>
  </si>
  <si>
    <t>Galgenhof</t>
  </si>
  <si>
    <t>Gersdorf</t>
  </si>
  <si>
    <t>Gibitzenhof</t>
  </si>
  <si>
    <t>Gleißhammer</t>
  </si>
  <si>
    <t>Gostenhof</t>
  </si>
  <si>
    <t>Großgründlach</t>
  </si>
  <si>
    <t>Großreuth b.Schweinau</t>
  </si>
  <si>
    <t>Großreuth h.d.Veste</t>
  </si>
  <si>
    <t>Grünsberg</t>
  </si>
  <si>
    <t>Hagenhausen</t>
  </si>
  <si>
    <t>St.Johannis</t>
  </si>
  <si>
    <t>Katzwang</t>
  </si>
  <si>
    <t>Kleinreuth h.d.Veste</t>
  </si>
  <si>
    <t>Kleinweidenmühle</t>
  </si>
  <si>
    <t>Kornburg</t>
  </si>
  <si>
    <t>Kraftshof</t>
  </si>
  <si>
    <t>Langwasser</t>
  </si>
  <si>
    <t>Laufamholz</t>
  </si>
  <si>
    <t>Leinburg</t>
  </si>
  <si>
    <t>Lindelburg</t>
  </si>
  <si>
    <t>Lohe</t>
  </si>
  <si>
    <t>Mögeldorf</t>
  </si>
  <si>
    <t>Mühlhof</t>
  </si>
  <si>
    <t>Neunhof</t>
  </si>
  <si>
    <t>Nürnberg-Lorenz</t>
  </si>
  <si>
    <t>Nürnberg-Sebald</t>
  </si>
  <si>
    <t>Oberferrieden</t>
  </si>
  <si>
    <t>Oberhaidelbach</t>
  </si>
  <si>
    <t>Penzenhofen</t>
  </si>
  <si>
    <t>St.Peter</t>
  </si>
  <si>
    <t>Pühlheim</t>
  </si>
  <si>
    <t>Rasch</t>
  </si>
  <si>
    <t>Reichelsdorf</t>
  </si>
  <si>
    <t>Rennweg</t>
  </si>
  <si>
    <t>Röthenbach b.Altdorf</t>
  </si>
  <si>
    <t>Röthenbach b.Schweinau</t>
  </si>
  <si>
    <t>Schnepfenreuth</t>
  </si>
  <si>
    <t>Schniegling</t>
  </si>
  <si>
    <t>Schoppershof</t>
  </si>
  <si>
    <t>Schwaig b.Nürnberg</t>
  </si>
  <si>
    <t>Schwarzenbruck</t>
  </si>
  <si>
    <t>Schweinau</t>
  </si>
  <si>
    <t>Steinbühl</t>
  </si>
  <si>
    <t>Sündersbühl</t>
  </si>
  <si>
    <t>Tafelhof</t>
  </si>
  <si>
    <t>Thon</t>
  </si>
  <si>
    <t>Unterferrieden</t>
  </si>
  <si>
    <t>Unterhaidelbach</t>
  </si>
  <si>
    <t>Wetzendorf</t>
  </si>
  <si>
    <t>Wöhrd</t>
  </si>
  <si>
    <t>Worzeldorf</t>
  </si>
  <si>
    <t>Ziegelstein</t>
  </si>
  <si>
    <t>Engelthaler Forst</t>
  </si>
  <si>
    <t>Feuchter Forst</t>
  </si>
  <si>
    <t>Forsthof</t>
  </si>
  <si>
    <t>Haimendorfer Forst</t>
  </si>
  <si>
    <t>Laufamholzer Forst</t>
  </si>
  <si>
    <t>Zerzabelshofer Forst</t>
  </si>
  <si>
    <t>Alfalter</t>
  </si>
  <si>
    <t>Alfeld</t>
  </si>
  <si>
    <t>Algersdorf</t>
  </si>
  <si>
    <t>Altensittenbach</t>
  </si>
  <si>
    <t>Artelshofen</t>
  </si>
  <si>
    <t>Arzlohe</t>
  </si>
  <si>
    <t>Aspertshofen</t>
  </si>
  <si>
    <t>Behringersdorfer Forst</t>
  </si>
  <si>
    <t>Bondorf</t>
  </si>
  <si>
    <t>Bullach</t>
  </si>
  <si>
    <t>Dehnberg</t>
  </si>
  <si>
    <t>Diepoltsdorf</t>
  </si>
  <si>
    <t>Ellenbach</t>
  </si>
  <si>
    <t>Engelthal</t>
  </si>
  <si>
    <t>Enzendorf</t>
  </si>
  <si>
    <t>Förrenbach</t>
  </si>
  <si>
    <t>Freiröttenbach</t>
  </si>
  <si>
    <t>Germersberg</t>
  </si>
  <si>
    <t>Großbellhofen</t>
  </si>
  <si>
    <t>Großengsee</t>
  </si>
  <si>
    <t>Grünreuth</t>
  </si>
  <si>
    <t>Günthersbühl</t>
  </si>
  <si>
    <t>Günthersbühler Forst</t>
  </si>
  <si>
    <t>Haidling</t>
  </si>
  <si>
    <t>Haimendorf</t>
  </si>
  <si>
    <t>Happurg</t>
  </si>
  <si>
    <t>Hartenstein</t>
  </si>
  <si>
    <t>Hartmannshof</t>
  </si>
  <si>
    <t>Hedersdorf</t>
  </si>
  <si>
    <t>Heldmannsberg</t>
  </si>
  <si>
    <t>Henfenfeld</t>
  </si>
  <si>
    <t>Hersbruck</t>
  </si>
  <si>
    <t>Heuchling</t>
  </si>
  <si>
    <t>Hohenstadt</t>
  </si>
  <si>
    <t>Hormersdorf</t>
  </si>
  <si>
    <t>Hubmersberg</t>
  </si>
  <si>
    <t>Hüttenbach</t>
  </si>
  <si>
    <t>Kainsbach</t>
  </si>
  <si>
    <t>Kirchensittenbach</t>
  </si>
  <si>
    <t>Kirchröttenbach</t>
  </si>
  <si>
    <t>Kleedorf</t>
  </si>
  <si>
    <t>Krottensee</t>
  </si>
  <si>
    <t>Kruppach</t>
  </si>
  <si>
    <t>Kucha</t>
  </si>
  <si>
    <t>Lauf a.d.Pegnitz</t>
  </si>
  <si>
    <t>Neuhaus a.d.Pegnitz</t>
  </si>
  <si>
    <t>Neunkirchen a.Sand</t>
  </si>
  <si>
    <t>Oberkrumbach</t>
  </si>
  <si>
    <t>Oedenberg</t>
  </si>
  <si>
    <t>Offenhausen</t>
  </si>
  <si>
    <t>Osternohe</t>
  </si>
  <si>
    <t>Ottensoos</t>
  </si>
  <si>
    <t>Pollanden</t>
  </si>
  <si>
    <t>Pommelsbrunn</t>
  </si>
  <si>
    <t>Rabenshof</t>
  </si>
  <si>
    <t>Reichenschwand</t>
  </si>
  <si>
    <t>Röthenbach a.d.Pegnitz</t>
  </si>
  <si>
    <t>Rollhofen</t>
  </si>
  <si>
    <t>Rothenbruck</t>
  </si>
  <si>
    <t>Rückersdorf</t>
  </si>
  <si>
    <t>Rückersdorfer Forst</t>
  </si>
  <si>
    <t>Schnaittach</t>
  </si>
  <si>
    <t>Schönberg</t>
  </si>
  <si>
    <t>Siegersdorf</t>
  </si>
  <si>
    <t>Simmelsdorf</t>
  </si>
  <si>
    <t>Simonshofen</t>
  </si>
  <si>
    <t>Speikern</t>
  </si>
  <si>
    <t>Thalheim</t>
  </si>
  <si>
    <t>Treuf</t>
  </si>
  <si>
    <t>Utzmannsbach</t>
  </si>
  <si>
    <t>Velden</t>
  </si>
  <si>
    <t>Veldershof</t>
  </si>
  <si>
    <t>Viehhofen</t>
  </si>
  <si>
    <t>Vorra</t>
  </si>
  <si>
    <t>Wallsdorf</t>
  </si>
  <si>
    <t>Weigenhofen</t>
  </si>
  <si>
    <t>Wildenfels</t>
  </si>
  <si>
    <t>Püscheldorf</t>
  </si>
  <si>
    <t>Streudorf</t>
  </si>
  <si>
    <t>Wald</t>
  </si>
  <si>
    <t>Laubenzedel</t>
  </si>
  <si>
    <t>Schlungenhof</t>
  </si>
  <si>
    <t>Gunzenhausen</t>
  </si>
  <si>
    <t>Frickenfelden</t>
  </si>
  <si>
    <t>Cronheim</t>
  </si>
  <si>
    <t>Unterwurmbach</t>
  </si>
  <si>
    <t>Aha</t>
  </si>
  <si>
    <t>Nordstetten</t>
  </si>
  <si>
    <t>Pflaumfeld</t>
  </si>
  <si>
    <t>Unterasbach</t>
  </si>
  <si>
    <t>Altenmuhr</t>
  </si>
  <si>
    <t>Neuenmuhr</t>
  </si>
  <si>
    <t>Obererlbach</t>
  </si>
  <si>
    <t>Gräfensteinberg</t>
  </si>
  <si>
    <t>Kalbensteinberg</t>
  </si>
  <si>
    <t>Absberg</t>
  </si>
  <si>
    <t>Pfofeld</t>
  </si>
  <si>
    <t>Thannhausen</t>
  </si>
  <si>
    <t>Wachstein</t>
  </si>
  <si>
    <t>Theilenhofen</t>
  </si>
  <si>
    <t>Gundelsheim a.d.Altmühl</t>
  </si>
  <si>
    <t>Sausenhofen</t>
  </si>
  <si>
    <t>Windsfeld</t>
  </si>
  <si>
    <t>Sammenheim</t>
  </si>
  <si>
    <t>Dittenheim</t>
  </si>
  <si>
    <t>Kurzenaltheim</t>
  </si>
  <si>
    <t>Meinheim</t>
  </si>
  <si>
    <t>Wachenhofen</t>
  </si>
  <si>
    <t>Alesheim</t>
  </si>
  <si>
    <t>Trommetsheim</t>
  </si>
  <si>
    <t>Markt Berolzheim</t>
  </si>
  <si>
    <t>Gnotzheim</t>
  </si>
  <si>
    <t>Hüssingen</t>
  </si>
  <si>
    <t>Heidenheim</t>
  </si>
  <si>
    <t>Hohentrüdingen</t>
  </si>
  <si>
    <t>Hechlingen a.See</t>
  </si>
  <si>
    <t>Degersheim</t>
  </si>
  <si>
    <t>Ursheim</t>
  </si>
  <si>
    <t>Döckingen</t>
  </si>
  <si>
    <t>Trendel</t>
  </si>
  <si>
    <t>Polsingen</t>
  </si>
  <si>
    <t>Langfurth</t>
  </si>
  <si>
    <t>Ammelbruch</t>
  </si>
  <si>
    <t>Dorfkemmathen</t>
  </si>
  <si>
    <t>Beyerberg</t>
  </si>
  <si>
    <t>Ehingen</t>
  </si>
  <si>
    <t>Lentersheim</t>
  </si>
  <si>
    <t>Dennenlohe</t>
  </si>
  <si>
    <t>Oberschwaningen</t>
  </si>
  <si>
    <t>Unterschwaningen</t>
  </si>
  <si>
    <t>Kröttenbach</t>
  </si>
  <si>
    <t>Dühren</t>
  </si>
  <si>
    <t>Untermichelbach</t>
  </si>
  <si>
    <t>Illenschwang</t>
  </si>
  <si>
    <t>Wittelshofen</t>
  </si>
  <si>
    <t>Gerolfingen</t>
  </si>
  <si>
    <t>Aufkirchen</t>
  </si>
  <si>
    <t>Irsingen</t>
  </si>
  <si>
    <t>Röckingen</t>
  </si>
  <si>
    <t>Knittelsbach</t>
  </si>
  <si>
    <t>Diederstetten</t>
  </si>
  <si>
    <t>Mönchsroth</t>
  </si>
  <si>
    <t>Wilburgstetten</t>
  </si>
  <si>
    <t>Wittenbach</t>
  </si>
  <si>
    <t>Greiselbach</t>
  </si>
  <si>
    <t>Rühlingstetten</t>
  </si>
  <si>
    <t>Wörnitzhofen</t>
  </si>
  <si>
    <t>Frankenhofen</t>
  </si>
  <si>
    <t>Weiltingen</t>
  </si>
  <si>
    <t>Veitsweiler</t>
  </si>
  <si>
    <t>Wassertrüdingen</t>
  </si>
  <si>
    <t>Altentrüdingen</t>
  </si>
  <si>
    <t>Obermögersheim</t>
  </si>
  <si>
    <t>Schobdach</t>
  </si>
  <si>
    <t>Geilsheim</t>
  </si>
  <si>
    <t>Fürnheim</t>
  </si>
  <si>
    <t>Allmannsdorf</t>
  </si>
  <si>
    <t>Stirn</t>
  </si>
  <si>
    <t>Ramsberg am Brombachsee</t>
  </si>
  <si>
    <t>Dorsbrunn</t>
  </si>
  <si>
    <t>Sankt Veit</t>
  </si>
  <si>
    <t>Pleinfeld</t>
  </si>
  <si>
    <t>Mischelbach</t>
  </si>
  <si>
    <t>Mannholz</t>
  </si>
  <si>
    <t>Walting</t>
  </si>
  <si>
    <t>Stopfenheim</t>
  </si>
  <si>
    <t>Massenbach</t>
  </si>
  <si>
    <t>Ellingen</t>
  </si>
  <si>
    <t>Fiegenstall</t>
  </si>
  <si>
    <t>Weiboldshausen</t>
  </si>
  <si>
    <t>Ettenstatt</t>
  </si>
  <si>
    <t>Reuth unter Neuhaus</t>
  </si>
  <si>
    <t>Hundsdorf</t>
  </si>
  <si>
    <t>Geyern</t>
  </si>
  <si>
    <t>Bergen</t>
  </si>
  <si>
    <t>Thalmannsfeld</t>
  </si>
  <si>
    <t>Kaltenbuch</t>
  </si>
  <si>
    <t>Indernbuch</t>
  </si>
  <si>
    <t>Pfraunfeld</t>
  </si>
  <si>
    <t>Burgsalach</t>
  </si>
  <si>
    <t>Nennslingen</t>
  </si>
  <si>
    <t>Wengen</t>
  </si>
  <si>
    <t>Biburg</t>
  </si>
  <si>
    <t>Bechthal</t>
  </si>
  <si>
    <t>Raitenbucher Forst</t>
  </si>
  <si>
    <t>Raitenbuch</t>
  </si>
  <si>
    <t>Reuth a.Wald</t>
  </si>
  <si>
    <t>Weimersheim</t>
  </si>
  <si>
    <t>Weißenburg i.Bay.</t>
  </si>
  <si>
    <t>Wülzburg</t>
  </si>
  <si>
    <t>Oberhochstatt</t>
  </si>
  <si>
    <t>Kattenhochstatt</t>
  </si>
  <si>
    <t>Holzingen</t>
  </si>
  <si>
    <t>Emetzheim</t>
  </si>
  <si>
    <t>Dettenheim</t>
  </si>
  <si>
    <t>Haardt</t>
  </si>
  <si>
    <t>Suffersheim</t>
  </si>
  <si>
    <t>Wettelsheim</t>
  </si>
  <si>
    <t>Bubenheim</t>
  </si>
  <si>
    <t>Grönhart</t>
  </si>
  <si>
    <t>Graben</t>
  </si>
  <si>
    <t>Auernheim</t>
  </si>
  <si>
    <t>Windischhausen</t>
  </si>
  <si>
    <t>Treuchtlingen</t>
  </si>
  <si>
    <t>Schambach</t>
  </si>
  <si>
    <t>Möhren</t>
  </si>
  <si>
    <t>Haag b.Treuchtlingen</t>
  </si>
  <si>
    <t>Dietfurt i.MFr.</t>
  </si>
  <si>
    <t>Osterdorf</t>
  </si>
  <si>
    <t>Geislohe</t>
  </si>
  <si>
    <t>Pappenheim</t>
  </si>
  <si>
    <t>Göhren</t>
  </si>
  <si>
    <t>Bieswang</t>
  </si>
  <si>
    <t>Übermatzhofen</t>
  </si>
  <si>
    <t>Ochsenhart</t>
  </si>
  <si>
    <t>Rehlingen</t>
  </si>
  <si>
    <t>Büttelbronn</t>
  </si>
  <si>
    <t>Langenaltheim</t>
  </si>
  <si>
    <t>Oberholz</t>
  </si>
  <si>
    <t>Solnhofen</t>
  </si>
  <si>
    <t>Eßlingen</t>
  </si>
  <si>
    <t>Abenberg</t>
  </si>
  <si>
    <t>Abenberger Wald</t>
  </si>
  <si>
    <t>Aberzhausen</t>
  </si>
  <si>
    <t>Alfershausen</t>
  </si>
  <si>
    <t>Allersberg</t>
  </si>
  <si>
    <t>Altenfelden</t>
  </si>
  <si>
    <t>Aue</t>
  </si>
  <si>
    <t>Aurau</t>
  </si>
  <si>
    <t>Barthelmesaurach</t>
  </si>
  <si>
    <t>Belmbrach</t>
  </si>
  <si>
    <t>Bernlohe</t>
  </si>
  <si>
    <t>Brunnau</t>
  </si>
  <si>
    <t>Dixenhausen</t>
  </si>
  <si>
    <t>Dürrenmungenau</t>
  </si>
  <si>
    <t>Ebenried</t>
  </si>
  <si>
    <t>Eckersmühlen</t>
  </si>
  <si>
    <t>Enderndorf am See</t>
  </si>
  <si>
    <t>Esselberg</t>
  </si>
  <si>
    <t>Euerwang</t>
  </si>
  <si>
    <t>Eysölden</t>
  </si>
  <si>
    <t>Forst Kleinschwarzenlohe</t>
  </si>
  <si>
    <t>Fünfbronn</t>
  </si>
  <si>
    <t>Georgensgmünd</t>
  </si>
  <si>
    <t>Göggelsbuch</t>
  </si>
  <si>
    <t>Grafenberg</t>
  </si>
  <si>
    <t>Greding</t>
  </si>
  <si>
    <t>Großhöbing</t>
  </si>
  <si>
    <t>Großschwarzenlohe</t>
  </si>
  <si>
    <t>Großweingarten</t>
  </si>
  <si>
    <t>Günzersreuth</t>
  </si>
  <si>
    <t>Gustenfelden</t>
  </si>
  <si>
    <t>Hagenbuch</t>
  </si>
  <si>
    <t>Hagenich</t>
  </si>
  <si>
    <t>Harrlach</t>
  </si>
  <si>
    <t>Heideck</t>
  </si>
  <si>
    <t>Heimbach</t>
  </si>
  <si>
    <t>Herrnsberg</t>
  </si>
  <si>
    <t>Hilpoltstein</t>
  </si>
  <si>
    <t>Jahrsdorf</t>
  </si>
  <si>
    <t>Kaising</t>
  </si>
  <si>
    <t>Kammerstein</t>
  </si>
  <si>
    <t>Karm</t>
  </si>
  <si>
    <t>Kleinhöbing</t>
  </si>
  <si>
    <t>Kleinnottersdorf</t>
  </si>
  <si>
    <t>Kleinschwarzenlohe</t>
  </si>
  <si>
    <t>Kraftsbuch</t>
  </si>
  <si>
    <t>Laffenau</t>
  </si>
  <si>
    <t>Laibstadt</t>
  </si>
  <si>
    <t>Lampersdorf</t>
  </si>
  <si>
    <t>Landersdorf</t>
  </si>
  <si>
    <t>Landerzhofen</t>
  </si>
  <si>
    <t>Lay</t>
  </si>
  <si>
    <t>Leerstetten</t>
  </si>
  <si>
    <t>Liebenstadt</t>
  </si>
  <si>
    <t>Lohen</t>
  </si>
  <si>
    <t>Mäbenberg</t>
  </si>
  <si>
    <t>Meckenhausen</t>
  </si>
  <si>
    <t>Mettendorf</t>
  </si>
  <si>
    <t>Mindorf</t>
  </si>
  <si>
    <t>Mühlstetten</t>
  </si>
  <si>
    <t>Obermässing</t>
  </si>
  <si>
    <t>Obersteinbach ob Gmünd</t>
  </si>
  <si>
    <t>Österberg</t>
  </si>
  <si>
    <t>Offenbau</t>
  </si>
  <si>
    <t>Ohlangen</t>
  </si>
  <si>
    <t>Ottersdorf</t>
  </si>
  <si>
    <t>Patersholz</t>
  </si>
  <si>
    <t>Penzendorf</t>
  </si>
  <si>
    <t>Petersgmünd</t>
  </si>
  <si>
    <t>Pierheim</t>
  </si>
  <si>
    <t>Prünst</t>
  </si>
  <si>
    <t>Pyras</t>
  </si>
  <si>
    <t>Raubersried</t>
  </si>
  <si>
    <t>Rednitzhembach</t>
  </si>
  <si>
    <t>Regelsbach</t>
  </si>
  <si>
    <t>Reinwarzhofen</t>
  </si>
  <si>
    <t>Rittersbach</t>
  </si>
  <si>
    <t>Röckenhofen</t>
  </si>
  <si>
    <t>Röthenbach b.Sankt Wolfgang</t>
  </si>
  <si>
    <t>Rohr</t>
  </si>
  <si>
    <t>Rothaurach</t>
  </si>
  <si>
    <t>Rudletzholz</t>
  </si>
  <si>
    <t>Ruppmannsburg</t>
  </si>
  <si>
    <t>Schloßberg</t>
  </si>
  <si>
    <t>Schutzendorf</t>
  </si>
  <si>
    <t>Schwand b.Nürnberg</t>
  </si>
  <si>
    <t>Schwimbach</t>
  </si>
  <si>
    <t>Selingstadt</t>
  </si>
  <si>
    <t>Sindersdorf</t>
  </si>
  <si>
    <t>Solar</t>
  </si>
  <si>
    <t>Spalt</t>
  </si>
  <si>
    <t>Stauf</t>
  </si>
  <si>
    <t>Thalmässing</t>
  </si>
  <si>
    <t>Untermässing</t>
  </si>
  <si>
    <t>Tiefenbach</t>
  </si>
  <si>
    <t>Wallesau</t>
  </si>
  <si>
    <t>Unterrödel</t>
  </si>
  <si>
    <t>Waizenhofen</t>
  </si>
  <si>
    <t>Walpersdorf</t>
  </si>
  <si>
    <t>Wassermungenau</t>
  </si>
  <si>
    <t>Weinsfeld</t>
  </si>
  <si>
    <t>Wendelstein</t>
  </si>
  <si>
    <t>Wernfels</t>
  </si>
  <si>
    <t>Wolkersdorf</t>
  </si>
  <si>
    <t>Litterzhofen</t>
  </si>
  <si>
    <t>Biberbach</t>
  </si>
  <si>
    <t>Kevenhüll</t>
  </si>
  <si>
    <t>Wiesenhofen</t>
  </si>
  <si>
    <t>Hirschberg</t>
  </si>
  <si>
    <t>Beilngries</t>
  </si>
  <si>
    <t>Kottingwörth</t>
  </si>
  <si>
    <t>Paulushofen</t>
  </si>
  <si>
    <t>Irfersdorf</t>
  </si>
  <si>
    <t>Neuzell</t>
  </si>
  <si>
    <t>Amtmannsdorf</t>
  </si>
  <si>
    <t>Aschbuch</t>
  </si>
  <si>
    <t>Eglofsdorf</t>
  </si>
  <si>
    <t>Wolfsbuch</t>
  </si>
  <si>
    <t>Grampersdorf</t>
  </si>
  <si>
    <t>Arnbuch</t>
  </si>
  <si>
    <t>Großnottersdorf</t>
  </si>
  <si>
    <t>Mantlach</t>
  </si>
  <si>
    <t>Morsbach</t>
  </si>
  <si>
    <t>Kesselberg</t>
  </si>
  <si>
    <t>Titting</t>
  </si>
  <si>
    <t>Emsing</t>
  </si>
  <si>
    <t>Altdorf</t>
  </si>
  <si>
    <t>Kaldorf</t>
  </si>
  <si>
    <t>Erkertshofen</t>
  </si>
  <si>
    <t>Petersbuch</t>
  </si>
  <si>
    <t>Haunstetten</t>
  </si>
  <si>
    <t>Badanhausen</t>
  </si>
  <si>
    <t>Kirchanhausen</t>
  </si>
  <si>
    <t>Erlingshofen</t>
  </si>
  <si>
    <t>Berletzhausen</t>
  </si>
  <si>
    <t>Enkering</t>
  </si>
  <si>
    <t>Kinding</t>
  </si>
  <si>
    <t>Pfraundorf</t>
  </si>
  <si>
    <t>Unteremmendorf</t>
  </si>
  <si>
    <t>Schafhausen</t>
  </si>
  <si>
    <t>Ilbling</t>
  </si>
  <si>
    <t>Hirnstetten</t>
  </si>
  <si>
    <t>Pfahldorf</t>
  </si>
  <si>
    <t>Kipfenberg</t>
  </si>
  <si>
    <t>Kemathen</t>
  </si>
  <si>
    <t>Irlahüll</t>
  </si>
  <si>
    <t>Oberemmendorf</t>
  </si>
  <si>
    <t>Grösdorf</t>
  </si>
  <si>
    <t>Böhming</t>
  </si>
  <si>
    <t>Arnsberg</t>
  </si>
  <si>
    <t>Attenzell</t>
  </si>
  <si>
    <t>Krut</t>
  </si>
  <si>
    <t>Dunsdorf</t>
  </si>
  <si>
    <t>Biberg</t>
  </si>
  <si>
    <t>Schelldorf</t>
  </si>
  <si>
    <t>Workerszell</t>
  </si>
  <si>
    <t>Schernfeld</t>
  </si>
  <si>
    <t>Langensallach</t>
  </si>
  <si>
    <t>Sappenfeld</t>
  </si>
  <si>
    <t>Schönau</t>
  </si>
  <si>
    <t>Seuversholz</t>
  </si>
  <si>
    <t>Pollenfeld</t>
  </si>
  <si>
    <t>Wachenzell</t>
  </si>
  <si>
    <t>Sornhüll</t>
  </si>
  <si>
    <t>Weigersdorf</t>
  </si>
  <si>
    <t>Preith</t>
  </si>
  <si>
    <t>Rapperszell</t>
  </si>
  <si>
    <t>Rieshofen</t>
  </si>
  <si>
    <t>Isenbrunn</t>
  </si>
  <si>
    <t>Pfalzpaint</t>
  </si>
  <si>
    <t>Gungolding</t>
  </si>
  <si>
    <t>Inching</t>
  </si>
  <si>
    <t>Pfünz</t>
  </si>
  <si>
    <t>Gelbelsee</t>
  </si>
  <si>
    <t>Dörndorf</t>
  </si>
  <si>
    <t>Bitz</t>
  </si>
  <si>
    <t>Denkendorf</t>
  </si>
  <si>
    <t>Altenberg</t>
  </si>
  <si>
    <t>Zandt</t>
  </si>
  <si>
    <t>Wintershof</t>
  </si>
  <si>
    <t>Buchenhüll</t>
  </si>
  <si>
    <t>Marienstein</t>
  </si>
  <si>
    <t>Landershofen</t>
  </si>
  <si>
    <t>Wasserzell</t>
  </si>
  <si>
    <t>Park</t>
  </si>
  <si>
    <t>Oberzell</t>
  </si>
  <si>
    <t>Hitzhofen</t>
  </si>
  <si>
    <t>Böhmfeld</t>
  </si>
  <si>
    <t>Tauberfeld</t>
  </si>
  <si>
    <t>Buxheim</t>
  </si>
  <si>
    <t>Eitensheim</t>
  </si>
  <si>
    <t>Mühlheim</t>
  </si>
  <si>
    <t>Mörnsheim</t>
  </si>
  <si>
    <t>Haunsfeld</t>
  </si>
  <si>
    <t>Ensfeld</t>
  </si>
  <si>
    <t>Eberswang</t>
  </si>
  <si>
    <t>Obereichstätt</t>
  </si>
  <si>
    <t>Dollnstein</t>
  </si>
  <si>
    <t>Breitenfurt</t>
  </si>
  <si>
    <t>Pietenfeld</t>
  </si>
  <si>
    <t>Adelschlag</t>
  </si>
  <si>
    <t>Ochsenfeld</t>
  </si>
  <si>
    <t>Möckenlohe</t>
  </si>
  <si>
    <t>Wolkertshofen</t>
  </si>
  <si>
    <t>Nassenfels</t>
  </si>
  <si>
    <t>Meilenhofen</t>
  </si>
  <si>
    <t>Egweil</t>
  </si>
  <si>
    <t>Konstein</t>
  </si>
  <si>
    <t>Biesenhard</t>
  </si>
  <si>
    <t>Wellheim</t>
  </si>
  <si>
    <t>Gammersfeld</t>
  </si>
  <si>
    <t>Kondrau</t>
  </si>
  <si>
    <t>Konnersreuth</t>
  </si>
  <si>
    <t>Waldsassen</t>
  </si>
  <si>
    <t>Querenbach</t>
  </si>
  <si>
    <t>Kössain</t>
  </si>
  <si>
    <t>Rodenzenreuth</t>
  </si>
  <si>
    <t>Waldershof</t>
  </si>
  <si>
    <t>Lengenfeld b.Groschlattengrün</t>
  </si>
  <si>
    <t>Walbenreuth</t>
  </si>
  <si>
    <t>Hohenhard</t>
  </si>
  <si>
    <t>Pleußen</t>
  </si>
  <si>
    <t>Groschlattengrün</t>
  </si>
  <si>
    <t>Pechbrunn</t>
  </si>
  <si>
    <t>Mitterteich</t>
  </si>
  <si>
    <t>Leonberg</t>
  </si>
  <si>
    <t>Pfaffenreuth</t>
  </si>
  <si>
    <t>Großensees</t>
  </si>
  <si>
    <t>Großensterz</t>
  </si>
  <si>
    <t>Wernersreuth</t>
  </si>
  <si>
    <t>Ottengrün</t>
  </si>
  <si>
    <t>Neualbenreuth</t>
  </si>
  <si>
    <t>Fuchsmühl</t>
  </si>
  <si>
    <t>Wiesau</t>
  </si>
  <si>
    <t>Schönhaid</t>
  </si>
  <si>
    <t>Bärnhöhe</t>
  </si>
  <si>
    <t>Friedenfels</t>
  </si>
  <si>
    <t>Voitenthan</t>
  </si>
  <si>
    <t>Gumpen</t>
  </si>
  <si>
    <t>Falkenberg</t>
  </si>
  <si>
    <t>Pfaben</t>
  </si>
  <si>
    <t>Wetzldorf</t>
  </si>
  <si>
    <t>Erbendorf</t>
  </si>
  <si>
    <t>Hauxdorf</t>
  </si>
  <si>
    <t>Wildenreuth</t>
  </si>
  <si>
    <t>Thumsenreuth</t>
  </si>
  <si>
    <t>Krummennaab</t>
  </si>
  <si>
    <t>Sassenhof</t>
  </si>
  <si>
    <t>Trautenberg</t>
  </si>
  <si>
    <t>Röthenbach a.Steinwald</t>
  </si>
  <si>
    <t>Reuth b.Erbendorf</t>
  </si>
  <si>
    <t>Rosall</t>
  </si>
  <si>
    <t>Wondreb</t>
  </si>
  <si>
    <t>Pilmersreuth a.Wald</t>
  </si>
  <si>
    <t>Großklenau</t>
  </si>
  <si>
    <t>Hohenwald</t>
  </si>
  <si>
    <t>Matzersreuth</t>
  </si>
  <si>
    <t>Lengenfeld b.Tirschenreuth</t>
  </si>
  <si>
    <t>Großkonreuth</t>
  </si>
  <si>
    <t>Dippersreuth</t>
  </si>
  <si>
    <t>Griesbach</t>
  </si>
  <si>
    <t>Ellenfeld</t>
  </si>
  <si>
    <t>Bärnau</t>
  </si>
  <si>
    <t>Hohenthan</t>
  </si>
  <si>
    <t>Thanhausen</t>
  </si>
  <si>
    <t>Liebenstein</t>
  </si>
  <si>
    <t>Betzenmühle</t>
  </si>
  <si>
    <t>Schönficht</t>
  </si>
  <si>
    <t>Beidl</t>
  </si>
  <si>
    <t>Schönkirch</t>
  </si>
  <si>
    <t>Wildenau</t>
  </si>
  <si>
    <t>Plößberg</t>
  </si>
  <si>
    <t>Ebnath</t>
  </si>
  <si>
    <t>Neusorg</t>
  </si>
  <si>
    <t>Riglasreuth</t>
  </si>
  <si>
    <t>Höll u.Haid</t>
  </si>
  <si>
    <t>Langentheilen</t>
  </si>
  <si>
    <t>Dechantsees</t>
  </si>
  <si>
    <t>Pullenreuth</t>
  </si>
  <si>
    <t>Lochau</t>
  </si>
  <si>
    <t>Trevesen</t>
  </si>
  <si>
    <t>Neuköslarn</t>
  </si>
  <si>
    <t>Punreuth</t>
  </si>
  <si>
    <t>Immenreuth</t>
  </si>
  <si>
    <t>Lenau</t>
  </si>
  <si>
    <t>Oberbruck</t>
  </si>
  <si>
    <t>Kulmain</t>
  </si>
  <si>
    <t>Zinst</t>
  </si>
  <si>
    <t>Oberwappenöst</t>
  </si>
  <si>
    <t>Kötzersdorf</t>
  </si>
  <si>
    <t>Schlackenhof</t>
  </si>
  <si>
    <t>Höflas</t>
  </si>
  <si>
    <t>Kemnath</t>
  </si>
  <si>
    <t>Eisersdorf</t>
  </si>
  <si>
    <t>Schönreuth</t>
  </si>
  <si>
    <t>Zwergau</t>
  </si>
  <si>
    <t>Fortschau</t>
  </si>
  <si>
    <t>Kaibitz</t>
  </si>
  <si>
    <t>Löschwitz</t>
  </si>
  <si>
    <t>Atzmannsberg</t>
  </si>
  <si>
    <t>Reuth b.Kastl</t>
  </si>
  <si>
    <t>Wolframshof</t>
  </si>
  <si>
    <t>Kastl</t>
  </si>
  <si>
    <t>Unterbruck</t>
  </si>
  <si>
    <t>Thurndorf</t>
  </si>
  <si>
    <t>Sassenreuth</t>
  </si>
  <si>
    <t>Neuzirkendorf</t>
  </si>
  <si>
    <t>Treinreuth</t>
  </si>
  <si>
    <t>Kirchenthumbach</t>
  </si>
  <si>
    <t>Fronlohe</t>
  </si>
  <si>
    <t>Metzenhof</t>
  </si>
  <si>
    <t>Oberbibrach</t>
  </si>
  <si>
    <t>Mockersdorf</t>
  </si>
  <si>
    <t>Neustadt am Kulm</t>
  </si>
  <si>
    <t>Filchendorf</t>
  </si>
  <si>
    <t>Speinshart</t>
  </si>
  <si>
    <t>Seitenthal</t>
  </si>
  <si>
    <t>Tremmersdorf</t>
  </si>
  <si>
    <t>Stegenthumbach</t>
  </si>
  <si>
    <t>Eschenbach i.d.OPf.</t>
  </si>
  <si>
    <t>Thomasreuth</t>
  </si>
  <si>
    <t>Preißach</t>
  </si>
  <si>
    <t>Pichlberg</t>
  </si>
  <si>
    <t>Feilersdorf</t>
  </si>
  <si>
    <t>Weihersberg</t>
  </si>
  <si>
    <t>Pressath</t>
  </si>
  <si>
    <t>Hessenreuth</t>
  </si>
  <si>
    <t>Riggau</t>
  </si>
  <si>
    <t>Dießfurt</t>
  </si>
  <si>
    <t>Grafenwöhr</t>
  </si>
  <si>
    <t>Gmünd</t>
  </si>
  <si>
    <t>Hütten</t>
  </si>
  <si>
    <t>Ranzenthal</t>
  </si>
  <si>
    <t>Nasnitz</t>
  </si>
  <si>
    <t>Steinamwasser</t>
  </si>
  <si>
    <t>Degelsdorf</t>
  </si>
  <si>
    <t>Zogenreuth</t>
  </si>
  <si>
    <t>Ranna</t>
  </si>
  <si>
    <t>Auerbach i.d.OPf.</t>
  </si>
  <si>
    <t>Nitzlbuch</t>
  </si>
  <si>
    <t>Naabdemenreuth</t>
  </si>
  <si>
    <t>Windischeschenbach</t>
  </si>
  <si>
    <t>Oed</t>
  </si>
  <si>
    <t>Hammerles</t>
  </si>
  <si>
    <t>Parkstein</t>
  </si>
  <si>
    <t>Altenparkstein</t>
  </si>
  <si>
    <t>Kirchendemenreuth</t>
  </si>
  <si>
    <t>Döltsch</t>
  </si>
  <si>
    <t>Wendersreuth</t>
  </si>
  <si>
    <t>Klobenreuth</t>
  </si>
  <si>
    <t>Wurz</t>
  </si>
  <si>
    <t>Ilsenbach</t>
  </si>
  <si>
    <t>Püchersreuth</t>
  </si>
  <si>
    <t>Lanz</t>
  </si>
  <si>
    <t>Störnstein</t>
  </si>
  <si>
    <t>Roschau</t>
  </si>
  <si>
    <t>Edeldorf</t>
  </si>
  <si>
    <t>Letzau</t>
  </si>
  <si>
    <t>Schlattein</t>
  </si>
  <si>
    <t>Gailertsreuth</t>
  </si>
  <si>
    <t>Floß</t>
  </si>
  <si>
    <t>Kalmreuth</t>
  </si>
  <si>
    <t>Gösen</t>
  </si>
  <si>
    <t>Diepoltsreuth</t>
  </si>
  <si>
    <t>Bergnetsreuth</t>
  </si>
  <si>
    <t>Flossenbürg</t>
  </si>
  <si>
    <t>Lennesrieth</t>
  </si>
  <si>
    <t>Waldthurn</t>
  </si>
  <si>
    <t>Bernrieth</t>
  </si>
  <si>
    <t>Waldkirch</t>
  </si>
  <si>
    <t>Georgenberg</t>
  </si>
  <si>
    <t>Dimpfl</t>
  </si>
  <si>
    <t>Reinhardsrieth</t>
  </si>
  <si>
    <t>Miesbrunn</t>
  </si>
  <si>
    <t>Pleystein</t>
  </si>
  <si>
    <t>Lohma</t>
  </si>
  <si>
    <t>Burkhardsrieth</t>
  </si>
  <si>
    <t>Waidhaus</t>
  </si>
  <si>
    <t>Pfrentsch</t>
  </si>
  <si>
    <t>Pechhof</t>
  </si>
  <si>
    <t>Manteler Forst</t>
  </si>
  <si>
    <t>Meerbodenreuth</t>
  </si>
  <si>
    <t>Altenstadt a.d.Waldnaab</t>
  </si>
  <si>
    <t>Neunkirchen b.Weiden</t>
  </si>
  <si>
    <t>Frauenricht</t>
  </si>
  <si>
    <t>Mallersricht</t>
  </si>
  <si>
    <t>Rothenstadt</t>
  </si>
  <si>
    <t>Matzlesrieth</t>
  </si>
  <si>
    <t>Muglhof</t>
  </si>
  <si>
    <t>Waldau</t>
  </si>
  <si>
    <t>Altenstadt b.Vohenstrauß</t>
  </si>
  <si>
    <t>Vohenstrauß</t>
  </si>
  <si>
    <t>Weißenstein</t>
  </si>
  <si>
    <t>Burgtreswitz</t>
  </si>
  <si>
    <t>Roggenstein</t>
  </si>
  <si>
    <t>Lämersdorf</t>
  </si>
  <si>
    <t>Kaimling</t>
  </si>
  <si>
    <t>Oberlind</t>
  </si>
  <si>
    <t>Obernankau</t>
  </si>
  <si>
    <t>Böhmischbruck</t>
  </si>
  <si>
    <t>Gröbenstädt</t>
  </si>
  <si>
    <t>Heumaden</t>
  </si>
  <si>
    <t>Niederland</t>
  </si>
  <si>
    <t>Etzgersrieth</t>
  </si>
  <si>
    <t>Tröbes</t>
  </si>
  <si>
    <t>Rückersrieth</t>
  </si>
  <si>
    <t>Gaisheim</t>
  </si>
  <si>
    <t>Eslarn</t>
  </si>
  <si>
    <t>Gmeinsrieth</t>
  </si>
  <si>
    <t>Steinfels</t>
  </si>
  <si>
    <t>Rupprechtsreuth</t>
  </si>
  <si>
    <t>Mantel</t>
  </si>
  <si>
    <t>Etzenricht</t>
  </si>
  <si>
    <t>Thannhof</t>
  </si>
  <si>
    <t>Kohlberg</t>
  </si>
  <si>
    <t>Hannersgrün</t>
  </si>
  <si>
    <t>Oberwildenau</t>
  </si>
  <si>
    <t>Unterwildenau</t>
  </si>
  <si>
    <t>Engleshof</t>
  </si>
  <si>
    <t>Neudorf b.Luhe</t>
  </si>
  <si>
    <t>Luhe</t>
  </si>
  <si>
    <t>Schirmitz</t>
  </si>
  <si>
    <t>Bechtsrieth</t>
  </si>
  <si>
    <t>Trebsau</t>
  </si>
  <si>
    <t>Irchenrieth</t>
  </si>
  <si>
    <t>Pirk</t>
  </si>
  <si>
    <t>Enzenrieth</t>
  </si>
  <si>
    <t>Michldorf</t>
  </si>
  <si>
    <t>Leuchtenberg</t>
  </si>
  <si>
    <t>Lerau</t>
  </si>
  <si>
    <t>Preppach</t>
  </si>
  <si>
    <t>Woppenrieth</t>
  </si>
  <si>
    <t>Kleinschwand</t>
  </si>
  <si>
    <t>Großenschwand</t>
  </si>
  <si>
    <t>Tännesberg</t>
  </si>
  <si>
    <t>Königstein</t>
  </si>
  <si>
    <t>Gaißach</t>
  </si>
  <si>
    <t>Kürmreuth</t>
  </si>
  <si>
    <t>Namsreuth</t>
  </si>
  <si>
    <t>Sigras</t>
  </si>
  <si>
    <t>Langenbruck</t>
  </si>
  <si>
    <t>Sigl</t>
  </si>
  <si>
    <t>Schlicht</t>
  </si>
  <si>
    <t>Vilseck</t>
  </si>
  <si>
    <t>Gressenwöhr</t>
  </si>
  <si>
    <t>Seugast</t>
  </si>
  <si>
    <t>Tanzfleck</t>
  </si>
  <si>
    <t>Thansüß</t>
  </si>
  <si>
    <t>Freihung</t>
  </si>
  <si>
    <t>Massenricht</t>
  </si>
  <si>
    <t>Achtel</t>
  </si>
  <si>
    <t>Eschenfelden</t>
  </si>
  <si>
    <t>Mittelreinbach</t>
  </si>
  <si>
    <t>Holnstein</t>
  </si>
  <si>
    <t>Edelsfeld</t>
  </si>
  <si>
    <t>Steinling</t>
  </si>
  <si>
    <t>Weißenberg</t>
  </si>
  <si>
    <t>Irlbach</t>
  </si>
  <si>
    <t>Adlholz</t>
  </si>
  <si>
    <t>Großschönbrunn</t>
  </si>
  <si>
    <t>Ehenfeld</t>
  </si>
  <si>
    <t>Hirschbach</t>
  </si>
  <si>
    <t>Schmidtstadt</t>
  </si>
  <si>
    <t>Kirchenreinbach</t>
  </si>
  <si>
    <t>Neidstein</t>
  </si>
  <si>
    <t>Neukirchen b.Sulzbach-Rosenbg.</t>
  </si>
  <si>
    <t>Röckenricht</t>
  </si>
  <si>
    <t>Großalbershof</t>
  </si>
  <si>
    <t>Iber</t>
  </si>
  <si>
    <t>Süß</t>
  </si>
  <si>
    <t>Hahnbach</t>
  </si>
  <si>
    <t>Schalkenthan</t>
  </si>
  <si>
    <t>Gebenbach</t>
  </si>
  <si>
    <t>Mimbach</t>
  </si>
  <si>
    <t>Hirschau</t>
  </si>
  <si>
    <t>Scharhof</t>
  </si>
  <si>
    <t>Schnaittenbach</t>
  </si>
  <si>
    <t>Holzhammer</t>
  </si>
  <si>
    <t>Weigendorf</t>
  </si>
  <si>
    <t>Bachetsfeld</t>
  </si>
  <si>
    <t>Trondorf</t>
  </si>
  <si>
    <t>Rosenberg</t>
  </si>
  <si>
    <t>Kötzersricht</t>
  </si>
  <si>
    <t>Ursulapoppenricht</t>
  </si>
  <si>
    <t>Steiningloh</t>
  </si>
  <si>
    <t>Fürnried</t>
  </si>
  <si>
    <t>Sunzendorf</t>
  </si>
  <si>
    <t>Frechetsfeld</t>
  </si>
  <si>
    <t>Augsberg</t>
  </si>
  <si>
    <t>Angfeld</t>
  </si>
  <si>
    <t>Illschwang</t>
  </si>
  <si>
    <t>Poppenricht</t>
  </si>
  <si>
    <t>Dietersberg</t>
  </si>
  <si>
    <t>Ammerthal</t>
  </si>
  <si>
    <t>Eichen</t>
  </si>
  <si>
    <t>Karmensölden</t>
  </si>
  <si>
    <t>Traßlberg</t>
  </si>
  <si>
    <t>Ammersricht</t>
  </si>
  <si>
    <t>Raigering</t>
  </si>
  <si>
    <t>Lintach</t>
  </si>
  <si>
    <t>Pursruck</t>
  </si>
  <si>
    <t>Freudenberg</t>
  </si>
  <si>
    <t>Wutschdorf</t>
  </si>
  <si>
    <t>Kemnath a.Buchberg</t>
  </si>
  <si>
    <t>Eckeltshof</t>
  </si>
  <si>
    <t>Poppberg</t>
  </si>
  <si>
    <t>Schwend</t>
  </si>
  <si>
    <t>Leiten u.Schottenbühl</t>
  </si>
  <si>
    <t>Wolfsfeld</t>
  </si>
  <si>
    <t>Ullersberg</t>
  </si>
  <si>
    <t>Ursensollen</t>
  </si>
  <si>
    <t>Hohenkemnath</t>
  </si>
  <si>
    <t>Gailoh</t>
  </si>
  <si>
    <t>Köfering</t>
  </si>
  <si>
    <t>Theuern</t>
  </si>
  <si>
    <t>Ebermannsdorf</t>
  </si>
  <si>
    <t>Gärmersdorf</t>
  </si>
  <si>
    <t>Hiltersdorf</t>
  </si>
  <si>
    <t>Etsdorf</t>
  </si>
  <si>
    <t>Winkl</t>
  </si>
  <si>
    <t>Zant</t>
  </si>
  <si>
    <t>Garsdorf</t>
  </si>
  <si>
    <t>Sauheim</t>
  </si>
  <si>
    <t>Ensdorf</t>
  </si>
  <si>
    <t>Thanheim</t>
  </si>
  <si>
    <t>Diebis</t>
  </si>
  <si>
    <t>Pittersberg</t>
  </si>
  <si>
    <t>Utzenhofen</t>
  </si>
  <si>
    <t>Ransbach</t>
  </si>
  <si>
    <t>Allersburg</t>
  </si>
  <si>
    <t>Thonhausen</t>
  </si>
  <si>
    <t>Hohenburg</t>
  </si>
  <si>
    <t>Adertshausen</t>
  </si>
  <si>
    <t>Mendorferbuch</t>
  </si>
  <si>
    <t>Egelsheim</t>
  </si>
  <si>
    <t>Taubenbacher Forst</t>
  </si>
  <si>
    <t>Winbuch</t>
  </si>
  <si>
    <t>Siegenhofen</t>
  </si>
  <si>
    <t>Vilshofen</t>
  </si>
  <si>
    <t>Schmidmühlen</t>
  </si>
  <si>
    <t>Emhof</t>
  </si>
  <si>
    <t>Altmannsberg</t>
  </si>
  <si>
    <t>Aßlschwang</t>
  </si>
  <si>
    <t>Bachhausen</t>
  </si>
  <si>
    <t>Berching</t>
  </si>
  <si>
    <t>Berg b.Neumarkt i.d.OPf.</t>
  </si>
  <si>
    <t>Berngau</t>
  </si>
  <si>
    <t>Burggriesbach</t>
  </si>
  <si>
    <t>Deining</t>
  </si>
  <si>
    <t>Deinschwang</t>
  </si>
  <si>
    <t>Deusmauer</t>
  </si>
  <si>
    <t>Dietkirchen</t>
  </si>
  <si>
    <t>Döllwang</t>
  </si>
  <si>
    <t>Engelsberg</t>
  </si>
  <si>
    <t>Erasbach</t>
  </si>
  <si>
    <t>Ernersdorf</t>
  </si>
  <si>
    <t>Freystadt</t>
  </si>
  <si>
    <t>Fribertshofen</t>
  </si>
  <si>
    <t>Gebertshofen</t>
  </si>
  <si>
    <t>Geroldsee</t>
  </si>
  <si>
    <t>Grafenbucher Forst</t>
  </si>
  <si>
    <t>Großalfalterbach</t>
  </si>
  <si>
    <t>Großberghausen</t>
  </si>
  <si>
    <t>Günching</t>
  </si>
  <si>
    <t>Haar</t>
  </si>
  <si>
    <t>Haimburg</t>
  </si>
  <si>
    <t>Häuselstein</t>
  </si>
  <si>
    <t>Hausheim</t>
  </si>
  <si>
    <t>Helena</t>
  </si>
  <si>
    <t>Heng</t>
  </si>
  <si>
    <t>Holzheim</t>
  </si>
  <si>
    <t>Laaber</t>
  </si>
  <si>
    <t>Labersricht</t>
  </si>
  <si>
    <t>Lauterhofen</t>
  </si>
  <si>
    <t>Lengenfeld</t>
  </si>
  <si>
    <t>Lippertshofen</t>
  </si>
  <si>
    <t>Litzlohe</t>
  </si>
  <si>
    <t>Loderbach</t>
  </si>
  <si>
    <t>Mantlach b.Velburg</t>
  </si>
  <si>
    <t>Mittelricht</t>
  </si>
  <si>
    <t>Mittersthal</t>
  </si>
  <si>
    <t>Möning</t>
  </si>
  <si>
    <t>Mörsdorf</t>
  </si>
  <si>
    <t>Mühlen</t>
  </si>
  <si>
    <t>Oberbuchfeld</t>
  </si>
  <si>
    <t>Oberhembach</t>
  </si>
  <si>
    <t>Oberölsbach</t>
  </si>
  <si>
    <t>Oberweiling</t>
  </si>
  <si>
    <t>Oberwiesenacker</t>
  </si>
  <si>
    <t>Oening</t>
  </si>
  <si>
    <t>Pavelsbach</t>
  </si>
  <si>
    <t>Pelchenhofen</t>
  </si>
  <si>
    <t>Pettenhofen</t>
  </si>
  <si>
    <t>Pfeffertshofen</t>
  </si>
  <si>
    <t>Pilsach</t>
  </si>
  <si>
    <t>Plankstetten</t>
  </si>
  <si>
    <t>Pollanten</t>
  </si>
  <si>
    <t>Pölling</t>
  </si>
  <si>
    <t>Postbauer</t>
  </si>
  <si>
    <t>Prönsdorf</t>
  </si>
  <si>
    <t>Pyrbaum</t>
  </si>
  <si>
    <t>Reichertshofen</t>
  </si>
  <si>
    <t>Reichertswinn</t>
  </si>
  <si>
    <t>Rengersricht</t>
  </si>
  <si>
    <t>Röckersbühl</t>
  </si>
  <si>
    <t>Ronsolden</t>
  </si>
  <si>
    <t>Rudertshofen</t>
  </si>
  <si>
    <t>Schmellnricht</t>
  </si>
  <si>
    <t>Seligenporten</t>
  </si>
  <si>
    <t>Sengenthal</t>
  </si>
  <si>
    <t>Sindlbach</t>
  </si>
  <si>
    <t>Sollngriesbach</t>
  </si>
  <si>
    <t>Sondersfeld</t>
  </si>
  <si>
    <t>Staufersbuch</t>
  </si>
  <si>
    <t>Stierbaum</t>
  </si>
  <si>
    <t>Stöckelsberg</t>
  </si>
  <si>
    <t>Sulzbürg</t>
  </si>
  <si>
    <t>Sulzkirchen</t>
  </si>
  <si>
    <t>Thundorf</t>
  </si>
  <si>
    <t>Traunfeld</t>
  </si>
  <si>
    <t>Trautmannshofen</t>
  </si>
  <si>
    <t>Unterbuchfeld</t>
  </si>
  <si>
    <t>Velburg</t>
  </si>
  <si>
    <t>Wallnsdorf</t>
  </si>
  <si>
    <t>Waltersberg</t>
  </si>
  <si>
    <t>Wappersdorf</t>
  </si>
  <si>
    <t>Wattenberg</t>
  </si>
  <si>
    <t>Woffenbach</t>
  </si>
  <si>
    <t>Winterzhofen</t>
  </si>
  <si>
    <t>Weidenwang</t>
  </si>
  <si>
    <t>Fronberg</t>
  </si>
  <si>
    <t>Krondorf</t>
  </si>
  <si>
    <t>Kronstetten</t>
  </si>
  <si>
    <t>Haselbach</t>
  </si>
  <si>
    <t>Ettmannsdorf</t>
  </si>
  <si>
    <t>Wackersdorf</t>
  </si>
  <si>
    <t>Rauberweiherhaus</t>
  </si>
  <si>
    <t>Gögglbach</t>
  </si>
  <si>
    <t>Wolferlohe</t>
  </si>
  <si>
    <t>Büchheim</t>
  </si>
  <si>
    <t>Naabeck</t>
  </si>
  <si>
    <t>Dachelhofen</t>
  </si>
  <si>
    <t>Pilsheim</t>
  </si>
  <si>
    <t>Wiefelsdorf</t>
  </si>
  <si>
    <t>Klardorf</t>
  </si>
  <si>
    <t>Oder</t>
  </si>
  <si>
    <t>Höchensee</t>
  </si>
  <si>
    <t>Hackelberg</t>
  </si>
  <si>
    <t>Bubach a.d.Naab</t>
  </si>
  <si>
    <t>Katzdorf</t>
  </si>
  <si>
    <t>Lanzenried</t>
  </si>
  <si>
    <t>Pottenstetten</t>
  </si>
  <si>
    <t>Premberg</t>
  </si>
  <si>
    <t>Münchshofen</t>
  </si>
  <si>
    <t>Saltendorf a.d.Naab</t>
  </si>
  <si>
    <t>Teublitz</t>
  </si>
  <si>
    <t>Dietldorf</t>
  </si>
  <si>
    <t>Burglengenfelder Forst</t>
  </si>
  <si>
    <t>Burglengenfeld</t>
  </si>
  <si>
    <t>Maxhütte-Haidhof</t>
  </si>
  <si>
    <t>See</t>
  </si>
  <si>
    <t>Pirkensee</t>
  </si>
  <si>
    <t>Ponholz</t>
  </si>
  <si>
    <t>Ponholzer Forst</t>
  </si>
  <si>
    <t>Glaubendorf</t>
  </si>
  <si>
    <t>Deindorf</t>
  </si>
  <si>
    <t>Oberköblitz</t>
  </si>
  <si>
    <t>Wernberg</t>
  </si>
  <si>
    <t>Woppenhof</t>
  </si>
  <si>
    <t>Neunaigen</t>
  </si>
  <si>
    <t>Saltendorf</t>
  </si>
  <si>
    <t>Losau</t>
  </si>
  <si>
    <t>Söllitz</t>
  </si>
  <si>
    <t>Trausnitz</t>
  </si>
  <si>
    <t>Weihern</t>
  </si>
  <si>
    <t>Iffelsdorf</t>
  </si>
  <si>
    <t>Hohentreswitz</t>
  </si>
  <si>
    <t>Fuchsendorf</t>
  </si>
  <si>
    <t>Pfreimd</t>
  </si>
  <si>
    <t>Pamsendorf</t>
  </si>
  <si>
    <t>Bernhof</t>
  </si>
  <si>
    <t>Gleiritsch</t>
  </si>
  <si>
    <t>Wildstein</t>
  </si>
  <si>
    <t>Zeinried</t>
  </si>
  <si>
    <t>Fuchsberg</t>
  </si>
  <si>
    <t>Teunz</t>
  </si>
  <si>
    <t>Rottendorf in Niedermurach</t>
  </si>
  <si>
    <t>Niedermurach</t>
  </si>
  <si>
    <t>Nottersdorf</t>
  </si>
  <si>
    <t>Pertolzhofen</t>
  </si>
  <si>
    <t>Wagnern</t>
  </si>
  <si>
    <t>Pondorf</t>
  </si>
  <si>
    <t>Nunzenried</t>
  </si>
  <si>
    <t>Winklarn</t>
  </si>
  <si>
    <t>Muschenried</t>
  </si>
  <si>
    <t>Mitterlangau</t>
  </si>
  <si>
    <t>Wildeppenried</t>
  </si>
  <si>
    <t>Pullenried</t>
  </si>
  <si>
    <t>Pirkhof</t>
  </si>
  <si>
    <t>Oberviechtach</t>
  </si>
  <si>
    <t>Lind</t>
  </si>
  <si>
    <t>Obermurach</t>
  </si>
  <si>
    <t>Eigelsberg</t>
  </si>
  <si>
    <t>Friedrichshäng</t>
  </si>
  <si>
    <t>Schönsee</t>
  </si>
  <si>
    <t>Gaisthal</t>
  </si>
  <si>
    <t>Weiding</t>
  </si>
  <si>
    <t>Stadlern</t>
  </si>
  <si>
    <t>Gösselsdorf</t>
  </si>
  <si>
    <t>Trisching</t>
  </si>
  <si>
    <t>Schmidgaden</t>
  </si>
  <si>
    <t>Högling</t>
  </si>
  <si>
    <t>Wolfring</t>
  </si>
  <si>
    <t>Dürnsricht</t>
  </si>
  <si>
    <t>Frotzersricht</t>
  </si>
  <si>
    <t>Haindorf</t>
  </si>
  <si>
    <t>Perschen</t>
  </si>
  <si>
    <t>Neusath</t>
  </si>
  <si>
    <t>Brudersdorf</t>
  </si>
  <si>
    <t>Nabburg</t>
  </si>
  <si>
    <t>Diendorf</t>
  </si>
  <si>
    <t>Unteraich</t>
  </si>
  <si>
    <t>Guteneck</t>
  </si>
  <si>
    <t>Pischdorf</t>
  </si>
  <si>
    <t>Willhof</t>
  </si>
  <si>
    <t>Dürnersdorf</t>
  </si>
  <si>
    <t>Fronhof</t>
  </si>
  <si>
    <t>Stulln</t>
  </si>
  <si>
    <t>Schwarzenfeld</t>
  </si>
  <si>
    <t>Pretzabruck</t>
  </si>
  <si>
    <t>Sonnenried</t>
  </si>
  <si>
    <t>Schwarzach b.Nabburg</t>
  </si>
  <si>
    <t>Altfalter</t>
  </si>
  <si>
    <t>Unterauerbach</t>
  </si>
  <si>
    <t>Weiding in Schwarzach</t>
  </si>
  <si>
    <t>Schwarzhofen</t>
  </si>
  <si>
    <t>Demeldorf</t>
  </si>
  <si>
    <t>Haag b.Schwarzhofen</t>
  </si>
  <si>
    <t>Schwarzeneck</t>
  </si>
  <si>
    <t>Uckersdorf</t>
  </si>
  <si>
    <t>Zangenstein</t>
  </si>
  <si>
    <t>Dieterskirchen</t>
  </si>
  <si>
    <t>Bach</t>
  </si>
  <si>
    <t>Prackendorf</t>
  </si>
  <si>
    <t>Weislitz</t>
  </si>
  <si>
    <t>Thanstein</t>
  </si>
  <si>
    <t>Dautersdorf</t>
  </si>
  <si>
    <t>Kulz</t>
  </si>
  <si>
    <t>Neunburg vorm Wald</t>
  </si>
  <si>
    <t>Eixendorf</t>
  </si>
  <si>
    <t>Fuhrn</t>
  </si>
  <si>
    <t>Katzdorf in Neunburg v. W.</t>
  </si>
  <si>
    <t>Kemnath b.Fuhrn</t>
  </si>
  <si>
    <t>Kröblitz</t>
  </si>
  <si>
    <t>Meißenberg</t>
  </si>
  <si>
    <t>Mitteraschau</t>
  </si>
  <si>
    <t>Penting</t>
  </si>
  <si>
    <t>Seebarn</t>
  </si>
  <si>
    <t>Kleinwinklarn</t>
  </si>
  <si>
    <t>Bodenwöhr</t>
  </si>
  <si>
    <t>Bodenwöhrer Forst</t>
  </si>
  <si>
    <t>Erzhäuser</t>
  </si>
  <si>
    <t>Taxöldern</t>
  </si>
  <si>
    <t>Altenschwand</t>
  </si>
  <si>
    <t>Neukirchen-Balbini</t>
  </si>
  <si>
    <t>Egelsried</t>
  </si>
  <si>
    <t>Hansenried</t>
  </si>
  <si>
    <t>Alletsried</t>
  </si>
  <si>
    <t>Bruck i.d.OPf.</t>
  </si>
  <si>
    <t>Mappach</t>
  </si>
  <si>
    <t>Mögendorf</t>
  </si>
  <si>
    <t>Schöngras</t>
  </si>
  <si>
    <t>Vorderthürn</t>
  </si>
  <si>
    <t>Sollbach</t>
  </si>
  <si>
    <t>Kaspeltshub</t>
  </si>
  <si>
    <t>Nittenau</t>
  </si>
  <si>
    <t>Bergham</t>
  </si>
  <si>
    <t>Bleich</t>
  </si>
  <si>
    <t>Bodenstein</t>
  </si>
  <si>
    <t>Hof a.Regen</t>
  </si>
  <si>
    <t>Stefling</t>
  </si>
  <si>
    <t>Treidling</t>
  </si>
  <si>
    <t>Untermainsbach</t>
  </si>
  <si>
    <t>Rötz</t>
  </si>
  <si>
    <t>Bernried</t>
  </si>
  <si>
    <t>Fahnersdorf</t>
  </si>
  <si>
    <t>Diepoltsried</t>
  </si>
  <si>
    <t>Grassersdorf</t>
  </si>
  <si>
    <t>Heinrichskirchen</t>
  </si>
  <si>
    <t>Hetzmannsdorf</t>
  </si>
  <si>
    <t>Hillstett</t>
  </si>
  <si>
    <t>Pillmersried I</t>
  </si>
  <si>
    <t>Pillmersried II</t>
  </si>
  <si>
    <t>Schatzendorf</t>
  </si>
  <si>
    <t>Flischbach</t>
  </si>
  <si>
    <t>Steegen</t>
  </si>
  <si>
    <t>Schönthal</t>
  </si>
  <si>
    <t>Döfering</t>
  </si>
  <si>
    <t>Hiltersried</t>
  </si>
  <si>
    <t>Loitendorf</t>
  </si>
  <si>
    <t>Premeischl</t>
  </si>
  <si>
    <t>Öd</t>
  </si>
  <si>
    <t>Thurau</t>
  </si>
  <si>
    <t>Hannesried</t>
  </si>
  <si>
    <t>Breitenried</t>
  </si>
  <si>
    <t>Steinlohe</t>
  </si>
  <si>
    <t>Altenschneeberg</t>
  </si>
  <si>
    <t>Irlach</t>
  </si>
  <si>
    <t>Katzelsried</t>
  </si>
  <si>
    <t>Treffelstein</t>
  </si>
  <si>
    <t>Untergrafenried</t>
  </si>
  <si>
    <t>Höll</t>
  </si>
  <si>
    <t>Schäferei</t>
  </si>
  <si>
    <t>Ast</t>
  </si>
  <si>
    <t>Hocha</t>
  </si>
  <si>
    <t>Waldmünchen</t>
  </si>
  <si>
    <t>Ulrichsgrün</t>
  </si>
  <si>
    <t>Englmannsbrunn</t>
  </si>
  <si>
    <t>Albernhof</t>
  </si>
  <si>
    <t>Prosdorf</t>
  </si>
  <si>
    <t>Rannersdorf</t>
  </si>
  <si>
    <t>Herzogau</t>
  </si>
  <si>
    <t>Sinzendorf</t>
  </si>
  <si>
    <t>Geigant</t>
  </si>
  <si>
    <t>Katzbach</t>
  </si>
  <si>
    <t>Häuslarn</t>
  </si>
  <si>
    <t>Großenzenried</t>
  </si>
  <si>
    <t>Diebersried</t>
  </si>
  <si>
    <t>Friedersried</t>
  </si>
  <si>
    <t>Stamsried</t>
  </si>
  <si>
    <t>Asbach</t>
  </si>
  <si>
    <t>Hitzelsberg</t>
  </si>
  <si>
    <t>Kollenzendorf</t>
  </si>
  <si>
    <t>Pösing</t>
  </si>
  <si>
    <t>Grafenkirchen</t>
  </si>
  <si>
    <t>Engelsdorf</t>
  </si>
  <si>
    <t>Kager</t>
  </si>
  <si>
    <t>Pemfling</t>
  </si>
  <si>
    <t>Pitzling</t>
  </si>
  <si>
    <t>Obernried</t>
  </si>
  <si>
    <t>Kolmberg</t>
  </si>
  <si>
    <t>Waffenbrunn</t>
  </si>
  <si>
    <t>Rhanwalting</t>
  </si>
  <si>
    <t>Willmering</t>
  </si>
  <si>
    <t>Habersdorf</t>
  </si>
  <si>
    <t>Dalking</t>
  </si>
  <si>
    <t>Arnschwang</t>
  </si>
  <si>
    <t>Nößwartling</t>
  </si>
  <si>
    <t>Zenching</t>
  </si>
  <si>
    <t>Lixenried</t>
  </si>
  <si>
    <t>Grabitz</t>
  </si>
  <si>
    <t>Furth im Wald</t>
  </si>
  <si>
    <t>Ränkam</t>
  </si>
  <si>
    <t>Sengenbühl</t>
  </si>
  <si>
    <t>Großaign</t>
  </si>
  <si>
    <t>Kleinaign</t>
  </si>
  <si>
    <t>Eschlkam</t>
  </si>
  <si>
    <t>Stachesried</t>
  </si>
  <si>
    <t>Warzenried</t>
  </si>
  <si>
    <t>Vorderbuchberg</t>
  </si>
  <si>
    <t>Neukirchen b.Hl.Blut</t>
  </si>
  <si>
    <t>Atzlern</t>
  </si>
  <si>
    <t>Rittsteig</t>
  </si>
  <si>
    <t>Kolmstein</t>
  </si>
  <si>
    <t>Fronau</t>
  </si>
  <si>
    <t>Strahlfeld</t>
  </si>
  <si>
    <t>Neubäu</t>
  </si>
  <si>
    <t>Wetterfeld</t>
  </si>
  <si>
    <t>Altenkreith</t>
  </si>
  <si>
    <t>Mitterdorf</t>
  </si>
  <si>
    <t>Roding</t>
  </si>
  <si>
    <t>Braunried</t>
  </si>
  <si>
    <t>Ziehring</t>
  </si>
  <si>
    <t>Regenpeilstein</t>
  </si>
  <si>
    <t>Wiesing</t>
  </si>
  <si>
    <t>Zimmering</t>
  </si>
  <si>
    <t>Trasching</t>
  </si>
  <si>
    <t>Obertrübenbach</t>
  </si>
  <si>
    <t>Kalsing</t>
  </si>
  <si>
    <t>Loibling</t>
  </si>
  <si>
    <t>Katzberg</t>
  </si>
  <si>
    <t>Windischbergerdorf</t>
  </si>
  <si>
    <t>Thierlstein</t>
  </si>
  <si>
    <t>Altenmarkt</t>
  </si>
  <si>
    <t>Chameregg</t>
  </si>
  <si>
    <t>Chammünster</t>
  </si>
  <si>
    <t>Gutmaning</t>
  </si>
  <si>
    <t>Haderstadl</t>
  </si>
  <si>
    <t>Vilzing</t>
  </si>
  <si>
    <t>Schachendorf</t>
  </si>
  <si>
    <t>Raindorf</t>
  </si>
  <si>
    <t>Niederrunding</t>
  </si>
  <si>
    <t>Runding</t>
  </si>
  <si>
    <t>Chamerau</t>
  </si>
  <si>
    <t>Bärndorf</t>
  </si>
  <si>
    <t>Lederdorn</t>
  </si>
  <si>
    <t>Thenried</t>
  </si>
  <si>
    <t>Voggendorf</t>
  </si>
  <si>
    <t>Grafenwiesen</t>
  </si>
  <si>
    <t>Ansdorf</t>
  </si>
  <si>
    <t>Hohenwarth</t>
  </si>
  <si>
    <t>Gotzendorf</t>
  </si>
  <si>
    <t>Hoher Bogen</t>
  </si>
  <si>
    <t>Haibühl</t>
  </si>
  <si>
    <t>Arrach</t>
  </si>
  <si>
    <t>Engelshütt</t>
  </si>
  <si>
    <t>Lam</t>
  </si>
  <si>
    <t>Lohberg</t>
  </si>
  <si>
    <t>Haus</t>
  </si>
  <si>
    <t>Dieberg</t>
  </si>
  <si>
    <t>Walderbach</t>
  </si>
  <si>
    <t>Kirchenrohrbach</t>
  </si>
  <si>
    <t>Katzenrohrbach</t>
  </si>
  <si>
    <t>Buchendorf</t>
  </si>
  <si>
    <t>Mainsbauern</t>
  </si>
  <si>
    <t>Süssenbach</t>
  </si>
  <si>
    <t>Siegenstein</t>
  </si>
  <si>
    <t>Beucherling</t>
  </si>
  <si>
    <t>Schillertswiesen</t>
  </si>
  <si>
    <t>Rettenbach</t>
  </si>
  <si>
    <t>Ebersroith</t>
  </si>
  <si>
    <t>Michelsneukirchen</t>
  </si>
  <si>
    <t>Obertraubenbach</t>
  </si>
  <si>
    <t>Hötzing</t>
  </si>
  <si>
    <t>Schorndorf</t>
  </si>
  <si>
    <t>Thierling</t>
  </si>
  <si>
    <t>Loifling</t>
  </si>
  <si>
    <t>Traitsching</t>
  </si>
  <si>
    <t>Sattelpeilnstein</t>
  </si>
  <si>
    <t>Obergoßzell</t>
  </si>
  <si>
    <t>Sattelbogen</t>
  </si>
  <si>
    <t>Atzenzell</t>
  </si>
  <si>
    <t>Birnbrunn</t>
  </si>
  <si>
    <t>Harrling</t>
  </si>
  <si>
    <t>Miltach</t>
  </si>
  <si>
    <t>Altrandsberg</t>
  </si>
  <si>
    <t>Blaibach</t>
  </si>
  <si>
    <t>Kreuzbach</t>
  </si>
  <si>
    <t>Gehstorf</t>
  </si>
  <si>
    <t>Bad Kötzting</t>
  </si>
  <si>
    <t>Arndorf</t>
  </si>
  <si>
    <t>Weißenregen</t>
  </si>
  <si>
    <t>Traidersdorf</t>
  </si>
  <si>
    <t>Sackenried</t>
  </si>
  <si>
    <t>Wettzell</t>
  </si>
  <si>
    <t>Adlmannstein</t>
  </si>
  <si>
    <t>Allersdorf</t>
  </si>
  <si>
    <t>Alteglofsheim</t>
  </si>
  <si>
    <t>Auburg</t>
  </si>
  <si>
    <t>Aufhausen</t>
  </si>
  <si>
    <t>Bach a.d.Donau</t>
  </si>
  <si>
    <t>Barbing</t>
  </si>
  <si>
    <t>Bergmatting</t>
  </si>
  <si>
    <t>Bernhardswald</t>
  </si>
  <si>
    <t>Birkenzant</t>
  </si>
  <si>
    <t>Brennberg</t>
  </si>
  <si>
    <t>Bruckbach</t>
  </si>
  <si>
    <t>Buchenlohe</t>
  </si>
  <si>
    <t>Buchhausen</t>
  </si>
  <si>
    <t>Burgweinting</t>
  </si>
  <si>
    <t>Dechbetten</t>
  </si>
  <si>
    <t>Demling</t>
  </si>
  <si>
    <t>Dengling</t>
  </si>
  <si>
    <t>Diesenbach</t>
  </si>
  <si>
    <t>Dietersweg</t>
  </si>
  <si>
    <t>Donaustauf</t>
  </si>
  <si>
    <t>Ehring</t>
  </si>
  <si>
    <t>Eichhofen</t>
  </si>
  <si>
    <t>Eilsbrunn</t>
  </si>
  <si>
    <t>Eitlbrunn</t>
  </si>
  <si>
    <t>Eltheim</t>
  </si>
  <si>
    <t>Etterzhausen</t>
  </si>
  <si>
    <t>Forstmühler Forst</t>
  </si>
  <si>
    <t>Frankenberg</t>
  </si>
  <si>
    <t>Frauenzell</t>
  </si>
  <si>
    <t>Frengkofen</t>
  </si>
  <si>
    <t>Friesheim</t>
  </si>
  <si>
    <t>Gailsbach</t>
  </si>
  <si>
    <t>Gebelkofen</t>
  </si>
  <si>
    <t>Geisling</t>
  </si>
  <si>
    <t>Glapfenberg</t>
  </si>
  <si>
    <t>Göppenbach</t>
  </si>
  <si>
    <t>Grafenwinn</t>
  </si>
  <si>
    <t>Graß</t>
  </si>
  <si>
    <t>Graßlfing</t>
  </si>
  <si>
    <t>Griesau</t>
  </si>
  <si>
    <t>Großberg</t>
  </si>
  <si>
    <t>Großprüfening</t>
  </si>
  <si>
    <t>Grünthal I</t>
  </si>
  <si>
    <t>Grünthal II</t>
  </si>
  <si>
    <t>Hackenberg</t>
  </si>
  <si>
    <t>Hagelstadt</t>
  </si>
  <si>
    <t>Haidenkofen</t>
  </si>
  <si>
    <t>Haimbuch</t>
  </si>
  <si>
    <t>Hainsacker</t>
  </si>
  <si>
    <t>Harting</t>
  </si>
  <si>
    <t>Haugenried</t>
  </si>
  <si>
    <t>Hauzendorf</t>
  </si>
  <si>
    <t>Hauzenstein</t>
  </si>
  <si>
    <t>Heilinghausen</t>
  </si>
  <si>
    <t>Hellkofen</t>
  </si>
  <si>
    <t>Hirschling</t>
  </si>
  <si>
    <t>Hofdorf</t>
  </si>
  <si>
    <t>Hohengebraching</t>
  </si>
  <si>
    <t>Hungersacker</t>
  </si>
  <si>
    <t>Illkofen</t>
  </si>
  <si>
    <t>Inkofen</t>
  </si>
  <si>
    <t>Kareth</t>
  </si>
  <si>
    <t>Karlstein</t>
  </si>
  <si>
    <t>Kiefenholz</t>
  </si>
  <si>
    <t>Kleinprüfening</t>
  </si>
  <si>
    <t>Kneiting</t>
  </si>
  <si>
    <t>Kreuth</t>
  </si>
  <si>
    <t>Kruckenberg</t>
  </si>
  <si>
    <t>Kürn</t>
  </si>
  <si>
    <t>Lambertsneukirchen</t>
  </si>
  <si>
    <t>Langenerling</t>
  </si>
  <si>
    <t>Lappersdorf</t>
  </si>
  <si>
    <t>Lichtenwald</t>
  </si>
  <si>
    <t>Loch</t>
  </si>
  <si>
    <t>Luckenpaint</t>
  </si>
  <si>
    <t>Mangolding</t>
  </si>
  <si>
    <t>Matting</t>
  </si>
  <si>
    <t>Mintraching</t>
  </si>
  <si>
    <t>Mötzing</t>
  </si>
  <si>
    <t>Moosham</t>
  </si>
  <si>
    <t>Neutraubling</t>
  </si>
  <si>
    <t>Niederhinkofen</t>
  </si>
  <si>
    <t>Niedertraubling</t>
  </si>
  <si>
    <t>Nittendorf</t>
  </si>
  <si>
    <t>Oberachdorf</t>
  </si>
  <si>
    <t>Oberhinkofen</t>
  </si>
  <si>
    <t>Oberisling</t>
  </si>
  <si>
    <t>Obertraubling</t>
  </si>
  <si>
    <t>Pentling</t>
  </si>
  <si>
    <t>Pettenreuth</t>
  </si>
  <si>
    <t>Petzkofen</t>
  </si>
  <si>
    <t>Pfaffenfang</t>
  </si>
  <si>
    <t>Pfakofen</t>
  </si>
  <si>
    <t>Pfatter</t>
  </si>
  <si>
    <t>Pfellkofen</t>
  </si>
  <si>
    <t>Pielenhofen</t>
  </si>
  <si>
    <t>Pielenhofer Wald l.d.Naab</t>
  </si>
  <si>
    <t>Plitting</t>
  </si>
  <si>
    <t>Poign</t>
  </si>
  <si>
    <t>Ramspau</t>
  </si>
  <si>
    <t>Regendorf</t>
  </si>
  <si>
    <t>Regenstauf</t>
  </si>
  <si>
    <t>Reichenstetten</t>
  </si>
  <si>
    <t>Reinhausen</t>
  </si>
  <si>
    <t>Riekofen</t>
  </si>
  <si>
    <t>Rogging</t>
  </si>
  <si>
    <t>Rosenhof</t>
  </si>
  <si>
    <t>Sallern</t>
  </si>
  <si>
    <t>Sanding</t>
  </si>
  <si>
    <t>Sarching</t>
  </si>
  <si>
    <t>Schierling</t>
  </si>
  <si>
    <t>Schneitweg</t>
  </si>
  <si>
    <t>Schönach</t>
  </si>
  <si>
    <t>Schönhofen</t>
  </si>
  <si>
    <t>Schönleiten</t>
  </si>
  <si>
    <t>Schwabelweis</t>
  </si>
  <si>
    <t>Schwaighauser Forst</t>
  </si>
  <si>
    <t>Sengkofen</t>
  </si>
  <si>
    <t>Sinzing</t>
  </si>
  <si>
    <t>Stadtamhof</t>
  </si>
  <si>
    <t>Steinsberg</t>
  </si>
  <si>
    <t>Steinweg</t>
  </si>
  <si>
    <t>Sünching</t>
  </si>
  <si>
    <t>Sulzbach a.d.Donau</t>
  </si>
  <si>
    <t>Taimering</t>
  </si>
  <si>
    <t>Tegernheim</t>
  </si>
  <si>
    <t>Thalmassing</t>
  </si>
  <si>
    <t>Tiefbrunn</t>
  </si>
  <si>
    <t>Triftlfing</t>
  </si>
  <si>
    <t>Unterlaichling</t>
  </si>
  <si>
    <t>Viehhausen</t>
  </si>
  <si>
    <t>Weichs</t>
  </si>
  <si>
    <t>Weillohe</t>
  </si>
  <si>
    <t>Wenzenbach</t>
  </si>
  <si>
    <t>Wiesent</t>
  </si>
  <si>
    <t>Winzer</t>
  </si>
  <si>
    <t>Wörth a.d.Donau</t>
  </si>
  <si>
    <t>Wolfsegg</t>
  </si>
  <si>
    <t>Wolkering</t>
  </si>
  <si>
    <t>Wulkersdorf</t>
  </si>
  <si>
    <t>Zaitzkofen</t>
  </si>
  <si>
    <t>Zeitlarn</t>
  </si>
  <si>
    <t>Ziegetsdorf</t>
  </si>
  <si>
    <t>Zinzendorf</t>
  </si>
  <si>
    <t>Scheuer</t>
  </si>
  <si>
    <t>Irl</t>
  </si>
  <si>
    <t>Batzhausen</t>
  </si>
  <si>
    <t>Eichenhofen</t>
  </si>
  <si>
    <t>Ittelhofen</t>
  </si>
  <si>
    <t>Schnufenhofen</t>
  </si>
  <si>
    <t>Seubersdorf i.d.OPf.</t>
  </si>
  <si>
    <t>Wissing</t>
  </si>
  <si>
    <t>Daßwang</t>
  </si>
  <si>
    <t>Hörmannsdorf</t>
  </si>
  <si>
    <t>Rudenshofen</t>
  </si>
  <si>
    <t>Darshofen</t>
  </si>
  <si>
    <t>Parsberg</t>
  </si>
  <si>
    <t>Willenhofen</t>
  </si>
  <si>
    <t>Herrnried</t>
  </si>
  <si>
    <t>Degerndorf</t>
  </si>
  <si>
    <t>Lupburg</t>
  </si>
  <si>
    <t>Großbissendorf</t>
  </si>
  <si>
    <t>Hohenfels</t>
  </si>
  <si>
    <t>Markstetten</t>
  </si>
  <si>
    <t>Gimpertshausen</t>
  </si>
  <si>
    <t>Dürn</t>
  </si>
  <si>
    <t>Kemnathen</t>
  </si>
  <si>
    <t>Hamberg</t>
  </si>
  <si>
    <t>Langenthonhausen</t>
  </si>
  <si>
    <t>Premerzhofen</t>
  </si>
  <si>
    <t>Erggertshofen</t>
  </si>
  <si>
    <t>Staadorf</t>
  </si>
  <si>
    <t>Unterbürg</t>
  </si>
  <si>
    <t>Muttenhofen</t>
  </si>
  <si>
    <t>Mallerstetten</t>
  </si>
  <si>
    <t>Hainsberg</t>
  </si>
  <si>
    <t>Ottmaring</t>
  </si>
  <si>
    <t>Dietfurt a.d.Altmühl</t>
  </si>
  <si>
    <t>Predlfing</t>
  </si>
  <si>
    <t>Eutenhofen</t>
  </si>
  <si>
    <t>Gundelshofen</t>
  </si>
  <si>
    <t>Töging</t>
  </si>
  <si>
    <t>Griesstetten</t>
  </si>
  <si>
    <t>Schweinkofen</t>
  </si>
  <si>
    <t>Vogelthal</t>
  </si>
  <si>
    <t>Arnsdorf</t>
  </si>
  <si>
    <t>Schwarzenthonhausen</t>
  </si>
  <si>
    <t>Oberpfraundorf</t>
  </si>
  <si>
    <t>Mausheim</t>
  </si>
  <si>
    <t>Beratzhausen</t>
  </si>
  <si>
    <t>Rechberg</t>
  </si>
  <si>
    <t>Beilnstein</t>
  </si>
  <si>
    <t>Dinau</t>
  </si>
  <si>
    <t>Dallackenried</t>
  </si>
  <si>
    <t>Traidendorf</t>
  </si>
  <si>
    <t>Eich</t>
  </si>
  <si>
    <t>Kallmünz</t>
  </si>
  <si>
    <t>Krachenhausen</t>
  </si>
  <si>
    <t>Bubach a.Forst</t>
  </si>
  <si>
    <t>Holzheim a.Forst</t>
  </si>
  <si>
    <t>Hochdorf</t>
  </si>
  <si>
    <t>Wischenhofen</t>
  </si>
  <si>
    <t>Duggendorf</t>
  </si>
  <si>
    <t>Heitzenhofen</t>
  </si>
  <si>
    <t>Endorf</t>
  </si>
  <si>
    <t>Bergstetten</t>
  </si>
  <si>
    <t>Großetzenberg</t>
  </si>
  <si>
    <t>Deuerling</t>
  </si>
  <si>
    <t>Pielenhofer Wald r.d.Naab</t>
  </si>
  <si>
    <t>Berletzhof</t>
  </si>
  <si>
    <t>Pellndorf</t>
  </si>
  <si>
    <t>Thonlohe</t>
  </si>
  <si>
    <t>Langenkreith</t>
  </si>
  <si>
    <t>Hemau</t>
  </si>
  <si>
    <t>Kollersried</t>
  </si>
  <si>
    <t>Laufenthal</t>
  </si>
  <si>
    <t>Aichkirchen</t>
  </si>
  <si>
    <t>Hohenschambach</t>
  </si>
  <si>
    <t>Deising</t>
  </si>
  <si>
    <t>Meihern</t>
  </si>
  <si>
    <t>Perletzhofen</t>
  </si>
  <si>
    <t>Otterzhofen</t>
  </si>
  <si>
    <t>Jachenhausen</t>
  </si>
  <si>
    <t>Altmühlmünster</t>
  </si>
  <si>
    <t>Eggersberg</t>
  </si>
  <si>
    <t>Riedenburg</t>
  </si>
  <si>
    <t>Dieterzhofen</t>
  </si>
  <si>
    <t>Schaitdorf</t>
  </si>
  <si>
    <t>Keilsdorf</t>
  </si>
  <si>
    <t>Prunn</t>
  </si>
  <si>
    <t>Hattenhausen</t>
  </si>
  <si>
    <t>Echendorf</t>
  </si>
  <si>
    <t>Neulohe</t>
  </si>
  <si>
    <t>Painten</t>
  </si>
  <si>
    <t>Rothenbügl</t>
  </si>
  <si>
    <t>Paintner Forst</t>
  </si>
  <si>
    <t>Klingen - Painten</t>
  </si>
  <si>
    <t>Zinzenzell</t>
  </si>
  <si>
    <t>Schönstein</t>
  </si>
  <si>
    <t>Loitzendorf</t>
  </si>
  <si>
    <t>Gittensdorf</t>
  </si>
  <si>
    <t>Gossersdorf</t>
  </si>
  <si>
    <t>Rattenberg</t>
  </si>
  <si>
    <t>Landorf</t>
  </si>
  <si>
    <t>Auggenbach</t>
  </si>
  <si>
    <t>Konzell</t>
  </si>
  <si>
    <t>Höhenberg</t>
  </si>
  <si>
    <t>Wiesenfelden</t>
  </si>
  <si>
    <t>Geraszell</t>
  </si>
  <si>
    <t>Haunkenzell</t>
  </si>
  <si>
    <t>Stallwang</t>
  </si>
  <si>
    <t>Herrnfehlburg</t>
  </si>
  <si>
    <t>Irschenbach</t>
  </si>
  <si>
    <t>Prünstfehlburg</t>
  </si>
  <si>
    <t>Elisabethszell</t>
  </si>
  <si>
    <t>Pilgramsberg</t>
  </si>
  <si>
    <t>Eggerszell</t>
  </si>
  <si>
    <t>Rattiszell</t>
  </si>
  <si>
    <t>Sankt Englmar</t>
  </si>
  <si>
    <t>Waxenberg</t>
  </si>
  <si>
    <t>Saulburg</t>
  </si>
  <si>
    <t>Falkenfels</t>
  </si>
  <si>
    <t>Bärnzell</t>
  </si>
  <si>
    <t>Ascha</t>
  </si>
  <si>
    <t>Landasberg</t>
  </si>
  <si>
    <t>Dachsberg</t>
  </si>
  <si>
    <t>Stadldorf</t>
  </si>
  <si>
    <t>Niederachdorf</t>
  </si>
  <si>
    <t>Pillnach</t>
  </si>
  <si>
    <t>Obermiethnach</t>
  </si>
  <si>
    <t>Gschwendt</t>
  </si>
  <si>
    <t>Mitterfels</t>
  </si>
  <si>
    <t>Obermühlbach</t>
  </si>
  <si>
    <t>Oberzeitldorn</t>
  </si>
  <si>
    <t>Kirchroth</t>
  </si>
  <si>
    <t>Agendorf</t>
  </si>
  <si>
    <t>Gaishausen</t>
  </si>
  <si>
    <t>Steinburg</t>
  </si>
  <si>
    <t>Au vorm Wald</t>
  </si>
  <si>
    <t>Perasdorf</t>
  </si>
  <si>
    <t>Schwarzacher Hochwald</t>
  </si>
  <si>
    <t>Aholfing</t>
  </si>
  <si>
    <t>Obermotzing</t>
  </si>
  <si>
    <t>Pittrich</t>
  </si>
  <si>
    <t>Kößnach</t>
  </si>
  <si>
    <t>Parkstetten</t>
  </si>
  <si>
    <t>Oberalteich</t>
  </si>
  <si>
    <t>Hunderdorf</t>
  </si>
  <si>
    <t>Windberg</t>
  </si>
  <si>
    <t>Niedermotzing</t>
  </si>
  <si>
    <t>Unterzeitldorn</t>
  </si>
  <si>
    <t>Reibersdorf</t>
  </si>
  <si>
    <t>Bogen</t>
  </si>
  <si>
    <t>Bogenberg</t>
  </si>
  <si>
    <t>Degernbach</t>
  </si>
  <si>
    <t>Schwarzach</t>
  </si>
  <si>
    <t>Albertsried</t>
  </si>
  <si>
    <t>Perkam</t>
  </si>
  <si>
    <t>Rain</t>
  </si>
  <si>
    <t>Atting</t>
  </si>
  <si>
    <t>Kagers</t>
  </si>
  <si>
    <t>Hornstorf</t>
  </si>
  <si>
    <t>Alburg</t>
  </si>
  <si>
    <t>Ittling</t>
  </si>
  <si>
    <t>Amselfing</t>
  </si>
  <si>
    <t>Pfelling</t>
  </si>
  <si>
    <t>Niederwinkling</t>
  </si>
  <si>
    <t>Upfkofen</t>
  </si>
  <si>
    <t>Allkofen</t>
  </si>
  <si>
    <t>Wallkofen</t>
  </si>
  <si>
    <t>Geiselhöring</t>
  </si>
  <si>
    <t>Oberharthausen</t>
  </si>
  <si>
    <t>Pönning</t>
  </si>
  <si>
    <t>Feldkirchen</t>
  </si>
  <si>
    <t>Mitterharthausen</t>
  </si>
  <si>
    <t>Geltolfing</t>
  </si>
  <si>
    <t>Aiterhofen</t>
  </si>
  <si>
    <t>Waltendorf</t>
  </si>
  <si>
    <t>Mariaposching</t>
  </si>
  <si>
    <t>Niederharthausen</t>
  </si>
  <si>
    <t>Straßkirchen</t>
  </si>
  <si>
    <t>Holztraubach</t>
  </si>
  <si>
    <t>Grafentraubach</t>
  </si>
  <si>
    <t>Laberweinting</t>
  </si>
  <si>
    <t>Sallach</t>
  </si>
  <si>
    <t>Hainsbach</t>
  </si>
  <si>
    <t>Metting</t>
  </si>
  <si>
    <t>Eschlbach</t>
  </si>
  <si>
    <t>Salching</t>
  </si>
  <si>
    <t>Oberpiebing</t>
  </si>
  <si>
    <t>Wolferkofen</t>
  </si>
  <si>
    <t>Niederschneiding</t>
  </si>
  <si>
    <t>Paitzkofen</t>
  </si>
  <si>
    <t>Oberhaselbach</t>
  </si>
  <si>
    <t>Pfaffenberg</t>
  </si>
  <si>
    <t>Mallersdorf</t>
  </si>
  <si>
    <t>Hofkirchen</t>
  </si>
  <si>
    <t>Haader</t>
  </si>
  <si>
    <t>Schwimmbach</t>
  </si>
  <si>
    <t>Leiblfing</t>
  </si>
  <si>
    <t>Obersunzing</t>
  </si>
  <si>
    <t>Hankofen</t>
  </si>
  <si>
    <t>Oberschneiding</t>
  </si>
  <si>
    <t>Grafling</t>
  </si>
  <si>
    <t>Oberlindhart</t>
  </si>
  <si>
    <t>Oberellenbach</t>
  </si>
  <si>
    <t>Hailing</t>
  </si>
  <si>
    <t>Reißing</t>
  </si>
  <si>
    <t>Großenpinning</t>
  </si>
  <si>
    <t>Arnbruck</t>
  </si>
  <si>
    <t>Bayerisch Eisenstein</t>
  </si>
  <si>
    <t>Ruhmannsdorf</t>
  </si>
  <si>
    <t>Blossersberg</t>
  </si>
  <si>
    <t>Drachselsried</t>
  </si>
  <si>
    <t>Bodenmais</t>
  </si>
  <si>
    <t>Rabenstein</t>
  </si>
  <si>
    <t>Neunußberg</t>
  </si>
  <si>
    <t>Prackenbach</t>
  </si>
  <si>
    <t>Viechtach</t>
  </si>
  <si>
    <t>Zwieslerwaldhaus</t>
  </si>
  <si>
    <t>Rechertsried</t>
  </si>
  <si>
    <t>Kollnburg</t>
  </si>
  <si>
    <t>Schlatzendorf</t>
  </si>
  <si>
    <t>Kirchaitnach</t>
  </si>
  <si>
    <t>Geiersthal</t>
  </si>
  <si>
    <t>Böbrach</t>
  </si>
  <si>
    <t>Teisnach</t>
  </si>
  <si>
    <t>Langdorf</t>
  </si>
  <si>
    <t>Brandten</t>
  </si>
  <si>
    <t>Klautzenbach</t>
  </si>
  <si>
    <t>Zwiesel</t>
  </si>
  <si>
    <t>Lindberg</t>
  </si>
  <si>
    <t>Achslach</t>
  </si>
  <si>
    <t>Patersdorf</t>
  </si>
  <si>
    <t>Ruhmannsfelden</t>
  </si>
  <si>
    <t>Gotteszell</t>
  </si>
  <si>
    <t>Zachenberg</t>
  </si>
  <si>
    <t>March</t>
  </si>
  <si>
    <t>Obermitterdorf</t>
  </si>
  <si>
    <t>Rinchnachmündt</t>
  </si>
  <si>
    <t>Frauenau</t>
  </si>
  <si>
    <t>Oberneumais</t>
  </si>
  <si>
    <t>Reinhartsmais</t>
  </si>
  <si>
    <t>Eggenried</t>
  </si>
  <si>
    <t>Kasberg</t>
  </si>
  <si>
    <t>Rinchnach</t>
  </si>
  <si>
    <t>Habischried</t>
  </si>
  <si>
    <t>Bischofsmais</t>
  </si>
  <si>
    <t>Reichertsried</t>
  </si>
  <si>
    <t>Ellerbach</t>
  </si>
  <si>
    <t>Kirchberg i.Wald</t>
  </si>
  <si>
    <t>Schlag</t>
  </si>
  <si>
    <t>Kirchdorf i.Wald</t>
  </si>
  <si>
    <t>Abtschlag</t>
  </si>
  <si>
    <t>Klingenbrunn</t>
  </si>
  <si>
    <t>Sankt Oswald</t>
  </si>
  <si>
    <t>Neuschönau</t>
  </si>
  <si>
    <t>Mauther Forst</t>
  </si>
  <si>
    <t>Schönbrunn a.Lusen</t>
  </si>
  <si>
    <t>Mauth</t>
  </si>
  <si>
    <t>Annathal</t>
  </si>
  <si>
    <t>Eppenschlag</t>
  </si>
  <si>
    <t>Oberkreuzberg</t>
  </si>
  <si>
    <t>Großarmschlag</t>
  </si>
  <si>
    <t>Rosenau</t>
  </si>
  <si>
    <t>Grafenau</t>
  </si>
  <si>
    <t>Wasching</t>
  </si>
  <si>
    <t>Hohenau</t>
  </si>
  <si>
    <t>Kreuzberg</t>
  </si>
  <si>
    <t>Herzogsreut</t>
  </si>
  <si>
    <t>Philippsreut</t>
  </si>
  <si>
    <t>Bischofsreut</t>
  </si>
  <si>
    <t>Großmisselberg</t>
  </si>
  <si>
    <t>Hartmannsreit</t>
  </si>
  <si>
    <t>Bärnstein</t>
  </si>
  <si>
    <t>Allhartsmais</t>
  </si>
  <si>
    <t>Schöfweg</t>
  </si>
  <si>
    <t>Hilgenreith</t>
  </si>
  <si>
    <t>Innernzell</t>
  </si>
  <si>
    <t>Mitternach</t>
  </si>
  <si>
    <t>Liebersberg</t>
  </si>
  <si>
    <t>Zenting</t>
  </si>
  <si>
    <t>Solla</t>
  </si>
  <si>
    <t>Eberhardsreuth</t>
  </si>
  <si>
    <t>Nendlnach</t>
  </si>
  <si>
    <t>Haus i.Wald</t>
  </si>
  <si>
    <t>Heinrichsreit</t>
  </si>
  <si>
    <t>Ringelai</t>
  </si>
  <si>
    <t>Kumreut</t>
  </si>
  <si>
    <t>Ahornöd</t>
  </si>
  <si>
    <t>Ort</t>
  </si>
  <si>
    <t>Freyung</t>
  </si>
  <si>
    <t>Wolfstein</t>
  </si>
  <si>
    <t>Hinterschmiding</t>
  </si>
  <si>
    <t>Rehberg</t>
  </si>
  <si>
    <t>Grainet</t>
  </si>
  <si>
    <t>Frauenberg</t>
  </si>
  <si>
    <t>Ranfels</t>
  </si>
  <si>
    <t>Thurmansbang</t>
  </si>
  <si>
    <t>Saldenburg</t>
  </si>
  <si>
    <t>Forstöd</t>
  </si>
  <si>
    <t>Waldenreut</t>
  </si>
  <si>
    <t>Perlesreut</t>
  </si>
  <si>
    <t>Niederperlesreut</t>
  </si>
  <si>
    <t>Praßreut</t>
  </si>
  <si>
    <t>Karlsbach</t>
  </si>
  <si>
    <t>Böhmzwiesel</t>
  </si>
  <si>
    <t>Fürholz</t>
  </si>
  <si>
    <t>Vorderfreundorf</t>
  </si>
  <si>
    <t>Hintereben</t>
  </si>
  <si>
    <t>Altreichenau</t>
  </si>
  <si>
    <t>Neureichenau</t>
  </si>
  <si>
    <t>Lackenhäuser</t>
  </si>
  <si>
    <t>Fürsteneck</t>
  </si>
  <si>
    <t>Wilhelmsreut</t>
  </si>
  <si>
    <t>Röhrnbach</t>
  </si>
  <si>
    <t>Außernbrünst</t>
  </si>
  <si>
    <t>Schiefweg</t>
  </si>
  <si>
    <t>Stadl</t>
  </si>
  <si>
    <t>Jandelsbrunn</t>
  </si>
  <si>
    <t>Gsenget</t>
  </si>
  <si>
    <t>Klafferstraß</t>
  </si>
  <si>
    <t>Unterhöhenstetten</t>
  </si>
  <si>
    <t>Waldkirchen</t>
  </si>
  <si>
    <t>Ratzing</t>
  </si>
  <si>
    <t>Oberfrauenwald</t>
  </si>
  <si>
    <t>Heindlschlag</t>
  </si>
  <si>
    <t>Edenstetten</t>
  </si>
  <si>
    <t>Egg</t>
  </si>
  <si>
    <t>Bergern</t>
  </si>
  <si>
    <t>Alberting</t>
  </si>
  <si>
    <t>Penzenried</t>
  </si>
  <si>
    <t>Buchberg</t>
  </si>
  <si>
    <t>Offenberg</t>
  </si>
  <si>
    <t>Metten</t>
  </si>
  <si>
    <t>Natternberg</t>
  </si>
  <si>
    <t>Fischerdorf</t>
  </si>
  <si>
    <t>Schaching</t>
  </si>
  <si>
    <t>Mietraching</t>
  </si>
  <si>
    <t>Greising</t>
  </si>
  <si>
    <t>Deggenau</t>
  </si>
  <si>
    <t>Seebach</t>
  </si>
  <si>
    <t>Schaufling</t>
  </si>
  <si>
    <t>Urlading</t>
  </si>
  <si>
    <t>Lalling</t>
  </si>
  <si>
    <t>Hunding</t>
  </si>
  <si>
    <t>Nabin</t>
  </si>
  <si>
    <t>Oberaign</t>
  </si>
  <si>
    <t>Grattersdorf</t>
  </si>
  <si>
    <t>Winsing</t>
  </si>
  <si>
    <t>Steinkirchen</t>
  </si>
  <si>
    <t>Michaelsbuch</t>
  </si>
  <si>
    <t>Stephansposching</t>
  </si>
  <si>
    <t>Rottersdorf</t>
  </si>
  <si>
    <t>Pankofen</t>
  </si>
  <si>
    <t>Plattling</t>
  </si>
  <si>
    <t>Pielweichs</t>
  </si>
  <si>
    <t>Aholming</t>
  </si>
  <si>
    <t>Langenisarhofen</t>
  </si>
  <si>
    <t>Buchhofen</t>
  </si>
  <si>
    <t>Niederalteich</t>
  </si>
  <si>
    <t>Altenufer</t>
  </si>
  <si>
    <t>Hengersberg</t>
  </si>
  <si>
    <t>Engolling</t>
  </si>
  <si>
    <t>Schwanenkirchen</t>
  </si>
  <si>
    <t>Schöllnach</t>
  </si>
  <si>
    <t>Taiding</t>
  </si>
  <si>
    <t>Riggerding</t>
  </si>
  <si>
    <t>Iggensbach</t>
  </si>
  <si>
    <t>Außernzell</t>
  </si>
  <si>
    <t>Neßlbach</t>
  </si>
  <si>
    <t>Otzing</t>
  </si>
  <si>
    <t>Haunersdorf</t>
  </si>
  <si>
    <t>Lailling</t>
  </si>
  <si>
    <t>Niederpöring</t>
  </si>
  <si>
    <t>Oberpöring</t>
  </si>
  <si>
    <t>Neusling</t>
  </si>
  <si>
    <t>Wallerfing</t>
  </si>
  <si>
    <t>Ramsdorf</t>
  </si>
  <si>
    <t>Aicha a.d.Donau</t>
  </si>
  <si>
    <t>Niedermünchsdorf</t>
  </si>
  <si>
    <t>Osterhofen</t>
  </si>
  <si>
    <t>Wisselsing</t>
  </si>
  <si>
    <t>Kirchdorf b.Osterhofen</t>
  </si>
  <si>
    <t>Anning</t>
  </si>
  <si>
    <t>Langenamming</t>
  </si>
  <si>
    <t>Göttersdorf</t>
  </si>
  <si>
    <t>Gergweis</t>
  </si>
  <si>
    <t>Galgweis</t>
  </si>
  <si>
    <t>Forsthart</t>
  </si>
  <si>
    <t>Künzing</t>
  </si>
  <si>
    <t>Abensberg</t>
  </si>
  <si>
    <t>Adlhausen</t>
  </si>
  <si>
    <t>Affecking</t>
  </si>
  <si>
    <t>Aiglsbach</t>
  </si>
  <si>
    <t>Altdürnbuch</t>
  </si>
  <si>
    <t>Altessing</t>
  </si>
  <si>
    <t>Appersdorf</t>
  </si>
  <si>
    <t>Arnhofen</t>
  </si>
  <si>
    <t>Arresting</t>
  </si>
  <si>
    <t>Attenhofen</t>
  </si>
  <si>
    <t>Bachl</t>
  </si>
  <si>
    <t>Bad Abbach</t>
  </si>
  <si>
    <t>Bad Gögging</t>
  </si>
  <si>
    <t>Berghausen</t>
  </si>
  <si>
    <t>Dünzling</t>
  </si>
  <si>
    <t>Dürnbucher Forst</t>
  </si>
  <si>
    <t>Ebrantshausen</t>
  </si>
  <si>
    <t>Eining</t>
  </si>
  <si>
    <t>Einmuß</t>
  </si>
  <si>
    <t>Einwald</t>
  </si>
  <si>
    <t>Frauenforst</t>
  </si>
  <si>
    <t>Gasseltshausen</t>
  </si>
  <si>
    <t>Geibenstetten</t>
  </si>
  <si>
    <t>Gronsdorf</t>
  </si>
  <si>
    <t>Großgundertshausen</t>
  </si>
  <si>
    <t>Großmuß</t>
  </si>
  <si>
    <t>Helchenbach</t>
  </si>
  <si>
    <t>Herrngiersdorf</t>
  </si>
  <si>
    <t>Herrnsaal</t>
  </si>
  <si>
    <t>Herrnwahlthann</t>
  </si>
  <si>
    <t>Hienheim</t>
  </si>
  <si>
    <t>Hienheimer Forst</t>
  </si>
  <si>
    <t>Hörlbach</t>
  </si>
  <si>
    <t>Holzharlanden</t>
  </si>
  <si>
    <t>Holzmannshausen</t>
  </si>
  <si>
    <t>Horneck</t>
  </si>
  <si>
    <t>Irlbrunn</t>
  </si>
  <si>
    <t>Irnsing</t>
  </si>
  <si>
    <t>Kapfelberg</t>
  </si>
  <si>
    <t>Kelheimwinzer</t>
  </si>
  <si>
    <t>Kirchdorf</t>
  </si>
  <si>
    <t>Laaberberg</t>
  </si>
  <si>
    <t>Langquaid</t>
  </si>
  <si>
    <t>Leibersdorf</t>
  </si>
  <si>
    <t>Lindkirchen</t>
  </si>
  <si>
    <t>Lohstadt</t>
  </si>
  <si>
    <t>Mainburg</t>
  </si>
  <si>
    <t>Mallmersdorf</t>
  </si>
  <si>
    <t>Marching</t>
  </si>
  <si>
    <t>Mauern</t>
  </si>
  <si>
    <t>Meilenhausen</t>
  </si>
  <si>
    <t>Mitterfecking</t>
  </si>
  <si>
    <t>Mitterstetten</t>
  </si>
  <si>
    <t>Neuessing</t>
  </si>
  <si>
    <t>Neukelheim</t>
  </si>
  <si>
    <t>Neustadt a.d.Donau</t>
  </si>
  <si>
    <t>Niederleierndorf</t>
  </si>
  <si>
    <t>Niederumelsdorf</t>
  </si>
  <si>
    <t>Oberempfenbach</t>
  </si>
  <si>
    <t>Obereulenbach</t>
  </si>
  <si>
    <t>Oberpindhart</t>
  </si>
  <si>
    <t>Oberschambach</t>
  </si>
  <si>
    <t>Oberulrain</t>
  </si>
  <si>
    <t>Oberwangenbach</t>
  </si>
  <si>
    <t>Offenstetten</t>
  </si>
  <si>
    <t>Paring</t>
  </si>
  <si>
    <t>Peising</t>
  </si>
  <si>
    <t>Peterfecking</t>
  </si>
  <si>
    <t>Pöbenhausen</t>
  </si>
  <si>
    <t>Pötzmes</t>
  </si>
  <si>
    <t>Poikam</t>
  </si>
  <si>
    <t>Pullach</t>
  </si>
  <si>
    <t>Randeck</t>
  </si>
  <si>
    <t>Ratzenhofen</t>
  </si>
  <si>
    <t>Rohr i.NB</t>
  </si>
  <si>
    <t>Saal a.d.Donau</t>
  </si>
  <si>
    <t>Saalhaupt</t>
  </si>
  <si>
    <t>Sallingberg</t>
  </si>
  <si>
    <t>Sandelzhausen</t>
  </si>
  <si>
    <t>Sandharlanden</t>
  </si>
  <si>
    <t>Schneidhart</t>
  </si>
  <si>
    <t>Schwaig</t>
  </si>
  <si>
    <t>Siegenburg</t>
  </si>
  <si>
    <t>Staudach</t>
  </si>
  <si>
    <t>Staubing</t>
  </si>
  <si>
    <t>Stausacker</t>
  </si>
  <si>
    <t>Teuerting</t>
  </si>
  <si>
    <t>Teugn</t>
  </si>
  <si>
    <t>Thaldorf</t>
  </si>
  <si>
    <t>Tollbach</t>
  </si>
  <si>
    <t>Train</t>
  </si>
  <si>
    <t>Volkenschwand</t>
  </si>
  <si>
    <t>Walkertshofen</t>
  </si>
  <si>
    <t>Walddorf</t>
  </si>
  <si>
    <t>Weltenburg</t>
  </si>
  <si>
    <t>Dingolfing</t>
  </si>
  <si>
    <t>Frauenbiburg</t>
  </si>
  <si>
    <t>Teisbach</t>
  </si>
  <si>
    <t>Adldorf</t>
  </si>
  <si>
    <t>Dornach</t>
  </si>
  <si>
    <t>Eichendorf</t>
  </si>
  <si>
    <t>Ettling</t>
  </si>
  <si>
    <t>Exing</t>
  </si>
  <si>
    <t>Hartkirchen</t>
  </si>
  <si>
    <t>Indersbach</t>
  </si>
  <si>
    <t>Kammern</t>
  </si>
  <si>
    <t>Reichstorf</t>
  </si>
  <si>
    <t>Rengersdorf I</t>
  </si>
  <si>
    <t>Frontenhausen</t>
  </si>
  <si>
    <t>Marklkofen</t>
  </si>
  <si>
    <t>Poxau</t>
  </si>
  <si>
    <t>Rampoldstetten</t>
  </si>
  <si>
    <t>Frammering</t>
  </si>
  <si>
    <t>Höcking</t>
  </si>
  <si>
    <t>Landau a.d.Isar</t>
  </si>
  <si>
    <t>Mettenhausen</t>
  </si>
  <si>
    <t>Reichersdorf</t>
  </si>
  <si>
    <t>Zeholfing</t>
  </si>
  <si>
    <t>Bubach</t>
  </si>
  <si>
    <t>Gottfrieding</t>
  </si>
  <si>
    <t>Hackerskofen</t>
  </si>
  <si>
    <t>Mamming</t>
  </si>
  <si>
    <t>Hüttenkofen</t>
  </si>
  <si>
    <t>Martinsbuch</t>
  </si>
  <si>
    <t>Tunzenberg</t>
  </si>
  <si>
    <t>Dornwang</t>
  </si>
  <si>
    <t>Lengthal</t>
  </si>
  <si>
    <t>Moosthenning</t>
  </si>
  <si>
    <t>Ottering</t>
  </si>
  <si>
    <t>Thürnthenning</t>
  </si>
  <si>
    <t>Loiching</t>
  </si>
  <si>
    <t>Niederviehbach</t>
  </si>
  <si>
    <t>Oberviehbach</t>
  </si>
  <si>
    <t>Ganacker</t>
  </si>
  <si>
    <t>Großköllnbach</t>
  </si>
  <si>
    <t>Harburg</t>
  </si>
  <si>
    <t>Pilsting</t>
  </si>
  <si>
    <t>Waibling</t>
  </si>
  <si>
    <t>Englmannsberg</t>
  </si>
  <si>
    <t>Haberskirchen</t>
  </si>
  <si>
    <t>Niederhausen</t>
  </si>
  <si>
    <t>Niederreisbach</t>
  </si>
  <si>
    <t>Oberhausen</t>
  </si>
  <si>
    <t>Reisbach</t>
  </si>
  <si>
    <t>Langgraben</t>
  </si>
  <si>
    <t>Pischelsdorf</t>
  </si>
  <si>
    <t>Rengersdorf II</t>
  </si>
  <si>
    <t>Ruhstorf</t>
  </si>
  <si>
    <t>Simbach</t>
  </si>
  <si>
    <t>Altenbuch</t>
  </si>
  <si>
    <t>Haidlfing</t>
  </si>
  <si>
    <t>Wallersdorf</t>
  </si>
  <si>
    <t>Eging a.See</t>
  </si>
  <si>
    <t>Aicha vorm Wald</t>
  </si>
  <si>
    <t>Hilgartsberg</t>
  </si>
  <si>
    <t>Garham</t>
  </si>
  <si>
    <t>Rathsmannsdorf</t>
  </si>
  <si>
    <t>Otterskirchen</t>
  </si>
  <si>
    <t>Windorf</t>
  </si>
  <si>
    <t>Pleinting</t>
  </si>
  <si>
    <t>Alkofen</t>
  </si>
  <si>
    <t>Vilshofen an der Donau</t>
  </si>
  <si>
    <t>Aunkirchen</t>
  </si>
  <si>
    <t>Sandbach</t>
  </si>
  <si>
    <t>Walchsing</t>
  </si>
  <si>
    <t>Pörndorf</t>
  </si>
  <si>
    <t>Aldersbach</t>
  </si>
  <si>
    <t>Haidenburg</t>
  </si>
  <si>
    <t>Aidenbach</t>
  </si>
  <si>
    <t>Beutelsbach</t>
  </si>
  <si>
    <t>Iglbach</t>
  </si>
  <si>
    <t>Söldenau</t>
  </si>
  <si>
    <t>Ortenburg</t>
  </si>
  <si>
    <t>Königbach</t>
  </si>
  <si>
    <t>Dorfbach</t>
  </si>
  <si>
    <t>Fürstenstein</t>
  </si>
  <si>
    <t>Tittling</t>
  </si>
  <si>
    <t>Neukirchen vorm Wald</t>
  </si>
  <si>
    <t>Prag</t>
  </si>
  <si>
    <t>Hutthurm</t>
  </si>
  <si>
    <t>Leoprechting</t>
  </si>
  <si>
    <t>Nirsching</t>
  </si>
  <si>
    <t>Raßberg</t>
  </si>
  <si>
    <t>Wotzdorf</t>
  </si>
  <si>
    <t>Hauzenberg</t>
  </si>
  <si>
    <t>Raßreuth</t>
  </si>
  <si>
    <t>Oberdiendorf</t>
  </si>
  <si>
    <t>Jahrdorf</t>
  </si>
  <si>
    <t>Germannsdorf</t>
  </si>
  <si>
    <t>Windpassing</t>
  </si>
  <si>
    <t>Oberneureuth</t>
  </si>
  <si>
    <t>Sonnen</t>
  </si>
  <si>
    <t>Gegenbach</t>
  </si>
  <si>
    <t>Breitenberg</t>
  </si>
  <si>
    <t>Gollnerberg</t>
  </si>
  <si>
    <t>Ruderting</t>
  </si>
  <si>
    <t>Salzweg</t>
  </si>
  <si>
    <t>Donauwetzdorf</t>
  </si>
  <si>
    <t>Thyrnau</t>
  </si>
  <si>
    <t>Kellberg</t>
  </si>
  <si>
    <t>Schaibing</t>
  </si>
  <si>
    <t>Oberötzdorf</t>
  </si>
  <si>
    <t>Untergriesbach</t>
  </si>
  <si>
    <t>Lämmersdorf</t>
  </si>
  <si>
    <t>Gottsdorf</t>
  </si>
  <si>
    <t>Thalberg</t>
  </si>
  <si>
    <t>Möslberg</t>
  </si>
  <si>
    <t>Meßnerschlag</t>
  </si>
  <si>
    <t>Thurnreuth</t>
  </si>
  <si>
    <t>Wildenranna</t>
  </si>
  <si>
    <t>Wegscheid</t>
  </si>
  <si>
    <t>Eidenberg</t>
  </si>
  <si>
    <t>Ederlsdorf</t>
  </si>
  <si>
    <t>Obernzell</t>
  </si>
  <si>
    <t>Heining</t>
  </si>
  <si>
    <t>Hacklberg</t>
  </si>
  <si>
    <t>Ries</t>
  </si>
  <si>
    <t>Hals</t>
  </si>
  <si>
    <t>Grubweg</t>
  </si>
  <si>
    <t>Haidenhof</t>
  </si>
  <si>
    <t>St.Nikola</t>
  </si>
  <si>
    <t>Beiderwies</t>
  </si>
  <si>
    <t>Voglarn</t>
  </si>
  <si>
    <t>Fürstenzell</t>
  </si>
  <si>
    <t>Bad Höhenstadt</t>
  </si>
  <si>
    <t>Engertsham</t>
  </si>
  <si>
    <t>Neukirchen a.Inn</t>
  </si>
  <si>
    <t>Neuburg a.Inn</t>
  </si>
  <si>
    <t>Eglsee</t>
  </si>
  <si>
    <t>Haarbach</t>
  </si>
  <si>
    <t>Sachsenham</t>
  </si>
  <si>
    <t>Uttlau</t>
  </si>
  <si>
    <t>Sankt Salvator</t>
  </si>
  <si>
    <t>Buchet</t>
  </si>
  <si>
    <t>Weng</t>
  </si>
  <si>
    <t>Bad Griesbach i.Rottal</t>
  </si>
  <si>
    <t>Karpfham</t>
  </si>
  <si>
    <t>Schmidham</t>
  </si>
  <si>
    <t>Hütting</t>
  </si>
  <si>
    <t>Ruhstorf a.d.Rott</t>
  </si>
  <si>
    <t>Eholfing</t>
  </si>
  <si>
    <t>Sulzbach a.Inn</t>
  </si>
  <si>
    <t>Vornbach</t>
  </si>
  <si>
    <t>Neuhaus a.Inn</t>
  </si>
  <si>
    <t>Mittich</t>
  </si>
  <si>
    <t>Oberschwärzenbach</t>
  </si>
  <si>
    <t>Tettenweis</t>
  </si>
  <si>
    <t>Poigham</t>
  </si>
  <si>
    <t>Amsham</t>
  </si>
  <si>
    <t>Arnstorf</t>
  </si>
  <si>
    <t>Asenham</t>
  </si>
  <si>
    <t>Baumgarten</t>
  </si>
  <si>
    <t>Brombach</t>
  </si>
  <si>
    <t>Dietersburg</t>
  </si>
  <si>
    <t>Diepoltskirchen</t>
  </si>
  <si>
    <t>Dummeldorf</t>
  </si>
  <si>
    <t>Eggenfelden</t>
  </si>
  <si>
    <t>Egglham</t>
  </si>
  <si>
    <t>Emmersdorf</t>
  </si>
  <si>
    <t>Fünfleiten</t>
  </si>
  <si>
    <t>Gangerbauer</t>
  </si>
  <si>
    <t>Gangkofen</t>
  </si>
  <si>
    <t>Geratskirchen</t>
  </si>
  <si>
    <t>Hainberg</t>
  </si>
  <si>
    <t>Hammersbach</t>
  </si>
  <si>
    <t>Hebertsfelden</t>
  </si>
  <si>
    <t>Hickerstall</t>
  </si>
  <si>
    <t>Hirschhorn</t>
  </si>
  <si>
    <t>Huldsessen</t>
  </si>
  <si>
    <t>Jägerndorf</t>
  </si>
  <si>
    <t>Johanniskirchen</t>
  </si>
  <si>
    <t>Kohlstorf</t>
  </si>
  <si>
    <t>Kollbach</t>
  </si>
  <si>
    <t>Langeneck</t>
  </si>
  <si>
    <t>Lengsham</t>
  </si>
  <si>
    <t>Anzenkirchen</t>
  </si>
  <si>
    <t>Lohbruck</t>
  </si>
  <si>
    <t>Malgersdorf</t>
  </si>
  <si>
    <t>Malling</t>
  </si>
  <si>
    <t>Mariakirchen</t>
  </si>
  <si>
    <t>Martinskirchen</t>
  </si>
  <si>
    <t>Massing</t>
  </si>
  <si>
    <t>Mitterhausen</t>
  </si>
  <si>
    <t>Mitterskirchen</t>
  </si>
  <si>
    <t>Münchsdorf</t>
  </si>
  <si>
    <t>Neuhofen</t>
  </si>
  <si>
    <t>Nöham</t>
  </si>
  <si>
    <t>Obertrennbach</t>
  </si>
  <si>
    <t>Panzing</t>
  </si>
  <si>
    <t>Peterskirchen</t>
  </si>
  <si>
    <t>Pfarrkirchen</t>
  </si>
  <si>
    <t>Postmünster</t>
  </si>
  <si>
    <t>Reicheneibach</t>
  </si>
  <si>
    <t>Rogglfing</t>
  </si>
  <si>
    <t>Ruppertskirchen</t>
  </si>
  <si>
    <t>Sattlern</t>
  </si>
  <si>
    <t>Schalldorf</t>
  </si>
  <si>
    <t>Schmiedorf</t>
  </si>
  <si>
    <t>Taufkirchen</t>
  </si>
  <si>
    <t>Thanndorf</t>
  </si>
  <si>
    <t>Triftern</t>
  </si>
  <si>
    <t>Unterdietfurt</t>
  </si>
  <si>
    <t>Untergrafendorf</t>
  </si>
  <si>
    <t>Untergrasensee</t>
  </si>
  <si>
    <t>Unterhausbach</t>
  </si>
  <si>
    <t>Unterhöft</t>
  </si>
  <si>
    <t>Unterzeitlarn</t>
  </si>
  <si>
    <t>Waldhof</t>
  </si>
  <si>
    <t>Wurmannsquick</t>
  </si>
  <si>
    <t>Bad Birnbach</t>
  </si>
  <si>
    <t>Dirnaich</t>
  </si>
  <si>
    <t>Hölsbrunn</t>
  </si>
  <si>
    <t>Untertattenbach</t>
  </si>
  <si>
    <t>Angerbach</t>
  </si>
  <si>
    <t>Schöfthal</t>
  </si>
  <si>
    <t>Bayerbach</t>
  </si>
  <si>
    <t>Kindlbach</t>
  </si>
  <si>
    <t>Walburgskirchen</t>
  </si>
  <si>
    <t>Tann</t>
  </si>
  <si>
    <t>Obertürken</t>
  </si>
  <si>
    <t>Schildthurn</t>
  </si>
  <si>
    <t>Gumpersdorf</t>
  </si>
  <si>
    <t>Randling</t>
  </si>
  <si>
    <t>Reut</t>
  </si>
  <si>
    <t>Taubenbach</t>
  </si>
  <si>
    <t>Wittibreut</t>
  </si>
  <si>
    <t>Ulbering</t>
  </si>
  <si>
    <t>Stubenberg</t>
  </si>
  <si>
    <t>Münchham</t>
  </si>
  <si>
    <t>Ering</t>
  </si>
  <si>
    <t>Eggstetten</t>
  </si>
  <si>
    <t>Kirchberg a.Inn</t>
  </si>
  <si>
    <t>Simbach a.Inn</t>
  </si>
  <si>
    <t>Julbach</t>
  </si>
  <si>
    <t>Kirchdorf a.Inn</t>
  </si>
  <si>
    <t>Thanham</t>
  </si>
  <si>
    <t>Kößlarn</t>
  </si>
  <si>
    <t>Hubreith</t>
  </si>
  <si>
    <t>Weihmörting</t>
  </si>
  <si>
    <t>Pattenham</t>
  </si>
  <si>
    <t>Rotthalmünster</t>
  </si>
  <si>
    <t>Malching</t>
  </si>
  <si>
    <t>Kühnham</t>
  </si>
  <si>
    <t>Pocking</t>
  </si>
  <si>
    <t>Indling</t>
  </si>
  <si>
    <t>Kirchham</t>
  </si>
  <si>
    <t>Safferstetten</t>
  </si>
  <si>
    <t>Würding</t>
  </si>
  <si>
    <t>Aigen a.Inn</t>
  </si>
  <si>
    <t>Egglfing a.Inn</t>
  </si>
  <si>
    <t>Niedereulenbach</t>
  </si>
  <si>
    <t>Pattendorf</t>
  </si>
  <si>
    <t>Oberotterbach</t>
  </si>
  <si>
    <t>Rottenburg a.d.Laaber</t>
  </si>
  <si>
    <t>Niederhatzkofen</t>
  </si>
  <si>
    <t>Niederroning</t>
  </si>
  <si>
    <t>Hebramsdorf</t>
  </si>
  <si>
    <t>Neufahrn i.NB</t>
  </si>
  <si>
    <t>Rohrberg</t>
  </si>
  <si>
    <t>Oberlauterbach</t>
  </si>
  <si>
    <t>Niederhornbach</t>
  </si>
  <si>
    <t>Rainertshausen</t>
  </si>
  <si>
    <t>Pfeffenhausen</t>
  </si>
  <si>
    <t>Stollnried</t>
  </si>
  <si>
    <t>Schmatzhausen</t>
  </si>
  <si>
    <t>Oberergoldsbach</t>
  </si>
  <si>
    <t>Andermannsdorf</t>
  </si>
  <si>
    <t>Türkenfeld</t>
  </si>
  <si>
    <t>Petersglaim</t>
  </si>
  <si>
    <t>Weihenstephan</t>
  </si>
  <si>
    <t>Wachelkofen</t>
  </si>
  <si>
    <t>Langenhettenbach</t>
  </si>
  <si>
    <t>Iffelkofen</t>
  </si>
  <si>
    <t>Siegensdorf</t>
  </si>
  <si>
    <t>Ergoldsbach</t>
  </si>
  <si>
    <t>Paindlkofen</t>
  </si>
  <si>
    <t>Bayerbach b.Ergoldsbach</t>
  </si>
  <si>
    <t>Martinshaun</t>
  </si>
  <si>
    <t>Martinszell</t>
  </si>
  <si>
    <t>Obersüßbach</t>
  </si>
  <si>
    <t>Obermünchen</t>
  </si>
  <si>
    <t>Neuhausen b.Landshut</t>
  </si>
  <si>
    <t>Weihmichl</t>
  </si>
  <si>
    <t>Schatzhofen</t>
  </si>
  <si>
    <t>Furth</t>
  </si>
  <si>
    <t>Arth</t>
  </si>
  <si>
    <t>Oberglaim</t>
  </si>
  <si>
    <t>Ergolding</t>
  </si>
  <si>
    <t>Mirskofen</t>
  </si>
  <si>
    <t>Oberwattenbach</t>
  </si>
  <si>
    <t>Mettenbach</t>
  </si>
  <si>
    <t>Essenbach</t>
  </si>
  <si>
    <t>Ohu</t>
  </si>
  <si>
    <t>Moosthann</t>
  </si>
  <si>
    <t>Postau</t>
  </si>
  <si>
    <t>Grießenbach</t>
  </si>
  <si>
    <t>Oberköllnbach</t>
  </si>
  <si>
    <t>Unholzing</t>
  </si>
  <si>
    <t>Veitsbuch</t>
  </si>
  <si>
    <t>Wörth a.d.Isar</t>
  </si>
  <si>
    <t>Niederaichbach</t>
  </si>
  <si>
    <t>Oberaichbach</t>
  </si>
  <si>
    <t>Widdersdorf</t>
  </si>
  <si>
    <t>Attenhausen</t>
  </si>
  <si>
    <t>Tondorf</t>
  </si>
  <si>
    <t>Gündlkofen</t>
  </si>
  <si>
    <t>Bruckbergerau</t>
  </si>
  <si>
    <t>Pfettrach</t>
  </si>
  <si>
    <t>Eugenbach</t>
  </si>
  <si>
    <t>Münchnerau</t>
  </si>
  <si>
    <t>Achdorf</t>
  </si>
  <si>
    <t>Berg ob Landshut</t>
  </si>
  <si>
    <t>Deutenkofen</t>
  </si>
  <si>
    <t>Jenkofen</t>
  </si>
  <si>
    <t>Adlkofen</t>
  </si>
  <si>
    <t>Dietelskirchen</t>
  </si>
  <si>
    <t>Kröning</t>
  </si>
  <si>
    <t>Jesendorf</t>
  </si>
  <si>
    <t>Lichtenhaag</t>
  </si>
  <si>
    <t>Gerzen</t>
  </si>
  <si>
    <t>Aham</t>
  </si>
  <si>
    <t>Loizenkirchen</t>
  </si>
  <si>
    <t>Schalkham</t>
  </si>
  <si>
    <t>Johannesbrunn</t>
  </si>
  <si>
    <t>Eching</t>
  </si>
  <si>
    <t>Kronwinkl</t>
  </si>
  <si>
    <t>Berghofen</t>
  </si>
  <si>
    <t>Haunwang</t>
  </si>
  <si>
    <t>Viecht</t>
  </si>
  <si>
    <t>Buch a.Erlbach</t>
  </si>
  <si>
    <t>Garnzell</t>
  </si>
  <si>
    <t>Niederkam</t>
  </si>
  <si>
    <t>Götzdorf</t>
  </si>
  <si>
    <t>Hohenegglkofen</t>
  </si>
  <si>
    <t>Obergangkofen</t>
  </si>
  <si>
    <t>Windten</t>
  </si>
  <si>
    <t>Vilsheim</t>
  </si>
  <si>
    <t>Gundihausen</t>
  </si>
  <si>
    <t>Altfraunhofen</t>
  </si>
  <si>
    <t>Baierbach</t>
  </si>
  <si>
    <t>Salksdorf</t>
  </si>
  <si>
    <t>Diemannskirchen</t>
  </si>
  <si>
    <t>Geisenhausen</t>
  </si>
  <si>
    <t>Seyboldsdorf</t>
  </si>
  <si>
    <t>Vilsbiburg</t>
  </si>
  <si>
    <t>Frauensattling</t>
  </si>
  <si>
    <t>Gaindorf</t>
  </si>
  <si>
    <t>Wolferding</t>
  </si>
  <si>
    <t>Binabiburg</t>
  </si>
  <si>
    <t>Rothenwörth</t>
  </si>
  <si>
    <t>Bonbruck</t>
  </si>
  <si>
    <t>Bodenkirchen</t>
  </si>
  <si>
    <t>Haunzenbergersöll</t>
  </si>
  <si>
    <t>Neufraunhofen</t>
  </si>
  <si>
    <t>Vilslern</t>
  </si>
  <si>
    <t>Ruprechtsberg</t>
  </si>
  <si>
    <t>Eberspoint</t>
  </si>
  <si>
    <t>Babing</t>
  </si>
  <si>
    <t>Pauluszell</t>
  </si>
  <si>
    <t>Wurmsham</t>
  </si>
  <si>
    <t>Fremdingen</t>
  </si>
  <si>
    <t>Schopflohe</t>
  </si>
  <si>
    <t>Seglohe</t>
  </si>
  <si>
    <t>Hochaltingen</t>
  </si>
  <si>
    <t>Herblingen</t>
  </si>
  <si>
    <t>Dornstadt-Linkersbaindt</t>
  </si>
  <si>
    <t>Auhausen</t>
  </si>
  <si>
    <t>Dornstadt</t>
  </si>
  <si>
    <t>Lochenbach</t>
  </si>
  <si>
    <t>Belzheim</t>
  </si>
  <si>
    <t>Ehingen a.Ries</t>
  </si>
  <si>
    <t>Niederhofen</t>
  </si>
  <si>
    <t>Lehmingen</t>
  </si>
  <si>
    <t>Oettingen i.Bay.</t>
  </si>
  <si>
    <t>Nittingen</t>
  </si>
  <si>
    <t>Hainsfarth</t>
  </si>
  <si>
    <t>Steinhart</t>
  </si>
  <si>
    <t>Megesheim</t>
  </si>
  <si>
    <t>Munningen</t>
  </si>
  <si>
    <t>Schwörsheim</t>
  </si>
  <si>
    <t>Minderoffingen</t>
  </si>
  <si>
    <t>Marktoffingen</t>
  </si>
  <si>
    <t>Utzwingen</t>
  </si>
  <si>
    <t>Maihingen</t>
  </si>
  <si>
    <t>Munzingen</t>
  </si>
  <si>
    <t>Birkhausen</t>
  </si>
  <si>
    <t>Wallerstein</t>
  </si>
  <si>
    <t>Ehringen</t>
  </si>
  <si>
    <t>Dürrenzimmern</t>
  </si>
  <si>
    <t>Pfäfflingen</t>
  </si>
  <si>
    <t>Löpsingen</t>
  </si>
  <si>
    <t>Baldingen</t>
  </si>
  <si>
    <t>Nördlingen</t>
  </si>
  <si>
    <t>Nähermemmingen</t>
  </si>
  <si>
    <t>Kleinerdlingen</t>
  </si>
  <si>
    <t>Holheim</t>
  </si>
  <si>
    <t>Herkheim</t>
  </si>
  <si>
    <t>Grosselfingen</t>
  </si>
  <si>
    <t>Schmähingen</t>
  </si>
  <si>
    <t>Wechingen</t>
  </si>
  <si>
    <t>Fessenheim</t>
  </si>
  <si>
    <t>Deiningen</t>
  </si>
  <si>
    <t>Alerheim</t>
  </si>
  <si>
    <t>Rudelstetten</t>
  </si>
  <si>
    <t>Wörnitzostheim</t>
  </si>
  <si>
    <t>Bühl i.Ries</t>
  </si>
  <si>
    <t>Reimlingen</t>
  </si>
  <si>
    <t>Ederheim</t>
  </si>
  <si>
    <t>Hürnheim</t>
  </si>
  <si>
    <t>Christgarten</t>
  </si>
  <si>
    <t>Enkingen</t>
  </si>
  <si>
    <t>Balgheim</t>
  </si>
  <si>
    <t>Möttingen</t>
  </si>
  <si>
    <t>Appetshofen</t>
  </si>
  <si>
    <t>Kleinsorheim</t>
  </si>
  <si>
    <t>Niederaltheim</t>
  </si>
  <si>
    <t>Hohenaltheim</t>
  </si>
  <si>
    <t>Forheim</t>
  </si>
  <si>
    <t>Bollstadt</t>
  </si>
  <si>
    <t>Amerdingen</t>
  </si>
  <si>
    <t>Merzingen</t>
  </si>
  <si>
    <t>Mönchsdeggingen</t>
  </si>
  <si>
    <t>Ziswingen</t>
  </si>
  <si>
    <t>Untermagerbein</t>
  </si>
  <si>
    <t>Schaffhausen</t>
  </si>
  <si>
    <t>Amerbach</t>
  </si>
  <si>
    <t>Wemding</t>
  </si>
  <si>
    <t>Gosheim</t>
  </si>
  <si>
    <t>Huisheim</t>
  </si>
  <si>
    <t>Oberringingen</t>
  </si>
  <si>
    <t>Fronhofen</t>
  </si>
  <si>
    <t>Burgmagerbein</t>
  </si>
  <si>
    <t>Göllingen</t>
  </si>
  <si>
    <t>Stillnau</t>
  </si>
  <si>
    <t>Buggenhofen</t>
  </si>
  <si>
    <t>Zoltingen</t>
  </si>
  <si>
    <t>Unterringingen</t>
  </si>
  <si>
    <t>Leiheim</t>
  </si>
  <si>
    <t>Diemantstein</t>
  </si>
  <si>
    <t>Warnhofen</t>
  </si>
  <si>
    <t>Hochstein</t>
  </si>
  <si>
    <t>Bissingen</t>
  </si>
  <si>
    <t>Kesselostheim</t>
  </si>
  <si>
    <t>Oberliezheim</t>
  </si>
  <si>
    <t>Gaishardt</t>
  </si>
  <si>
    <t>Unterbissingen</t>
  </si>
  <si>
    <t>Unterliezheim</t>
  </si>
  <si>
    <t>Lutzingen</t>
  </si>
  <si>
    <t>Schwennenbach</t>
  </si>
  <si>
    <t>Oberglauheim</t>
  </si>
  <si>
    <t>Deisenhofen</t>
  </si>
  <si>
    <t>Höchstädt a.d.Donau</t>
  </si>
  <si>
    <t>Sonderheim</t>
  </si>
  <si>
    <t>Wolpertstetten</t>
  </si>
  <si>
    <t>Unterglauheim</t>
  </si>
  <si>
    <t>Blindheim</t>
  </si>
  <si>
    <t>Schwenningen</t>
  </si>
  <si>
    <t>Gremheim</t>
  </si>
  <si>
    <t>Unterfinningen</t>
  </si>
  <si>
    <t>Oberfinningen</t>
  </si>
  <si>
    <t>Mörslingen</t>
  </si>
  <si>
    <t>Zöschingen</t>
  </si>
  <si>
    <t>Staufen</t>
  </si>
  <si>
    <t>Syrgenstein</t>
  </si>
  <si>
    <t>Landshausen</t>
  </si>
  <si>
    <t>Burghagel</t>
  </si>
  <si>
    <t>Bachhagel</t>
  </si>
  <si>
    <t>Oberbechingen</t>
  </si>
  <si>
    <t>Reistingen</t>
  </si>
  <si>
    <t>Dattenhausen</t>
  </si>
  <si>
    <t>Ziertheim</t>
  </si>
  <si>
    <t>Mödingen</t>
  </si>
  <si>
    <t>Bergheim</t>
  </si>
  <si>
    <t>Wittislingen</t>
  </si>
  <si>
    <t>Schabringen</t>
  </si>
  <si>
    <t>Unterbechingen</t>
  </si>
  <si>
    <t>Haunsheim</t>
  </si>
  <si>
    <t>Untermedlingen</t>
  </si>
  <si>
    <t>Obermedlingen</t>
  </si>
  <si>
    <t>Bächingen a.d.Brenz</t>
  </si>
  <si>
    <t>Gundelfingen a.d.Donau</t>
  </si>
  <si>
    <t>Peterswörth</t>
  </si>
  <si>
    <t>Echenbrunn</t>
  </si>
  <si>
    <t>Frauenriedhausen</t>
  </si>
  <si>
    <t>Veitriedhausen</t>
  </si>
  <si>
    <t>Lauingen (Donau)</t>
  </si>
  <si>
    <t>Faimingen</t>
  </si>
  <si>
    <t>Donaualtheim</t>
  </si>
  <si>
    <t>Schretzheim</t>
  </si>
  <si>
    <t>Steinheim</t>
  </si>
  <si>
    <t>Fristingen</t>
  </si>
  <si>
    <t>Kicklingen</t>
  </si>
  <si>
    <t>Pfaffenhofen a.d.Zusam</t>
  </si>
  <si>
    <t>Unterthürheim</t>
  </si>
  <si>
    <t>Oberthürheim</t>
  </si>
  <si>
    <t>Buttenwiesen</t>
  </si>
  <si>
    <t>Wortelstetten</t>
  </si>
  <si>
    <t>Frauenstetten</t>
  </si>
  <si>
    <t>Binswangen</t>
  </si>
  <si>
    <t>Wertingen</t>
  </si>
  <si>
    <t>Gottmannshofen</t>
  </si>
  <si>
    <t>Hohenreichen</t>
  </si>
  <si>
    <t>Roggden</t>
  </si>
  <si>
    <t>Bliensbach</t>
  </si>
  <si>
    <t>Prettelshofen</t>
  </si>
  <si>
    <t>Rieblingen</t>
  </si>
  <si>
    <t>Hettlingen</t>
  </si>
  <si>
    <t>Riedsend</t>
  </si>
  <si>
    <t>Villenbach</t>
  </si>
  <si>
    <t>Zusamaltheim</t>
  </si>
  <si>
    <t>Sontheim</t>
  </si>
  <si>
    <t>Laugna</t>
  </si>
  <si>
    <t>Bocksberg</t>
  </si>
  <si>
    <t>Osterbuch</t>
  </si>
  <si>
    <t>Aislingen</t>
  </si>
  <si>
    <t>Glött</t>
  </si>
  <si>
    <t>Weisingen</t>
  </si>
  <si>
    <t>Altenbaindt</t>
  </si>
  <si>
    <t>Eppisburg</t>
  </si>
  <si>
    <t>Zwerchstraß</t>
  </si>
  <si>
    <t>Hagau</t>
  </si>
  <si>
    <t>Wolferstadt</t>
  </si>
  <si>
    <t>Otting</t>
  </si>
  <si>
    <t>Nußbühl</t>
  </si>
  <si>
    <t>Fünfstetten</t>
  </si>
  <si>
    <t>Weilheim</t>
  </si>
  <si>
    <t>Wittesheim</t>
  </si>
  <si>
    <t>Monheim</t>
  </si>
  <si>
    <t>Flotzheim</t>
  </si>
  <si>
    <t>Ried</t>
  </si>
  <si>
    <t>Warching</t>
  </si>
  <si>
    <t>Itzing</t>
  </si>
  <si>
    <t>Kölburg</t>
  </si>
  <si>
    <t>Rögling</t>
  </si>
  <si>
    <t>Tagmersheim</t>
  </si>
  <si>
    <t>Blossenau</t>
  </si>
  <si>
    <t>Natterholz</t>
  </si>
  <si>
    <t>Hochfeld</t>
  </si>
  <si>
    <t>Daiting</t>
  </si>
  <si>
    <t>Baierfeld</t>
  </si>
  <si>
    <t>Buchdorf</t>
  </si>
  <si>
    <t>Schrattenhofen</t>
  </si>
  <si>
    <t>Heroldingen</t>
  </si>
  <si>
    <t>Hoppingen</t>
  </si>
  <si>
    <t>Ronheim</t>
  </si>
  <si>
    <t>Mündling</t>
  </si>
  <si>
    <t>Großsorheim</t>
  </si>
  <si>
    <t>Harburg (Schwaben)</t>
  </si>
  <si>
    <t>Brünsee</t>
  </si>
  <si>
    <t>Mauren</t>
  </si>
  <si>
    <t>Ebermergen</t>
  </si>
  <si>
    <t>Gunzenheim</t>
  </si>
  <si>
    <t>Kaisheim</t>
  </si>
  <si>
    <t>Hafenreut</t>
  </si>
  <si>
    <t>Leitheim</t>
  </si>
  <si>
    <t>Altisheim</t>
  </si>
  <si>
    <t>Burgmannshofen</t>
  </si>
  <si>
    <t>Gansheim</t>
  </si>
  <si>
    <t>Graisbach</t>
  </si>
  <si>
    <t>Schweinspoint</t>
  </si>
  <si>
    <t>Marxheim</t>
  </si>
  <si>
    <t>Wörnitzstein</t>
  </si>
  <si>
    <t>Donauwörth</t>
  </si>
  <si>
    <t>Schäfstall</t>
  </si>
  <si>
    <t>Zirgesheim</t>
  </si>
  <si>
    <t>Riedlingen</t>
  </si>
  <si>
    <t>Nordheim</t>
  </si>
  <si>
    <t>Zusum</t>
  </si>
  <si>
    <t>Auchsesheim</t>
  </si>
  <si>
    <t>Oppertshofen</t>
  </si>
  <si>
    <t>Brachstadt</t>
  </si>
  <si>
    <t>Tapfheim</t>
  </si>
  <si>
    <t>Genderkingen</t>
  </si>
  <si>
    <t>Feldheim</t>
  </si>
  <si>
    <t>Staudheim</t>
  </si>
  <si>
    <t>Mittelstetten</t>
  </si>
  <si>
    <t>Gempfing</t>
  </si>
  <si>
    <t>Oberpeiching</t>
  </si>
  <si>
    <t>Bayerdilling</t>
  </si>
  <si>
    <t>Etting</t>
  </si>
  <si>
    <t>Wächtering</t>
  </si>
  <si>
    <t>Wallerdorf</t>
  </si>
  <si>
    <t>Pessenburgheim</t>
  </si>
  <si>
    <t>Bergendorf</t>
  </si>
  <si>
    <t>Riedheim</t>
  </si>
  <si>
    <t>Esterholz</t>
  </si>
  <si>
    <t>Asbach-Bäumenheim</t>
  </si>
  <si>
    <t>Eggelstetten</t>
  </si>
  <si>
    <t>Oberndorf a.Lech</t>
  </si>
  <si>
    <t>Mertingen</t>
  </si>
  <si>
    <t>Druisheim</t>
  </si>
  <si>
    <t>Allmannshofen</t>
  </si>
  <si>
    <t>Ortlfingen</t>
  </si>
  <si>
    <t>Ellgau</t>
  </si>
  <si>
    <t>Nordendorf</t>
  </si>
  <si>
    <t>Blankenburg</t>
  </si>
  <si>
    <t>Westendorf</t>
  </si>
  <si>
    <t>Kühlenthal</t>
  </si>
  <si>
    <t>Unterbaar</t>
  </si>
  <si>
    <t>Oberbaar</t>
  </si>
  <si>
    <t>Thierhaupten</t>
  </si>
  <si>
    <t>Heimpersdorf</t>
  </si>
  <si>
    <t>Ostendorf</t>
  </si>
  <si>
    <t>Langenreichen</t>
  </si>
  <si>
    <t>Meitingen</t>
  </si>
  <si>
    <t>Erlingen</t>
  </si>
  <si>
    <t>Herbertshofen</t>
  </si>
  <si>
    <t>Edenhauser Forst</t>
  </si>
  <si>
    <t>Markt</t>
  </si>
  <si>
    <t>Eisenbrechtshofen</t>
  </si>
  <si>
    <t>Feigenhofen</t>
  </si>
  <si>
    <t>Affaltern</t>
  </si>
  <si>
    <t>Emskeim</t>
  </si>
  <si>
    <t>Ammerfeld</t>
  </si>
  <si>
    <t>Trugenhofen</t>
  </si>
  <si>
    <t>Rennertshofen</t>
  </si>
  <si>
    <t>Hatzenhofen</t>
  </si>
  <si>
    <t>Bertoldsheim</t>
  </si>
  <si>
    <t>Stepperg</t>
  </si>
  <si>
    <t>Riedensheim</t>
  </si>
  <si>
    <t>Straß</t>
  </si>
  <si>
    <t>Burgheim</t>
  </si>
  <si>
    <t>Ortlfing</t>
  </si>
  <si>
    <t>Leidling</t>
  </si>
  <si>
    <t>Kunding</t>
  </si>
  <si>
    <t>Illdorf</t>
  </si>
  <si>
    <t>Dezenacker</t>
  </si>
  <si>
    <t>Fernmittenhausen</t>
  </si>
  <si>
    <t>Bonsal</t>
  </si>
  <si>
    <t>Hollenbach</t>
  </si>
  <si>
    <t>Ambach</t>
  </si>
  <si>
    <t>Dinkelshausen</t>
  </si>
  <si>
    <t>Ehekirchen</t>
  </si>
  <si>
    <t>Schönesberg</t>
  </si>
  <si>
    <t>Weidorf</t>
  </si>
  <si>
    <t>Walda</t>
  </si>
  <si>
    <t>Rettingen</t>
  </si>
  <si>
    <t>Thalfingen</t>
  </si>
  <si>
    <t>Oberelchingen</t>
  </si>
  <si>
    <t>Unterelchingen</t>
  </si>
  <si>
    <t>Pfuhl</t>
  </si>
  <si>
    <t>Burlafingen</t>
  </si>
  <si>
    <t>Finningen</t>
  </si>
  <si>
    <t>Reutti</t>
  </si>
  <si>
    <t>Gerlenhofen</t>
  </si>
  <si>
    <t>Hausen/NU</t>
  </si>
  <si>
    <t>Holzschwang</t>
  </si>
  <si>
    <t>Leibi</t>
  </si>
  <si>
    <t>Nersingen</t>
  </si>
  <si>
    <t>Oberfahlheim</t>
  </si>
  <si>
    <t>Unterfahlheim</t>
  </si>
  <si>
    <t>Kadeltshofen</t>
  </si>
  <si>
    <t>Raunertshofen</t>
  </si>
  <si>
    <t>Pfaffenhofen a.d.Roth</t>
  </si>
  <si>
    <t>Beuren</t>
  </si>
  <si>
    <t>Balmertshofen</t>
  </si>
  <si>
    <t>Volkertshofen</t>
  </si>
  <si>
    <t>Biberberg</t>
  </si>
  <si>
    <t>Erbishofen</t>
  </si>
  <si>
    <t>Ay a.d.Iller</t>
  </si>
  <si>
    <t>Senden</t>
  </si>
  <si>
    <t>Aufheim</t>
  </si>
  <si>
    <t>Hittistetten</t>
  </si>
  <si>
    <t>Wullenstetten</t>
  </si>
  <si>
    <t>Witzighausen</t>
  </si>
  <si>
    <t>Wallenhausen</t>
  </si>
  <si>
    <t>Hegelhofen</t>
  </si>
  <si>
    <t>Weißenhorn</t>
  </si>
  <si>
    <t>Biberachzell</t>
  </si>
  <si>
    <t>Grafertshofen</t>
  </si>
  <si>
    <t>Emershofen</t>
  </si>
  <si>
    <t>Bubenhausen</t>
  </si>
  <si>
    <t>Biberach</t>
  </si>
  <si>
    <t>Schießen</t>
  </si>
  <si>
    <t>Meßhofen</t>
  </si>
  <si>
    <t>Ingstetten</t>
  </si>
  <si>
    <t>Stoffenrieder Forst</t>
  </si>
  <si>
    <t>Unterroggenburger Wald</t>
  </si>
  <si>
    <t>Oberroggenburger Wald</t>
  </si>
  <si>
    <t>Leipheim</t>
  </si>
  <si>
    <t>Riedhausen b.Günzburg</t>
  </si>
  <si>
    <t>Reisensburg</t>
  </si>
  <si>
    <t>Denzingen</t>
  </si>
  <si>
    <t>Nornheim</t>
  </si>
  <si>
    <t>Wasserburg</t>
  </si>
  <si>
    <t>Deffingen</t>
  </si>
  <si>
    <t>Leinheim</t>
  </si>
  <si>
    <t>Offingen</t>
  </si>
  <si>
    <t>Schnuttenbach</t>
  </si>
  <si>
    <t>Gundremmingen</t>
  </si>
  <si>
    <t>Remshart</t>
  </si>
  <si>
    <t>Harthausen</t>
  </si>
  <si>
    <t>Mindelaltheim</t>
  </si>
  <si>
    <t>Dürrlauingen</t>
  </si>
  <si>
    <t>Mönstetten</t>
  </si>
  <si>
    <t>Winterbach</t>
  </si>
  <si>
    <t>Rechbergreuthen</t>
  </si>
  <si>
    <t>Konzenberg</t>
  </si>
  <si>
    <t>Hafenhofen</t>
  </si>
  <si>
    <t>Haldenwang</t>
  </si>
  <si>
    <t>Röfingen</t>
  </si>
  <si>
    <t>Roßhaupten</t>
  </si>
  <si>
    <t>Glöttweng</t>
  </si>
  <si>
    <t>Landensberg</t>
  </si>
  <si>
    <t>Echlishausen</t>
  </si>
  <si>
    <t>Silheim</t>
  </si>
  <si>
    <t>Kleinkissendorf</t>
  </si>
  <si>
    <t>Schneckenhofen</t>
  </si>
  <si>
    <t>Großkissendorf</t>
  </si>
  <si>
    <t>Ettlishofen</t>
  </si>
  <si>
    <t>Anhofen</t>
  </si>
  <si>
    <t>Bubesheim</t>
  </si>
  <si>
    <t>Großkötz</t>
  </si>
  <si>
    <t>Kleinkötz</t>
  </si>
  <si>
    <t>Großanhausen</t>
  </si>
  <si>
    <t>Burgau</t>
  </si>
  <si>
    <t>Rieden a.d.Kötz</t>
  </si>
  <si>
    <t>Hochwang</t>
  </si>
  <si>
    <t>Deubach</t>
  </si>
  <si>
    <t>Autenried</t>
  </si>
  <si>
    <t>Oxenbronn</t>
  </si>
  <si>
    <t>Ichenhausen</t>
  </si>
  <si>
    <t>Waldstetten</t>
  </si>
  <si>
    <t>Hausen/GZ</t>
  </si>
  <si>
    <t>Ellzee</t>
  </si>
  <si>
    <t>Stoffenried</t>
  </si>
  <si>
    <t>Hammerstetten</t>
  </si>
  <si>
    <t>Wettenhausen</t>
  </si>
  <si>
    <t>Kleinbeuren</t>
  </si>
  <si>
    <t>Galgenforst</t>
  </si>
  <si>
    <t>Ettenbeuren</t>
  </si>
  <si>
    <t>Ettenbeurer Wald</t>
  </si>
  <si>
    <t>Rohrer Wald</t>
  </si>
  <si>
    <t>Unterrohr</t>
  </si>
  <si>
    <t>Egenhofen</t>
  </si>
  <si>
    <t>Behlingen</t>
  </si>
  <si>
    <t>Ried b.Behlingen</t>
  </si>
  <si>
    <t>Scheppach</t>
  </si>
  <si>
    <t>Jettingen</t>
  </si>
  <si>
    <t>Freihalden</t>
  </si>
  <si>
    <t>Ried b.Jettingen</t>
  </si>
  <si>
    <t>Schönenberg</t>
  </si>
  <si>
    <t>Oberwaldbach</t>
  </si>
  <si>
    <t>Kemnat</t>
  </si>
  <si>
    <t>Burtenbach</t>
  </si>
  <si>
    <t>Wattenweiler</t>
  </si>
  <si>
    <t>Langenhaslach</t>
  </si>
  <si>
    <t>Neuburg a.d.Kammel</t>
  </si>
  <si>
    <t>Edelstetten</t>
  </si>
  <si>
    <t>Freudenegg</t>
  </si>
  <si>
    <t>Baiershofen</t>
  </si>
  <si>
    <t>Hennhofen</t>
  </si>
  <si>
    <t>Hegnenbach</t>
  </si>
  <si>
    <t>Zusamzell</t>
  </si>
  <si>
    <t>Eppishofen</t>
  </si>
  <si>
    <t>Neumünster</t>
  </si>
  <si>
    <t>Unterschöneberg</t>
  </si>
  <si>
    <t>Welden</t>
  </si>
  <si>
    <t>Emersacker</t>
  </si>
  <si>
    <t>Heretsried</t>
  </si>
  <si>
    <t>Lauterbrunn</t>
  </si>
  <si>
    <t>Bonstetten</t>
  </si>
  <si>
    <t>Adelsried</t>
  </si>
  <si>
    <t>Langweid a.Lech</t>
  </si>
  <si>
    <t>Achsheim</t>
  </si>
  <si>
    <t>Stettenhofen</t>
  </si>
  <si>
    <t>Gablingen</t>
  </si>
  <si>
    <t>Lützelburg</t>
  </si>
  <si>
    <t>Gersthofen</t>
  </si>
  <si>
    <t>Batzenhofen</t>
  </si>
  <si>
    <t>Rettenbergen</t>
  </si>
  <si>
    <t>Edenbergen</t>
  </si>
  <si>
    <t>Hirblingen</t>
  </si>
  <si>
    <t>Zusmarshausen</t>
  </si>
  <si>
    <t>Wörleschwang</t>
  </si>
  <si>
    <t>Vallried</t>
  </si>
  <si>
    <t>Gabelbachergreut</t>
  </si>
  <si>
    <t>Gabelbach</t>
  </si>
  <si>
    <t>Steinekirch</t>
  </si>
  <si>
    <t>Streitheim</t>
  </si>
  <si>
    <t>Horgau</t>
  </si>
  <si>
    <t>Horgauergreut</t>
  </si>
  <si>
    <t>Aystetten</t>
  </si>
  <si>
    <t>Neusäß</t>
  </si>
  <si>
    <t>Hammel</t>
  </si>
  <si>
    <t>Täfertingen</t>
  </si>
  <si>
    <t>Ottmarshausen</t>
  </si>
  <si>
    <t>Hainhofen</t>
  </si>
  <si>
    <t>Westheim b.Augsburg</t>
  </si>
  <si>
    <t>Schlipsheim</t>
  </si>
  <si>
    <t>Steppach b.Augsburg</t>
  </si>
  <si>
    <t>Dinkelscherben</t>
  </si>
  <si>
    <t>Grünenbaindt</t>
  </si>
  <si>
    <t>Fleinhausen</t>
  </si>
  <si>
    <t>Häder</t>
  </si>
  <si>
    <t>Ettelried</t>
  </si>
  <si>
    <t>Anried</t>
  </si>
  <si>
    <t>Oberschöneberg</t>
  </si>
  <si>
    <t>Breitenbronn</t>
  </si>
  <si>
    <t>Holzara</t>
  </si>
  <si>
    <t>Gessertshausen</t>
  </si>
  <si>
    <t>Wollishausen</t>
  </si>
  <si>
    <t>Margertshausen</t>
  </si>
  <si>
    <t>Döpshofen</t>
  </si>
  <si>
    <t>Kutzenhausen</t>
  </si>
  <si>
    <t>Agawang</t>
  </si>
  <si>
    <t>Rommelsried</t>
  </si>
  <si>
    <t>Ustersbach</t>
  </si>
  <si>
    <t>Diedorf</t>
  </si>
  <si>
    <t>Willishausen</t>
  </si>
  <si>
    <t>Anhausen</t>
  </si>
  <si>
    <t>Stadtbergen</t>
  </si>
  <si>
    <t>Deuringen</t>
  </si>
  <si>
    <t>Leitershofen</t>
  </si>
  <si>
    <t>Lechhausen</t>
  </si>
  <si>
    <t>Kriegshaber</t>
  </si>
  <si>
    <t>Pfersee</t>
  </si>
  <si>
    <t>Hochzoll</t>
  </si>
  <si>
    <t>Göggingen</t>
  </si>
  <si>
    <t>Inningen</t>
  </si>
  <si>
    <t>Meringerau</t>
  </si>
  <si>
    <t>Schmellerforst</t>
  </si>
  <si>
    <t>Fischach</t>
  </si>
  <si>
    <t>Reitenbuch</t>
  </si>
  <si>
    <t>Aretsried</t>
  </si>
  <si>
    <t>Wollmetshofen</t>
  </si>
  <si>
    <t>Willmatshofen</t>
  </si>
  <si>
    <t>Siegertshofen</t>
  </si>
  <si>
    <t>Bobingen</t>
  </si>
  <si>
    <t>Kreuzanger</t>
  </si>
  <si>
    <t>Reinhartshausen</t>
  </si>
  <si>
    <t>Straßberg</t>
  </si>
  <si>
    <t>Königsbrunn</t>
  </si>
  <si>
    <t>Langenneufnach</t>
  </si>
  <si>
    <t>Habertsweiler</t>
  </si>
  <si>
    <t>Mickhausen</t>
  </si>
  <si>
    <t>Grimoldsried</t>
  </si>
  <si>
    <t>Mittelneufnach</t>
  </si>
  <si>
    <t>Scherstetten</t>
  </si>
  <si>
    <t>Konradshofen</t>
  </si>
  <si>
    <t>Großaitingen</t>
  </si>
  <si>
    <t>Reinhartshofen</t>
  </si>
  <si>
    <t>Wehringen</t>
  </si>
  <si>
    <t>Oberottmarshausen</t>
  </si>
  <si>
    <t>Kleinaitingen</t>
  </si>
  <si>
    <t>Schwabmünchen</t>
  </si>
  <si>
    <t>Klimmach</t>
  </si>
  <si>
    <t>Schwabegg</t>
  </si>
  <si>
    <t>Untermeitingen</t>
  </si>
  <si>
    <t>Langerringen</t>
  </si>
  <si>
    <t>Gennach</t>
  </si>
  <si>
    <t>Schwabmühlhausen</t>
  </si>
  <si>
    <t>Hiltenfingen</t>
  </si>
  <si>
    <t>Maingründel</t>
  </si>
  <si>
    <t>Zahling</t>
  </si>
  <si>
    <t>Obergriesbach</t>
  </si>
  <si>
    <t>Sielenbach</t>
  </si>
  <si>
    <t>Tödtenried</t>
  </si>
  <si>
    <t>Taiting</t>
  </si>
  <si>
    <t>Laimering</t>
  </si>
  <si>
    <t>Dasing</t>
  </si>
  <si>
    <t>Wessiszell</t>
  </si>
  <si>
    <t>Heretshausen</t>
  </si>
  <si>
    <t>Adelzhausen</t>
  </si>
  <si>
    <t>Burgadelzhausen</t>
  </si>
  <si>
    <t>Eurasburg</t>
  </si>
  <si>
    <t>Eurasburger Forst</t>
  </si>
  <si>
    <t>Freienried</t>
  </si>
  <si>
    <t>Derching</t>
  </si>
  <si>
    <t>Derchinger Forst</t>
  </si>
  <si>
    <t>Stätzling</t>
  </si>
  <si>
    <t>Haberskirch</t>
  </si>
  <si>
    <t>Wulfertshausen</t>
  </si>
  <si>
    <t>Friedberg</t>
  </si>
  <si>
    <t>Wiffertshausen</t>
  </si>
  <si>
    <t>Paar</t>
  </si>
  <si>
    <t>Rederzhausen</t>
  </si>
  <si>
    <t>Rinnenthal</t>
  </si>
  <si>
    <t>Zieglbach</t>
  </si>
  <si>
    <t>Bachern</t>
  </si>
  <si>
    <t>Kissing</t>
  </si>
  <si>
    <t>Hörmannsberg</t>
  </si>
  <si>
    <t>Zillenberg</t>
  </si>
  <si>
    <t>Höglwald</t>
  </si>
  <si>
    <t>Sirchenried</t>
  </si>
  <si>
    <t>Baindlkirch</t>
  </si>
  <si>
    <t>Mering</t>
  </si>
  <si>
    <t>Baierberg</t>
  </si>
  <si>
    <t>Merching</t>
  </si>
  <si>
    <t>Brunnen</t>
  </si>
  <si>
    <t>Steinach bei Merching</t>
  </si>
  <si>
    <t>Unterbergen</t>
  </si>
  <si>
    <t>Schmiechen</t>
  </si>
  <si>
    <t>Steindorf</t>
  </si>
  <si>
    <t>Hausen b.Hofhegnenberg</t>
  </si>
  <si>
    <t>Hofhegnenberg</t>
  </si>
  <si>
    <t>Eresried</t>
  </si>
  <si>
    <t>Reicherstein</t>
  </si>
  <si>
    <t>Echsheim</t>
  </si>
  <si>
    <t>Schorn</t>
  </si>
  <si>
    <t>Wiesenbach</t>
  </si>
  <si>
    <t>Kühnhausen</t>
  </si>
  <si>
    <t>Pöttmes</t>
  </si>
  <si>
    <t>Grimolzhausen</t>
  </si>
  <si>
    <t>Immendorf</t>
  </si>
  <si>
    <t>Osterzhausen</t>
  </si>
  <si>
    <t>Handzell</t>
  </si>
  <si>
    <t>Schnellmannskreuth</t>
  </si>
  <si>
    <t>Pichl</t>
  </si>
  <si>
    <t>Willprechtszell</t>
  </si>
  <si>
    <t>Todtenweis</t>
  </si>
  <si>
    <t>Aindling</t>
  </si>
  <si>
    <t>Binnenbach</t>
  </si>
  <si>
    <t>Alsmoos</t>
  </si>
  <si>
    <t>Petersdorf</t>
  </si>
  <si>
    <t>Rehling</t>
  </si>
  <si>
    <t>Stotzard</t>
  </si>
  <si>
    <t>Gaulzhofen</t>
  </si>
  <si>
    <t>Oberbachern</t>
  </si>
  <si>
    <t>Sainbach</t>
  </si>
  <si>
    <t>Inchenhofen</t>
  </si>
  <si>
    <t>Mainbach</t>
  </si>
  <si>
    <t>Motzenhofen</t>
  </si>
  <si>
    <t>Igenhausen</t>
  </si>
  <si>
    <t>Unterbernbach</t>
  </si>
  <si>
    <t>Stockensau</t>
  </si>
  <si>
    <t>Haslangkreit</t>
  </si>
  <si>
    <t>Kühbach</t>
  </si>
  <si>
    <t>Oberschönbach</t>
  </si>
  <si>
    <t>Rapperzell</t>
  </si>
  <si>
    <t>Schiltberg</t>
  </si>
  <si>
    <t>Ruppertszell</t>
  </si>
  <si>
    <t>Allenberg</t>
  </si>
  <si>
    <t>Anwalting</t>
  </si>
  <si>
    <t>Gebenhofen</t>
  </si>
  <si>
    <t>Affing</t>
  </si>
  <si>
    <t>Haunswies</t>
  </si>
  <si>
    <t>Aulzhausen</t>
  </si>
  <si>
    <t>Walchshofen</t>
  </si>
  <si>
    <t>Oberbernbach</t>
  </si>
  <si>
    <t>Unterwittelsbach</t>
  </si>
  <si>
    <t>Oberwittelsbach</t>
  </si>
  <si>
    <t>Oberschneitbach</t>
  </si>
  <si>
    <t>Algertshausen</t>
  </si>
  <si>
    <t>Aichach</t>
  </si>
  <si>
    <t>Edenried</t>
  </si>
  <si>
    <t>Griesbeckerzell</t>
  </si>
  <si>
    <t>Unterschneitbach</t>
  </si>
  <si>
    <t>Ecknach</t>
  </si>
  <si>
    <t>Gallenbach</t>
  </si>
  <si>
    <t>Obermauerbach</t>
  </si>
  <si>
    <t>Illerzell</t>
  </si>
  <si>
    <t>Vöhringen</t>
  </si>
  <si>
    <t>Thal</t>
  </si>
  <si>
    <t>Illerberg</t>
  </si>
  <si>
    <t>Bellenberg</t>
  </si>
  <si>
    <t>Auwald</t>
  </si>
  <si>
    <t>Betlinshausen</t>
  </si>
  <si>
    <t>Illertissen</t>
  </si>
  <si>
    <t>Jedesheim</t>
  </si>
  <si>
    <t>Gannertshofen</t>
  </si>
  <si>
    <t>Dietershofen b.Illertissen</t>
  </si>
  <si>
    <t>Obenhausen</t>
  </si>
  <si>
    <t>Nordholz</t>
  </si>
  <si>
    <t>Ritzisried</t>
  </si>
  <si>
    <t>Christertshofen</t>
  </si>
  <si>
    <t>Unterroth</t>
  </si>
  <si>
    <t>Oberroth</t>
  </si>
  <si>
    <t>Herrenstetten</t>
  </si>
  <si>
    <t>Untereichen</t>
  </si>
  <si>
    <t>Altenstadt</t>
  </si>
  <si>
    <t>Kellmünz a.d.Iller</t>
  </si>
  <si>
    <t>Weiler b.Osterberg</t>
  </si>
  <si>
    <t>Osterberg</t>
  </si>
  <si>
    <t>Grafenwald</t>
  </si>
  <si>
    <t>Tafertshofen</t>
  </si>
  <si>
    <t>Zaiertshofen</t>
  </si>
  <si>
    <t>Mohrenhausen</t>
  </si>
  <si>
    <t>Kettershausen</t>
  </si>
  <si>
    <t>Bebenhausen</t>
  </si>
  <si>
    <t>Olgishofen</t>
  </si>
  <si>
    <t>Herretshofen</t>
  </si>
  <si>
    <t>Kirchhaslach</t>
  </si>
  <si>
    <t>Greimeltshofen</t>
  </si>
  <si>
    <t>Winterrieden</t>
  </si>
  <si>
    <t>Klosterbeuren</t>
  </si>
  <si>
    <t>Babenhausen</t>
  </si>
  <si>
    <t>Weinried</t>
  </si>
  <si>
    <t>Oberschönegg</t>
  </si>
  <si>
    <t>Dietershofen b.Babenhausen</t>
  </si>
  <si>
    <t>Engishausen</t>
  </si>
  <si>
    <t>Inneberg</t>
  </si>
  <si>
    <t>Egg a.d.Günz</t>
  </si>
  <si>
    <t>Egger Wald</t>
  </si>
  <si>
    <t>Pleß</t>
  </si>
  <si>
    <t>Fellheim</t>
  </si>
  <si>
    <t>Boos</t>
  </si>
  <si>
    <t>Reichau</t>
  </si>
  <si>
    <t>Heimertingen</t>
  </si>
  <si>
    <t>Niederrieden</t>
  </si>
  <si>
    <t>Lauben</t>
  </si>
  <si>
    <t>Arlesried</t>
  </si>
  <si>
    <t>Erkheim</t>
  </si>
  <si>
    <t>Schlegelsberg</t>
  </si>
  <si>
    <t>Günz</t>
  </si>
  <si>
    <t>Westerheim</t>
  </si>
  <si>
    <t>Amendingen</t>
  </si>
  <si>
    <t>Eisenburg</t>
  </si>
  <si>
    <t>Buxach</t>
  </si>
  <si>
    <t>Ferthofen</t>
  </si>
  <si>
    <t>Volkratshofen</t>
  </si>
  <si>
    <t>Dickenreishausen</t>
  </si>
  <si>
    <t>Trunkelsberg</t>
  </si>
  <si>
    <t>Schwaighausen</t>
  </si>
  <si>
    <t>Holzgünz</t>
  </si>
  <si>
    <t>Memmingerberg</t>
  </si>
  <si>
    <t>Ungerhausen</t>
  </si>
  <si>
    <t>Benningen</t>
  </si>
  <si>
    <t>Lachen</t>
  </si>
  <si>
    <t>Ungerhauser Wald</t>
  </si>
  <si>
    <t>Hawangen</t>
  </si>
  <si>
    <t>Haitzen</t>
  </si>
  <si>
    <t>Ottobeuren</t>
  </si>
  <si>
    <t>Guggenberg</t>
  </si>
  <si>
    <t>Betzisried</t>
  </si>
  <si>
    <t>Ollarzried</t>
  </si>
  <si>
    <t>Böhen</t>
  </si>
  <si>
    <t>Frechenrieden</t>
  </si>
  <si>
    <t>Gottenau</t>
  </si>
  <si>
    <t>Mussenhausen</t>
  </si>
  <si>
    <t>Markt Rettenbach</t>
  </si>
  <si>
    <t>Lannenberg</t>
  </si>
  <si>
    <t>Eutenhausen</t>
  </si>
  <si>
    <t>Engetried</t>
  </si>
  <si>
    <t>Wineden</t>
  </si>
  <si>
    <t>Holzerwald</t>
  </si>
  <si>
    <t>Kardorf</t>
  </si>
  <si>
    <t>Kronburg</t>
  </si>
  <si>
    <t>Lautrach</t>
  </si>
  <si>
    <t>Maria Steinbach</t>
  </si>
  <si>
    <t>Legau</t>
  </si>
  <si>
    <t>Woringen</t>
  </si>
  <si>
    <t>Bad Grönenbach</t>
  </si>
  <si>
    <t>Dietratried</t>
  </si>
  <si>
    <t>Niederdorf</t>
  </si>
  <si>
    <t>Wolfertschwenden</t>
  </si>
  <si>
    <t>Filzingen</t>
  </si>
  <si>
    <t>Muthmannshofen</t>
  </si>
  <si>
    <t>Hohentanner Wald</t>
  </si>
  <si>
    <t>Kimratshofen</t>
  </si>
  <si>
    <t>Altusried</t>
  </si>
  <si>
    <t>Krugzell</t>
  </si>
  <si>
    <t>Reicholzried</t>
  </si>
  <si>
    <t>Schrattenbach</t>
  </si>
  <si>
    <t>Probstried</t>
  </si>
  <si>
    <t>Dietmannsried</t>
  </si>
  <si>
    <t>Überbach</t>
  </si>
  <si>
    <t>Wildpoldsried</t>
  </si>
  <si>
    <t>Betzigau</t>
  </si>
  <si>
    <t>Kreuzthal</t>
  </si>
  <si>
    <t>Kürnacher u.Buchenberger Wald</t>
  </si>
  <si>
    <t>Buchenberg</t>
  </si>
  <si>
    <t>Wiggensbach</t>
  </si>
  <si>
    <t>Sankt Lorenz</t>
  </si>
  <si>
    <t>Sankt Mang</t>
  </si>
  <si>
    <t>Durach</t>
  </si>
  <si>
    <t>Bodelsberg</t>
  </si>
  <si>
    <t>Kempter Wald</t>
  </si>
  <si>
    <t>Weitnau</t>
  </si>
  <si>
    <t>Rechtis</t>
  </si>
  <si>
    <t>Waltrams</t>
  </si>
  <si>
    <t>Waltenhofen</t>
  </si>
  <si>
    <t>Memhölz</t>
  </si>
  <si>
    <t>Niedersonthofen</t>
  </si>
  <si>
    <t>Martinszell i.Allgäu</t>
  </si>
  <si>
    <t>Sulzberg</t>
  </si>
  <si>
    <t>Ottacker</t>
  </si>
  <si>
    <t>Petersthal</t>
  </si>
  <si>
    <t>Wertach</t>
  </si>
  <si>
    <t>Untrasried</t>
  </si>
  <si>
    <t>Hopferbach</t>
  </si>
  <si>
    <t>Ronsberg</t>
  </si>
  <si>
    <t>Willofs</t>
  </si>
  <si>
    <t>Burg</t>
  </si>
  <si>
    <t>Obergünzburg</t>
  </si>
  <si>
    <t>Günzach</t>
  </si>
  <si>
    <t>Unterwiesenbach</t>
  </si>
  <si>
    <t>Oberwiesenbach</t>
  </si>
  <si>
    <t>ObereggGZ</t>
  </si>
  <si>
    <t>Unterbleichen</t>
  </si>
  <si>
    <t>Oberbleichen</t>
  </si>
  <si>
    <t>Deisenhausen</t>
  </si>
  <si>
    <t>Breitenthal</t>
  </si>
  <si>
    <t>Nattenhausen</t>
  </si>
  <si>
    <t>Seifertshofen</t>
  </si>
  <si>
    <t>Ebershausen</t>
  </si>
  <si>
    <t>Hairenbuch</t>
  </si>
  <si>
    <t>Waltenhausen</t>
  </si>
  <si>
    <t>Weiler b.Waltenhausen</t>
  </si>
  <si>
    <t>Aletshausen</t>
  </si>
  <si>
    <t>Haupeltshofen</t>
  </si>
  <si>
    <t>Billenhausen</t>
  </si>
  <si>
    <t>Edenhausen</t>
  </si>
  <si>
    <t>Krumbach (Schwaben)</t>
  </si>
  <si>
    <t>Hürben</t>
  </si>
  <si>
    <t>Niederraunau</t>
  </si>
  <si>
    <t>Hohenraunau</t>
  </si>
  <si>
    <t>Hagenried</t>
  </si>
  <si>
    <t>Münsterhausen</t>
  </si>
  <si>
    <t>Oberrohr</t>
  </si>
  <si>
    <t>Ursberg</t>
  </si>
  <si>
    <t>Bayersried</t>
  </si>
  <si>
    <t>Premach</t>
  </si>
  <si>
    <t>Mindelzell</t>
  </si>
  <si>
    <t>Balzhausen</t>
  </si>
  <si>
    <t>Ziemetshausen</t>
  </si>
  <si>
    <t>Schönebach</t>
  </si>
  <si>
    <t>Schellenbach</t>
  </si>
  <si>
    <t>Muttershofen</t>
  </si>
  <si>
    <t>Hellersberg</t>
  </si>
  <si>
    <t>Memmenhausen</t>
  </si>
  <si>
    <t>Aichen</t>
  </si>
  <si>
    <t>Obergessertshausen</t>
  </si>
  <si>
    <t>Hasberg</t>
  </si>
  <si>
    <t>Derndorf</t>
  </si>
  <si>
    <t>Tiefenried</t>
  </si>
  <si>
    <t>Kirchheim i.Schw.</t>
  </si>
  <si>
    <t>Spöck</t>
  </si>
  <si>
    <t>Könghausen</t>
  </si>
  <si>
    <t>Eppishausen</t>
  </si>
  <si>
    <t>Mörgen</t>
  </si>
  <si>
    <t>Loppenhausen</t>
  </si>
  <si>
    <t>Bedernau</t>
  </si>
  <si>
    <t>Schöneberg</t>
  </si>
  <si>
    <t>Egelhofen</t>
  </si>
  <si>
    <t>Unterrieden</t>
  </si>
  <si>
    <t>Oberrieden</t>
  </si>
  <si>
    <t>Bronnen</t>
  </si>
  <si>
    <t>Salgen</t>
  </si>
  <si>
    <t>Immelstetten</t>
  </si>
  <si>
    <t>Oberneufnach</t>
  </si>
  <si>
    <t>Markt Wald</t>
  </si>
  <si>
    <t>Zaisertshofen</t>
  </si>
  <si>
    <t>Tussenhausen</t>
  </si>
  <si>
    <t>Mattsies</t>
  </si>
  <si>
    <t>Traunried</t>
  </si>
  <si>
    <t>Siebnach</t>
  </si>
  <si>
    <t>Ettringen</t>
  </si>
  <si>
    <t>Unterkammlach</t>
  </si>
  <si>
    <t>Oberkammlach</t>
  </si>
  <si>
    <t>Westernach</t>
  </si>
  <si>
    <t>Nassenbeuren</t>
  </si>
  <si>
    <t>Oberauerbach</t>
  </si>
  <si>
    <t>Mindelheim</t>
  </si>
  <si>
    <t>Gernstall</t>
  </si>
  <si>
    <t>Heimenegg</t>
  </si>
  <si>
    <t>Mindelau</t>
  </si>
  <si>
    <t>Unterrammingen</t>
  </si>
  <si>
    <t>Oberrammingen</t>
  </si>
  <si>
    <t>Türkheim</t>
  </si>
  <si>
    <t>Wiedergeltingen</t>
  </si>
  <si>
    <t>Erisried</t>
  </si>
  <si>
    <t>Apfeltrach</t>
  </si>
  <si>
    <t>Saulengrain</t>
  </si>
  <si>
    <t>Köngetried</t>
  </si>
  <si>
    <t>Dirlewang</t>
  </si>
  <si>
    <t>Altensteig</t>
  </si>
  <si>
    <t>Helchenried</t>
  </si>
  <si>
    <t>Unteregg</t>
  </si>
  <si>
    <t>Warmisried</t>
  </si>
  <si>
    <t>ObereggMN</t>
  </si>
  <si>
    <t>Dorschhausen</t>
  </si>
  <si>
    <t>Bad Wörishofen</t>
  </si>
  <si>
    <t>Schlingen</t>
  </si>
  <si>
    <t>Lamerdingen</t>
  </si>
  <si>
    <t>Kleinkitzighofen</t>
  </si>
  <si>
    <t>Großkitzighofen</t>
  </si>
  <si>
    <t>Dillishausen</t>
  </si>
  <si>
    <t>Buchloe</t>
  </si>
  <si>
    <t>Lindenberg</t>
  </si>
  <si>
    <t>Honsolgen</t>
  </si>
  <si>
    <t>Weicht</t>
  </si>
  <si>
    <t>Jengen</t>
  </si>
  <si>
    <t>Beckstetten</t>
  </si>
  <si>
    <t>Ummenhofen</t>
  </si>
  <si>
    <t>Eurishofen</t>
  </si>
  <si>
    <t>Waal</t>
  </si>
  <si>
    <t>Emmenhausen</t>
  </si>
  <si>
    <t>Waalhaupten</t>
  </si>
  <si>
    <t>Lauchdorf</t>
  </si>
  <si>
    <t>Baisweil</t>
  </si>
  <si>
    <t>Eggenthal</t>
  </si>
  <si>
    <t>Blöcktach</t>
  </si>
  <si>
    <t>Friesenried</t>
  </si>
  <si>
    <t>Ingenried</t>
  </si>
  <si>
    <t>Pforzen</t>
  </si>
  <si>
    <t>Irsee</t>
  </si>
  <si>
    <t>Ketterschwang</t>
  </si>
  <si>
    <t>Untergermaringen</t>
  </si>
  <si>
    <t>Obergermaringen</t>
  </si>
  <si>
    <t>Mauerstetten</t>
  </si>
  <si>
    <t>Frankenried</t>
  </si>
  <si>
    <t>Gutenberg</t>
  </si>
  <si>
    <t>Unterostendorf</t>
  </si>
  <si>
    <t>Oberostendorf</t>
  </si>
  <si>
    <t>Dösingen</t>
  </si>
  <si>
    <t>Blonhofen</t>
  </si>
  <si>
    <t>Aufkirch</t>
  </si>
  <si>
    <t>Thalhofen a.d.Gennach</t>
  </si>
  <si>
    <t>Stöttwang</t>
  </si>
  <si>
    <t>Osterzell</t>
  </si>
  <si>
    <t>Kleinkemnat</t>
  </si>
  <si>
    <t>Oberbeuren</t>
  </si>
  <si>
    <t>Hirschzell</t>
  </si>
  <si>
    <t>Huttenwang</t>
  </si>
  <si>
    <t>Aitrang</t>
  </si>
  <si>
    <t>Apfeltrang</t>
  </si>
  <si>
    <t>Ruderatshofen</t>
  </si>
  <si>
    <t>Ebenhofen</t>
  </si>
  <si>
    <t>Bernbach</t>
  </si>
  <si>
    <t>Bidingen</t>
  </si>
  <si>
    <t>Kraftisried</t>
  </si>
  <si>
    <t>Reinhardsried</t>
  </si>
  <si>
    <t>Unterthingau</t>
  </si>
  <si>
    <t>Oberthingau</t>
  </si>
  <si>
    <t>Görisried</t>
  </si>
  <si>
    <t>Marktoberdorf</t>
  </si>
  <si>
    <t>Bertoldshofen</t>
  </si>
  <si>
    <t>Geisenried</t>
  </si>
  <si>
    <t>Thalhofen a.d.Wertach</t>
  </si>
  <si>
    <t>Leuterschach</t>
  </si>
  <si>
    <t>Rieder</t>
  </si>
  <si>
    <t>Sulzschneid</t>
  </si>
  <si>
    <t>Rettenbach a.Auerberg</t>
  </si>
  <si>
    <t>Remnatsried</t>
  </si>
  <si>
    <t>Stötten a.Auerberg</t>
  </si>
  <si>
    <t>Lengenwang</t>
  </si>
  <si>
    <t>Rückholz</t>
  </si>
  <si>
    <t>Seeg</t>
  </si>
  <si>
    <t>Osterwald</t>
  </si>
  <si>
    <t>Senkelewald</t>
  </si>
  <si>
    <t>Enzenstetten</t>
  </si>
  <si>
    <t>Langegg</t>
  </si>
  <si>
    <t>Eisenberg</t>
  </si>
  <si>
    <t>Hopferau</t>
  </si>
  <si>
    <t>Lechbruck am See</t>
  </si>
  <si>
    <t>Zwieselberg</t>
  </si>
  <si>
    <t>Rieden am Forggensee</t>
  </si>
  <si>
    <t>Schneidbach</t>
  </si>
  <si>
    <t>Nesselwang</t>
  </si>
  <si>
    <t>Bergpfronten</t>
  </si>
  <si>
    <t>Steinachpfronten</t>
  </si>
  <si>
    <t>Hopfen am See</t>
  </si>
  <si>
    <t>Eschach</t>
  </si>
  <si>
    <t>Weißensee</t>
  </si>
  <si>
    <t>Füssen</t>
  </si>
  <si>
    <t>Schwangau</t>
  </si>
  <si>
    <t>Trauchgau</t>
  </si>
  <si>
    <t>Buching</t>
  </si>
  <si>
    <t>Hack</t>
  </si>
  <si>
    <t>Weinhausen</t>
  </si>
  <si>
    <t>Wenglingen</t>
  </si>
  <si>
    <t>Nonnenhorn</t>
  </si>
  <si>
    <t>Hege</t>
  </si>
  <si>
    <t>Wasserburg (Bodensee)</t>
  </si>
  <si>
    <t>Bodolz</t>
  </si>
  <si>
    <t>Unterreitnau</t>
  </si>
  <si>
    <t>Oberreitnau</t>
  </si>
  <si>
    <t>Hoyren</t>
  </si>
  <si>
    <t>Aeschach</t>
  </si>
  <si>
    <t>Reutin</t>
  </si>
  <si>
    <t>Weißensberg</t>
  </si>
  <si>
    <t>Bösenreutin</t>
  </si>
  <si>
    <t>Sigmarszell</t>
  </si>
  <si>
    <t>Niederstaufen</t>
  </si>
  <si>
    <t>Hergensweiler</t>
  </si>
  <si>
    <t>Opfenbach</t>
  </si>
  <si>
    <t>Wohmbrechts</t>
  </si>
  <si>
    <t>Maria-Thann</t>
  </si>
  <si>
    <t>Heimenkirch</t>
  </si>
  <si>
    <t>Scheidegg</t>
  </si>
  <si>
    <t>Scheffau</t>
  </si>
  <si>
    <t>Lindenberg i.Allgäu</t>
  </si>
  <si>
    <t>Röthenbach (Allgäu)</t>
  </si>
  <si>
    <t>Gestratz</t>
  </si>
  <si>
    <t>Maierhöfen</t>
  </si>
  <si>
    <t>Grünenbach</t>
  </si>
  <si>
    <t>Ebratshofen</t>
  </si>
  <si>
    <t>Harbatshofen</t>
  </si>
  <si>
    <t>Stiefenhofen</t>
  </si>
  <si>
    <t>Ellhofen</t>
  </si>
  <si>
    <t>Weiler i.Allgäu</t>
  </si>
  <si>
    <t>Simmerberg</t>
  </si>
  <si>
    <t>Oberreute</t>
  </si>
  <si>
    <t>Oberstaufen</t>
  </si>
  <si>
    <t>Aach i.Allgäu</t>
  </si>
  <si>
    <t>Thalkirchdorf</t>
  </si>
  <si>
    <t>Wilhams</t>
  </si>
  <si>
    <t>Missen</t>
  </si>
  <si>
    <t>Diepolz</t>
  </si>
  <si>
    <t>Akams</t>
  </si>
  <si>
    <t>Eckarts</t>
  </si>
  <si>
    <t>Stein i.Allgäu</t>
  </si>
  <si>
    <t>Bühl a.Alpsee</t>
  </si>
  <si>
    <t>Immenstadt i.Allgäu</t>
  </si>
  <si>
    <t>Untermaiselstein</t>
  </si>
  <si>
    <t>Vorderburg</t>
  </si>
  <si>
    <t>Rettenberg</t>
  </si>
  <si>
    <t>Burgberg i.Allgäu</t>
  </si>
  <si>
    <t>Blaichach</t>
  </si>
  <si>
    <t>Gunzesried</t>
  </si>
  <si>
    <t>Sonthofen</t>
  </si>
  <si>
    <t>Altstädten</t>
  </si>
  <si>
    <t>Ofterschwang</t>
  </si>
  <si>
    <t>Bolsterlang</t>
  </si>
  <si>
    <t>Balderschwang</t>
  </si>
  <si>
    <t>Obermaiselstein</t>
  </si>
  <si>
    <t>Fischen i.Allgäu</t>
  </si>
  <si>
    <t>Schöllang</t>
  </si>
  <si>
    <t>Tiefenbach b.Oberstdorf</t>
  </si>
  <si>
    <t>Oberstdorf</t>
  </si>
  <si>
    <t>Bad Hindelang</t>
  </si>
  <si>
    <t>Unterjoch</t>
  </si>
  <si>
    <t>Rauhenzell</t>
  </si>
  <si>
    <t>Winden</t>
  </si>
  <si>
    <t>Breitenhill</t>
  </si>
  <si>
    <t>Megmannsdorf</t>
  </si>
  <si>
    <t>Schamhaupten</t>
  </si>
  <si>
    <t>Schafshill</t>
  </si>
  <si>
    <t>Hexenagger</t>
  </si>
  <si>
    <t>Sandersdorf</t>
  </si>
  <si>
    <t>Neuenhinzenhausen</t>
  </si>
  <si>
    <t>Tettenwang</t>
  </si>
  <si>
    <t>Altmannstein</t>
  </si>
  <si>
    <t>Mendorf</t>
  </si>
  <si>
    <t>Hagenhill</t>
  </si>
  <si>
    <t>Laimerstadt</t>
  </si>
  <si>
    <t>Schwabstetten</t>
  </si>
  <si>
    <t>Neuhau</t>
  </si>
  <si>
    <t>Appertshofen</t>
  </si>
  <si>
    <t>Stammham</t>
  </si>
  <si>
    <t>Westerhofen</t>
  </si>
  <si>
    <t>Wettstetten</t>
  </si>
  <si>
    <t>Hepberg</t>
  </si>
  <si>
    <t>Lenting</t>
  </si>
  <si>
    <t>Gaimersheim</t>
  </si>
  <si>
    <t>Bettbrunn</t>
  </si>
  <si>
    <t>Kasing</t>
  </si>
  <si>
    <t>Kösching</t>
  </si>
  <si>
    <t>Tettenagger</t>
  </si>
  <si>
    <t>Oberoffendorf</t>
  </si>
  <si>
    <t>Mindelstetten</t>
  </si>
  <si>
    <t>Hüttenhausen</t>
  </si>
  <si>
    <t>Imbath</t>
  </si>
  <si>
    <t>Hiendorf</t>
  </si>
  <si>
    <t>Oberdolling</t>
  </si>
  <si>
    <t>Unterdolling</t>
  </si>
  <si>
    <t>Lobsing</t>
  </si>
  <si>
    <t>Pförring</t>
  </si>
  <si>
    <t>Wackerstein</t>
  </si>
  <si>
    <t>Gaden b.Pförring</t>
  </si>
  <si>
    <t>Theißing</t>
  </si>
  <si>
    <t>Großmehring</t>
  </si>
  <si>
    <t>Oberhaunstadt</t>
  </si>
  <si>
    <t>Irgertsheim</t>
  </si>
  <si>
    <t>Dünzlau</t>
  </si>
  <si>
    <t>Gerolfing</t>
  </si>
  <si>
    <t>Mailing</t>
  </si>
  <si>
    <t>Unsernherrn</t>
  </si>
  <si>
    <t>Brunnenreuth</t>
  </si>
  <si>
    <t>Zuchering</t>
  </si>
  <si>
    <t>Westenhausen</t>
  </si>
  <si>
    <t>Oberstimm</t>
  </si>
  <si>
    <t>Niederstimm</t>
  </si>
  <si>
    <t>Manching</t>
  </si>
  <si>
    <t>Baar</t>
  </si>
  <si>
    <t>Heimberg</t>
  </si>
  <si>
    <t>Bittenbrunn</t>
  </si>
  <si>
    <t>Joshofen</t>
  </si>
  <si>
    <t>Neuburg a.d.Donau</t>
  </si>
  <si>
    <t>Heinrichsheim</t>
  </si>
  <si>
    <t>Unterstall</t>
  </si>
  <si>
    <t>Weichering</t>
  </si>
  <si>
    <t>Unterhausen</t>
  </si>
  <si>
    <t>Sinning</t>
  </si>
  <si>
    <t>Ballersdorf</t>
  </si>
  <si>
    <t>Wagenhofen</t>
  </si>
  <si>
    <t>Rohrenfels</t>
  </si>
  <si>
    <t>Unterhauser Forst</t>
  </si>
  <si>
    <t>Untermaxfeld</t>
  </si>
  <si>
    <t>Ludwigsmoos</t>
  </si>
  <si>
    <t>Grasheim</t>
  </si>
  <si>
    <t>Karlshuld</t>
  </si>
  <si>
    <t>Karlskron</t>
  </si>
  <si>
    <t>Pobenhausen</t>
  </si>
  <si>
    <t>Adelshausen</t>
  </si>
  <si>
    <t>Edelshausen</t>
  </si>
  <si>
    <t>Sandizell</t>
  </si>
  <si>
    <t>Hagenauer Forst</t>
  </si>
  <si>
    <t>Steingriff</t>
  </si>
  <si>
    <t>Schrobenhausen</t>
  </si>
  <si>
    <t>Mühlried</t>
  </si>
  <si>
    <t>Hörzhausen</t>
  </si>
  <si>
    <t>Berg im Gau</t>
  </si>
  <si>
    <t>Hohenried</t>
  </si>
  <si>
    <t>Malzhausen</t>
  </si>
  <si>
    <t>Langenmosen</t>
  </si>
  <si>
    <t>Wangen</t>
  </si>
  <si>
    <t>Waidhofen</t>
  </si>
  <si>
    <t>Diepoltshofen</t>
  </si>
  <si>
    <t>Aresing</t>
  </si>
  <si>
    <t>Unterweilenbach</t>
  </si>
  <si>
    <t>Peutenhausen</t>
  </si>
  <si>
    <t>Gachenbach</t>
  </si>
  <si>
    <t>Weilach</t>
  </si>
  <si>
    <t>Sattelberg</t>
  </si>
  <si>
    <t>Oberhartheim</t>
  </si>
  <si>
    <t>Menning</t>
  </si>
  <si>
    <t>Irsching</t>
  </si>
  <si>
    <t>Dünzing</t>
  </si>
  <si>
    <t>Vohburg a.d.Donau</t>
  </si>
  <si>
    <t>Rockolding</t>
  </si>
  <si>
    <t>Oberwöhr</t>
  </si>
  <si>
    <t>Münchsmünster</t>
  </si>
  <si>
    <t>Ernsgaden</t>
  </si>
  <si>
    <t>Geisenfeld</t>
  </si>
  <si>
    <t>Ilmendorf</t>
  </si>
  <si>
    <t>Nötting</t>
  </si>
  <si>
    <t>Feilenforst</t>
  </si>
  <si>
    <t>Geisenfeldwinden</t>
  </si>
  <si>
    <t>Parleiten</t>
  </si>
  <si>
    <t>Schillwitzried</t>
  </si>
  <si>
    <t>Engelbrechtsmünster</t>
  </si>
  <si>
    <t>Gaden b.Geisenfeld</t>
  </si>
  <si>
    <t>Unterpindhart</t>
  </si>
  <si>
    <t>Untermettenbach</t>
  </si>
  <si>
    <t>Rottenegg</t>
  </si>
  <si>
    <t>Hög</t>
  </si>
  <si>
    <t>Winden a.Aign</t>
  </si>
  <si>
    <t>Gotteshofen</t>
  </si>
  <si>
    <t>Puch</t>
  </si>
  <si>
    <t>Pörnbach</t>
  </si>
  <si>
    <t>Raitbach</t>
  </si>
  <si>
    <t>Freinhausen</t>
  </si>
  <si>
    <t>Deimhausen</t>
  </si>
  <si>
    <t>Hohenwart</t>
  </si>
  <si>
    <t>Haidforst</t>
  </si>
  <si>
    <t>Klosterberg</t>
  </si>
  <si>
    <t>Weichenried</t>
  </si>
  <si>
    <t>Seibersdorf</t>
  </si>
  <si>
    <t>Koppenbach</t>
  </si>
  <si>
    <t>Fahlenbach</t>
  </si>
  <si>
    <t>Tegernbach</t>
  </si>
  <si>
    <t>Ehrenberg</t>
  </si>
  <si>
    <t>Angkofen</t>
  </si>
  <si>
    <t>Gundamsried</t>
  </si>
  <si>
    <t>Haimpertshofen</t>
  </si>
  <si>
    <t>Niederscheyern</t>
  </si>
  <si>
    <t>Affalterbach</t>
  </si>
  <si>
    <t>Walkersbach</t>
  </si>
  <si>
    <t>Förnbach</t>
  </si>
  <si>
    <t>Eberstetten</t>
  </si>
  <si>
    <t>Euernbach</t>
  </si>
  <si>
    <t>Vieth</t>
  </si>
  <si>
    <t>Mitterscheyern</t>
  </si>
  <si>
    <t>Winden b.Scheyern</t>
  </si>
  <si>
    <t>Scheyern</t>
  </si>
  <si>
    <t>Triefing</t>
  </si>
  <si>
    <t>Strobenried</t>
  </si>
  <si>
    <t>Gerolsbach</t>
  </si>
  <si>
    <t>Singenbach</t>
  </si>
  <si>
    <t>Klenau</t>
  </si>
  <si>
    <t>Alberzell</t>
  </si>
  <si>
    <t>Niederlauterbach</t>
  </si>
  <si>
    <t>Gosseltshausen</t>
  </si>
  <si>
    <t>Eschelbach a.d.Ilm</t>
  </si>
  <si>
    <t>Wolnzach</t>
  </si>
  <si>
    <t>Haushausen</t>
  </si>
  <si>
    <t>Gebrontshausen</t>
  </si>
  <si>
    <t>Geroldshausen i.d.Hallertau</t>
  </si>
  <si>
    <t>Larsbach</t>
  </si>
  <si>
    <t>Schweitenkirchen</t>
  </si>
  <si>
    <t>Dürnzhausen</t>
  </si>
  <si>
    <t>Sünzhausen</t>
  </si>
  <si>
    <t>Aufham</t>
  </si>
  <si>
    <t>Hettenshausen</t>
  </si>
  <si>
    <t>Entrischenbrunn</t>
  </si>
  <si>
    <t>Ilmmünster</t>
  </si>
  <si>
    <t>Ilmried</t>
  </si>
  <si>
    <t>Langwaid</t>
  </si>
  <si>
    <t>Paindorf</t>
  </si>
  <si>
    <t>Reichertshausen</t>
  </si>
  <si>
    <t>Hirschenhausen</t>
  </si>
  <si>
    <t>Jetzendorf</t>
  </si>
  <si>
    <t>Enzelhausen</t>
  </si>
  <si>
    <t>Grünberg</t>
  </si>
  <si>
    <t>Grafendorf</t>
  </si>
  <si>
    <t>Osterwaal</t>
  </si>
  <si>
    <t>Rudertshausen</t>
  </si>
  <si>
    <t>Osseltshausen</t>
  </si>
  <si>
    <t>Günzenhausen</t>
  </si>
  <si>
    <t>Au i.d.Hallertau</t>
  </si>
  <si>
    <t>Hemhausen</t>
  </si>
  <si>
    <t>Hirnkirchen</t>
  </si>
  <si>
    <t>Airischwand</t>
  </si>
  <si>
    <t>Nandlstadt</t>
  </si>
  <si>
    <t>Figlsdorf</t>
  </si>
  <si>
    <t>Margarethenried</t>
  </si>
  <si>
    <t>Gammelsdorf</t>
  </si>
  <si>
    <t>Hörgertshausen</t>
  </si>
  <si>
    <t>Enghausen</t>
  </si>
  <si>
    <t>Schweinersdorf</t>
  </si>
  <si>
    <t>Hagsdorf</t>
  </si>
  <si>
    <t>Inzkofen</t>
  </si>
  <si>
    <t>Wang</t>
  </si>
  <si>
    <t>Volkmannsdorferau</t>
  </si>
  <si>
    <t>Dürnhaindlfing</t>
  </si>
  <si>
    <t>Berghaselbach</t>
  </si>
  <si>
    <t>Sillertshausen</t>
  </si>
  <si>
    <t>Attenkirchen</t>
  </si>
  <si>
    <t>Wimpasing</t>
  </si>
  <si>
    <t>Palzing</t>
  </si>
  <si>
    <t>Zolling</t>
  </si>
  <si>
    <t>Anglberg</t>
  </si>
  <si>
    <t>Plörnbach</t>
  </si>
  <si>
    <t>Haag a.d.Amper</t>
  </si>
  <si>
    <t>Niederambach</t>
  </si>
  <si>
    <t>Thonstetten</t>
  </si>
  <si>
    <t>Moosburg a.d.Isar</t>
  </si>
  <si>
    <t>Pfrombach</t>
  </si>
  <si>
    <t>Paunzhausen</t>
  </si>
  <si>
    <t>Johanneck</t>
  </si>
  <si>
    <t>Hohenkammer</t>
  </si>
  <si>
    <t>Schlipps</t>
  </si>
  <si>
    <t>Allershausen</t>
  </si>
  <si>
    <t>Aiterbach</t>
  </si>
  <si>
    <t>Tünzhausen</t>
  </si>
  <si>
    <t>Kirchdorf a.d.Amper</t>
  </si>
  <si>
    <t>Wippenhausen</t>
  </si>
  <si>
    <t>Thalhausen</t>
  </si>
  <si>
    <t>Kranzberg</t>
  </si>
  <si>
    <t>Hohenbercha</t>
  </si>
  <si>
    <t>Gremertshausen</t>
  </si>
  <si>
    <t>Oberhummel</t>
  </si>
  <si>
    <t>Marzling</t>
  </si>
  <si>
    <t>Rudlfing</t>
  </si>
  <si>
    <t>Haindlfing</t>
  </si>
  <si>
    <t>Itzling</t>
  </si>
  <si>
    <t>Tüntenhausen</t>
  </si>
  <si>
    <t>Hohenbachern</t>
  </si>
  <si>
    <t>Vötting</t>
  </si>
  <si>
    <t>Neustift</t>
  </si>
  <si>
    <t>Pulling</t>
  </si>
  <si>
    <t>Attaching</t>
  </si>
  <si>
    <t>Kammerberg</t>
  </si>
  <si>
    <t>Jarzt</t>
  </si>
  <si>
    <t>Fahrenzhausen</t>
  </si>
  <si>
    <t>Großnöbach</t>
  </si>
  <si>
    <t>Massenhausen</t>
  </si>
  <si>
    <t>Giggenhausen</t>
  </si>
  <si>
    <t>Neufahrn b.Freising</t>
  </si>
  <si>
    <t>Hallbergmoos</t>
  </si>
  <si>
    <t>Goldach</t>
  </si>
  <si>
    <t>Langenpreising</t>
  </si>
  <si>
    <t>Sulding</t>
  </si>
  <si>
    <t>Berglern</t>
  </si>
  <si>
    <t>Wartenberg</t>
  </si>
  <si>
    <t>Fraunberg</t>
  </si>
  <si>
    <t>Maria Thalheim</t>
  </si>
  <si>
    <t>Hofstarring</t>
  </si>
  <si>
    <t>Hohenpolding</t>
  </si>
  <si>
    <t>Wambach</t>
  </si>
  <si>
    <t>Eitting</t>
  </si>
  <si>
    <t>Reichenkirchen</t>
  </si>
  <si>
    <t>Inning a.Holz</t>
  </si>
  <si>
    <t>Taufkirchen (Vils)</t>
  </si>
  <si>
    <t>Hubenstein</t>
  </si>
  <si>
    <t>Moosen (Vils)</t>
  </si>
  <si>
    <t>Gebensbach</t>
  </si>
  <si>
    <t>Oberding</t>
  </si>
  <si>
    <t>Langengeisling</t>
  </si>
  <si>
    <t>Bockhorn</t>
  </si>
  <si>
    <t>Grünbach</t>
  </si>
  <si>
    <t>Grüntegernbach</t>
  </si>
  <si>
    <t>Notzing</t>
  </si>
  <si>
    <t>Altenerding</t>
  </si>
  <si>
    <t>Salmannskirchen</t>
  </si>
  <si>
    <t>Matzbach</t>
  </si>
  <si>
    <t>Zeilhofen</t>
  </si>
  <si>
    <t>Dorfen</t>
  </si>
  <si>
    <t>Hausmehring</t>
  </si>
  <si>
    <t>Wasentegernbach</t>
  </si>
  <si>
    <t>Moosinning</t>
  </si>
  <si>
    <t>Niederneuching</t>
  </si>
  <si>
    <t>Oberneuching</t>
  </si>
  <si>
    <t>Wörth</t>
  </si>
  <si>
    <t>Walpertskirchen</t>
  </si>
  <si>
    <t>Lengdorf</t>
  </si>
  <si>
    <t>Watzling</t>
  </si>
  <si>
    <t>Stollnkirchen</t>
  </si>
  <si>
    <t>Schwindkirchen</t>
  </si>
  <si>
    <t>Schiltern</t>
  </si>
  <si>
    <t>Finsing</t>
  </si>
  <si>
    <t>Pastetten</t>
  </si>
  <si>
    <t>Buch a.Buchrain</t>
  </si>
  <si>
    <t>Isen</t>
  </si>
  <si>
    <t>Westach</t>
  </si>
  <si>
    <t>Sollacher Forst</t>
  </si>
  <si>
    <t>Lappach</t>
  </si>
  <si>
    <t>Sankt Wolfgang</t>
  </si>
  <si>
    <t>Jeßling</t>
  </si>
  <si>
    <t>Gatterberg</t>
  </si>
  <si>
    <t>Forstern</t>
  </si>
  <si>
    <t>Mittbach</t>
  </si>
  <si>
    <t>Schnaupping</t>
  </si>
  <si>
    <t>Thonbach</t>
  </si>
  <si>
    <t>Pyramoos</t>
  </si>
  <si>
    <t>Oberweikertshofen</t>
  </si>
  <si>
    <t>Unterschweinbach</t>
  </si>
  <si>
    <t>Wenigmünchen</t>
  </si>
  <si>
    <t>Maisach</t>
  </si>
  <si>
    <t>Germerswang</t>
  </si>
  <si>
    <t>Rottbach</t>
  </si>
  <si>
    <t>Überacker</t>
  </si>
  <si>
    <t>Olching</t>
  </si>
  <si>
    <t>Esting</t>
  </si>
  <si>
    <t>Geiselbullach</t>
  </si>
  <si>
    <t>Gröbenzell</t>
  </si>
  <si>
    <t>Oberdorf</t>
  </si>
  <si>
    <t>Oberschweinbach</t>
  </si>
  <si>
    <t>Günzlhofen</t>
  </si>
  <si>
    <t>Althegnenberg</t>
  </si>
  <si>
    <t>Hörbach</t>
  </si>
  <si>
    <t>Hattenhofen</t>
  </si>
  <si>
    <t>Mammendorf</t>
  </si>
  <si>
    <t>Nannhofen</t>
  </si>
  <si>
    <t>Luttenwang</t>
  </si>
  <si>
    <t>Jesenwang</t>
  </si>
  <si>
    <t>Landsberied</t>
  </si>
  <si>
    <t>Emmering</t>
  </si>
  <si>
    <t>Moorenweis</t>
  </si>
  <si>
    <t>Dünzelbach</t>
  </si>
  <si>
    <t>Eismerszell</t>
  </si>
  <si>
    <t>Grunertshofen</t>
  </si>
  <si>
    <t>Purk</t>
  </si>
  <si>
    <t>Zankenhausen</t>
  </si>
  <si>
    <t>Kottgeisering</t>
  </si>
  <si>
    <t>Unteralting</t>
  </si>
  <si>
    <t>Wildenroth</t>
  </si>
  <si>
    <t>Schöngeising</t>
  </si>
  <si>
    <t>Alling</t>
  </si>
  <si>
    <t>Puchheim</t>
  </si>
  <si>
    <t>Germering</t>
  </si>
  <si>
    <t>Unterpfaffenhofen</t>
  </si>
  <si>
    <t>Vierkirchen</t>
  </si>
  <si>
    <t>Welshofen</t>
  </si>
  <si>
    <t>Westerholzhausen</t>
  </si>
  <si>
    <t>Wiedenzhausen</t>
  </si>
  <si>
    <t>Altomünster</t>
  </si>
  <si>
    <t>Hilgertshausen</t>
  </si>
  <si>
    <t>Hohenzell</t>
  </si>
  <si>
    <t>Kiemertshofen</t>
  </si>
  <si>
    <t>Kleinberghofen</t>
  </si>
  <si>
    <t>Oberzeitlbach</t>
  </si>
  <si>
    <t>Randelsried</t>
  </si>
  <si>
    <t>Stumpfenbach</t>
  </si>
  <si>
    <t>Tandern</t>
  </si>
  <si>
    <t>Wollomoos</t>
  </si>
  <si>
    <t>Höfa</t>
  </si>
  <si>
    <t>Pfaffenhofen a.d.Glonn</t>
  </si>
  <si>
    <t>Sittenbach</t>
  </si>
  <si>
    <t>Unterumbach</t>
  </si>
  <si>
    <t>Weitenried</t>
  </si>
  <si>
    <t>Etzenhausen</t>
  </si>
  <si>
    <t>Ainhofen</t>
  </si>
  <si>
    <t>Ampermoching</t>
  </si>
  <si>
    <t>Amperpettenbach</t>
  </si>
  <si>
    <t>Arnbach</t>
  </si>
  <si>
    <t>Bergkirchen</t>
  </si>
  <si>
    <t>Einsbach</t>
  </si>
  <si>
    <t>Eisenhofen</t>
  </si>
  <si>
    <t>Eisolzried</t>
  </si>
  <si>
    <t>Feldgeding</t>
  </si>
  <si>
    <t>Frauenhofen</t>
  </si>
  <si>
    <t>Giebing</t>
  </si>
  <si>
    <t>Glonn</t>
  </si>
  <si>
    <t>Großberghofen</t>
  </si>
  <si>
    <t>Großinzemoos</t>
  </si>
  <si>
    <t>Günding</t>
  </si>
  <si>
    <t>Haimhausen</t>
  </si>
  <si>
    <t>Hebertshausen</t>
  </si>
  <si>
    <t>Hirtlbach</t>
  </si>
  <si>
    <t>Karlsfeld</t>
  </si>
  <si>
    <t>Kreuzholzhausen</t>
  </si>
  <si>
    <t>Langenpettenbach</t>
  </si>
  <si>
    <t>Markt Indersdorf</t>
  </si>
  <si>
    <t>Niederroth</t>
  </si>
  <si>
    <t>Obermarbach</t>
  </si>
  <si>
    <t>Odelzhausen</t>
  </si>
  <si>
    <t>Pasenbach</t>
  </si>
  <si>
    <t>Pellheim</t>
  </si>
  <si>
    <t>Petershausen</t>
  </si>
  <si>
    <t>Pipinsried</t>
  </si>
  <si>
    <t>Prittlbach</t>
  </si>
  <si>
    <t>Puchschlagen</t>
  </si>
  <si>
    <t>Röhrmoos</t>
  </si>
  <si>
    <t>Rumeltshausen</t>
  </si>
  <si>
    <t>Schwabhausen</t>
  </si>
  <si>
    <t>Sigmertshausen</t>
  </si>
  <si>
    <t>Sulzemoos</t>
  </si>
  <si>
    <t>Taxa</t>
  </si>
  <si>
    <t>Unterweikertshofen</t>
  </si>
  <si>
    <t>Unterweilbach</t>
  </si>
  <si>
    <t>München 1</t>
  </si>
  <si>
    <t>München, S.2</t>
  </si>
  <si>
    <t>München, S.3</t>
  </si>
  <si>
    <t>München, S.4</t>
  </si>
  <si>
    <t>München, S.5</t>
  </si>
  <si>
    <t>München, S.6</t>
  </si>
  <si>
    <t>München, S.7</t>
  </si>
  <si>
    <t>München, S.8</t>
  </si>
  <si>
    <t>München, S.9</t>
  </si>
  <si>
    <t>Allach</t>
  </si>
  <si>
    <t>Aschheim</t>
  </si>
  <si>
    <t>Aubing</t>
  </si>
  <si>
    <t>Berg am Laim</t>
  </si>
  <si>
    <t>Bogenhausen</t>
  </si>
  <si>
    <t>Brunnthal</t>
  </si>
  <si>
    <t>Daglfing</t>
  </si>
  <si>
    <t>Feldmoching</t>
  </si>
  <si>
    <t>Freimann</t>
  </si>
  <si>
    <t>Forstenried</t>
  </si>
  <si>
    <t>Garching b.München</t>
  </si>
  <si>
    <t>Gräfelfing</t>
  </si>
  <si>
    <t>Grasbrunn</t>
  </si>
  <si>
    <t>Großhadern</t>
  </si>
  <si>
    <t>Grünwald</t>
  </si>
  <si>
    <t>Heimstetten</t>
  </si>
  <si>
    <t>Höhenkirchen</t>
  </si>
  <si>
    <t>Hofolding</t>
  </si>
  <si>
    <t>Hohenbrunn</t>
  </si>
  <si>
    <t>Ismaning</t>
  </si>
  <si>
    <t>Kirchheim b.München</t>
  </si>
  <si>
    <t>Laim</t>
  </si>
  <si>
    <t>Langwied</t>
  </si>
  <si>
    <t>Ludwigsfeld</t>
  </si>
  <si>
    <t>Milbertshofen</t>
  </si>
  <si>
    <t>Moosach</t>
  </si>
  <si>
    <t>Neuried</t>
  </si>
  <si>
    <t>Nymphenburg</t>
  </si>
  <si>
    <t>Oberföhring</t>
  </si>
  <si>
    <t>Oberhaching</t>
  </si>
  <si>
    <t>Obermenzing</t>
  </si>
  <si>
    <t>Oberschleißheim</t>
  </si>
  <si>
    <t>Pasing</t>
  </si>
  <si>
    <t>Peiß</t>
  </si>
  <si>
    <t>Perlach</t>
  </si>
  <si>
    <t>Planegg</t>
  </si>
  <si>
    <t>Pullach i.Isartal</t>
  </si>
  <si>
    <t>Putzbrunn</t>
  </si>
  <si>
    <t>Schwabing</t>
  </si>
  <si>
    <t>Siegertsbrunn</t>
  </si>
  <si>
    <t>Solln</t>
  </si>
  <si>
    <t>Thalkirchen</t>
  </si>
  <si>
    <t>Trudering</t>
  </si>
  <si>
    <t>Unterbiberg</t>
  </si>
  <si>
    <t>Unterföhring</t>
  </si>
  <si>
    <t>Unterhaching</t>
  </si>
  <si>
    <t>Untermenzing</t>
  </si>
  <si>
    <t>Unterschleißheim</t>
  </si>
  <si>
    <t>Helfendorf</t>
  </si>
  <si>
    <t>Oberbiberg</t>
  </si>
  <si>
    <t>Grünwalder Forst</t>
  </si>
  <si>
    <t>Forstenrieder Park</t>
  </si>
  <si>
    <t>Perlacher Forst</t>
  </si>
  <si>
    <t>Anzing</t>
  </si>
  <si>
    <t>Aßling</t>
  </si>
  <si>
    <t>Baiern</t>
  </si>
  <si>
    <t>Egmating</t>
  </si>
  <si>
    <t>Elkofen</t>
  </si>
  <si>
    <t>Forstinning</t>
  </si>
  <si>
    <t>Frauenneuharting</t>
  </si>
  <si>
    <t>Gelting</t>
  </si>
  <si>
    <t>Grafing b.München</t>
  </si>
  <si>
    <t>Hohenlinden</t>
  </si>
  <si>
    <t>Kirchseeon</t>
  </si>
  <si>
    <t>Kronau</t>
  </si>
  <si>
    <t>Loitersdorf</t>
  </si>
  <si>
    <t>Nettelkofen</t>
  </si>
  <si>
    <t>Oberpframmern</t>
  </si>
  <si>
    <t>Oexing</t>
  </si>
  <si>
    <t>Parsdorf</t>
  </si>
  <si>
    <t>Pliening</t>
  </si>
  <si>
    <t>Poing</t>
  </si>
  <si>
    <t>Pöring</t>
  </si>
  <si>
    <t>Markt Schwaben</t>
  </si>
  <si>
    <t>Steinhöring</t>
  </si>
  <si>
    <t>Straußdorf</t>
  </si>
  <si>
    <t>Zorneding</t>
  </si>
  <si>
    <t>Sankt Christoph</t>
  </si>
  <si>
    <t>Anzinger Forst</t>
  </si>
  <si>
    <t>Ebersberger Forst</t>
  </si>
  <si>
    <t>Eglhartinger Forst</t>
  </si>
  <si>
    <t>Wiesbach</t>
  </si>
  <si>
    <t>Thambach</t>
  </si>
  <si>
    <t>Egglkofen</t>
  </si>
  <si>
    <t>Elsenbach</t>
  </si>
  <si>
    <t>Harpolden</t>
  </si>
  <si>
    <t>Feichten</t>
  </si>
  <si>
    <t>Hörbering</t>
  </si>
  <si>
    <t>Neumarkt</t>
  </si>
  <si>
    <t>St. Veit</t>
  </si>
  <si>
    <t>Aspertsham</t>
  </si>
  <si>
    <t>Oberbergkirchen</t>
  </si>
  <si>
    <t>Lohkirchen</t>
  </si>
  <si>
    <t>Zangberg</t>
  </si>
  <si>
    <t>Weilkirchen</t>
  </si>
  <si>
    <t>Niederbergkirchen</t>
  </si>
  <si>
    <t>Niedertaufkirchen</t>
  </si>
  <si>
    <t>Oberhofen</t>
  </si>
  <si>
    <t>Erharting</t>
  </si>
  <si>
    <t>Felizenzell</t>
  </si>
  <si>
    <t>Walkersaich</t>
  </si>
  <si>
    <t>Ranoldsberg</t>
  </si>
  <si>
    <t>Schwindegg</t>
  </si>
  <si>
    <t>Oberornau</t>
  </si>
  <si>
    <t>Obertaufkirchen</t>
  </si>
  <si>
    <t>Stefanskirchen</t>
  </si>
  <si>
    <t>Salmanskirchen</t>
  </si>
  <si>
    <t>Gumattenkirchen</t>
  </si>
  <si>
    <t>Mettenheim</t>
  </si>
  <si>
    <t>Lochheim</t>
  </si>
  <si>
    <t>Rattenkirchen</t>
  </si>
  <si>
    <t>Heldenstein</t>
  </si>
  <si>
    <t>Ampfing</t>
  </si>
  <si>
    <t>Altmühldorf</t>
  </si>
  <si>
    <t>Mößling</t>
  </si>
  <si>
    <t>Hart</t>
  </si>
  <si>
    <t>Mühldorfer Hart</t>
  </si>
  <si>
    <t>Aschau a.Inn</t>
  </si>
  <si>
    <t>Fraham</t>
  </si>
  <si>
    <t>Waldkraiburg</t>
  </si>
  <si>
    <t>Pürten</t>
  </si>
  <si>
    <t>Flossing</t>
  </si>
  <si>
    <t>Polling</t>
  </si>
  <si>
    <t>Oberneukirchen</t>
  </si>
  <si>
    <t>Forsting</t>
  </si>
  <si>
    <t>Jettenbach</t>
  </si>
  <si>
    <t>Maximilian</t>
  </si>
  <si>
    <t>Kraiburg a.Inn</t>
  </si>
  <si>
    <t>Zeiling</t>
  </si>
  <si>
    <t>Alzgern</t>
  </si>
  <si>
    <t>Arbing</t>
  </si>
  <si>
    <t>Burgkirchen a.d.Alz</t>
  </si>
  <si>
    <t>Eggen</t>
  </si>
  <si>
    <t>Emmerting</t>
  </si>
  <si>
    <t>Endlkirchen</t>
  </si>
  <si>
    <t>Feichten a.d.Alz</t>
  </si>
  <si>
    <t>Forstkastl</t>
  </si>
  <si>
    <t>Garching a.d.Alz</t>
  </si>
  <si>
    <t>Gufflham</t>
  </si>
  <si>
    <t>Haiming</t>
  </si>
  <si>
    <t>Kirchweidach</t>
  </si>
  <si>
    <t>Marktl</t>
  </si>
  <si>
    <t>Marktlberg</t>
  </si>
  <si>
    <t>Mehring</t>
  </si>
  <si>
    <t>Neukirchen a.d.Alz</t>
  </si>
  <si>
    <t>Neuötting</t>
  </si>
  <si>
    <t>Nonnberg</t>
  </si>
  <si>
    <t>Oberburgkirchen</t>
  </si>
  <si>
    <t>Oberkastl</t>
  </si>
  <si>
    <t>Oberpleiskirchen</t>
  </si>
  <si>
    <t>Oberzeitlarn</t>
  </si>
  <si>
    <t>Perach</t>
  </si>
  <si>
    <t>Piesing</t>
  </si>
  <si>
    <t>Raitenhart</t>
  </si>
  <si>
    <t>Raitenhaslach</t>
  </si>
  <si>
    <t>Reischach</t>
  </si>
  <si>
    <t>Schützing</t>
  </si>
  <si>
    <t>Teising</t>
  </si>
  <si>
    <t>Töging a.Inn</t>
  </si>
  <si>
    <t>Tüßling</t>
  </si>
  <si>
    <t>Unterburgkirchen</t>
  </si>
  <si>
    <t>Unterkastl</t>
  </si>
  <si>
    <t>Unterneukirchen</t>
  </si>
  <si>
    <t>Unterpleiskirchen</t>
  </si>
  <si>
    <t>Wald a.d.Alz</t>
  </si>
  <si>
    <t>Wald b.Winhöring</t>
  </si>
  <si>
    <t>Winhöring</t>
  </si>
  <si>
    <t>Altöttinger Forst</t>
  </si>
  <si>
    <t>Alzgerner Forst</t>
  </si>
  <si>
    <t>Daxenthaler Forst</t>
  </si>
  <si>
    <t>Holzfelder Forst</t>
  </si>
  <si>
    <t>Mörmoosen</t>
  </si>
  <si>
    <t>Tyrlaching</t>
  </si>
  <si>
    <t>Apfeldorf</t>
  </si>
  <si>
    <t>Asch</t>
  </si>
  <si>
    <t>Beuerbach</t>
  </si>
  <si>
    <t>Beuern</t>
  </si>
  <si>
    <t>Denklingen</t>
  </si>
  <si>
    <t>Dettenhofen</t>
  </si>
  <si>
    <t>Dettenschwang</t>
  </si>
  <si>
    <t>Dienhausen</t>
  </si>
  <si>
    <t>Dießen am Ammersee</t>
  </si>
  <si>
    <t>Dornstetten</t>
  </si>
  <si>
    <t>Eching am Ammersee</t>
  </si>
  <si>
    <t>Egling a.d.Paar</t>
  </si>
  <si>
    <t>Ellighofen</t>
  </si>
  <si>
    <t>Entraching</t>
  </si>
  <si>
    <t>Epfach</t>
  </si>
  <si>
    <t>Epfenhausen</t>
  </si>
  <si>
    <t>Eresing</t>
  </si>
  <si>
    <t>Erpfting</t>
  </si>
  <si>
    <t>Geltendorf</t>
  </si>
  <si>
    <t>Geretshausen</t>
  </si>
  <si>
    <t>Greifenberg</t>
  </si>
  <si>
    <t>Hagenheim</t>
  </si>
  <si>
    <t>Hausen b.Geltendorf</t>
  </si>
  <si>
    <t>Hechenwang</t>
  </si>
  <si>
    <t>Heinrichshofen</t>
  </si>
  <si>
    <t>Holzhausen b.Buchloe</t>
  </si>
  <si>
    <t>Hurlach</t>
  </si>
  <si>
    <t>Issing</t>
  </si>
  <si>
    <t>Kaltenberg</t>
  </si>
  <si>
    <t>Kaufering</t>
  </si>
  <si>
    <t>Kinsau</t>
  </si>
  <si>
    <t>Leeder</t>
  </si>
  <si>
    <t>Ludenhausen</t>
  </si>
  <si>
    <t>Mundraching</t>
  </si>
  <si>
    <t>Oberbergen</t>
  </si>
  <si>
    <t>Oberdießen</t>
  </si>
  <si>
    <t>Oberfinning</t>
  </si>
  <si>
    <t>Oberigling</t>
  </si>
  <si>
    <t>Obermeitingen</t>
  </si>
  <si>
    <t>Obermühlhausen</t>
  </si>
  <si>
    <t>Oberschondorf</t>
  </si>
  <si>
    <t>Oberwindach</t>
  </si>
  <si>
    <t>Penzing</t>
  </si>
  <si>
    <t>Pestenacker</t>
  </si>
  <si>
    <t>Petzenhausen</t>
  </si>
  <si>
    <t>Pflugdorf</t>
  </si>
  <si>
    <t>Prittriching</t>
  </si>
  <si>
    <t>Pürgen</t>
  </si>
  <si>
    <t>Ramsach</t>
  </si>
  <si>
    <t>Reichling</t>
  </si>
  <si>
    <t>Reisch</t>
  </si>
  <si>
    <t>Rieden a.Ammersee</t>
  </si>
  <si>
    <t>Rott</t>
  </si>
  <si>
    <t>Sankt Georgen</t>
  </si>
  <si>
    <t>Scheuring</t>
  </si>
  <si>
    <t>Schöffelding</t>
  </si>
  <si>
    <t>Schwabhausen b.Landsberg</t>
  </si>
  <si>
    <t>Schwifting</t>
  </si>
  <si>
    <t>Seestall</t>
  </si>
  <si>
    <t>Stoffen</t>
  </si>
  <si>
    <t>Thaining</t>
  </si>
  <si>
    <t>Ummendorf</t>
  </si>
  <si>
    <t>Unterdießen</t>
  </si>
  <si>
    <t>Unterfinning</t>
  </si>
  <si>
    <t>Unterigling</t>
  </si>
  <si>
    <t>Untermühlhausen</t>
  </si>
  <si>
    <t>Unterschondorf</t>
  </si>
  <si>
    <t>Unterwindach</t>
  </si>
  <si>
    <t>Utting am Ammersee</t>
  </si>
  <si>
    <t>Walleshausen</t>
  </si>
  <si>
    <t>Weil</t>
  </si>
  <si>
    <t>Bayerdießen</t>
  </si>
  <si>
    <t>Kingholz</t>
  </si>
  <si>
    <t>Auerberg</t>
  </si>
  <si>
    <t>Bernbeuren</t>
  </si>
  <si>
    <t>Birkland</t>
  </si>
  <si>
    <t>Böbing</t>
  </si>
  <si>
    <t>Burggen</t>
  </si>
  <si>
    <t>Echerschwang</t>
  </si>
  <si>
    <t>Fronreiten</t>
  </si>
  <si>
    <t>Hohenfurch</t>
  </si>
  <si>
    <t>Peiting</t>
  </si>
  <si>
    <t>Prem</t>
  </si>
  <si>
    <t>Rottenbuch</t>
  </si>
  <si>
    <t>Sachsenried</t>
  </si>
  <si>
    <t>Schongau</t>
  </si>
  <si>
    <t>Schwabbruck</t>
  </si>
  <si>
    <t>Schwabniederhofen</t>
  </si>
  <si>
    <t>Schwabsoien</t>
  </si>
  <si>
    <t>Tannenberg</t>
  </si>
  <si>
    <t>Urspring</t>
  </si>
  <si>
    <t>Wildsteig</t>
  </si>
  <si>
    <t>Fronreitener Forst</t>
  </si>
  <si>
    <t>Gilching</t>
  </si>
  <si>
    <t>Argelsried</t>
  </si>
  <si>
    <t>Krailling</t>
  </si>
  <si>
    <t>Inning a.Ammersee</t>
  </si>
  <si>
    <t>Etterschlag</t>
  </si>
  <si>
    <t>Weßling</t>
  </si>
  <si>
    <t>Oberpfaffenhofen</t>
  </si>
  <si>
    <t>Frohnloh</t>
  </si>
  <si>
    <t>Buch a.Ammersee</t>
  </si>
  <si>
    <t>Steinebach a.Wörthsee</t>
  </si>
  <si>
    <t>Meiling</t>
  </si>
  <si>
    <t>Hochstadt</t>
  </si>
  <si>
    <t>Gauting</t>
  </si>
  <si>
    <t>Oberalting-Seefeld</t>
  </si>
  <si>
    <t>Breitbrunn a.Ammersee</t>
  </si>
  <si>
    <t>Hechendorf a.Pilsensee</t>
  </si>
  <si>
    <t>Drößling</t>
  </si>
  <si>
    <t>Unering</t>
  </si>
  <si>
    <t>Hadorf</t>
  </si>
  <si>
    <t>Hanfeld</t>
  </si>
  <si>
    <t>Leutstetten</t>
  </si>
  <si>
    <t>Herrsching a.Ammersee</t>
  </si>
  <si>
    <t>Widdersberg</t>
  </si>
  <si>
    <t>Frieding</t>
  </si>
  <si>
    <t>Perchting</t>
  </si>
  <si>
    <t>Söcking</t>
  </si>
  <si>
    <t>Percha</t>
  </si>
  <si>
    <t>Erling-Andechs</t>
  </si>
  <si>
    <t>Landstetten</t>
  </si>
  <si>
    <t>Maising</t>
  </si>
  <si>
    <t>Kempfenhausen</t>
  </si>
  <si>
    <t>Wadlhauser Gräben</t>
  </si>
  <si>
    <t>Aschering</t>
  </si>
  <si>
    <t>Pöcking</t>
  </si>
  <si>
    <t>Machtlfing</t>
  </si>
  <si>
    <t>Traubing</t>
  </si>
  <si>
    <t>Feldafing</t>
  </si>
  <si>
    <t>Höhenrain</t>
  </si>
  <si>
    <t>Tutzing</t>
  </si>
  <si>
    <t>Starnberger See</t>
  </si>
  <si>
    <t>Fischen a.Ammersee</t>
  </si>
  <si>
    <t>Pähl</t>
  </si>
  <si>
    <t>Raisting</t>
  </si>
  <si>
    <t>Wielenbach</t>
  </si>
  <si>
    <t>Haunshofen</t>
  </si>
  <si>
    <t>Wessobrunn</t>
  </si>
  <si>
    <t>Weilheim i.OB</t>
  </si>
  <si>
    <t>Deutenhausen</t>
  </si>
  <si>
    <t>Bernried am Starnberger See</t>
  </si>
  <si>
    <t>Magnetsried</t>
  </si>
  <si>
    <t>Seeshaupt</t>
  </si>
  <si>
    <t>Iffeldorf</t>
  </si>
  <si>
    <t>Hohenpeißenberg</t>
  </si>
  <si>
    <t>Peißenberg</t>
  </si>
  <si>
    <t>Ammerhöfe</t>
  </si>
  <si>
    <t>Oderding</t>
  </si>
  <si>
    <t>Arnried</t>
  </si>
  <si>
    <t>Eberfing</t>
  </si>
  <si>
    <t>Huglfing</t>
  </si>
  <si>
    <t>Eglfing</t>
  </si>
  <si>
    <t>Frauenrain</t>
  </si>
  <si>
    <t>Antdorf</t>
  </si>
  <si>
    <t>Obersöchering</t>
  </si>
  <si>
    <t>Habach</t>
  </si>
  <si>
    <t>Sindelsdorf</t>
  </si>
  <si>
    <t>Penzberg</t>
  </si>
  <si>
    <t>Schöffau</t>
  </si>
  <si>
    <t>Uffing a.Staffelsee</t>
  </si>
  <si>
    <t>Spatzenhausen</t>
  </si>
  <si>
    <t>Aidling</t>
  </si>
  <si>
    <t>Riegsee</t>
  </si>
  <si>
    <t>Seehausen a.Staffelsee</t>
  </si>
  <si>
    <t>Bad Bayersoien</t>
  </si>
  <si>
    <t>Saulgrub</t>
  </si>
  <si>
    <t>Bad Kohlgrub</t>
  </si>
  <si>
    <t>Murnau a.Staffelsee</t>
  </si>
  <si>
    <t>Weindorf</t>
  </si>
  <si>
    <t>Hechendorf</t>
  </si>
  <si>
    <t>Kleinweil</t>
  </si>
  <si>
    <t>Großweil</t>
  </si>
  <si>
    <t>Schwaigen</t>
  </si>
  <si>
    <t>Ohlstadt</t>
  </si>
  <si>
    <t>Eschenlohe</t>
  </si>
  <si>
    <t>Unterammergauer Forst</t>
  </si>
  <si>
    <t>Unterammergau</t>
  </si>
  <si>
    <t>Oberammergau</t>
  </si>
  <si>
    <t>Ettal</t>
  </si>
  <si>
    <t>Ettaler Forst</t>
  </si>
  <si>
    <t>Oberau</t>
  </si>
  <si>
    <t>Farchant</t>
  </si>
  <si>
    <t>Wallgau</t>
  </si>
  <si>
    <t>Krün</t>
  </si>
  <si>
    <t>Garmisch</t>
  </si>
  <si>
    <t>Partenkirchen</t>
  </si>
  <si>
    <t>Mittenwald</t>
  </si>
  <si>
    <t>Grainau</t>
  </si>
  <si>
    <t>Baierbrunn</t>
  </si>
  <si>
    <t>Schäftlarn</t>
  </si>
  <si>
    <t>Straßlach</t>
  </si>
  <si>
    <t>Dingharting</t>
  </si>
  <si>
    <t>Sauerlach</t>
  </si>
  <si>
    <t>Arget</t>
  </si>
  <si>
    <t>Icking</t>
  </si>
  <si>
    <t>Ergertshausen</t>
  </si>
  <si>
    <t>Neufahrn</t>
  </si>
  <si>
    <t>Egling</t>
  </si>
  <si>
    <t>Thanning</t>
  </si>
  <si>
    <t>Endlhausen</t>
  </si>
  <si>
    <t>Münsing</t>
  </si>
  <si>
    <t>Holzhausen a.Starnberger See</t>
  </si>
  <si>
    <t>Wolfratshausen</t>
  </si>
  <si>
    <t>Geretsried</t>
  </si>
  <si>
    <t>Wolfratshauser Forst</t>
  </si>
  <si>
    <t>Ascholding</t>
  </si>
  <si>
    <t>Föggenbeuern</t>
  </si>
  <si>
    <t>Baiernrain</t>
  </si>
  <si>
    <t>Manhartshofen</t>
  </si>
  <si>
    <t>Dietramszell</t>
  </si>
  <si>
    <t>Hechenberg</t>
  </si>
  <si>
    <t>Herrnhausen</t>
  </si>
  <si>
    <t>Beuerberg</t>
  </si>
  <si>
    <t>Königsdorf</t>
  </si>
  <si>
    <t>Schönrain</t>
  </si>
  <si>
    <t>Mürnsee</t>
  </si>
  <si>
    <t>Bad Heilbrunn</t>
  </si>
  <si>
    <t>Oberbuchen</t>
  </si>
  <si>
    <t>Unterfischbach</t>
  </si>
  <si>
    <t>Oberfischbach</t>
  </si>
  <si>
    <t>Wackersberg</t>
  </si>
  <si>
    <t>Bad Tölz</t>
  </si>
  <si>
    <t>Kirchbichl</t>
  </si>
  <si>
    <t>Sachsenkam</t>
  </si>
  <si>
    <t>Greiling</t>
  </si>
  <si>
    <t>Reichersbeuern</t>
  </si>
  <si>
    <t>Bichl</t>
  </si>
  <si>
    <t>Benediktbeuern</t>
  </si>
  <si>
    <t>Schlehdorf</t>
  </si>
  <si>
    <t>Kochel a.See</t>
  </si>
  <si>
    <t>Jachenau</t>
  </si>
  <si>
    <t>Lenggries</t>
  </si>
  <si>
    <t>Schaftlach</t>
  </si>
  <si>
    <t>Waakirchen</t>
  </si>
  <si>
    <t>Dürnbach</t>
  </si>
  <si>
    <t>Gmund a.Tegernsee</t>
  </si>
  <si>
    <t>Bad Wiessee</t>
  </si>
  <si>
    <t>Tegernsee</t>
  </si>
  <si>
    <t>Rottach-Egern</t>
  </si>
  <si>
    <t>Otterfing</t>
  </si>
  <si>
    <t>Hartpenning</t>
  </si>
  <si>
    <t>Föching</t>
  </si>
  <si>
    <t>Valley</t>
  </si>
  <si>
    <t>Holzolling</t>
  </si>
  <si>
    <t>Warngau</t>
  </si>
  <si>
    <t>Wall</t>
  </si>
  <si>
    <t>Gotzing</t>
  </si>
  <si>
    <t>Wattersdorf</t>
  </si>
  <si>
    <t>Irschenberg</t>
  </si>
  <si>
    <t>Wies</t>
  </si>
  <si>
    <t>Niklasreuth</t>
  </si>
  <si>
    <t>Hausham</t>
  </si>
  <si>
    <t>Wörnsmühl</t>
  </si>
  <si>
    <t>Hundham</t>
  </si>
  <si>
    <t>Fischbachau</t>
  </si>
  <si>
    <t>Schliersee</t>
  </si>
  <si>
    <t>Bayrischzell</t>
  </si>
  <si>
    <t>Aising</t>
  </si>
  <si>
    <t>Altenbeuern</t>
  </si>
  <si>
    <t>Au b.Bad Aibling</t>
  </si>
  <si>
    <t>Bad Aibling</t>
  </si>
  <si>
    <t>Bernau a.Chiemsee</t>
  </si>
  <si>
    <t>Beyharting</t>
  </si>
  <si>
    <t>Brannenburg</t>
  </si>
  <si>
    <t>Breitbrunn a.Chiemsee</t>
  </si>
  <si>
    <t>Bruckmühl</t>
  </si>
  <si>
    <t>Chiemsee</t>
  </si>
  <si>
    <t>Degerndorf a.Inn</t>
  </si>
  <si>
    <t>Eggstätt</t>
  </si>
  <si>
    <t>Ellmosen</t>
  </si>
  <si>
    <t>Bad Endorf</t>
  </si>
  <si>
    <t>Bad Feilnbach</t>
  </si>
  <si>
    <t>Flintsbach a.Inn</t>
  </si>
  <si>
    <t>Frasdorf</t>
  </si>
  <si>
    <t>Götting</t>
  </si>
  <si>
    <t>Grainbach</t>
  </si>
  <si>
    <t>Greimharting</t>
  </si>
  <si>
    <t>Großbrannenberg</t>
  </si>
  <si>
    <t>Großholzhausen</t>
  </si>
  <si>
    <t>Großkarolinenfeld</t>
  </si>
  <si>
    <t>Gstadt a.Chiemsee</t>
  </si>
  <si>
    <t>Halfing</t>
  </si>
  <si>
    <t>Happing</t>
  </si>
  <si>
    <t>Hemhof</t>
  </si>
  <si>
    <t>Hirnsberg</t>
  </si>
  <si>
    <t>Hittenkirchen</t>
  </si>
  <si>
    <t>Hochstätt</t>
  </si>
  <si>
    <t>Höhenmoos</t>
  </si>
  <si>
    <t>Höslwang</t>
  </si>
  <si>
    <t>Hohenaschau i.Chiemgau</t>
  </si>
  <si>
    <t>Hohenthann</t>
  </si>
  <si>
    <t>Holzham</t>
  </si>
  <si>
    <t>Kiefersfelden</t>
  </si>
  <si>
    <t>Kleinholzhausen</t>
  </si>
  <si>
    <t>Kolbermoor</t>
  </si>
  <si>
    <t>Litzldorf</t>
  </si>
  <si>
    <t>Madau</t>
  </si>
  <si>
    <t>Marienberg</t>
  </si>
  <si>
    <t>Mauerkirchen i.Chiemgau</t>
  </si>
  <si>
    <t>Neubeuern</t>
  </si>
  <si>
    <t>Neukirchen a.Simssee</t>
  </si>
  <si>
    <t>Niederaschau i.Chiemgau</t>
  </si>
  <si>
    <t>Niederaudorf</t>
  </si>
  <si>
    <t>Nußdorf a.Inn</t>
  </si>
  <si>
    <t>Oberaudorf</t>
  </si>
  <si>
    <t>Pang</t>
  </si>
  <si>
    <t>Pietzing</t>
  </si>
  <si>
    <t>Prien a.Chiemsee</t>
  </si>
  <si>
    <t>Prutting</t>
  </si>
  <si>
    <t>Raubling</t>
  </si>
  <si>
    <t>Reischenhart</t>
  </si>
  <si>
    <t>Riedering</t>
  </si>
  <si>
    <t>Rimsting</t>
  </si>
  <si>
    <t>Rohrdorf</t>
  </si>
  <si>
    <t>Roßholzen</t>
  </si>
  <si>
    <t>Rotter Forst-Süd</t>
  </si>
  <si>
    <t>Sachrang</t>
  </si>
  <si>
    <t>Söchtenau</t>
  </si>
  <si>
    <t>Söllhuben</t>
  </si>
  <si>
    <t>Stephanskirchen</t>
  </si>
  <si>
    <t>Tattenhausen</t>
  </si>
  <si>
    <t>Törwang</t>
  </si>
  <si>
    <t>Tuntenhausen</t>
  </si>
  <si>
    <t>Umrathshausen</t>
  </si>
  <si>
    <t>Vagen</t>
  </si>
  <si>
    <t>Vogtareuth</t>
  </si>
  <si>
    <t>Westerndorf St.Peter</t>
  </si>
  <si>
    <t>Wiechs</t>
  </si>
  <si>
    <t>Wildenwart</t>
  </si>
  <si>
    <t>Willing</t>
  </si>
  <si>
    <t>Lampferding</t>
  </si>
  <si>
    <t>Maitenbeth</t>
  </si>
  <si>
    <t>Großhaager Forst</t>
  </si>
  <si>
    <t>Innach</t>
  </si>
  <si>
    <t>Haag i.OB</t>
  </si>
  <si>
    <t>Allmannsau</t>
  </si>
  <si>
    <t>Fürholzen</t>
  </si>
  <si>
    <t>Reichertsheim</t>
  </si>
  <si>
    <t>Kronberg</t>
  </si>
  <si>
    <t>Dachberg</t>
  </si>
  <si>
    <t>Gars a.Inn</t>
  </si>
  <si>
    <t>Lengmoos</t>
  </si>
  <si>
    <t>Klostergars</t>
  </si>
  <si>
    <t>Mittergars</t>
  </si>
  <si>
    <t>Au a.Inn</t>
  </si>
  <si>
    <t>Rechtmehring</t>
  </si>
  <si>
    <t>Schleefeld</t>
  </si>
  <si>
    <t>Elsbeth</t>
  </si>
  <si>
    <t>Grünthal</t>
  </si>
  <si>
    <t>Pfaffing</t>
  </si>
  <si>
    <t>Albaching</t>
  </si>
  <si>
    <t>Springlbach</t>
  </si>
  <si>
    <t>Utzenbichl</t>
  </si>
  <si>
    <t>Ramerberg</t>
  </si>
  <si>
    <t>Farrach</t>
  </si>
  <si>
    <t>Wasserburg a.Inn</t>
  </si>
  <si>
    <t>Edling</t>
  </si>
  <si>
    <t>Attel</t>
  </si>
  <si>
    <t>Soyen</t>
  </si>
  <si>
    <t>Buchsee</t>
  </si>
  <si>
    <t>Babensham</t>
  </si>
  <si>
    <t>Kling</t>
  </si>
  <si>
    <t>Loibersdorf</t>
  </si>
  <si>
    <t>Titlmoos</t>
  </si>
  <si>
    <t>Bachmehring</t>
  </si>
  <si>
    <t>Freiham</t>
  </si>
  <si>
    <t>Rott a.Inn</t>
  </si>
  <si>
    <t>Rotter Forst-Nord</t>
  </si>
  <si>
    <t>Griesstätt</t>
  </si>
  <si>
    <t>Kolbing</t>
  </si>
  <si>
    <t>Schonstett</t>
  </si>
  <si>
    <t>Zillham</t>
  </si>
  <si>
    <t>Amerang</t>
  </si>
  <si>
    <t>Evenhausen</t>
  </si>
  <si>
    <t>Kirchensur</t>
  </si>
  <si>
    <t>Unterratting</t>
  </si>
  <si>
    <t>Schnaitsee</t>
  </si>
  <si>
    <t>Waldhausen</t>
  </si>
  <si>
    <t>Kirchstätt</t>
  </si>
  <si>
    <t>Maisenberg</t>
  </si>
  <si>
    <t>Eiting</t>
  </si>
  <si>
    <t>Emertsham</t>
  </si>
  <si>
    <t>Tacherting</t>
  </si>
  <si>
    <t>Albertaich</t>
  </si>
  <si>
    <t>Obing</t>
  </si>
  <si>
    <t>Kienberg</t>
  </si>
  <si>
    <t>Pittenhart</t>
  </si>
  <si>
    <t>Seeon</t>
  </si>
  <si>
    <t>Rabenden</t>
  </si>
  <si>
    <t>Altenmarkt a.d.Alz</t>
  </si>
  <si>
    <t>Oberfeldkirchen</t>
  </si>
  <si>
    <t>Trostberg</t>
  </si>
  <si>
    <t>Seebruck</t>
  </si>
  <si>
    <t>Truchtlaching</t>
  </si>
  <si>
    <t>Ising</t>
  </si>
  <si>
    <t>Chieming</t>
  </si>
  <si>
    <t>Sondermoning</t>
  </si>
  <si>
    <t>Nußdorf</t>
  </si>
  <si>
    <t>Haßmoning</t>
  </si>
  <si>
    <t>Stein a.d.Traun</t>
  </si>
  <si>
    <t>Traunreut</t>
  </si>
  <si>
    <t>Pierling</t>
  </si>
  <si>
    <t>Matzing</t>
  </si>
  <si>
    <t>Traunwalchen</t>
  </si>
  <si>
    <t>Waging a.See</t>
  </si>
  <si>
    <t>Gaden</t>
  </si>
  <si>
    <t>Nirnharting</t>
  </si>
  <si>
    <t>Tettenhausen</t>
  </si>
  <si>
    <t>Wonneberg</t>
  </si>
  <si>
    <t>Chiemsee (See)</t>
  </si>
  <si>
    <t>Übersee</t>
  </si>
  <si>
    <t>Grabenstätt</t>
  </si>
  <si>
    <t>Oberhochstätt</t>
  </si>
  <si>
    <t>Erlstätt</t>
  </si>
  <si>
    <t>Kammer</t>
  </si>
  <si>
    <t>Hochberg</t>
  </si>
  <si>
    <t>Surberg</t>
  </si>
  <si>
    <t>Rottau</t>
  </si>
  <si>
    <t>Grassau</t>
  </si>
  <si>
    <t>Marquartstein</t>
  </si>
  <si>
    <t>Staudach-Egerndach</t>
  </si>
  <si>
    <t>Bergener Forst</t>
  </si>
  <si>
    <t>Vachendorf</t>
  </si>
  <si>
    <t>Untersiegsdorf</t>
  </si>
  <si>
    <t>Obersiegsdorf</t>
  </si>
  <si>
    <t>Eisenärzt</t>
  </si>
  <si>
    <t>Vogling</t>
  </si>
  <si>
    <t>Hammer</t>
  </si>
  <si>
    <t>Schlechinger Forst</t>
  </si>
  <si>
    <t>Schleching</t>
  </si>
  <si>
    <t>Oberwössen</t>
  </si>
  <si>
    <t>Unterwössen</t>
  </si>
  <si>
    <t>Urschlauer Forst</t>
  </si>
  <si>
    <t>Ruhpolding</t>
  </si>
  <si>
    <t>Vachenau</t>
  </si>
  <si>
    <t>Seehauser Forst</t>
  </si>
  <si>
    <t>Zeller Forst</t>
  </si>
  <si>
    <t>Inzell</t>
  </si>
  <si>
    <t>Reit im Winkl</t>
  </si>
  <si>
    <t>Forst Reit im Winkl</t>
  </si>
  <si>
    <t>Palling</t>
  </si>
  <si>
    <t>Freutsmoos</t>
  </si>
  <si>
    <t>Asten</t>
  </si>
  <si>
    <t>Tittmoning</t>
  </si>
  <si>
    <t>Kay</t>
  </si>
  <si>
    <t>Törring</t>
  </si>
  <si>
    <t>Tengling</t>
  </si>
  <si>
    <t>Taching a.See</t>
  </si>
  <si>
    <t>Pietling</t>
  </si>
  <si>
    <t>Fridolfing</t>
  </si>
  <si>
    <t>Lampoding</t>
  </si>
  <si>
    <t>Kirchanschöring</t>
  </si>
  <si>
    <t>Waginger See</t>
  </si>
  <si>
    <t>Petting</t>
  </si>
  <si>
    <t>Ringham</t>
  </si>
  <si>
    <t>Schönramer Filz</t>
  </si>
  <si>
    <t>Wiedmais</t>
  </si>
  <si>
    <t>Laufen</t>
  </si>
  <si>
    <t>Leobendorf</t>
  </si>
  <si>
    <t>Triebenbach</t>
  </si>
  <si>
    <t>Rückstetten</t>
  </si>
  <si>
    <t>Holzhausen b.Teisendorf</t>
  </si>
  <si>
    <t>Weildorf</t>
  </si>
  <si>
    <t>Oberteisendorf</t>
  </si>
  <si>
    <t>Teisendorf</t>
  </si>
  <si>
    <t>Neukirchen a.Teisenberg</t>
  </si>
  <si>
    <t>Freidling</t>
  </si>
  <si>
    <t>Roßdorf</t>
  </si>
  <si>
    <t>Saaldorf</t>
  </si>
  <si>
    <t>Surheim</t>
  </si>
  <si>
    <t>Freilassing</t>
  </si>
  <si>
    <t>Ainring</t>
  </si>
  <si>
    <t>Staufenecker Forst</t>
  </si>
  <si>
    <t>Anger</t>
  </si>
  <si>
    <t>Högl</t>
  </si>
  <si>
    <t>Piding</t>
  </si>
  <si>
    <t>Karlsteiner Forst</t>
  </si>
  <si>
    <t>Weißbach a.d.Alpenstraße</t>
  </si>
  <si>
    <t>Weißbacher Forst</t>
  </si>
  <si>
    <t>Ristfeucht</t>
  </si>
  <si>
    <t>Jettenberg</t>
  </si>
  <si>
    <t>Sankt Zeno</t>
  </si>
  <si>
    <t>Marzoll</t>
  </si>
  <si>
    <t>Bad Reichenhall</t>
  </si>
  <si>
    <t>Bayerisch Gmain</t>
  </si>
  <si>
    <t>Forst Sankt Zeno</t>
  </si>
  <si>
    <t>Bischofswiesener Forst</t>
  </si>
  <si>
    <t>Bischofswiesen</t>
  </si>
  <si>
    <t>Schellenberger Forst</t>
  </si>
  <si>
    <t>Marktschellenberg</t>
  </si>
  <si>
    <t>Landschellenberg</t>
  </si>
  <si>
    <t>Ettenberg</t>
  </si>
  <si>
    <t>Maria Gern</t>
  </si>
  <si>
    <t>Salzberg</t>
  </si>
  <si>
    <t>Berchtesgaden</t>
  </si>
  <si>
    <t>Eck</t>
  </si>
  <si>
    <t>Jettenberger Forst</t>
  </si>
  <si>
    <t>Forst Taubensee</t>
  </si>
  <si>
    <t>Ramsau b.Berchtesgaden</t>
  </si>
  <si>
    <t>Königssee</t>
  </si>
  <si>
    <t>Forst Königssee</t>
  </si>
  <si>
    <t>Forst Hintersee</t>
  </si>
  <si>
    <t>Ramsauer Forst</t>
  </si>
  <si>
    <t>Forst Sankt Bartholomä</t>
  </si>
  <si>
    <t>grobfutteraufnahme_mittl_jahresbestand_n</t>
  </si>
  <si>
    <t>grobfutteraufnahme_mittl_jahresbestand_p2o5</t>
  </si>
  <si>
    <t>grobfutteraufnahme_mittl_jahresbestand_k2o</t>
  </si>
  <si>
    <t xml:space="preserve">Grobfutteraufnahme </t>
  </si>
  <si>
    <t>in kg je mittlerer</t>
  </si>
  <si>
    <t>Gülleanfall</t>
  </si>
  <si>
    <r>
      <t>in m</t>
    </r>
    <r>
      <rPr>
        <b/>
        <vertAlign val="superscript"/>
        <sz val="10"/>
        <rFont val="Arial"/>
        <family val="2"/>
      </rPr>
      <t>3</t>
    </r>
    <r>
      <rPr>
        <b/>
        <sz val="10"/>
        <rFont val="Arial"/>
        <family val="2"/>
      </rPr>
      <t xml:space="preserve"> je mittl. </t>
    </r>
  </si>
  <si>
    <r>
      <t xml:space="preserve">Jahresbest. </t>
    </r>
    <r>
      <rPr>
        <b/>
        <vertAlign val="superscript"/>
        <sz val="10"/>
        <color rgb="FF000000"/>
        <rFont val="Arial"/>
        <family val="2"/>
      </rPr>
      <t>2)</t>
    </r>
  </si>
  <si>
    <r>
      <t xml:space="preserve">(DüV </t>
    </r>
    <r>
      <rPr>
        <b/>
        <vertAlign val="superscript"/>
        <sz val="10"/>
        <color indexed="8"/>
        <rFont val="Arial"/>
        <family val="2"/>
      </rPr>
      <t>3)</t>
    </r>
    <r>
      <rPr>
        <b/>
        <sz val="10"/>
        <color rgb="FF000000"/>
        <rFont val="Arial"/>
        <family val="2"/>
      </rPr>
      <t>)</t>
    </r>
  </si>
  <si>
    <t>anfall_guelle_mittl_jahresbestand_duev</t>
  </si>
  <si>
    <t>einstreu_je_gv_mittl_jahresbestand_gering</t>
  </si>
  <si>
    <t>einstreu_je_gv_mittl_jahresbestand_mittel</t>
  </si>
  <si>
    <t>einstreu_je_gv_mittl_jahresbestand_hoch</t>
  </si>
  <si>
    <r>
      <t xml:space="preserve">je mittl. Jahresbestand </t>
    </r>
    <r>
      <rPr>
        <vertAlign val="superscript"/>
        <sz val="10"/>
        <color indexed="8"/>
        <rFont val="Arial"/>
        <family val="2"/>
      </rPr>
      <t>2)</t>
    </r>
  </si>
  <si>
    <t>einstreu_gering_duev</t>
  </si>
  <si>
    <t>einstreu_mittel_duev</t>
  </si>
  <si>
    <t>einstreu_hoch_duev</t>
  </si>
  <si>
    <t>Einstreumenge</t>
  </si>
  <si>
    <t>in kg und Tag  (DüV)</t>
  </si>
  <si>
    <r>
      <t xml:space="preserve">je mittl. Jahresbestand </t>
    </r>
    <r>
      <rPr>
        <b/>
        <vertAlign val="superscript"/>
        <sz val="10"/>
        <color indexed="8"/>
        <rFont val="Arial"/>
        <family val="2"/>
      </rPr>
      <t>2)</t>
    </r>
  </si>
  <si>
    <t>anfall_festmist_mittl_jahresbestand_gering_duev</t>
  </si>
  <si>
    <t>anfall_festmist_mittl_jahresbestand_mittel_duev</t>
  </si>
  <si>
    <t>anfall_festmist_mittl_jahresbestand_hoch_duev</t>
  </si>
  <si>
    <t>Festmistanfall</t>
  </si>
  <si>
    <r>
      <t xml:space="preserve">in t und Jahr (DüV) </t>
    </r>
    <r>
      <rPr>
        <b/>
        <vertAlign val="superscript"/>
        <sz val="10"/>
        <color indexed="8"/>
        <rFont val="Arial"/>
        <family val="2"/>
      </rPr>
      <t>5)</t>
    </r>
  </si>
  <si>
    <t>#tm_festmistanfall_gering_duev</t>
  </si>
  <si>
    <t>#tm_festmistanfall_mittel_duev</t>
  </si>
  <si>
    <t>#tm_festmistanfall_hoch_duev</t>
  </si>
  <si>
    <t>% TM</t>
  </si>
  <si>
    <t>Anfall gering</t>
  </si>
  <si>
    <t>Anfall mittel</t>
  </si>
  <si>
    <t>Anfall hoch</t>
  </si>
  <si>
    <t>anfall_jauche_mittl_jahresbestand_duev</t>
  </si>
  <si>
    <r>
      <t xml:space="preserve">Jaucheanfall </t>
    </r>
    <r>
      <rPr>
        <b/>
        <vertAlign val="superscript"/>
        <sz val="10"/>
        <color indexed="8"/>
        <rFont val="Arial"/>
        <family val="2"/>
      </rPr>
      <t>4)</t>
    </r>
  </si>
  <si>
    <r>
      <t>in m</t>
    </r>
    <r>
      <rPr>
        <b/>
        <vertAlign val="superscript"/>
        <sz val="10"/>
        <color indexed="8"/>
        <rFont val="Arial"/>
        <family val="2"/>
      </rPr>
      <t xml:space="preserve">3 </t>
    </r>
    <r>
      <rPr>
        <b/>
        <sz val="10"/>
        <color indexed="8"/>
        <rFont val="Arial"/>
        <family val="2"/>
      </rPr>
      <t xml:space="preserve">je mittl. </t>
    </r>
  </si>
  <si>
    <t xml:space="preserve">hoch (DüV) </t>
  </si>
  <si>
    <t>tm_jauche_duev</t>
  </si>
  <si>
    <t xml:space="preserve"> DüV</t>
  </si>
  <si>
    <t>tierkoerperart</t>
  </si>
  <si>
    <t>tierkoerper_gehalt_lebend_n</t>
  </si>
  <si>
    <t>tierkoerper_gehalt_lebend_p2o5</t>
  </si>
  <si>
    <t>tierkoerper_gehalt_lebend_k2o</t>
  </si>
  <si>
    <t>tierkoerper_gehalt_lebend_mgo</t>
  </si>
  <si>
    <t>schlachtgewicht_in_lebendgewicht</t>
  </si>
  <si>
    <t>Tier-</t>
  </si>
  <si>
    <t>Umrechnung</t>
  </si>
  <si>
    <t>körper</t>
  </si>
  <si>
    <t>Gewicht (%)</t>
  </si>
  <si>
    <t>art</t>
  </si>
  <si>
    <t>Schlachtg. in</t>
  </si>
  <si>
    <r>
      <t>P</t>
    </r>
    <r>
      <rPr>
        <b/>
        <vertAlign val="subscript"/>
        <sz val="10"/>
        <color theme="1"/>
        <rFont val="Arial"/>
        <family val="2"/>
      </rPr>
      <t>2</t>
    </r>
    <r>
      <rPr>
        <b/>
        <sz val="10"/>
        <color theme="1"/>
        <rFont val="Arial"/>
        <family val="2"/>
      </rPr>
      <t>O</t>
    </r>
    <r>
      <rPr>
        <b/>
        <vertAlign val="subscript"/>
        <sz val="10"/>
        <color theme="1"/>
        <rFont val="Arial"/>
        <family val="2"/>
      </rPr>
      <t>5</t>
    </r>
  </si>
  <si>
    <r>
      <t>K</t>
    </r>
    <r>
      <rPr>
        <b/>
        <vertAlign val="subscript"/>
        <sz val="10"/>
        <color theme="1"/>
        <rFont val="Arial"/>
        <family val="2"/>
      </rPr>
      <t>2</t>
    </r>
    <r>
      <rPr>
        <b/>
        <sz val="10"/>
        <color theme="1"/>
        <rFont val="Arial"/>
        <family val="2"/>
      </rPr>
      <t>O</t>
    </r>
  </si>
  <si>
    <t>Lebendg.</t>
  </si>
  <si>
    <t>tier_edvname</t>
  </si>
  <si>
    <t>tierart_1</t>
  </si>
  <si>
    <t>gv_duev</t>
  </si>
  <si>
    <t>ausscheidung_mittl_jahresbestand_n</t>
  </si>
  <si>
    <t>ausscheidung_mittl_jahresbestand_p2o5</t>
  </si>
  <si>
    <t>ausscheidung_mittl_jahresbestand_k2o</t>
  </si>
  <si>
    <t>tm_guelle_duev</t>
  </si>
  <si>
    <t>verluste_stalllager_guelle</t>
  </si>
  <si>
    <t>verluste_stalllager_festmist_jauche</t>
  </si>
  <si>
    <r>
      <t xml:space="preserve">Großvieh- einheit je mittl. Jahresbest. </t>
    </r>
    <r>
      <rPr>
        <b/>
        <vertAlign val="superscript"/>
        <sz val="10"/>
        <rFont val="Arial"/>
        <family val="2"/>
      </rPr>
      <t>2)</t>
    </r>
  </si>
  <si>
    <t>in kg (DüV) je mittlerer</t>
  </si>
  <si>
    <r>
      <t xml:space="preserve">Jahresbestand </t>
    </r>
    <r>
      <rPr>
        <b/>
        <vertAlign val="superscript"/>
        <sz val="10"/>
        <rFont val="Arial"/>
        <family val="2"/>
      </rPr>
      <t>2)</t>
    </r>
    <r>
      <rPr>
        <b/>
        <sz val="10"/>
        <rFont val="Arial"/>
        <family val="2"/>
      </rPr>
      <t xml:space="preserve"> </t>
    </r>
  </si>
  <si>
    <t>Mist, Jauche</t>
  </si>
  <si>
    <t>(DüV)</t>
  </si>
  <si>
    <t>DüV</t>
  </si>
  <si>
    <t>Fresseraufzucht (80-210 kg), Standardfutter</t>
  </si>
  <si>
    <t>Fresseraufzucht (80-210 kg), N-/P-reduziert</t>
  </si>
  <si>
    <t>Jungsaueneingliederung, Standard</t>
  </si>
  <si>
    <t>Jungsaueneingliederung, N-/P-reduziert</t>
  </si>
  <si>
    <t>Mastschweine (750 g TZ), Standard</t>
  </si>
  <si>
    <t>Mastschweine (750 g TZ), N-/P-reduziert</t>
  </si>
  <si>
    <t>Lämmer, Schafe bis ein Jahr, konventionell</t>
  </si>
  <si>
    <t>Damwild mit Nachzucht</t>
  </si>
  <si>
    <t>Rotwild mit Nachzucht</t>
  </si>
  <si>
    <t>Alpaka</t>
  </si>
  <si>
    <t>Lagerhaltung (Zu- und Abgang) bei Biogasbetrieben (freiwillig)</t>
  </si>
  <si>
    <t>Futter für Tiere und Biogas im Jahr</t>
  </si>
  <si>
    <t>Differenz</t>
  </si>
  <si>
    <t>TM in</t>
  </si>
  <si>
    <t>1000 Stück Hühnereier (à 62,5 g)</t>
  </si>
  <si>
    <t>Eimasse (g/kg)</t>
  </si>
  <si>
    <t>GPS Wintergerste</t>
  </si>
  <si>
    <t>GPS Sommergerste</t>
  </si>
  <si>
    <t>GPS-SG</t>
  </si>
  <si>
    <t>GPS Triticale</t>
  </si>
  <si>
    <t>SI</t>
  </si>
  <si>
    <t>RWG</t>
  </si>
  <si>
    <t>Zwischenfrucht mit über 75 % Leg.</t>
  </si>
  <si>
    <t>Mastbullengülle</t>
  </si>
  <si>
    <t>Mastschweinegülle, stark N-/P-red. Fütterung</t>
  </si>
  <si>
    <t>Zuchtsauengülle, Standardfutter</t>
  </si>
  <si>
    <t>Zuchtsauengülle, stark N-/P-red. Fütterung</t>
  </si>
  <si>
    <t>Schweinemist, geringe Einstreu</t>
  </si>
  <si>
    <t>Schweinemist, hohe Einstreu</t>
  </si>
  <si>
    <t>Hühnermist</t>
  </si>
  <si>
    <t>Hühnerkot</t>
  </si>
  <si>
    <t>Masthähnchenmist</t>
  </si>
  <si>
    <t>Pekingenten- und Gänsemist</t>
  </si>
  <si>
    <t>Schaf-, Lama-, Alpaka- und Ziegenmist</t>
  </si>
  <si>
    <t xml:space="preserve"> +++Rind, nur Zukauf+++</t>
  </si>
  <si>
    <t xml:space="preserve"> +++Geflügel, nur Zukauf+++</t>
  </si>
  <si>
    <t>Futter</t>
  </si>
  <si>
    <t>Erntedatum in Basisdaten</t>
  </si>
  <si>
    <t>Erntedatum aus Basiszahlen</t>
  </si>
  <si>
    <t>1=ja, 2=nein, 3=keine Ernte möglich</t>
  </si>
  <si>
    <t xml:space="preserve"> +++Getreide+++</t>
  </si>
  <si>
    <t xml:space="preserve"> +++Körnermais, sonstige Körnernutzung+++</t>
  </si>
  <si>
    <t>Hirse</t>
  </si>
  <si>
    <t xml:space="preserve"> +++Gemüse+++</t>
  </si>
  <si>
    <t>Gemüseerbsen</t>
  </si>
  <si>
    <t>Möhren, Bund-</t>
  </si>
  <si>
    <t>Möhren, Industrie-</t>
  </si>
  <si>
    <t>Möhren, Wasch-</t>
  </si>
  <si>
    <t>Zwiebel, Bund-</t>
  </si>
  <si>
    <t>Zwiebel, Trocken-</t>
  </si>
  <si>
    <t>Kartoffeleiweiß</t>
  </si>
  <si>
    <t>Wurzel</t>
  </si>
  <si>
    <t>Zwiebel mit Laub</t>
  </si>
  <si>
    <t>sonst. Pflanzen mit Körnerernte</t>
  </si>
  <si>
    <t>sonst. Ganzpflanzenernte</t>
  </si>
  <si>
    <t>NH4-Anteil nach Korrektur Abbaurate</t>
  </si>
  <si>
    <t>anteil_nh4_an_nges</t>
  </si>
  <si>
    <t>Anteil in % an</t>
  </si>
  <si>
    <r>
      <t>N</t>
    </r>
    <r>
      <rPr>
        <b/>
        <vertAlign val="subscript"/>
        <sz val="10"/>
        <rFont val="Arial"/>
        <family val="2"/>
      </rPr>
      <t>gesamt???</t>
    </r>
  </si>
  <si>
    <t>Pferde</t>
  </si>
  <si>
    <t>Anzahl Legehennen</t>
  </si>
  <si>
    <t>Erlaubte Toleranz</t>
  </si>
  <si>
    <t>Ø Eier je Tier und Jahr</t>
  </si>
  <si>
    <t>Anzahl Eier je Tier und Jahr</t>
  </si>
  <si>
    <t>min Eier</t>
  </si>
  <si>
    <t>max Eier</t>
  </si>
  <si>
    <t>Eier/Jahr in Tsd</t>
  </si>
  <si>
    <t>Menge je Tier und Jahr</t>
  </si>
  <si>
    <t>Anzahl Schafe</t>
  </si>
  <si>
    <t xml:space="preserve"> Wolle je Tier und Jahr (kg)</t>
  </si>
  <si>
    <t>Wolle/Jahr in Tsd</t>
  </si>
  <si>
    <t>min Wolle</t>
  </si>
  <si>
    <t>max Wolle</t>
  </si>
  <si>
    <t>Leistung (Fleisch)</t>
  </si>
  <si>
    <t>Eingabe</t>
  </si>
  <si>
    <t>Leistung gesamt</t>
  </si>
  <si>
    <t>Bestand in TM</t>
  </si>
  <si>
    <t>Einsatz in TM</t>
  </si>
  <si>
    <t xml:space="preserve"> kg/t Frischmasse</t>
  </si>
  <si>
    <t>TS Bestand</t>
  </si>
  <si>
    <r>
      <t xml:space="preserve">Menge </t>
    </r>
    <r>
      <rPr>
        <sz val="9"/>
        <rFont val="Arial"/>
        <family val="2"/>
      </rPr>
      <t>gesamt</t>
    </r>
    <r>
      <rPr>
        <sz val="10"/>
        <rFont val="Arial"/>
        <family val="2"/>
      </rPr>
      <t xml:space="preserve">
in t</t>
    </r>
  </si>
  <si>
    <t>Hier können eigene Notizen gemacht werden:</t>
  </si>
  <si>
    <t>Hinweis über Beleg</t>
  </si>
  <si>
    <t>Fütterung notwendig</t>
  </si>
  <si>
    <t>Beleg Fütterung</t>
  </si>
  <si>
    <t>Notwendig</t>
  </si>
  <si>
    <t xml:space="preserve"> +++Schwein, nur Zukauf+++</t>
  </si>
  <si>
    <t xml:space="preserve"> +++Weitere Einsatzstoffe+++</t>
  </si>
  <si>
    <t>sonst. Biogaseinsatzstoff</t>
  </si>
  <si>
    <t>Tierhaltung</t>
  </si>
  <si>
    <t xml:space="preserve">Berechnete Werte </t>
  </si>
  <si>
    <t>Lebendgew.</t>
  </si>
  <si>
    <t>Schlachtgew.</t>
  </si>
  <si>
    <t>Lebend/Schlachtgewicht</t>
  </si>
  <si>
    <t>kg je Einheit</t>
  </si>
  <si>
    <t>zuwachs_kg_mitt_jahresbest</t>
  </si>
  <si>
    <t>Zuwachs</t>
  </si>
  <si>
    <t>in kg</t>
  </si>
  <si>
    <t>je  mittleren</t>
  </si>
  <si>
    <t>Jahresbestand</t>
  </si>
  <si>
    <t>t N Rumpftoleranz</t>
  </si>
  <si>
    <t>verwendete Werte</t>
  </si>
  <si>
    <t xml:space="preserve">Grenzen der WDüngV werden eingehalten: </t>
  </si>
  <si>
    <t>kg N im Betrieb</t>
  </si>
  <si>
    <t>Zukauf/Verkauf</t>
  </si>
  <si>
    <t>in 1000 Stück</t>
  </si>
  <si>
    <t>Datenerfassung</t>
  </si>
  <si>
    <t>Ergebnis Lagerhaltung tabellarisch (Menge und Nährstoffe)</t>
  </si>
  <si>
    <t>Ergebnisse in Grafiken</t>
  </si>
  <si>
    <t>Ernte-monat(e)</t>
  </si>
  <si>
    <t>von</t>
  </si>
  <si>
    <t>Summe P (t)</t>
  </si>
  <si>
    <t>t P im Jahr</t>
  </si>
  <si>
    <t>t P je Monat</t>
  </si>
  <si>
    <t>Bestand 1.1.</t>
  </si>
  <si>
    <t>Monat(e)</t>
  </si>
  <si>
    <t>WW-E</t>
  </si>
  <si>
    <t>SG-BR</t>
  </si>
  <si>
    <t>DU</t>
  </si>
  <si>
    <t>AB</t>
  </si>
  <si>
    <t>LUP</t>
  </si>
  <si>
    <t>SJ</t>
  </si>
  <si>
    <t>LN</t>
  </si>
  <si>
    <t>LKS</t>
  </si>
  <si>
    <t>Zusätzliche sonstige Auswahlmöglichkeiten</t>
  </si>
  <si>
    <t xml:space="preserve">Index Kultur </t>
  </si>
  <si>
    <t>Kultur lange Liste</t>
  </si>
  <si>
    <t>Index Auswahl korrigiert</t>
  </si>
  <si>
    <t>Index Auswahl korr.</t>
  </si>
  <si>
    <t>Verkauf= wahr</t>
  </si>
  <si>
    <t>Liste Lang (inkl. Sonstige)</t>
  </si>
  <si>
    <t>Zukauf je Monat N</t>
  </si>
  <si>
    <t>Zukauf je Monat P</t>
  </si>
  <si>
    <t>Produktion je Monat N</t>
  </si>
  <si>
    <t>Produktion je Monat P</t>
  </si>
  <si>
    <t>Lager: Anfangsbestand + Zukauf + Ernte - Einsatz Biogas - Fütterung Tiere          N</t>
  </si>
  <si>
    <t>Lager: Anfangsbestand + Zukauf + Ernte - Einsatz Biogas - Fütterung Tiere          P</t>
  </si>
  <si>
    <t>t im Jahr ohne Abzug Tiere</t>
  </si>
  <si>
    <t>Summe mögliche Futtermittel N</t>
  </si>
  <si>
    <t>Einsatz Biogas (t )</t>
  </si>
  <si>
    <r>
      <t>P</t>
    </r>
    <r>
      <rPr>
        <vertAlign val="subscript"/>
        <sz val="10"/>
        <rFont val="Arial"/>
        <family val="2"/>
      </rPr>
      <t>2</t>
    </r>
    <r>
      <rPr>
        <sz val="10"/>
        <rFont val="Arial"/>
        <family val="2"/>
      </rPr>
      <t>O</t>
    </r>
    <r>
      <rPr>
        <vertAlign val="subscript"/>
        <sz val="10"/>
        <rFont val="Arial"/>
        <family val="2"/>
      </rPr>
      <t>5</t>
    </r>
    <r>
      <rPr>
        <sz val="10"/>
        <rFont val="Arial"/>
        <family val="2"/>
      </rPr>
      <t xml:space="preserve"> in t</t>
    </r>
  </si>
  <si>
    <t>t P</t>
  </si>
  <si>
    <t xml:space="preserve"> +++Summe Grobfutter - N+++ </t>
  </si>
  <si>
    <t xml:space="preserve"> +++                       - P2O5 +++</t>
  </si>
  <si>
    <t>kg P je Jahresbest</t>
  </si>
  <si>
    <t>kg P</t>
  </si>
  <si>
    <t>Leistung (Fleisch) in t N</t>
  </si>
  <si>
    <t>Eingabe P</t>
  </si>
  <si>
    <t>Kraftfutterbedarf</t>
  </si>
  <si>
    <t>in kg N/Jahr</t>
  </si>
  <si>
    <t>kg P2O5/Jahr</t>
  </si>
  <si>
    <t xml:space="preserve">Bedarf Tiere t </t>
  </si>
  <si>
    <t>N/P</t>
  </si>
  <si>
    <t xml:space="preserve">Bedarf Tiere </t>
  </si>
  <si>
    <t>Kontrolle Nährstoffgehalte - Mengen im Lager</t>
  </si>
  <si>
    <t>Summe ohne Biogas und Tiere (t)</t>
  </si>
  <si>
    <t>Toleranz pflanzen;Nährstoffgehalte im Lager</t>
  </si>
  <si>
    <t>Toleranz Wdüng - Nährstoffgehalte im Lager</t>
  </si>
  <si>
    <t>Lagerbestand falsch</t>
  </si>
  <si>
    <t>Leistung + Ausscheidung</t>
  </si>
  <si>
    <t>grobfutter/gesamt N</t>
  </si>
  <si>
    <t>ggf. TS 
in %</t>
  </si>
  <si>
    <t>STRO-W1</t>
  </si>
  <si>
    <t>STRO-G1</t>
  </si>
  <si>
    <t>Ernteprodukt_art</t>
  </si>
  <si>
    <t xml:space="preserve"> +++Summe Kraftfutter - N+++</t>
  </si>
  <si>
    <r>
      <t xml:space="preserve">Ernteprodukte, Einsatzstoffe Biogas, Futtermittel
</t>
    </r>
    <r>
      <rPr>
        <sz val="8"/>
        <rFont val="Arial"/>
        <family val="2"/>
      </rPr>
      <t>nach Basisdaten</t>
    </r>
  </si>
  <si>
    <r>
      <t xml:space="preserve">Ernteprodukte, Einsatzstoffe Biogas, Futtermittel
</t>
    </r>
    <r>
      <rPr>
        <sz val="8"/>
        <rFont val="Arial"/>
        <family val="2"/>
      </rPr>
      <t>eigene Daten</t>
    </r>
  </si>
  <si>
    <t>Zukauf sonstiges Kraftfutter Tiere</t>
  </si>
  <si>
    <t>sonstiges Kraftfutter</t>
  </si>
  <si>
    <t>Gas-</t>
  </si>
  <si>
    <t>ausbeute</t>
  </si>
  <si>
    <t>Tier- körper</t>
  </si>
  <si>
    <t>Futterration Tiere</t>
  </si>
  <si>
    <t>Nährstoff in t</t>
  </si>
  <si>
    <t xml:space="preserve">     - - -  Futtermenge in t   - - -</t>
  </si>
  <si>
    <t>Tatsäch-lich</t>
  </si>
  <si>
    <t xml:space="preserve">   Davon (geerntete) Zwischen- und Zweitfrüchte in ha</t>
  </si>
  <si>
    <t>Flächen nicht abgedeckter Gülle-, Gärrest- und Jauchelager</t>
  </si>
  <si>
    <r>
      <t>Sonstige Flächen</t>
    </r>
    <r>
      <rPr>
        <sz val="8"/>
        <rFont val="Arial"/>
        <family val="2"/>
      </rPr>
      <t xml:space="preserve"> (gereinigte Siloflächen, Stallmistlager, abgedeckte Silo- und Güllelager)</t>
    </r>
  </si>
  <si>
    <t>Leistung plausibel? 1=passt, 2=zu hoch, 3=zu gering</t>
  </si>
  <si>
    <t>zu gering</t>
  </si>
  <si>
    <t>1=ja;2=nein</t>
  </si>
  <si>
    <t>Sonstige Tiere</t>
  </si>
  <si>
    <t xml:space="preserve">  Summe:</t>
  </si>
  <si>
    <t>kg/t bzw. kg/m³</t>
  </si>
  <si>
    <t>Datum bzw. Monat</t>
  </si>
  <si>
    <t>Menge in t bzw. m³</t>
  </si>
  <si>
    <t>Adresse</t>
  </si>
  <si>
    <t>Name</t>
  </si>
  <si>
    <t>Separiert - flüssig + nicht separierte Gülle</t>
  </si>
  <si>
    <t>Separiert - fest</t>
  </si>
  <si>
    <t>Separiert - flüssig</t>
  </si>
  <si>
    <t>Zielzelle</t>
  </si>
  <si>
    <t>in kg/m³ (flüssig) bzw. kg/t (fest)</t>
  </si>
  <si>
    <t xml:space="preserve">tierischer Anteil </t>
  </si>
  <si>
    <t xml:space="preserve">Nährstoffgehalte </t>
  </si>
  <si>
    <t xml:space="preserve">Auswahl Ausgabe Wirtschaftsdünger </t>
  </si>
  <si>
    <t>Deklaration Wirtschaftsdünger</t>
  </si>
  <si>
    <t>Eigene Bemerkung</t>
  </si>
  <si>
    <t>Abgeber</t>
  </si>
  <si>
    <t>ggf. Tierart</t>
  </si>
  <si>
    <t xml:space="preserve">Dem Aufnehmer ist eine eindeutige Zuordnung des organischen Düngers zum Nährstoffgehalt mitzuteilen. </t>
  </si>
  <si>
    <t>Bei Anfall verschiedener organischer Dünger im Betrieb können einzelne Zeilen</t>
  </si>
  <si>
    <t>ausgeblendet werden um den Dünger eindeutig zu deklarieren.</t>
  </si>
  <si>
    <t>bas_kurz_tier</t>
  </si>
  <si>
    <t>tierart</t>
  </si>
  <si>
    <t>gv_duv</t>
  </si>
  <si>
    <t>auss_n_mjb</t>
  </si>
  <si>
    <t>auss_p2o5_mjb</t>
  </si>
  <si>
    <t>auss_k2o_mjb</t>
  </si>
  <si>
    <t>grobfuaufn_n_mjb</t>
  </si>
  <si>
    <t>grobfuaufn_p2o5_mjb</t>
  </si>
  <si>
    <t>grobfuaufn_k2o_mjb</t>
  </si>
  <si>
    <t>gulleanf_mjb</t>
  </si>
  <si>
    <t>tm_gulle_duv</t>
  </si>
  <si>
    <t>einstreu_ger_gv_mjb</t>
  </si>
  <si>
    <t>einstreu_mit_gv_mjb</t>
  </si>
  <si>
    <t>einstreu_ho_gv_mjb</t>
  </si>
  <si>
    <t>einstreu_ger_duv</t>
  </si>
  <si>
    <t>einstreu_mit_duv</t>
  </si>
  <si>
    <t>einstreu_ho_duv</t>
  </si>
  <si>
    <t>festmistanf_ger_mjb_duv</t>
  </si>
  <si>
    <t>festmistanf_mit_mjb_duv</t>
  </si>
  <si>
    <t>festmistanf_ho_mjb_duv</t>
  </si>
  <si>
    <t>tm_festmistanf_ger_duev</t>
  </si>
  <si>
    <t>tm_festmistanf_mit_duev</t>
  </si>
  <si>
    <t>tm_festmistanf_ho_duev</t>
  </si>
  <si>
    <t>jaucheanf_mjb_duv</t>
  </si>
  <si>
    <t>tm_jauche_duv</t>
  </si>
  <si>
    <t>stallagerverl_gulle</t>
  </si>
  <si>
    <t>stallagerverl_festmist_jauche</t>
  </si>
  <si>
    <t>tierkorperart</t>
  </si>
  <si>
    <t>tierkorper_geh_n_lg</t>
  </si>
  <si>
    <t>tierkorper_geh_p2o5_lg</t>
  </si>
  <si>
    <t>tierkorper_geh_k2o_lg</t>
  </si>
  <si>
    <t>sg_in_lg</t>
  </si>
  <si>
    <t>bas_lang_kul</t>
  </si>
  <si>
    <t>kul_erzeugtauf</t>
  </si>
  <si>
    <t>ernteprod_art</t>
  </si>
  <si>
    <t>tm_kul</t>
  </si>
  <si>
    <t>geh_fm_n_hp_kul</t>
  </si>
  <si>
    <t>geh_fm_p2o5_hp_kul</t>
  </si>
  <si>
    <t>geh_fm_k2o_hp_kul</t>
  </si>
  <si>
    <t>geh_fm_mgo_hp_kul</t>
  </si>
  <si>
    <t>otm_dezimal_bgr</t>
  </si>
  <si>
    <t>otm_proz_bgr</t>
  </si>
  <si>
    <t>gas_otm_bgr</t>
  </si>
  <si>
    <t>methan_bgr</t>
  </si>
  <si>
    <t>verweilzeit_bgr</t>
  </si>
  <si>
    <t>anteil_nh4_nges_bgr</t>
  </si>
  <si>
    <t>tierkorper_geh_mgo_lg</t>
  </si>
  <si>
    <t>Ackerbetrieb 1), Stallhaltung</t>
  </si>
  <si>
    <t>Weibliche Rinder über 6 Monate bis 1 Jahr</t>
  </si>
  <si>
    <t>Grünlandbetrieb 1), konventionell</t>
  </si>
  <si>
    <t>Kälber (Zucht/Mast) bis 6 Monate</t>
  </si>
  <si>
    <t>Männliche Rinder über 2 Jahre, Zuchtbullen</t>
  </si>
  <si>
    <t>Mastschweine (950 g TZ), Standard</t>
  </si>
  <si>
    <t>Mastschweine (950 g TZ), N-/P-reduziert</t>
  </si>
  <si>
    <t>Gänse</t>
  </si>
  <si>
    <t>Lama</t>
  </si>
  <si>
    <t>Stand:2022</t>
  </si>
  <si>
    <t>Zuchtsauen mit 25 Ferkel bis 28 kg, stark N-/P-red.*</t>
  </si>
  <si>
    <t>Zuchtsauen mit 28 Ferkel bis 28 kg, stark N-/P-red.*</t>
  </si>
  <si>
    <t>Ferkel von 8 bis 28 kg, stark N-/P-red.*</t>
  </si>
  <si>
    <t>Mastschweine (750 g TZ), stark N-/P-red.*</t>
  </si>
  <si>
    <t>Mastschweine (750 g TZ), sehr stark N-/P-red.*</t>
  </si>
  <si>
    <t>Mastschweine (850 g TZ), stark N-/P-red.*</t>
  </si>
  <si>
    <t>Mastschweine (850 g TZ), sehr stark N-/P-red.*</t>
  </si>
  <si>
    <t>Mastschweine (950 g TZ), stark N-/P-red.*</t>
  </si>
  <si>
    <t>Mastschweine (950 g TZ), sehr stark N-/P-red.*</t>
  </si>
  <si>
    <t>Zuchtsauen mit 25 Ferkel bis 8 kg, stark N-/P-red.*</t>
  </si>
  <si>
    <t>Zuchtsauen mit 28 Ferkel bis 8 kg, stark N-/P-red.*</t>
  </si>
  <si>
    <t>nutz_c</t>
  </si>
  <si>
    <t>status_ff</t>
  </si>
  <si>
    <t>Wintergerste</t>
  </si>
  <si>
    <t>Winterbraugerste</t>
  </si>
  <si>
    <t>Körnermais</t>
  </si>
  <si>
    <t>ER</t>
  </si>
  <si>
    <t>WRA</t>
  </si>
  <si>
    <t>Sonnenblumen</t>
  </si>
  <si>
    <t>SB</t>
  </si>
  <si>
    <t>Öllein, Faserflachs</t>
  </si>
  <si>
    <t>Ackergras</t>
  </si>
  <si>
    <t>GPS Wicken</t>
  </si>
  <si>
    <t>GPS Rübsen</t>
  </si>
  <si>
    <t>Igniscum</t>
  </si>
  <si>
    <t>GPS Amarant</t>
  </si>
  <si>
    <t>GPS Quinoa</t>
  </si>
  <si>
    <t>Weidelgras (inkl. Leg. bis 30 %)</t>
  </si>
  <si>
    <t>Kleegras, Gemenge (30 - 70 % Leg.)</t>
  </si>
  <si>
    <t>2F-KLG50</t>
  </si>
  <si>
    <t>Kleegras , Gemenge ( &gt; 70 % Leg.)</t>
  </si>
  <si>
    <t>2F-KLG70</t>
  </si>
  <si>
    <t>GPS Getreide, GPS Hirse</t>
  </si>
  <si>
    <t>Sonstige GPS, Hanf</t>
  </si>
  <si>
    <t>GRL-STREU</t>
  </si>
  <si>
    <t>Grünland extensiv (1-2 Schnitte, ext. Weiden)</t>
  </si>
  <si>
    <t>GRL-EXT</t>
  </si>
  <si>
    <t>Grünland (mind. 3 Schnitte, Mähweiden, Weiden)</t>
  </si>
  <si>
    <t>GRL-INT</t>
  </si>
  <si>
    <t>RG120</t>
  </si>
  <si>
    <t>RG150</t>
  </si>
  <si>
    <t>RG160</t>
  </si>
  <si>
    <t>RM170</t>
  </si>
  <si>
    <t>RM180</t>
  </si>
  <si>
    <t>RJ190</t>
  </si>
  <si>
    <t>SG210</t>
  </si>
  <si>
    <t>SG220</t>
  </si>
  <si>
    <t>SG230</t>
  </si>
  <si>
    <t>SG240</t>
  </si>
  <si>
    <t>SG250</t>
  </si>
  <si>
    <t>SG260</t>
  </si>
  <si>
    <t>SM270</t>
  </si>
  <si>
    <t>SM290</t>
  </si>
  <si>
    <t>SJ280</t>
  </si>
  <si>
    <t>GM310</t>
  </si>
  <si>
    <t>GG320</t>
  </si>
  <si>
    <t>GM330</t>
  </si>
  <si>
    <t>GM340</t>
  </si>
  <si>
    <t>GM350</t>
  </si>
  <si>
    <t>GM360</t>
  </si>
  <si>
    <t>AM410</t>
  </si>
  <si>
    <t>AM420</t>
  </si>
  <si>
    <t>Rindermist, geringe Einstreu</t>
  </si>
  <si>
    <t>Rindermist, hohe Einstreu</t>
  </si>
  <si>
    <t>Rinderjauche</t>
  </si>
  <si>
    <t>Mastschweinegülle, Standardfutter</t>
  </si>
  <si>
    <t>Zwiebel</t>
  </si>
  <si>
    <t xml:space="preserve"> +++sonstige tier. Herk. nur Zukauf+++</t>
  </si>
  <si>
    <t>Farbl. Überprüfung</t>
  </si>
  <si>
    <t>Tägl. Zunahmen // über alle Fütterungsverfahren // abhängig von tägl. Zunahme</t>
  </si>
  <si>
    <t>GV // über alle Fütterungsverfahren // abhängig von tägl. Zunahme</t>
  </si>
  <si>
    <t>Gülleanfall // über alle Fütterungsverfahren // abhängig von tägl. Zunahme</t>
  </si>
  <si>
    <t>Jaucheanfall hoch// über alle Fütterungsverfahren // abhängig von tägl. Zunahme</t>
  </si>
  <si>
    <t>Universalmast</t>
  </si>
  <si>
    <t>2-Phasen-Mast, N- und P-reduziert</t>
  </si>
  <si>
    <t>3-Phasen-Mast, stark N- und P-reduziert</t>
  </si>
  <si>
    <t>3-Phasen-Mast, sehr stark N- und P-reduziert</t>
  </si>
  <si>
    <t>Ferkel, Universalmast</t>
  </si>
  <si>
    <t>Ferkel, N- und P-reduziert</t>
  </si>
  <si>
    <t>Ferkel, stark N- und P-reduziert</t>
  </si>
  <si>
    <t>Ferkel, sehr stark N- und P-reduziert</t>
  </si>
  <si>
    <t>Zuchtsau mit Ferkeln bis 8 kg</t>
  </si>
  <si>
    <t>Werte innerhalb eines Verfahrens über die TZ Gruppen unplausibel</t>
  </si>
  <si>
    <t>700 g TZ</t>
  </si>
  <si>
    <t>750 g TZ</t>
  </si>
  <si>
    <t>850 g TZ</t>
  </si>
  <si>
    <t>950 g TZ</t>
  </si>
  <si>
    <t>1050 g TZ</t>
  </si>
  <si>
    <t>450 g TZ</t>
  </si>
  <si>
    <t>500 g TZ</t>
  </si>
  <si>
    <t>Basisdaten auch kleiner</t>
  </si>
  <si>
    <t>1050g TZ</t>
  </si>
  <si>
    <t xml:space="preserve">450 g TZ </t>
  </si>
  <si>
    <t>500g TZ</t>
  </si>
  <si>
    <t>Mastschwein</t>
  </si>
  <si>
    <t>N-Ausscheidung</t>
  </si>
  <si>
    <t>P2O5-Ausscheidung</t>
  </si>
  <si>
    <t>K2O-Ausscheidung</t>
  </si>
  <si>
    <t>Werte innerhalb einer TZ Gruppe über die Fütterungsverfahren unplausibel</t>
  </si>
  <si>
    <t>tägl. Zunahmen</t>
  </si>
  <si>
    <t>kg LM</t>
  </si>
  <si>
    <t>N-Ausscheidung kg</t>
  </si>
  <si>
    <t>P2O5-Ausscheidung kg</t>
  </si>
  <si>
    <t>K2O-Ausscheidung kg</t>
  </si>
  <si>
    <t>Futtermenge</t>
  </si>
  <si>
    <t>N-Gehalt</t>
  </si>
  <si>
    <t>P2O5-Gehalt</t>
  </si>
  <si>
    <t>geringe Einstreu</t>
  </si>
  <si>
    <t>mittlere Einstreu</t>
  </si>
  <si>
    <t>hohe Einstreu</t>
  </si>
  <si>
    <t>Anzahl Ferkel</t>
  </si>
  <si>
    <t>Universal</t>
  </si>
  <si>
    <t>NP red</t>
  </si>
  <si>
    <t>stark NP red</t>
  </si>
  <si>
    <t>sehr stark NP red</t>
  </si>
  <si>
    <t>TZ</t>
  </si>
  <si>
    <t>&lt;28 kg</t>
  </si>
  <si>
    <t>&gt; 28 kg</t>
  </si>
  <si>
    <t>Ferkel</t>
  </si>
  <si>
    <t>800 g TZ</t>
  </si>
  <si>
    <t>Berechnung Nährstoffausscheidung in Abhängigkeit von der täglichen Zunahme, Ein-/Ausstallgewicht und Fütterungsverfahren</t>
  </si>
  <si>
    <t>Gewicht</t>
  </si>
  <si>
    <t>rundungsfehler</t>
  </si>
  <si>
    <t>TS MIST</t>
  </si>
  <si>
    <r>
      <t xml:space="preserve">Nährstoffausscheidung </t>
    </r>
    <r>
      <rPr>
        <b/>
        <sz val="14"/>
        <color rgb="FFFF0000"/>
        <rFont val="Calibri"/>
        <family val="2"/>
        <scheme val="minor"/>
      </rPr>
      <t>Mastschweine</t>
    </r>
    <r>
      <rPr>
        <b/>
        <sz val="14"/>
        <color theme="1"/>
        <rFont val="Calibri"/>
        <family val="2"/>
        <scheme val="minor"/>
      </rPr>
      <t xml:space="preserve"> </t>
    </r>
  </si>
  <si>
    <t>Einstreumenge je Tag</t>
  </si>
  <si>
    <t>Einstreumenge je GV und Tag</t>
  </si>
  <si>
    <t>TS Geringe Einstreu</t>
  </si>
  <si>
    <t>TS mittlere Einstreu</t>
  </si>
  <si>
    <t>TS Hohe Einstreu</t>
  </si>
  <si>
    <t>Ø N-Gehalt</t>
  </si>
  <si>
    <t>Futteraufnahme</t>
  </si>
  <si>
    <t>Ø P2O5-Gehalt</t>
  </si>
  <si>
    <t>M1</t>
  </si>
  <si>
    <t>M2</t>
  </si>
  <si>
    <t>M3</t>
  </si>
  <si>
    <t>M4</t>
  </si>
  <si>
    <t>M5</t>
  </si>
  <si>
    <t>F1</t>
  </si>
  <si>
    <t>F2</t>
  </si>
  <si>
    <t>F3</t>
  </si>
  <si>
    <t>F4</t>
  </si>
  <si>
    <t>F5</t>
  </si>
  <si>
    <t>Z1</t>
  </si>
  <si>
    <t>Z2</t>
  </si>
  <si>
    <t>--</t>
  </si>
  <si>
    <t>TZ Mastschwein g</t>
  </si>
  <si>
    <t>TZ korrigiert nach EG/AG</t>
  </si>
  <si>
    <t>N nach DüV neu</t>
  </si>
  <si>
    <t>P nach DüV neu</t>
  </si>
  <si>
    <t>K nach DüV neu</t>
  </si>
  <si>
    <t>Jauche hoch</t>
  </si>
  <si>
    <t>Mist gering</t>
  </si>
  <si>
    <t>Mist mittel</t>
  </si>
  <si>
    <t>Mist hoch</t>
  </si>
  <si>
    <t>Tage &lt; 28 kg</t>
  </si>
  <si>
    <t>Tage &gt; 28 kg</t>
  </si>
  <si>
    <t>Universalfutter</t>
  </si>
  <si>
    <t>N- und P- reduziert</t>
  </si>
  <si>
    <t>stark N- und P-reduziert</t>
  </si>
  <si>
    <t>sehr stark N- und P-reduziert</t>
  </si>
  <si>
    <r>
      <t xml:space="preserve">Ausscheidung </t>
    </r>
    <r>
      <rPr>
        <sz val="10"/>
        <color theme="1"/>
        <rFont val="Calibri"/>
        <family val="2"/>
        <scheme val="minor"/>
      </rPr>
      <t>kg / mittlerer Jahresbestand</t>
    </r>
  </si>
  <si>
    <r>
      <t>Mistanfall</t>
    </r>
    <r>
      <rPr>
        <sz val="10"/>
        <rFont val="Arial"/>
        <family val="2"/>
      </rPr>
      <t xml:space="preserve"> </t>
    </r>
    <r>
      <rPr>
        <sz val="10"/>
        <color theme="1"/>
        <rFont val="Calibri"/>
        <family val="2"/>
        <scheme val="minor"/>
      </rPr>
      <t>t/mittlerer Jahresbest.</t>
    </r>
  </si>
  <si>
    <r>
      <t>TS-Gehalt</t>
    </r>
    <r>
      <rPr>
        <sz val="12"/>
        <color theme="1"/>
        <rFont val="Calibri"/>
        <family val="2"/>
        <scheme val="minor"/>
      </rPr>
      <t xml:space="preserve"> (%)</t>
    </r>
  </si>
  <si>
    <r>
      <t xml:space="preserve">Einstreumenge </t>
    </r>
    <r>
      <rPr>
        <sz val="10"/>
        <color theme="1"/>
        <rFont val="Calibri"/>
        <family val="2"/>
        <scheme val="minor"/>
      </rPr>
      <t>kg/ Tag</t>
    </r>
  </si>
  <si>
    <r>
      <t xml:space="preserve">Einstreumenge </t>
    </r>
    <r>
      <rPr>
        <sz val="10"/>
        <color theme="1"/>
        <rFont val="Calibri"/>
        <family val="2"/>
        <scheme val="minor"/>
      </rPr>
      <t>kg/GV und Tag</t>
    </r>
  </si>
  <si>
    <r>
      <t>TS-Gehalt Mist</t>
    </r>
    <r>
      <rPr>
        <sz val="12"/>
        <color theme="1"/>
        <rFont val="Calibri"/>
        <family val="2"/>
        <scheme val="minor"/>
      </rPr>
      <t xml:space="preserve"> (%)</t>
    </r>
  </si>
  <si>
    <t>Ø gesamte Mast</t>
  </si>
  <si>
    <t>Beginn Mast</t>
  </si>
  <si>
    <t>Ende Mast</t>
  </si>
  <si>
    <t xml:space="preserve">Umtriebe </t>
  </si>
  <si>
    <r>
      <t>Futteraufnahme</t>
    </r>
    <r>
      <rPr>
        <sz val="12"/>
        <color theme="1"/>
        <rFont val="Calibri"/>
        <family val="2"/>
        <scheme val="minor"/>
      </rPr>
      <t xml:space="preserve"> kg FM 88 % TM</t>
    </r>
  </si>
  <si>
    <t>Futterverwertung (kg TM Futter zu kg LM)</t>
  </si>
  <si>
    <t>Verfahren</t>
  </si>
  <si>
    <t>Einstallgewicht kg</t>
  </si>
  <si>
    <t xml:space="preserve">Ausstallgewicht kg </t>
  </si>
  <si>
    <t>tägliche Zunahme g</t>
  </si>
  <si>
    <r>
      <t>P</t>
    </r>
    <r>
      <rPr>
        <b/>
        <vertAlign val="subscript"/>
        <sz val="12"/>
        <color theme="1"/>
        <rFont val="Calibri"/>
        <family val="2"/>
        <scheme val="minor"/>
      </rPr>
      <t>2</t>
    </r>
    <r>
      <rPr>
        <b/>
        <sz val="12"/>
        <color theme="1"/>
        <rFont val="Calibri"/>
        <family val="2"/>
        <scheme val="minor"/>
      </rPr>
      <t>O</t>
    </r>
    <r>
      <rPr>
        <b/>
        <vertAlign val="subscript"/>
        <sz val="12"/>
        <color theme="1"/>
        <rFont val="Calibri"/>
        <family val="2"/>
        <scheme val="minor"/>
      </rPr>
      <t>5</t>
    </r>
  </si>
  <si>
    <r>
      <t>K</t>
    </r>
    <r>
      <rPr>
        <b/>
        <vertAlign val="subscript"/>
        <sz val="12"/>
        <color theme="1"/>
        <rFont val="Calibri"/>
        <family val="2"/>
        <scheme val="minor"/>
      </rPr>
      <t>2</t>
    </r>
    <r>
      <rPr>
        <b/>
        <sz val="12"/>
        <color theme="1"/>
        <rFont val="Calibri"/>
        <family val="2"/>
        <scheme val="minor"/>
      </rPr>
      <t>O</t>
    </r>
  </si>
  <si>
    <t>m³/mittl. Jahresbest.</t>
  </si>
  <si>
    <t xml:space="preserve">mittel </t>
  </si>
  <si>
    <r>
      <t>N-Gehalt</t>
    </r>
    <r>
      <rPr>
        <sz val="12"/>
        <color theme="1"/>
        <rFont val="Calibri"/>
        <family val="2"/>
        <scheme val="minor"/>
      </rPr>
      <t xml:space="preserve"> g N/kg Futter 88 % TM</t>
    </r>
  </si>
  <si>
    <t>Rohproteingehalt</t>
  </si>
  <si>
    <t>pro Jahr</t>
  </si>
  <si>
    <t>je mittl. Jahresbest</t>
  </si>
  <si>
    <t>P-Gehalt</t>
  </si>
  <si>
    <r>
      <t>P2O5-Gehalt</t>
    </r>
    <r>
      <rPr>
        <sz val="12"/>
        <color theme="1"/>
        <rFont val="Calibri"/>
        <family val="2"/>
        <scheme val="minor"/>
      </rPr>
      <t xml:space="preserve"> g N/kg Futter 88 % TM</t>
    </r>
  </si>
  <si>
    <r>
      <t>P-Gehalt</t>
    </r>
    <r>
      <rPr>
        <sz val="12"/>
        <color theme="1"/>
        <rFont val="Calibri"/>
        <family val="2"/>
        <scheme val="minor"/>
      </rPr>
      <t xml:space="preserve"> g N/kg Futter 88 % TM</t>
    </r>
  </si>
  <si>
    <r>
      <t xml:space="preserve">P-Gehalt </t>
    </r>
    <r>
      <rPr>
        <sz val="12"/>
        <color theme="1"/>
        <rFont val="Calibri"/>
        <family val="2"/>
        <scheme val="minor"/>
      </rPr>
      <t>g N/kg Futter 88 % TM</t>
    </r>
  </si>
  <si>
    <t>Eingabemöglichkeit zwischen 20-150 kg LM</t>
  </si>
  <si>
    <t>Futterverwertung (kg Futter zu kg LM)</t>
  </si>
  <si>
    <r>
      <t>Nährstoffausscheidung</t>
    </r>
    <r>
      <rPr>
        <b/>
        <sz val="14"/>
        <color rgb="FFFF0000"/>
        <rFont val="Calibri"/>
        <family val="2"/>
        <scheme val="minor"/>
      </rPr>
      <t xml:space="preserve"> Ferkel</t>
    </r>
    <r>
      <rPr>
        <b/>
        <sz val="14"/>
        <color theme="1"/>
        <rFont val="Calibri"/>
        <family val="2"/>
        <scheme val="minor"/>
      </rPr>
      <t xml:space="preserve"> </t>
    </r>
  </si>
  <si>
    <t>TZ Ferkel g</t>
  </si>
  <si>
    <t>Eingabemöglichkeit zwischen 8-35 kg LM</t>
  </si>
  <si>
    <r>
      <t xml:space="preserve">Nährstoffausscheidung </t>
    </r>
    <r>
      <rPr>
        <b/>
        <sz val="14"/>
        <color rgb="FFFF0000"/>
        <rFont val="Calibri"/>
        <family val="2"/>
        <scheme val="minor"/>
      </rPr>
      <t>Zuchtsau</t>
    </r>
    <r>
      <rPr>
        <b/>
        <sz val="14"/>
        <color theme="1"/>
        <rFont val="Calibri"/>
        <family val="2"/>
        <scheme val="minor"/>
      </rPr>
      <t xml:space="preserve"> mit Ferkelerzeugung</t>
    </r>
  </si>
  <si>
    <t>Tage je Ferkel</t>
  </si>
  <si>
    <t>Ferkelanzahl für Sau korrigiert</t>
  </si>
  <si>
    <t>Ferkel Tage &lt; 28 kg</t>
  </si>
  <si>
    <t>Ferkel Tage &gt; 28 kg</t>
  </si>
  <si>
    <t>Sau</t>
  </si>
  <si>
    <t>mittl. Jahresbestand Ferkel</t>
  </si>
  <si>
    <t>Ferkelanzahl</t>
  </si>
  <si>
    <t>Verkaufsgewicht</t>
  </si>
  <si>
    <t>Zum Vergleich Basisdaten</t>
  </si>
  <si>
    <t>Stand 20220621</t>
  </si>
  <si>
    <t>1. Angaben zum Produktionsverfahren</t>
  </si>
  <si>
    <t>Mastschwein/ Ferkel</t>
  </si>
  <si>
    <t>Fütterungsverfahren</t>
  </si>
  <si>
    <t>Ausstallgewicht kg</t>
  </si>
  <si>
    <t>Zuchtsau</t>
  </si>
  <si>
    <t>Abgesetzte Ferkel/Jahr</t>
  </si>
  <si>
    <t>min. Gewicht</t>
  </si>
  <si>
    <t>max Gewicht</t>
  </si>
  <si>
    <t>Daten für Mastschweine</t>
  </si>
  <si>
    <t>Daten für Ferkel</t>
  </si>
  <si>
    <t>Mastschwein und Ferkel</t>
  </si>
  <si>
    <t>Univ.</t>
  </si>
  <si>
    <t>N-/P- red</t>
  </si>
  <si>
    <t>Daten für Zuchtsau</t>
  </si>
  <si>
    <t>stark N-/P- red</t>
  </si>
  <si>
    <t>sehr stark N-/P- red</t>
  </si>
  <si>
    <t>Masts.</t>
  </si>
  <si>
    <t>Zuchts.</t>
  </si>
  <si>
    <t>Berechnete Werte in 
nachfolgenden Tabellen</t>
  </si>
  <si>
    <t>je mittlerer Jahresbestand</t>
  </si>
  <si>
    <t>Ausscheidung</t>
  </si>
  <si>
    <t>kg / Tag</t>
  </si>
  <si>
    <t>3. Nährstoffgehalte und Futtermengen</t>
  </si>
  <si>
    <t>Futteraufnahme 
kg FM* je</t>
  </si>
  <si>
    <t>Futter-verwer-tung
kg:kg</t>
  </si>
  <si>
    <t>Nährstoffgehalte g/kg Futter*</t>
  </si>
  <si>
    <t>Ø Mast</t>
  </si>
  <si>
    <t>mittl. Jahr.</t>
  </si>
  <si>
    <t>Tier</t>
  </si>
  <si>
    <t>XP</t>
  </si>
  <si>
    <t>XP = Rohprotein</t>
  </si>
  <si>
    <t>* bezogen auf 88 % TS</t>
  </si>
  <si>
    <t xml:space="preserve"> +++Körnermais+++</t>
  </si>
  <si>
    <t>den Basisdaten hinzugefügt</t>
  </si>
  <si>
    <t>kg N/m³</t>
  </si>
  <si>
    <r>
      <t>kg NH</t>
    </r>
    <r>
      <rPr>
        <vertAlign val="subscript"/>
        <sz val="10"/>
        <rFont val="Arial"/>
        <family val="2"/>
      </rPr>
      <t>4</t>
    </r>
    <r>
      <rPr>
        <sz val="10"/>
        <rFont val="Arial"/>
        <family val="2"/>
      </rPr>
      <t>-N/m³</t>
    </r>
  </si>
  <si>
    <r>
      <t>kg P</t>
    </r>
    <r>
      <rPr>
        <vertAlign val="subscript"/>
        <sz val="10"/>
        <rFont val="Arial"/>
        <family val="2"/>
      </rPr>
      <t>2</t>
    </r>
    <r>
      <rPr>
        <sz val="10"/>
        <rFont val="Arial"/>
        <family val="2"/>
      </rPr>
      <t>O</t>
    </r>
    <r>
      <rPr>
        <vertAlign val="subscript"/>
        <sz val="10"/>
        <rFont val="Arial"/>
        <family val="2"/>
      </rPr>
      <t>5</t>
    </r>
    <r>
      <rPr>
        <sz val="10"/>
        <rFont val="Arial"/>
        <family val="2"/>
      </rPr>
      <t>/m³</t>
    </r>
  </si>
  <si>
    <r>
      <t>kg K</t>
    </r>
    <r>
      <rPr>
        <vertAlign val="subscript"/>
        <sz val="10"/>
        <rFont val="Arial"/>
        <family val="2"/>
      </rPr>
      <t>2</t>
    </r>
    <r>
      <rPr>
        <sz val="10"/>
        <rFont val="Arial"/>
        <family val="2"/>
      </rPr>
      <t>O/m³</t>
    </r>
  </si>
  <si>
    <t>kg N/t</t>
  </si>
  <si>
    <r>
      <t>kg NH</t>
    </r>
    <r>
      <rPr>
        <vertAlign val="subscript"/>
        <sz val="10"/>
        <rFont val="Arial"/>
        <family val="2"/>
      </rPr>
      <t>4</t>
    </r>
    <r>
      <rPr>
        <sz val="10"/>
        <rFont val="Arial"/>
        <family val="2"/>
      </rPr>
      <t>-N/t</t>
    </r>
  </si>
  <si>
    <r>
      <t>kg P</t>
    </r>
    <r>
      <rPr>
        <vertAlign val="subscript"/>
        <sz val="10"/>
        <rFont val="Arial"/>
        <family val="2"/>
      </rPr>
      <t>2</t>
    </r>
    <r>
      <rPr>
        <sz val="10"/>
        <rFont val="Arial"/>
        <family val="2"/>
      </rPr>
      <t>O</t>
    </r>
    <r>
      <rPr>
        <vertAlign val="subscript"/>
        <sz val="10"/>
        <rFont val="Arial"/>
        <family val="2"/>
      </rPr>
      <t>5</t>
    </r>
    <r>
      <rPr>
        <sz val="10"/>
        <rFont val="Arial"/>
        <family val="2"/>
      </rPr>
      <t>/t</t>
    </r>
  </si>
  <si>
    <r>
      <t>kg K</t>
    </r>
    <r>
      <rPr>
        <vertAlign val="subscript"/>
        <sz val="10"/>
        <rFont val="Arial"/>
        <family val="2"/>
      </rPr>
      <t>2</t>
    </r>
    <r>
      <rPr>
        <sz val="10"/>
        <rFont val="Arial"/>
        <family val="2"/>
      </rPr>
      <t>O/t</t>
    </r>
  </si>
  <si>
    <t>KA-V</t>
  </si>
  <si>
    <t>Zuchtsauengülle, N-/P-red. Fütterung</t>
  </si>
  <si>
    <t>Gasausb.</t>
  </si>
  <si>
    <t>mittlerer Jahresbestand</t>
  </si>
  <si>
    <t>m³ im Betrieb</t>
  </si>
  <si>
    <t>Dünger
Art</t>
  </si>
  <si>
    <t>Summe eigene Tierhaltung</t>
  </si>
  <si>
    <t>1d: Niederschlagswasser und sonstiges Abwasser, das eingeleitet wird</t>
  </si>
  <si>
    <r>
      <t xml:space="preserve">Endlager (Nachgärer), das dem Betrieb zur Verfügung steht, in m³ </t>
    </r>
    <r>
      <rPr>
        <sz val="10"/>
        <rFont val="Arial"/>
        <family val="2"/>
      </rPr>
      <t>(ohne Fermenter)</t>
    </r>
  </si>
  <si>
    <r>
      <t xml:space="preserve">5: Endlager (Nachgärer), das dem Betrieb zur Verfügung steht, in m³ </t>
    </r>
    <r>
      <rPr>
        <sz val="9"/>
        <rFont val="Arial"/>
        <family val="2"/>
      </rPr>
      <t>(ohne Fermenter)</t>
    </r>
  </si>
  <si>
    <t xml:space="preserve">   davon Gülle/Stallmist in Biogasanlage</t>
  </si>
  <si>
    <t xml:space="preserve">   davon Gülle/Stallmist nicht in Biogasanlage</t>
  </si>
  <si>
    <t xml:space="preserve">             davon Stallmist nicht in Biogasanlage</t>
  </si>
  <si>
    <t xml:space="preserve">2. Nährstoff- und Mengenausscheidung </t>
  </si>
  <si>
    <t xml:space="preserve">    Eigene Werte</t>
  </si>
  <si>
    <t>Werden mehr Zeilen für die Abgabe von organischen Düngern benötigt, können diese hier eingegeben werden. Die Summe(n) müssen anschließend übertragen werden!</t>
  </si>
  <si>
    <t>TS Verschieden?</t>
  </si>
  <si>
    <t>TS wenn verschieden</t>
  </si>
  <si>
    <t>Verkaufsgewicht Ferkel (kg)</t>
  </si>
  <si>
    <t>kann geprüft werden?</t>
  </si>
  <si>
    <t>Erläuterung zur Zuordnung der Tiergruppen vom Mehrfachantrag</t>
  </si>
  <si>
    <t>LfL-Programm</t>
  </si>
  <si>
    <t xml:space="preserve">  Fresseraufzucht (80-210 kg), Standardfutter</t>
  </si>
  <si>
    <t xml:space="preserve">  Fresseraufzucht (80-210 kg), N-/P-reduziert</t>
  </si>
  <si>
    <t xml:space="preserve">  Milchkuh ohne Kalb</t>
  </si>
  <si>
    <t xml:space="preserve">  Ferkel von 8 bis 28 kg, stark N-/P-red.*</t>
  </si>
  <si>
    <t xml:space="preserve">  Zuchtsauen mit 25 Ferkel bis 8 kg, stark N-/P-red.*</t>
  </si>
  <si>
    <t xml:space="preserve">  Zuchtsauen mit 28 Ferkel bis 8 kg, stark N-/P-red.*</t>
  </si>
  <si>
    <t xml:space="preserve">  Zuchtsauen mit 25 Ferkel bis 28 kg, stark N-/P-red.*</t>
  </si>
  <si>
    <t xml:space="preserve">  Zuchtsauen mit 28 Ferkel bis 28 kg, stark N-/P-red.*</t>
  </si>
  <si>
    <t xml:space="preserve">  Jungsaueneingliederung, Standard</t>
  </si>
  <si>
    <t xml:space="preserve">  Jungsaueneingliederung, N-/P- reduziert</t>
  </si>
  <si>
    <t xml:space="preserve">  Mastschweine (750 g TZ), Standard</t>
  </si>
  <si>
    <t xml:space="preserve">  Mastschweine (750 g TZ), N-/P-reduziert</t>
  </si>
  <si>
    <t xml:space="preserve">  Mastschweine (750 g TZ), stark N-/P-reduziert *</t>
  </si>
  <si>
    <t xml:space="preserve">  Mastschweine (750 g TZ), sehr stark N-/P-red.*</t>
  </si>
  <si>
    <t xml:space="preserve">  Mastschweine (850 g TZ), stark N-/P-reduziert *</t>
  </si>
  <si>
    <t xml:space="preserve">  Mastschweine (850 g TZ), sehr stark N-/P-red.*</t>
  </si>
  <si>
    <t xml:space="preserve">  Mastschweine (950 g TZ), Standard</t>
  </si>
  <si>
    <t xml:space="preserve">  Mastschweine (950 g TZ), N-/P-reduziert</t>
  </si>
  <si>
    <t xml:space="preserve">  Mastschweine (950 g TZ), stark N-/P-red.*</t>
  </si>
  <si>
    <t xml:space="preserve">  Mastschweine (950 g TZ), sehr stark N-/P-red.*</t>
  </si>
  <si>
    <t xml:space="preserve">  Damwild mit Nachzucht</t>
  </si>
  <si>
    <t xml:space="preserve">  Rotwild mit Nachzucht</t>
  </si>
  <si>
    <t xml:space="preserve">  Lama</t>
  </si>
  <si>
    <t xml:space="preserve">  Alpaka</t>
  </si>
  <si>
    <t xml:space="preserve">      * Fütterungsverfahren muss belegt werden!</t>
  </si>
  <si>
    <t>Berechnet am:</t>
  </si>
  <si>
    <r>
      <t>Abweichend von den automatisch verwendeten</t>
    </r>
    <r>
      <rPr>
        <b/>
        <sz val="10"/>
        <rFont val="Arial"/>
        <family val="2"/>
      </rPr>
      <t xml:space="preserve"> Landkreis</t>
    </r>
    <r>
      <rPr>
        <sz val="10"/>
        <rFont val="Arial"/>
        <family val="2"/>
      </rPr>
      <t>niederschlägen kann auch der mittlere Jahresniederschlag der</t>
    </r>
    <r>
      <rPr>
        <b/>
        <sz val="10"/>
        <rFont val="Arial"/>
        <family val="2"/>
      </rPr>
      <t xml:space="preserve"> Gemarkung</t>
    </r>
    <r>
      <rPr>
        <sz val="10"/>
        <rFont val="Arial"/>
        <family val="2"/>
      </rPr>
      <t xml:space="preserve"> verwendet werden, in der die Lagerbehälter der Wirtschaftsdünger liegen. Dieser kann hier nachgeschlagen werden und als Korrektur in der Zelle B13 im Tabellenblatt "Nährstoffe und Lagerraum" eingegeben werden.</t>
    </r>
  </si>
  <si>
    <t>Informationen zu diesem Programm</t>
  </si>
  <si>
    <t>Nährstoffe und Lagerraum</t>
  </si>
  <si>
    <t>Erfassung der Betriebsdaten und Berechnung der Nährstoffflüsse und des Lagerraums nach Düngeverordnung (DüV) und Verbringungsverordnung (WDüngV)</t>
  </si>
  <si>
    <t>Tiere, die nicht mit Basisdaten hinterlegt sind, müssen hier eingetragen werden.</t>
  </si>
  <si>
    <r>
      <t xml:space="preserve">Schweinehaltende Betriebe </t>
    </r>
    <r>
      <rPr>
        <u/>
        <sz val="10"/>
        <rFont val="Arial"/>
        <family val="2"/>
      </rPr>
      <t>können</t>
    </r>
    <r>
      <rPr>
        <sz val="10"/>
        <rFont val="Arial"/>
        <family val="2"/>
      </rPr>
      <t xml:space="preserve"> die Ausscheidungen stufenlos berechnen.</t>
    </r>
  </si>
  <si>
    <t>Lagerhaltung (freiwillig)</t>
  </si>
  <si>
    <t>Erfassung und Berechnung der Lagerhaltung von Ernteprodukten, Einsatzstoffen für die Biogasanlage und Futtermitteln</t>
  </si>
  <si>
    <t>Abgabebeleg</t>
  </si>
  <si>
    <t>Beleg zur Deklaration von Wirtschaftsdüngern</t>
  </si>
  <si>
    <t>Zusätzliche Zeilen zur Auflistung abgegebener Düngermengen</t>
  </si>
  <si>
    <t>Notizen</t>
  </si>
  <si>
    <t>Hier können eigene Notizen gemacht werden</t>
  </si>
  <si>
    <t>Gemarkungsniederschläge</t>
  </si>
  <si>
    <t>Zuordnung der Tiergruppen vom Mehrfachantrag</t>
  </si>
  <si>
    <t>Anrechnung Nachgärer</t>
  </si>
  <si>
    <t>Anleitung zur Erfassung von Fermenter, Nachgärer und Endlager</t>
  </si>
  <si>
    <t>* Nur für Betriebe mit Tierhaltung</t>
  </si>
  <si>
    <t>Erläuterungen*</t>
  </si>
  <si>
    <t>Erforderliche Tabellenblätter</t>
  </si>
  <si>
    <t>Ergänzende Tabellenblätter</t>
  </si>
  <si>
    <t>Auflistung der langjährigen Niederschläge je Gemarkung. Wert kann anstelle des Landkreisniederschlags in Nährstoffe und Lagerraum übertragen werden.</t>
  </si>
  <si>
    <t>Nährstoffgehalte, Gasausbeute und Methangehalte von Biogassubstraten zum nachlesen</t>
  </si>
  <si>
    <t>Abgabeliste</t>
  </si>
  <si>
    <r>
      <t>Sonstige Wasserzugabe im Jahr</t>
    </r>
    <r>
      <rPr>
        <sz val="9"/>
        <rFont val="Arial"/>
        <family val="2"/>
      </rPr>
      <t xml:space="preserve"> </t>
    </r>
    <r>
      <rPr>
        <sz val="8"/>
        <rFont val="Arial"/>
        <family val="2"/>
      </rPr>
      <t>(z.B. Dachrinnenwasser, Waschwasser)</t>
    </r>
  </si>
  <si>
    <r>
      <t xml:space="preserve">Stufenlose Berechnung der Nährstoff- und Mengenausscheidungen von Mastschweinen, Ferkel und Zuchtsauen mit Ferkel
</t>
    </r>
    <r>
      <rPr>
        <sz val="9"/>
        <rFont val="Arial"/>
        <family val="2"/>
      </rPr>
      <t>Bei Verwendung ist dieses Verfahren auch in anderen Programmen für dieses Jahr (z.B. Stallbilanz, falls erforderlich) anzuwenden.
(Eigene Werte finden Sie im Tabellenblatt "Nährstoffe und Lagerraum" bei der Auswahl Tierhaltung am Ende des Dropdown-Bereiches.)</t>
    </r>
  </si>
  <si>
    <t>Geburtsdatum:</t>
  </si>
  <si>
    <t>Jungsauenaufzucht, Standard</t>
  </si>
  <si>
    <t>Jungsauenaufzucht, N-/P-red.</t>
  </si>
  <si>
    <t xml:space="preserve">                     (Stand: 2023)</t>
  </si>
  <si>
    <t xml:space="preserve">  Jungsauenaufzucht, Standard</t>
  </si>
  <si>
    <t xml:space="preserve">  Jungsauenaufzucht, N-/P-red.</t>
  </si>
  <si>
    <t>Stand:2023</t>
  </si>
  <si>
    <t xml:space="preserve">Durchschnittliche organische Düngung: </t>
  </si>
  <si>
    <t>Gesamtnährstoffe pro Jahr (kg/ha)</t>
  </si>
  <si>
    <t>Fehlermeldung</t>
  </si>
  <si>
    <t>unvollständig</t>
  </si>
  <si>
    <t>NH4-N Anteil im Gärrest</t>
  </si>
  <si>
    <t>NH4-Anteil im Gärrest</t>
  </si>
  <si>
    <t>Nährstoffanfall auf Weide (kg/ha)</t>
  </si>
  <si>
    <r>
      <rPr>
        <b/>
        <sz val="10"/>
        <rFont val="Arial"/>
        <family val="2"/>
      </rPr>
      <t>Dünger</t>
    </r>
    <r>
      <rPr>
        <sz val="10"/>
        <rFont val="Arial"/>
        <family val="2"/>
      </rPr>
      <t xml:space="preserve"> Art</t>
    </r>
  </si>
  <si>
    <t>1. Berechnete Menge Einstreumaterial</t>
  </si>
  <si>
    <t>Einstreumaterial</t>
  </si>
  <si>
    <t>Menge Betrieb in t/Jahr</t>
  </si>
  <si>
    <t xml:space="preserve">kg N/t </t>
  </si>
  <si>
    <t>Summe N</t>
  </si>
  <si>
    <t>2. Abweichendes Einstreumaterial</t>
  </si>
  <si>
    <t>Menge Betrieb in t/Jahr*</t>
  </si>
  <si>
    <t xml:space="preserve">Hackschnitzel </t>
  </si>
  <si>
    <t>Sägemehl</t>
  </si>
  <si>
    <t>Miscanthus</t>
  </si>
  <si>
    <t>* Die Menge an eingesetztem Einstreumaterial darf in Summe die oben berechnete Menge nach DüV nicht unterschreiten. Passen Sie ggf. die angegebene Einstreumenge (gering, mittel, hoch) an.</t>
  </si>
  <si>
    <t>Nährstoffgehalt Stroh neu</t>
  </si>
  <si>
    <t>Faktor Menge</t>
  </si>
  <si>
    <t>Anfall Stroh abweichend</t>
  </si>
  <si>
    <t>Einstreu kg je GV und Tag abweichend</t>
  </si>
  <si>
    <t>in t</t>
  </si>
  <si>
    <t>in ?</t>
  </si>
  <si>
    <t>Gasausbeut. abw. Einstr.</t>
  </si>
  <si>
    <t>Differenz Strohmenge:</t>
  </si>
  <si>
    <t>4. Abweichendes Einstreumaterial und Einstreumengen</t>
  </si>
  <si>
    <t xml:space="preserve">Nähstoffgehalt abweichende Einstreu kg/t </t>
  </si>
  <si>
    <t>+++Rinder+++</t>
  </si>
  <si>
    <t>+++Schweine+++</t>
  </si>
  <si>
    <t>+++Geflügel+++</t>
  </si>
  <si>
    <t>+++Sonstige+++</t>
  </si>
  <si>
    <t>+++Rind+++</t>
  </si>
  <si>
    <t>Milchviehgülle (Grünland, 7,5 % TM)</t>
  </si>
  <si>
    <t>Milchviehgülle (Acker, 7,5 % TM)</t>
  </si>
  <si>
    <t>Mastbullengülle (7,5 % TM)</t>
  </si>
  <si>
    <t>Rindermist, geringe Einstreu (18,5 % TM)</t>
  </si>
  <si>
    <t>Rindermist, hohe Einstreu (23 % TM)</t>
  </si>
  <si>
    <t>Rinderjauche (1,8 % TM)</t>
  </si>
  <si>
    <t>+++Schwein+++</t>
  </si>
  <si>
    <t>Mastschweinegülle (5 % TM), Standardfutter</t>
  </si>
  <si>
    <t>Mastschweinegülle (5 % TM), N-/P-red. Fütterung</t>
  </si>
  <si>
    <t>Mastschweinegülle (5 % TM), stark N-/P-red. Fütterung</t>
  </si>
  <si>
    <t>Zuchtsauengülle (5 % TM), Standardfutter</t>
  </si>
  <si>
    <t>Zuchtsauengülle (5 % TM), N-/P-red. Fütterung</t>
  </si>
  <si>
    <t>Zuchtsauengülle (5 % TM), stark N-/P-red. Fütterung</t>
  </si>
  <si>
    <t>Schweinemist, geringe Einstreu (21 % TM)</t>
  </si>
  <si>
    <t>Schweinemist, hohe Einstreu (25 % TM)</t>
  </si>
  <si>
    <t>Schweinejauche (1,8 % TM)</t>
  </si>
  <si>
    <t>Hühnermist (50 % TM)</t>
  </si>
  <si>
    <t>Hühnerkot (50 % TM)</t>
  </si>
  <si>
    <t>Putenmist (50 % TM)</t>
  </si>
  <si>
    <t>Masthähnchenmist (60 % TM)</t>
  </si>
  <si>
    <t>Pekingenten- und Gänsemist (30 % TM)</t>
  </si>
  <si>
    <t>Flugentenmist (30 % TM)</t>
  </si>
  <si>
    <t>+++sonstige tierische Herkunft+++</t>
  </si>
  <si>
    <t>Pferdemist (30 % TM)</t>
  </si>
  <si>
    <t>Schaf-, Lama-, Alpaka- und Ziegenmist (30 % TM)</t>
  </si>
  <si>
    <t>Erläuterung zur Berechnung des Trockenkotanfalles</t>
  </si>
  <si>
    <t>Gesamtformel Beispiel Winter</t>
  </si>
  <si>
    <t>WENN(CQ23=FALSCH;0;WENN(V23=0;0;WENN(AY23+AV23=0;0;WENN(BF23=4;AY23*BB23-(D23*(1-H23/100)*BZ23*365*BJ23/1000/50*86)+DO23-DM23;AY23*BB23+DO23-DM23))))</t>
  </si>
  <si>
    <t>wenn Geflügel</t>
  </si>
  <si>
    <t>WENN(BF23=4;AY23*BB23-(D23*(1-H23/100)*BZ23*365*BJ23/1000/50*86)</t>
  </si>
  <si>
    <t>BF23=4</t>
  </si>
  <si>
    <t>AY23</t>
  </si>
  <si>
    <t>Anzahl Tiere ohne Weide (Gülle + Mist)</t>
  </si>
  <si>
    <t>BB23</t>
  </si>
  <si>
    <t>minus</t>
  </si>
  <si>
    <t>D23</t>
  </si>
  <si>
    <t>Anzahl Tiere auf Gülle</t>
  </si>
  <si>
    <t>H23</t>
  </si>
  <si>
    <t xml:space="preserve"> % auf Weide</t>
  </si>
  <si>
    <t>(1-H23/100)</t>
  </si>
  <si>
    <t>Abzug Weideanteil</t>
  </si>
  <si>
    <t>BZ23</t>
  </si>
  <si>
    <t>Einsteu je GV und Tag</t>
  </si>
  <si>
    <t>TS Gehalt im Hühnertrockenkot</t>
  </si>
  <si>
    <t>TS Gehalt Stroh bei Einstreu</t>
  </si>
  <si>
    <t>Ableitung Strohbedarf für Geflügel - Berechnung aus DüV</t>
  </si>
  <si>
    <t>Beispiel Legehennen:</t>
  </si>
  <si>
    <t xml:space="preserve">Angabe DüV: </t>
  </si>
  <si>
    <t xml:space="preserve">Einsteumenge je 1000 Tierplätze </t>
  </si>
  <si>
    <t>kg/Jahr</t>
  </si>
  <si>
    <t>Stallmistanfall in 6 Monaten</t>
  </si>
  <si>
    <t>Stallbelegeung in Tagen je Jahr</t>
  </si>
  <si>
    <t>GV je Tier</t>
  </si>
  <si>
    <t>Wir verwenden ab 2024 in den Basisdaten nur noch Angaben bei der Einstreumenge kg je mittleren Jahresbestand (ggf. kann ohne Nachkommastellen noch Umgrechnet werden)</t>
  </si>
  <si>
    <t>Einstreumenge je mittleren Jahresbestand je Tier</t>
  </si>
  <si>
    <t xml:space="preserve"> --&gt; die Einsteumenge wird bei Geflügel ab 2024 auf 4 Stellen nach dem Komma gerundet</t>
  </si>
  <si>
    <t>Berechnung Einsteumenge in kg/GV je Jahr</t>
  </si>
  <si>
    <t>kg/Tag je mittlerer Jahresbestand (berechnet aus der gerundeten Einsteumenge je mittleren Jahresbestand</t>
  </si>
  <si>
    <t>Berechnung Stallmistanfall in t/Jahr</t>
  </si>
  <si>
    <t>t/Jahr und Tier</t>
  </si>
  <si>
    <t>Lf nach DüV - nicht gedüngt und nichtgenutzt</t>
  </si>
  <si>
    <t>Anfall Abwasser etc</t>
  </si>
  <si>
    <t>Erntemo_ab_kul</t>
  </si>
  <si>
    <t>Erntemo_bis_kul</t>
  </si>
  <si>
    <t>Erntemonat_kul</t>
  </si>
  <si>
    <t>Gasausbeute</t>
  </si>
  <si>
    <t>Methanmenge</t>
  </si>
  <si>
    <t>Für Tiere auf Einstreu, können alternative Materialien und Mengen eingegeben werden.</t>
  </si>
  <si>
    <t xml:space="preserve"> gültig bis 31.12.2024 (Stand: 20.06.2024)</t>
  </si>
  <si>
    <r>
      <t>P</t>
    </r>
    <r>
      <rPr>
        <sz val="10"/>
        <rFont val="Calibri"/>
        <family val="2"/>
      </rPr>
      <t>₂</t>
    </r>
    <r>
      <rPr>
        <sz val="10"/>
        <rFont val="Arial"/>
        <family val="2"/>
      </rPr>
      <t>O</t>
    </r>
    <r>
      <rPr>
        <sz val="10"/>
        <rFont val="Calibri"/>
        <family val="2"/>
      </rPr>
      <t>₅</t>
    </r>
  </si>
  <si>
    <t xml:space="preserve">  stufenlose Berechnung ("eigene, abweichende Tierdaten")</t>
  </si>
  <si>
    <t xml:space="preserve">  stufenlose Berechnung  ("eigene, abweichende Tierdaten")</t>
  </si>
  <si>
    <t>Eingabemöglichkeit für eigene, abweichende Tierdaten</t>
  </si>
  <si>
    <t>Eigene, abweichende Tierdaten*</t>
  </si>
  <si>
    <t xml:space="preserve">Anfall Mist </t>
  </si>
  <si>
    <t>ohne Abweichung</t>
  </si>
  <si>
    <t>Corn-Cob-Mix (CCM)</t>
  </si>
  <si>
    <t xml:space="preserve">Maiskleberfutter </t>
  </si>
  <si>
    <t>nicht in BGA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</si>
</sst>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 _€_-;\-* #,##0.00\ _€_-;_-* &quot;-&quot;??\ _€_-;_-@_-"/>
    <numFmt numFmtId="164" formatCode="_-* #,##0.00_-;\-* #,##0.00_-;_-* &quot;-&quot;??_-;_-@_-"/>
    <numFmt numFmtId="165" formatCode="0.0000"/>
    <numFmt numFmtId="166" formatCode="0.000"/>
    <numFmt numFmtId="167" formatCode="0.0"/>
    <numFmt numFmtId="168" formatCode="0.0%"/>
    <numFmt numFmtId="169" formatCode="0.000000000"/>
    <numFmt numFmtId="170" formatCode="0.000000"/>
    <numFmt numFmtId="171" formatCode="_-* #,##0.0\ _€_-;\-* #,##0.0\ _€_-;_-* &quot;-&quot;??\ _€_-;_-@_-"/>
  </numFmts>
  <fonts count="13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6"/>
      <name val="Arial"/>
      <family val="2"/>
    </font>
    <font>
      <b/>
      <sz val="12"/>
      <name val="Arial"/>
      <family val="2"/>
    </font>
    <font>
      <sz val="8"/>
      <name val="Arial"/>
      <family val="2"/>
    </font>
    <font>
      <b/>
      <sz val="10"/>
      <color indexed="8"/>
      <name val="Arial"/>
      <family val="2"/>
    </font>
    <font>
      <sz val="10"/>
      <color indexed="8"/>
      <name val="Arial"/>
      <family val="2"/>
    </font>
    <font>
      <b/>
      <vertAlign val="superscript"/>
      <sz val="10"/>
      <name val="Arial"/>
      <family val="2"/>
    </font>
    <font>
      <sz val="10"/>
      <name val="Arial"/>
      <family val="2"/>
    </font>
    <font>
      <sz val="10"/>
      <color indexed="10"/>
      <name val="Arial"/>
      <family val="2"/>
    </font>
    <font>
      <sz val="10"/>
      <color indexed="81"/>
      <name val="Tahoma"/>
      <family val="2"/>
    </font>
    <font>
      <sz val="9"/>
      <name val="Arial"/>
      <family val="2"/>
    </font>
    <font>
      <b/>
      <sz val="11"/>
      <name val="Arial"/>
      <family val="2"/>
    </font>
    <font>
      <sz val="12"/>
      <name val="Arial"/>
      <family val="2"/>
    </font>
    <font>
      <sz val="9"/>
      <color indexed="81"/>
      <name val="Tahoma"/>
      <family val="2"/>
    </font>
    <font>
      <b/>
      <i/>
      <sz val="10"/>
      <name val="Arial"/>
      <family val="2"/>
    </font>
    <font>
      <b/>
      <sz val="9"/>
      <name val="Arial"/>
      <family val="2"/>
    </font>
    <font>
      <sz val="10"/>
      <name val="MS Sans Serif"/>
      <family val="2"/>
    </font>
    <font>
      <sz val="10"/>
      <name val="Calibri"/>
      <family val="2"/>
    </font>
    <font>
      <b/>
      <vertAlign val="subscript"/>
      <sz val="10"/>
      <color indexed="8"/>
      <name val="Arial"/>
      <family val="2"/>
    </font>
    <font>
      <vertAlign val="superscript"/>
      <sz val="10"/>
      <color indexed="8"/>
      <name val="Arial"/>
      <family val="2"/>
    </font>
    <font>
      <b/>
      <sz val="9"/>
      <color indexed="81"/>
      <name val="Tahoma"/>
      <family val="2"/>
    </font>
    <font>
      <b/>
      <vertAlign val="subscript"/>
      <sz val="10"/>
      <name val="Arial"/>
      <family val="2"/>
    </font>
    <font>
      <b/>
      <sz val="14"/>
      <name val="Arial"/>
      <family val="2"/>
    </font>
    <font>
      <b/>
      <sz val="10"/>
      <color indexed="10"/>
      <name val="Arial"/>
      <family val="2"/>
    </font>
    <font>
      <sz val="11"/>
      <name val="Arial"/>
      <family val="2"/>
    </font>
    <font>
      <vertAlign val="subscript"/>
      <sz val="10"/>
      <name val="Arial"/>
      <family val="2"/>
    </font>
    <font>
      <vertAlign val="superscript"/>
      <sz val="10"/>
      <name val="Arial"/>
      <family val="2"/>
    </font>
    <font>
      <sz val="8"/>
      <color indexed="81"/>
      <name val="Tahoma"/>
      <family val="2"/>
    </font>
    <font>
      <vertAlign val="subscript"/>
      <sz val="11"/>
      <color indexed="8"/>
      <name val="Calibri"/>
      <family val="2"/>
    </font>
    <font>
      <b/>
      <sz val="10"/>
      <color indexed="17"/>
      <name val="Arial"/>
      <family val="2"/>
    </font>
    <font>
      <sz val="7"/>
      <name val="Arial"/>
      <family val="2"/>
    </font>
    <font>
      <b/>
      <u/>
      <sz val="9"/>
      <color indexed="81"/>
      <name val="Tahoma"/>
      <family val="2"/>
    </font>
    <font>
      <u/>
      <sz val="9"/>
      <color indexed="81"/>
      <name val="Tahoma"/>
      <family val="2"/>
    </font>
    <font>
      <vertAlign val="subscript"/>
      <sz val="11"/>
      <name val="Arial"/>
      <family val="2"/>
    </font>
    <font>
      <b/>
      <sz val="11.5"/>
      <name val="Arial"/>
      <family val="2"/>
    </font>
    <font>
      <b/>
      <sz val="8"/>
      <name val="Arial"/>
      <family val="2"/>
    </font>
    <font>
      <b/>
      <vertAlign val="subscript"/>
      <sz val="12"/>
      <name val="Arial"/>
      <family val="2"/>
    </font>
    <font>
      <b/>
      <vertAlign val="subscript"/>
      <sz val="11"/>
      <color indexed="8"/>
      <name val="Calibri"/>
      <family val="2"/>
    </font>
    <font>
      <sz val="10"/>
      <name val="Wingdings"/>
      <charset val="2"/>
    </font>
    <font>
      <b/>
      <sz val="12"/>
      <name val="Wingdings"/>
      <charset val="2"/>
    </font>
    <font>
      <b/>
      <sz val="18"/>
      <name val="Arial"/>
      <family val="2"/>
    </font>
    <font>
      <sz val="11"/>
      <color theme="1"/>
      <name val="Calibri"/>
      <family val="2"/>
      <scheme val="minor"/>
    </font>
    <font>
      <sz val="11"/>
      <color theme="0"/>
      <name val="Calibri"/>
      <family val="2"/>
      <scheme val="minor"/>
    </font>
    <font>
      <b/>
      <sz val="11"/>
      <color rgb="FF3F3F3F"/>
      <name val="Calibri"/>
      <family val="2"/>
      <scheme val="minor"/>
    </font>
    <font>
      <b/>
      <sz val="11"/>
      <color rgb="FFFA7D00"/>
      <name val="Calibri"/>
      <family val="2"/>
      <scheme val="minor"/>
    </font>
    <font>
      <sz val="11"/>
      <color rgb="FF3F3F76"/>
      <name val="Calibri"/>
      <family val="2"/>
      <scheme val="minor"/>
    </font>
    <font>
      <b/>
      <sz val="11"/>
      <color theme="1"/>
      <name val="Calibri"/>
      <family val="2"/>
      <scheme val="minor"/>
    </font>
    <font>
      <i/>
      <sz val="11"/>
      <color rgb="FF7F7F7F"/>
      <name val="Calibri"/>
      <family val="2"/>
      <scheme val="minor"/>
    </font>
    <font>
      <sz val="11"/>
      <color rgb="FF006100"/>
      <name val="Calibri"/>
      <family val="2"/>
      <scheme val="minor"/>
    </font>
    <font>
      <sz val="11"/>
      <color rgb="FF9C6500"/>
      <name val="Calibri"/>
      <family val="2"/>
      <scheme val="minor"/>
    </font>
    <font>
      <sz val="11"/>
      <color rgb="FF9C0006"/>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FA7D00"/>
      <name val="Calibri"/>
      <family val="2"/>
      <scheme val="minor"/>
    </font>
    <font>
      <sz val="11"/>
      <color rgb="FFFF0000"/>
      <name val="Calibri"/>
      <family val="2"/>
      <scheme val="minor"/>
    </font>
    <font>
      <b/>
      <sz val="11"/>
      <color theme="0"/>
      <name val="Calibri"/>
      <family val="2"/>
      <scheme val="minor"/>
    </font>
    <font>
      <b/>
      <sz val="14"/>
      <color rgb="FF000000"/>
      <name val="Calibri"/>
      <family val="2"/>
    </font>
    <font>
      <sz val="14"/>
      <color rgb="FF000000"/>
      <name val="Calibri"/>
      <family val="2"/>
    </font>
    <font>
      <sz val="11"/>
      <color rgb="FF000000"/>
      <name val="Calibri"/>
      <family val="2"/>
    </font>
    <font>
      <b/>
      <sz val="12"/>
      <color rgb="FF000000"/>
      <name val="Calibri"/>
      <family val="2"/>
    </font>
    <font>
      <sz val="12"/>
      <color rgb="FF000000"/>
      <name val="Calibri"/>
      <family val="2"/>
    </font>
    <font>
      <b/>
      <sz val="10"/>
      <color rgb="FF000000"/>
      <name val="Calibri"/>
      <family val="2"/>
    </font>
    <font>
      <sz val="10"/>
      <color rgb="FF000000"/>
      <name val="Calibri"/>
      <family val="2"/>
    </font>
    <font>
      <b/>
      <sz val="10"/>
      <color theme="1"/>
      <name val="Arial"/>
      <family val="2"/>
    </font>
    <font>
      <sz val="10"/>
      <color theme="1"/>
      <name val="Arial"/>
      <family val="2"/>
    </font>
    <font>
      <b/>
      <sz val="12"/>
      <color rgb="FF00B0F0"/>
      <name val="Arial"/>
      <family val="2"/>
    </font>
    <font>
      <b/>
      <sz val="10"/>
      <color rgb="FFFF0000"/>
      <name val="Arial"/>
      <family val="2"/>
    </font>
    <font>
      <b/>
      <sz val="10"/>
      <color rgb="FF00B050"/>
      <name val="Arial"/>
      <family val="2"/>
    </font>
    <font>
      <i/>
      <sz val="9"/>
      <color theme="0" tint="-0.499984740745262"/>
      <name val="Arial"/>
      <family val="2"/>
    </font>
    <font>
      <sz val="10"/>
      <color theme="9" tint="-0.499984740745262"/>
      <name val="Arial"/>
      <family val="2"/>
    </font>
    <font>
      <sz val="10"/>
      <color theme="1" tint="0.499984740745262"/>
      <name val="Arial"/>
      <family val="2"/>
    </font>
    <font>
      <sz val="10"/>
      <color rgb="FFFF0000"/>
      <name val="Arial"/>
      <family val="2"/>
    </font>
    <font>
      <b/>
      <sz val="12"/>
      <color rgb="FFFF0000"/>
      <name val="Arial"/>
      <family val="2"/>
    </font>
    <font>
      <sz val="10"/>
      <color theme="1"/>
      <name val="Calibri"/>
      <family val="2"/>
      <scheme val="minor"/>
    </font>
    <font>
      <sz val="10"/>
      <color rgb="FF0070C0"/>
      <name val="Arial"/>
      <family val="2"/>
    </font>
    <font>
      <b/>
      <sz val="12"/>
      <color theme="1"/>
      <name val="Arial"/>
      <family val="2"/>
    </font>
    <font>
      <sz val="11"/>
      <color theme="1"/>
      <name val="Arial"/>
      <family val="2"/>
    </font>
    <font>
      <b/>
      <sz val="11"/>
      <color rgb="FFFF0000"/>
      <name val="Arial"/>
      <family val="2"/>
    </font>
    <font>
      <sz val="10"/>
      <color rgb="FF00B050"/>
      <name val="Arial"/>
      <family val="2"/>
    </font>
    <font>
      <b/>
      <sz val="8"/>
      <color rgb="FFFF0000"/>
      <name val="Arial"/>
      <family val="2"/>
    </font>
    <font>
      <b/>
      <i/>
      <sz val="11"/>
      <name val="Arial"/>
      <family val="2"/>
    </font>
    <font>
      <b/>
      <sz val="9"/>
      <color indexed="81"/>
      <name val="Segoe UI"/>
      <family val="2"/>
    </font>
    <font>
      <vertAlign val="subscript"/>
      <sz val="8"/>
      <name val="Arial"/>
      <family val="2"/>
    </font>
    <font>
      <sz val="10"/>
      <color theme="0" tint="-0.499984740745262"/>
      <name val="Arial"/>
      <family val="2"/>
    </font>
    <font>
      <sz val="9"/>
      <color indexed="81"/>
      <name val="Segoe UI"/>
      <family val="2"/>
    </font>
    <font>
      <vertAlign val="subscript"/>
      <sz val="11"/>
      <color indexed="8"/>
      <name val="Arial"/>
      <family val="2"/>
    </font>
    <font>
      <sz val="10"/>
      <color indexed="60"/>
      <name val="Arial"/>
      <family val="2"/>
    </font>
    <font>
      <sz val="11"/>
      <name val="Calibri"/>
      <family val="2"/>
    </font>
    <font>
      <sz val="10"/>
      <color theme="1"/>
      <name val="Arial"/>
      <family val="2"/>
    </font>
    <font>
      <sz val="10"/>
      <name val="Arial"/>
      <family val="2"/>
    </font>
    <font>
      <sz val="11"/>
      <name val="Calibri"/>
      <family val="2"/>
      <scheme val="minor"/>
    </font>
    <font>
      <b/>
      <vertAlign val="superscript"/>
      <sz val="10"/>
      <color rgb="FF000000"/>
      <name val="Arial"/>
      <family val="2"/>
    </font>
    <font>
      <b/>
      <vertAlign val="superscript"/>
      <sz val="10"/>
      <color indexed="8"/>
      <name val="Arial"/>
      <family val="2"/>
    </font>
    <font>
      <b/>
      <sz val="10"/>
      <color rgb="FF000000"/>
      <name val="Arial"/>
      <family val="2"/>
    </font>
    <font>
      <sz val="8"/>
      <color indexed="8"/>
      <name val="Arial"/>
      <family val="2"/>
    </font>
    <font>
      <sz val="8"/>
      <color theme="0" tint="-0.34998626667073579"/>
      <name val="Arial"/>
      <family val="2"/>
    </font>
    <font>
      <b/>
      <sz val="9"/>
      <color indexed="8"/>
      <name val="Arial"/>
      <family val="2"/>
    </font>
    <font>
      <sz val="8"/>
      <color theme="1"/>
      <name val="Arial"/>
      <family val="2"/>
    </font>
    <font>
      <b/>
      <vertAlign val="subscript"/>
      <sz val="10"/>
      <color theme="1"/>
      <name val="Arial"/>
      <family val="2"/>
    </font>
    <font>
      <b/>
      <sz val="10"/>
      <color rgb="FF0070C0"/>
      <name val="Arial"/>
      <family val="2"/>
    </font>
    <font>
      <u/>
      <sz val="10"/>
      <color theme="10"/>
      <name val="Arial"/>
      <family val="2"/>
    </font>
    <font>
      <b/>
      <sz val="9"/>
      <color rgb="FFFF0000"/>
      <name val="Arial"/>
      <family val="2"/>
    </font>
    <font>
      <sz val="10"/>
      <color theme="0"/>
      <name val="Arial"/>
      <family val="2"/>
    </font>
    <font>
      <sz val="10"/>
      <color theme="9" tint="-0.249977111117893"/>
      <name val="Arial"/>
      <family val="2"/>
    </font>
    <font>
      <sz val="9"/>
      <color theme="1"/>
      <name val="Arial"/>
      <family val="2"/>
    </font>
    <font>
      <sz val="12"/>
      <color theme="1"/>
      <name val="Arial"/>
      <family val="2"/>
    </font>
    <font>
      <b/>
      <u/>
      <sz val="16"/>
      <color theme="1"/>
      <name val="Arial"/>
      <family val="2"/>
    </font>
    <font>
      <b/>
      <sz val="18"/>
      <color theme="1"/>
      <name val="Calibri"/>
      <family val="2"/>
      <scheme val="minor"/>
    </font>
    <font>
      <b/>
      <sz val="12"/>
      <color theme="1"/>
      <name val="Calibri"/>
      <family val="2"/>
      <scheme val="minor"/>
    </font>
    <font>
      <b/>
      <sz val="16"/>
      <color theme="1"/>
      <name val="Calibri"/>
      <family val="2"/>
      <scheme val="minor"/>
    </font>
    <font>
      <b/>
      <sz val="14"/>
      <color theme="1"/>
      <name val="Calibri"/>
      <family val="2"/>
      <scheme val="minor"/>
    </font>
    <font>
      <b/>
      <sz val="14"/>
      <color rgb="FFFF0000"/>
      <name val="Calibri"/>
      <family val="2"/>
      <scheme val="minor"/>
    </font>
    <font>
      <sz val="12"/>
      <color theme="1"/>
      <name val="Calibri"/>
      <family val="2"/>
      <scheme val="minor"/>
    </font>
    <font>
      <b/>
      <vertAlign val="subscript"/>
      <sz val="12"/>
      <color theme="1"/>
      <name val="Calibri"/>
      <family val="2"/>
      <scheme val="minor"/>
    </font>
    <font>
      <i/>
      <sz val="11"/>
      <color theme="1"/>
      <name val="Calibri"/>
      <family val="2"/>
      <scheme val="minor"/>
    </font>
    <font>
      <sz val="10"/>
      <color indexed="81"/>
      <name val="Arial"/>
      <family val="2"/>
    </font>
    <font>
      <b/>
      <sz val="10"/>
      <color indexed="81"/>
      <name val="Arial"/>
      <family val="2"/>
    </font>
    <font>
      <u/>
      <sz val="10"/>
      <color indexed="81"/>
      <name val="Arial"/>
      <family val="2"/>
    </font>
    <font>
      <u/>
      <sz val="10"/>
      <name val="Arial"/>
      <family val="2"/>
    </font>
    <font>
      <sz val="10"/>
      <color rgb="FFC00000"/>
      <name val="Arial"/>
      <family val="2"/>
    </font>
    <font>
      <b/>
      <sz val="13"/>
      <color rgb="FFC00000"/>
      <name val="Arial"/>
      <family val="2"/>
    </font>
    <font>
      <sz val="10"/>
      <color indexed="81"/>
      <name val="Segoe UI"/>
      <family val="2"/>
    </font>
    <font>
      <vertAlign val="subscript"/>
      <sz val="10"/>
      <color indexed="81"/>
      <name val="Arial"/>
      <family val="2"/>
    </font>
    <font>
      <i/>
      <sz val="10"/>
      <name val="Arial"/>
      <family val="2"/>
    </font>
    <font>
      <i/>
      <sz val="10"/>
      <name val="Calibri"/>
      <family val="2"/>
      <scheme val="minor"/>
    </font>
  </fonts>
  <fills count="75">
    <fill>
      <patternFill patternType="none"/>
    </fill>
    <fill>
      <patternFill patternType="gray125"/>
    </fill>
    <fill>
      <patternFill patternType="solid">
        <fgColor indexed="43"/>
        <bgColor indexed="64"/>
      </patternFill>
    </fill>
    <fill>
      <patternFill patternType="lightUp"/>
    </fill>
    <fill>
      <patternFill patternType="lightDown"/>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C99"/>
      </patternFill>
    </fill>
    <fill>
      <patternFill patternType="solid">
        <fgColor rgb="FFC6EFCE"/>
      </patternFill>
    </fill>
    <fill>
      <patternFill patternType="solid">
        <fgColor rgb="FFFFEB9C"/>
      </patternFill>
    </fill>
    <fill>
      <patternFill patternType="solid">
        <fgColor rgb="FFFFFFCC"/>
      </patternFill>
    </fill>
    <fill>
      <patternFill patternType="solid">
        <fgColor rgb="FFFFC7CE"/>
      </patternFill>
    </fill>
    <fill>
      <patternFill patternType="solid">
        <fgColor rgb="FFA5A5A5"/>
      </patternFill>
    </fill>
    <fill>
      <patternFill patternType="solid">
        <fgColor rgb="FFFFFF00"/>
        <bgColor rgb="FF000000"/>
      </patternFill>
    </fill>
    <fill>
      <patternFill patternType="solid">
        <fgColor rgb="FF66FF66"/>
        <bgColor rgb="FF000000"/>
      </patternFill>
    </fill>
    <fill>
      <patternFill patternType="solid">
        <fgColor rgb="FFCCFFCC"/>
        <bgColor rgb="FF000000"/>
      </patternFill>
    </fill>
    <fill>
      <patternFill patternType="solid">
        <fgColor rgb="FFFFFF99"/>
        <bgColor rgb="FF000000"/>
      </patternFill>
    </fill>
    <fill>
      <patternFill patternType="solid">
        <fgColor theme="0"/>
        <bgColor indexed="64"/>
      </patternFill>
    </fill>
    <fill>
      <patternFill patternType="solid">
        <fgColor rgb="FF00B0F0"/>
        <bgColor indexed="64"/>
      </patternFill>
    </fill>
    <fill>
      <patternFill patternType="solid">
        <fgColor rgb="FF92D05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99"/>
        <bgColor indexed="64"/>
      </patternFill>
    </fill>
    <fill>
      <patternFill patternType="solid">
        <fgColor rgb="FF00B050"/>
        <bgColor indexed="64"/>
      </patternFill>
    </fill>
    <fill>
      <patternFill patternType="solid">
        <fgColor theme="9"/>
        <bgColor indexed="64"/>
      </patternFill>
    </fill>
    <fill>
      <patternFill patternType="lightDown">
        <bgColor theme="0" tint="-0.14999847407452621"/>
      </patternFill>
    </fill>
    <fill>
      <patternFill patternType="solid">
        <fgColor theme="0" tint="-0.14996795556505021"/>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rgb="FFFF0000"/>
        <bgColor indexed="64"/>
      </patternFill>
    </fill>
    <fill>
      <patternFill patternType="solid">
        <fgColor indexed="13"/>
        <bgColor indexed="64"/>
      </patternFill>
    </fill>
    <fill>
      <patternFill patternType="solid">
        <fgColor theme="9" tint="0.59999389629810485"/>
        <bgColor indexed="64"/>
      </patternFill>
    </fill>
    <fill>
      <patternFill patternType="lightDown">
        <bgColor rgb="FF00B0F0"/>
      </patternFill>
    </fill>
    <fill>
      <patternFill patternType="solid">
        <fgColor theme="8" tint="0.79998168889431442"/>
        <bgColor indexed="64"/>
      </patternFill>
    </fill>
    <fill>
      <patternFill patternType="lightDown">
        <bgColor theme="8" tint="0.79995117038483843"/>
      </patternFill>
    </fill>
    <fill>
      <patternFill patternType="solid">
        <fgColor rgb="FFF8F896"/>
        <bgColor indexed="64"/>
      </patternFill>
    </fill>
    <fill>
      <patternFill patternType="solid">
        <fgColor rgb="FF00FF00"/>
        <bgColor indexed="64"/>
      </patternFill>
    </fill>
    <fill>
      <patternFill patternType="solid">
        <fgColor theme="0" tint="-0.249977111117893"/>
        <bgColor indexed="64"/>
      </patternFill>
    </fill>
    <fill>
      <patternFill patternType="solid">
        <fgColor theme="6"/>
        <bgColor indexed="64"/>
      </patternFill>
    </fill>
    <fill>
      <patternFill patternType="solid">
        <fgColor rgb="FFC00000"/>
        <bgColor indexed="64"/>
      </patternFill>
    </fill>
    <fill>
      <patternFill patternType="darkDown">
        <bgColor rgb="FF00B0F0"/>
      </patternFill>
    </fill>
    <fill>
      <patternFill patternType="solid">
        <fgColor theme="0" tint="-0.34998626667073579"/>
        <bgColor indexed="64"/>
      </patternFill>
    </fill>
    <fill>
      <patternFill patternType="solid">
        <fgColor theme="9" tint="0.79998168889431442"/>
        <bgColor indexed="64"/>
      </patternFill>
    </fill>
    <fill>
      <patternFill patternType="solid">
        <fgColor theme="8"/>
        <bgColor indexed="64"/>
      </patternFill>
    </fill>
    <fill>
      <patternFill patternType="solid">
        <fgColor theme="2" tint="-0.249977111117893"/>
        <bgColor indexed="64"/>
      </patternFill>
    </fill>
    <fill>
      <patternFill patternType="solid">
        <fgColor theme="2"/>
        <bgColor indexed="64"/>
      </patternFill>
    </fill>
    <fill>
      <patternFill patternType="solid">
        <fgColor theme="5"/>
        <bgColor indexed="64"/>
      </patternFill>
    </fill>
    <fill>
      <patternFill patternType="solid">
        <fgColor theme="2" tint="-9.9978637043366805E-2"/>
        <bgColor indexed="64"/>
      </patternFill>
    </fill>
    <fill>
      <patternFill patternType="solid">
        <fgColor theme="1" tint="0.499984740745262"/>
        <bgColor indexed="64"/>
      </patternFill>
    </fill>
    <fill>
      <patternFill patternType="gray0625">
        <fgColor rgb="FF000000"/>
        <bgColor rgb="FFFFFF99"/>
      </patternFill>
    </fill>
  </fills>
  <borders count="35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ashed">
        <color indexed="64"/>
      </right>
      <top/>
      <bottom/>
      <diagonal/>
    </border>
    <border>
      <left/>
      <right style="thin">
        <color indexed="64"/>
      </right>
      <top/>
      <bottom/>
      <diagonal/>
    </border>
    <border>
      <left style="thin">
        <color indexed="64"/>
      </left>
      <right style="thin">
        <color indexed="64"/>
      </right>
      <top/>
      <bottom/>
      <diagonal/>
    </border>
    <border>
      <left style="thin">
        <color indexed="64"/>
      </left>
      <right style="dashed">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bottom style="hair">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bottom style="medium">
        <color indexed="64"/>
      </bottom>
      <diagonal/>
    </border>
    <border>
      <left/>
      <right style="dashed">
        <color indexed="64"/>
      </right>
      <top/>
      <bottom/>
      <diagonal/>
    </border>
    <border>
      <left/>
      <right style="dashed">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medium">
        <color indexed="64"/>
      </bottom>
      <diagonal/>
    </border>
    <border>
      <left style="medium">
        <color indexed="64"/>
      </left>
      <right style="dotted">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thin">
        <color indexed="64"/>
      </left>
      <right style="dotted">
        <color indexed="64"/>
      </right>
      <top/>
      <bottom style="dotted">
        <color indexed="64"/>
      </bottom>
      <diagonal/>
    </border>
    <border>
      <left style="thin">
        <color indexed="64"/>
      </left>
      <right style="dotted">
        <color indexed="64"/>
      </right>
      <top style="dotted">
        <color indexed="64"/>
      </top>
      <bottom style="dotted">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dotted">
        <color indexed="64"/>
      </bottom>
      <diagonal/>
    </border>
    <border>
      <left style="dotted">
        <color indexed="64"/>
      </left>
      <right style="medium">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dotted">
        <color indexed="64"/>
      </bottom>
      <diagonal/>
    </border>
    <border>
      <left style="dotted">
        <color indexed="64"/>
      </left>
      <right/>
      <top style="dotted">
        <color indexed="64"/>
      </top>
      <bottom style="dotted">
        <color indexed="64"/>
      </bottom>
      <diagonal/>
    </border>
    <border>
      <left style="medium">
        <color indexed="64"/>
      </left>
      <right style="medium">
        <color indexed="64"/>
      </right>
      <top style="medium">
        <color indexed="64"/>
      </top>
      <bottom style="dotted">
        <color indexed="64"/>
      </bottom>
      <diagonal/>
    </border>
    <border>
      <left/>
      <right/>
      <top style="medium">
        <color indexed="64"/>
      </top>
      <bottom style="dotted">
        <color indexed="64"/>
      </bottom>
      <diagonal/>
    </border>
    <border>
      <left style="medium">
        <color indexed="64"/>
      </left>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medium">
        <color indexed="64"/>
      </right>
      <top style="dotted">
        <color indexed="64"/>
      </top>
      <bottom style="dotted">
        <color indexed="64"/>
      </bottom>
      <diagonal/>
    </border>
    <border>
      <left/>
      <right/>
      <top style="dotted">
        <color indexed="64"/>
      </top>
      <bottom style="dotted">
        <color indexed="64"/>
      </bottom>
      <diagonal/>
    </border>
    <border>
      <left style="medium">
        <color indexed="64"/>
      </left>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dotted">
        <color indexed="64"/>
      </left>
      <right/>
      <top/>
      <bottom style="dotted">
        <color indexed="64"/>
      </bottom>
      <diagonal/>
    </border>
    <border>
      <left/>
      <right/>
      <top style="thin">
        <color indexed="64"/>
      </top>
      <bottom style="thin">
        <color indexed="64"/>
      </bottom>
      <diagonal/>
    </border>
    <border>
      <left style="thin">
        <color indexed="64"/>
      </left>
      <right style="dashed">
        <color indexed="64"/>
      </right>
      <top/>
      <bottom style="medium">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medium">
        <color indexed="64"/>
      </top>
      <bottom/>
      <diagonal/>
    </border>
    <border>
      <left style="thin">
        <color indexed="64"/>
      </left>
      <right style="dotted">
        <color indexed="64"/>
      </right>
      <top style="dotted">
        <color indexed="64"/>
      </top>
      <bottom style="medium">
        <color indexed="64"/>
      </bottom>
      <diagonal/>
    </border>
    <border>
      <left style="dotted">
        <color indexed="64"/>
      </left>
      <right/>
      <top style="dotted">
        <color indexed="64"/>
      </top>
      <bottom style="medium">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medium">
        <color indexed="64"/>
      </left>
      <right/>
      <top/>
      <bottom style="dotted">
        <color indexed="64"/>
      </bottom>
      <diagonal/>
    </border>
    <border>
      <left style="medium">
        <color indexed="64"/>
      </left>
      <right/>
      <top style="dotted">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dashed">
        <color indexed="64"/>
      </left>
      <right style="medium">
        <color indexed="64"/>
      </right>
      <top style="dashed">
        <color indexed="64"/>
      </top>
      <bottom style="dashed">
        <color indexed="64"/>
      </bottom>
      <diagonal/>
    </border>
    <border>
      <left/>
      <right style="medium">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indexed="64"/>
      </left>
      <right/>
      <top style="thin">
        <color indexed="64"/>
      </top>
      <bottom style="thin">
        <color indexed="64"/>
      </bottom>
      <diagonal/>
    </border>
    <border>
      <left style="thin">
        <color indexed="64"/>
      </left>
      <right style="dotted">
        <color indexed="64"/>
      </right>
      <top style="medium">
        <color indexed="64"/>
      </top>
      <bottom style="dashed">
        <color indexed="64"/>
      </bottom>
      <diagonal/>
    </border>
    <border>
      <left style="dotted">
        <color indexed="64"/>
      </left>
      <right style="medium">
        <color indexed="64"/>
      </right>
      <top style="medium">
        <color indexed="64"/>
      </top>
      <bottom style="dashed">
        <color indexed="64"/>
      </bottom>
      <diagonal/>
    </border>
    <border>
      <left style="thin">
        <color indexed="64"/>
      </left>
      <right style="dotted">
        <color indexed="64"/>
      </right>
      <top style="dashed">
        <color indexed="64"/>
      </top>
      <bottom style="dashed">
        <color indexed="64"/>
      </bottom>
      <diagonal/>
    </border>
    <border>
      <left style="dotted">
        <color indexed="64"/>
      </left>
      <right style="medium">
        <color indexed="64"/>
      </right>
      <top style="dashed">
        <color indexed="64"/>
      </top>
      <bottom style="dashed">
        <color indexed="64"/>
      </bottom>
      <diagonal/>
    </border>
    <border>
      <left style="dashed">
        <color indexed="64"/>
      </left>
      <right style="medium">
        <color indexed="64"/>
      </right>
      <top/>
      <bottom style="dashed">
        <color indexed="64"/>
      </bottom>
      <diagonal/>
    </border>
    <border>
      <left style="thin">
        <color indexed="64"/>
      </left>
      <right style="dashed">
        <color indexed="64"/>
      </right>
      <top/>
      <bottom style="dashed">
        <color indexed="64"/>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thin">
        <color indexed="64"/>
      </top>
      <bottom style="medium">
        <color indexed="64"/>
      </bottom>
      <diagonal/>
    </border>
    <border>
      <left style="medium">
        <color indexed="64"/>
      </left>
      <right/>
      <top style="dotted">
        <color indexed="64"/>
      </top>
      <bottom style="medium">
        <color indexed="64"/>
      </bottom>
      <diagonal/>
    </border>
    <border>
      <left style="thin">
        <color indexed="64"/>
      </left>
      <right style="thin">
        <color indexed="64"/>
      </right>
      <top style="medium">
        <color indexed="64"/>
      </top>
      <bottom style="dotted">
        <color indexed="64"/>
      </bottom>
      <diagonal/>
    </border>
    <border>
      <left/>
      <right style="thin">
        <color indexed="64"/>
      </right>
      <top style="medium">
        <color indexed="64"/>
      </top>
      <bottom style="dotted">
        <color indexed="64"/>
      </bottom>
      <diagonal/>
    </border>
    <border>
      <left style="thin">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right/>
      <top/>
      <bottom style="dotted">
        <color indexed="64"/>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right style="medium">
        <color indexed="64"/>
      </right>
      <top/>
      <bottom style="dotted">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right style="medium">
        <color indexed="64"/>
      </right>
      <top style="thin">
        <color indexed="64"/>
      </top>
      <bottom style="dashed">
        <color indexed="64"/>
      </bottom>
      <diagonal/>
    </border>
    <border>
      <left style="thin">
        <color indexed="64"/>
      </left>
      <right style="dashed">
        <color indexed="64"/>
      </right>
      <top style="dashed">
        <color indexed="64"/>
      </top>
      <bottom/>
      <diagonal/>
    </border>
    <border>
      <left style="dashed">
        <color indexed="64"/>
      </left>
      <right style="medium">
        <color indexed="64"/>
      </right>
      <top style="dashed">
        <color indexed="64"/>
      </top>
      <bottom/>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dashed">
        <color indexed="64"/>
      </top>
      <bottom/>
      <diagonal/>
    </border>
    <border>
      <left/>
      <right style="medium">
        <color indexed="64"/>
      </right>
      <top style="dashed">
        <color indexed="64"/>
      </top>
      <bottom/>
      <diagonal/>
    </border>
    <border>
      <left/>
      <right/>
      <top style="dashed">
        <color indexed="64"/>
      </top>
      <bottom/>
      <diagonal/>
    </border>
    <border>
      <left/>
      <right style="thin">
        <color indexed="64"/>
      </right>
      <top style="dashed">
        <color indexed="64"/>
      </top>
      <bottom/>
      <diagonal/>
    </border>
    <border>
      <left style="medium">
        <color indexed="64"/>
      </left>
      <right/>
      <top/>
      <bottom style="dashed">
        <color indexed="64"/>
      </bottom>
      <diagonal/>
    </border>
    <border>
      <left/>
      <right style="medium">
        <color indexed="64"/>
      </right>
      <top/>
      <bottom style="dashed">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style="dashed">
        <color indexed="64"/>
      </bottom>
      <diagonal/>
    </border>
    <border>
      <left/>
      <right style="thin">
        <color indexed="64"/>
      </right>
      <top style="dashed">
        <color indexed="64"/>
      </top>
      <bottom style="dashed">
        <color indexed="64"/>
      </bottom>
      <diagonal/>
    </border>
    <border>
      <left/>
      <right style="thin">
        <color indexed="64"/>
      </right>
      <top style="medium">
        <color indexed="64"/>
      </top>
      <bottom style="dashed">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dashed">
        <color indexed="64"/>
      </bottom>
      <diagonal/>
    </border>
    <border>
      <left style="dashed">
        <color indexed="64"/>
      </left>
      <right style="thin">
        <color indexed="64"/>
      </right>
      <top style="thin">
        <color indexed="64"/>
      </top>
      <bottom/>
      <diagonal/>
    </border>
    <border>
      <left style="dashed">
        <color indexed="64"/>
      </left>
      <right style="thin">
        <color indexed="64"/>
      </right>
      <top/>
      <bottom style="thin">
        <color indexed="6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medium">
        <color theme="0" tint="-0.499984740745262"/>
      </left>
      <right style="medium">
        <color theme="0" tint="-0.499984740745262"/>
      </right>
      <top style="medium">
        <color theme="0" tint="-0.499984740745262"/>
      </top>
      <bottom/>
      <diagonal/>
    </border>
    <border>
      <left style="medium">
        <color theme="0" tint="-0.499984740745262"/>
      </left>
      <right style="medium">
        <color theme="0" tint="-0.499984740745262"/>
      </right>
      <top/>
      <bottom/>
      <diagonal/>
    </border>
    <border>
      <left style="medium">
        <color theme="0" tint="-0.499984740745262"/>
      </left>
      <right style="medium">
        <color theme="0" tint="-0.499984740745262"/>
      </right>
      <top/>
      <bottom style="medium">
        <color theme="0" tint="-0.499984740745262"/>
      </bottom>
      <diagonal/>
    </border>
    <border>
      <left/>
      <right/>
      <top style="thin">
        <color theme="0" tint="-0.499984740745262"/>
      </top>
      <bottom/>
      <diagonal/>
    </border>
    <border>
      <left style="medium">
        <color theme="0" tint="-0.499984740745262"/>
      </left>
      <right style="medium">
        <color theme="0" tint="-0.499984740745262"/>
      </right>
      <top style="thin">
        <color theme="0" tint="-0.499984740745262"/>
      </top>
      <bottom/>
      <diagonal/>
    </border>
    <border>
      <left style="medium">
        <color theme="0" tint="-0.499984740745262"/>
      </left>
      <right style="medium">
        <color theme="0" tint="-0.499984740745262"/>
      </right>
      <top/>
      <bottom style="thin">
        <color theme="0" tint="-0.499984740745262"/>
      </bottom>
      <diagonal/>
    </border>
    <border>
      <left/>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top style="medium">
        <color theme="0" tint="-0.499984740745262"/>
      </top>
      <bottom/>
      <diagonal/>
    </border>
    <border>
      <left/>
      <right/>
      <top style="medium">
        <color theme="0" tint="-0.499984740745262"/>
      </top>
      <bottom/>
      <diagonal/>
    </border>
    <border>
      <left style="medium">
        <color theme="0" tint="-0.499984740745262"/>
      </left>
      <right/>
      <top/>
      <bottom/>
      <diagonal/>
    </border>
    <border>
      <left style="medium">
        <color theme="0" tint="-0.499984740745262"/>
      </left>
      <right/>
      <top style="thin">
        <color theme="0" tint="-0.499984740745262"/>
      </top>
      <bottom style="thin">
        <color theme="0" tint="-0.499984740745262"/>
      </bottom>
      <diagonal/>
    </border>
    <border>
      <left style="medium">
        <color theme="0" tint="-0.499984740745262"/>
      </left>
      <right/>
      <top style="thin">
        <color theme="0" tint="-0.499984740745262"/>
      </top>
      <bottom/>
      <diagonal/>
    </border>
    <border>
      <left/>
      <right/>
      <top/>
      <bottom style="medium">
        <color theme="0" tint="-0.499984740745262"/>
      </bottom>
      <diagonal/>
    </border>
    <border>
      <left/>
      <right style="medium">
        <color theme="0" tint="-0.499984740745262"/>
      </right>
      <top/>
      <bottom/>
      <diagonal/>
    </border>
    <border>
      <left style="thin">
        <color theme="0" tint="-0.499984740745262"/>
      </left>
      <right style="thin">
        <color theme="0" tint="-0.499984740745262"/>
      </right>
      <top style="medium">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bottom style="medium">
        <color theme="0" tint="-0.499984740745262"/>
      </bottom>
      <diagonal/>
    </border>
    <border>
      <left/>
      <right/>
      <top/>
      <bottom style="thin">
        <color theme="0" tint="-0.499984740745262"/>
      </bottom>
      <diagonal/>
    </border>
    <border>
      <left/>
      <right/>
      <top style="medium">
        <color theme="0" tint="-0.499984740745262"/>
      </top>
      <bottom style="medium">
        <color theme="0" tint="-0.499984740745262"/>
      </bottom>
      <diagonal/>
    </border>
    <border>
      <left style="medium">
        <color theme="0" tint="-0.499984740745262"/>
      </left>
      <right/>
      <top/>
      <bottom style="medium">
        <color theme="0" tint="-0.499984740745262"/>
      </bottom>
      <diagonal/>
    </border>
    <border>
      <left style="medium">
        <color theme="0" tint="-0.499984740745262"/>
      </left>
      <right/>
      <top style="medium">
        <color theme="0" tint="-0.499984740745262"/>
      </top>
      <bottom style="medium">
        <color theme="0" tint="-0.499984740745262"/>
      </bottom>
      <diagonal/>
    </border>
    <border>
      <left style="medium">
        <color theme="0" tint="-0.499984740745262"/>
      </left>
      <right/>
      <top style="medium">
        <color theme="0" tint="-0.499984740745262"/>
      </top>
      <bottom style="dotted">
        <color theme="0" tint="-0.499984740745262"/>
      </bottom>
      <diagonal/>
    </border>
    <border>
      <left/>
      <right/>
      <top style="medium">
        <color theme="0" tint="-0.499984740745262"/>
      </top>
      <bottom style="dotted">
        <color theme="0" tint="-0.499984740745262"/>
      </bottom>
      <diagonal/>
    </border>
    <border>
      <left/>
      <right style="medium">
        <color theme="0" tint="-0.499984740745262"/>
      </right>
      <top style="medium">
        <color theme="0" tint="-0.499984740745262"/>
      </top>
      <bottom style="dotted">
        <color theme="0" tint="-0.499984740745262"/>
      </bottom>
      <diagonal/>
    </border>
    <border>
      <left style="medium">
        <color theme="0" tint="-0.499984740745262"/>
      </left>
      <right/>
      <top style="dotted">
        <color theme="0" tint="-0.499984740745262"/>
      </top>
      <bottom style="dotted">
        <color theme="0" tint="-0.499984740745262"/>
      </bottom>
      <diagonal/>
    </border>
    <border>
      <left/>
      <right/>
      <top style="dotted">
        <color theme="0" tint="-0.499984740745262"/>
      </top>
      <bottom style="dotted">
        <color theme="0" tint="-0.499984740745262"/>
      </bottom>
      <diagonal/>
    </border>
    <border>
      <left/>
      <right style="medium">
        <color theme="0" tint="-0.499984740745262"/>
      </right>
      <top style="dotted">
        <color theme="0" tint="-0.499984740745262"/>
      </top>
      <bottom style="dotted">
        <color theme="0" tint="-0.499984740745262"/>
      </bottom>
      <diagonal/>
    </border>
    <border>
      <left style="medium">
        <color theme="0" tint="-0.499984740745262"/>
      </left>
      <right/>
      <top style="dotted">
        <color theme="0" tint="-0.499984740745262"/>
      </top>
      <bottom style="medium">
        <color theme="0" tint="-0.499984740745262"/>
      </bottom>
      <diagonal/>
    </border>
    <border>
      <left/>
      <right/>
      <top style="dotted">
        <color theme="0" tint="-0.499984740745262"/>
      </top>
      <bottom style="medium">
        <color theme="0" tint="-0.499984740745262"/>
      </bottom>
      <diagonal/>
    </border>
    <border>
      <left/>
      <right style="medium">
        <color theme="0" tint="-0.499984740745262"/>
      </right>
      <top style="dotted">
        <color theme="0" tint="-0.499984740745262"/>
      </top>
      <bottom style="medium">
        <color theme="0" tint="-0.499984740745262"/>
      </bottom>
      <diagonal/>
    </border>
    <border>
      <left/>
      <right style="medium">
        <color theme="0" tint="-0.499984740745262"/>
      </right>
      <top style="medium">
        <color theme="0" tint="-0.499984740745262"/>
      </top>
      <bottom/>
      <diagonal/>
    </border>
    <border>
      <left/>
      <right style="medium">
        <color theme="0" tint="-0.499984740745262"/>
      </right>
      <top/>
      <bottom style="medium">
        <color theme="0" tint="-0.499984740745262"/>
      </bottom>
      <diagonal/>
    </border>
    <border>
      <left style="thin">
        <color theme="0" tint="-0.499984740745262"/>
      </left>
      <right/>
      <top/>
      <bottom/>
      <diagonal/>
    </border>
    <border>
      <left/>
      <right style="thin">
        <color theme="0" tint="-0.499984740745262"/>
      </right>
      <top/>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medium">
        <color theme="0" tint="-0.499984740745262"/>
      </top>
      <bottom/>
      <diagonal/>
    </border>
    <border>
      <left style="medium">
        <color theme="0" tint="-0.499984740745262"/>
      </left>
      <right style="thin">
        <color theme="0" tint="-0.499984740745262"/>
      </right>
      <top/>
      <bottom style="thin">
        <color theme="0" tint="-0.499984740745262"/>
      </bottom>
      <diagonal/>
    </border>
    <border>
      <left style="thin">
        <color theme="0" tint="-0.499984740745262"/>
      </left>
      <right style="medium">
        <color theme="0" tint="-0.499984740745262"/>
      </right>
      <top style="medium">
        <color theme="0" tint="-0.499984740745262"/>
      </top>
      <bottom/>
      <diagonal/>
    </border>
    <border>
      <left style="thin">
        <color theme="0" tint="-0.499984740745262"/>
      </left>
      <right style="medium">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top style="medium">
        <color theme="0" tint="-0.499984740745262"/>
      </top>
      <bottom style="medium">
        <color theme="0" tint="-0.499984740745262"/>
      </bottom>
      <diagonal/>
    </border>
    <border>
      <left style="thick">
        <color theme="0" tint="-0.499984740745262"/>
      </left>
      <right/>
      <top style="thick">
        <color theme="0" tint="-0.499984740745262"/>
      </top>
      <bottom style="medium">
        <color theme="0" tint="-0.499984740745262"/>
      </bottom>
      <diagonal/>
    </border>
    <border>
      <left/>
      <right/>
      <top style="thick">
        <color theme="0" tint="-0.499984740745262"/>
      </top>
      <bottom style="medium">
        <color theme="0" tint="-0.499984740745262"/>
      </bottom>
      <diagonal/>
    </border>
    <border>
      <left/>
      <right style="medium">
        <color theme="0" tint="-0.499984740745262"/>
      </right>
      <top style="thick">
        <color theme="0" tint="-0.499984740745262"/>
      </top>
      <bottom style="medium">
        <color theme="0" tint="-0.499984740745262"/>
      </bottom>
      <diagonal/>
    </border>
    <border>
      <left style="thick">
        <color theme="0" tint="-0.499984740745262"/>
      </left>
      <right/>
      <top/>
      <bottom/>
      <diagonal/>
    </border>
    <border>
      <left style="thick">
        <color theme="0" tint="-0.499984740745262"/>
      </left>
      <right/>
      <top style="medium">
        <color theme="0" tint="-0.499984740745262"/>
      </top>
      <bottom style="medium">
        <color theme="0" tint="-0.499984740745262"/>
      </bottom>
      <diagonal/>
    </border>
    <border>
      <left/>
      <right style="thick">
        <color theme="0" tint="-0.499984740745262"/>
      </right>
      <top/>
      <bottom/>
      <diagonal/>
    </border>
    <border>
      <left style="thick">
        <color theme="0" tint="-0.499984740745262"/>
      </left>
      <right/>
      <top style="medium">
        <color theme="0" tint="-0.499984740745262"/>
      </top>
      <bottom style="thick">
        <color theme="0" tint="-0.499984740745262"/>
      </bottom>
      <diagonal/>
    </border>
    <border>
      <left/>
      <right/>
      <top style="medium">
        <color theme="0" tint="-0.499984740745262"/>
      </top>
      <bottom style="thick">
        <color theme="0" tint="-0.499984740745262"/>
      </bottom>
      <diagonal/>
    </border>
    <border>
      <left/>
      <right style="medium">
        <color theme="0" tint="-0.499984740745262"/>
      </right>
      <top style="medium">
        <color theme="0" tint="-0.499984740745262"/>
      </top>
      <bottom style="thick">
        <color theme="0" tint="-0.499984740745262"/>
      </bottom>
      <diagonal/>
    </border>
    <border>
      <left/>
      <right style="thin">
        <color theme="0" tint="-0.499984740745262"/>
      </right>
      <top style="thin">
        <color theme="0" tint="-0.499984740745262"/>
      </top>
      <bottom style="thin">
        <color theme="0" tint="-0.499984740745262"/>
      </bottom>
      <diagonal/>
    </border>
    <border>
      <left/>
      <right/>
      <top style="dotted">
        <color theme="0" tint="-0.499984740745262"/>
      </top>
      <bottom/>
      <diagonal/>
    </border>
    <border>
      <left/>
      <right style="medium">
        <color theme="0" tint="-0.499984740745262"/>
      </right>
      <top style="dotted">
        <color theme="0" tint="-0.499984740745262"/>
      </top>
      <bottom/>
      <diagonal/>
    </border>
    <border>
      <left style="medium">
        <color theme="0" tint="-0.499984740745262"/>
      </left>
      <right/>
      <top style="dotted">
        <color theme="0" tint="-0.499984740745262"/>
      </top>
      <bottom/>
      <diagonal/>
    </border>
    <border>
      <left style="thin">
        <color theme="0" tint="-0.499984740745262"/>
      </left>
      <right/>
      <top style="dotted">
        <color theme="0" tint="-0.499984740745262"/>
      </top>
      <bottom style="dotted">
        <color theme="0" tint="-0.499984740745262"/>
      </bottom>
      <diagonal/>
    </border>
    <border>
      <left/>
      <right style="medium">
        <color theme="0" tint="-0.499984740745262"/>
      </right>
      <top style="thin">
        <color theme="0" tint="-0.499984740745262"/>
      </top>
      <bottom style="thin">
        <color theme="0" tint="-0.499984740745262"/>
      </bottom>
      <diagonal/>
    </border>
    <border>
      <left/>
      <right/>
      <top style="dotted">
        <color theme="0" tint="-0.499984740745262"/>
      </top>
      <bottom style="thin">
        <color theme="0" tint="-0.499984740745262"/>
      </bottom>
      <diagonal/>
    </border>
    <border>
      <left/>
      <right style="medium">
        <color theme="0" tint="-0.499984740745262"/>
      </right>
      <top style="dotted">
        <color theme="0" tint="-0.499984740745262"/>
      </top>
      <bottom style="thin">
        <color theme="0" tint="-0.499984740745262"/>
      </bottom>
      <diagonal/>
    </border>
    <border>
      <left/>
      <right style="thin">
        <color theme="0" tint="-0.499984740745262"/>
      </right>
      <top style="medium">
        <color theme="0" tint="-0.499984740745262"/>
      </top>
      <bottom/>
      <diagonal/>
    </border>
    <border>
      <left style="thick">
        <color theme="0" tint="-0.499984740745262"/>
      </left>
      <right/>
      <top/>
      <bottom style="medium">
        <color theme="0" tint="-0.499984740745262"/>
      </bottom>
      <diagonal/>
    </border>
    <border>
      <left style="medium">
        <color theme="0" tint="-0.499984740745262"/>
      </left>
      <right/>
      <top style="thick">
        <color theme="0" tint="-0.499984740745262"/>
      </top>
      <bottom style="medium">
        <color theme="0" tint="-0.499984740745262"/>
      </bottom>
      <diagonal/>
    </border>
    <border>
      <left/>
      <right style="thick">
        <color theme="0" tint="-0.499984740745262"/>
      </right>
      <top style="thick">
        <color theme="0" tint="-0.499984740745262"/>
      </top>
      <bottom style="medium">
        <color theme="0" tint="-0.499984740745262"/>
      </bottom>
      <diagonal/>
    </border>
    <border>
      <left/>
      <right style="thick">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dashed">
        <color theme="0" tint="-0.499984740745262"/>
      </bottom>
      <diagonal/>
    </border>
    <border>
      <left/>
      <right/>
      <top style="medium">
        <color theme="0" tint="-0.499984740745262"/>
      </top>
      <bottom style="dashed">
        <color theme="0" tint="-0.499984740745262"/>
      </bottom>
      <diagonal/>
    </border>
    <border>
      <left/>
      <right style="medium">
        <color theme="0" tint="-0.499984740745262"/>
      </right>
      <top style="medium">
        <color theme="0" tint="-0.499984740745262"/>
      </top>
      <bottom style="dashed">
        <color theme="0" tint="-0.499984740745262"/>
      </bottom>
      <diagonal/>
    </border>
    <border>
      <left style="medium">
        <color theme="0" tint="-0.499984740745262"/>
      </left>
      <right/>
      <top/>
      <bottom style="thin">
        <color theme="0" tint="-0.499984740745262"/>
      </bottom>
      <diagonal/>
    </border>
    <border>
      <left/>
      <right style="medium">
        <color theme="0" tint="-0.499984740745262"/>
      </right>
      <top/>
      <bottom style="thin">
        <color theme="0" tint="-0.499984740745262"/>
      </bottom>
      <diagonal/>
    </border>
    <border>
      <left/>
      <right style="medium">
        <color theme="0" tint="-0.499984740745262"/>
      </right>
      <top style="medium">
        <color theme="0" tint="-0.499984740745262"/>
      </top>
      <bottom style="medium">
        <color theme="0" tint="-0.499984740745262"/>
      </bottom>
      <diagonal/>
    </border>
    <border>
      <left style="thin">
        <color theme="0" tint="-0.499984740745262"/>
      </left>
      <right/>
      <top style="medium">
        <color theme="0" tint="-0.499984740745262"/>
      </top>
      <bottom style="dotted">
        <color theme="0" tint="-0.499984740745262"/>
      </bottom>
      <diagonal/>
    </border>
    <border>
      <left/>
      <right style="medium">
        <color theme="0" tint="-0.499984740745262"/>
      </right>
      <top style="thin">
        <color theme="0" tint="-0.499984740745262"/>
      </top>
      <bottom/>
      <diagonal/>
    </border>
    <border>
      <left style="thin">
        <color theme="0" tint="-0.499984740745262"/>
      </left>
      <right/>
      <top style="medium">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medium">
        <color theme="0" tint="-0.499984740745262"/>
      </left>
      <right/>
      <top style="medium">
        <color theme="0" tint="-0.499984740745262"/>
      </top>
      <bottom style="thick">
        <color theme="0" tint="-0.499984740745262"/>
      </bottom>
      <diagonal/>
    </border>
    <border>
      <left/>
      <right style="thick">
        <color theme="0" tint="-0.499984740745262"/>
      </right>
      <top style="medium">
        <color theme="0" tint="-0.499984740745262"/>
      </top>
      <bottom style="thick">
        <color theme="0" tint="-0.499984740745262"/>
      </bottom>
      <diagonal/>
    </border>
    <border>
      <left/>
      <right style="thick">
        <color theme="0" tint="-0.499984740745262"/>
      </right>
      <top style="medium">
        <color theme="0" tint="-0.499984740745262"/>
      </top>
      <bottom/>
      <diagonal/>
    </border>
    <border>
      <left style="medium">
        <color theme="0" tint="-0.499984740745262"/>
      </left>
      <right style="thin">
        <color indexed="64"/>
      </right>
      <top/>
      <bottom/>
      <diagonal/>
    </border>
    <border>
      <left style="thin">
        <color indexed="64"/>
      </left>
      <right style="medium">
        <color theme="0" tint="-0.499984740745262"/>
      </right>
      <top/>
      <bottom/>
      <diagonal/>
    </border>
    <border>
      <left style="thin">
        <color theme="0" tint="-0.499984740745262"/>
      </left>
      <right/>
      <top style="dotted">
        <color theme="0" tint="-0.499984740745262"/>
      </top>
      <bottom style="medium">
        <color theme="0" tint="-0.499984740745262"/>
      </bottom>
      <diagonal/>
    </border>
    <border>
      <left style="medium">
        <color theme="0" tint="-0.499984740745262"/>
      </left>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right style="medium">
        <color theme="0" tint="-0.499984740745262"/>
      </right>
      <top style="thin">
        <color theme="0" tint="-0.499984740745262"/>
      </top>
      <bottom style="medium">
        <color theme="0" tint="-0.499984740745262"/>
      </bottom>
      <diagonal/>
    </border>
    <border>
      <left style="medium">
        <color theme="0" tint="-0.499984740745262"/>
      </left>
      <right/>
      <top style="dotted">
        <color theme="0" tint="-0.499984740745262"/>
      </top>
      <bottom style="thin">
        <color theme="0" tint="-0.499984740745262"/>
      </bottom>
      <diagonal/>
    </border>
    <border>
      <left/>
      <right style="thin">
        <color theme="0" tint="-0.499984740745262"/>
      </right>
      <top style="dotted">
        <color theme="0" tint="-0.499984740745262"/>
      </top>
      <bottom style="thin">
        <color theme="0" tint="-0.499984740745262"/>
      </bottom>
      <diagonal/>
    </border>
    <border>
      <left/>
      <right style="thin">
        <color theme="0" tint="-0.499984740745262"/>
      </right>
      <top/>
      <bottom style="thin">
        <color theme="0" tint="-0.499984740745262"/>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medium">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style="thin">
        <color indexed="64"/>
      </right>
      <top style="dotted">
        <color indexed="64"/>
      </top>
      <bottom/>
      <diagonal/>
    </border>
    <border>
      <left style="thin">
        <color indexed="64"/>
      </left>
      <right style="medium">
        <color indexed="64"/>
      </right>
      <top style="dotted">
        <color indexed="64"/>
      </top>
      <bottom/>
      <diagonal/>
    </border>
    <border>
      <left/>
      <right/>
      <top style="dotted">
        <color indexed="64"/>
      </top>
      <bottom/>
      <diagonal/>
    </border>
    <border>
      <left style="medium">
        <color indexed="64"/>
      </left>
      <right style="thin">
        <color indexed="64"/>
      </right>
      <top style="medium">
        <color indexed="64"/>
      </top>
      <bottom/>
      <diagonal/>
    </border>
    <border>
      <left style="medium">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right/>
      <top style="thin">
        <color indexed="64"/>
      </top>
      <bottom style="medium">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thin">
        <color indexed="64"/>
      </left>
      <right/>
      <top style="dotted">
        <color indexed="64"/>
      </top>
      <bottom/>
      <diagonal/>
    </border>
    <border>
      <left style="medium">
        <color indexed="64"/>
      </left>
      <right style="medium">
        <color indexed="64"/>
      </right>
      <top style="dotted">
        <color indexed="64"/>
      </top>
      <bottom style="medium">
        <color indexed="64"/>
      </bottom>
      <diagonal/>
    </border>
    <border>
      <left/>
      <right style="thin">
        <color indexed="64"/>
      </right>
      <top/>
      <bottom style="dotted">
        <color indexed="64"/>
      </bottom>
      <diagonal/>
    </border>
    <border>
      <left style="medium">
        <color indexed="64"/>
      </left>
      <right/>
      <top style="dotted">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dashed">
        <color indexed="64"/>
      </right>
      <top style="medium">
        <color indexed="64"/>
      </top>
      <bottom style="thin">
        <color indexed="64"/>
      </bottom>
      <diagonal/>
    </border>
    <border>
      <left style="dashed">
        <color indexed="64"/>
      </left>
      <right style="dashed">
        <color indexed="64"/>
      </right>
      <top style="medium">
        <color indexed="64"/>
      </top>
      <bottom style="thin">
        <color indexed="64"/>
      </bottom>
      <diagonal/>
    </border>
    <border>
      <left style="dashed">
        <color indexed="64"/>
      </left>
      <right/>
      <top style="medium">
        <color indexed="64"/>
      </top>
      <bottom style="thin">
        <color indexed="64"/>
      </bottom>
      <diagonal/>
    </border>
    <border>
      <left/>
      <right style="dashed">
        <color indexed="64"/>
      </right>
      <top style="medium">
        <color indexed="64"/>
      </top>
      <bottom style="thin">
        <color indexed="64"/>
      </bottom>
      <diagonal/>
    </border>
    <border>
      <left style="medium">
        <color indexed="64"/>
      </left>
      <right style="dashed">
        <color indexed="64"/>
      </right>
      <top style="thin">
        <color indexed="64"/>
      </top>
      <bottom style="dashed">
        <color indexed="64"/>
      </bottom>
      <diagonal/>
    </border>
    <border>
      <left/>
      <right style="dashed">
        <color indexed="64"/>
      </right>
      <top style="thin">
        <color indexed="64"/>
      </top>
      <bottom style="dashed">
        <color indexed="64"/>
      </bottom>
      <diagonal/>
    </border>
    <border>
      <left style="dashed">
        <color indexed="64"/>
      </left>
      <right/>
      <top style="thin">
        <color indexed="64"/>
      </top>
      <bottom style="dashed">
        <color indexed="64"/>
      </bottom>
      <diagonal/>
    </border>
    <border>
      <left style="medium">
        <color indexed="64"/>
      </left>
      <right style="dashed">
        <color indexed="64"/>
      </right>
      <top style="dashed">
        <color indexed="64"/>
      </top>
      <bottom/>
      <diagonal/>
    </border>
    <border>
      <left/>
      <right style="dashed">
        <color indexed="64"/>
      </right>
      <top style="dashed">
        <color indexed="64"/>
      </top>
      <bottom/>
      <diagonal/>
    </border>
    <border>
      <left style="dashed">
        <color indexed="64"/>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diagonal/>
    </border>
    <border>
      <left style="medium">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medium">
        <color indexed="64"/>
      </left>
      <right style="dashed">
        <color indexed="64"/>
      </right>
      <top/>
      <bottom style="dashed">
        <color indexed="64"/>
      </bottom>
      <diagonal/>
    </border>
    <border>
      <left/>
      <right style="dashed">
        <color indexed="64"/>
      </right>
      <top/>
      <bottom style="dashed">
        <color indexed="64"/>
      </bottom>
      <diagonal/>
    </border>
    <border>
      <left style="dashed">
        <color indexed="64"/>
      </left>
      <right style="dashed">
        <color indexed="64"/>
      </right>
      <top/>
      <bottom style="dashed">
        <color indexed="64"/>
      </bottom>
      <diagonal/>
    </border>
    <border>
      <left style="medium">
        <color indexed="64"/>
      </left>
      <right style="dashed">
        <color indexed="64"/>
      </right>
      <top style="dashed">
        <color indexed="64"/>
      </top>
      <bottom style="medium">
        <color indexed="64"/>
      </bottom>
      <diagonal/>
    </border>
    <border>
      <left/>
      <right style="dashed">
        <color indexed="64"/>
      </right>
      <top style="dashed">
        <color indexed="64"/>
      </top>
      <bottom style="medium">
        <color indexed="64"/>
      </bottom>
      <diagonal/>
    </border>
    <border>
      <left style="dashed">
        <color indexed="64"/>
      </left>
      <right/>
      <top style="dashed">
        <color indexed="64"/>
      </top>
      <bottom style="medium">
        <color indexed="64"/>
      </bottom>
      <diagonal/>
    </border>
    <border>
      <left/>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dashed">
        <color indexed="64"/>
      </left>
      <right style="thin">
        <color indexed="64"/>
      </right>
      <top style="dashed">
        <color indexed="64"/>
      </top>
      <bottom style="medium">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right style="dashed">
        <color indexed="64"/>
      </right>
      <top style="medium">
        <color indexed="64"/>
      </top>
      <bottom style="dashed">
        <color indexed="64"/>
      </bottom>
      <diagonal/>
    </border>
    <border>
      <left style="dashed">
        <color indexed="64"/>
      </left>
      <right/>
      <top style="medium">
        <color indexed="64"/>
      </top>
      <bottom style="dashed">
        <color indexed="64"/>
      </bottom>
      <diagonal/>
    </border>
    <border>
      <left style="medium">
        <color indexed="64"/>
      </left>
      <right/>
      <top style="dashed">
        <color indexed="64"/>
      </top>
      <bottom style="thin">
        <color indexed="64"/>
      </bottom>
      <diagonal/>
    </border>
    <border>
      <left style="medium">
        <color indexed="64"/>
      </left>
      <right style="dashed">
        <color indexed="64"/>
      </right>
      <top style="dashed">
        <color indexed="64"/>
      </top>
      <bottom style="thin">
        <color indexed="64"/>
      </bottom>
      <diagonal/>
    </border>
    <border>
      <left style="dashed">
        <color indexed="64"/>
      </left>
      <right style="dashed">
        <color indexed="64"/>
      </right>
      <top style="dashed">
        <color indexed="64"/>
      </top>
      <bottom style="thin">
        <color indexed="64"/>
      </bottom>
      <diagonal/>
    </border>
    <border>
      <left style="dashed">
        <color indexed="64"/>
      </left>
      <right style="medium">
        <color indexed="64"/>
      </right>
      <top style="dashed">
        <color indexed="64"/>
      </top>
      <bottom style="thin">
        <color indexed="64"/>
      </bottom>
      <diagonal/>
    </border>
    <border>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dashed">
        <color indexed="64"/>
      </left>
      <right/>
      <top/>
      <bottom style="dashed">
        <color indexed="64"/>
      </bottom>
      <diagonal/>
    </border>
    <border>
      <left style="medium">
        <color indexed="64"/>
      </left>
      <right style="dotted">
        <color indexed="64"/>
      </right>
      <top/>
      <bottom/>
      <diagonal/>
    </border>
    <border>
      <left style="dotted">
        <color indexed="64"/>
      </left>
      <right style="dotted">
        <color indexed="64"/>
      </right>
      <top/>
      <bottom/>
      <diagonal/>
    </border>
    <border>
      <left style="dotted">
        <color indexed="64"/>
      </left>
      <right style="medium">
        <color indexed="64"/>
      </right>
      <top/>
      <bottom/>
      <diagonal/>
    </border>
    <border>
      <left style="dotted">
        <color indexed="64"/>
      </left>
      <right style="dashed">
        <color indexed="64"/>
      </right>
      <top/>
      <bottom/>
      <diagonal/>
    </border>
    <border>
      <left style="dashed">
        <color indexed="64"/>
      </left>
      <right/>
      <top/>
      <bottom/>
      <diagonal/>
    </border>
    <border>
      <left style="dotted">
        <color indexed="64"/>
      </left>
      <right/>
      <top/>
      <bottom/>
      <diagonal/>
    </border>
    <border>
      <left style="medium">
        <color indexed="64"/>
      </left>
      <right style="dotted">
        <color indexed="64"/>
      </right>
      <top/>
      <bottom style="medium">
        <color indexed="64"/>
      </bottom>
      <diagonal/>
    </border>
    <border>
      <left style="dotted">
        <color indexed="64"/>
      </left>
      <right style="dashed">
        <color indexed="64"/>
      </right>
      <top/>
      <bottom style="medium">
        <color indexed="64"/>
      </bottom>
      <diagonal/>
    </border>
    <border>
      <left style="dashed">
        <color indexed="64"/>
      </left>
      <right/>
      <top/>
      <bottom style="medium">
        <color indexed="64"/>
      </bottom>
      <diagonal/>
    </border>
    <border>
      <left style="dotted">
        <color indexed="64"/>
      </left>
      <right/>
      <top/>
      <bottom style="medium">
        <color indexed="64"/>
      </bottom>
      <diagonal/>
    </border>
    <border>
      <left style="dashed">
        <color indexed="64"/>
      </left>
      <right style="dotted">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style="dashed">
        <color indexed="64"/>
      </left>
      <right/>
      <top style="medium">
        <color indexed="64"/>
      </top>
      <bottom style="medium">
        <color indexed="64"/>
      </bottom>
      <diagonal/>
    </border>
    <border>
      <left style="dotted">
        <color indexed="64"/>
      </left>
      <right/>
      <top style="medium">
        <color indexed="64"/>
      </top>
      <bottom style="dotted">
        <color indexed="64"/>
      </bottom>
      <diagonal/>
    </border>
    <border>
      <left style="dashed">
        <color indexed="64"/>
      </left>
      <right style="thin">
        <color indexed="64"/>
      </right>
      <top/>
      <bottom style="medium">
        <color indexed="64"/>
      </bottom>
      <diagonal/>
    </border>
    <border>
      <left style="dashed">
        <color indexed="64"/>
      </left>
      <right style="thin">
        <color indexed="64"/>
      </right>
      <top style="medium">
        <color indexed="64"/>
      </top>
      <bottom style="dashed">
        <color indexed="64"/>
      </bottom>
      <diagonal/>
    </border>
    <border>
      <left style="dashed">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medium">
        <color indexed="64"/>
      </left>
      <right style="medium">
        <color indexed="64"/>
      </right>
      <top style="dashed">
        <color indexed="64"/>
      </top>
      <bottom style="medium">
        <color indexed="64"/>
      </bottom>
      <diagonal/>
    </border>
    <border>
      <left style="medium">
        <color indexed="64"/>
      </left>
      <right/>
      <top style="dashed">
        <color indexed="64"/>
      </top>
      <bottom style="medium">
        <color indexed="64"/>
      </bottom>
      <diagonal/>
    </border>
    <border>
      <left/>
      <right style="medium">
        <color indexed="64"/>
      </right>
      <top style="dashed">
        <color indexed="64"/>
      </top>
      <bottom style="medium">
        <color indexed="64"/>
      </bottom>
      <diagonal/>
    </border>
    <border>
      <left style="thin">
        <color indexed="64"/>
      </left>
      <right/>
      <top style="dashed">
        <color indexed="64"/>
      </top>
      <bottom style="medium">
        <color indexed="64"/>
      </bottom>
      <diagonal/>
    </border>
    <border>
      <left/>
      <right style="dashed">
        <color indexed="64"/>
      </right>
      <top style="medium">
        <color indexed="64"/>
      </top>
      <bottom style="medium">
        <color indexed="64"/>
      </bottom>
      <diagonal/>
    </border>
    <border>
      <left style="thin">
        <color theme="0" tint="-0.499984740745262"/>
      </left>
      <right/>
      <top/>
      <bottom style="medium">
        <color theme="0" tint="-0.499984740745262"/>
      </bottom>
      <diagonal/>
    </border>
    <border>
      <left style="thin">
        <color indexed="64"/>
      </left>
      <right style="thin">
        <color indexed="64"/>
      </right>
      <top/>
      <bottom style="double">
        <color indexed="64"/>
      </bottom>
      <diagonal/>
    </border>
    <border>
      <left style="dotted">
        <color indexed="64"/>
      </left>
      <right/>
      <top style="medium">
        <color indexed="64"/>
      </top>
      <bottom style="medium">
        <color indexed="64"/>
      </bottom>
      <diagonal/>
    </border>
    <border>
      <left/>
      <right/>
      <top/>
      <bottom style="double">
        <color indexed="64"/>
      </bottom>
      <diagonal/>
    </border>
    <border>
      <left style="thin">
        <color indexed="64"/>
      </left>
      <right style="thin">
        <color indexed="64"/>
      </right>
      <top/>
      <bottom style="dashed">
        <color indexed="64"/>
      </bottom>
      <diagonal/>
    </border>
  </borders>
  <cellStyleXfs count="80">
    <xf numFmtId="0" fontId="0" fillId="0" borderId="0"/>
    <xf numFmtId="0" fontId="46" fillId="6" borderId="0" applyNumberFormat="0" applyBorder="0" applyAlignment="0" applyProtection="0"/>
    <xf numFmtId="0" fontId="46" fillId="7" borderId="0" applyNumberFormat="0" applyBorder="0" applyAlignment="0" applyProtection="0"/>
    <xf numFmtId="0" fontId="46" fillId="8"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7" fillId="18" borderId="0" applyNumberFormat="0" applyBorder="0" applyAlignment="0" applyProtection="0"/>
    <xf numFmtId="0" fontId="47"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47" fillId="26" borderId="0" applyNumberFormat="0" applyBorder="0" applyAlignment="0" applyProtection="0"/>
    <xf numFmtId="0" fontId="47"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48" fillId="30" borderId="171" applyNumberFormat="0" applyAlignment="0" applyProtection="0"/>
    <xf numFmtId="0" fontId="49" fillId="30" borderId="172" applyNumberFormat="0" applyAlignment="0" applyProtection="0"/>
    <xf numFmtId="0" fontId="50" fillId="31" borderId="172" applyNumberFormat="0" applyAlignment="0" applyProtection="0"/>
    <xf numFmtId="0" fontId="51" fillId="0" borderId="173" applyNumberFormat="0" applyFill="0" applyAlignment="0" applyProtection="0"/>
    <xf numFmtId="0" fontId="52" fillId="0" borderId="0" applyNumberFormat="0" applyFill="0" applyBorder="0" applyAlignment="0" applyProtection="0"/>
    <xf numFmtId="0" fontId="53" fillId="32" borderId="0" applyNumberFormat="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54" fillId="33" borderId="0" applyNumberFormat="0" applyBorder="0" applyAlignment="0" applyProtection="0"/>
    <xf numFmtId="0" fontId="46" fillId="34" borderId="174" applyNumberFormat="0" applyFont="0" applyAlignment="0" applyProtection="0"/>
    <xf numFmtId="9" fontId="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55" fillId="35" borderId="0" applyNumberFormat="0" applyBorder="0" applyAlignment="0" applyProtection="0"/>
    <xf numFmtId="0" fontId="46" fillId="0" borderId="0"/>
    <xf numFmtId="0" fontId="2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2" fillId="0" borderId="0"/>
    <xf numFmtId="0" fontId="12" fillId="0" borderId="0"/>
    <xf numFmtId="0" fontId="46" fillId="0" borderId="0"/>
    <xf numFmtId="0" fontId="56" fillId="0" borderId="0" applyNumberFormat="0" applyFill="0" applyBorder="0" applyAlignment="0" applyProtection="0"/>
    <xf numFmtId="0" fontId="57" fillId="0" borderId="175" applyNumberFormat="0" applyFill="0" applyAlignment="0" applyProtection="0"/>
    <xf numFmtId="0" fontId="58" fillId="0" borderId="176" applyNumberFormat="0" applyFill="0" applyAlignment="0" applyProtection="0"/>
    <xf numFmtId="0" fontId="59" fillId="0" borderId="177" applyNumberFormat="0" applyFill="0" applyAlignment="0" applyProtection="0"/>
    <xf numFmtId="0" fontId="59" fillId="0" borderId="0" applyNumberFormat="0" applyFill="0" applyBorder="0" applyAlignment="0" applyProtection="0"/>
    <xf numFmtId="0" fontId="60" fillId="0" borderId="178" applyNumberFormat="0" applyFill="0" applyAlignment="0" applyProtection="0"/>
    <xf numFmtId="0" fontId="61" fillId="0" borderId="0" applyNumberFormat="0" applyFill="0" applyBorder="0" applyAlignment="0" applyProtection="0"/>
    <xf numFmtId="0" fontId="62" fillId="36" borderId="179" applyNumberFormat="0" applyAlignment="0" applyProtection="0"/>
    <xf numFmtId="164" fontId="96" fillId="0" borderId="0" applyFont="0" applyFill="0" applyBorder="0" applyAlignment="0" applyProtection="0"/>
    <xf numFmtId="0" fontId="107" fillId="0" borderId="0" applyNumberFormat="0" applyFill="0" applyBorder="0" applyAlignment="0" applyProtection="0"/>
    <xf numFmtId="0" fontId="3" fillId="0" borderId="0"/>
    <xf numFmtId="0" fontId="4" fillId="0" borderId="0"/>
    <xf numFmtId="0" fontId="2" fillId="0" borderId="0"/>
    <xf numFmtId="0" fontId="4" fillId="0" borderId="0"/>
    <xf numFmtId="0" fontId="1" fillId="0" borderId="0"/>
  </cellStyleXfs>
  <cellXfs count="3272">
    <xf numFmtId="0" fontId="0" fillId="0" borderId="0" xfId="0"/>
    <xf numFmtId="0" fontId="15" fillId="0" borderId="0" xfId="0" applyFont="1" applyAlignment="1" applyProtection="1">
      <alignment vertical="center"/>
    </xf>
    <xf numFmtId="0" fontId="5" fillId="0" borderId="0" xfId="0" applyFont="1" applyBorder="1" applyAlignment="1" applyProtection="1">
      <alignment vertical="center"/>
    </xf>
    <xf numFmtId="0" fontId="5" fillId="0" borderId="0" xfId="0" applyFont="1" applyBorder="1" applyAlignment="1" applyProtection="1">
      <alignment horizontal="center" vertical="center"/>
    </xf>
    <xf numFmtId="0" fontId="0" fillId="0" borderId="0" xfId="0" applyAlignment="1" applyProtection="1">
      <alignment vertical="center"/>
    </xf>
    <xf numFmtId="0" fontId="6" fillId="0" borderId="0" xfId="0" applyFont="1" applyAlignment="1" applyProtection="1">
      <alignment horizontal="center" vertical="center"/>
    </xf>
    <xf numFmtId="0" fontId="0" fillId="0" borderId="0" xfId="0" applyAlignment="1">
      <alignment vertical="center"/>
    </xf>
    <xf numFmtId="0" fontId="15" fillId="0" borderId="0" xfId="0" applyFont="1" applyAlignment="1" applyProtection="1">
      <alignment horizontal="center" vertical="center"/>
    </xf>
    <xf numFmtId="0" fontId="0" fillId="0" borderId="0" xfId="0" applyAlignment="1" applyProtection="1">
      <alignment horizontal="center" vertical="center"/>
    </xf>
    <xf numFmtId="0" fontId="0" fillId="0" borderId="0" xfId="0" applyFill="1" applyAlignment="1" applyProtection="1">
      <alignment vertical="center"/>
    </xf>
    <xf numFmtId="0" fontId="0" fillId="0" borderId="0" xfId="0" applyAlignment="1" applyProtection="1">
      <alignment horizontal="right" vertical="center"/>
    </xf>
    <xf numFmtId="49" fontId="5" fillId="0" borderId="0" xfId="0" applyNumberFormat="1" applyFont="1" applyFill="1" applyBorder="1" applyAlignment="1" applyProtection="1">
      <alignment horizontal="center" vertical="center"/>
    </xf>
    <xf numFmtId="0" fontId="0" fillId="0" borderId="0" xfId="0" applyFill="1" applyBorder="1" applyAlignment="1" applyProtection="1">
      <alignment horizontal="center" vertical="center"/>
    </xf>
    <xf numFmtId="0" fontId="0" fillId="0" borderId="0" xfId="0" applyBorder="1" applyAlignment="1" applyProtection="1">
      <alignment vertical="center"/>
    </xf>
    <xf numFmtId="1" fontId="0" fillId="0" borderId="0" xfId="0" applyNumberFormat="1"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5" fillId="0" borderId="0" xfId="0" applyFont="1" applyFill="1" applyBorder="1" applyAlignment="1" applyProtection="1">
      <alignment horizontal="center" vertical="center"/>
    </xf>
    <xf numFmtId="1" fontId="5" fillId="0" borderId="0" xfId="0" applyNumberFormat="1" applyFont="1" applyFill="1" applyBorder="1" applyAlignment="1" applyProtection="1">
      <alignment horizontal="center" vertical="center"/>
    </xf>
    <xf numFmtId="0" fontId="12" fillId="0" borderId="0" xfId="0" applyFont="1" applyBorder="1" applyAlignment="1" applyProtection="1">
      <alignment vertical="center"/>
    </xf>
    <xf numFmtId="0" fontId="15" fillId="0" borderId="0" xfId="0" applyFont="1" applyBorder="1" applyAlignment="1" applyProtection="1">
      <alignment vertical="center"/>
    </xf>
    <xf numFmtId="0" fontId="15" fillId="0" borderId="0" xfId="0" applyFont="1" applyBorder="1" applyAlignment="1" applyProtection="1">
      <alignment horizontal="center" vertical="center"/>
    </xf>
    <xf numFmtId="0" fontId="15" fillId="0" borderId="0" xfId="0" applyFont="1" applyFill="1" applyBorder="1" applyAlignment="1" applyProtection="1">
      <alignment horizontal="center" vertical="center"/>
    </xf>
    <xf numFmtId="0" fontId="5" fillId="0" borderId="0" xfId="0" applyFont="1" applyFill="1" applyBorder="1" applyAlignment="1" applyProtection="1">
      <alignment vertical="center"/>
    </xf>
    <xf numFmtId="1" fontId="5" fillId="0" borderId="0" xfId="0" applyNumberFormat="1" applyFont="1" applyBorder="1" applyAlignment="1" applyProtection="1">
      <alignment horizontal="center" vertical="center"/>
    </xf>
    <xf numFmtId="0" fontId="8" fillId="0" borderId="0" xfId="0" applyFont="1" applyAlignment="1" applyProtection="1">
      <alignment vertical="center"/>
    </xf>
    <xf numFmtId="0" fontId="0" fillId="0" borderId="0" xfId="0" applyFill="1" applyBorder="1" applyAlignment="1" applyProtection="1">
      <alignment vertical="center"/>
      <protection hidden="1"/>
    </xf>
    <xf numFmtId="0" fontId="12" fillId="0" borderId="0" xfId="0" applyFont="1"/>
    <xf numFmtId="49" fontId="5" fillId="0" borderId="0" xfId="62" applyNumberFormat="1" applyFont="1" applyFill="1"/>
    <xf numFmtId="49" fontId="19" fillId="0" borderId="0" xfId="62" applyNumberFormat="1" applyFont="1" applyFill="1"/>
    <xf numFmtId="0" fontId="12" fillId="0" borderId="0" xfId="62"/>
    <xf numFmtId="0" fontId="5" fillId="0" borderId="0" xfId="62" applyFont="1" applyFill="1" applyAlignment="1">
      <alignment horizontal="center"/>
    </xf>
    <xf numFmtId="49" fontId="19" fillId="0" borderId="0" xfId="62" applyNumberFormat="1" applyFont="1" applyFill="1" applyAlignment="1">
      <alignment horizontal="left"/>
    </xf>
    <xf numFmtId="49" fontId="5" fillId="0" borderId="3" xfId="62" applyNumberFormat="1" applyFont="1" applyFill="1" applyBorder="1"/>
    <xf numFmtId="49" fontId="5" fillId="0" borderId="5" xfId="62" applyNumberFormat="1" applyFont="1" applyFill="1" applyBorder="1"/>
    <xf numFmtId="49" fontId="12" fillId="0" borderId="6" xfId="62" applyNumberFormat="1" applyFont="1" applyFill="1" applyBorder="1"/>
    <xf numFmtId="49" fontId="5" fillId="0" borderId="10" xfId="62" applyNumberFormat="1" applyFont="1" applyFill="1" applyBorder="1"/>
    <xf numFmtId="49" fontId="12" fillId="0" borderId="5" xfId="62" applyNumberFormat="1" applyFont="1" applyFill="1" applyBorder="1"/>
    <xf numFmtId="49" fontId="12" fillId="0" borderId="12" xfId="62" applyNumberFormat="1" applyFont="1" applyFill="1" applyBorder="1"/>
    <xf numFmtId="49" fontId="15" fillId="0" borderId="5" xfId="62" applyNumberFormat="1" applyFont="1" applyFill="1" applyBorder="1"/>
    <xf numFmtId="49" fontId="20" fillId="0" borderId="5" xfId="62" applyNumberFormat="1" applyFont="1" applyFill="1" applyBorder="1"/>
    <xf numFmtId="49" fontId="15" fillId="0" borderId="6" xfId="62" applyNumberFormat="1" applyFont="1" applyFill="1" applyBorder="1"/>
    <xf numFmtId="49" fontId="12" fillId="0" borderId="0" xfId="62" applyNumberFormat="1" applyFont="1"/>
    <xf numFmtId="0" fontId="12" fillId="0" borderId="0" xfId="62" applyFont="1" applyAlignment="1">
      <alignment horizontal="left"/>
    </xf>
    <xf numFmtId="0" fontId="12" fillId="0" borderId="0" xfId="62" applyFont="1" applyBorder="1"/>
    <xf numFmtId="0" fontId="12" fillId="0" borderId="0" xfId="62" applyFont="1" applyFill="1" applyBorder="1" applyAlignment="1">
      <alignment horizontal="center"/>
    </xf>
    <xf numFmtId="0" fontId="70" fillId="0" borderId="33" xfId="0" applyFont="1" applyFill="1" applyBorder="1" applyAlignment="1">
      <alignment horizontal="center"/>
    </xf>
    <xf numFmtId="0" fontId="70" fillId="0" borderId="34" xfId="0" applyFont="1" applyBorder="1" applyAlignment="1">
      <alignment horizontal="center" vertical="top"/>
    </xf>
    <xf numFmtId="0" fontId="71" fillId="0" borderId="4" xfId="0" applyFont="1" applyBorder="1" applyAlignment="1">
      <alignment horizontal="center" vertical="top"/>
    </xf>
    <xf numFmtId="167" fontId="12" fillId="0" borderId="0" xfId="62" applyNumberFormat="1" applyFont="1" applyFill="1" applyAlignment="1">
      <alignment horizontal="left"/>
    </xf>
    <xf numFmtId="0" fontId="12" fillId="0" borderId="0" xfId="62" applyFont="1" applyFill="1" applyAlignment="1">
      <alignment horizontal="center"/>
    </xf>
    <xf numFmtId="167" fontId="12" fillId="0" borderId="0" xfId="62" applyNumberFormat="1" applyFont="1" applyFill="1" applyAlignment="1">
      <alignment horizontal="center"/>
    </xf>
    <xf numFmtId="0" fontId="12" fillId="0" borderId="0" xfId="62" applyFont="1" applyFill="1"/>
    <xf numFmtId="0" fontId="12" fillId="0" borderId="0" xfId="0" applyFont="1" applyFill="1"/>
    <xf numFmtId="167" fontId="5" fillId="0" borderId="0" xfId="62" applyNumberFormat="1" applyFont="1" applyFill="1" applyAlignment="1">
      <alignment horizontal="center"/>
    </xf>
    <xf numFmtId="167" fontId="12" fillId="0" borderId="43" xfId="62" applyNumberFormat="1" applyFont="1" applyFill="1" applyBorder="1" applyAlignment="1">
      <alignment horizontal="center"/>
    </xf>
    <xf numFmtId="49" fontId="5" fillId="0" borderId="12" xfId="62" applyNumberFormat="1" applyFont="1" applyFill="1" applyBorder="1"/>
    <xf numFmtId="49" fontId="12" fillId="0" borderId="0" xfId="62" applyNumberFormat="1" applyFont="1" applyFill="1"/>
    <xf numFmtId="0" fontId="0" fillId="0" borderId="0" xfId="0" applyAlignment="1">
      <alignment horizontal="center"/>
    </xf>
    <xf numFmtId="0" fontId="0" fillId="0" borderId="6" xfId="0" applyBorder="1"/>
    <xf numFmtId="0" fontId="0" fillId="0" borderId="5" xfId="0" applyBorder="1"/>
    <xf numFmtId="0" fontId="7" fillId="0" borderId="0" xfId="0" applyFont="1"/>
    <xf numFmtId="0" fontId="12" fillId="0" borderId="0" xfId="0" applyFont="1" applyBorder="1" applyAlignment="1" applyProtection="1">
      <alignment horizontal="center" vertical="center"/>
    </xf>
    <xf numFmtId="0" fontId="20" fillId="0" borderId="0" xfId="0" applyFont="1" applyBorder="1" applyAlignment="1" applyProtection="1">
      <alignment vertical="center"/>
    </xf>
    <xf numFmtId="0" fontId="5" fillId="0" borderId="0" xfId="0" applyNumberFormat="1" applyFont="1" applyFill="1" applyBorder="1" applyAlignment="1" applyProtection="1">
      <alignment horizontal="center" vertical="center"/>
    </xf>
    <xf numFmtId="0" fontId="8" fillId="0" borderId="0" xfId="0" applyFont="1" applyFill="1" applyBorder="1" applyAlignment="1" applyProtection="1">
      <alignment vertical="center"/>
    </xf>
    <xf numFmtId="1" fontId="8" fillId="0" borderId="0" xfId="0" applyNumberFormat="1" applyFont="1" applyFill="1" applyBorder="1" applyAlignment="1" applyProtection="1">
      <alignment horizontal="center" vertical="center"/>
    </xf>
    <xf numFmtId="0" fontId="12" fillId="0" borderId="44" xfId="0" applyFont="1" applyFill="1" applyBorder="1" applyAlignment="1" applyProtection="1">
      <alignment vertical="center"/>
    </xf>
    <xf numFmtId="0" fontId="12" fillId="0" borderId="56" xfId="0" applyFont="1" applyFill="1" applyBorder="1" applyAlignment="1" applyProtection="1">
      <alignment vertical="center"/>
    </xf>
    <xf numFmtId="0" fontId="0" fillId="0" borderId="3" xfId="0" applyBorder="1"/>
    <xf numFmtId="0" fontId="12" fillId="0" borderId="0" xfId="0" applyFont="1" applyFill="1" applyBorder="1"/>
    <xf numFmtId="0" fontId="7" fillId="0" borderId="0" xfId="0" applyFont="1" applyFill="1" applyBorder="1" applyAlignment="1" applyProtection="1">
      <alignment horizontal="center" vertical="center"/>
    </xf>
    <xf numFmtId="1" fontId="7" fillId="0" borderId="0" xfId="0" applyNumberFormat="1" applyFont="1" applyFill="1" applyBorder="1" applyAlignment="1" applyProtection="1">
      <alignment horizontal="center" vertical="center"/>
    </xf>
    <xf numFmtId="0" fontId="5" fillId="0" borderId="7" xfId="0" applyFont="1" applyBorder="1"/>
    <xf numFmtId="0" fontId="5" fillId="0" borderId="33" xfId="0" applyFont="1" applyBorder="1" applyAlignment="1">
      <alignment horizontal="center"/>
    </xf>
    <xf numFmtId="49" fontId="0" fillId="0" borderId="0" xfId="0" applyNumberFormat="1" applyFill="1" applyBorder="1" applyAlignment="1" applyProtection="1">
      <alignment horizontal="left" vertical="center"/>
    </xf>
    <xf numFmtId="1" fontId="12" fillId="0" borderId="0" xfId="62" applyNumberFormat="1" applyFont="1" applyFill="1" applyBorder="1" applyAlignment="1">
      <alignment horizontal="center"/>
    </xf>
    <xf numFmtId="0" fontId="0" fillId="0" borderId="0" xfId="0" applyFill="1"/>
    <xf numFmtId="167" fontId="12" fillId="42" borderId="5" xfId="62" applyNumberFormat="1" applyFont="1" applyFill="1" applyBorder="1" applyAlignment="1">
      <alignment horizontal="center"/>
    </xf>
    <xf numFmtId="167" fontId="0" fillId="42" borderId="0" xfId="0" applyNumberFormat="1" applyFill="1" applyAlignment="1">
      <alignment horizontal="center" vertical="center"/>
    </xf>
    <xf numFmtId="0" fontId="15" fillId="42" borderId="0" xfId="0" applyFont="1" applyFill="1" applyAlignment="1" applyProtection="1">
      <alignment horizontal="center"/>
      <protection locked="0"/>
    </xf>
    <xf numFmtId="0" fontId="29" fillId="0" borderId="0" xfId="42" applyFont="1" applyFill="1" applyProtection="1"/>
    <xf numFmtId="0" fontId="29" fillId="0" borderId="0" xfId="42" applyFont="1" applyFill="1" applyBorder="1" applyAlignment="1" applyProtection="1">
      <alignment horizontal="center"/>
    </xf>
    <xf numFmtId="0" fontId="29" fillId="0" borderId="0" xfId="42" applyFont="1" applyAlignment="1" applyProtection="1">
      <alignment horizontal="left"/>
    </xf>
    <xf numFmtId="0" fontId="29" fillId="0" borderId="0" xfId="42" applyFont="1" applyFill="1" applyBorder="1" applyProtection="1"/>
    <xf numFmtId="1" fontId="29" fillId="0" borderId="0" xfId="42" applyNumberFormat="1" applyFont="1" applyFill="1" applyBorder="1" applyAlignment="1" applyProtection="1">
      <alignment horizontal="center"/>
    </xf>
    <xf numFmtId="0" fontId="16" fillId="0" borderId="0" xfId="42" applyFont="1" applyFill="1" applyBorder="1" applyAlignment="1" applyProtection="1">
      <alignment vertical="center"/>
    </xf>
    <xf numFmtId="0" fontId="29" fillId="0" borderId="0" xfId="42" applyNumberFormat="1" applyFont="1" applyBorder="1" applyAlignment="1" applyProtection="1">
      <alignment horizontal="center"/>
    </xf>
    <xf numFmtId="167" fontId="29" fillId="0" borderId="0" xfId="42" applyNumberFormat="1" applyFont="1" applyFill="1" applyBorder="1" applyAlignment="1" applyProtection="1">
      <alignment horizontal="center"/>
    </xf>
    <xf numFmtId="0" fontId="12" fillId="0" borderId="0" xfId="42" applyFont="1" applyFill="1" applyBorder="1" applyAlignment="1" applyProtection="1">
      <alignment horizontal="center"/>
    </xf>
    <xf numFmtId="1" fontId="12" fillId="0" borderId="0" xfId="42" applyNumberFormat="1" applyFont="1" applyFill="1" applyBorder="1" applyAlignment="1" applyProtection="1">
      <alignment horizontal="center"/>
    </xf>
    <xf numFmtId="0" fontId="7" fillId="0" borderId="0" xfId="0" applyFont="1" applyFill="1" applyBorder="1" applyAlignment="1" applyProtection="1">
      <alignment vertical="center"/>
    </xf>
    <xf numFmtId="0" fontId="0" fillId="43" borderId="0" xfId="0" applyFill="1"/>
    <xf numFmtId="0" fontId="0" fillId="0" borderId="0" xfId="0" applyAlignment="1" applyProtection="1">
      <alignment vertical="center"/>
      <protection hidden="1"/>
    </xf>
    <xf numFmtId="0" fontId="16" fillId="0" borderId="0" xfId="0" applyFont="1" applyAlignment="1" applyProtection="1">
      <alignment vertical="center"/>
      <protection hidden="1"/>
    </xf>
    <xf numFmtId="0" fontId="15" fillId="0" borderId="0" xfId="0" applyFont="1" applyAlignment="1" applyProtection="1">
      <alignment vertical="center"/>
      <protection hidden="1"/>
    </xf>
    <xf numFmtId="1" fontId="12" fillId="0" borderId="0" xfId="0" applyNumberFormat="1" applyFont="1" applyFill="1" applyBorder="1" applyAlignment="1" applyProtection="1">
      <alignment horizontal="center" vertical="center"/>
      <protection hidden="1"/>
    </xf>
    <xf numFmtId="0" fontId="5" fillId="0" borderId="0" xfId="0" applyFont="1" applyFill="1" applyBorder="1" applyAlignment="1" applyProtection="1">
      <alignment horizontal="center" vertical="center"/>
      <protection hidden="1"/>
    </xf>
    <xf numFmtId="1" fontId="5" fillId="0" borderId="0" xfId="0" applyNumberFormat="1" applyFont="1" applyFill="1" applyBorder="1" applyAlignment="1" applyProtection="1">
      <alignment horizontal="center" vertical="center"/>
      <protection hidden="1"/>
    </xf>
    <xf numFmtId="0" fontId="5" fillId="0" borderId="0" xfId="0" applyFont="1" applyAlignment="1" applyProtection="1">
      <alignment vertical="center"/>
      <protection hidden="1"/>
    </xf>
    <xf numFmtId="0" fontId="7" fillId="0" borderId="0" xfId="0" applyFont="1" applyFill="1" applyBorder="1" applyAlignment="1" applyProtection="1">
      <alignment horizontal="center" vertical="center"/>
      <protection hidden="1"/>
    </xf>
    <xf numFmtId="0" fontId="7" fillId="0" borderId="0" xfId="0" applyFont="1" applyAlignment="1" applyProtection="1">
      <alignment vertical="center"/>
      <protection hidden="1"/>
    </xf>
    <xf numFmtId="0" fontId="8" fillId="0" borderId="0" xfId="0" applyFont="1" applyFill="1" applyBorder="1" applyAlignment="1" applyProtection="1">
      <alignment horizontal="center" vertical="center"/>
      <protection hidden="1"/>
    </xf>
    <xf numFmtId="0" fontId="8" fillId="0" borderId="0" xfId="0" applyFont="1" applyAlignment="1" applyProtection="1">
      <alignment vertical="center"/>
      <protection hidden="1"/>
    </xf>
    <xf numFmtId="0" fontId="15" fillId="0" borderId="0" xfId="0" applyFont="1" applyFill="1" applyBorder="1" applyAlignment="1" applyProtection="1">
      <alignment horizontal="center" vertical="center"/>
      <protection hidden="1"/>
    </xf>
    <xf numFmtId="0" fontId="8" fillId="0" borderId="0" xfId="0" applyFont="1" applyBorder="1" applyAlignment="1" applyProtection="1">
      <alignment vertical="center"/>
      <protection hidden="1"/>
    </xf>
    <xf numFmtId="0" fontId="0" fillId="0" borderId="0" xfId="0" applyBorder="1" applyAlignment="1" applyProtection="1">
      <alignment vertical="center"/>
      <protection hidden="1"/>
    </xf>
    <xf numFmtId="0" fontId="16" fillId="0" borderId="0" xfId="0" applyFont="1" applyBorder="1" applyAlignment="1" applyProtection="1">
      <alignment horizontal="center" vertical="center"/>
      <protection hidden="1"/>
    </xf>
    <xf numFmtId="0" fontId="5" fillId="45" borderId="3" xfId="0" applyFont="1" applyFill="1" applyBorder="1" applyAlignment="1" applyProtection="1">
      <alignment vertical="center"/>
    </xf>
    <xf numFmtId="0" fontId="5" fillId="45" borderId="63" xfId="0" applyFont="1" applyFill="1" applyBorder="1" applyAlignment="1" applyProtection="1">
      <alignment vertical="center"/>
    </xf>
    <xf numFmtId="0" fontId="7" fillId="45" borderId="64" xfId="0" applyFont="1" applyFill="1" applyBorder="1" applyAlignment="1" applyProtection="1">
      <alignment vertical="center"/>
    </xf>
    <xf numFmtId="0" fontId="7" fillId="45" borderId="63" xfId="0" applyFont="1" applyFill="1" applyBorder="1" applyAlignment="1" applyProtection="1">
      <alignment vertical="center"/>
    </xf>
    <xf numFmtId="0" fontId="7" fillId="45" borderId="63" xfId="0" applyFont="1" applyFill="1" applyBorder="1" applyAlignment="1" applyProtection="1">
      <alignment horizontal="center" vertical="center"/>
    </xf>
    <xf numFmtId="0" fontId="12" fillId="0" borderId="0" xfId="0" applyFont="1" applyAlignment="1" applyProtection="1">
      <alignment vertical="center"/>
    </xf>
    <xf numFmtId="0" fontId="5" fillId="0" borderId="75" xfId="0" applyFont="1" applyBorder="1" applyAlignment="1">
      <alignment horizontal="center"/>
    </xf>
    <xf numFmtId="0" fontId="5" fillId="0" borderId="76" xfId="0" applyFont="1" applyBorder="1" applyAlignment="1">
      <alignment horizontal="center"/>
    </xf>
    <xf numFmtId="0" fontId="5" fillId="0" borderId="0" xfId="0" applyFont="1" applyFill="1" applyAlignment="1" applyProtection="1">
      <alignment vertical="center"/>
      <protection hidden="1"/>
    </xf>
    <xf numFmtId="0" fontId="12" fillId="0" borderId="0" xfId="0" applyFont="1" applyFill="1" applyAlignment="1" applyProtection="1">
      <alignment horizontal="center" vertical="center"/>
    </xf>
    <xf numFmtId="0" fontId="0" fillId="0" borderId="0" xfId="0" applyFill="1" applyAlignment="1" applyProtection="1">
      <alignment vertical="center"/>
      <protection hidden="1"/>
    </xf>
    <xf numFmtId="0" fontId="72" fillId="0" borderId="0" xfId="0" applyFont="1"/>
    <xf numFmtId="0" fontId="72" fillId="0" borderId="0" xfId="0" applyFont="1" applyAlignment="1">
      <alignment horizontal="center"/>
    </xf>
    <xf numFmtId="0" fontId="0" fillId="0" borderId="0" xfId="0" applyProtection="1"/>
    <xf numFmtId="0" fontId="46" fillId="0" borderId="0" xfId="42" applyProtection="1"/>
    <xf numFmtId="0" fontId="12" fillId="0" borderId="0" xfId="0" applyFont="1" applyFill="1" applyBorder="1" applyAlignment="1">
      <alignment horizontal="center"/>
    </xf>
    <xf numFmtId="167" fontId="12" fillId="42" borderId="50" xfId="0" applyNumberFormat="1" applyFont="1" applyFill="1" applyBorder="1" applyAlignment="1">
      <alignment horizontal="center"/>
    </xf>
    <xf numFmtId="0" fontId="15" fillId="42" borderId="25" xfId="0" applyFont="1" applyFill="1" applyBorder="1" applyAlignment="1" applyProtection="1">
      <alignment horizontal="center"/>
      <protection locked="0"/>
    </xf>
    <xf numFmtId="0" fontId="15" fillId="42" borderId="24" xfId="0" applyFont="1" applyFill="1" applyBorder="1" applyAlignment="1" applyProtection="1">
      <alignment horizontal="center"/>
      <protection locked="0"/>
    </xf>
    <xf numFmtId="167" fontId="0" fillId="42" borderId="0" xfId="0" applyNumberFormat="1" applyFill="1" applyBorder="1" applyAlignment="1">
      <alignment horizontal="center" vertical="center"/>
    </xf>
    <xf numFmtId="167" fontId="0" fillId="42" borderId="24" xfId="0" applyNumberFormat="1" applyFill="1" applyBorder="1" applyAlignment="1">
      <alignment horizontal="center" vertical="center"/>
    </xf>
    <xf numFmtId="167" fontId="12" fillId="42" borderId="25" xfId="0" applyNumberFormat="1" applyFont="1" applyFill="1" applyBorder="1" applyAlignment="1">
      <alignment horizontal="center"/>
    </xf>
    <xf numFmtId="0" fontId="15" fillId="42" borderId="50" xfId="0" applyFont="1" applyFill="1" applyBorder="1" applyAlignment="1" applyProtection="1">
      <alignment horizontal="center"/>
      <protection locked="0"/>
    </xf>
    <xf numFmtId="167" fontId="0" fillId="42" borderId="50" xfId="0" applyNumberFormat="1" applyFill="1" applyBorder="1" applyAlignment="1">
      <alignment horizontal="center" vertical="center"/>
    </xf>
    <xf numFmtId="0" fontId="8" fillId="0" borderId="64" xfId="0" applyFont="1" applyBorder="1" applyAlignment="1" applyProtection="1">
      <alignment vertical="center"/>
    </xf>
    <xf numFmtId="0" fontId="8" fillId="0" borderId="63" xfId="0" applyFont="1" applyBorder="1" applyAlignment="1" applyProtection="1">
      <alignment vertical="center"/>
    </xf>
    <xf numFmtId="0" fontId="8" fillId="0" borderId="63" xfId="0" applyFont="1" applyBorder="1" applyAlignment="1" applyProtection="1">
      <alignment horizontal="center" vertical="center"/>
    </xf>
    <xf numFmtId="0" fontId="8" fillId="0" borderId="64" xfId="0" applyFont="1" applyFill="1" applyBorder="1" applyAlignment="1" applyProtection="1">
      <alignment vertical="center"/>
    </xf>
    <xf numFmtId="0" fontId="12" fillId="0" borderId="64" xfId="42" applyNumberFormat="1" applyFont="1" applyBorder="1" applyAlignment="1" applyProtection="1">
      <alignment horizontal="center"/>
      <protection hidden="1"/>
    </xf>
    <xf numFmtId="49" fontId="0" fillId="0" borderId="0" xfId="0" applyNumberFormat="1" applyFill="1" applyBorder="1" applyAlignment="1" applyProtection="1">
      <alignment horizontal="left" vertical="center"/>
      <protection hidden="1"/>
    </xf>
    <xf numFmtId="0" fontId="28" fillId="0" borderId="0" xfId="0" applyFont="1" applyProtection="1">
      <protection hidden="1"/>
    </xf>
    <xf numFmtId="0" fontId="73" fillId="0" borderId="0" xfId="0" applyFont="1" applyAlignment="1" applyProtection="1">
      <alignment vertical="center"/>
      <protection hidden="1"/>
    </xf>
    <xf numFmtId="0" fontId="8" fillId="0" borderId="0" xfId="0" applyFont="1" applyBorder="1" applyAlignment="1" applyProtection="1">
      <alignment vertical="center"/>
    </xf>
    <xf numFmtId="0" fontId="15" fillId="0" borderId="0" xfId="0" applyFont="1" applyFill="1" applyAlignment="1" applyProtection="1">
      <alignment horizontal="center"/>
      <protection locked="0"/>
    </xf>
    <xf numFmtId="167" fontId="0" fillId="0" borderId="0" xfId="0" applyNumberFormat="1" applyFill="1" applyAlignment="1">
      <alignment horizontal="center" vertical="center"/>
    </xf>
    <xf numFmtId="0" fontId="73" fillId="0" borderId="0" xfId="0" applyFont="1" applyFill="1" applyBorder="1" applyAlignment="1" applyProtection="1">
      <alignment vertical="center"/>
      <protection hidden="1"/>
    </xf>
    <xf numFmtId="0" fontId="12" fillId="0" borderId="0" xfId="0" applyFont="1" applyFill="1" applyBorder="1" applyAlignment="1" applyProtection="1">
      <alignment horizontal="center" vertical="center"/>
      <protection hidden="1"/>
    </xf>
    <xf numFmtId="1" fontId="5" fillId="0" borderId="0" xfId="0" applyNumberFormat="1" applyFont="1" applyBorder="1" applyAlignment="1" applyProtection="1">
      <alignment horizontal="center" vertical="center"/>
      <protection hidden="1"/>
    </xf>
    <xf numFmtId="167" fontId="8" fillId="0" borderId="0" xfId="0" applyNumberFormat="1" applyFont="1" applyBorder="1" applyAlignment="1" applyProtection="1">
      <alignment horizontal="left" vertical="center"/>
      <protection hidden="1"/>
    </xf>
    <xf numFmtId="0" fontId="0" fillId="0" borderId="0" xfId="0" applyAlignment="1" applyProtection="1">
      <alignment vertical="center"/>
      <protection locked="0" hidden="1"/>
    </xf>
    <xf numFmtId="0" fontId="0" fillId="0" borderId="0" xfId="0" applyFill="1" applyAlignment="1" applyProtection="1">
      <alignment vertical="center"/>
      <protection locked="0" hidden="1"/>
    </xf>
    <xf numFmtId="0" fontId="74" fillId="0" borderId="0" xfId="0" applyFont="1" applyAlignment="1" applyProtection="1">
      <alignment vertical="center"/>
      <protection hidden="1"/>
    </xf>
    <xf numFmtId="0" fontId="0" fillId="0" borderId="57" xfId="0" applyBorder="1" applyAlignment="1" applyProtection="1">
      <alignment vertical="center"/>
      <protection locked="0" hidden="1"/>
    </xf>
    <xf numFmtId="0" fontId="12" fillId="0" borderId="1" xfId="0" applyFont="1" applyBorder="1" applyAlignment="1" applyProtection="1">
      <alignment vertical="center"/>
      <protection locked="0" hidden="1"/>
    </xf>
    <xf numFmtId="2" fontId="0" fillId="0" borderId="0" xfId="0" applyNumberFormat="1" applyAlignment="1" applyProtection="1">
      <alignment vertical="center"/>
      <protection locked="0" hidden="1"/>
    </xf>
    <xf numFmtId="0" fontId="0" fillId="0" borderId="0" xfId="0" applyFill="1" applyBorder="1" applyAlignment="1" applyProtection="1">
      <alignment vertical="center"/>
      <protection locked="0" hidden="1"/>
    </xf>
    <xf numFmtId="0" fontId="16" fillId="0" borderId="0" xfId="0" applyFont="1" applyAlignment="1" applyProtection="1">
      <alignment vertical="center"/>
      <protection locked="0" hidden="1"/>
    </xf>
    <xf numFmtId="0" fontId="16" fillId="0" borderId="0" xfId="0" applyFont="1" applyFill="1" applyAlignment="1" applyProtection="1">
      <alignment vertical="center"/>
      <protection locked="0" hidden="1"/>
    </xf>
    <xf numFmtId="0" fontId="15" fillId="0" borderId="0" xfId="0" applyFont="1" applyAlignment="1" applyProtection="1">
      <alignment vertical="center"/>
      <protection locked="0" hidden="1"/>
    </xf>
    <xf numFmtId="0" fontId="15" fillId="0" borderId="0" xfId="0" applyFont="1" applyFill="1" applyAlignment="1" applyProtection="1">
      <alignment vertical="center"/>
      <protection locked="0" hidden="1"/>
    </xf>
    <xf numFmtId="0" fontId="0" fillId="0" borderId="0" xfId="0" applyFill="1" applyBorder="1" applyAlignment="1" applyProtection="1">
      <alignment horizontal="center" vertical="center"/>
      <protection locked="0" hidden="1"/>
    </xf>
    <xf numFmtId="0" fontId="12" fillId="0" borderId="0" xfId="0" applyFont="1" applyFill="1" applyBorder="1" applyAlignment="1" applyProtection="1">
      <alignment horizontal="center" vertical="center"/>
      <protection locked="0" hidden="1"/>
    </xf>
    <xf numFmtId="0" fontId="5" fillId="0" borderId="0" xfId="0" applyFont="1" applyFill="1" applyBorder="1" applyAlignment="1" applyProtection="1">
      <alignment horizontal="left" vertical="center"/>
      <protection locked="0" hidden="1"/>
    </xf>
    <xf numFmtId="0" fontId="5" fillId="0" borderId="0" xfId="0" applyFont="1" applyFill="1" applyBorder="1" applyAlignment="1" applyProtection="1">
      <alignment horizontal="center" vertical="center"/>
      <protection locked="0" hidden="1"/>
    </xf>
    <xf numFmtId="0" fontId="12" fillId="0" borderId="24" xfId="0" applyFont="1" applyFill="1" applyBorder="1" applyAlignment="1" applyProtection="1">
      <alignment horizontal="center" vertical="center"/>
      <protection locked="0" hidden="1"/>
    </xf>
    <xf numFmtId="0" fontId="12" fillId="0" borderId="51" xfId="0" applyFont="1" applyFill="1" applyBorder="1" applyAlignment="1" applyProtection="1">
      <alignment horizontal="center" vertical="center"/>
      <protection locked="0" hidden="1"/>
    </xf>
    <xf numFmtId="0" fontId="12" fillId="0" borderId="13" xfId="0" applyFont="1" applyFill="1" applyBorder="1" applyAlignment="1" applyProtection="1">
      <alignment horizontal="center" vertical="center"/>
      <protection locked="0" hidden="1"/>
    </xf>
    <xf numFmtId="0" fontId="12" fillId="0" borderId="21" xfId="0" applyFont="1" applyFill="1" applyBorder="1" applyAlignment="1" applyProtection="1">
      <alignment horizontal="center" vertical="center"/>
      <protection locked="0" hidden="1"/>
    </xf>
    <xf numFmtId="0" fontId="12" fillId="48" borderId="13" xfId="0" applyFont="1" applyFill="1" applyBorder="1" applyAlignment="1" applyProtection="1">
      <alignment horizontal="center" vertical="center"/>
      <protection locked="0" hidden="1"/>
    </xf>
    <xf numFmtId="0" fontId="0" fillId="0" borderId="21" xfId="0" applyFill="1" applyBorder="1" applyAlignment="1" applyProtection="1">
      <alignment horizontal="center" vertical="center"/>
      <protection locked="0" hidden="1"/>
    </xf>
    <xf numFmtId="0" fontId="12" fillId="0" borderId="22" xfId="0" applyFont="1" applyFill="1" applyBorder="1" applyAlignment="1" applyProtection="1">
      <alignment horizontal="center" vertical="center"/>
      <protection locked="0" hidden="1"/>
    </xf>
    <xf numFmtId="0" fontId="0" fillId="0" borderId="22" xfId="0" applyFill="1" applyBorder="1" applyAlignment="1" applyProtection="1">
      <alignment horizontal="center" vertical="center"/>
      <protection locked="0" hidden="1"/>
    </xf>
    <xf numFmtId="0" fontId="12" fillId="0" borderId="50" xfId="0" applyFont="1" applyFill="1" applyBorder="1" applyAlignment="1" applyProtection="1">
      <alignment horizontal="center" vertical="center"/>
      <protection locked="0" hidden="1"/>
    </xf>
    <xf numFmtId="0" fontId="0" fillId="48" borderId="0" xfId="0" applyFill="1" applyBorder="1" applyAlignment="1" applyProtection="1">
      <alignment horizontal="center" vertical="center"/>
      <protection locked="0" hidden="1"/>
    </xf>
    <xf numFmtId="0" fontId="12" fillId="48" borderId="0" xfId="0" applyFont="1" applyFill="1" applyBorder="1" applyAlignment="1" applyProtection="1">
      <alignment horizontal="center" vertical="center"/>
      <protection locked="0" hidden="1"/>
    </xf>
    <xf numFmtId="0" fontId="12" fillId="0" borderId="25" xfId="0" applyFont="1" applyFill="1" applyBorder="1" applyAlignment="1" applyProtection="1">
      <alignment horizontal="center" vertical="center"/>
      <protection locked="0" hidden="1"/>
    </xf>
    <xf numFmtId="0" fontId="0" fillId="0" borderId="25" xfId="0" applyFill="1" applyBorder="1" applyAlignment="1" applyProtection="1">
      <alignment horizontal="center" vertical="center"/>
      <protection locked="0" hidden="1"/>
    </xf>
    <xf numFmtId="0" fontId="0" fillId="0" borderId="50" xfId="0" applyBorder="1" applyAlignment="1" applyProtection="1">
      <alignment vertical="center"/>
      <protection locked="0" hidden="1"/>
    </xf>
    <xf numFmtId="0" fontId="0" fillId="0" borderId="0" xfId="0" applyBorder="1" applyAlignment="1" applyProtection="1">
      <alignment vertical="center"/>
      <protection locked="0" hidden="1"/>
    </xf>
    <xf numFmtId="0" fontId="0" fillId="0" borderId="24" xfId="0" applyBorder="1" applyAlignment="1" applyProtection="1">
      <alignment vertical="center"/>
      <protection locked="0" hidden="1"/>
    </xf>
    <xf numFmtId="0" fontId="0" fillId="0" borderId="51" xfId="0" applyFill="1" applyBorder="1" applyAlignment="1" applyProtection="1">
      <alignment horizontal="center" vertical="center"/>
      <protection locked="0" hidden="1"/>
    </xf>
    <xf numFmtId="0" fontId="0" fillId="0" borderId="50" xfId="0" applyFill="1" applyBorder="1" applyAlignment="1" applyProtection="1">
      <alignment horizontal="center" vertical="center"/>
      <protection locked="0" hidden="1"/>
    </xf>
    <xf numFmtId="0" fontId="0" fillId="0" borderId="24" xfId="0" applyFill="1" applyBorder="1" applyAlignment="1" applyProtection="1">
      <alignment horizontal="center" vertical="center"/>
      <protection locked="0" hidden="1"/>
    </xf>
    <xf numFmtId="0" fontId="0" fillId="48" borderId="0" xfId="0" applyFill="1" applyAlignment="1" applyProtection="1">
      <alignment vertical="center"/>
      <protection locked="0" hidden="1"/>
    </xf>
    <xf numFmtId="0" fontId="12" fillId="0" borderId="58" xfId="0" applyFont="1" applyFill="1" applyBorder="1" applyAlignment="1" applyProtection="1">
      <alignment horizontal="center" vertical="center"/>
      <protection locked="0" hidden="1"/>
    </xf>
    <xf numFmtId="0" fontId="12" fillId="0" borderId="16" xfId="0" applyFont="1" applyFill="1" applyBorder="1" applyAlignment="1" applyProtection="1">
      <alignment horizontal="center" vertical="center"/>
      <protection locked="0" hidden="1"/>
    </xf>
    <xf numFmtId="0" fontId="12" fillId="0" borderId="2" xfId="0" applyFont="1" applyFill="1" applyBorder="1" applyAlignment="1" applyProtection="1">
      <alignment horizontal="center" vertical="center"/>
      <protection locked="0" hidden="1"/>
    </xf>
    <xf numFmtId="0" fontId="12" fillId="0" borderId="17" xfId="0" applyFont="1" applyFill="1" applyBorder="1" applyAlignment="1" applyProtection="1">
      <alignment horizontal="center" vertical="center"/>
      <protection locked="0" hidden="1"/>
    </xf>
    <xf numFmtId="1" fontId="0" fillId="0" borderId="0" xfId="0" applyNumberFormat="1" applyFill="1" applyBorder="1" applyAlignment="1" applyProtection="1">
      <alignment horizontal="center" vertical="center"/>
      <protection locked="0" hidden="1"/>
    </xf>
    <xf numFmtId="0" fontId="0" fillId="0" borderId="25" xfId="0" applyNumberFormat="1" applyFill="1" applyBorder="1" applyAlignment="1" applyProtection="1">
      <alignment horizontal="center" vertical="center"/>
      <protection locked="0" hidden="1"/>
    </xf>
    <xf numFmtId="0" fontId="0" fillId="0" borderId="61" xfId="35" applyNumberFormat="1" applyFont="1" applyFill="1" applyBorder="1" applyAlignment="1" applyProtection="1">
      <alignment horizontal="center" vertical="center"/>
      <protection locked="0" hidden="1"/>
    </xf>
    <xf numFmtId="1" fontId="0" fillId="0" borderId="50" xfId="0" applyNumberFormat="1" applyFill="1" applyBorder="1" applyAlignment="1" applyProtection="1">
      <alignment horizontal="center" vertical="center"/>
      <protection locked="0" hidden="1"/>
    </xf>
    <xf numFmtId="1" fontId="0" fillId="0" borderId="24" xfId="0" applyNumberFormat="1" applyFill="1" applyBorder="1" applyAlignment="1" applyProtection="1">
      <alignment horizontal="center" vertical="center"/>
      <protection locked="0" hidden="1"/>
    </xf>
    <xf numFmtId="167" fontId="0" fillId="48" borderId="0" xfId="0" applyNumberFormat="1" applyFill="1" applyBorder="1" applyAlignment="1" applyProtection="1">
      <alignment horizontal="center" vertical="center"/>
      <protection locked="0" hidden="1"/>
    </xf>
    <xf numFmtId="167" fontId="0" fillId="0" borderId="0" xfId="0" applyNumberFormat="1" applyFill="1" applyBorder="1" applyAlignment="1" applyProtection="1">
      <alignment horizontal="center" vertical="center"/>
      <protection locked="0" hidden="1"/>
    </xf>
    <xf numFmtId="167" fontId="0" fillId="0" borderId="24" xfId="0" applyNumberFormat="1" applyFill="1" applyBorder="1" applyAlignment="1" applyProtection="1">
      <alignment horizontal="center" vertical="center"/>
      <protection locked="0" hidden="1"/>
    </xf>
    <xf numFmtId="166" fontId="0" fillId="0" borderId="50" xfId="0" applyNumberFormat="1" applyFill="1" applyBorder="1" applyAlignment="1" applyProtection="1">
      <alignment horizontal="center" vertical="center"/>
      <protection locked="0" hidden="1"/>
    </xf>
    <xf numFmtId="166" fontId="0" fillId="0" borderId="24" xfId="0" applyNumberFormat="1" applyFill="1" applyBorder="1" applyAlignment="1" applyProtection="1">
      <alignment horizontal="center" vertical="center"/>
      <protection locked="0" hidden="1"/>
    </xf>
    <xf numFmtId="167" fontId="0" fillId="0" borderId="50" xfId="0" applyNumberFormat="1" applyFill="1" applyBorder="1" applyAlignment="1" applyProtection="1">
      <alignment horizontal="center" vertical="center"/>
      <protection locked="0" hidden="1"/>
    </xf>
    <xf numFmtId="167" fontId="0" fillId="0" borderId="25" xfId="0" applyNumberFormat="1" applyFill="1" applyBorder="1" applyAlignment="1" applyProtection="1">
      <alignment horizontal="center" vertical="center"/>
      <protection locked="0" hidden="1"/>
    </xf>
    <xf numFmtId="1" fontId="0" fillId="0" borderId="25" xfId="0" applyNumberFormat="1" applyFill="1" applyBorder="1" applyAlignment="1" applyProtection="1">
      <alignment horizontal="center" vertical="center"/>
      <protection locked="0" hidden="1"/>
    </xf>
    <xf numFmtId="0" fontId="0" fillId="3" borderId="25" xfId="0" applyFill="1" applyBorder="1" applyAlignment="1" applyProtection="1">
      <alignment horizontal="center" vertical="center"/>
      <protection locked="0" hidden="1"/>
    </xf>
    <xf numFmtId="1" fontId="0" fillId="3" borderId="24" xfId="0" applyNumberFormat="1" applyFill="1" applyBorder="1" applyAlignment="1" applyProtection="1">
      <alignment horizontal="center" vertical="center"/>
      <protection locked="0" hidden="1"/>
    </xf>
    <xf numFmtId="1" fontId="0" fillId="0" borderId="92" xfId="0" applyNumberFormat="1" applyFill="1" applyBorder="1" applyAlignment="1" applyProtection="1">
      <alignment horizontal="center" vertical="center"/>
      <protection locked="0" hidden="1"/>
    </xf>
    <xf numFmtId="1" fontId="0" fillId="0" borderId="19" xfId="0" applyNumberFormat="1" applyFill="1" applyBorder="1" applyAlignment="1" applyProtection="1">
      <alignment horizontal="center" vertical="center"/>
      <protection locked="0" hidden="1"/>
    </xf>
    <xf numFmtId="0" fontId="5" fillId="0" borderId="24" xfId="0" applyFont="1" applyFill="1" applyBorder="1" applyAlignment="1" applyProtection="1">
      <alignment horizontal="center" vertical="center"/>
      <protection locked="0" hidden="1"/>
    </xf>
    <xf numFmtId="0" fontId="5" fillId="0" borderId="25" xfId="0" applyFont="1" applyFill="1" applyBorder="1" applyAlignment="1" applyProtection="1">
      <alignment horizontal="center" vertical="center"/>
      <protection locked="0" hidden="1"/>
    </xf>
    <xf numFmtId="0" fontId="5" fillId="3" borderId="25" xfId="0" applyFont="1" applyFill="1" applyBorder="1" applyAlignment="1" applyProtection="1">
      <alignment horizontal="center" vertical="center"/>
      <protection locked="0" hidden="1"/>
    </xf>
    <xf numFmtId="1" fontId="5" fillId="0" borderId="33" xfId="0" applyNumberFormat="1" applyFont="1" applyFill="1" applyBorder="1" applyAlignment="1" applyProtection="1">
      <alignment horizontal="center" vertical="center"/>
      <protection locked="0" hidden="1"/>
    </xf>
    <xf numFmtId="0" fontId="5" fillId="0" borderId="17" xfId="0" applyFont="1" applyFill="1" applyBorder="1" applyAlignment="1" applyProtection="1">
      <alignment horizontal="center" vertical="center"/>
      <protection locked="0" hidden="1"/>
    </xf>
    <xf numFmtId="1" fontId="5" fillId="0" borderId="0" xfId="0" applyNumberFormat="1" applyFont="1" applyFill="1" applyBorder="1" applyAlignment="1" applyProtection="1">
      <alignment horizontal="center" vertical="center"/>
      <protection locked="0" hidden="1"/>
    </xf>
    <xf numFmtId="1" fontId="7" fillId="0" borderId="0" xfId="0" applyNumberFormat="1" applyFont="1" applyFill="1" applyBorder="1" applyAlignment="1" applyProtection="1">
      <alignment horizontal="center" vertical="center"/>
      <protection hidden="1"/>
    </xf>
    <xf numFmtId="1" fontId="7" fillId="0" borderId="0" xfId="0" applyNumberFormat="1" applyFont="1" applyFill="1" applyBorder="1" applyAlignment="1" applyProtection="1">
      <alignment horizontal="center" vertical="center"/>
      <protection locked="0" hidden="1"/>
    </xf>
    <xf numFmtId="1" fontId="7" fillId="0" borderId="57" xfId="0" applyNumberFormat="1" applyFont="1" applyFill="1" applyBorder="1" applyAlignment="1" applyProtection="1">
      <alignment horizontal="center" vertical="center"/>
      <protection locked="0" hidden="1"/>
    </xf>
    <xf numFmtId="0" fontId="7" fillId="0" borderId="0" xfId="0" applyFont="1" applyFill="1" applyBorder="1" applyAlignment="1" applyProtection="1">
      <alignment horizontal="center" vertical="center"/>
      <protection locked="0" hidden="1"/>
    </xf>
    <xf numFmtId="167" fontId="5" fillId="0" borderId="0" xfId="0" applyNumberFormat="1" applyFont="1" applyFill="1" applyBorder="1" applyAlignment="1" applyProtection="1">
      <alignment horizontal="center" vertical="center"/>
      <protection locked="0" hidden="1"/>
    </xf>
    <xf numFmtId="1" fontId="8" fillId="0" borderId="0" xfId="0" applyNumberFormat="1" applyFont="1" applyFill="1" applyBorder="1" applyAlignment="1" applyProtection="1">
      <alignment horizontal="center" vertical="center"/>
      <protection hidden="1"/>
    </xf>
    <xf numFmtId="1" fontId="8" fillId="0" borderId="0" xfId="0" applyNumberFormat="1" applyFont="1" applyFill="1" applyBorder="1" applyAlignment="1" applyProtection="1">
      <alignment horizontal="center" vertical="center"/>
      <protection locked="0" hidden="1"/>
    </xf>
    <xf numFmtId="0" fontId="8" fillId="0" borderId="0" xfId="0" applyFont="1" applyFill="1" applyBorder="1" applyAlignment="1" applyProtection="1">
      <alignment horizontal="center" vertical="center"/>
      <protection locked="0" hidden="1"/>
    </xf>
    <xf numFmtId="2" fontId="5" fillId="0" borderId="0" xfId="0" applyNumberFormat="1" applyFont="1" applyFill="1" applyBorder="1" applyAlignment="1" applyProtection="1">
      <alignment horizontal="center" vertical="center"/>
      <protection locked="0" hidden="1"/>
    </xf>
    <xf numFmtId="1" fontId="5" fillId="0" borderId="0" xfId="0" applyNumberFormat="1" applyFont="1" applyFill="1" applyBorder="1" applyAlignment="1" applyProtection="1">
      <alignment horizontal="left" vertical="center"/>
      <protection locked="0" hidden="1"/>
    </xf>
    <xf numFmtId="1" fontId="12" fillId="3" borderId="24" xfId="0" applyNumberFormat="1" applyFont="1" applyFill="1" applyBorder="1" applyAlignment="1" applyProtection="1">
      <alignment horizontal="center" vertical="center"/>
      <protection locked="0" hidden="1"/>
    </xf>
    <xf numFmtId="0" fontId="5" fillId="0" borderId="1" xfId="0" applyFont="1" applyFill="1" applyBorder="1" applyAlignment="1" applyProtection="1">
      <alignment horizontal="center" vertical="center"/>
      <protection locked="0" hidden="1"/>
    </xf>
    <xf numFmtId="0" fontId="12" fillId="0" borderId="1" xfId="42" applyFont="1" applyFill="1" applyBorder="1" applyAlignment="1" applyProtection="1">
      <alignment horizontal="center" vertical="center"/>
      <protection hidden="1"/>
    </xf>
    <xf numFmtId="1" fontId="12" fillId="0" borderId="1" xfId="42" applyNumberFormat="1" applyFont="1" applyFill="1" applyBorder="1" applyAlignment="1" applyProtection="1">
      <alignment horizontal="center" vertical="center"/>
      <protection hidden="1"/>
    </xf>
    <xf numFmtId="0" fontId="5" fillId="0" borderId="92" xfId="0" applyFont="1" applyFill="1" applyBorder="1" applyAlignment="1" applyProtection="1">
      <alignment horizontal="center" vertical="center"/>
      <protection locked="0" hidden="1"/>
    </xf>
    <xf numFmtId="1" fontId="5" fillId="0" borderId="1" xfId="0" applyNumberFormat="1" applyFont="1" applyFill="1" applyBorder="1" applyAlignment="1" applyProtection="1">
      <alignment horizontal="center" vertical="center"/>
      <protection locked="0" hidden="1"/>
    </xf>
    <xf numFmtId="1" fontId="12" fillId="0" borderId="24" xfId="0" applyNumberFormat="1" applyFont="1" applyFill="1" applyBorder="1" applyAlignment="1" applyProtection="1">
      <alignment horizontal="center" vertical="center"/>
      <protection locked="0" hidden="1"/>
    </xf>
    <xf numFmtId="0" fontId="0" fillId="3" borderId="25" xfId="0" applyFill="1" applyBorder="1" applyAlignment="1" applyProtection="1">
      <alignment vertical="center"/>
      <protection locked="0" hidden="1"/>
    </xf>
    <xf numFmtId="0" fontId="15" fillId="0" borderId="0" xfId="0" applyFont="1" applyFill="1" applyBorder="1" applyAlignment="1" applyProtection="1">
      <alignment horizontal="center" vertical="center"/>
      <protection locked="0" hidden="1"/>
    </xf>
    <xf numFmtId="1" fontId="8" fillId="0" borderId="57" xfId="0" applyNumberFormat="1" applyFont="1" applyFill="1" applyBorder="1" applyAlignment="1" applyProtection="1">
      <alignment horizontal="center" vertical="center"/>
      <protection locked="0" hidden="1"/>
    </xf>
    <xf numFmtId="1" fontId="8" fillId="0" borderId="90" xfId="0" applyNumberFormat="1" applyFont="1" applyFill="1" applyBorder="1" applyAlignment="1" applyProtection="1">
      <alignment horizontal="center" vertical="center"/>
      <protection locked="0" hidden="1"/>
    </xf>
    <xf numFmtId="1" fontId="8" fillId="0" borderId="37" xfId="0" applyNumberFormat="1" applyFont="1" applyFill="1" applyBorder="1" applyAlignment="1" applyProtection="1">
      <alignment horizontal="center" vertical="center"/>
      <protection locked="0" hidden="1"/>
    </xf>
    <xf numFmtId="1" fontId="8" fillId="0" borderId="0" xfId="0" applyNumberFormat="1" applyFont="1" applyFill="1" applyBorder="1" applyAlignment="1" applyProtection="1">
      <alignment horizontal="left" vertical="center"/>
      <protection locked="0" hidden="1"/>
    </xf>
    <xf numFmtId="0" fontId="8" fillId="0" borderId="0" xfId="0" applyFont="1" applyFill="1" applyBorder="1" applyAlignment="1" applyProtection="1">
      <alignment horizontal="left" vertical="center"/>
      <protection locked="0" hidden="1"/>
    </xf>
    <xf numFmtId="0" fontId="5" fillId="0" borderId="0" xfId="0" applyFont="1" applyAlignment="1" applyProtection="1">
      <alignment vertical="center"/>
      <protection locked="0" hidden="1"/>
    </xf>
    <xf numFmtId="167" fontId="5" fillId="0" borderId="0" xfId="0" applyNumberFormat="1" applyFont="1" applyFill="1" applyBorder="1" applyAlignment="1" applyProtection="1">
      <alignment horizontal="center" vertical="center" wrapText="1"/>
      <protection locked="0" hidden="1"/>
    </xf>
    <xf numFmtId="0" fontId="7" fillId="0" borderId="0" xfId="0" applyFont="1" applyAlignment="1" applyProtection="1">
      <alignment vertical="center"/>
      <protection locked="0" hidden="1"/>
    </xf>
    <xf numFmtId="165" fontId="5" fillId="0" borderId="46" xfId="0" applyNumberFormat="1" applyFont="1" applyBorder="1" applyAlignment="1" applyProtection="1">
      <alignment horizontal="center" vertical="center"/>
      <protection locked="0" hidden="1"/>
    </xf>
    <xf numFmtId="0" fontId="5" fillId="0" borderId="54" xfId="0" applyFont="1" applyFill="1" applyBorder="1" applyAlignment="1" applyProtection="1">
      <alignment horizontal="center" vertical="center"/>
      <protection locked="0" hidden="1"/>
    </xf>
    <xf numFmtId="0" fontId="5" fillId="0" borderId="0" xfId="0" applyFont="1" applyBorder="1" applyAlignment="1" applyProtection="1">
      <alignment horizontal="center" vertical="center"/>
      <protection locked="0" hidden="1"/>
    </xf>
    <xf numFmtId="167" fontId="5" fillId="0" borderId="0" xfId="0" applyNumberFormat="1" applyFont="1" applyBorder="1" applyAlignment="1" applyProtection="1">
      <alignment horizontal="center" vertical="center"/>
      <protection locked="0" hidden="1"/>
    </xf>
    <xf numFmtId="0" fontId="8" fillId="0" borderId="0" xfId="0" applyFont="1" applyBorder="1" applyAlignment="1" applyProtection="1">
      <alignment vertical="center"/>
      <protection locked="0" hidden="1"/>
    </xf>
    <xf numFmtId="0" fontId="8" fillId="0" borderId="0" xfId="0" applyFont="1" applyFill="1" applyBorder="1" applyAlignment="1" applyProtection="1">
      <alignment vertical="center"/>
      <protection locked="0" hidden="1"/>
    </xf>
    <xf numFmtId="0" fontId="0" fillId="0" borderId="0" xfId="0" applyProtection="1">
      <protection locked="0" hidden="1"/>
    </xf>
    <xf numFmtId="0" fontId="0" fillId="0" borderId="0" xfId="0" applyProtection="1">
      <protection hidden="1"/>
    </xf>
    <xf numFmtId="0" fontId="7" fillId="0" borderId="0" xfId="0" applyFont="1" applyProtection="1">
      <protection hidden="1"/>
    </xf>
    <xf numFmtId="0" fontId="12" fillId="0" borderId="0" xfId="0" applyFont="1" applyAlignment="1" applyProtection="1">
      <alignment horizontal="center"/>
      <protection locked="0" hidden="1"/>
    </xf>
    <xf numFmtId="0" fontId="5" fillId="0" borderId="33" xfId="0" applyFont="1" applyBorder="1" applyAlignment="1" applyProtection="1">
      <alignment horizontal="center" vertical="center"/>
    </xf>
    <xf numFmtId="1" fontId="0" fillId="0" borderId="0" xfId="0" applyNumberFormat="1"/>
    <xf numFmtId="49" fontId="0" fillId="0" borderId="0" xfId="0" applyNumberFormat="1" applyAlignment="1" applyProtection="1">
      <alignment vertical="center"/>
      <protection locked="0" hidden="1"/>
    </xf>
    <xf numFmtId="0" fontId="12" fillId="0" borderId="0" xfId="0" applyFont="1" applyFill="1" applyAlignment="1" applyProtection="1">
      <alignment vertical="center"/>
    </xf>
    <xf numFmtId="0" fontId="46" fillId="0" borderId="0" xfId="42"/>
    <xf numFmtId="1" fontId="46" fillId="0" borderId="0" xfId="42" applyNumberFormat="1"/>
    <xf numFmtId="1" fontId="0" fillId="0" borderId="0" xfId="0" applyNumberFormat="1" applyFill="1" applyAlignment="1" applyProtection="1">
      <alignment horizontal="center" vertical="center"/>
    </xf>
    <xf numFmtId="0" fontId="12" fillId="0" borderId="0" xfId="0" applyFont="1" applyAlignment="1" applyProtection="1">
      <alignment vertical="center"/>
      <protection hidden="1"/>
    </xf>
    <xf numFmtId="0" fontId="0" fillId="0" borderId="24" xfId="0" applyBorder="1" applyAlignment="1" applyProtection="1">
      <alignment horizontal="center" vertical="center"/>
      <protection locked="0" hidden="1"/>
    </xf>
    <xf numFmtId="0" fontId="0" fillId="0" borderId="50" xfId="0" applyBorder="1" applyAlignment="1" applyProtection="1">
      <alignment horizontal="center" vertical="center"/>
      <protection locked="0" hidden="1"/>
    </xf>
    <xf numFmtId="0" fontId="0" fillId="0" borderId="0" xfId="0"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166" fontId="5" fillId="0" borderId="16" xfId="0" applyNumberFormat="1" applyFont="1" applyFill="1" applyBorder="1" applyAlignment="1" applyProtection="1">
      <alignment horizontal="center" vertical="center"/>
      <protection locked="0" hidden="1"/>
    </xf>
    <xf numFmtId="1" fontId="5" fillId="0" borderId="34" xfId="0" applyNumberFormat="1" applyFont="1" applyFill="1" applyBorder="1" applyAlignment="1" applyProtection="1">
      <alignment horizontal="center" vertical="center"/>
      <protection locked="0" hidden="1"/>
    </xf>
    <xf numFmtId="0" fontId="29" fillId="0" borderId="0" xfId="0" applyFont="1" applyAlignment="1" applyProtection="1">
      <alignment vertical="center"/>
      <protection hidden="1"/>
    </xf>
    <xf numFmtId="0" fontId="29" fillId="0" borderId="0" xfId="0" applyFont="1" applyAlignment="1" applyProtection="1">
      <alignment vertical="center"/>
      <protection locked="0" hidden="1"/>
    </xf>
    <xf numFmtId="0" fontId="29" fillId="0" borderId="0" xfId="0" applyFont="1" applyFill="1" applyAlignment="1" applyProtection="1">
      <alignment vertical="center"/>
      <protection locked="0" hidden="1"/>
    </xf>
    <xf numFmtId="0" fontId="7" fillId="0" borderId="0" xfId="0" applyFont="1" applyFill="1" applyAlignment="1" applyProtection="1">
      <alignment vertical="center"/>
      <protection locked="0" hidden="1"/>
    </xf>
    <xf numFmtId="0" fontId="12" fillId="0" borderId="0" xfId="0" applyFont="1" applyAlignment="1" applyProtection="1">
      <alignment vertical="center"/>
      <protection locked="0" hidden="1"/>
    </xf>
    <xf numFmtId="2" fontId="8" fillId="0" borderId="0" xfId="0" applyNumberFormat="1" applyFont="1" applyFill="1" applyBorder="1" applyAlignment="1" applyProtection="1">
      <alignment horizontal="center" vertical="center"/>
      <protection hidden="1"/>
    </xf>
    <xf numFmtId="2" fontId="8" fillId="0" borderId="0" xfId="0" applyNumberFormat="1" applyFont="1" applyBorder="1" applyAlignment="1" applyProtection="1">
      <alignment horizontal="center" vertical="center"/>
      <protection hidden="1"/>
    </xf>
    <xf numFmtId="167" fontId="5" fillId="0" borderId="95" xfId="0" applyNumberFormat="1" applyFont="1" applyFill="1" applyBorder="1" applyAlignment="1" applyProtection="1">
      <alignment horizontal="center" vertical="center"/>
      <protection locked="0" hidden="1"/>
    </xf>
    <xf numFmtId="1" fontId="5" fillId="0" borderId="50" xfId="0" applyNumberFormat="1" applyFont="1" applyFill="1" applyBorder="1" applyAlignment="1" applyProtection="1">
      <alignment horizontal="center" vertical="center"/>
      <protection locked="0" hidden="1"/>
    </xf>
    <xf numFmtId="1" fontId="5" fillId="48" borderId="0" xfId="0" applyNumberFormat="1" applyFont="1" applyFill="1" applyBorder="1" applyAlignment="1" applyProtection="1">
      <alignment horizontal="center" vertical="center"/>
      <protection locked="0" hidden="1"/>
    </xf>
    <xf numFmtId="0" fontId="16" fillId="0" borderId="0" xfId="0" applyFont="1" applyProtection="1"/>
    <xf numFmtId="0" fontId="0" fillId="0" borderId="22" xfId="0" applyBorder="1" applyAlignment="1" applyProtection="1">
      <alignment horizontal="center"/>
    </xf>
    <xf numFmtId="0" fontId="0" fillId="0" borderId="51" xfId="0" applyBorder="1" applyAlignment="1" applyProtection="1">
      <alignment horizontal="center"/>
    </xf>
    <xf numFmtId="0" fontId="0" fillId="0" borderId="21" xfId="0" applyBorder="1" applyAlignment="1" applyProtection="1">
      <alignment horizontal="center"/>
    </xf>
    <xf numFmtId="0" fontId="0" fillId="0" borderId="13" xfId="0" applyBorder="1" applyAlignment="1" applyProtection="1">
      <alignment horizontal="center"/>
    </xf>
    <xf numFmtId="0" fontId="0" fillId="0" borderId="25" xfId="0" applyBorder="1" applyAlignment="1" applyProtection="1">
      <alignment horizontal="center"/>
    </xf>
    <xf numFmtId="0" fontId="0" fillId="0" borderId="50" xfId="0" applyBorder="1" applyAlignment="1" applyProtection="1">
      <alignment horizontal="center"/>
    </xf>
    <xf numFmtId="0" fontId="0" fillId="0" borderId="0" xfId="0" applyFill="1" applyProtection="1"/>
    <xf numFmtId="167" fontId="0" fillId="0" borderId="51" xfId="0" applyNumberFormat="1" applyBorder="1" applyAlignment="1" applyProtection="1">
      <alignment horizontal="center"/>
    </xf>
    <xf numFmtId="1" fontId="0" fillId="0" borderId="13" xfId="0" applyNumberFormat="1" applyBorder="1" applyAlignment="1" applyProtection="1">
      <alignment horizontal="center"/>
    </xf>
    <xf numFmtId="167" fontId="0" fillId="0" borderId="13" xfId="0" applyNumberFormat="1" applyBorder="1" applyAlignment="1" applyProtection="1">
      <alignment horizontal="center"/>
    </xf>
    <xf numFmtId="167" fontId="0" fillId="0" borderId="21" xfId="0" applyNumberFormat="1" applyBorder="1" applyAlignment="1" applyProtection="1">
      <alignment horizontal="center"/>
    </xf>
    <xf numFmtId="167" fontId="0" fillId="0" borderId="0" xfId="0" applyNumberFormat="1" applyFill="1" applyBorder="1" applyAlignment="1" applyProtection="1">
      <alignment horizontal="center"/>
    </xf>
    <xf numFmtId="1" fontId="0" fillId="0" borderId="0" xfId="0" applyNumberFormat="1" applyBorder="1" applyAlignment="1" applyProtection="1">
      <alignment horizontal="center"/>
    </xf>
    <xf numFmtId="167" fontId="0" fillId="0" borderId="0" xfId="0" applyNumberFormat="1" applyBorder="1" applyAlignment="1" applyProtection="1">
      <alignment horizontal="center"/>
    </xf>
    <xf numFmtId="167" fontId="0" fillId="0" borderId="24" xfId="0" applyNumberFormat="1" applyBorder="1" applyAlignment="1" applyProtection="1">
      <alignment horizontal="center"/>
    </xf>
    <xf numFmtId="0" fontId="0" fillId="0" borderId="0" xfId="0" applyBorder="1" applyAlignment="1" applyProtection="1"/>
    <xf numFmtId="0" fontId="0" fillId="0" borderId="2" xfId="0" applyBorder="1" applyAlignment="1" applyProtection="1"/>
    <xf numFmtId="0" fontId="0" fillId="0" borderId="98" xfId="0" applyBorder="1" applyAlignment="1" applyProtection="1"/>
    <xf numFmtId="0" fontId="0" fillId="0" borderId="99" xfId="0" applyBorder="1" applyAlignment="1" applyProtection="1"/>
    <xf numFmtId="0" fontId="0" fillId="0" borderId="100" xfId="0" applyBorder="1" applyAlignment="1" applyProtection="1"/>
    <xf numFmtId="0" fontId="0" fillId="0" borderId="101" xfId="0" applyBorder="1" applyAlignment="1" applyProtection="1"/>
    <xf numFmtId="0" fontId="0" fillId="0" borderId="102" xfId="0" applyBorder="1" applyAlignment="1" applyProtection="1"/>
    <xf numFmtId="0" fontId="0" fillId="0" borderId="103" xfId="0" applyBorder="1" applyAlignment="1" applyProtection="1"/>
    <xf numFmtId="1" fontId="12" fillId="0" borderId="0" xfId="42" applyNumberFormat="1" applyFont="1" applyFill="1" applyBorder="1" applyAlignment="1" applyProtection="1">
      <alignment horizontal="center" vertical="center"/>
      <protection hidden="1"/>
    </xf>
    <xf numFmtId="1" fontId="5" fillId="0" borderId="0" xfId="0" applyNumberFormat="1" applyFont="1" applyFill="1" applyBorder="1" applyAlignment="1" applyProtection="1">
      <alignment vertical="center"/>
      <protection hidden="1"/>
    </xf>
    <xf numFmtId="0" fontId="12" fillId="0" borderId="0" xfId="0" applyFont="1" applyBorder="1" applyAlignment="1" applyProtection="1">
      <alignment horizontal="center"/>
    </xf>
    <xf numFmtId="0" fontId="0" fillId="0" borderId="0" xfId="0" applyAlignment="1" applyProtection="1">
      <alignment horizontal="center"/>
    </xf>
    <xf numFmtId="0" fontId="12" fillId="0" borderId="0" xfId="0" applyFont="1" applyFill="1" applyBorder="1" applyAlignment="1" applyProtection="1">
      <alignment vertical="center"/>
      <protection hidden="1"/>
    </xf>
    <xf numFmtId="0" fontId="7" fillId="0" borderId="0" xfId="0" applyFont="1" applyProtection="1"/>
    <xf numFmtId="0" fontId="0" fillId="0" borderId="16" xfId="0" applyBorder="1" applyAlignment="1" applyProtection="1"/>
    <xf numFmtId="2" fontId="12" fillId="0" borderId="0" xfId="42" applyNumberFormat="1" applyFont="1" applyFill="1" applyBorder="1" applyAlignment="1" applyProtection="1">
      <alignment horizontal="center" vertical="center"/>
      <protection hidden="1"/>
    </xf>
    <xf numFmtId="0" fontId="8" fillId="0" borderId="0" xfId="62" applyFont="1" applyFill="1" applyAlignment="1" applyProtection="1">
      <alignment horizontal="left"/>
      <protection locked="0"/>
    </xf>
    <xf numFmtId="0" fontId="8" fillId="0" borderId="0" xfId="62" applyFont="1" applyAlignment="1" applyProtection="1">
      <alignment horizontal="left"/>
      <protection locked="0"/>
    </xf>
    <xf numFmtId="0" fontId="5" fillId="0" borderId="0" xfId="62" applyFont="1" applyAlignment="1" applyProtection="1">
      <alignment horizontal="left"/>
      <protection locked="0"/>
    </xf>
    <xf numFmtId="0" fontId="5" fillId="0" borderId="0" xfId="62" applyFont="1" applyFill="1" applyAlignment="1" applyProtection="1">
      <alignment horizontal="center"/>
      <protection locked="0"/>
    </xf>
    <xf numFmtId="0" fontId="5" fillId="0" borderId="3" xfId="62" applyFont="1" applyFill="1" applyBorder="1" applyAlignment="1" applyProtection="1">
      <protection locked="0"/>
    </xf>
    <xf numFmtId="0" fontId="5" fillId="0" borderId="4" xfId="62" applyFont="1" applyFill="1" applyBorder="1" applyAlignment="1" applyProtection="1">
      <protection locked="0"/>
    </xf>
    <xf numFmtId="0" fontId="12" fillId="0" borderId="0" xfId="62" applyFont="1" applyFill="1" applyAlignment="1" applyProtection="1">
      <alignment horizontal="center"/>
      <protection locked="0"/>
    </xf>
    <xf numFmtId="0" fontId="12" fillId="0" borderId="0" xfId="62" applyAlignment="1" applyProtection="1">
      <alignment horizontal="center"/>
      <protection locked="0"/>
    </xf>
    <xf numFmtId="0" fontId="5" fillId="0" borderId="32" xfId="62" applyFont="1" applyFill="1" applyBorder="1" applyAlignment="1" applyProtection="1">
      <alignment horizontal="center"/>
      <protection locked="0"/>
    </xf>
    <xf numFmtId="0" fontId="5" fillId="0" borderId="0" xfId="62" applyFont="1" applyAlignment="1" applyProtection="1">
      <alignment horizontal="center" wrapText="1"/>
      <protection locked="0"/>
    </xf>
    <xf numFmtId="0" fontId="12" fillId="0" borderId="0" xfId="62" applyAlignment="1" applyProtection="1">
      <protection locked="0"/>
    </xf>
    <xf numFmtId="0" fontId="12" fillId="0" borderId="0" xfId="62" applyFill="1" applyAlignment="1" applyProtection="1">
      <protection locked="0"/>
    </xf>
    <xf numFmtId="0" fontId="5" fillId="0" borderId="0" xfId="62" applyFont="1" applyFill="1" applyAlignment="1" applyProtection="1">
      <alignment horizontal="center" vertical="center"/>
      <protection locked="0"/>
    </xf>
    <xf numFmtId="0" fontId="5" fillId="0" borderId="34" xfId="62" applyFont="1" applyFill="1" applyBorder="1" applyProtection="1">
      <protection locked="0"/>
    </xf>
    <xf numFmtId="0" fontId="12" fillId="0" borderId="0" xfId="62" applyProtection="1">
      <protection locked="0"/>
    </xf>
    <xf numFmtId="0" fontId="12" fillId="0" borderId="0" xfId="62" applyFill="1" applyAlignment="1" applyProtection="1">
      <alignment horizontal="left"/>
      <protection locked="0"/>
    </xf>
    <xf numFmtId="0" fontId="5" fillId="0" borderId="34" xfId="62" applyFont="1" applyFill="1" applyBorder="1" applyAlignment="1" applyProtection="1">
      <alignment horizontal="center"/>
      <protection locked="0"/>
    </xf>
    <xf numFmtId="0" fontId="5" fillId="0" borderId="8" xfId="62" applyFont="1" applyFill="1" applyBorder="1" applyAlignment="1" applyProtection="1">
      <alignment horizontal="center"/>
      <protection locked="0"/>
    </xf>
    <xf numFmtId="0" fontId="5" fillId="0" borderId="36" xfId="62" applyFont="1" applyFill="1" applyBorder="1" applyAlignment="1" applyProtection="1">
      <alignment horizontal="center"/>
      <protection locked="0"/>
    </xf>
    <xf numFmtId="0" fontId="75" fillId="0" borderId="0" xfId="62" applyFont="1" applyFill="1" applyAlignment="1" applyProtection="1">
      <alignment horizontal="left" vertical="top"/>
      <protection locked="0"/>
    </xf>
    <xf numFmtId="0" fontId="75" fillId="0" borderId="0" xfId="62" applyFont="1" applyAlignment="1" applyProtection="1">
      <alignment horizontal="left" vertical="top"/>
      <protection locked="0"/>
    </xf>
    <xf numFmtId="0" fontId="75" fillId="0" borderId="0" xfId="62" applyFont="1" applyAlignment="1" applyProtection="1">
      <alignment horizontal="center" vertical="top"/>
      <protection locked="0"/>
    </xf>
    <xf numFmtId="0" fontId="5" fillId="0" borderId="43" xfId="62" applyFont="1" applyFill="1" applyBorder="1" applyAlignment="1" applyProtection="1">
      <alignment horizontal="center"/>
      <protection locked="0"/>
    </xf>
    <xf numFmtId="0" fontId="5" fillId="0" borderId="25" xfId="62" applyFont="1" applyFill="1" applyBorder="1" applyAlignment="1" applyProtection="1">
      <alignment horizontal="center"/>
      <protection locked="0"/>
    </xf>
    <xf numFmtId="2" fontId="76" fillId="0" borderId="40" xfId="62" applyNumberFormat="1" applyFont="1" applyFill="1" applyBorder="1" applyAlignment="1" applyProtection="1">
      <alignment horizontal="center"/>
      <protection locked="0"/>
    </xf>
    <xf numFmtId="2" fontId="12" fillId="0" borderId="0" xfId="62" applyNumberFormat="1" applyFont="1" applyFill="1" applyBorder="1" applyAlignment="1" applyProtection="1">
      <alignment horizontal="center"/>
      <protection locked="0"/>
    </xf>
    <xf numFmtId="0" fontId="12" fillId="0" borderId="0" xfId="62" applyFont="1" applyFill="1" applyBorder="1" applyProtection="1">
      <protection locked="0"/>
    </xf>
    <xf numFmtId="0" fontId="12" fillId="0" borderId="0" xfId="62" applyFont="1" applyFill="1" applyBorder="1" applyAlignment="1" applyProtection="1">
      <alignment horizontal="center"/>
      <protection locked="0"/>
    </xf>
    <xf numFmtId="0" fontId="12" fillId="0" borderId="0" xfId="0" applyFont="1" applyFill="1" applyBorder="1" applyAlignment="1" applyProtection="1">
      <alignment vertical="top"/>
      <protection locked="0"/>
    </xf>
    <xf numFmtId="0" fontId="5" fillId="0" borderId="46" xfId="62" applyFont="1" applyBorder="1" applyAlignment="1" applyProtection="1">
      <protection locked="0"/>
    </xf>
    <xf numFmtId="0" fontId="71" fillId="0" borderId="32" xfId="62" applyFont="1" applyBorder="1" applyProtection="1">
      <protection locked="0"/>
    </xf>
    <xf numFmtId="0" fontId="12" fillId="0" borderId="0" xfId="62" applyFont="1" applyFill="1" applyProtection="1">
      <protection locked="0"/>
    </xf>
    <xf numFmtId="0" fontId="12" fillId="0" borderId="0" xfId="62" applyFill="1" applyAlignment="1" applyProtection="1">
      <alignment horizontal="center"/>
      <protection locked="0"/>
    </xf>
    <xf numFmtId="0" fontId="12" fillId="46" borderId="0" xfId="62" applyFont="1" applyFill="1" applyBorder="1" applyAlignment="1" applyProtection="1">
      <alignment horizontal="center"/>
      <protection locked="0"/>
    </xf>
    <xf numFmtId="0" fontId="0" fillId="0" borderId="0" xfId="0" applyBorder="1" applyAlignment="1" applyProtection="1">
      <alignment horizontal="center"/>
    </xf>
    <xf numFmtId="0" fontId="12" fillId="0" borderId="51" xfId="0" applyFont="1" applyBorder="1" applyAlignment="1" applyProtection="1">
      <alignment horizontal="center"/>
    </xf>
    <xf numFmtId="0" fontId="12" fillId="0" borderId="50" xfId="0" applyFont="1" applyBorder="1" applyAlignment="1" applyProtection="1">
      <alignment horizontal="center"/>
    </xf>
    <xf numFmtId="0" fontId="12" fillId="0" borderId="102" xfId="0" applyFont="1" applyBorder="1" applyAlignment="1" applyProtection="1"/>
    <xf numFmtId="0" fontId="15" fillId="0" borderId="0" xfId="0" applyFont="1" applyBorder="1" applyAlignment="1" applyProtection="1">
      <alignment horizontal="left" vertical="center"/>
    </xf>
    <xf numFmtId="0" fontId="16" fillId="0" borderId="0" xfId="0" applyFont="1" applyFill="1" applyAlignment="1" applyProtection="1">
      <alignment horizontal="left"/>
    </xf>
    <xf numFmtId="0" fontId="16" fillId="0" borderId="0" xfId="0" applyFont="1" applyFill="1" applyBorder="1" applyAlignment="1" applyProtection="1">
      <alignment horizontal="left"/>
    </xf>
    <xf numFmtId="0" fontId="0" fillId="0" borderId="2" xfId="0" applyBorder="1" applyProtection="1"/>
    <xf numFmtId="0" fontId="0" fillId="0" borderId="0" xfId="0" applyFill="1" applyBorder="1" applyAlignment="1" applyProtection="1">
      <alignment horizontal="center"/>
    </xf>
    <xf numFmtId="167" fontId="0" fillId="0" borderId="0" xfId="0" applyNumberFormat="1" applyAlignment="1" applyProtection="1">
      <alignment vertical="center"/>
      <protection hidden="1"/>
    </xf>
    <xf numFmtId="0" fontId="12" fillId="0" borderId="0" xfId="0" applyFont="1" applyFill="1" applyAlignment="1">
      <alignment horizontal="center"/>
    </xf>
    <xf numFmtId="0" fontId="16" fillId="0" borderId="0" xfId="0" applyFont="1" applyBorder="1" applyAlignment="1" applyProtection="1">
      <alignment horizontal="left"/>
    </xf>
    <xf numFmtId="0" fontId="0" fillId="0" borderId="0" xfId="0" applyAlignment="1" applyProtection="1">
      <alignment horizontal="left"/>
    </xf>
    <xf numFmtId="2" fontId="0" fillId="0" borderId="50" xfId="0" applyNumberFormat="1" applyFill="1" applyBorder="1" applyAlignment="1" applyProtection="1">
      <alignment horizontal="center" vertical="center"/>
      <protection locked="0" hidden="1"/>
    </xf>
    <xf numFmtId="0" fontId="5" fillId="0" borderId="0" xfId="0" applyFont="1" applyFill="1" applyBorder="1" applyAlignment="1">
      <alignment horizontal="center"/>
    </xf>
    <xf numFmtId="0" fontId="15" fillId="0" borderId="0" xfId="0" applyFont="1" applyAlignment="1" applyProtection="1">
      <alignment horizontal="center" vertical="center"/>
      <protection hidden="1"/>
    </xf>
    <xf numFmtId="0" fontId="12" fillId="0" borderId="64" xfId="0" applyFont="1" applyFill="1" applyBorder="1" applyAlignment="1">
      <alignment horizontal="center"/>
    </xf>
    <xf numFmtId="0" fontId="12" fillId="0" borderId="63" xfId="0" applyFont="1" applyFill="1" applyBorder="1" applyAlignment="1">
      <alignment horizontal="center"/>
    </xf>
    <xf numFmtId="0" fontId="12" fillId="0" borderId="113" xfId="0" applyFont="1" applyFill="1" applyBorder="1" applyAlignment="1">
      <alignment horizontal="center"/>
    </xf>
    <xf numFmtId="0" fontId="12" fillId="0" borderId="115" xfId="0" applyFont="1" applyFill="1" applyBorder="1" applyAlignment="1">
      <alignment horizontal="center"/>
    </xf>
    <xf numFmtId="1" fontId="0" fillId="0" borderId="0" xfId="0" applyNumberFormat="1" applyAlignment="1" applyProtection="1">
      <alignment vertical="center"/>
      <protection hidden="1"/>
    </xf>
    <xf numFmtId="2" fontId="0" fillId="0" borderId="0" xfId="0" applyNumberFormat="1" applyAlignment="1" applyProtection="1">
      <alignment vertical="center"/>
      <protection hidden="1"/>
    </xf>
    <xf numFmtId="1" fontId="12" fillId="0" borderId="0" xfId="62" applyNumberFormat="1" applyFill="1" applyBorder="1" applyAlignment="1" applyProtection="1">
      <alignment horizontal="center" vertical="center"/>
      <protection locked="0" hidden="1"/>
    </xf>
    <xf numFmtId="0" fontId="0" fillId="0" borderId="0" xfId="0" applyFill="1" applyBorder="1" applyAlignment="1" applyProtection="1"/>
    <xf numFmtId="167" fontId="0" fillId="43" borderId="0" xfId="0" applyNumberFormat="1" applyFill="1" applyAlignment="1" applyProtection="1">
      <alignment vertical="center"/>
      <protection hidden="1"/>
    </xf>
    <xf numFmtId="167" fontId="0" fillId="43" borderId="0" xfId="0" applyNumberFormat="1" applyFill="1" applyBorder="1" applyAlignment="1" applyProtection="1">
      <alignment horizontal="center"/>
    </xf>
    <xf numFmtId="0" fontId="5" fillId="0" borderId="5" xfId="62" applyFont="1" applyFill="1" applyBorder="1" applyAlignment="1" applyProtection="1">
      <alignment horizontal="center" wrapText="1"/>
      <protection locked="0"/>
    </xf>
    <xf numFmtId="167" fontId="12" fillId="0" borderId="0" xfId="62" applyNumberFormat="1" applyFont="1" applyFill="1" applyBorder="1" applyAlignment="1" applyProtection="1">
      <alignment horizontal="center"/>
      <protection locked="0"/>
    </xf>
    <xf numFmtId="0" fontId="12" fillId="43" borderId="0" xfId="0" applyFont="1" applyFill="1" applyAlignment="1" applyProtection="1">
      <alignment vertical="center"/>
      <protection hidden="1"/>
    </xf>
    <xf numFmtId="0" fontId="0" fillId="43" borderId="0" xfId="0" applyFill="1" applyAlignment="1" applyProtection="1">
      <alignment vertical="center"/>
      <protection hidden="1"/>
    </xf>
    <xf numFmtId="1" fontId="5" fillId="0" borderId="3" xfId="0" applyNumberFormat="1" applyFont="1" applyBorder="1" applyAlignment="1" applyProtection="1">
      <alignment horizontal="center" vertical="center"/>
      <protection hidden="1"/>
    </xf>
    <xf numFmtId="0" fontId="5" fillId="0" borderId="64" xfId="0" applyFont="1" applyBorder="1" applyAlignment="1" applyProtection="1">
      <alignment vertical="center"/>
      <protection hidden="1"/>
    </xf>
    <xf numFmtId="0" fontId="5" fillId="0" borderId="63" xfId="0" applyFont="1" applyBorder="1" applyAlignment="1" applyProtection="1">
      <alignment vertical="center"/>
      <protection hidden="1"/>
    </xf>
    <xf numFmtId="0" fontId="0" fillId="3" borderId="0" xfId="0" applyFill="1" applyBorder="1" applyAlignment="1" applyProtection="1">
      <alignment horizontal="center" vertical="center"/>
      <protection locked="0" hidden="1"/>
    </xf>
    <xf numFmtId="1" fontId="0" fillId="3" borderId="0" xfId="0" applyNumberFormat="1" applyFill="1" applyBorder="1" applyAlignment="1" applyProtection="1">
      <alignment horizontal="center" vertical="center"/>
      <protection locked="0" hidden="1"/>
    </xf>
    <xf numFmtId="167" fontId="15" fillId="0" borderId="0" xfId="0" applyNumberFormat="1" applyFont="1" applyAlignment="1" applyProtection="1">
      <alignment vertical="center"/>
      <protection locked="0" hidden="1"/>
    </xf>
    <xf numFmtId="1" fontId="0" fillId="0" borderId="0" xfId="0" applyNumberFormat="1" applyAlignment="1" applyProtection="1">
      <alignment vertical="center"/>
      <protection locked="0" hidden="1"/>
    </xf>
    <xf numFmtId="167" fontId="12" fillId="0" borderId="0" xfId="0" applyNumberFormat="1" applyFont="1" applyAlignment="1" applyProtection="1">
      <alignment vertical="center"/>
      <protection hidden="1"/>
    </xf>
    <xf numFmtId="2" fontId="12" fillId="0" borderId="0" xfId="0" applyNumberFormat="1" applyFont="1" applyAlignment="1" applyProtection="1">
      <alignment vertical="center"/>
      <protection hidden="1"/>
    </xf>
    <xf numFmtId="0" fontId="5" fillId="0" borderId="0" xfId="0" applyFont="1" applyAlignment="1" applyProtection="1">
      <alignment horizontal="center" vertical="center"/>
      <protection hidden="1"/>
    </xf>
    <xf numFmtId="0" fontId="5" fillId="0" borderId="0" xfId="0" applyFont="1" applyAlignment="1" applyProtection="1">
      <alignment horizontal="left" vertical="center"/>
      <protection hidden="1"/>
    </xf>
    <xf numFmtId="0" fontId="79" fillId="0" borderId="0" xfId="0" applyFont="1" applyAlignment="1" applyProtection="1">
      <alignment vertical="center"/>
      <protection hidden="1"/>
    </xf>
    <xf numFmtId="0" fontId="5" fillId="2" borderId="1" xfId="0" applyFont="1" applyFill="1" applyBorder="1" applyAlignment="1" applyProtection="1">
      <alignment horizontal="center" vertical="center"/>
      <protection locked="0"/>
    </xf>
    <xf numFmtId="0" fontId="5" fillId="0" borderId="0" xfId="0" applyFont="1" applyAlignment="1" applyProtection="1">
      <alignment vertical="center"/>
    </xf>
    <xf numFmtId="0" fontId="5" fillId="0" borderId="0" xfId="0" applyFont="1" applyBorder="1" applyAlignment="1" applyProtection="1">
      <alignment horizontal="left" vertical="center"/>
      <protection locked="0" hidden="1"/>
    </xf>
    <xf numFmtId="0" fontId="5" fillId="4" borderId="0" xfId="0" applyFont="1" applyFill="1" applyAlignment="1" applyProtection="1">
      <alignment horizontal="left" vertical="center"/>
      <protection hidden="1"/>
    </xf>
    <xf numFmtId="0" fontId="5" fillId="4" borderId="0" xfId="0" applyFont="1" applyFill="1" applyAlignment="1" applyProtection="1">
      <alignment horizontal="center" vertical="center"/>
      <protection hidden="1"/>
    </xf>
    <xf numFmtId="0" fontId="5" fillId="4" borderId="0" xfId="0" applyFont="1" applyFill="1" applyAlignment="1" applyProtection="1">
      <alignment vertical="center"/>
      <protection hidden="1"/>
    </xf>
    <xf numFmtId="0" fontId="5" fillId="4" borderId="0" xfId="0" applyFont="1" applyFill="1" applyBorder="1" applyAlignment="1" applyProtection="1">
      <alignment horizontal="center" vertical="center"/>
      <protection locked="0" hidden="1"/>
    </xf>
    <xf numFmtId="0" fontId="5" fillId="4" borderId="0" xfId="0" applyFont="1" applyFill="1" applyBorder="1" applyAlignment="1" applyProtection="1">
      <alignment horizontal="left" vertical="center"/>
      <protection locked="0" hidden="1"/>
    </xf>
    <xf numFmtId="0" fontId="8" fillId="4" borderId="0" xfId="0" applyFont="1" applyFill="1" applyAlignment="1" applyProtection="1">
      <alignment vertical="center"/>
      <protection hidden="1"/>
    </xf>
    <xf numFmtId="0" fontId="8" fillId="4" borderId="0" xfId="0" applyFont="1" applyFill="1" applyBorder="1" applyAlignment="1" applyProtection="1">
      <alignment vertical="center"/>
      <protection locked="0" hidden="1"/>
    </xf>
    <xf numFmtId="167" fontId="8" fillId="0" borderId="0" xfId="0" applyNumberFormat="1" applyFont="1" applyBorder="1" applyAlignment="1" applyProtection="1">
      <alignment vertical="center"/>
      <protection locked="0" hidden="1"/>
    </xf>
    <xf numFmtId="0" fontId="16" fillId="0" borderId="0" xfId="0" applyFont="1" applyAlignment="1" applyProtection="1">
      <alignment horizontal="center" vertical="center"/>
      <protection hidden="1"/>
    </xf>
    <xf numFmtId="0" fontId="0" fillId="0" borderId="2" xfId="0" applyBorder="1" applyAlignment="1" applyProtection="1">
      <alignment horizontal="center"/>
    </xf>
    <xf numFmtId="0" fontId="5" fillId="0" borderId="5" xfId="62" applyFont="1" applyFill="1" applyBorder="1" applyAlignment="1" applyProtection="1">
      <alignment horizontal="center"/>
      <protection locked="0"/>
    </xf>
    <xf numFmtId="0" fontId="15" fillId="0" borderId="0" xfId="0" applyFont="1" applyFill="1" applyBorder="1" applyProtection="1"/>
    <xf numFmtId="1" fontId="5" fillId="0" borderId="88" xfId="0" applyNumberFormat="1" applyFont="1" applyFill="1" applyBorder="1" applyAlignment="1" applyProtection="1">
      <alignment horizontal="center" vertical="center"/>
      <protection hidden="1"/>
    </xf>
    <xf numFmtId="1" fontId="5" fillId="0" borderId="118" xfId="0" applyNumberFormat="1" applyFont="1" applyFill="1" applyBorder="1" applyAlignment="1" applyProtection="1">
      <alignment horizontal="center" vertical="center"/>
      <protection hidden="1"/>
    </xf>
    <xf numFmtId="0" fontId="5" fillId="45" borderId="50" xfId="0" applyFont="1" applyFill="1" applyBorder="1" applyAlignment="1" applyProtection="1">
      <alignment horizontal="center" vertical="center"/>
    </xf>
    <xf numFmtId="1" fontId="5" fillId="0" borderId="120" xfId="0" applyNumberFormat="1" applyFont="1" applyFill="1" applyBorder="1" applyAlignment="1" applyProtection="1">
      <alignment horizontal="center" vertical="center"/>
      <protection locked="0" hidden="1"/>
    </xf>
    <xf numFmtId="1" fontId="29" fillId="0" borderId="0" xfId="0" applyNumberFormat="1" applyFont="1" applyFill="1" applyBorder="1" applyAlignment="1" applyProtection="1">
      <alignment horizontal="center" vertical="center"/>
      <protection locked="0" hidden="1"/>
    </xf>
    <xf numFmtId="0" fontId="5" fillId="0" borderId="122" xfId="0" applyFont="1" applyBorder="1" applyAlignment="1" applyProtection="1">
      <alignment horizontal="center" vertical="center"/>
    </xf>
    <xf numFmtId="0" fontId="5" fillId="0" borderId="124" xfId="0" applyFont="1" applyBorder="1" applyAlignment="1" applyProtection="1">
      <alignment horizontal="center" vertical="center"/>
    </xf>
    <xf numFmtId="0" fontId="5" fillId="0" borderId="125" xfId="0" applyFont="1" applyBorder="1" applyAlignment="1" applyProtection="1">
      <alignment horizontal="center" vertical="center"/>
    </xf>
    <xf numFmtId="0" fontId="5" fillId="0" borderId="129" xfId="0" applyFont="1" applyBorder="1" applyAlignment="1" applyProtection="1">
      <alignment horizontal="center" vertical="center"/>
    </xf>
    <xf numFmtId="0" fontId="5" fillId="0" borderId="0" xfId="0" applyFont="1" applyBorder="1" applyAlignment="1" applyProtection="1">
      <alignment vertical="center"/>
      <protection hidden="1"/>
    </xf>
    <xf numFmtId="0" fontId="16" fillId="0" borderId="5" xfId="0" applyFont="1" applyBorder="1" applyAlignment="1" applyProtection="1">
      <alignment horizontal="left"/>
    </xf>
    <xf numFmtId="0" fontId="15" fillId="0" borderId="31" xfId="0" applyFont="1" applyBorder="1" applyAlignment="1" applyProtection="1">
      <alignment horizontal="center" vertical="center"/>
    </xf>
    <xf numFmtId="0" fontId="29" fillId="0" borderId="64" xfId="0" applyFont="1" applyBorder="1" applyProtection="1"/>
    <xf numFmtId="0" fontId="0" fillId="0" borderId="63" xfId="0" applyBorder="1" applyProtection="1"/>
    <xf numFmtId="0" fontId="12" fillId="0" borderId="63" xfId="0" applyFont="1" applyBorder="1" applyAlignment="1" applyProtection="1">
      <alignment horizontal="left"/>
    </xf>
    <xf numFmtId="0" fontId="15" fillId="0" borderId="63" xfId="0" applyFont="1" applyBorder="1" applyAlignment="1" applyProtection="1">
      <alignment horizontal="center" vertical="center"/>
    </xf>
    <xf numFmtId="0" fontId="15" fillId="0" borderId="113" xfId="0" applyFont="1" applyBorder="1" applyAlignment="1" applyProtection="1">
      <alignment horizontal="center" vertical="center"/>
    </xf>
    <xf numFmtId="0" fontId="16" fillId="0" borderId="10" xfId="0" applyFont="1" applyBorder="1" applyProtection="1"/>
    <xf numFmtId="0" fontId="5" fillId="0" borderId="2" xfId="0" applyFont="1" applyBorder="1" applyAlignment="1" applyProtection="1">
      <alignment vertical="center"/>
      <protection hidden="1"/>
    </xf>
    <xf numFmtId="0" fontId="0" fillId="0" borderId="2" xfId="0" applyBorder="1" applyAlignment="1" applyProtection="1">
      <alignment horizontal="left"/>
    </xf>
    <xf numFmtId="0" fontId="0" fillId="0" borderId="59" xfId="0" applyBorder="1" applyAlignment="1" applyProtection="1">
      <alignment horizontal="center"/>
    </xf>
    <xf numFmtId="0" fontId="15" fillId="0" borderId="92" xfId="0" applyFont="1" applyBorder="1" applyAlignment="1" applyProtection="1">
      <alignment horizontal="center" vertical="center"/>
    </xf>
    <xf numFmtId="0" fontId="15" fillId="0" borderId="110" xfId="0" applyFont="1" applyBorder="1" applyAlignment="1" applyProtection="1">
      <alignment horizontal="center" vertical="center"/>
    </xf>
    <xf numFmtId="0" fontId="16" fillId="0" borderId="0" xfId="0" applyFont="1" applyFill="1" applyBorder="1" applyAlignment="1" applyProtection="1">
      <alignment vertical="center"/>
    </xf>
    <xf numFmtId="0" fontId="12" fillId="0" borderId="53" xfId="0" applyFont="1" applyBorder="1" applyAlignment="1" applyProtection="1">
      <alignment vertical="center"/>
    </xf>
    <xf numFmtId="0" fontId="12" fillId="0" borderId="19" xfId="0" applyFont="1" applyBorder="1" applyAlignment="1" applyProtection="1">
      <alignment vertical="center"/>
    </xf>
    <xf numFmtId="0" fontId="12" fillId="0" borderId="130" xfId="0" applyFont="1" applyBorder="1" applyAlignment="1" applyProtection="1">
      <alignment vertical="center"/>
    </xf>
    <xf numFmtId="0" fontId="12" fillId="0" borderId="81" xfId="0" applyFont="1" applyBorder="1" applyAlignment="1" applyProtection="1">
      <alignment vertical="center"/>
    </xf>
    <xf numFmtId="0" fontId="12" fillId="0" borderId="86" xfId="0" applyFont="1" applyBorder="1" applyAlignment="1" applyProtection="1">
      <alignment vertical="center"/>
    </xf>
    <xf numFmtId="0" fontId="12" fillId="0" borderId="131" xfId="0" applyFont="1" applyBorder="1" applyAlignment="1" applyProtection="1">
      <alignment vertical="center"/>
    </xf>
    <xf numFmtId="0" fontId="5" fillId="45" borderId="106" xfId="0" applyFont="1" applyFill="1" applyBorder="1" applyAlignment="1" applyProtection="1">
      <alignment vertical="center"/>
    </xf>
    <xf numFmtId="0" fontId="5" fillId="45" borderId="55" xfId="0" applyFont="1" applyFill="1" applyBorder="1" applyAlignment="1" applyProtection="1">
      <alignment vertical="center"/>
    </xf>
    <xf numFmtId="0" fontId="12" fillId="45" borderId="5" xfId="0" applyFont="1" applyFill="1" applyBorder="1" applyAlignment="1" applyProtection="1">
      <alignment vertical="center"/>
    </xf>
    <xf numFmtId="0" fontId="12" fillId="45" borderId="24" xfId="0" applyFont="1" applyFill="1" applyBorder="1" applyAlignment="1" applyProtection="1">
      <alignment horizontal="left" vertical="center"/>
    </xf>
    <xf numFmtId="0" fontId="12" fillId="0" borderId="0" xfId="0" applyFont="1" applyBorder="1" applyAlignment="1" applyProtection="1">
      <alignment vertical="center"/>
      <protection hidden="1"/>
    </xf>
    <xf numFmtId="2" fontId="0" fillId="0" borderId="0" xfId="0" applyNumberFormat="1" applyFill="1" applyBorder="1" applyAlignment="1" applyProtection="1">
      <alignment horizontal="center" vertical="center"/>
      <protection locked="0" hidden="1"/>
    </xf>
    <xf numFmtId="0" fontId="0" fillId="0" borderId="80" xfId="0" applyFill="1" applyBorder="1" applyProtection="1"/>
    <xf numFmtId="0" fontId="0" fillId="0" borderId="85" xfId="0" applyFill="1" applyBorder="1" applyProtection="1"/>
    <xf numFmtId="0" fontId="16" fillId="0" borderId="81" xfId="0" applyFont="1" applyFill="1" applyBorder="1" applyProtection="1"/>
    <xf numFmtId="0" fontId="16" fillId="0" borderId="86" xfId="0" applyFont="1" applyFill="1" applyBorder="1" applyProtection="1"/>
    <xf numFmtId="0" fontId="16" fillId="0" borderId="131" xfId="0" applyFont="1" applyFill="1" applyBorder="1" applyProtection="1"/>
    <xf numFmtId="0" fontId="0" fillId="0" borderId="136" xfId="0" applyFill="1" applyBorder="1" applyProtection="1"/>
    <xf numFmtId="0" fontId="0" fillId="0" borderId="0" xfId="0" applyBorder="1" applyProtection="1"/>
    <xf numFmtId="0" fontId="7" fillId="0" borderId="7" xfId="0" applyFont="1" applyFill="1" applyBorder="1" applyAlignment="1" applyProtection="1">
      <alignment vertical="center"/>
    </xf>
    <xf numFmtId="0" fontId="0" fillId="0" borderId="133" xfId="0" applyFill="1" applyBorder="1" applyProtection="1"/>
    <xf numFmtId="0" fontId="0" fillId="0" borderId="135" xfId="0" applyFill="1" applyBorder="1" applyProtection="1"/>
    <xf numFmtId="0" fontId="0" fillId="0" borderId="138" xfId="0" applyFill="1" applyBorder="1" applyProtection="1"/>
    <xf numFmtId="49" fontId="12" fillId="0" borderId="0" xfId="0" applyNumberFormat="1" applyFont="1" applyFill="1" applyBorder="1" applyAlignment="1" applyProtection="1">
      <alignment horizontal="left" vertical="center"/>
    </xf>
    <xf numFmtId="0" fontId="5" fillId="49" borderId="0" xfId="0" applyFont="1" applyFill="1" applyAlignment="1" applyProtection="1">
      <alignment horizontal="right" vertical="center"/>
      <protection hidden="1"/>
    </xf>
    <xf numFmtId="0" fontId="7" fillId="0" borderId="0" xfId="0" applyFont="1" applyAlignment="1" applyProtection="1">
      <alignment vertical="center"/>
    </xf>
    <xf numFmtId="0" fontId="29" fillId="0" borderId="0" xfId="0" applyFont="1" applyAlignment="1" applyProtection="1">
      <alignment vertical="center"/>
    </xf>
    <xf numFmtId="0" fontId="29" fillId="45" borderId="6" xfId="0" applyFont="1" applyFill="1" applyBorder="1" applyAlignment="1" applyProtection="1">
      <alignment vertical="center"/>
    </xf>
    <xf numFmtId="0" fontId="16" fillId="0" borderId="0" xfId="0" applyFont="1" applyAlignment="1" applyProtection="1">
      <alignment vertical="center"/>
    </xf>
    <xf numFmtId="1" fontId="12" fillId="0" borderId="0" xfId="0" applyNumberFormat="1" applyFont="1" applyFill="1" applyBorder="1" applyAlignment="1" applyProtection="1">
      <alignment horizontal="center" vertical="center"/>
    </xf>
    <xf numFmtId="0" fontId="46" fillId="0" borderId="0" xfId="42" applyFill="1" applyProtection="1"/>
    <xf numFmtId="0" fontId="8" fillId="0" borderId="0" xfId="0" applyFont="1" applyBorder="1" applyProtection="1"/>
    <xf numFmtId="1" fontId="5" fillId="0" borderId="144" xfId="0" applyNumberFormat="1" applyFont="1" applyFill="1" applyBorder="1" applyAlignment="1" applyProtection="1">
      <alignment horizontal="center" vertical="center"/>
      <protection hidden="1"/>
    </xf>
    <xf numFmtId="1" fontId="5" fillId="0" borderId="145" xfId="0" applyNumberFormat="1" applyFont="1" applyFill="1" applyBorder="1" applyAlignment="1" applyProtection="1">
      <alignment horizontal="center" vertical="center"/>
      <protection hidden="1"/>
    </xf>
    <xf numFmtId="0" fontId="0" fillId="0" borderId="145" xfId="0" applyFill="1" applyBorder="1" applyAlignment="1" applyProtection="1">
      <alignment horizontal="center" vertical="center"/>
    </xf>
    <xf numFmtId="167" fontId="0" fillId="0" borderId="0" xfId="0" applyNumberFormat="1" applyFill="1" applyBorder="1" applyAlignment="1" applyProtection="1">
      <alignment horizontal="center" vertical="center"/>
      <protection hidden="1"/>
    </xf>
    <xf numFmtId="0" fontId="12" fillId="0" borderId="112" xfId="0" applyFont="1" applyFill="1" applyBorder="1" applyAlignment="1" applyProtection="1">
      <alignment vertical="center"/>
      <protection hidden="1"/>
    </xf>
    <xf numFmtId="0" fontId="12" fillId="0" borderId="89" xfId="0" applyFont="1" applyFill="1" applyBorder="1" applyAlignment="1" applyProtection="1">
      <alignment vertical="center"/>
      <protection hidden="1"/>
    </xf>
    <xf numFmtId="166" fontId="0" fillId="0" borderId="0" xfId="0" applyNumberFormat="1" applyAlignment="1" applyProtection="1">
      <alignment vertical="center"/>
      <protection locked="0" hidden="1"/>
    </xf>
    <xf numFmtId="2" fontId="0" fillId="0" borderId="0" xfId="0" applyNumberFormat="1" applyBorder="1" applyAlignment="1" applyProtection="1">
      <alignment horizontal="center"/>
    </xf>
    <xf numFmtId="166" fontId="0" fillId="0" borderId="0" xfId="0" applyNumberFormat="1" applyBorder="1" applyAlignment="1" applyProtection="1">
      <alignment horizontal="center"/>
    </xf>
    <xf numFmtId="2" fontId="76" fillId="0" borderId="0" xfId="62" applyNumberFormat="1" applyFont="1" applyFill="1" applyBorder="1" applyAlignment="1" applyProtection="1">
      <alignment horizontal="center"/>
      <protection locked="0"/>
    </xf>
    <xf numFmtId="0" fontId="12" fillId="0" borderId="0" xfId="0" applyFont="1" applyFill="1" applyAlignment="1" applyProtection="1">
      <alignment vertical="center"/>
      <protection locked="0" hidden="1"/>
    </xf>
    <xf numFmtId="1" fontId="7" fillId="0" borderId="113" xfId="0" applyNumberFormat="1" applyFont="1" applyFill="1" applyBorder="1" applyAlignment="1" applyProtection="1">
      <alignment horizontal="center" vertical="center"/>
      <protection locked="0" hidden="1"/>
    </xf>
    <xf numFmtId="0" fontId="5" fillId="0" borderId="0" xfId="0" applyFont="1" applyFill="1" applyAlignment="1" applyProtection="1">
      <alignment horizontal="center" vertical="center"/>
      <protection hidden="1"/>
    </xf>
    <xf numFmtId="0" fontId="5" fillId="0" borderId="0" xfId="0" applyFont="1" applyFill="1" applyAlignment="1" applyProtection="1">
      <alignment horizontal="center" vertical="center"/>
      <protection locked="0" hidden="1"/>
    </xf>
    <xf numFmtId="0" fontId="12" fillId="0" borderId="0" xfId="62" applyFont="1" applyFill="1" applyAlignment="1">
      <alignment horizontal="left"/>
    </xf>
    <xf numFmtId="0" fontId="12" fillId="0" borderId="0" xfId="0" applyFont="1" applyProtection="1">
      <protection locked="0" hidden="1"/>
    </xf>
    <xf numFmtId="2" fontId="0" fillId="0" borderId="24" xfId="0" applyNumberFormat="1" applyFill="1" applyBorder="1" applyAlignment="1" applyProtection="1">
      <alignment horizontal="center" vertical="center"/>
      <protection locked="0" hidden="1"/>
    </xf>
    <xf numFmtId="2" fontId="0" fillId="48" borderId="0" xfId="0" applyNumberFormat="1" applyFill="1" applyBorder="1" applyAlignment="1" applyProtection="1">
      <alignment horizontal="center" vertical="center"/>
      <protection locked="0" hidden="1"/>
    </xf>
    <xf numFmtId="0" fontId="5" fillId="0" borderId="5" xfId="0" applyFont="1" applyBorder="1" applyAlignment="1">
      <alignment horizontal="center"/>
    </xf>
    <xf numFmtId="0" fontId="5" fillId="0" borderId="31" xfId="0" applyFont="1" applyFill="1" applyBorder="1" applyAlignment="1">
      <alignment horizontal="center"/>
    </xf>
    <xf numFmtId="0" fontId="12" fillId="45" borderId="29" xfId="0" applyFont="1" applyFill="1" applyBorder="1" applyAlignment="1" applyProtection="1">
      <alignment horizontal="center"/>
    </xf>
    <xf numFmtId="1" fontId="8" fillId="0" borderId="0" xfId="0" applyNumberFormat="1" applyFont="1" applyFill="1" applyBorder="1" applyAlignment="1" applyProtection="1">
      <alignment horizontal="left" vertical="center"/>
      <protection hidden="1"/>
    </xf>
    <xf numFmtId="0" fontId="5" fillId="45" borderId="7" xfId="0" applyFont="1" applyFill="1" applyBorder="1" applyAlignment="1" applyProtection="1">
      <alignment horizontal="center" vertical="center"/>
    </xf>
    <xf numFmtId="0" fontId="20" fillId="0" borderId="0" xfId="0" applyFont="1" applyBorder="1" applyAlignment="1" applyProtection="1">
      <alignment horizontal="center" vertical="center"/>
      <protection hidden="1"/>
    </xf>
    <xf numFmtId="0" fontId="15" fillId="0" borderId="0" xfId="0" applyFont="1" applyBorder="1" applyAlignment="1" applyProtection="1">
      <alignment horizontal="center" vertical="center"/>
      <protection hidden="1"/>
    </xf>
    <xf numFmtId="0" fontId="16" fillId="0" borderId="183" xfId="0" applyFont="1" applyBorder="1" applyAlignment="1" applyProtection="1">
      <alignment horizontal="center" vertical="center"/>
      <protection hidden="1"/>
    </xf>
    <xf numFmtId="0" fontId="16" fillId="0" borderId="186" xfId="0" applyFont="1" applyBorder="1" applyAlignment="1" applyProtection="1">
      <alignment horizontal="center" vertical="center"/>
      <protection hidden="1"/>
    </xf>
    <xf numFmtId="0" fontId="16" fillId="0" borderId="188" xfId="0" applyFont="1" applyBorder="1" applyAlignment="1" applyProtection="1">
      <alignment vertical="center"/>
      <protection hidden="1"/>
    </xf>
    <xf numFmtId="0" fontId="16" fillId="0" borderId="189" xfId="0" applyFont="1" applyBorder="1" applyAlignment="1" applyProtection="1">
      <alignment horizontal="center" vertical="center"/>
      <protection hidden="1"/>
    </xf>
    <xf numFmtId="2" fontId="35" fillId="0" borderId="193" xfId="0" applyNumberFormat="1" applyFont="1" applyBorder="1" applyAlignment="1" applyProtection="1">
      <alignment horizontal="center" vertical="center"/>
      <protection hidden="1"/>
    </xf>
    <xf numFmtId="0" fontId="5" fillId="0" borderId="202" xfId="0" applyFont="1" applyBorder="1" applyAlignment="1" applyProtection="1">
      <alignment vertical="center"/>
    </xf>
    <xf numFmtId="0" fontId="5" fillId="0" borderId="202" xfId="0" applyFont="1" applyBorder="1" applyAlignment="1" applyProtection="1">
      <alignment horizontal="center" vertical="center"/>
    </xf>
    <xf numFmtId="0" fontId="5" fillId="0" borderId="205" xfId="0" applyFont="1" applyFill="1" applyBorder="1" applyAlignment="1" applyProtection="1">
      <alignment vertical="center"/>
      <protection hidden="1"/>
    </xf>
    <xf numFmtId="0" fontId="5" fillId="0" borderId="206" xfId="0" applyFont="1" applyFill="1" applyBorder="1" applyAlignment="1" applyProtection="1">
      <alignment vertical="center"/>
      <protection hidden="1"/>
    </xf>
    <xf numFmtId="0" fontId="5" fillId="0" borderId="207" xfId="0" applyFont="1" applyFill="1" applyBorder="1" applyAlignment="1" applyProtection="1">
      <alignment vertical="center"/>
      <protection hidden="1"/>
    </xf>
    <xf numFmtId="0" fontId="12" fillId="0" borderId="208" xfId="0" applyFont="1" applyFill="1" applyBorder="1" applyAlignment="1" applyProtection="1">
      <alignment vertical="center"/>
      <protection hidden="1"/>
    </xf>
    <xf numFmtId="0" fontId="0" fillId="0" borderId="209" xfId="0" applyFill="1" applyBorder="1" applyAlignment="1" applyProtection="1">
      <alignment vertical="center"/>
      <protection hidden="1"/>
    </xf>
    <xf numFmtId="0" fontId="0" fillId="0" borderId="210" xfId="0" applyFill="1" applyBorder="1" applyAlignment="1" applyProtection="1">
      <alignment vertical="center"/>
      <protection hidden="1"/>
    </xf>
    <xf numFmtId="0" fontId="12" fillId="0" borderId="211" xfId="0" applyFont="1" applyFill="1" applyBorder="1" applyAlignment="1" applyProtection="1">
      <alignment vertical="center"/>
      <protection hidden="1"/>
    </xf>
    <xf numFmtId="0" fontId="0" fillId="0" borderId="212" xfId="0" applyFill="1" applyBorder="1" applyAlignment="1" applyProtection="1">
      <alignment vertical="center"/>
      <protection hidden="1"/>
    </xf>
    <xf numFmtId="0" fontId="0" fillId="0" borderId="213" xfId="0" applyFill="1" applyBorder="1" applyAlignment="1" applyProtection="1">
      <alignment vertical="center"/>
      <protection hidden="1"/>
    </xf>
    <xf numFmtId="0" fontId="29" fillId="45" borderId="3" xfId="0" applyFont="1" applyFill="1" applyBorder="1" applyAlignment="1" applyProtection="1">
      <alignment vertical="center"/>
    </xf>
    <xf numFmtId="0" fontId="0" fillId="45" borderId="95" xfId="0" applyFill="1" applyBorder="1" applyAlignment="1" applyProtection="1">
      <alignment horizontal="center"/>
    </xf>
    <xf numFmtId="0" fontId="0" fillId="45" borderId="106" xfId="0" applyFill="1" applyBorder="1" applyAlignment="1" applyProtection="1">
      <alignment horizontal="center"/>
    </xf>
    <xf numFmtId="0" fontId="29" fillId="45" borderId="5" xfId="0" applyFont="1" applyFill="1" applyBorder="1" applyAlignment="1" applyProtection="1">
      <alignment vertical="center"/>
    </xf>
    <xf numFmtId="0" fontId="0" fillId="45" borderId="25" xfId="0" applyFill="1" applyBorder="1" applyAlignment="1" applyProtection="1">
      <alignment horizontal="center"/>
    </xf>
    <xf numFmtId="0" fontId="0" fillId="45" borderId="24" xfId="0" applyFill="1" applyBorder="1" applyAlignment="1" applyProtection="1">
      <alignment horizontal="center"/>
    </xf>
    <xf numFmtId="0" fontId="0" fillId="45" borderId="36" xfId="0" applyFill="1" applyBorder="1" applyAlignment="1" applyProtection="1">
      <alignment horizontal="center"/>
    </xf>
    <xf numFmtId="0" fontId="0" fillId="45" borderId="55" xfId="0" applyFill="1" applyBorder="1" applyAlignment="1" applyProtection="1">
      <alignment horizontal="center"/>
    </xf>
    <xf numFmtId="0" fontId="5" fillId="45" borderId="95" xfId="0" applyFont="1" applyFill="1" applyBorder="1" applyAlignment="1" applyProtection="1">
      <alignment horizontal="center"/>
    </xf>
    <xf numFmtId="0" fontId="5" fillId="45" borderId="107" xfId="0" applyFont="1" applyFill="1" applyBorder="1" applyAlignment="1" applyProtection="1">
      <alignment horizontal="center"/>
    </xf>
    <xf numFmtId="0" fontId="5" fillId="45" borderId="29" xfId="0" applyFont="1" applyFill="1" applyBorder="1" applyAlignment="1" applyProtection="1">
      <alignment horizontal="center"/>
    </xf>
    <xf numFmtId="0" fontId="0" fillId="45" borderId="4" xfId="0" applyFill="1" applyBorder="1" applyProtection="1"/>
    <xf numFmtId="0" fontId="0" fillId="45" borderId="0" xfId="0" applyFill="1" applyBorder="1" applyProtection="1"/>
    <xf numFmtId="0" fontId="0" fillId="45" borderId="7" xfId="0" applyFill="1" applyBorder="1" applyProtection="1"/>
    <xf numFmtId="0" fontId="16" fillId="45" borderId="64" xfId="0" applyFont="1" applyFill="1" applyBorder="1" applyAlignment="1" applyProtection="1">
      <alignment vertical="center"/>
    </xf>
    <xf numFmtId="0" fontId="5" fillId="0" borderId="148" xfId="0" applyFont="1" applyBorder="1" applyAlignment="1" applyProtection="1">
      <alignment horizontal="center" vertical="center"/>
    </xf>
    <xf numFmtId="0" fontId="5" fillId="0" borderId="117" xfId="0" applyFont="1" applyBorder="1" applyAlignment="1" applyProtection="1">
      <alignment horizontal="center" vertical="center"/>
    </xf>
    <xf numFmtId="0" fontId="29" fillId="45" borderId="149" xfId="0" applyFont="1" applyFill="1" applyBorder="1" applyAlignment="1" applyProtection="1">
      <alignment horizontal="left"/>
    </xf>
    <xf numFmtId="0" fontId="29" fillId="45" borderId="150" xfId="0" applyFont="1" applyFill="1" applyBorder="1" applyAlignment="1" applyProtection="1">
      <alignment horizontal="left"/>
    </xf>
    <xf numFmtId="0" fontId="5" fillId="45" borderId="150" xfId="0" applyFont="1" applyFill="1" applyBorder="1" applyAlignment="1" applyProtection="1">
      <alignment vertical="center"/>
      <protection hidden="1"/>
    </xf>
    <xf numFmtId="0" fontId="29" fillId="45" borderId="150" xfId="0" applyFont="1" applyFill="1" applyBorder="1" applyAlignment="1" applyProtection="1">
      <alignment horizontal="right"/>
    </xf>
    <xf numFmtId="0" fontId="15" fillId="45" borderId="150" xfId="0" applyFont="1" applyFill="1" applyBorder="1" applyAlignment="1" applyProtection="1">
      <alignment horizontal="center" vertical="center"/>
    </xf>
    <xf numFmtId="0" fontId="15" fillId="45" borderId="146" xfId="0" applyFont="1" applyFill="1" applyBorder="1" applyAlignment="1" applyProtection="1">
      <alignment horizontal="center" vertical="center"/>
    </xf>
    <xf numFmtId="0" fontId="82" fillId="52" borderId="188" xfId="0" applyFont="1" applyFill="1" applyBorder="1" applyProtection="1"/>
    <xf numFmtId="49" fontId="0" fillId="52" borderId="189" xfId="0" applyNumberFormat="1" applyFill="1" applyBorder="1" applyProtection="1"/>
    <xf numFmtId="49" fontId="0" fillId="52" borderId="189" xfId="0" applyNumberFormat="1" applyFill="1" applyBorder="1" applyAlignment="1" applyProtection="1">
      <alignment horizontal="center"/>
    </xf>
    <xf numFmtId="0" fontId="5" fillId="52" borderId="188" xfId="0" applyFont="1" applyFill="1" applyBorder="1" applyAlignment="1" applyProtection="1">
      <alignment horizontal="left"/>
    </xf>
    <xf numFmtId="0" fontId="16" fillId="52" borderId="189" xfId="0" applyFont="1" applyFill="1" applyBorder="1" applyAlignment="1" applyProtection="1">
      <alignment horizontal="center"/>
    </xf>
    <xf numFmtId="0" fontId="0" fillId="52" borderId="214" xfId="0" applyFill="1" applyBorder="1" applyAlignment="1" applyProtection="1">
      <alignment horizontal="center"/>
    </xf>
    <xf numFmtId="0" fontId="0" fillId="52" borderId="190" xfId="0" applyFill="1" applyBorder="1" applyProtection="1"/>
    <xf numFmtId="49" fontId="0" fillId="52" borderId="0" xfId="0" applyNumberFormat="1" applyFill="1" applyBorder="1" applyProtection="1"/>
    <xf numFmtId="49" fontId="0" fillId="52" borderId="0" xfId="0" applyNumberFormat="1" applyFill="1" applyBorder="1" applyAlignment="1" applyProtection="1">
      <alignment horizontal="center"/>
    </xf>
    <xf numFmtId="0" fontId="5" fillId="52" borderId="190" xfId="0" applyFont="1" applyFill="1" applyBorder="1" applyAlignment="1" applyProtection="1">
      <alignment horizontal="left"/>
    </xf>
    <xf numFmtId="0" fontId="5" fillId="52" borderId="0" xfId="0" applyFont="1" applyFill="1" applyBorder="1" applyAlignment="1" applyProtection="1">
      <alignment horizontal="center"/>
    </xf>
    <xf numFmtId="0" fontId="0" fillId="52" borderId="194" xfId="0" applyFill="1" applyBorder="1" applyAlignment="1" applyProtection="1">
      <alignment horizontal="center"/>
    </xf>
    <xf numFmtId="0" fontId="82" fillId="52" borderId="190" xfId="0" applyFont="1" applyFill="1" applyBorder="1" applyProtection="1"/>
    <xf numFmtId="0" fontId="16" fillId="52" borderId="0" xfId="0" applyFont="1" applyFill="1" applyBorder="1" applyAlignment="1" applyProtection="1">
      <alignment horizontal="center"/>
    </xf>
    <xf numFmtId="0" fontId="83" fillId="52" borderId="203" xfId="0" applyFont="1" applyFill="1" applyBorder="1" applyAlignment="1" applyProtection="1">
      <alignment vertical="top"/>
    </xf>
    <xf numFmtId="49" fontId="0" fillId="52" borderId="193" xfId="0" applyNumberFormat="1" applyFill="1" applyBorder="1" applyProtection="1"/>
    <xf numFmtId="49" fontId="0" fillId="52" borderId="193" xfId="0" applyNumberFormat="1" applyFill="1" applyBorder="1" applyAlignment="1" applyProtection="1">
      <alignment horizontal="center"/>
    </xf>
    <xf numFmtId="0" fontId="5" fillId="52" borderId="203" xfId="0" applyFont="1" applyFill="1" applyBorder="1" applyAlignment="1" applyProtection="1">
      <alignment horizontal="left"/>
    </xf>
    <xf numFmtId="0" fontId="5" fillId="52" borderId="193" xfId="0" applyFont="1" applyFill="1" applyBorder="1" applyAlignment="1" applyProtection="1">
      <alignment horizontal="center"/>
    </xf>
    <xf numFmtId="0" fontId="0" fillId="52" borderId="215" xfId="0" applyFill="1" applyBorder="1" applyAlignment="1" applyProtection="1">
      <alignment horizontal="center"/>
    </xf>
    <xf numFmtId="0" fontId="5" fillId="52" borderId="188" xfId="0" applyFont="1" applyFill="1" applyBorder="1" applyAlignment="1" applyProtection="1">
      <alignment vertical="center"/>
      <protection hidden="1"/>
    </xf>
    <xf numFmtId="0" fontId="5" fillId="52" borderId="189" xfId="0" applyFont="1" applyFill="1" applyBorder="1" applyAlignment="1" applyProtection="1">
      <alignment vertical="center"/>
      <protection hidden="1"/>
    </xf>
    <xf numFmtId="0" fontId="5" fillId="52" borderId="214" xfId="0" applyFont="1" applyFill="1" applyBorder="1" applyAlignment="1" applyProtection="1">
      <alignment vertical="center"/>
      <protection hidden="1"/>
    </xf>
    <xf numFmtId="0" fontId="5" fillId="52" borderId="188" xfId="0" applyFont="1" applyFill="1" applyBorder="1" applyAlignment="1" applyProtection="1">
      <alignment horizontal="center"/>
    </xf>
    <xf numFmtId="0" fontId="5" fillId="52" borderId="214" xfId="0" applyFont="1" applyFill="1" applyBorder="1" applyAlignment="1" applyProtection="1">
      <alignment horizontal="center"/>
    </xf>
    <xf numFmtId="0" fontId="12" fillId="52" borderId="203" xfId="0" applyFont="1" applyFill="1" applyBorder="1" applyAlignment="1" applyProtection="1">
      <alignment vertical="center"/>
      <protection hidden="1"/>
    </xf>
    <xf numFmtId="0" fontId="0" fillId="52" borderId="193" xfId="0" applyFill="1" applyBorder="1" applyAlignment="1" applyProtection="1">
      <alignment vertical="center"/>
      <protection hidden="1"/>
    </xf>
    <xf numFmtId="0" fontId="0" fillId="52" borderId="215" xfId="0" applyFill="1" applyBorder="1" applyAlignment="1" applyProtection="1">
      <alignment vertical="center"/>
      <protection hidden="1"/>
    </xf>
    <xf numFmtId="0" fontId="7" fillId="52" borderId="189" xfId="0" applyFont="1" applyFill="1" applyBorder="1" applyAlignment="1" applyProtection="1">
      <alignment horizontal="center" vertical="center"/>
      <protection hidden="1"/>
    </xf>
    <xf numFmtId="0" fontId="16" fillId="52" borderId="0" xfId="0" applyFont="1" applyFill="1" applyBorder="1" applyAlignment="1" applyProtection="1">
      <alignment horizontal="center" vertical="center"/>
      <protection hidden="1"/>
    </xf>
    <xf numFmtId="0" fontId="29" fillId="52" borderId="216" xfId="0" applyFont="1" applyFill="1" applyBorder="1" applyAlignment="1" applyProtection="1">
      <alignment vertical="center"/>
      <protection hidden="1"/>
    </xf>
    <xf numFmtId="0" fontId="29" fillId="52" borderId="217" xfId="0" applyFont="1" applyFill="1" applyBorder="1" applyAlignment="1" applyProtection="1">
      <alignment vertical="center"/>
      <protection hidden="1"/>
    </xf>
    <xf numFmtId="0" fontId="16" fillId="52" borderId="193" xfId="0" applyFont="1" applyFill="1" applyBorder="1" applyAlignment="1" applyProtection="1">
      <alignment horizontal="center" vertical="center"/>
      <protection hidden="1"/>
    </xf>
    <xf numFmtId="0" fontId="29" fillId="52" borderId="182" xfId="0" applyFont="1" applyFill="1" applyBorder="1" applyAlignment="1" applyProtection="1">
      <alignment vertical="center"/>
      <protection hidden="1"/>
    </xf>
    <xf numFmtId="0" fontId="5" fillId="52" borderId="218" xfId="42" applyFont="1" applyFill="1" applyBorder="1" applyAlignment="1" applyProtection="1">
      <alignment vertical="center"/>
    </xf>
    <xf numFmtId="0" fontId="5" fillId="52" borderId="220" xfId="42" applyFont="1" applyFill="1" applyBorder="1" applyProtection="1"/>
    <xf numFmtId="0" fontId="5" fillId="52" borderId="221" xfId="42" applyFont="1" applyFill="1" applyBorder="1" applyProtection="1"/>
    <xf numFmtId="0" fontId="5" fillId="52" borderId="222" xfId="42" applyFont="1" applyFill="1" applyBorder="1" applyAlignment="1" applyProtection="1">
      <alignment horizontal="center" vertical="center"/>
    </xf>
    <xf numFmtId="0" fontId="5" fillId="52" borderId="223" xfId="42" applyFont="1" applyFill="1" applyBorder="1" applyAlignment="1" applyProtection="1">
      <alignment horizontal="center" vertical="center"/>
    </xf>
    <xf numFmtId="0" fontId="5" fillId="52" borderId="220" xfId="42" applyFont="1" applyFill="1" applyBorder="1" applyAlignment="1" applyProtection="1">
      <alignment horizontal="center" vertical="center"/>
    </xf>
    <xf numFmtId="0" fontId="5" fillId="52" borderId="195" xfId="0" applyFont="1" applyFill="1" applyBorder="1" applyAlignment="1" applyProtection="1">
      <alignment horizontal="center" vertical="center"/>
      <protection hidden="1"/>
    </xf>
    <xf numFmtId="0" fontId="5" fillId="52" borderId="195" xfId="42" applyFont="1" applyFill="1" applyBorder="1" applyAlignment="1" applyProtection="1">
      <alignment horizontal="center" vertical="center"/>
    </xf>
    <xf numFmtId="0" fontId="15" fillId="45" borderId="4" xfId="0" applyFont="1" applyFill="1" applyBorder="1" applyAlignment="1" applyProtection="1">
      <alignment vertical="center"/>
    </xf>
    <xf numFmtId="0" fontId="79" fillId="45" borderId="4" xfId="0" applyFont="1" applyFill="1" applyBorder="1" applyAlignment="1" applyProtection="1">
      <alignment horizontal="left" vertical="center"/>
      <protection hidden="1"/>
    </xf>
    <xf numFmtId="0" fontId="15" fillId="45" borderId="4" xfId="0" applyFont="1" applyFill="1" applyBorder="1" applyAlignment="1" applyProtection="1">
      <alignment horizontal="center" vertical="center"/>
    </xf>
    <xf numFmtId="0" fontId="5" fillId="45" borderId="6" xfId="0" applyFont="1" applyFill="1" applyBorder="1" applyAlignment="1" applyProtection="1">
      <alignment vertical="center"/>
    </xf>
    <xf numFmtId="0" fontId="5" fillId="45" borderId="7" xfId="0" applyFont="1" applyFill="1" applyBorder="1" applyAlignment="1" applyProtection="1">
      <alignment vertical="center"/>
    </xf>
    <xf numFmtId="0" fontId="7" fillId="52" borderId="227" xfId="0" applyFont="1" applyFill="1" applyBorder="1" applyAlignment="1" applyProtection="1">
      <alignment vertical="center"/>
    </xf>
    <xf numFmtId="0" fontId="0" fillId="52" borderId="228" xfId="0" applyFill="1" applyBorder="1" applyAlignment="1" applyProtection="1">
      <alignment vertical="center"/>
    </xf>
    <xf numFmtId="0" fontId="0" fillId="52" borderId="229" xfId="0" applyFill="1" applyBorder="1" applyAlignment="1" applyProtection="1">
      <alignment horizontal="center" vertical="center"/>
    </xf>
    <xf numFmtId="0" fontId="12" fillId="0" borderId="230" xfId="0" applyFont="1" applyBorder="1" applyAlignment="1" applyProtection="1">
      <alignment vertical="center"/>
    </xf>
    <xf numFmtId="0" fontId="5" fillId="0" borderId="231" xfId="0" applyFont="1" applyBorder="1" applyAlignment="1" applyProtection="1">
      <alignment vertical="center"/>
    </xf>
    <xf numFmtId="0" fontId="12" fillId="0" borderId="230" xfId="0" applyFont="1" applyBorder="1" applyAlignment="1" applyProtection="1">
      <alignment vertical="center"/>
      <protection hidden="1"/>
    </xf>
    <xf numFmtId="0" fontId="7" fillId="43" borderId="233" xfId="0" applyFont="1" applyFill="1" applyBorder="1" applyAlignment="1" applyProtection="1">
      <alignment vertical="center"/>
    </xf>
    <xf numFmtId="0" fontId="7" fillId="43" borderId="234" xfId="0" applyFont="1" applyFill="1" applyBorder="1" applyAlignment="1" applyProtection="1">
      <alignment vertical="center"/>
    </xf>
    <xf numFmtId="0" fontId="7" fillId="43" borderId="234" xfId="0" applyFont="1" applyFill="1" applyBorder="1" applyAlignment="1" applyProtection="1">
      <alignment horizontal="center" vertical="center"/>
    </xf>
    <xf numFmtId="0" fontId="7" fillId="43" borderId="235" xfId="0" applyFont="1" applyFill="1" applyBorder="1" applyAlignment="1" applyProtection="1">
      <alignment horizontal="center" vertical="center"/>
    </xf>
    <xf numFmtId="0" fontId="16" fillId="45" borderId="3" xfId="0" applyFont="1" applyFill="1" applyBorder="1" applyProtection="1"/>
    <xf numFmtId="0" fontId="16" fillId="45" borderId="6" xfId="0" applyFont="1" applyFill="1" applyBorder="1" applyProtection="1"/>
    <xf numFmtId="0" fontId="0" fillId="45" borderId="36" xfId="0" applyFill="1" applyBorder="1" applyAlignment="1" applyProtection="1">
      <alignment vertical="center"/>
    </xf>
    <xf numFmtId="0" fontId="5" fillId="45" borderId="95" xfId="0" applyFont="1" applyFill="1" applyBorder="1" applyAlignment="1" applyProtection="1">
      <alignment vertical="center"/>
    </xf>
    <xf numFmtId="0" fontId="0" fillId="0" borderId="63" xfId="0" applyFill="1" applyBorder="1" applyAlignment="1" applyProtection="1">
      <alignment vertical="center"/>
    </xf>
    <xf numFmtId="0" fontId="12" fillId="0" borderId="191" xfId="0" applyFont="1" applyFill="1" applyBorder="1" applyAlignment="1" applyProtection="1">
      <alignment horizontal="left" vertical="center"/>
    </xf>
    <xf numFmtId="0" fontId="12" fillId="0" borderId="186" xfId="0" applyFont="1" applyFill="1" applyBorder="1" applyAlignment="1" applyProtection="1">
      <alignment horizontal="left" vertical="center"/>
    </xf>
    <xf numFmtId="0" fontId="7" fillId="52" borderId="228" xfId="0" applyFont="1" applyFill="1" applyBorder="1" applyAlignment="1" applyProtection="1">
      <alignment vertical="center"/>
    </xf>
    <xf numFmtId="0" fontId="7" fillId="52" borderId="229" xfId="0" applyFont="1" applyFill="1" applyBorder="1" applyAlignment="1" applyProtection="1">
      <alignment vertical="center"/>
    </xf>
    <xf numFmtId="2" fontId="12" fillId="0" borderId="0" xfId="0" applyNumberFormat="1" applyFont="1" applyFill="1"/>
    <xf numFmtId="0" fontId="16" fillId="0" borderId="151" xfId="0" applyFont="1" applyBorder="1" applyProtection="1"/>
    <xf numFmtId="0" fontId="0" fillId="0" borderId="152" xfId="0" applyBorder="1" applyProtection="1"/>
    <xf numFmtId="0" fontId="5" fillId="0" borderId="152" xfId="0" applyFont="1" applyBorder="1" applyAlignment="1" applyProtection="1">
      <alignment vertical="center"/>
      <protection hidden="1"/>
    </xf>
    <xf numFmtId="0" fontId="0" fillId="0" borderId="152" xfId="0" applyBorder="1" applyAlignment="1" applyProtection="1">
      <alignment horizontal="left"/>
    </xf>
    <xf numFmtId="0" fontId="0" fillId="0" borderId="152" xfId="0" applyBorder="1" applyAlignment="1" applyProtection="1">
      <alignment horizontal="center"/>
    </xf>
    <xf numFmtId="0" fontId="0" fillId="0" borderId="153" xfId="0" applyBorder="1" applyAlignment="1" applyProtection="1">
      <alignment horizontal="center"/>
    </xf>
    <xf numFmtId="0" fontId="5" fillId="0" borderId="0" xfId="0" applyFont="1"/>
    <xf numFmtId="0" fontId="43" fillId="0" borderId="0" xfId="0" applyFont="1"/>
    <xf numFmtId="0" fontId="0" fillId="0" borderId="237" xfId="0" applyFill="1" applyBorder="1" applyAlignment="1" applyProtection="1">
      <alignment vertical="center"/>
      <protection hidden="1"/>
    </xf>
    <xf numFmtId="0" fontId="0" fillId="0" borderId="238" xfId="0" applyFill="1" applyBorder="1" applyAlignment="1" applyProtection="1">
      <alignment vertical="center"/>
      <protection hidden="1"/>
    </xf>
    <xf numFmtId="165" fontId="0" fillId="0" borderId="0" xfId="0" applyNumberFormat="1" applyAlignment="1" applyProtection="1">
      <alignment vertical="center"/>
      <protection locked="0" hidden="1"/>
    </xf>
    <xf numFmtId="0" fontId="29" fillId="0" borderId="137" xfId="0" applyFont="1" applyFill="1" applyBorder="1" applyAlignment="1" applyProtection="1"/>
    <xf numFmtId="0" fontId="8" fillId="0" borderId="208" xfId="0" applyFont="1" applyFill="1" applyBorder="1" applyAlignment="1" applyProtection="1">
      <alignment vertical="center"/>
      <protection hidden="1"/>
    </xf>
    <xf numFmtId="0" fontId="8" fillId="0" borderId="209" xfId="0" applyFont="1" applyFill="1" applyBorder="1" applyAlignment="1" applyProtection="1">
      <alignment vertical="center"/>
      <protection hidden="1"/>
    </xf>
    <xf numFmtId="0" fontId="8" fillId="0" borderId="210" xfId="0" applyFont="1" applyFill="1" applyBorder="1" applyAlignment="1" applyProtection="1">
      <alignment vertical="center"/>
      <protection hidden="1"/>
    </xf>
    <xf numFmtId="0" fontId="0" fillId="46" borderId="0" xfId="0" applyFill="1" applyAlignment="1" applyProtection="1">
      <alignment vertical="center"/>
      <protection hidden="1"/>
    </xf>
    <xf numFmtId="0" fontId="12" fillId="0" borderId="50" xfId="0" applyFont="1" applyBorder="1" applyAlignment="1" applyProtection="1">
      <alignment vertical="center"/>
      <protection locked="0" hidden="1"/>
    </xf>
    <xf numFmtId="0" fontId="12" fillId="0" borderId="0" xfId="0" applyFont="1" applyBorder="1" applyAlignment="1" applyProtection="1">
      <alignment vertical="center"/>
      <protection locked="0" hidden="1"/>
    </xf>
    <xf numFmtId="165" fontId="0" fillId="0" borderId="50" xfId="0" applyNumberFormat="1" applyBorder="1" applyAlignment="1" applyProtection="1">
      <alignment vertical="center"/>
      <protection locked="0" hidden="1"/>
    </xf>
    <xf numFmtId="165" fontId="0" fillId="0" borderId="0" xfId="0" applyNumberFormat="1" applyBorder="1" applyAlignment="1" applyProtection="1">
      <alignment vertical="center"/>
      <protection locked="0" hidden="1"/>
    </xf>
    <xf numFmtId="0" fontId="5" fillId="0" borderId="0" xfId="0" applyFont="1" applyBorder="1" applyProtection="1"/>
    <xf numFmtId="0" fontId="5" fillId="0" borderId="0" xfId="0" applyFont="1" applyFill="1" applyBorder="1" applyAlignment="1" applyProtection="1">
      <alignment horizontal="center"/>
    </xf>
    <xf numFmtId="167" fontId="0" fillId="0" borderId="0" xfId="0" applyNumberFormat="1" applyFill="1" applyBorder="1" applyAlignment="1" applyProtection="1">
      <alignment horizontal="center" vertical="center"/>
    </xf>
    <xf numFmtId="0" fontId="5" fillId="45" borderId="44" xfId="0" applyFont="1" applyFill="1" applyBorder="1" applyAlignment="1" applyProtection="1">
      <alignment vertical="center"/>
      <protection hidden="1"/>
    </xf>
    <xf numFmtId="0" fontId="5" fillId="45" borderId="45" xfId="0" applyFont="1" applyFill="1" applyBorder="1" applyAlignment="1" applyProtection="1">
      <alignment vertical="center"/>
      <protection hidden="1"/>
    </xf>
    <xf numFmtId="0" fontId="5" fillId="45" borderId="54" xfId="0" applyFont="1" applyFill="1" applyBorder="1" applyAlignment="1" applyProtection="1">
      <alignment vertical="center"/>
      <protection hidden="1"/>
    </xf>
    <xf numFmtId="0" fontId="84" fillId="45" borderId="45" xfId="0" applyFont="1" applyFill="1" applyBorder="1" applyAlignment="1" applyProtection="1">
      <alignment horizontal="center" vertical="center"/>
      <protection hidden="1"/>
    </xf>
    <xf numFmtId="1" fontId="79" fillId="0" borderId="0" xfId="0" applyNumberFormat="1" applyFont="1" applyFill="1" applyBorder="1" applyAlignment="1" applyProtection="1">
      <alignment horizontal="left" vertical="center"/>
      <protection hidden="1"/>
    </xf>
    <xf numFmtId="0" fontId="84" fillId="0" borderId="0" xfId="0" applyFont="1" applyBorder="1" applyAlignment="1" applyProtection="1">
      <alignment horizontal="right" vertical="center"/>
      <protection hidden="1"/>
    </xf>
    <xf numFmtId="0" fontId="29" fillId="47" borderId="133" xfId="0" applyFont="1" applyFill="1" applyBorder="1" applyAlignment="1" applyProtection="1">
      <alignment vertical="center"/>
    </xf>
    <xf numFmtId="0" fontId="0" fillId="0" borderId="132" xfId="0" applyFill="1" applyBorder="1" applyAlignment="1" applyProtection="1">
      <alignment vertical="center"/>
    </xf>
    <xf numFmtId="0" fontId="29" fillId="0" borderId="134" xfId="0" applyFont="1" applyFill="1" applyBorder="1" applyAlignment="1" applyProtection="1"/>
    <xf numFmtId="0" fontId="0" fillId="0" borderId="134" xfId="0" applyFill="1" applyBorder="1" applyAlignment="1" applyProtection="1">
      <alignment vertical="center"/>
    </xf>
    <xf numFmtId="0" fontId="0" fillId="0" borderId="137" xfId="0" applyFill="1" applyBorder="1" applyAlignment="1" applyProtection="1">
      <alignment vertical="center"/>
    </xf>
    <xf numFmtId="0" fontId="5" fillId="0" borderId="0" xfId="62" applyFont="1" applyFill="1" applyProtection="1"/>
    <xf numFmtId="0" fontId="12" fillId="0" borderId="0" xfId="62" applyFont="1" applyFill="1" applyProtection="1"/>
    <xf numFmtId="0" fontId="12" fillId="0" borderId="0" xfId="62" applyFont="1" applyFill="1" applyAlignment="1" applyProtection="1">
      <alignment horizontal="center"/>
    </xf>
    <xf numFmtId="2" fontId="12" fillId="0" borderId="0" xfId="62" applyNumberFormat="1" applyFont="1" applyBorder="1" applyAlignment="1" applyProtection="1">
      <alignment horizontal="center"/>
    </xf>
    <xf numFmtId="1" fontId="12" fillId="0" borderId="0" xfId="62" applyNumberFormat="1" applyFont="1" applyBorder="1" applyAlignment="1" applyProtection="1">
      <alignment horizontal="center"/>
    </xf>
    <xf numFmtId="0" fontId="5" fillId="0" borderId="30" xfId="62" applyFont="1" applyFill="1" applyBorder="1" applyAlignment="1" applyProtection="1"/>
    <xf numFmtId="0" fontId="5" fillId="0" borderId="30" xfId="62" applyFont="1" applyFill="1" applyBorder="1" applyAlignment="1" applyProtection="1">
      <alignment horizontal="center"/>
    </xf>
    <xf numFmtId="2" fontId="12" fillId="0" borderId="3" xfId="62" applyNumberFormat="1" applyFont="1" applyBorder="1" applyAlignment="1" applyProtection="1">
      <alignment horizontal="center"/>
    </xf>
    <xf numFmtId="1" fontId="5" fillId="0" borderId="3" xfId="62" applyNumberFormat="1" applyFont="1" applyBorder="1" applyAlignment="1" applyProtection="1">
      <alignment horizontal="center"/>
    </xf>
    <xf numFmtId="1" fontId="5" fillId="0" borderId="30" xfId="49" applyNumberFormat="1" applyFont="1" applyBorder="1" applyAlignment="1" applyProtection="1">
      <alignment horizontal="center" vertical="center" wrapText="1"/>
    </xf>
    <xf numFmtId="0" fontId="5" fillId="0" borderId="32" xfId="62" applyFont="1" applyFill="1" applyBorder="1" applyAlignment="1" applyProtection="1">
      <alignment horizontal="center"/>
    </xf>
    <xf numFmtId="0" fontId="5" fillId="0" borderId="32" xfId="62" applyFont="1" applyFill="1" applyBorder="1" applyAlignment="1" applyProtection="1">
      <alignment horizontal="center" vertical="center"/>
    </xf>
    <xf numFmtId="0" fontId="5" fillId="0" borderId="5" xfId="62" applyFont="1" applyFill="1" applyBorder="1" applyAlignment="1" applyProtection="1">
      <alignment vertical="center"/>
    </xf>
    <xf numFmtId="0" fontId="5" fillId="0" borderId="0" xfId="62" applyFont="1" applyFill="1" applyBorder="1" applyAlignment="1" applyProtection="1">
      <alignment vertical="center"/>
    </xf>
    <xf numFmtId="2" fontId="5" fillId="0" borderId="5" xfId="37" applyNumberFormat="1" applyFont="1" applyFill="1" applyBorder="1" applyAlignment="1" applyProtection="1">
      <alignment horizontal="center" vertical="center"/>
    </xf>
    <xf numFmtId="1" fontId="51" fillId="0" borderId="5" xfId="49" applyNumberFormat="1" applyFont="1" applyFill="1" applyBorder="1" applyAlignment="1" applyProtection="1">
      <alignment horizontal="center"/>
    </xf>
    <xf numFmtId="1" fontId="5" fillId="0" borderId="32" xfId="49" applyNumberFormat="1" applyFont="1" applyBorder="1" applyAlignment="1" applyProtection="1">
      <alignment horizontal="center" vertical="center" wrapText="1"/>
    </xf>
    <xf numFmtId="0" fontId="5" fillId="0" borderId="34" xfId="62" applyFont="1" applyFill="1" applyBorder="1" applyProtection="1"/>
    <xf numFmtId="0" fontId="5" fillId="0" borderId="34" xfId="62" applyFont="1" applyFill="1" applyBorder="1" applyAlignment="1" applyProtection="1">
      <alignment horizontal="center"/>
    </xf>
    <xf numFmtId="0" fontId="5" fillId="0" borderId="8" xfId="62" applyFont="1" applyFill="1" applyBorder="1" applyAlignment="1" applyProtection="1">
      <alignment horizontal="center"/>
    </xf>
    <xf numFmtId="0" fontId="5" fillId="0" borderId="36" xfId="62" applyFont="1" applyFill="1" applyBorder="1" applyAlignment="1" applyProtection="1">
      <alignment horizontal="center"/>
    </xf>
    <xf numFmtId="1" fontId="9" fillId="0" borderId="6" xfId="49" applyNumberFormat="1" applyFont="1" applyFill="1" applyBorder="1" applyAlignment="1" applyProtection="1">
      <alignment horizontal="center" vertical="center" wrapText="1"/>
    </xf>
    <xf numFmtId="1" fontId="5" fillId="0" borderId="34" xfId="49" applyNumberFormat="1" applyFont="1" applyBorder="1" applyAlignment="1" applyProtection="1">
      <alignment horizontal="center" vertical="center" wrapText="1"/>
    </xf>
    <xf numFmtId="0" fontId="5" fillId="0" borderId="0" xfId="0" applyFont="1" applyFill="1" applyBorder="1" applyAlignment="1" applyProtection="1">
      <alignment horizontal="center" vertical="center"/>
      <protection locked="0" hidden="1"/>
    </xf>
    <xf numFmtId="1" fontId="5" fillId="0" borderId="0" xfId="0" applyNumberFormat="1" applyFont="1" applyFill="1" applyBorder="1" applyAlignment="1" applyProtection="1">
      <alignment horizontal="center" vertical="center"/>
      <protection locked="0" hidden="1"/>
    </xf>
    <xf numFmtId="0" fontId="12" fillId="4" borderId="0" xfId="0" applyFont="1" applyFill="1"/>
    <xf numFmtId="1" fontId="12" fillId="4" borderId="0" xfId="62" applyNumberFormat="1" applyFont="1" applyFill="1" applyBorder="1" applyAlignment="1">
      <alignment horizontal="center"/>
    </xf>
    <xf numFmtId="0" fontId="0" fillId="4" borderId="0" xfId="0" applyFill="1" applyAlignment="1" applyProtection="1">
      <alignment vertical="center"/>
      <protection locked="0" hidden="1"/>
    </xf>
    <xf numFmtId="0" fontId="8" fillId="0" borderId="0" xfId="0" applyFont="1" applyBorder="1" applyAlignment="1" applyProtection="1">
      <alignment horizontal="right" vertical="center"/>
    </xf>
    <xf numFmtId="0" fontId="7" fillId="44" borderId="64" xfId="0" applyFont="1" applyFill="1" applyBorder="1" applyAlignment="1" applyProtection="1">
      <alignment vertical="center"/>
    </xf>
    <xf numFmtId="0" fontId="16" fillId="44" borderId="64" xfId="0" applyFont="1" applyFill="1" applyBorder="1" applyAlignment="1" applyProtection="1">
      <alignment vertical="center"/>
    </xf>
    <xf numFmtId="0" fontId="16" fillId="44" borderId="63" xfId="0" applyFont="1" applyFill="1" applyBorder="1" applyAlignment="1" applyProtection="1">
      <alignment vertical="center"/>
    </xf>
    <xf numFmtId="0" fontId="16" fillId="44" borderId="113" xfId="0" applyFont="1" applyFill="1" applyBorder="1" applyAlignment="1" applyProtection="1">
      <alignment vertical="center"/>
    </xf>
    <xf numFmtId="0" fontId="0" fillId="44" borderId="63" xfId="0" applyFill="1" applyBorder="1" applyAlignment="1" applyProtection="1">
      <alignment vertical="center"/>
      <protection hidden="1"/>
    </xf>
    <xf numFmtId="0" fontId="0" fillId="44" borderId="113" xfId="0" applyFill="1" applyBorder="1" applyAlignment="1" applyProtection="1">
      <alignment vertical="center"/>
      <protection hidden="1"/>
    </xf>
    <xf numFmtId="0" fontId="5" fillId="44" borderId="63" xfId="0" applyFont="1" applyFill="1" applyBorder="1" applyAlignment="1" applyProtection="1">
      <alignment vertical="center"/>
    </xf>
    <xf numFmtId="0" fontId="5" fillId="44" borderId="113" xfId="0" applyFont="1" applyFill="1" applyBorder="1" applyAlignment="1" applyProtection="1">
      <alignment vertical="center"/>
    </xf>
    <xf numFmtId="0" fontId="16" fillId="44" borderId="113" xfId="0" applyFont="1" applyFill="1" applyBorder="1" applyAlignment="1" applyProtection="1">
      <alignment horizontal="left" vertical="center"/>
    </xf>
    <xf numFmtId="0" fontId="12" fillId="0" borderId="47" xfId="42" applyFont="1" applyBorder="1" applyAlignment="1">
      <alignment horizontal="center" vertical="center"/>
    </xf>
    <xf numFmtId="1" fontId="12" fillId="0" borderId="0" xfId="0" applyNumberFormat="1" applyFont="1" applyFill="1" applyBorder="1" applyAlignment="1" applyProtection="1">
      <alignment horizontal="center" vertical="center"/>
      <protection hidden="1"/>
    </xf>
    <xf numFmtId="1" fontId="5" fillId="0" borderId="0" xfId="0" applyNumberFormat="1" applyFont="1" applyFill="1" applyBorder="1" applyAlignment="1" applyProtection="1">
      <alignment horizontal="center" vertical="center"/>
      <protection locked="0" hidden="1"/>
    </xf>
    <xf numFmtId="0" fontId="12" fillId="0" borderId="0" xfId="0" applyFont="1" applyFill="1" applyBorder="1" applyAlignment="1" applyProtection="1">
      <alignment horizontal="center" vertical="center"/>
      <protection locked="0" hidden="1"/>
    </xf>
    <xf numFmtId="1" fontId="7" fillId="0" borderId="0" xfId="0" applyNumberFormat="1"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xf>
    <xf numFmtId="0" fontId="5" fillId="0" borderId="0" xfId="0" applyFont="1" applyFill="1" applyBorder="1" applyAlignment="1" applyProtection="1">
      <alignment horizontal="center" vertical="center"/>
      <protection locked="0" hidden="1"/>
    </xf>
    <xf numFmtId="0" fontId="0" fillId="0" borderId="0" xfId="0" applyFill="1" applyBorder="1" applyAlignment="1" applyProtection="1">
      <alignment horizontal="center" vertical="center"/>
      <protection locked="0" hidden="1"/>
    </xf>
    <xf numFmtId="1" fontId="5" fillId="0" borderId="0" xfId="0" applyNumberFormat="1" applyFont="1" applyFill="1" applyBorder="1" applyAlignment="1" applyProtection="1">
      <alignment horizontal="center" vertical="center"/>
      <protection locked="0" hidden="1"/>
    </xf>
    <xf numFmtId="0" fontId="5" fillId="0" borderId="0" xfId="0" applyFont="1" applyAlignment="1" applyProtection="1">
      <alignment horizontal="center" vertical="center"/>
      <protection locked="0" hidden="1"/>
    </xf>
    <xf numFmtId="0" fontId="5" fillId="0" borderId="0" xfId="0" applyFont="1" applyAlignment="1" applyProtection="1">
      <alignment horizontal="center" vertical="center"/>
      <protection locked="0" hidden="1"/>
    </xf>
    <xf numFmtId="0" fontId="5" fillId="0" borderId="3" xfId="0" applyFont="1" applyBorder="1" applyAlignment="1" applyProtection="1">
      <alignment horizontal="center" vertical="center"/>
      <protection locked="0" hidden="1"/>
    </xf>
    <xf numFmtId="0" fontId="5" fillId="0" borderId="4" xfId="0" applyFont="1" applyBorder="1" applyAlignment="1" applyProtection="1">
      <alignment horizontal="center" vertical="center"/>
      <protection locked="0" hidden="1"/>
    </xf>
    <xf numFmtId="0" fontId="5" fillId="0" borderId="29" xfId="0" applyFont="1" applyBorder="1" applyAlignment="1" applyProtection="1">
      <alignment horizontal="center" vertical="center"/>
      <protection locked="0" hidden="1"/>
    </xf>
    <xf numFmtId="0" fontId="5" fillId="0" borderId="5" xfId="0" applyFont="1" applyBorder="1" applyAlignment="1" applyProtection="1">
      <alignment horizontal="center" vertical="center"/>
      <protection locked="0" hidden="1"/>
    </xf>
    <xf numFmtId="0" fontId="5" fillId="0" borderId="31" xfId="0" applyFont="1" applyBorder="1" applyAlignment="1" applyProtection="1">
      <alignment horizontal="center" vertical="center"/>
      <protection locked="0" hidden="1"/>
    </xf>
    <xf numFmtId="167" fontId="5" fillId="0" borderId="0" xfId="0" applyNumberFormat="1" applyFont="1" applyAlignment="1" applyProtection="1">
      <alignment horizontal="center" vertical="center"/>
      <protection locked="0" hidden="1"/>
    </xf>
    <xf numFmtId="167" fontId="5" fillId="0" borderId="0" xfId="0" applyNumberFormat="1" applyFont="1" applyAlignment="1" applyProtection="1">
      <alignment vertical="center"/>
      <protection hidden="1"/>
    </xf>
    <xf numFmtId="0" fontId="8" fillId="0" borderId="5" xfId="0" applyFont="1" applyBorder="1" applyAlignment="1">
      <alignment horizontal="center" vertical="center"/>
    </xf>
    <xf numFmtId="0" fontId="8" fillId="0" borderId="0" xfId="0" applyFont="1" applyAlignment="1">
      <alignment horizontal="center" vertical="center"/>
    </xf>
    <xf numFmtId="0" fontId="8" fillId="0" borderId="5" xfId="0"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8" fillId="0" borderId="6" xfId="0" applyFont="1" applyBorder="1" applyAlignment="1">
      <alignment horizontal="center" vertical="center"/>
    </xf>
    <xf numFmtId="0" fontId="5" fillId="0" borderId="7" xfId="0" applyFont="1" applyBorder="1" applyAlignment="1" applyProtection="1">
      <alignment horizontal="center" vertical="center"/>
      <protection locked="0" hidden="1"/>
    </xf>
    <xf numFmtId="0" fontId="5" fillId="0" borderId="33" xfId="0" applyFont="1" applyBorder="1" applyAlignment="1" applyProtection="1">
      <alignment horizontal="center" vertical="center"/>
      <protection locked="0" hidden="1"/>
    </xf>
    <xf numFmtId="166" fontId="5" fillId="0" borderId="0" xfId="0" applyNumberFormat="1" applyFont="1" applyFill="1" applyBorder="1" applyAlignment="1" applyProtection="1">
      <alignment horizontal="center" vertical="center"/>
      <protection locked="0" hidden="1"/>
    </xf>
    <xf numFmtId="0" fontId="0" fillId="0" borderId="0" xfId="0" applyFill="1" applyBorder="1" applyAlignment="1" applyProtection="1">
      <alignment vertical="center"/>
    </xf>
    <xf numFmtId="0" fontId="5" fillId="0" borderId="0" xfId="0" applyFont="1" applyFill="1" applyBorder="1" applyAlignment="1" applyProtection="1">
      <alignment horizontal="center" vertical="center"/>
      <protection hidden="1"/>
    </xf>
    <xf numFmtId="0" fontId="39" fillId="0" borderId="0" xfId="0" applyFont="1" applyFill="1" applyBorder="1" applyAlignment="1" applyProtection="1">
      <alignment vertical="center"/>
    </xf>
    <xf numFmtId="1" fontId="5" fillId="48" borderId="0" xfId="0" applyNumberFormat="1" applyFont="1" applyFill="1" applyBorder="1" applyAlignment="1" applyProtection="1">
      <alignment vertical="center"/>
      <protection locked="0" hidden="1"/>
    </xf>
    <xf numFmtId="0" fontId="5" fillId="0" borderId="47" xfId="0" applyFont="1" applyFill="1" applyBorder="1" applyAlignment="1" applyProtection="1">
      <alignment horizontal="center" vertical="center" wrapText="1"/>
      <protection hidden="1"/>
    </xf>
    <xf numFmtId="0" fontId="7" fillId="0" borderId="0" xfId="0" applyFont="1" applyFill="1" applyBorder="1" applyAlignment="1" applyProtection="1">
      <alignment horizontal="center" vertical="center"/>
    </xf>
    <xf numFmtId="0" fontId="4" fillId="0" borderId="25" xfId="0" applyFont="1" applyFill="1" applyBorder="1" applyAlignment="1" applyProtection="1">
      <alignment horizontal="center" vertical="center"/>
      <protection locked="0" hidden="1"/>
    </xf>
    <xf numFmtId="167" fontId="0" fillId="0" borderId="25" xfId="0" applyNumberFormat="1" applyBorder="1" applyAlignment="1" applyProtection="1">
      <alignment horizontal="center" vertical="center"/>
      <protection locked="0" hidden="1"/>
    </xf>
    <xf numFmtId="0" fontId="5" fillId="0" borderId="3" xfId="0" applyFont="1" applyBorder="1" applyAlignment="1" applyProtection="1">
      <alignment vertical="center"/>
      <protection hidden="1"/>
    </xf>
    <xf numFmtId="1" fontId="8" fillId="0" borderId="4" xfId="0" applyNumberFormat="1" applyFont="1" applyBorder="1" applyAlignment="1" applyProtection="1">
      <alignment horizontal="center" vertical="center"/>
      <protection locked="0" hidden="1"/>
    </xf>
    <xf numFmtId="0" fontId="5" fillId="0" borderId="4" xfId="0" applyFont="1" applyBorder="1" applyAlignment="1" applyProtection="1">
      <alignment vertical="center"/>
      <protection hidden="1"/>
    </xf>
    <xf numFmtId="1" fontId="8" fillId="0" borderId="29" xfId="0" applyNumberFormat="1" applyFont="1" applyBorder="1" applyAlignment="1" applyProtection="1">
      <alignment horizontal="center" vertical="center"/>
      <protection locked="0" hidden="1"/>
    </xf>
    <xf numFmtId="0" fontId="5" fillId="0" borderId="0" xfId="0" applyFont="1" applyAlignment="1" applyProtection="1">
      <alignment horizontal="left" vertical="center"/>
      <protection locked="0" hidden="1"/>
    </xf>
    <xf numFmtId="0" fontId="5" fillId="0" borderId="31" xfId="0" applyFont="1" applyBorder="1" applyAlignment="1" applyProtection="1">
      <alignment vertical="center"/>
      <protection hidden="1"/>
    </xf>
    <xf numFmtId="0" fontId="5" fillId="0" borderId="6" xfId="0" applyFont="1" applyBorder="1" applyAlignment="1" applyProtection="1">
      <alignment horizontal="center" vertical="center"/>
      <protection locked="0" hidden="1"/>
    </xf>
    <xf numFmtId="0" fontId="4" fillId="45" borderId="95" xfId="0" applyFont="1" applyFill="1" applyBorder="1" applyAlignment="1" applyProtection="1">
      <alignment horizontal="center"/>
    </xf>
    <xf numFmtId="0" fontId="4" fillId="45" borderId="60" xfId="0" applyFont="1" applyFill="1" applyBorder="1" applyAlignment="1" applyProtection="1">
      <alignment horizontal="center"/>
    </xf>
    <xf numFmtId="0" fontId="4" fillId="45" borderId="36" xfId="0" applyFont="1" applyFill="1" applyBorder="1" applyAlignment="1" applyProtection="1">
      <alignment horizontal="center"/>
    </xf>
    <xf numFmtId="0" fontId="5" fillId="0" borderId="0" xfId="0" applyFont="1" applyFill="1" applyBorder="1"/>
    <xf numFmtId="0" fontId="0" fillId="0" borderId="0" xfId="0" applyFill="1" applyBorder="1"/>
    <xf numFmtId="0" fontId="0" fillId="0" borderId="0" xfId="0" applyFill="1" applyBorder="1" applyAlignment="1">
      <alignment horizontal="center"/>
    </xf>
    <xf numFmtId="0" fontId="15" fillId="0" borderId="0" xfId="0" applyFont="1" applyFill="1" applyBorder="1" applyAlignment="1">
      <alignment vertical="center" wrapText="1"/>
    </xf>
    <xf numFmtId="0" fontId="5" fillId="0" borderId="0" xfId="0" applyFont="1" applyFill="1" applyBorder="1" applyAlignment="1" applyProtection="1">
      <alignment vertical="center"/>
      <protection hidden="1"/>
    </xf>
    <xf numFmtId="1" fontId="5" fillId="0" borderId="0" xfId="0" applyNumberFormat="1" applyFont="1" applyFill="1" applyBorder="1" applyAlignment="1" applyProtection="1">
      <alignment vertical="center"/>
    </xf>
    <xf numFmtId="1" fontId="7" fillId="0" borderId="0" xfId="0" applyNumberFormat="1" applyFont="1" applyFill="1" applyBorder="1" applyAlignment="1" applyProtection="1">
      <alignment vertical="center"/>
      <protection hidden="1"/>
    </xf>
    <xf numFmtId="0" fontId="4" fillId="0" borderId="0" xfId="0" applyFont="1"/>
    <xf numFmtId="0" fontId="4" fillId="0" borderId="0" xfId="0" applyFont="1" applyFill="1" applyBorder="1"/>
    <xf numFmtId="0" fontId="4" fillId="45" borderId="107" xfId="0" applyFont="1" applyFill="1" applyBorder="1" applyAlignment="1" applyProtection="1">
      <alignment horizontal="center"/>
    </xf>
    <xf numFmtId="0" fontId="4" fillId="45" borderId="106" xfId="0" applyFont="1" applyFill="1" applyBorder="1" applyAlignment="1" applyProtection="1">
      <alignment horizontal="center"/>
    </xf>
    <xf numFmtId="0" fontId="4" fillId="45" borderId="29" xfId="0" applyFont="1" applyFill="1" applyBorder="1" applyAlignment="1" applyProtection="1">
      <alignment horizontal="center" vertical="center"/>
    </xf>
    <xf numFmtId="0" fontId="4" fillId="45" borderId="25" xfId="0" applyFont="1" applyFill="1" applyBorder="1" applyAlignment="1" applyProtection="1">
      <alignment horizontal="center"/>
    </xf>
    <xf numFmtId="0" fontId="71" fillId="45" borderId="25" xfId="0" applyFont="1" applyFill="1" applyBorder="1" applyAlignment="1" applyProtection="1">
      <alignment horizontal="center"/>
    </xf>
    <xf numFmtId="0" fontId="4" fillId="45" borderId="50" xfId="0" applyFont="1" applyFill="1" applyBorder="1" applyAlignment="1" applyProtection="1">
      <alignment horizontal="center"/>
    </xf>
    <xf numFmtId="0" fontId="4" fillId="45" borderId="24" xfId="0" applyFont="1" applyFill="1" applyBorder="1" applyAlignment="1" applyProtection="1">
      <alignment horizontal="center"/>
    </xf>
    <xf numFmtId="0" fontId="71" fillId="45" borderId="36" xfId="0" applyFont="1" applyFill="1" applyBorder="1" applyAlignment="1" applyProtection="1">
      <alignment horizontal="center"/>
    </xf>
    <xf numFmtId="0" fontId="4" fillId="45" borderId="55" xfId="0" applyFont="1" applyFill="1" applyBorder="1" applyAlignment="1" applyProtection="1">
      <alignment horizontal="center"/>
    </xf>
    <xf numFmtId="0" fontId="0" fillId="45" borderId="63" xfId="0" applyFill="1" applyBorder="1"/>
    <xf numFmtId="0" fontId="5" fillId="54" borderId="8" xfId="62" applyFont="1" applyFill="1" applyBorder="1" applyAlignment="1" applyProtection="1">
      <alignment horizontal="center"/>
      <protection locked="0"/>
    </xf>
    <xf numFmtId="0" fontId="5" fillId="54" borderId="36" xfId="62" applyFont="1" applyFill="1" applyBorder="1" applyAlignment="1" applyProtection="1">
      <alignment horizontal="center"/>
      <protection locked="0"/>
    </xf>
    <xf numFmtId="0" fontId="5" fillId="0" borderId="6" xfId="62" applyFont="1" applyFill="1" applyBorder="1" applyAlignment="1" applyProtection="1">
      <alignment horizontal="center"/>
      <protection locked="0"/>
    </xf>
    <xf numFmtId="0" fontId="12" fillId="0" borderId="0" xfId="0" applyFont="1" applyFill="1" applyBorder="1" applyAlignment="1" applyProtection="1">
      <alignment horizontal="center" vertical="top"/>
      <protection locked="0"/>
    </xf>
    <xf numFmtId="0" fontId="70" fillId="0" borderId="6" xfId="0" applyFont="1" applyBorder="1" applyAlignment="1">
      <alignment horizontal="center" vertical="top"/>
    </xf>
    <xf numFmtId="0" fontId="5" fillId="0" borderId="5" xfId="62" applyFont="1" applyBorder="1" applyAlignment="1" applyProtection="1">
      <alignment vertical="center"/>
      <protection locked="0"/>
    </xf>
    <xf numFmtId="0" fontId="5" fillId="0" borderId="0" xfId="62" applyFont="1" applyAlignment="1" applyProtection="1">
      <alignment vertical="center"/>
      <protection locked="0"/>
    </xf>
    <xf numFmtId="0" fontId="5" fillId="0" borderId="8" xfId="62" applyFont="1" applyBorder="1" applyAlignment="1" applyProtection="1">
      <alignment horizontal="center"/>
      <protection locked="0"/>
    </xf>
    <xf numFmtId="0" fontId="5" fillId="0" borderId="36" xfId="62" applyFont="1" applyBorder="1" applyAlignment="1" applyProtection="1">
      <alignment horizontal="center"/>
      <protection locked="0"/>
    </xf>
    <xf numFmtId="0" fontId="5" fillId="0" borderId="5" xfId="62" applyFont="1" applyFill="1" applyBorder="1" applyAlignment="1" applyProtection="1">
      <alignment horizontal="center" vertical="center"/>
      <protection locked="0"/>
    </xf>
    <xf numFmtId="0" fontId="12" fillId="0" borderId="0" xfId="62" applyFont="1" applyFill="1" applyAlignment="1" applyProtection="1">
      <alignment horizontal="left"/>
      <protection locked="0"/>
    </xf>
    <xf numFmtId="0" fontId="0" fillId="0" borderId="5" xfId="0" applyBorder="1"/>
    <xf numFmtId="0" fontId="0" fillId="0" borderId="0" xfId="0" applyBorder="1"/>
    <xf numFmtId="0" fontId="10" fillId="0" borderId="0" xfId="62" applyFont="1"/>
    <xf numFmtId="0" fontId="9" fillId="0" borderId="0" xfId="62" applyFont="1"/>
    <xf numFmtId="0" fontId="9" fillId="0" borderId="29" xfId="62" applyFont="1" applyBorder="1" applyAlignment="1">
      <alignment horizontal="center"/>
    </xf>
    <xf numFmtId="0" fontId="9" fillId="0" borderId="3" xfId="62" applyFont="1" applyBorder="1"/>
    <xf numFmtId="0" fontId="9" fillId="0" borderId="4" xfId="62" applyFont="1" applyBorder="1"/>
    <xf numFmtId="0" fontId="9" fillId="0" borderId="4" xfId="62" applyFont="1" applyBorder="1" applyAlignment="1">
      <alignment horizontal="left"/>
    </xf>
    <xf numFmtId="0" fontId="9" fillId="0" borderId="29" xfId="62" applyFont="1" applyBorder="1" applyAlignment="1">
      <alignment horizontal="left"/>
    </xf>
    <xf numFmtId="0" fontId="9" fillId="0" borderId="0" xfId="62" applyFont="1" applyAlignment="1">
      <alignment horizontal="left"/>
    </xf>
    <xf numFmtId="0" fontId="9" fillId="0" borderId="33" xfId="62" applyFont="1" applyBorder="1"/>
    <xf numFmtId="0" fontId="9" fillId="0" borderId="7" xfId="62" applyFont="1" applyBorder="1" applyAlignment="1">
      <alignment horizontal="centerContinuous"/>
    </xf>
    <xf numFmtId="0" fontId="9" fillId="0" borderId="36" xfId="62" applyFont="1" applyBorder="1" applyAlignment="1">
      <alignment horizontal="center"/>
    </xf>
    <xf numFmtId="0" fontId="9" fillId="0" borderId="0" xfId="62" applyFont="1" applyAlignment="1">
      <alignment horizontal="center"/>
    </xf>
    <xf numFmtId="0" fontId="9" fillId="0" borderId="33" xfId="62" applyFont="1" applyBorder="1" applyAlignment="1">
      <alignment horizontal="center"/>
    </xf>
    <xf numFmtId="0" fontId="9" fillId="0" borderId="31" xfId="62" applyFont="1" applyBorder="1"/>
    <xf numFmtId="0" fontId="9" fillId="0" borderId="0" xfId="62" applyFont="1" applyAlignment="1">
      <alignment horizontal="centerContinuous"/>
    </xf>
    <xf numFmtId="0" fontId="9" fillId="0" borderId="25" xfId="62" applyFont="1" applyBorder="1" applyAlignment="1">
      <alignment horizontal="center"/>
    </xf>
    <xf numFmtId="0" fontId="9" fillId="0" borderId="106" xfId="62" applyFont="1" applyBorder="1" applyAlignment="1">
      <alignment horizontal="center"/>
    </xf>
    <xf numFmtId="0" fontId="9" fillId="0" borderId="31" xfId="62" applyFont="1" applyBorder="1" applyAlignment="1">
      <alignment horizontal="center"/>
    </xf>
    <xf numFmtId="0" fontId="4" fillId="0" borderId="31" xfId="62" applyFont="1" applyBorder="1"/>
    <xf numFmtId="2" fontId="4" fillId="0" borderId="50" xfId="62" applyNumberFormat="1" applyFont="1" applyBorder="1" applyAlignment="1">
      <alignment horizontal="centerContinuous"/>
    </xf>
    <xf numFmtId="2" fontId="10" fillId="0" borderId="24" xfId="62" applyNumberFormat="1" applyFont="1" applyBorder="1" applyAlignment="1">
      <alignment horizontal="center"/>
    </xf>
    <xf numFmtId="0" fontId="10" fillId="0" borderId="25" xfId="62" applyFont="1" applyBorder="1" applyAlignment="1">
      <alignment horizontal="center"/>
    </xf>
    <xf numFmtId="0" fontId="10" fillId="0" borderId="31" xfId="62" applyFont="1" applyBorder="1" applyAlignment="1">
      <alignment horizontal="center"/>
    </xf>
    <xf numFmtId="0" fontId="10" fillId="0" borderId="0" xfId="62" applyFont="1" applyAlignment="1">
      <alignment horizontal="center"/>
    </xf>
    <xf numFmtId="2" fontId="10" fillId="0" borderId="0" xfId="62" applyNumberFormat="1" applyFont="1" applyAlignment="1">
      <alignment horizontal="center"/>
    </xf>
    <xf numFmtId="0" fontId="4" fillId="0" borderId="33" xfId="62" applyFont="1" applyBorder="1"/>
    <xf numFmtId="2" fontId="4" fillId="0" borderId="60" xfId="62" applyNumberFormat="1" applyFont="1" applyBorder="1" applyAlignment="1">
      <alignment horizontal="centerContinuous"/>
    </xf>
    <xf numFmtId="2" fontId="10" fillId="0" borderId="55" xfId="62" applyNumberFormat="1" applyFont="1" applyBorder="1" applyAlignment="1">
      <alignment horizontal="center"/>
    </xf>
    <xf numFmtId="2" fontId="13" fillId="0" borderId="0" xfId="62" applyNumberFormat="1" applyFont="1" applyAlignment="1">
      <alignment horizontal="centerContinuous"/>
    </xf>
    <xf numFmtId="0" fontId="10" fillId="0" borderId="4" xfId="62" applyFont="1" applyBorder="1"/>
    <xf numFmtId="2" fontId="5" fillId="0" borderId="4" xfId="62" applyNumberFormat="1" applyFont="1" applyBorder="1" applyAlignment="1">
      <alignment horizontal="center"/>
    </xf>
    <xf numFmtId="2" fontId="13" fillId="0" borderId="4" xfId="62" applyNumberFormat="1" applyFont="1" applyBorder="1" applyAlignment="1">
      <alignment horizontal="centerContinuous"/>
    </xf>
    <xf numFmtId="0" fontId="10" fillId="0" borderId="29" xfId="62" applyFont="1" applyBorder="1"/>
    <xf numFmtId="0" fontId="9" fillId="0" borderId="55" xfId="62" applyFont="1" applyBorder="1" applyAlignment="1">
      <alignment horizontal="center"/>
    </xf>
    <xf numFmtId="0" fontId="10" fillId="0" borderId="24" xfId="62" applyFont="1" applyBorder="1" applyAlignment="1">
      <alignment horizontal="center"/>
    </xf>
    <xf numFmtId="0" fontId="93" fillId="0" borderId="25" xfId="62" applyFont="1" applyBorder="1" applyAlignment="1">
      <alignment horizontal="center"/>
    </xf>
    <xf numFmtId="0" fontId="93" fillId="0" borderId="31" xfId="62" applyFont="1" applyBorder="1" applyAlignment="1">
      <alignment horizontal="center"/>
    </xf>
    <xf numFmtId="0" fontId="93" fillId="0" borderId="24" xfId="62" applyFont="1" applyBorder="1" applyAlignment="1">
      <alignment horizontal="center"/>
    </xf>
    <xf numFmtId="0" fontId="10" fillId="0" borderId="25" xfId="62" applyFont="1" applyBorder="1"/>
    <xf numFmtId="0" fontId="10" fillId="0" borderId="31" xfId="62" applyFont="1" applyBorder="1"/>
    <xf numFmtId="0" fontId="93" fillId="0" borderId="55" xfId="62" applyFont="1" applyBorder="1" applyAlignment="1">
      <alignment horizontal="center"/>
    </xf>
    <xf numFmtId="0" fontId="10" fillId="0" borderId="36" xfId="62" applyFont="1" applyBorder="1"/>
    <xf numFmtId="0" fontId="10" fillId="0" borderId="33" xfId="62" applyFont="1" applyBorder="1"/>
    <xf numFmtId="0" fontId="5" fillId="0" borderId="30" xfId="62" applyFont="1" applyBorder="1" applyAlignment="1">
      <alignment horizontal="center"/>
    </xf>
    <xf numFmtId="0" fontId="9" fillId="0" borderId="24" xfId="62" applyFont="1" applyBorder="1" applyAlignment="1">
      <alignment horizontal="centerContinuous"/>
    </xf>
    <xf numFmtId="0" fontId="9" fillId="55" borderId="31" xfId="62" applyFont="1" applyFill="1" applyBorder="1" applyAlignment="1">
      <alignment horizontal="center"/>
    </xf>
    <xf numFmtId="0" fontId="9" fillId="0" borderId="280" xfId="62" applyFont="1" applyBorder="1" applyAlignment="1">
      <alignment horizontal="centerContinuous"/>
    </xf>
    <xf numFmtId="0" fontId="9" fillId="0" borderId="106" xfId="62" applyFont="1" applyBorder="1" applyAlignment="1">
      <alignment horizontal="centerContinuous"/>
    </xf>
    <xf numFmtId="0" fontId="9" fillId="0" borderId="95" xfId="62" applyFont="1" applyBorder="1" applyAlignment="1">
      <alignment horizontal="center"/>
    </xf>
    <xf numFmtId="0" fontId="9" fillId="0" borderId="4" xfId="62" applyFont="1" applyBorder="1" applyAlignment="1">
      <alignment horizontal="centerContinuous"/>
    </xf>
    <xf numFmtId="0" fontId="9" fillId="55" borderId="29" xfId="62" applyFont="1" applyFill="1" applyBorder="1" applyAlignment="1">
      <alignment horizontal="center"/>
    </xf>
    <xf numFmtId="167" fontId="4" fillId="0" borderId="0" xfId="62" applyNumberFormat="1" applyFont="1" applyAlignment="1">
      <alignment horizontal="centerContinuous"/>
    </xf>
    <xf numFmtId="167" fontId="10" fillId="0" borderId="25" xfId="62" applyNumberFormat="1" applyFont="1" applyBorder="1" applyAlignment="1">
      <alignment horizontal="center"/>
    </xf>
    <xf numFmtId="167" fontId="4" fillId="0" borderId="24" xfId="62" applyNumberFormat="1" applyFont="1" applyBorder="1" applyAlignment="1">
      <alignment horizontal="center"/>
    </xf>
    <xf numFmtId="167" fontId="4" fillId="0" borderId="25" xfId="62" applyNumberFormat="1" applyFont="1" applyBorder="1" applyAlignment="1">
      <alignment horizontal="center"/>
    </xf>
    <xf numFmtId="167" fontId="4" fillId="0" borderId="8" xfId="62" applyNumberFormat="1" applyFont="1" applyBorder="1" applyAlignment="1">
      <alignment horizontal="center"/>
    </xf>
    <xf numFmtId="167" fontId="4" fillId="0" borderId="36" xfId="62" applyNumberFormat="1" applyFont="1" applyBorder="1" applyAlignment="1">
      <alignment horizontal="center"/>
    </xf>
    <xf numFmtId="167" fontId="10" fillId="0" borderId="36" xfId="62" applyNumberFormat="1" applyFont="1" applyBorder="1" applyAlignment="1">
      <alignment horizontal="center"/>
    </xf>
    <xf numFmtId="167" fontId="4" fillId="0" borderId="7" xfId="62" applyNumberFormat="1" applyFont="1" applyBorder="1" applyAlignment="1">
      <alignment horizontal="centerContinuous"/>
    </xf>
    <xf numFmtId="0" fontId="94" fillId="0" borderId="0" xfId="62" applyFont="1" applyAlignment="1">
      <alignment vertical="center"/>
    </xf>
    <xf numFmtId="0" fontId="9" fillId="0" borderId="107" xfId="62" applyFont="1" applyBorder="1" applyAlignment="1">
      <alignment horizontal="center"/>
    </xf>
    <xf numFmtId="0" fontId="9" fillId="55" borderId="108" xfId="62" applyFont="1" applyFill="1" applyBorder="1" applyAlignment="1">
      <alignment horizontal="center"/>
    </xf>
    <xf numFmtId="0" fontId="10" fillId="0" borderId="50" xfId="62" applyFont="1" applyBorder="1" applyAlignment="1">
      <alignment horizontal="center"/>
    </xf>
    <xf numFmtId="0" fontId="9" fillId="0" borderId="24" xfId="62" applyFont="1" applyBorder="1" applyAlignment="1">
      <alignment horizontal="center"/>
    </xf>
    <xf numFmtId="0" fontId="9" fillId="0" borderId="4" xfId="62" applyFont="1" applyBorder="1" applyAlignment="1">
      <alignment horizontal="center"/>
    </xf>
    <xf numFmtId="0" fontId="10" fillId="0" borderId="7" xfId="62" applyFont="1" applyBorder="1"/>
    <xf numFmtId="167" fontId="93" fillId="0" borderId="8" xfId="62" applyNumberFormat="1" applyFont="1" applyBorder="1" applyAlignment="1">
      <alignment horizontal="center"/>
    </xf>
    <xf numFmtId="167" fontId="93" fillId="0" borderId="36" xfId="62" applyNumberFormat="1" applyFont="1" applyBorder="1" applyAlignment="1">
      <alignment horizontal="center"/>
    </xf>
    <xf numFmtId="0" fontId="93" fillId="0" borderId="36" xfId="62" applyFont="1" applyBorder="1" applyAlignment="1">
      <alignment horizontal="center"/>
    </xf>
    <xf numFmtId="167" fontId="10" fillId="0" borderId="7" xfId="62" applyNumberFormat="1" applyFont="1" applyBorder="1" applyAlignment="1">
      <alignment horizontal="center"/>
    </xf>
    <xf numFmtId="0" fontId="10" fillId="0" borderId="7" xfId="62" applyFont="1" applyBorder="1" applyAlignment="1">
      <alignment horizontal="center"/>
    </xf>
    <xf numFmtId="0" fontId="10" fillId="55" borderId="37" xfId="62" applyFont="1" applyFill="1" applyBorder="1" applyAlignment="1">
      <alignment horizontal="center"/>
    </xf>
    <xf numFmtId="0" fontId="10" fillId="0" borderId="0" xfId="62" applyFont="1" applyAlignment="1">
      <alignment horizontal="left"/>
    </xf>
    <xf numFmtId="0" fontId="10" fillId="0" borderId="3" xfId="62" applyFont="1" applyBorder="1"/>
    <xf numFmtId="0" fontId="10" fillId="0" borderId="6" xfId="62" applyFont="1" applyBorder="1"/>
    <xf numFmtId="0" fontId="10" fillId="0" borderId="5" xfId="62" applyFont="1" applyBorder="1"/>
    <xf numFmtId="0" fontId="9" fillId="0" borderId="0" xfId="62" applyFont="1" applyFill="1" applyBorder="1" applyAlignment="1">
      <alignment horizontal="center"/>
    </xf>
    <xf numFmtId="0" fontId="0" fillId="0" borderId="7" xfId="0" applyBorder="1"/>
    <xf numFmtId="0" fontId="4" fillId="0" borderId="0" xfId="0" applyFont="1" applyAlignment="1" applyProtection="1">
      <alignment vertical="center"/>
      <protection hidden="1"/>
    </xf>
    <xf numFmtId="0" fontId="0" fillId="0" borderId="4" xfId="0" applyBorder="1"/>
    <xf numFmtId="0" fontId="4" fillId="0" borderId="0" xfId="0" applyFont="1" applyAlignment="1" applyProtection="1">
      <alignment vertical="center"/>
      <protection locked="0" hidden="1"/>
    </xf>
    <xf numFmtId="0" fontId="4" fillId="0" borderId="24" xfId="0" applyFont="1" applyBorder="1" applyAlignment="1" applyProtection="1">
      <alignment vertical="center"/>
      <protection locked="0" hidden="1"/>
    </xf>
    <xf numFmtId="1" fontId="0" fillId="0" borderId="24" xfId="0" applyNumberFormat="1" applyBorder="1" applyAlignment="1" applyProtection="1">
      <alignment vertical="center"/>
      <protection locked="0" hidden="1"/>
    </xf>
    <xf numFmtId="167" fontId="0" fillId="0" borderId="0" xfId="0" applyNumberFormat="1" applyAlignment="1" applyProtection="1">
      <alignment vertical="center"/>
      <protection locked="0" hidden="1"/>
    </xf>
    <xf numFmtId="0" fontId="71" fillId="0" borderId="0" xfId="0" applyFont="1" applyBorder="1" applyAlignment="1">
      <alignment vertical="top" wrapText="1"/>
    </xf>
    <xf numFmtId="0" fontId="0" fillId="0" borderId="0" xfId="0" applyFill="1" applyBorder="1" applyAlignment="1" applyProtection="1">
      <alignment horizontal="center" vertical="center"/>
      <protection locked="0" hidden="1"/>
    </xf>
    <xf numFmtId="0" fontId="4" fillId="0" borderId="0" xfId="0" applyFont="1" applyAlignment="1"/>
    <xf numFmtId="0" fontId="4" fillId="0" borderId="0" xfId="0" applyFont="1" applyAlignment="1" applyProtection="1">
      <alignment horizontal="center"/>
      <protection locked="0"/>
    </xf>
    <xf numFmtId="0" fontId="4" fillId="0" borderId="0" xfId="62" applyFont="1" applyFill="1" applyAlignment="1">
      <alignment horizontal="center"/>
    </xf>
    <xf numFmtId="1" fontId="5" fillId="42" borderId="0" xfId="0" applyNumberFormat="1" applyFont="1" applyFill="1" applyBorder="1" applyAlignment="1" applyProtection="1">
      <alignment horizontal="center" vertical="center"/>
      <protection locked="0" hidden="1"/>
    </xf>
    <xf numFmtId="0" fontId="4" fillId="45" borderId="106" xfId="0" applyFont="1" applyFill="1" applyBorder="1" applyAlignment="1" applyProtection="1">
      <alignment textRotation="90" wrapText="1"/>
    </xf>
    <xf numFmtId="0" fontId="4" fillId="45" borderId="24" xfId="0" applyFont="1" applyFill="1" applyBorder="1" applyAlignment="1" applyProtection="1">
      <alignment textRotation="90" wrapText="1"/>
    </xf>
    <xf numFmtId="0" fontId="4" fillId="45" borderId="55" xfId="0" applyFont="1" applyFill="1" applyBorder="1" applyAlignment="1" applyProtection="1">
      <alignment textRotation="90" wrapText="1"/>
    </xf>
    <xf numFmtId="0" fontId="4" fillId="45" borderId="4" xfId="0" applyFont="1" applyFill="1" applyBorder="1" applyProtection="1"/>
    <xf numFmtId="0" fontId="4" fillId="45" borderId="0" xfId="0" applyFont="1" applyFill="1" applyBorder="1" applyProtection="1"/>
    <xf numFmtId="0" fontId="4" fillId="45" borderId="7" xfId="0" applyFont="1" applyFill="1" applyBorder="1" applyProtection="1"/>
    <xf numFmtId="1" fontId="5" fillId="56" borderId="0" xfId="0" applyNumberFormat="1" applyFont="1" applyFill="1" applyBorder="1" applyAlignment="1" applyProtection="1">
      <alignment horizontal="center" vertical="center"/>
      <protection locked="0" hidden="1"/>
    </xf>
    <xf numFmtId="0" fontId="0" fillId="56" borderId="0" xfId="0" applyFill="1" applyBorder="1" applyAlignment="1" applyProtection="1">
      <alignment horizontal="center" vertical="center"/>
      <protection locked="0" hidden="1"/>
    </xf>
    <xf numFmtId="1" fontId="5" fillId="56" borderId="0" xfId="0" applyNumberFormat="1" applyFont="1" applyFill="1" applyBorder="1" applyAlignment="1" applyProtection="1">
      <alignment horizontal="right" vertical="center"/>
      <protection locked="0" hidden="1"/>
    </xf>
    <xf numFmtId="1" fontId="5" fillId="3" borderId="0" xfId="0" applyNumberFormat="1" applyFont="1" applyFill="1" applyBorder="1" applyAlignment="1" applyProtection="1">
      <alignment horizontal="center" vertical="center"/>
      <protection locked="0" hidden="1"/>
    </xf>
    <xf numFmtId="1" fontId="5" fillId="4" borderId="0" xfId="0" applyNumberFormat="1" applyFont="1" applyFill="1" applyBorder="1" applyAlignment="1" applyProtection="1">
      <alignment horizontal="center" vertical="center"/>
      <protection locked="0" hidden="1"/>
    </xf>
    <xf numFmtId="0" fontId="12" fillId="4" borderId="0" xfId="0" applyFont="1" applyFill="1" applyAlignment="1" applyProtection="1">
      <alignment vertical="center"/>
      <protection locked="0" hidden="1"/>
    </xf>
    <xf numFmtId="0" fontId="20" fillId="57" borderId="50" xfId="0" applyFont="1" applyFill="1" applyBorder="1" applyProtection="1">
      <protection locked="0"/>
    </xf>
    <xf numFmtId="1" fontId="5" fillId="57" borderId="0" xfId="0" applyNumberFormat="1" applyFont="1" applyFill="1" applyBorder="1" applyAlignment="1" applyProtection="1">
      <alignment horizontal="center" vertical="center"/>
      <protection locked="0" hidden="1"/>
    </xf>
    <xf numFmtId="0" fontId="12" fillId="57" borderId="0" xfId="0" applyFont="1" applyFill="1" applyAlignment="1" applyProtection="1">
      <alignment vertical="center"/>
      <protection locked="0" hidden="1"/>
    </xf>
    <xf numFmtId="0" fontId="0" fillId="57" borderId="0" xfId="0" applyFill="1" applyAlignment="1" applyProtection="1">
      <alignment vertical="center"/>
      <protection locked="0" hidden="1"/>
    </xf>
    <xf numFmtId="0" fontId="0" fillId="58" borderId="51" xfId="0" applyFill="1" applyBorder="1" applyAlignment="1" applyProtection="1">
      <alignment horizontal="center"/>
    </xf>
    <xf numFmtId="0" fontId="0" fillId="58" borderId="13" xfId="0" applyFill="1" applyBorder="1" applyAlignment="1" applyProtection="1">
      <alignment horizontal="center"/>
    </xf>
    <xf numFmtId="0" fontId="0" fillId="58" borderId="21" xfId="0" applyFill="1" applyBorder="1" applyAlignment="1" applyProtection="1">
      <alignment horizontal="center"/>
    </xf>
    <xf numFmtId="0" fontId="0" fillId="58" borderId="98" xfId="0" applyFill="1" applyBorder="1" applyAlignment="1" applyProtection="1"/>
    <xf numFmtId="0" fontId="0" fillId="58" borderId="99" xfId="0" applyFill="1" applyBorder="1" applyAlignment="1" applyProtection="1"/>
    <xf numFmtId="0" fontId="0" fillId="58" borderId="100" xfId="0" applyFill="1" applyBorder="1" applyAlignment="1" applyProtection="1"/>
    <xf numFmtId="0" fontId="12" fillId="59" borderId="0" xfId="0" applyFont="1" applyFill="1" applyBorder="1" applyAlignment="1" applyProtection="1">
      <alignment horizontal="center"/>
    </xf>
    <xf numFmtId="0" fontId="0" fillId="59" borderId="0" xfId="0" applyFill="1" applyBorder="1" applyAlignment="1" applyProtection="1">
      <alignment horizontal="center"/>
    </xf>
    <xf numFmtId="0" fontId="12" fillId="59" borderId="0" xfId="0" applyFont="1" applyFill="1" applyBorder="1" applyAlignment="1" applyProtection="1">
      <alignment horizontal="left"/>
    </xf>
    <xf numFmtId="0" fontId="20" fillId="0" borderId="0" xfId="0" applyFont="1" applyFill="1" applyBorder="1" applyAlignment="1" applyProtection="1">
      <alignment horizontal="center" vertical="center"/>
      <protection hidden="1"/>
    </xf>
    <xf numFmtId="0" fontId="4" fillId="0" borderId="3" xfId="0" applyFont="1" applyBorder="1" applyAlignment="1" applyProtection="1">
      <alignment vertical="center"/>
      <protection hidden="1"/>
    </xf>
    <xf numFmtId="0" fontId="0" fillId="0" borderId="4" xfId="0" applyBorder="1" applyAlignment="1" applyProtection="1">
      <alignment vertical="center"/>
      <protection hidden="1"/>
    </xf>
    <xf numFmtId="0" fontId="0" fillId="5" borderId="4" xfId="0" applyFill="1" applyBorder="1" applyAlignment="1" applyProtection="1">
      <alignment vertical="center"/>
      <protection hidden="1"/>
    </xf>
    <xf numFmtId="0" fontId="0" fillId="41" borderId="162" xfId="0" applyFill="1" applyBorder="1" applyAlignment="1" applyProtection="1">
      <alignment vertical="center"/>
      <protection hidden="1"/>
    </xf>
    <xf numFmtId="0" fontId="0" fillId="41" borderId="283" xfId="0" applyFill="1" applyBorder="1" applyAlignment="1" applyProtection="1">
      <alignment vertical="center"/>
      <protection hidden="1"/>
    </xf>
    <xf numFmtId="0" fontId="5" fillId="0" borderId="0" xfId="62" applyFont="1" applyAlignment="1">
      <alignment horizontal="center"/>
    </xf>
    <xf numFmtId="167" fontId="10" fillId="0" borderId="0" xfId="62" applyNumberFormat="1" applyFont="1" applyFill="1" applyBorder="1" applyAlignment="1">
      <alignment horizontal="center"/>
    </xf>
    <xf numFmtId="0" fontId="4" fillId="0" borderId="0" xfId="0" applyFont="1" applyFill="1"/>
    <xf numFmtId="1" fontId="0" fillId="0" borderId="0" xfId="0" applyNumberFormat="1" applyAlignment="1">
      <alignment horizontal="center" vertical="center"/>
    </xf>
    <xf numFmtId="0" fontId="4" fillId="43" borderId="0" xfId="0" applyFont="1" applyFill="1"/>
    <xf numFmtId="1" fontId="5" fillId="0" borderId="0" xfId="0" applyNumberFormat="1" applyFont="1" applyFill="1" applyBorder="1" applyAlignment="1" applyProtection="1">
      <alignment horizontal="center" vertical="center"/>
      <protection locked="0" hidden="1"/>
    </xf>
    <xf numFmtId="0" fontId="4" fillId="0" borderId="50" xfId="0" applyFont="1" applyBorder="1" applyAlignment="1" applyProtection="1">
      <alignment horizontal="center" vertical="center"/>
      <protection locked="0" hidden="1"/>
    </xf>
    <xf numFmtId="0" fontId="4" fillId="0" borderId="0" xfId="0" applyFont="1" applyAlignment="1" applyProtection="1">
      <alignment horizontal="center" vertical="center"/>
      <protection locked="0" hidden="1"/>
    </xf>
    <xf numFmtId="0" fontId="4" fillId="0" borderId="24" xfId="0" applyFont="1" applyBorder="1" applyAlignment="1" applyProtection="1">
      <alignment horizontal="center" vertical="center"/>
      <protection locked="0" hidden="1"/>
    </xf>
    <xf numFmtId="0" fontId="4" fillId="0" borderId="3" xfId="0" applyFont="1" applyBorder="1"/>
    <xf numFmtId="0" fontId="4" fillId="0" borderId="5" xfId="0" applyFont="1" applyBorder="1"/>
    <xf numFmtId="0" fontId="4" fillId="0" borderId="31" xfId="0" applyFont="1" applyBorder="1"/>
    <xf numFmtId="0" fontId="4" fillId="0" borderId="5" xfId="0" applyFont="1" applyBorder="1" applyAlignment="1" applyProtection="1">
      <alignment horizontal="center" vertical="center"/>
      <protection locked="0" hidden="1"/>
    </xf>
    <xf numFmtId="0" fontId="4" fillId="0" borderId="31" xfId="0" applyFont="1" applyBorder="1" applyAlignment="1" applyProtection="1">
      <alignment horizontal="center" vertical="center"/>
      <protection locked="0" hidden="1"/>
    </xf>
    <xf numFmtId="167" fontId="71" fillId="0" borderId="5" xfId="0" applyNumberFormat="1" applyFont="1" applyBorder="1" applyAlignment="1">
      <alignment horizontal="center" vertical="top"/>
    </xf>
    <xf numFmtId="0" fontId="10" fillId="0" borderId="0" xfId="62" applyFont="1" applyAlignment="1">
      <alignment horizontal="center" vertical="top"/>
    </xf>
    <xf numFmtId="0" fontId="10" fillId="0" borderId="31" xfId="0" applyFont="1" applyBorder="1" applyAlignment="1">
      <alignment horizontal="center"/>
    </xf>
    <xf numFmtId="0" fontId="90" fillId="0" borderId="5" xfId="0" applyFont="1" applyBorder="1"/>
    <xf numFmtId="0" fontId="90" fillId="0" borderId="0" xfId="0" applyFont="1"/>
    <xf numFmtId="0" fontId="90" fillId="0" borderId="31" xfId="0" applyFont="1" applyBorder="1"/>
    <xf numFmtId="0" fontId="90" fillId="0" borderId="6" xfId="0" applyFont="1" applyBorder="1"/>
    <xf numFmtId="0" fontId="90" fillId="0" borderId="7" xfId="0" applyFont="1" applyBorder="1"/>
    <xf numFmtId="0" fontId="90" fillId="0" borderId="33" xfId="0" applyFont="1" applyBorder="1"/>
    <xf numFmtId="167" fontId="0" fillId="0" borderId="0" xfId="0" applyNumberFormat="1" applyAlignment="1" applyProtection="1">
      <alignment horizontal="center" vertical="center"/>
      <protection locked="0" hidden="1"/>
    </xf>
    <xf numFmtId="170" fontId="5" fillId="0" borderId="0" xfId="0" applyNumberFormat="1" applyFont="1" applyFill="1" applyBorder="1" applyAlignment="1" applyProtection="1">
      <alignment horizontal="center" vertical="center"/>
      <protection locked="0" hidden="1"/>
    </xf>
    <xf numFmtId="0" fontId="4" fillId="0" borderId="0" xfId="0" applyFont="1" applyFill="1" applyAlignment="1" applyProtection="1">
      <alignment horizontal="left" vertical="center"/>
    </xf>
    <xf numFmtId="0" fontId="4" fillId="0" borderId="0" xfId="0" applyFont="1" applyAlignment="1" applyProtection="1">
      <alignment vertical="center"/>
    </xf>
    <xf numFmtId="0" fontId="4" fillId="0" borderId="0" xfId="0" applyFont="1" applyFill="1" applyBorder="1" applyAlignment="1" applyProtection="1">
      <alignment horizontal="left" vertical="center"/>
    </xf>
    <xf numFmtId="0" fontId="0" fillId="0" borderId="0" xfId="0" applyAlignment="1">
      <alignment horizontal="center" vertical="center"/>
    </xf>
    <xf numFmtId="0" fontId="9" fillId="0" borderId="3" xfId="62" applyFont="1" applyBorder="1" applyAlignment="1">
      <alignment horizontal="center"/>
    </xf>
    <xf numFmtId="0" fontId="9" fillId="0" borderId="4" xfId="62" applyFont="1" applyBorder="1" applyAlignment="1">
      <alignment horizontal="center"/>
    </xf>
    <xf numFmtId="0" fontId="4" fillId="0" borderId="0" xfId="0" applyFont="1" applyAlignment="1">
      <alignment vertical="top" wrapText="1"/>
    </xf>
    <xf numFmtId="0" fontId="4" fillId="0" borderId="7" xfId="0" applyFont="1" applyBorder="1" applyAlignment="1">
      <alignment vertical="top" wrapText="1"/>
    </xf>
    <xf numFmtId="0" fontId="51" fillId="45" borderId="114" xfId="0" applyFont="1" applyFill="1" applyBorder="1" applyAlignment="1">
      <alignment horizontal="center" vertical="center" wrapText="1"/>
    </xf>
    <xf numFmtId="0" fontId="51" fillId="45" borderId="115" xfId="0" applyFont="1" applyFill="1" applyBorder="1" applyAlignment="1">
      <alignment horizontal="center" vertical="center" wrapText="1"/>
    </xf>
    <xf numFmtId="1" fontId="51" fillId="45" borderId="90" xfId="73" applyNumberFormat="1" applyFont="1" applyFill="1" applyBorder="1" applyAlignment="1">
      <alignment horizontal="center" vertical="center" wrapText="1"/>
    </xf>
    <xf numFmtId="0" fontId="5" fillId="0" borderId="0" xfId="0" applyFont="1" applyAlignment="1">
      <alignment vertical="center"/>
    </xf>
    <xf numFmtId="2" fontId="0" fillId="0" borderId="0" xfId="0" applyNumberFormat="1"/>
    <xf numFmtId="0" fontId="4" fillId="0" borderId="0" xfId="0" applyFont="1" applyAlignment="1">
      <alignment vertical="center" wrapText="1"/>
    </xf>
    <xf numFmtId="0" fontId="0" fillId="0" borderId="0" xfId="0" applyAlignment="1">
      <alignment vertical="center" wrapText="1"/>
    </xf>
    <xf numFmtId="0" fontId="97" fillId="0" borderId="0" xfId="0" applyFont="1" applyAlignment="1">
      <alignment horizontal="center" vertical="center"/>
    </xf>
    <xf numFmtId="1" fontId="97" fillId="0" borderId="0" xfId="0" applyNumberFormat="1" applyFont="1" applyAlignment="1">
      <alignment horizontal="center" vertical="center"/>
    </xf>
    <xf numFmtId="0" fontId="0" fillId="0" borderId="0" xfId="0" applyBorder="1" applyProtection="1">
      <protection locked="0" hidden="1"/>
    </xf>
    <xf numFmtId="0" fontId="8" fillId="0" borderId="0" xfId="62" applyFont="1" applyAlignment="1">
      <alignment horizontal="left"/>
    </xf>
    <xf numFmtId="0" fontId="5" fillId="0" borderId="3" xfId="62" applyFont="1" applyBorder="1"/>
    <xf numFmtId="0" fontId="5" fillId="0" borderId="4" xfId="62" applyFont="1" applyBorder="1"/>
    <xf numFmtId="0" fontId="5" fillId="0" borderId="5" xfId="62" applyFont="1" applyBorder="1"/>
    <xf numFmtId="0" fontId="5" fillId="0" borderId="0" xfId="62" applyFont="1"/>
    <xf numFmtId="0" fontId="5" fillId="0" borderId="8" xfId="62" applyFont="1" applyBorder="1" applyAlignment="1">
      <alignment horizontal="center"/>
    </xf>
    <xf numFmtId="0" fontId="5" fillId="0" borderId="36" xfId="62" applyFont="1" applyBorder="1" applyAlignment="1">
      <alignment horizontal="center"/>
    </xf>
    <xf numFmtId="0" fontId="5" fillId="0" borderId="5" xfId="62" applyFont="1" applyBorder="1" applyAlignment="1">
      <alignment horizontal="center"/>
    </xf>
    <xf numFmtId="0" fontId="9" fillId="0" borderId="32" xfId="62" applyFont="1" applyBorder="1" applyAlignment="1">
      <alignment horizontal="center"/>
    </xf>
    <xf numFmtId="167" fontId="101" fillId="0" borderId="0" xfId="62" applyNumberFormat="1" applyFont="1" applyAlignment="1">
      <alignment horizontal="left"/>
    </xf>
    <xf numFmtId="0" fontId="102" fillId="0" borderId="0" xfId="62" applyFont="1" applyAlignment="1">
      <alignment horizontal="left"/>
    </xf>
    <xf numFmtId="0" fontId="12" fillId="0" borderId="3" xfId="62" applyBorder="1" applyAlignment="1">
      <alignment horizontal="left"/>
    </xf>
    <xf numFmtId="0" fontId="5" fillId="0" borderId="4" xfId="62" applyFont="1" applyBorder="1" applyAlignment="1">
      <alignment horizontal="center"/>
    </xf>
    <xf numFmtId="0" fontId="5" fillId="0" borderId="29" xfId="62" applyFont="1" applyBorder="1" applyAlignment="1">
      <alignment horizontal="center"/>
    </xf>
    <xf numFmtId="0" fontId="12" fillId="0" borderId="5" xfId="62" applyBorder="1" applyAlignment="1">
      <alignment horizontal="left"/>
    </xf>
    <xf numFmtId="0" fontId="5" fillId="0" borderId="31" xfId="62" applyFont="1" applyBorder="1" applyAlignment="1">
      <alignment horizontal="center"/>
    </xf>
    <xf numFmtId="0" fontId="10" fillId="0" borderId="5" xfId="62" applyFont="1" applyBorder="1" applyAlignment="1">
      <alignment vertical="center"/>
    </xf>
    <xf numFmtId="0" fontId="12" fillId="0" borderId="0" xfId="62" applyAlignment="1">
      <alignment horizontal="center"/>
    </xf>
    <xf numFmtId="0" fontId="12" fillId="0" borderId="31" xfId="62" applyBorder="1" applyAlignment="1">
      <alignment horizontal="center"/>
    </xf>
    <xf numFmtId="168" fontId="12" fillId="0" borderId="6" xfId="62" applyNumberFormat="1" applyBorder="1" applyAlignment="1">
      <alignment horizontal="center"/>
    </xf>
    <xf numFmtId="168" fontId="12" fillId="0" borderId="36" xfId="62" applyNumberFormat="1" applyBorder="1" applyAlignment="1">
      <alignment horizontal="center"/>
    </xf>
    <xf numFmtId="168" fontId="12" fillId="0" borderId="33" xfId="62" applyNumberFormat="1" applyBorder="1" applyAlignment="1">
      <alignment horizontal="center"/>
    </xf>
    <xf numFmtId="0" fontId="101" fillId="0" borderId="0" xfId="62" applyFont="1" applyAlignment="1">
      <alignment horizontal="left"/>
    </xf>
    <xf numFmtId="0" fontId="9" fillId="0" borderId="3" xfId="62" applyFont="1" applyBorder="1" applyAlignment="1">
      <alignment horizontal="left"/>
    </xf>
    <xf numFmtId="0" fontId="9" fillId="0" borderId="5" xfId="62" applyFont="1" applyBorder="1" applyAlignment="1">
      <alignment horizontal="left"/>
    </xf>
    <xf numFmtId="0" fontId="9" fillId="0" borderId="5" xfId="62" applyFont="1" applyBorder="1" applyAlignment="1">
      <alignment vertical="center"/>
    </xf>
    <xf numFmtId="166" fontId="9" fillId="0" borderId="0" xfId="62" applyNumberFormat="1" applyFont="1" applyAlignment="1">
      <alignment horizontal="center"/>
    </xf>
    <xf numFmtId="166" fontId="9" fillId="0" borderId="31" xfId="62" applyNumberFormat="1" applyFont="1" applyBorder="1" applyAlignment="1">
      <alignment horizontal="center"/>
    </xf>
    <xf numFmtId="166" fontId="9" fillId="0" borderId="6" xfId="62" applyNumberFormat="1" applyFont="1" applyBorder="1" applyAlignment="1">
      <alignment horizontal="center" wrapText="1"/>
    </xf>
    <xf numFmtId="166" fontId="9" fillId="0" borderId="36" xfId="62" applyNumberFormat="1" applyFont="1" applyBorder="1" applyAlignment="1">
      <alignment horizontal="center" wrapText="1"/>
    </xf>
    <xf numFmtId="166" fontId="9" fillId="0" borderId="33" xfId="62" applyNumberFormat="1" applyFont="1" applyBorder="1" applyAlignment="1">
      <alignment horizontal="center" wrapText="1"/>
    </xf>
    <xf numFmtId="0" fontId="9" fillId="0" borderId="3" xfId="62" applyFont="1" applyBorder="1" applyAlignment="1">
      <alignment vertical="center"/>
    </xf>
    <xf numFmtId="0" fontId="9" fillId="0" borderId="4" xfId="62" applyFont="1" applyBorder="1" applyAlignment="1">
      <alignment vertical="center"/>
    </xf>
    <xf numFmtId="0" fontId="9" fillId="0" borderId="29" xfId="62" applyFont="1" applyBorder="1" applyAlignment="1">
      <alignment vertical="center"/>
    </xf>
    <xf numFmtId="0" fontId="9" fillId="0" borderId="5" xfId="62" applyFont="1" applyBorder="1"/>
    <xf numFmtId="0" fontId="9" fillId="0" borderId="0" xfId="62" applyFont="1" applyAlignment="1">
      <alignment vertical="center"/>
    </xf>
    <xf numFmtId="0" fontId="9" fillId="0" borderId="31" xfId="62" applyFont="1" applyBorder="1" applyAlignment="1">
      <alignment vertical="center"/>
    </xf>
    <xf numFmtId="168" fontId="9" fillId="0" borderId="8" xfId="62" applyNumberFormat="1" applyFont="1" applyBorder="1" applyAlignment="1">
      <alignment horizontal="center"/>
    </xf>
    <xf numFmtId="168" fontId="9" fillId="0" borderId="36" xfId="62" applyNumberFormat="1" applyFont="1" applyBorder="1" applyAlignment="1">
      <alignment horizontal="center"/>
    </xf>
    <xf numFmtId="168" fontId="9" fillId="0" borderId="37" xfId="62" applyNumberFormat="1" applyFont="1" applyBorder="1" applyAlignment="1">
      <alignment horizontal="center"/>
    </xf>
    <xf numFmtId="0" fontId="101" fillId="0" borderId="0" xfId="62" applyFont="1" applyAlignment="1">
      <alignment horizontal="center"/>
    </xf>
    <xf numFmtId="0" fontId="9" fillId="0" borderId="4" xfId="62" applyFont="1" applyBorder="1" applyAlignment="1">
      <alignment horizontal="center" vertical="center"/>
    </xf>
    <xf numFmtId="0" fontId="9" fillId="0" borderId="0" xfId="62" applyFont="1" applyAlignment="1">
      <alignment horizontal="center" vertical="center"/>
    </xf>
    <xf numFmtId="0" fontId="103" fillId="0" borderId="0" xfId="62" applyFont="1" applyAlignment="1">
      <alignment horizontal="center"/>
    </xf>
    <xf numFmtId="168" fontId="9" fillId="0" borderId="7" xfId="62" applyNumberFormat="1" applyFont="1" applyBorder="1" applyAlignment="1">
      <alignment horizontal="center" wrapText="1"/>
    </xf>
    <xf numFmtId="0" fontId="9" fillId="0" borderId="30" xfId="62" applyFont="1" applyBorder="1" applyAlignment="1">
      <alignment horizontal="center"/>
    </xf>
    <xf numFmtId="166" fontId="9" fillId="0" borderId="34" xfId="62" applyNumberFormat="1" applyFont="1" applyBorder="1" applyAlignment="1">
      <alignment horizontal="center"/>
    </xf>
    <xf numFmtId="2" fontId="101" fillId="0" borderId="0" xfId="62" applyNumberFormat="1" applyFont="1" applyAlignment="1">
      <alignment horizontal="center"/>
    </xf>
    <xf numFmtId="2" fontId="5" fillId="0" borderId="3" xfId="0" applyNumberFormat="1" applyFont="1" applyBorder="1" applyAlignment="1">
      <alignment horizontal="center"/>
    </xf>
    <xf numFmtId="2" fontId="5" fillId="0" borderId="5" xfId="0" applyNumberFormat="1" applyFont="1" applyBorder="1" applyAlignment="1">
      <alignment horizontal="center"/>
    </xf>
    <xf numFmtId="2" fontId="5" fillId="0" borderId="6" xfId="0" applyNumberFormat="1" applyFont="1" applyBorder="1" applyAlignment="1">
      <alignment horizontal="center"/>
    </xf>
    <xf numFmtId="2" fontId="101" fillId="0" borderId="0" xfId="62" applyNumberFormat="1" applyFont="1"/>
    <xf numFmtId="2" fontId="104" fillId="0" borderId="0" xfId="62" applyNumberFormat="1" applyFont="1" applyAlignment="1">
      <alignment horizontal="left"/>
    </xf>
    <xf numFmtId="2" fontId="8" fillId="0" borderId="0" xfId="62" applyNumberFormat="1" applyFont="1" applyAlignment="1">
      <alignment horizontal="left"/>
    </xf>
    <xf numFmtId="1" fontId="101" fillId="0" borderId="0" xfId="62" applyNumberFormat="1" applyFont="1" applyAlignment="1">
      <alignment horizontal="left"/>
    </xf>
    <xf numFmtId="2" fontId="5" fillId="0" borderId="3" xfId="0" applyNumberFormat="1" applyFont="1" applyBorder="1"/>
    <xf numFmtId="2" fontId="70" fillId="0" borderId="3" xfId="62" applyNumberFormat="1" applyFont="1" applyBorder="1"/>
    <xf numFmtId="2" fontId="70" fillId="0" borderId="4" xfId="62" applyNumberFormat="1" applyFont="1" applyBorder="1"/>
    <xf numFmtId="2" fontId="5" fillId="0" borderId="4" xfId="62" applyNumberFormat="1" applyFont="1" applyBorder="1"/>
    <xf numFmtId="1" fontId="5" fillId="0" borderId="30" xfId="0" applyNumberFormat="1" applyFont="1" applyBorder="1" applyAlignment="1">
      <alignment horizontal="center"/>
    </xf>
    <xf numFmtId="2" fontId="5" fillId="0" borderId="5" xfId="0" applyNumberFormat="1" applyFont="1" applyBorder="1"/>
    <xf numFmtId="2" fontId="70" fillId="0" borderId="5" xfId="62" applyNumberFormat="1" applyFont="1" applyBorder="1"/>
    <xf numFmtId="2" fontId="70" fillId="0" borderId="0" xfId="62" applyNumberFormat="1" applyFont="1"/>
    <xf numFmtId="2" fontId="5" fillId="0" borderId="0" xfId="62" applyNumberFormat="1" applyFont="1"/>
    <xf numFmtId="1" fontId="5" fillId="0" borderId="31" xfId="0" applyNumberFormat="1" applyFont="1" applyBorder="1" applyAlignment="1">
      <alignment horizontal="center"/>
    </xf>
    <xf numFmtId="2" fontId="5" fillId="0" borderId="6" xfId="0" applyNumberFormat="1" applyFont="1" applyBorder="1"/>
    <xf numFmtId="2" fontId="70" fillId="0" borderId="8" xfId="62" applyNumberFormat="1" applyFont="1" applyBorder="1" applyAlignment="1">
      <alignment horizontal="center"/>
    </xf>
    <xf numFmtId="2" fontId="70" fillId="0" borderId="36" xfId="62" applyNumberFormat="1" applyFont="1" applyBorder="1" applyAlignment="1">
      <alignment horizontal="center"/>
    </xf>
    <xf numFmtId="2" fontId="5" fillId="0" borderId="36" xfId="62" applyNumberFormat="1" applyFont="1" applyBorder="1" applyAlignment="1">
      <alignment horizontal="center"/>
    </xf>
    <xf numFmtId="1" fontId="5" fillId="0" borderId="33" xfId="0" applyNumberFormat="1" applyFont="1" applyBorder="1" applyAlignment="1">
      <alignment horizontal="center"/>
    </xf>
    <xf numFmtId="49" fontId="101" fillId="0" borderId="0" xfId="62" applyNumberFormat="1" applyFont="1" applyAlignment="1">
      <alignment horizontal="left"/>
    </xf>
    <xf numFmtId="2" fontId="101" fillId="0" borderId="0" xfId="62" applyNumberFormat="1" applyFont="1" applyAlignment="1">
      <alignment horizontal="left"/>
    </xf>
    <xf numFmtId="49" fontId="5" fillId="0" borderId="4" xfId="62" applyNumberFormat="1" applyFont="1" applyBorder="1"/>
    <xf numFmtId="167" fontId="5" fillId="0" borderId="3" xfId="62" applyNumberFormat="1" applyFont="1" applyBorder="1"/>
    <xf numFmtId="167" fontId="5" fillId="0" borderId="4" xfId="62" applyNumberFormat="1" applyFont="1" applyBorder="1"/>
    <xf numFmtId="49" fontId="5" fillId="0" borderId="0" xfId="62" applyNumberFormat="1" applyFont="1"/>
    <xf numFmtId="167" fontId="5" fillId="0" borderId="5" xfId="62" applyNumberFormat="1" applyFont="1" applyBorder="1"/>
    <xf numFmtId="167" fontId="5" fillId="0" borderId="0" xfId="62" applyNumberFormat="1" applyFont="1"/>
    <xf numFmtId="0" fontId="103" fillId="0" borderId="32" xfId="62" applyFont="1" applyBorder="1" applyAlignment="1">
      <alignment horizontal="center"/>
    </xf>
    <xf numFmtId="0" fontId="10" fillId="0" borderId="5" xfId="62" applyFont="1" applyBorder="1" applyAlignment="1">
      <alignment horizontal="center"/>
    </xf>
    <xf numFmtId="166" fontId="10" fillId="0" borderId="9" xfId="62" applyNumberFormat="1" applyFont="1" applyBorder="1" applyAlignment="1">
      <alignment horizontal="center"/>
    </xf>
    <xf numFmtId="49" fontId="12" fillId="0" borderId="7" xfId="62" applyNumberFormat="1" applyBorder="1"/>
    <xf numFmtId="0" fontId="5" fillId="0" borderId="7" xfId="62" applyFont="1" applyBorder="1" applyAlignment="1">
      <alignment horizontal="center"/>
    </xf>
    <xf numFmtId="2" fontId="5" fillId="0" borderId="34" xfId="62" applyNumberFormat="1" applyFont="1" applyBorder="1" applyAlignment="1">
      <alignment horizontal="center" wrapText="1"/>
    </xf>
    <xf numFmtId="167" fontId="5" fillId="0" borderId="8" xfId="62" applyNumberFormat="1" applyFont="1" applyBorder="1" applyAlignment="1">
      <alignment horizontal="center"/>
    </xf>
    <xf numFmtId="167" fontId="5" fillId="0" borderId="36" xfId="62" applyNumberFormat="1" applyFont="1" applyBorder="1" applyAlignment="1">
      <alignment horizontal="center"/>
    </xf>
    <xf numFmtId="167" fontId="5" fillId="0" borderId="34" xfId="62" applyNumberFormat="1" applyFont="1" applyBorder="1" applyAlignment="1">
      <alignment horizontal="center"/>
    </xf>
    <xf numFmtId="0" fontId="10" fillId="0" borderId="6" xfId="62" applyFont="1" applyBorder="1" applyAlignment="1">
      <alignment horizontal="center"/>
    </xf>
    <xf numFmtId="166" fontId="10" fillId="0" borderId="37" xfId="62" applyNumberFormat="1" applyFont="1" applyBorder="1" applyAlignment="1">
      <alignment horizontal="center"/>
    </xf>
    <xf numFmtId="1" fontId="5" fillId="0" borderId="0" xfId="0" applyNumberFormat="1" applyFont="1" applyBorder="1" applyAlignment="1">
      <alignment horizontal="center"/>
    </xf>
    <xf numFmtId="49" fontId="4" fillId="0" borderId="0" xfId="62" applyNumberFormat="1" applyFont="1" applyFill="1" applyAlignment="1">
      <alignment horizontal="left"/>
    </xf>
    <xf numFmtId="2" fontId="76" fillId="0" borderId="25" xfId="62" applyNumberFormat="1" applyFont="1" applyBorder="1" applyAlignment="1">
      <alignment horizontal="center"/>
    </xf>
    <xf numFmtId="2" fontId="76" fillId="0" borderId="24" xfId="62" applyNumberFormat="1" applyFont="1" applyBorder="1" applyAlignment="1">
      <alignment horizontal="centerContinuous"/>
    </xf>
    <xf numFmtId="2" fontId="76" fillId="0" borderId="50" xfId="62" applyNumberFormat="1" applyFont="1" applyBorder="1" applyAlignment="1">
      <alignment horizontal="centerContinuous"/>
    </xf>
    <xf numFmtId="2" fontId="10" fillId="46" borderId="25" xfId="62" applyNumberFormat="1" applyFont="1" applyFill="1" applyBorder="1" applyAlignment="1">
      <alignment horizontal="center"/>
    </xf>
    <xf numFmtId="2" fontId="10" fillId="46" borderId="31" xfId="62" applyNumberFormat="1" applyFont="1" applyFill="1" applyBorder="1" applyAlignment="1">
      <alignment horizontal="center"/>
    </xf>
    <xf numFmtId="2" fontId="76" fillId="0" borderId="50" xfId="62" applyNumberFormat="1" applyFont="1" applyBorder="1" applyAlignment="1">
      <alignment horizontal="center"/>
    </xf>
    <xf numFmtId="2" fontId="76" fillId="0" borderId="55" xfId="62" applyNumberFormat="1" applyFont="1" applyBorder="1" applyAlignment="1">
      <alignment horizontal="centerContinuous"/>
    </xf>
    <xf numFmtId="2" fontId="76" fillId="0" borderId="36" xfId="62" applyNumberFormat="1" applyFont="1" applyBorder="1" applyAlignment="1">
      <alignment horizontal="center"/>
    </xf>
    <xf numFmtId="2" fontId="76" fillId="0" borderId="60" xfId="62" applyNumberFormat="1" applyFont="1" applyBorder="1" applyAlignment="1">
      <alignment horizontal="center"/>
    </xf>
    <xf numFmtId="2" fontId="10" fillId="46" borderId="36" xfId="62" applyNumberFormat="1" applyFont="1" applyFill="1" applyBorder="1" applyAlignment="1">
      <alignment horizontal="center"/>
    </xf>
    <xf numFmtId="2" fontId="10" fillId="46" borderId="33" xfId="62" applyNumberFormat="1" applyFont="1" applyFill="1" applyBorder="1" applyAlignment="1">
      <alignment horizontal="center"/>
    </xf>
    <xf numFmtId="0" fontId="70" fillId="0" borderId="29" xfId="62" applyFont="1" applyBorder="1" applyAlignment="1">
      <alignment horizontal="center"/>
    </xf>
    <xf numFmtId="0" fontId="106" fillId="0" borderId="30" xfId="62" applyFont="1" applyBorder="1" applyAlignment="1">
      <alignment horizontal="center"/>
    </xf>
    <xf numFmtId="0" fontId="70" fillId="0" borderId="3" xfId="62" applyFont="1" applyBorder="1"/>
    <xf numFmtId="0" fontId="70" fillId="0" borderId="4" xfId="62" applyFont="1" applyBorder="1"/>
    <xf numFmtId="0" fontId="70" fillId="0" borderId="33" xfId="62" applyFont="1" applyBorder="1"/>
    <xf numFmtId="0" fontId="106" fillId="0" borderId="34" xfId="62" applyFont="1" applyBorder="1" applyAlignment="1">
      <alignment horizontal="center"/>
    </xf>
    <xf numFmtId="0" fontId="70" fillId="0" borderId="55" xfId="62" applyFont="1" applyBorder="1" applyAlignment="1">
      <alignment horizontal="centerContinuous"/>
    </xf>
    <xf numFmtId="0" fontId="70" fillId="0" borderId="0" xfId="62" applyFont="1" applyAlignment="1">
      <alignment horizontal="centerContinuous"/>
    </xf>
    <xf numFmtId="0" fontId="9" fillId="46" borderId="33" xfId="62" applyFont="1" applyFill="1" applyBorder="1" applyAlignment="1">
      <alignment horizontal="center"/>
    </xf>
    <xf numFmtId="0" fontId="5" fillId="0" borderId="34" xfId="62" applyFont="1" applyBorder="1" applyAlignment="1">
      <alignment horizontal="center"/>
    </xf>
    <xf numFmtId="0" fontId="71" fillId="0" borderId="31" xfId="62" applyFont="1" applyBorder="1"/>
    <xf numFmtId="0" fontId="81" fillId="0" borderId="32" xfId="62" applyFont="1" applyBorder="1" applyAlignment="1">
      <alignment horizontal="center"/>
    </xf>
    <xf numFmtId="167" fontId="76" fillId="0" borderId="24" xfId="62" applyNumberFormat="1" applyFont="1" applyBorder="1" applyAlignment="1">
      <alignment horizontal="center"/>
    </xf>
    <xf numFmtId="167" fontId="76" fillId="0" borderId="95" xfId="62" applyNumberFormat="1" applyFont="1" applyBorder="1" applyAlignment="1">
      <alignment horizontal="center"/>
    </xf>
    <xf numFmtId="167" fontId="4" fillId="0" borderId="4" xfId="62" applyNumberFormat="1" applyFont="1" applyBorder="1" applyAlignment="1">
      <alignment horizontal="centerContinuous"/>
    </xf>
    <xf numFmtId="167" fontId="10" fillId="0" borderId="95" xfId="62" applyNumberFormat="1" applyFont="1" applyBorder="1" applyAlignment="1">
      <alignment horizontal="center"/>
    </xf>
    <xf numFmtId="167" fontId="10" fillId="0" borderId="50" xfId="62" applyNumberFormat="1" applyFont="1" applyBorder="1" applyAlignment="1">
      <alignment horizontal="center"/>
    </xf>
    <xf numFmtId="167" fontId="10" fillId="46" borderId="30" xfId="62" applyNumberFormat="1" applyFont="1" applyFill="1" applyBorder="1" applyAlignment="1">
      <alignment horizontal="center"/>
    </xf>
    <xf numFmtId="167" fontId="81" fillId="0" borderId="30" xfId="62" applyNumberFormat="1" applyFont="1" applyBorder="1" applyAlignment="1">
      <alignment horizontal="center"/>
    </xf>
    <xf numFmtId="167" fontId="76" fillId="0" borderId="24" xfId="62" applyNumberFormat="1" applyFont="1" applyBorder="1" applyAlignment="1">
      <alignment horizontal="centerContinuous"/>
    </xf>
    <xf numFmtId="167" fontId="76" fillId="0" borderId="25" xfId="62" applyNumberFormat="1" applyFont="1" applyBorder="1" applyAlignment="1">
      <alignment horizontal="centerContinuous"/>
    </xf>
    <xf numFmtId="167" fontId="76" fillId="0" borderId="25" xfId="62" applyNumberFormat="1" applyFont="1" applyBorder="1" applyAlignment="1">
      <alignment horizontal="center"/>
    </xf>
    <xf numFmtId="167" fontId="10" fillId="46" borderId="32" xfId="62" applyNumberFormat="1" applyFont="1" applyFill="1" applyBorder="1" applyAlignment="1">
      <alignment horizontal="center"/>
    </xf>
    <xf numFmtId="167" fontId="81" fillId="0" borderId="32" xfId="62" applyNumberFormat="1" applyFont="1" applyBorder="1" applyAlignment="1">
      <alignment horizontal="center"/>
    </xf>
    <xf numFmtId="0" fontId="71" fillId="0" borderId="33" xfId="62" applyFont="1" applyBorder="1"/>
    <xf numFmtId="0" fontId="81" fillId="0" borderId="34" xfId="62" applyFont="1" applyBorder="1" applyAlignment="1">
      <alignment horizontal="center"/>
    </xf>
    <xf numFmtId="167" fontId="10" fillId="0" borderId="60" xfId="62" applyNumberFormat="1" applyFont="1" applyBorder="1" applyAlignment="1">
      <alignment horizontal="center"/>
    </xf>
    <xf numFmtId="167" fontId="10" fillId="46" borderId="34" xfId="62" applyNumberFormat="1" applyFont="1" applyFill="1" applyBorder="1" applyAlignment="1">
      <alignment horizontal="center"/>
    </xf>
    <xf numFmtId="167" fontId="81" fillId="0" borderId="34" xfId="62" applyNumberFormat="1" applyFont="1" applyBorder="1" applyAlignment="1">
      <alignment horizontal="center"/>
    </xf>
    <xf numFmtId="0" fontId="71" fillId="0" borderId="4" xfId="62" applyFont="1" applyBorder="1"/>
    <xf numFmtId="0" fontId="4" fillId="0" borderId="7" xfId="62" applyFont="1" applyBorder="1"/>
    <xf numFmtId="0" fontId="76" fillId="0" borderId="280" xfId="62" applyFont="1" applyBorder="1" applyAlignment="1">
      <alignment horizontal="center"/>
    </xf>
    <xf numFmtId="0" fontId="76" fillId="0" borderId="95" xfId="62" applyFont="1" applyBorder="1" applyAlignment="1">
      <alignment horizontal="center"/>
    </xf>
    <xf numFmtId="2" fontId="76" fillId="0" borderId="95" xfId="62" applyNumberFormat="1" applyFont="1" applyBorder="1" applyAlignment="1">
      <alignment horizontal="center"/>
    </xf>
    <xf numFmtId="0" fontId="71" fillId="0" borderId="4" xfId="62" applyFont="1" applyBorder="1" applyAlignment="1">
      <alignment horizontal="center"/>
    </xf>
    <xf numFmtId="2" fontId="10" fillId="0" borderId="95" xfId="62" applyNumberFormat="1" applyFont="1" applyBorder="1" applyAlignment="1">
      <alignment horizontal="center"/>
    </xf>
    <xf numFmtId="2" fontId="10" fillId="46" borderId="30" xfId="62" applyNumberFormat="1" applyFont="1" applyFill="1" applyBorder="1" applyAlignment="1">
      <alignment horizontal="center"/>
    </xf>
    <xf numFmtId="2" fontId="4" fillId="0" borderId="8" xfId="62" applyNumberFormat="1" applyFont="1" applyBorder="1" applyAlignment="1">
      <alignment horizontal="center"/>
    </xf>
    <xf numFmtId="2" fontId="4" fillId="0" borderId="36" xfId="62" applyNumberFormat="1" applyFont="1" applyBorder="1" applyAlignment="1">
      <alignment horizontal="center"/>
    </xf>
    <xf numFmtId="2" fontId="10" fillId="0" borderId="36" xfId="62" applyNumberFormat="1" applyFont="1" applyBorder="1" applyAlignment="1">
      <alignment horizontal="center"/>
    </xf>
    <xf numFmtId="2" fontId="4" fillId="0" borderId="7" xfId="62" applyNumberFormat="1" applyFont="1" applyBorder="1" applyAlignment="1">
      <alignment horizontal="center"/>
    </xf>
    <xf numFmtId="2" fontId="10" fillId="0" borderId="37" xfId="62" applyNumberFormat="1" applyFont="1" applyBorder="1" applyAlignment="1">
      <alignment horizontal="center"/>
    </xf>
    <xf numFmtId="0" fontId="10" fillId="46" borderId="34" xfId="62" applyFont="1" applyFill="1" applyBorder="1" applyAlignment="1">
      <alignment horizontal="center"/>
    </xf>
    <xf numFmtId="0" fontId="5" fillId="0" borderId="30" xfId="62" applyFont="1" applyBorder="1" applyProtection="1">
      <protection locked="0"/>
    </xf>
    <xf numFmtId="1" fontId="5" fillId="0" borderId="0" xfId="62" applyNumberFormat="1" applyFont="1" applyAlignment="1" applyProtection="1">
      <alignment horizontal="center"/>
      <protection locked="0"/>
    </xf>
    <xf numFmtId="0" fontId="12" fillId="0" borderId="41" xfId="62" applyBorder="1" applyProtection="1">
      <protection locked="0"/>
    </xf>
    <xf numFmtId="2" fontId="12" fillId="0" borderId="41" xfId="62" applyNumberFormat="1" applyBorder="1" applyAlignment="1" applyProtection="1">
      <alignment horizontal="center"/>
      <protection locked="0"/>
    </xf>
    <xf numFmtId="0" fontId="12" fillId="0" borderId="109" xfId="62" applyBorder="1" applyProtection="1">
      <protection locked="0"/>
    </xf>
    <xf numFmtId="1" fontId="12" fillId="0" borderId="32" xfId="62" applyNumberFormat="1" applyBorder="1" applyAlignment="1" applyProtection="1">
      <alignment horizontal="center"/>
      <protection locked="0"/>
    </xf>
    <xf numFmtId="0" fontId="5" fillId="0" borderId="109" xfId="62" applyFont="1" applyBorder="1" applyProtection="1">
      <protection locked="0"/>
    </xf>
    <xf numFmtId="0" fontId="12" fillId="0" borderId="32" xfId="62" applyBorder="1" applyProtection="1">
      <protection locked="0"/>
    </xf>
    <xf numFmtId="0" fontId="81" fillId="0" borderId="32" xfId="62" applyFont="1" applyBorder="1" applyProtection="1">
      <protection locked="0"/>
    </xf>
    <xf numFmtId="0" fontId="12" fillId="0" borderId="32" xfId="62" applyBorder="1" applyAlignment="1" applyProtection="1">
      <alignment wrapText="1"/>
      <protection locked="0"/>
    </xf>
    <xf numFmtId="0" fontId="5" fillId="0" borderId="46" xfId="0" applyFont="1" applyBorder="1" applyProtection="1">
      <protection locked="0"/>
    </xf>
    <xf numFmtId="0" fontId="4" fillId="0" borderId="32" xfId="0" applyFont="1" applyBorder="1" applyProtection="1">
      <protection locked="0"/>
    </xf>
    <xf numFmtId="1" fontId="4" fillId="0" borderId="0" xfId="37" applyNumberFormat="1" applyFont="1" applyFill="1" applyBorder="1" applyAlignment="1" applyProtection="1">
      <alignment horizontal="center"/>
      <protection locked="0"/>
    </xf>
    <xf numFmtId="0" fontId="5" fillId="0" borderId="109" xfId="0" applyFont="1" applyBorder="1" applyProtection="1">
      <protection locked="0"/>
    </xf>
    <xf numFmtId="1" fontId="4" fillId="0" borderId="0" xfId="32" applyNumberFormat="1" applyFont="1" applyFill="1" applyBorder="1" applyAlignment="1" applyProtection="1">
      <alignment horizontal="center"/>
      <protection locked="0"/>
    </xf>
    <xf numFmtId="0" fontId="5" fillId="0" borderId="46" xfId="62" applyFont="1" applyBorder="1" applyProtection="1">
      <protection locked="0"/>
    </xf>
    <xf numFmtId="0" fontId="71" fillId="0" borderId="31" xfId="62" applyFont="1" applyBorder="1" applyProtection="1">
      <protection locked="0"/>
    </xf>
    <xf numFmtId="2" fontId="4" fillId="0" borderId="5" xfId="0" applyNumberFormat="1" applyFont="1" applyBorder="1" applyAlignment="1" applyProtection="1">
      <alignment horizontal="center"/>
      <protection locked="0"/>
    </xf>
    <xf numFmtId="2" fontId="4" fillId="0" borderId="0" xfId="0" applyNumberFormat="1" applyFont="1" applyBorder="1" applyAlignment="1" applyProtection="1">
      <alignment horizontal="center"/>
      <protection locked="0"/>
    </xf>
    <xf numFmtId="1" fontId="12" fillId="0" borderId="0" xfId="62" applyNumberFormat="1" applyBorder="1" applyAlignment="1" applyProtection="1">
      <alignment horizontal="center"/>
      <protection locked="0"/>
    </xf>
    <xf numFmtId="2" fontId="76" fillId="0" borderId="5" xfId="62" applyNumberFormat="1" applyFont="1" applyFill="1" applyBorder="1" applyAlignment="1" applyProtection="1">
      <alignment horizontal="center"/>
      <protection locked="0"/>
    </xf>
    <xf numFmtId="2" fontId="76" fillId="0" borderId="24" xfId="62" applyNumberFormat="1" applyFont="1" applyFill="1" applyBorder="1" applyAlignment="1" applyProtection="1">
      <alignment horizontal="center"/>
      <protection locked="0"/>
    </xf>
    <xf numFmtId="0" fontId="70" fillId="0" borderId="30" xfId="0" applyFont="1" applyBorder="1" applyAlignment="1">
      <alignment vertical="top"/>
    </xf>
    <xf numFmtId="0" fontId="71" fillId="0" borderId="30" xfId="0" applyFont="1" applyBorder="1" applyAlignment="1">
      <alignment horizontal="center" vertical="top"/>
    </xf>
    <xf numFmtId="0" fontId="71" fillId="0" borderId="29" xfId="0" applyFont="1" applyBorder="1" applyAlignment="1">
      <alignment horizontal="center" vertical="top"/>
    </xf>
    <xf numFmtId="2" fontId="71" fillId="0" borderId="95" xfId="0" applyNumberFormat="1" applyFont="1" applyBorder="1" applyAlignment="1">
      <alignment horizontal="center" vertical="top"/>
    </xf>
    <xf numFmtId="0" fontId="71" fillId="0" borderId="95" xfId="0" applyFont="1" applyBorder="1" applyAlignment="1">
      <alignment horizontal="center" vertical="top"/>
    </xf>
    <xf numFmtId="0" fontId="71" fillId="0" borderId="0" xfId="0" applyFont="1" applyAlignment="1">
      <alignment horizontal="center" vertical="top"/>
    </xf>
    <xf numFmtId="0" fontId="71" fillId="0" borderId="5" xfId="0" applyFont="1" applyBorder="1" applyAlignment="1">
      <alignment horizontal="center" vertical="top"/>
    </xf>
    <xf numFmtId="171" fontId="71" fillId="0" borderId="5" xfId="32" applyNumberFormat="1" applyFont="1" applyFill="1" applyBorder="1" applyAlignment="1">
      <alignment horizontal="center" vertical="top"/>
    </xf>
    <xf numFmtId="0" fontId="4" fillId="0" borderId="32" xfId="0" applyFont="1" applyBorder="1" applyAlignment="1">
      <alignment vertical="top" wrapText="1"/>
    </xf>
    <xf numFmtId="2" fontId="71" fillId="0" borderId="25" xfId="0" applyNumberFormat="1" applyFont="1" applyBorder="1" applyAlignment="1">
      <alignment horizontal="center" vertical="top"/>
    </xf>
    <xf numFmtId="167" fontId="71" fillId="0" borderId="25" xfId="0" applyNumberFormat="1" applyFont="1" applyBorder="1" applyAlignment="1">
      <alignment horizontal="center" vertical="top"/>
    </xf>
    <xf numFmtId="167" fontId="71" fillId="0" borderId="43" xfId="32" applyNumberFormat="1" applyFont="1" applyFill="1" applyBorder="1" applyAlignment="1">
      <alignment horizontal="center" vertical="top"/>
    </xf>
    <xf numFmtId="167" fontId="4" fillId="0" borderId="32" xfId="62" applyNumberFormat="1" applyFont="1" applyBorder="1" applyAlignment="1">
      <alignment horizontal="center" vertical="top"/>
    </xf>
    <xf numFmtId="0" fontId="71" fillId="0" borderId="32" xfId="0" applyFont="1" applyBorder="1" applyAlignment="1">
      <alignment vertical="top" wrapText="1"/>
    </xf>
    <xf numFmtId="0" fontId="70" fillId="0" borderId="41" xfId="0" applyFont="1" applyBorder="1" applyAlignment="1">
      <alignment vertical="top" wrapText="1"/>
    </xf>
    <xf numFmtId="167" fontId="4" fillId="0" borderId="12" xfId="32" applyNumberFormat="1" applyFont="1" applyFill="1" applyBorder="1" applyAlignment="1">
      <alignment horizontal="center" vertical="top"/>
    </xf>
    <xf numFmtId="0" fontId="4" fillId="0" borderId="32" xfId="0" quotePrefix="1" applyFont="1" applyBorder="1" applyAlignment="1">
      <alignment vertical="top" wrapText="1"/>
    </xf>
    <xf numFmtId="0" fontId="71" fillId="0" borderId="32" xfId="0" quotePrefix="1" applyFont="1" applyBorder="1" applyAlignment="1">
      <alignment horizontal="center" vertical="top"/>
    </xf>
    <xf numFmtId="0" fontId="71" fillId="0" borderId="31" xfId="0" quotePrefix="1" applyFont="1" applyBorder="1" applyAlignment="1">
      <alignment horizontal="center" vertical="top"/>
    </xf>
    <xf numFmtId="167" fontId="71" fillId="0" borderId="50" xfId="0" applyNumberFormat="1" applyFont="1" applyBorder="1" applyAlignment="1">
      <alignment horizontal="center" vertical="top"/>
    </xf>
    <xf numFmtId="0" fontId="81" fillId="0" borderId="32" xfId="0" quotePrefix="1" applyFont="1" applyBorder="1" applyAlignment="1">
      <alignment vertical="top" wrapText="1"/>
    </xf>
    <xf numFmtId="0" fontId="81" fillId="0" borderId="32" xfId="0" applyFont="1" applyBorder="1" applyAlignment="1">
      <alignment vertical="top" wrapText="1"/>
    </xf>
    <xf numFmtId="0" fontId="70" fillId="0" borderId="41" xfId="0" quotePrefix="1" applyFont="1" applyBorder="1" applyAlignment="1">
      <alignment vertical="top" wrapText="1"/>
    </xf>
    <xf numFmtId="0" fontId="71" fillId="0" borderId="25" xfId="0" applyFont="1" applyBorder="1" applyAlignment="1">
      <alignment horizontal="center" vertical="top"/>
    </xf>
    <xf numFmtId="0" fontId="71" fillId="0" borderId="50" xfId="0" applyFont="1" applyBorder="1" applyAlignment="1">
      <alignment horizontal="center" vertical="top"/>
    </xf>
    <xf numFmtId="167" fontId="4" fillId="0" borderId="5" xfId="32" applyNumberFormat="1" applyFont="1" applyFill="1" applyBorder="1" applyAlignment="1">
      <alignment horizontal="center" vertical="top"/>
    </xf>
    <xf numFmtId="0" fontId="40" fillId="0" borderId="0" xfId="62" applyFont="1" applyFill="1" applyAlignment="1" applyProtection="1">
      <alignment horizontal="center"/>
      <protection locked="0"/>
    </xf>
    <xf numFmtId="0" fontId="12" fillId="0" borderId="0" xfId="0" applyFont="1" applyFill="1" applyBorder="1" applyProtection="1">
      <protection locked="0"/>
    </xf>
    <xf numFmtId="167" fontId="12" fillId="0" borderId="0" xfId="62" applyNumberFormat="1" applyFont="1" applyFill="1" applyBorder="1" applyAlignment="1" applyProtection="1">
      <alignment horizontal="left" vertical="top"/>
      <protection locked="0"/>
    </xf>
    <xf numFmtId="0" fontId="4" fillId="46" borderId="0" xfId="0" applyFont="1" applyFill="1" applyBorder="1" applyProtection="1">
      <protection locked="0"/>
    </xf>
    <xf numFmtId="0" fontId="4" fillId="46" borderId="0" xfId="62" applyFont="1" applyFill="1" applyProtection="1">
      <protection locked="0"/>
    </xf>
    <xf numFmtId="0" fontId="71" fillId="46" borderId="0" xfId="0" applyFont="1" applyFill="1" applyBorder="1" applyAlignment="1">
      <alignment vertical="top" wrapText="1"/>
    </xf>
    <xf numFmtId="43" fontId="12" fillId="0" borderId="0" xfId="31" applyNumberFormat="1" applyFont="1" applyFill="1" applyBorder="1" applyAlignment="1" applyProtection="1">
      <alignment horizontal="center"/>
      <protection locked="0"/>
    </xf>
    <xf numFmtId="2" fontId="12" fillId="0" borderId="0" xfId="37" applyNumberFormat="1" applyFont="1" applyFill="1" applyBorder="1" applyAlignment="1" applyProtection="1">
      <alignment horizontal="center"/>
      <protection locked="0"/>
    </xf>
    <xf numFmtId="0" fontId="4" fillId="4" borderId="0" xfId="0" applyFont="1" applyFill="1"/>
    <xf numFmtId="0" fontId="4" fillId="0" borderId="0" xfId="62" applyFont="1" applyFill="1" applyBorder="1" applyProtection="1"/>
    <xf numFmtId="0" fontId="4" fillId="0" borderId="0" xfId="0" applyFont="1" applyFill="1" applyBorder="1" applyAlignment="1" applyProtection="1">
      <alignment vertical="top" wrapText="1"/>
    </xf>
    <xf numFmtId="167" fontId="4" fillId="0" borderId="0" xfId="0" applyNumberFormat="1" applyFont="1" applyFill="1" applyBorder="1" applyAlignment="1" applyProtection="1">
      <alignment horizontal="center" vertical="top"/>
    </xf>
    <xf numFmtId="0" fontId="4" fillId="0" borderId="0" xfId="0" applyFont="1" applyFill="1" applyBorder="1" applyAlignment="1" applyProtection="1">
      <alignment horizontal="center" vertical="top"/>
    </xf>
    <xf numFmtId="2" fontId="4" fillId="0" borderId="0" xfId="62" applyNumberFormat="1" applyFont="1" applyFill="1" applyBorder="1" applyAlignment="1" applyProtection="1">
      <alignment horizontal="center"/>
    </xf>
    <xf numFmtId="1" fontId="4" fillId="0" borderId="0" xfId="62" applyNumberFormat="1" applyFont="1" applyFill="1" applyBorder="1" applyAlignment="1" applyProtection="1">
      <alignment horizontal="center"/>
    </xf>
    <xf numFmtId="2" fontId="4" fillId="0" borderId="0" xfId="62" applyNumberFormat="1" applyFont="1" applyFill="1" applyBorder="1" applyAlignment="1" applyProtection="1">
      <alignment horizontal="center" vertical="top"/>
    </xf>
    <xf numFmtId="1" fontId="4" fillId="0" borderId="0" xfId="62" applyNumberFormat="1" applyFont="1" applyFill="1" applyBorder="1" applyAlignment="1" applyProtection="1">
      <alignment horizontal="center" vertical="top"/>
    </xf>
    <xf numFmtId="0" fontId="5" fillId="0" borderId="0" xfId="0" applyFont="1" applyFill="1" applyBorder="1" applyAlignment="1" applyProtection="1">
      <alignment vertical="top" wrapText="1"/>
    </xf>
    <xf numFmtId="0" fontId="5" fillId="0" borderId="0" xfId="62" applyFont="1" applyFill="1" applyBorder="1" applyAlignment="1" applyProtection="1">
      <alignment horizontal="center"/>
    </xf>
    <xf numFmtId="1" fontId="5" fillId="0" borderId="0" xfId="62" applyNumberFormat="1" applyFont="1" applyBorder="1" applyAlignment="1" applyProtection="1">
      <alignment horizontal="center"/>
    </xf>
    <xf numFmtId="1" fontId="5" fillId="0" borderId="0" xfId="49" applyNumberFormat="1" applyFont="1" applyBorder="1" applyAlignment="1" applyProtection="1">
      <alignment horizontal="center" vertical="center" wrapText="1"/>
    </xf>
    <xf numFmtId="2" fontId="16" fillId="0" borderId="0" xfId="37" applyNumberFormat="1" applyFont="1" applyFill="1" applyBorder="1" applyAlignment="1" applyProtection="1">
      <alignment horizontal="center"/>
    </xf>
    <xf numFmtId="1" fontId="9" fillId="0" borderId="0" xfId="49" applyNumberFormat="1" applyFont="1" applyFill="1" applyBorder="1" applyAlignment="1" applyProtection="1">
      <alignment horizontal="center" vertical="center" wrapText="1"/>
    </xf>
    <xf numFmtId="0" fontId="5" fillId="0" borderId="0" xfId="62" applyFont="1" applyFill="1" applyBorder="1" applyAlignment="1" applyProtection="1"/>
    <xf numFmtId="0" fontId="12" fillId="5" borderId="0" xfId="62" applyFill="1" applyAlignment="1" applyProtection="1">
      <alignment horizontal="center"/>
      <protection locked="0"/>
    </xf>
    <xf numFmtId="0" fontId="0" fillId="4" borderId="3" xfId="0" applyFill="1" applyBorder="1" applyAlignment="1" applyProtection="1">
      <alignment horizontal="center" vertical="center"/>
      <protection hidden="1"/>
    </xf>
    <xf numFmtId="0" fontId="0" fillId="4" borderId="4" xfId="0" applyFill="1" applyBorder="1" applyAlignment="1" applyProtection="1">
      <alignment horizontal="center" vertical="center"/>
      <protection hidden="1"/>
    </xf>
    <xf numFmtId="1" fontId="0" fillId="4" borderId="4" xfId="0" applyNumberFormat="1" applyFill="1" applyBorder="1" applyAlignment="1" applyProtection="1">
      <alignment horizontal="center"/>
      <protection hidden="1"/>
    </xf>
    <xf numFmtId="1" fontId="0" fillId="4" borderId="29" xfId="0" applyNumberFormat="1" applyFill="1" applyBorder="1" applyAlignment="1" applyProtection="1">
      <alignment horizontal="center"/>
      <protection hidden="1"/>
    </xf>
    <xf numFmtId="0" fontId="0" fillId="4" borderId="5" xfId="0" applyFill="1" applyBorder="1" applyAlignment="1" applyProtection="1">
      <alignment horizontal="center" vertical="center"/>
      <protection hidden="1"/>
    </xf>
    <xf numFmtId="0" fontId="0" fillId="4" borderId="0" xfId="0" applyFill="1" applyBorder="1" applyAlignment="1" applyProtection="1">
      <alignment horizontal="center" vertical="center"/>
      <protection hidden="1"/>
    </xf>
    <xf numFmtId="1" fontId="0" fillId="4" borderId="0" xfId="0" applyNumberFormat="1" applyFill="1" applyBorder="1" applyAlignment="1" applyProtection="1">
      <alignment horizontal="center"/>
      <protection hidden="1"/>
    </xf>
    <xf numFmtId="1" fontId="0" fillId="4" borderId="31" xfId="0" applyNumberFormat="1" applyFill="1" applyBorder="1" applyAlignment="1" applyProtection="1">
      <alignment horizontal="center"/>
      <protection hidden="1"/>
    </xf>
    <xf numFmtId="0" fontId="0" fillId="4" borderId="6" xfId="0" applyFill="1" applyBorder="1" applyAlignment="1" applyProtection="1">
      <alignment horizontal="center" vertical="center"/>
      <protection hidden="1"/>
    </xf>
    <xf numFmtId="0" fontId="0" fillId="4" borderId="7" xfId="0" applyFill="1" applyBorder="1" applyAlignment="1" applyProtection="1">
      <alignment horizontal="center" vertical="center"/>
      <protection hidden="1"/>
    </xf>
    <xf numFmtId="1" fontId="0" fillId="4" borderId="7" xfId="0" applyNumberFormat="1" applyFill="1" applyBorder="1" applyAlignment="1" applyProtection="1">
      <alignment horizontal="center"/>
      <protection hidden="1"/>
    </xf>
    <xf numFmtId="1" fontId="0" fillId="4" borderId="33" xfId="0" applyNumberFormat="1" applyFill="1" applyBorder="1" applyAlignment="1" applyProtection="1">
      <alignment horizontal="center"/>
      <protection hidden="1"/>
    </xf>
    <xf numFmtId="0" fontId="0" fillId="60" borderId="275" xfId="0" applyFill="1" applyBorder="1" applyAlignment="1" applyProtection="1">
      <alignment horizontal="center" vertical="center"/>
      <protection locked="0"/>
    </xf>
    <xf numFmtId="0" fontId="0" fillId="60" borderId="276" xfId="0" applyFill="1" applyBorder="1" applyAlignment="1" applyProtection="1">
      <alignment horizontal="center" vertical="center"/>
      <protection locked="0"/>
    </xf>
    <xf numFmtId="0" fontId="0" fillId="60" borderId="133" xfId="0" applyFill="1" applyBorder="1" applyAlignment="1" applyProtection="1">
      <alignment horizontal="center" vertical="center"/>
      <protection locked="0"/>
    </xf>
    <xf numFmtId="2" fontId="4" fillId="0" borderId="0" xfId="32" applyNumberFormat="1" applyFont="1" applyFill="1" applyBorder="1" applyAlignment="1" applyProtection="1">
      <alignment horizontal="center"/>
      <protection locked="0"/>
    </xf>
    <xf numFmtId="2" fontId="71" fillId="0" borderId="5" xfId="32" applyNumberFormat="1" applyFont="1" applyFill="1" applyBorder="1" applyAlignment="1">
      <alignment horizontal="center" vertical="top"/>
    </xf>
    <xf numFmtId="2" fontId="71" fillId="0" borderId="43" xfId="32" applyNumberFormat="1" applyFont="1" applyFill="1" applyBorder="1" applyAlignment="1">
      <alignment horizontal="center" vertical="top"/>
    </xf>
    <xf numFmtId="167" fontId="71" fillId="0" borderId="0" xfId="32" applyNumberFormat="1" applyFont="1" applyFill="1" applyBorder="1" applyAlignment="1">
      <alignment horizontal="center" vertical="top"/>
    </xf>
    <xf numFmtId="167" fontId="4" fillId="0" borderId="0" xfId="32" applyNumberFormat="1" applyFont="1" applyFill="1" applyBorder="1" applyAlignment="1">
      <alignment horizontal="center" vertical="top"/>
    </xf>
    <xf numFmtId="2" fontId="12" fillId="0" borderId="13" xfId="62" applyNumberFormat="1" applyBorder="1" applyAlignment="1" applyProtection="1">
      <alignment horizontal="center"/>
      <protection locked="0"/>
    </xf>
    <xf numFmtId="2" fontId="12" fillId="0" borderId="0" xfId="62" applyNumberFormat="1" applyAlignment="1" applyProtection="1">
      <alignment horizontal="center"/>
      <protection locked="0"/>
    </xf>
    <xf numFmtId="2" fontId="4" fillId="0" borderId="30" xfId="0" applyNumberFormat="1" applyFont="1" applyBorder="1" applyAlignment="1">
      <alignment horizontal="center" vertical="top"/>
    </xf>
    <xf numFmtId="2" fontId="4" fillId="0" borderId="32" xfId="62" applyNumberFormat="1" applyFont="1" applyBorder="1" applyAlignment="1">
      <alignment horizontal="center" vertical="top"/>
    </xf>
    <xf numFmtId="2" fontId="4" fillId="0" borderId="41" xfId="0" applyNumberFormat="1" applyFont="1" applyBorder="1" applyAlignment="1">
      <alignment horizontal="center" vertical="top"/>
    </xf>
    <xf numFmtId="2" fontId="4" fillId="0" borderId="32" xfId="0" applyNumberFormat="1" applyFont="1" applyBorder="1" applyAlignment="1">
      <alignment horizontal="center" vertical="top"/>
    </xf>
    <xf numFmtId="1" fontId="78" fillId="0" borderId="0" xfId="63" applyNumberFormat="1" applyFont="1" applyBorder="1" applyAlignment="1" applyProtection="1">
      <alignment horizontal="center"/>
      <protection locked="0"/>
    </xf>
    <xf numFmtId="1" fontId="78" fillId="0" borderId="0" xfId="62" applyNumberFormat="1" applyFont="1" applyBorder="1" applyAlignment="1" applyProtection="1">
      <alignment horizontal="center"/>
      <protection locked="0"/>
    </xf>
    <xf numFmtId="1" fontId="5" fillId="0" borderId="0" xfId="62" applyNumberFormat="1" applyFont="1" applyBorder="1" applyAlignment="1" applyProtection="1">
      <alignment horizontal="center"/>
      <protection locked="0"/>
    </xf>
    <xf numFmtId="167" fontId="4" fillId="0" borderId="0" xfId="0" applyNumberFormat="1" applyFont="1" applyBorder="1" applyAlignment="1">
      <alignment horizontal="center" vertical="top"/>
    </xf>
    <xf numFmtId="167" fontId="4" fillId="0" borderId="0" xfId="62" applyNumberFormat="1" applyFont="1" applyBorder="1" applyAlignment="1">
      <alignment horizontal="center" vertical="top"/>
    </xf>
    <xf numFmtId="167" fontId="10" fillId="0" borderId="45" xfId="32" applyNumberFormat="1" applyFont="1" applyFill="1" applyBorder="1" applyAlignment="1">
      <alignment horizontal="center" vertical="top"/>
    </xf>
    <xf numFmtId="0" fontId="0" fillId="47" borderId="139" xfId="0" applyFill="1" applyBorder="1" applyAlignment="1" applyProtection="1">
      <alignment horizontal="center" vertical="center"/>
      <protection locked="0"/>
    </xf>
    <xf numFmtId="0" fontId="5" fillId="0" borderId="0" xfId="0" applyFont="1" applyAlignment="1" applyProtection="1">
      <alignment horizontal="center" vertical="center"/>
      <protection locked="0" hidden="1"/>
    </xf>
    <xf numFmtId="0" fontId="5" fillId="0" borderId="0" xfId="0" applyFont="1" applyBorder="1" applyAlignment="1" applyProtection="1">
      <alignment horizontal="center" vertical="center"/>
      <protection hidden="1"/>
    </xf>
    <xf numFmtId="0" fontId="29" fillId="52" borderId="0" xfId="0" applyFont="1" applyFill="1" applyBorder="1" applyAlignment="1" applyProtection="1">
      <alignment horizontal="center" vertical="center"/>
      <protection hidden="1"/>
    </xf>
    <xf numFmtId="0" fontId="4" fillId="0" borderId="0" xfId="62" applyFont="1" applyFill="1" applyProtection="1"/>
    <xf numFmtId="0" fontId="12" fillId="0" borderId="46" xfId="62" applyFont="1" applyFill="1" applyBorder="1" applyAlignment="1" applyProtection="1">
      <alignment horizontal="center"/>
    </xf>
    <xf numFmtId="0" fontId="5" fillId="0" borderId="45" xfId="62" applyFont="1" applyFill="1" applyBorder="1" applyAlignment="1" applyProtection="1">
      <alignment horizontal="center"/>
    </xf>
    <xf numFmtId="0" fontId="5" fillId="0" borderId="44" xfId="62" applyFont="1" applyFill="1" applyBorder="1" applyAlignment="1" applyProtection="1"/>
    <xf numFmtId="0" fontId="5" fillId="0" borderId="48" xfId="62" applyFont="1" applyFill="1" applyBorder="1" applyAlignment="1" applyProtection="1"/>
    <xf numFmtId="0" fontId="5" fillId="0" borderId="54" xfId="62" applyFont="1" applyFill="1" applyBorder="1" applyAlignment="1" applyProtection="1"/>
    <xf numFmtId="2" fontId="12" fillId="0" borderId="45" xfId="62" applyNumberFormat="1" applyFont="1" applyBorder="1" applyAlignment="1" applyProtection="1">
      <alignment horizontal="center"/>
    </xf>
    <xf numFmtId="1" fontId="5" fillId="0" borderId="46" xfId="62" applyNumberFormat="1" applyFont="1" applyBorder="1" applyAlignment="1" applyProtection="1">
      <alignment horizontal="center"/>
    </xf>
    <xf numFmtId="1" fontId="5" fillId="0" borderId="54" xfId="49" applyNumberFormat="1" applyFont="1" applyBorder="1" applyAlignment="1" applyProtection="1">
      <alignment horizontal="center" vertical="center" wrapText="1"/>
    </xf>
    <xf numFmtId="0" fontId="4" fillId="0" borderId="0" xfId="0" applyFont="1" applyProtection="1">
      <protection hidden="1"/>
    </xf>
    <xf numFmtId="0" fontId="4" fillId="0" borderId="0" xfId="0" applyNumberFormat="1" applyFont="1" applyProtection="1">
      <protection hidden="1"/>
    </xf>
    <xf numFmtId="0" fontId="0" fillId="0" borderId="0" xfId="0" applyAlignment="1" applyProtection="1">
      <alignment horizontal="left"/>
      <protection hidden="1"/>
    </xf>
    <xf numFmtId="0" fontId="4" fillId="45" borderId="50" xfId="0" applyFont="1" applyFill="1" applyBorder="1" applyAlignment="1" applyProtection="1">
      <alignment horizontal="center"/>
      <protection hidden="1"/>
    </xf>
    <xf numFmtId="0" fontId="0" fillId="45" borderId="9" xfId="0" applyFill="1" applyBorder="1" applyAlignment="1" applyProtection="1">
      <alignment horizontal="center" vertical="center"/>
      <protection hidden="1"/>
    </xf>
    <xf numFmtId="0" fontId="4" fillId="45" borderId="9" xfId="0" applyFont="1" applyFill="1" applyBorder="1" applyAlignment="1" applyProtection="1">
      <alignment horizontal="center" vertical="center"/>
      <protection hidden="1"/>
    </xf>
    <xf numFmtId="0" fontId="4" fillId="45" borderId="36" xfId="0" applyFont="1" applyFill="1" applyBorder="1" applyAlignment="1" applyProtection="1">
      <alignment horizontal="center" vertical="center"/>
      <protection hidden="1"/>
    </xf>
    <xf numFmtId="0" fontId="0" fillId="0" borderId="275" xfId="0" applyFill="1" applyBorder="1" applyAlignment="1" applyProtection="1">
      <alignment horizontal="center" vertical="center"/>
      <protection hidden="1"/>
    </xf>
    <xf numFmtId="0" fontId="0" fillId="0" borderId="276" xfId="0" applyFill="1" applyBorder="1" applyAlignment="1" applyProtection="1">
      <alignment horizontal="center" vertical="center"/>
      <protection hidden="1"/>
    </xf>
    <xf numFmtId="0" fontId="0" fillId="0" borderId="281" xfId="0" applyFill="1" applyBorder="1" applyAlignment="1" applyProtection="1">
      <alignment horizontal="center" vertical="center"/>
      <protection hidden="1"/>
    </xf>
    <xf numFmtId="167" fontId="0" fillId="0" borderId="137" xfId="0" applyNumberFormat="1" applyFill="1" applyBorder="1" applyAlignment="1" applyProtection="1">
      <alignment horizontal="center" vertical="center"/>
      <protection hidden="1"/>
    </xf>
    <xf numFmtId="0" fontId="0" fillId="0" borderId="277" xfId="0" applyFill="1" applyBorder="1" applyAlignment="1" applyProtection="1">
      <alignment horizontal="center" vertical="center"/>
      <protection hidden="1"/>
    </xf>
    <xf numFmtId="0" fontId="0" fillId="0" borderId="131" xfId="0" applyFill="1" applyBorder="1" applyAlignment="1" applyProtection="1">
      <alignment horizontal="center" vertical="center"/>
      <protection hidden="1"/>
    </xf>
    <xf numFmtId="0" fontId="4" fillId="45" borderId="56" xfId="0" applyFont="1" applyFill="1" applyBorder="1" applyProtection="1">
      <protection hidden="1"/>
    </xf>
    <xf numFmtId="0" fontId="0" fillId="45" borderId="92" xfId="0" applyFill="1" applyBorder="1" applyProtection="1">
      <protection hidden="1"/>
    </xf>
    <xf numFmtId="0" fontId="0" fillId="45" borderId="140" xfId="0" applyFill="1" applyBorder="1" applyAlignment="1" applyProtection="1">
      <alignment horizontal="center"/>
      <protection hidden="1"/>
    </xf>
    <xf numFmtId="0" fontId="0" fillId="45" borderId="85" xfId="0" applyFill="1" applyBorder="1" applyAlignment="1" applyProtection="1">
      <alignment vertical="center"/>
      <protection hidden="1"/>
    </xf>
    <xf numFmtId="0" fontId="0" fillId="45" borderId="85" xfId="0" applyFill="1" applyBorder="1" applyAlignment="1" applyProtection="1">
      <alignment horizontal="center"/>
      <protection hidden="1"/>
    </xf>
    <xf numFmtId="0" fontId="5" fillId="45" borderId="64" xfId="0" applyFont="1" applyFill="1" applyBorder="1" applyAlignment="1" applyProtection="1">
      <alignment vertical="center"/>
      <protection hidden="1"/>
    </xf>
    <xf numFmtId="0" fontId="5" fillId="45" borderId="63" xfId="0" applyFont="1" applyFill="1" applyBorder="1" applyAlignment="1" applyProtection="1">
      <alignment vertical="center"/>
      <protection hidden="1"/>
    </xf>
    <xf numFmtId="0" fontId="73" fillId="0" borderId="0" xfId="0" applyFont="1" applyProtection="1">
      <protection hidden="1"/>
    </xf>
    <xf numFmtId="0" fontId="73" fillId="0" borderId="0" xfId="0" applyFont="1" applyAlignment="1" applyProtection="1">
      <protection hidden="1"/>
    </xf>
    <xf numFmtId="1" fontId="0" fillId="0" borderId="0" xfId="0" applyNumberFormat="1" applyProtection="1">
      <protection hidden="1"/>
    </xf>
    <xf numFmtId="0" fontId="0" fillId="0" borderId="0" xfId="0" applyFill="1" applyProtection="1">
      <protection hidden="1"/>
    </xf>
    <xf numFmtId="0" fontId="0" fillId="0" borderId="0" xfId="0" applyFill="1" applyBorder="1" applyProtection="1">
      <protection hidden="1"/>
    </xf>
    <xf numFmtId="1" fontId="0" fillId="0" borderId="0" xfId="0" applyNumberFormat="1" applyFill="1" applyBorder="1" applyAlignment="1" applyProtection="1">
      <alignment horizontal="center"/>
      <protection hidden="1"/>
    </xf>
    <xf numFmtId="0" fontId="4" fillId="0" borderId="81" xfId="0" applyFont="1" applyFill="1" applyBorder="1" applyAlignment="1" applyProtection="1">
      <alignment horizontal="left" vertical="center"/>
      <protection hidden="1"/>
    </xf>
    <xf numFmtId="0" fontId="4" fillId="0" borderId="80" xfId="0" applyFont="1" applyFill="1" applyBorder="1" applyAlignment="1" applyProtection="1">
      <alignment horizontal="left" vertical="center"/>
      <protection hidden="1"/>
    </xf>
    <xf numFmtId="0" fontId="0" fillId="0" borderId="86" xfId="0" applyFill="1" applyBorder="1" applyAlignment="1" applyProtection="1">
      <alignment horizontal="left" vertical="center"/>
      <protection hidden="1"/>
    </xf>
    <xf numFmtId="0" fontId="0" fillId="0" borderId="85" xfId="0" applyFill="1" applyBorder="1" applyAlignment="1" applyProtection="1">
      <alignment horizontal="left" vertical="center"/>
      <protection hidden="1"/>
    </xf>
    <xf numFmtId="0" fontId="0" fillId="0" borderId="0" xfId="0" applyProtection="1">
      <protection locked="0"/>
    </xf>
    <xf numFmtId="0" fontId="0" fillId="4" borderId="0" xfId="0" applyFill="1" applyProtection="1">
      <protection locked="0"/>
    </xf>
    <xf numFmtId="0" fontId="4" fillId="0" borderId="0" xfId="0" applyFont="1" applyProtection="1">
      <protection locked="0"/>
    </xf>
    <xf numFmtId="9" fontId="0" fillId="0" borderId="0" xfId="35" applyFont="1" applyProtection="1">
      <protection locked="0"/>
    </xf>
    <xf numFmtId="0" fontId="4" fillId="0" borderId="0" xfId="0" applyFont="1" applyAlignment="1" applyProtection="1">
      <protection locked="0"/>
    </xf>
    <xf numFmtId="0" fontId="0" fillId="0" borderId="0" xfId="0" applyAlignment="1" applyProtection="1">
      <protection locked="0"/>
    </xf>
    <xf numFmtId="0" fontId="0" fillId="0" borderId="24" xfId="0" applyBorder="1" applyAlignment="1" applyProtection="1">
      <protection locked="0"/>
    </xf>
    <xf numFmtId="0" fontId="4" fillId="0" borderId="0" xfId="0" applyFont="1" applyBorder="1" applyAlignment="1" applyProtection="1">
      <alignment horizontal="center"/>
      <protection locked="0"/>
    </xf>
    <xf numFmtId="0" fontId="5" fillId="0" borderId="0" xfId="0" applyFont="1" applyAlignment="1" applyProtection="1">
      <protection locked="0"/>
    </xf>
    <xf numFmtId="49" fontId="4" fillId="0" borderId="0" xfId="0" applyNumberFormat="1" applyFont="1" applyProtection="1">
      <protection locked="0"/>
    </xf>
    <xf numFmtId="1" fontId="0" fillId="0" borderId="0" xfId="0" applyNumberFormat="1" applyProtection="1">
      <protection locked="0"/>
    </xf>
    <xf numFmtId="9" fontId="4" fillId="0" borderId="0" xfId="35" applyFont="1" applyProtection="1">
      <protection locked="0"/>
    </xf>
    <xf numFmtId="2" fontId="0" fillId="0" borderId="0" xfId="35" applyNumberFormat="1" applyFont="1" applyProtection="1">
      <protection locked="0"/>
    </xf>
    <xf numFmtId="0" fontId="0" fillId="0" borderId="0" xfId="0" applyAlignment="1" applyProtection="1">
      <alignment horizontal="center"/>
      <protection locked="0"/>
    </xf>
    <xf numFmtId="0" fontId="4" fillId="57" borderId="0" xfId="0" applyFont="1" applyFill="1" applyProtection="1">
      <protection locked="0"/>
    </xf>
    <xf numFmtId="0" fontId="0" fillId="57" borderId="0" xfId="0" applyFill="1" applyProtection="1">
      <protection locked="0"/>
    </xf>
    <xf numFmtId="0" fontId="0" fillId="0" borderId="0" xfId="0" applyFill="1" applyProtection="1">
      <protection locked="0"/>
    </xf>
    <xf numFmtId="0" fontId="4" fillId="4" borderId="0" xfId="0" applyFont="1" applyFill="1" applyProtection="1">
      <protection locked="0"/>
    </xf>
    <xf numFmtId="0" fontId="0" fillId="0" borderId="2" xfId="0" applyBorder="1" applyProtection="1">
      <protection locked="0"/>
    </xf>
    <xf numFmtId="0" fontId="0" fillId="4" borderId="2" xfId="0" applyFill="1" applyBorder="1" applyProtection="1">
      <protection locked="0"/>
    </xf>
    <xf numFmtId="1" fontId="0" fillId="0" borderId="2" xfId="0" applyNumberFormat="1" applyBorder="1" applyProtection="1">
      <protection locked="0"/>
    </xf>
    <xf numFmtId="0" fontId="22" fillId="0" borderId="0" xfId="0" applyFont="1" applyProtection="1">
      <protection locked="0"/>
    </xf>
    <xf numFmtId="9" fontId="0" fillId="42" borderId="0" xfId="35" applyFont="1" applyFill="1" applyProtection="1">
      <protection locked="0"/>
    </xf>
    <xf numFmtId="9" fontId="0" fillId="0" borderId="0" xfId="0" applyNumberFormat="1" applyProtection="1">
      <protection locked="0"/>
    </xf>
    <xf numFmtId="0" fontId="71" fillId="0" borderId="0" xfId="0" applyFont="1" applyFill="1" applyBorder="1" applyAlignment="1" applyProtection="1">
      <alignment vertical="top"/>
      <protection locked="0"/>
    </xf>
    <xf numFmtId="0" fontId="4" fillId="0" borderId="0" xfId="0" applyFont="1" applyFill="1" applyProtection="1">
      <protection locked="0"/>
    </xf>
    <xf numFmtId="0" fontId="4" fillId="0" borderId="0" xfId="0" applyFont="1" applyFill="1" applyBorder="1" applyProtection="1">
      <protection locked="0"/>
    </xf>
    <xf numFmtId="0" fontId="16" fillId="44" borderId="64" xfId="0" applyFont="1" applyFill="1" applyBorder="1" applyAlignment="1" applyProtection="1">
      <alignment vertical="center"/>
      <protection hidden="1"/>
    </xf>
    <xf numFmtId="0" fontId="27" fillId="44" borderId="63" xfId="0" applyFont="1" applyFill="1" applyBorder="1" applyAlignment="1" applyProtection="1">
      <alignment vertical="center"/>
      <protection hidden="1"/>
    </xf>
    <xf numFmtId="0" fontId="27" fillId="44" borderId="113" xfId="0" applyFont="1" applyFill="1" applyBorder="1" applyAlignment="1" applyProtection="1">
      <alignment horizontal="center" vertical="center"/>
      <protection hidden="1"/>
    </xf>
    <xf numFmtId="0" fontId="0" fillId="49" borderId="0" xfId="0" applyFill="1" applyAlignment="1" applyProtection="1">
      <alignment vertical="center"/>
      <protection hidden="1"/>
    </xf>
    <xf numFmtId="0" fontId="5" fillId="49" borderId="0" xfId="0" applyFont="1" applyFill="1" applyAlignment="1" applyProtection="1">
      <alignment vertical="center"/>
      <protection hidden="1"/>
    </xf>
    <xf numFmtId="0" fontId="7" fillId="52" borderId="188" xfId="0" applyFont="1" applyFill="1" applyBorder="1" applyAlignment="1" applyProtection="1">
      <alignment vertical="center"/>
      <protection hidden="1"/>
    </xf>
    <xf numFmtId="0" fontId="7" fillId="52" borderId="189" xfId="0" applyFont="1" applyFill="1" applyBorder="1" applyAlignment="1" applyProtection="1">
      <alignment vertical="center"/>
      <protection hidden="1"/>
    </xf>
    <xf numFmtId="0" fontId="7" fillId="52" borderId="214" xfId="0" applyFont="1" applyFill="1" applyBorder="1" applyAlignment="1" applyProtection="1">
      <alignment vertical="center"/>
      <protection hidden="1"/>
    </xf>
    <xf numFmtId="0" fontId="16" fillId="52" borderId="180" xfId="0" applyFont="1" applyFill="1" applyBorder="1" applyAlignment="1" applyProtection="1">
      <alignment vertical="center"/>
      <protection hidden="1"/>
    </xf>
    <xf numFmtId="0" fontId="16" fillId="52" borderId="190" xfId="0" applyFont="1" applyFill="1" applyBorder="1" applyAlignment="1" applyProtection="1">
      <alignment vertical="center"/>
      <protection hidden="1"/>
    </xf>
    <xf numFmtId="0" fontId="29" fillId="52" borderId="0" xfId="0" applyFont="1" applyFill="1" applyBorder="1" applyAlignment="1" applyProtection="1">
      <alignment vertical="center"/>
      <protection hidden="1"/>
    </xf>
    <xf numFmtId="0" fontId="29" fillId="52" borderId="194" xfId="0" applyFont="1" applyFill="1" applyBorder="1" applyAlignment="1" applyProtection="1">
      <alignment vertical="center"/>
      <protection hidden="1"/>
    </xf>
    <xf numFmtId="0" fontId="29" fillId="52" borderId="181" xfId="0" applyFont="1" applyFill="1" applyBorder="1" applyAlignment="1" applyProtection="1">
      <alignment horizontal="center" vertical="center"/>
      <protection hidden="1"/>
    </xf>
    <xf numFmtId="0" fontId="29" fillId="52" borderId="190" xfId="0" applyFont="1" applyFill="1" applyBorder="1" applyAlignment="1" applyProtection="1">
      <alignment horizontal="center" vertical="center"/>
      <protection hidden="1"/>
    </xf>
    <xf numFmtId="0" fontId="29" fillId="52" borderId="196" xfId="0" applyFont="1" applyFill="1" applyBorder="1" applyAlignment="1" applyProtection="1">
      <alignment horizontal="center" vertical="center"/>
      <protection hidden="1"/>
    </xf>
    <xf numFmtId="0" fontId="29" fillId="52" borderId="203" xfId="0" applyFont="1" applyFill="1" applyBorder="1" applyAlignment="1" applyProtection="1">
      <alignment vertical="center"/>
      <protection hidden="1"/>
    </xf>
    <xf numFmtId="0" fontId="29" fillId="52" borderId="193" xfId="0" applyFont="1" applyFill="1" applyBorder="1" applyAlignment="1" applyProtection="1">
      <alignment vertical="center"/>
      <protection hidden="1"/>
    </xf>
    <xf numFmtId="0" fontId="29" fillId="52" borderId="215" xfId="0" applyFont="1" applyFill="1" applyBorder="1" applyAlignment="1" applyProtection="1">
      <alignment vertical="center"/>
      <protection hidden="1"/>
    </xf>
    <xf numFmtId="0" fontId="29" fillId="0" borderId="189" xfId="0" applyFont="1" applyBorder="1" applyAlignment="1" applyProtection="1">
      <alignment vertical="center"/>
      <protection hidden="1"/>
    </xf>
    <xf numFmtId="0" fontId="15" fillId="0" borderId="190" xfId="0"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5" fillId="0" borderId="190" xfId="0" applyFont="1" applyBorder="1" applyAlignment="1" applyProtection="1">
      <alignment vertical="center"/>
      <protection hidden="1"/>
    </xf>
    <xf numFmtId="0" fontId="15" fillId="0" borderId="0" xfId="0" applyFont="1" applyBorder="1" applyAlignment="1" applyProtection="1">
      <alignment vertical="center"/>
      <protection hidden="1"/>
    </xf>
    <xf numFmtId="0" fontId="16" fillId="0" borderId="191" xfId="0" applyFont="1" applyBorder="1" applyAlignment="1" applyProtection="1">
      <alignment vertical="center"/>
      <protection hidden="1"/>
    </xf>
    <xf numFmtId="0" fontId="29" fillId="0" borderId="186" xfId="0" applyFont="1" applyBorder="1" applyAlignment="1" applyProtection="1">
      <alignment vertical="center"/>
      <protection hidden="1"/>
    </xf>
    <xf numFmtId="0" fontId="16" fillId="0" borderId="192" xfId="0" applyFont="1" applyBorder="1" applyAlignment="1" applyProtection="1">
      <alignment vertical="center"/>
      <protection hidden="1"/>
    </xf>
    <xf numFmtId="0" fontId="29" fillId="0" borderId="183" xfId="0" applyFont="1" applyBorder="1" applyAlignment="1" applyProtection="1">
      <alignment vertical="center"/>
      <protection hidden="1"/>
    </xf>
    <xf numFmtId="0" fontId="16" fillId="0" borderId="186" xfId="0" applyFont="1" applyBorder="1" applyAlignment="1" applyProtection="1">
      <alignment vertical="center"/>
      <protection hidden="1"/>
    </xf>
    <xf numFmtId="0" fontId="79" fillId="0" borderId="186" xfId="0" applyFont="1" applyBorder="1" applyAlignment="1" applyProtection="1">
      <alignment horizontal="right" vertical="center"/>
      <protection hidden="1"/>
    </xf>
    <xf numFmtId="0" fontId="8" fillId="0" borderId="0" xfId="0" applyFont="1" applyFill="1" applyBorder="1" applyAlignment="1" applyProtection="1">
      <alignment vertical="center"/>
      <protection hidden="1"/>
    </xf>
    <xf numFmtId="0" fontId="29" fillId="0" borderId="0" xfId="0" applyFont="1" applyFill="1" applyBorder="1" applyAlignment="1" applyProtection="1">
      <alignment horizontal="center" vertical="center"/>
      <protection hidden="1"/>
    </xf>
    <xf numFmtId="0" fontId="12" fillId="0" borderId="190" xfId="0" applyFont="1" applyBorder="1" applyAlignment="1" applyProtection="1">
      <alignment vertical="center"/>
      <protection hidden="1"/>
    </xf>
    <xf numFmtId="0" fontId="5" fillId="0" borderId="190" xfId="0" applyFont="1" applyBorder="1" applyAlignment="1" applyProtection="1">
      <alignment vertical="center"/>
      <protection hidden="1"/>
    </xf>
    <xf numFmtId="0" fontId="5" fillId="0" borderId="204" xfId="0" applyFont="1" applyBorder="1" applyAlignment="1" applyProtection="1">
      <alignment vertical="center"/>
      <protection hidden="1"/>
    </xf>
    <xf numFmtId="0" fontId="5" fillId="0" borderId="202" xfId="0" applyFont="1" applyBorder="1" applyAlignment="1" applyProtection="1">
      <alignment vertical="center"/>
      <protection hidden="1"/>
    </xf>
    <xf numFmtId="0" fontId="5" fillId="0" borderId="202" xfId="0" applyFont="1" applyBorder="1" applyAlignment="1" applyProtection="1">
      <alignment horizontal="center" vertical="center"/>
      <protection hidden="1"/>
    </xf>
    <xf numFmtId="0" fontId="13" fillId="0" borderId="0" xfId="0" applyFont="1" applyAlignment="1" applyProtection="1">
      <alignment vertical="center"/>
      <protection hidden="1"/>
    </xf>
    <xf numFmtId="0" fontId="16" fillId="44" borderId="63" xfId="0" applyFont="1" applyFill="1" applyBorder="1" applyAlignment="1" applyProtection="1">
      <alignment vertical="center"/>
      <protection hidden="1"/>
    </xf>
    <xf numFmtId="0" fontId="16" fillId="44" borderId="113" xfId="0" applyFont="1" applyFill="1" applyBorder="1" applyAlignment="1" applyProtection="1">
      <alignment vertical="center"/>
      <protection hidden="1"/>
    </xf>
    <xf numFmtId="0" fontId="12" fillId="45" borderId="5" xfId="0" applyFont="1" applyFill="1" applyBorder="1" applyAlignment="1" applyProtection="1">
      <alignment horizontal="center" vertical="center"/>
      <protection hidden="1"/>
    </xf>
    <xf numFmtId="0" fontId="12" fillId="45" borderId="31" xfId="0" applyFont="1" applyFill="1" applyBorder="1" applyAlignment="1" applyProtection="1">
      <alignment horizontal="center" vertical="center"/>
      <protection hidden="1"/>
    </xf>
    <xf numFmtId="0" fontId="0" fillId="45" borderId="25" xfId="0" applyFill="1" applyBorder="1" applyAlignment="1" applyProtection="1">
      <alignment horizontal="center" vertical="center"/>
      <protection hidden="1"/>
    </xf>
    <xf numFmtId="0" fontId="12" fillId="45" borderId="61" xfId="0" applyFont="1" applyFill="1" applyBorder="1" applyAlignment="1" applyProtection="1">
      <alignment horizontal="center" vertical="center"/>
      <protection hidden="1"/>
    </xf>
    <xf numFmtId="0" fontId="8" fillId="45" borderId="23" xfId="0" applyFont="1" applyFill="1" applyBorder="1" applyAlignment="1" applyProtection="1">
      <alignment horizontal="center" vertical="center"/>
      <protection hidden="1"/>
    </xf>
    <xf numFmtId="0" fontId="8" fillId="45" borderId="0" xfId="0" applyFont="1" applyFill="1" applyBorder="1" applyAlignment="1" applyProtection="1">
      <alignment horizontal="center" vertical="center"/>
      <protection hidden="1"/>
    </xf>
    <xf numFmtId="0" fontId="0" fillId="45" borderId="36" xfId="0" applyFill="1" applyBorder="1" applyAlignment="1" applyProtection="1">
      <alignment horizontal="center" vertical="center"/>
      <protection hidden="1"/>
    </xf>
    <xf numFmtId="0" fontId="0" fillId="45" borderId="62" xfId="0" applyFill="1" applyBorder="1" applyAlignment="1" applyProtection="1">
      <alignment horizontal="center" vertical="center"/>
      <protection hidden="1"/>
    </xf>
    <xf numFmtId="0" fontId="8" fillId="45" borderId="55" xfId="0" applyFont="1" applyFill="1" applyBorder="1" applyAlignment="1" applyProtection="1">
      <alignment horizontal="center" vertical="center"/>
      <protection hidden="1"/>
    </xf>
    <xf numFmtId="0" fontId="12" fillId="45" borderId="93" xfId="0" applyFont="1" applyFill="1" applyBorder="1" applyAlignment="1" applyProtection="1">
      <alignment horizontal="center" vertical="center"/>
      <protection hidden="1"/>
    </xf>
    <xf numFmtId="0" fontId="12" fillId="45" borderId="7" xfId="0" applyFont="1" applyFill="1" applyBorder="1" applyAlignment="1" applyProtection="1">
      <alignment horizontal="center" vertical="center"/>
      <protection hidden="1"/>
    </xf>
    <xf numFmtId="0" fontId="12" fillId="45" borderId="6" xfId="0" applyFont="1" applyFill="1" applyBorder="1" applyAlignment="1" applyProtection="1">
      <alignment horizontal="center" vertical="center"/>
      <protection hidden="1"/>
    </xf>
    <xf numFmtId="0" fontId="12" fillId="45" borderId="33" xfId="0" applyFont="1" applyFill="1" applyBorder="1" applyAlignment="1" applyProtection="1">
      <alignment horizontal="center" vertical="center"/>
      <protection hidden="1"/>
    </xf>
    <xf numFmtId="0" fontId="7" fillId="0" borderId="0" xfId="0" applyFont="1" applyAlignment="1">
      <alignment vertical="center"/>
    </xf>
    <xf numFmtId="0" fontId="12" fillId="0" borderId="2" xfId="0" applyFont="1" applyFill="1" applyBorder="1" applyAlignment="1" applyProtection="1">
      <alignment horizontal="left"/>
    </xf>
    <xf numFmtId="0" fontId="0" fillId="0" borderId="2" xfId="0" applyFill="1" applyBorder="1" applyAlignment="1" applyProtection="1">
      <alignment horizontal="center"/>
    </xf>
    <xf numFmtId="0" fontId="0" fillId="0" borderId="59" xfId="0" applyFill="1" applyBorder="1" applyAlignment="1" applyProtection="1">
      <alignment horizontal="center"/>
    </xf>
    <xf numFmtId="0" fontId="16" fillId="0" borderId="56" xfId="0" applyFont="1" applyFill="1" applyBorder="1" applyAlignment="1" applyProtection="1">
      <alignment horizontal="left"/>
    </xf>
    <xf numFmtId="0" fontId="16" fillId="0" borderId="92" xfId="0" applyFont="1" applyFill="1" applyBorder="1" applyAlignment="1" applyProtection="1">
      <alignment horizontal="left"/>
    </xf>
    <xf numFmtId="0" fontId="5" fillId="0" borderId="92" xfId="0" applyFont="1" applyFill="1" applyBorder="1" applyAlignment="1" applyProtection="1">
      <alignment vertical="center"/>
      <protection hidden="1"/>
    </xf>
    <xf numFmtId="0" fontId="4" fillId="0" borderId="0" xfId="62" applyFont="1"/>
    <xf numFmtId="0" fontId="73" fillId="0" borderId="0" xfId="0" applyFont="1" applyFill="1" applyAlignment="1" applyProtection="1">
      <alignment vertical="center"/>
      <protection hidden="1"/>
    </xf>
    <xf numFmtId="0" fontId="5" fillId="0" borderId="0" xfId="0" applyFont="1" applyFill="1" applyBorder="1" applyAlignment="1" applyProtection="1">
      <alignment horizontal="center" vertical="center"/>
      <protection locked="0" hidden="1"/>
    </xf>
    <xf numFmtId="0" fontId="0" fillId="45" borderId="279" xfId="0" applyFill="1" applyBorder="1" applyAlignment="1" applyProtection="1">
      <alignment horizontal="center"/>
      <protection hidden="1"/>
    </xf>
    <xf numFmtId="0" fontId="0" fillId="45" borderId="113" xfId="0" applyFill="1" applyBorder="1" applyProtection="1">
      <protection hidden="1"/>
    </xf>
    <xf numFmtId="9" fontId="0" fillId="0" borderId="0" xfId="35" applyFont="1"/>
    <xf numFmtId="0" fontId="73" fillId="0" borderId="0" xfId="0" applyFont="1"/>
    <xf numFmtId="1" fontId="5" fillId="0" borderId="88" xfId="0" applyNumberFormat="1" applyFont="1" applyFill="1" applyBorder="1" applyAlignment="1" applyProtection="1">
      <alignment horizontal="center" vertical="center"/>
      <protection hidden="1"/>
    </xf>
    <xf numFmtId="0" fontId="12" fillId="0" borderId="0" xfId="0" applyFont="1" applyFill="1" applyBorder="1" applyProtection="1"/>
    <xf numFmtId="0" fontId="0" fillId="0" borderId="0" xfId="0" applyFill="1" applyBorder="1" applyProtection="1"/>
    <xf numFmtId="0" fontId="15" fillId="0" borderId="0" xfId="0" applyFont="1" applyFill="1" applyBorder="1" applyAlignment="1" applyProtection="1">
      <alignment vertical="center" wrapText="1"/>
    </xf>
    <xf numFmtId="0" fontId="0" fillId="0" borderId="86" xfId="0" applyFill="1" applyBorder="1" applyAlignment="1" applyProtection="1">
      <alignment horizontal="center" vertical="center"/>
      <protection hidden="1"/>
    </xf>
    <xf numFmtId="0" fontId="0" fillId="0" borderId="0" xfId="0" applyAlignment="1" applyProtection="1">
      <alignment horizontal="center"/>
      <protection locked="0"/>
    </xf>
    <xf numFmtId="0" fontId="4" fillId="0" borderId="0" xfId="0" applyFont="1" applyAlignment="1" applyProtection="1">
      <alignment horizontal="center"/>
      <protection locked="0"/>
    </xf>
    <xf numFmtId="0" fontId="15" fillId="45" borderId="37" xfId="0"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center"/>
      <protection locked="0" hidden="1"/>
    </xf>
    <xf numFmtId="0" fontId="4" fillId="0" borderId="0" xfId="0" applyFont="1" applyAlignment="1" applyProtection="1">
      <alignment horizontal="center"/>
      <protection locked="0"/>
    </xf>
    <xf numFmtId="0" fontId="0" fillId="0" borderId="0" xfId="0" applyAlignment="1" applyProtection="1">
      <alignment horizontal="center"/>
      <protection locked="0"/>
    </xf>
    <xf numFmtId="0" fontId="5" fillId="0" borderId="0" xfId="62" applyFont="1" applyFill="1" applyBorder="1" applyAlignment="1" applyProtection="1">
      <alignment horizontal="center" wrapText="1"/>
      <protection locked="0"/>
    </xf>
    <xf numFmtId="0" fontId="5" fillId="0" borderId="0" xfId="62" applyFont="1" applyFill="1" applyBorder="1" applyAlignment="1" applyProtection="1">
      <alignment horizontal="center"/>
      <protection locked="0"/>
    </xf>
    <xf numFmtId="0" fontId="12" fillId="0" borderId="0" xfId="0" applyFont="1" applyFill="1" applyAlignment="1" applyProtection="1">
      <alignment horizontal="center"/>
      <protection locked="0"/>
    </xf>
    <xf numFmtId="0" fontId="0" fillId="60" borderId="273" xfId="0" applyNumberFormat="1" applyFill="1" applyBorder="1" applyAlignment="1" applyProtection="1">
      <alignment horizontal="center" vertical="center"/>
      <protection locked="0"/>
    </xf>
    <xf numFmtId="0" fontId="0" fillId="60" borderId="274" xfId="0" applyNumberFormat="1" applyFill="1" applyBorder="1" applyAlignment="1" applyProtection="1">
      <alignment horizontal="center" vertical="center"/>
      <protection locked="0"/>
    </xf>
    <xf numFmtId="0" fontId="0" fillId="60" borderId="285" xfId="0" applyNumberFormat="1" applyFill="1" applyBorder="1" applyAlignment="1" applyProtection="1">
      <alignment horizontal="center" vertical="center"/>
      <protection locked="0"/>
    </xf>
    <xf numFmtId="0" fontId="0" fillId="60" borderId="282" xfId="0" applyNumberFormat="1" applyFill="1" applyBorder="1" applyAlignment="1" applyProtection="1">
      <alignment horizontal="center" vertical="center"/>
      <protection locked="0"/>
    </xf>
    <xf numFmtId="0" fontId="4" fillId="49" borderId="0" xfId="0" applyFont="1" applyFill="1" applyProtection="1">
      <protection locked="0"/>
    </xf>
    <xf numFmtId="0" fontId="4" fillId="63" borderId="0" xfId="0" applyFont="1" applyFill="1" applyProtection="1">
      <protection locked="0"/>
    </xf>
    <xf numFmtId="0" fontId="0" fillId="0" borderId="0" xfId="0" applyBorder="1" applyProtection="1">
      <protection locked="0"/>
    </xf>
    <xf numFmtId="0" fontId="4" fillId="0" borderId="5" xfId="0" applyFont="1" applyBorder="1" applyAlignment="1" applyProtection="1">
      <alignment textRotation="90" wrapText="1"/>
      <protection hidden="1"/>
    </xf>
    <xf numFmtId="0" fontId="0" fillId="0" borderId="5" xfId="0" applyBorder="1" applyAlignment="1" applyProtection="1">
      <alignment textRotation="90" wrapText="1"/>
      <protection hidden="1"/>
    </xf>
    <xf numFmtId="0" fontId="4" fillId="0" borderId="0" xfId="0" applyFont="1" applyBorder="1" applyAlignment="1" applyProtection="1">
      <alignment textRotation="90" wrapText="1"/>
      <protection hidden="1"/>
    </xf>
    <xf numFmtId="0" fontId="0" fillId="0" borderId="0" xfId="0" applyBorder="1" applyAlignment="1" applyProtection="1">
      <alignment textRotation="90" wrapText="1"/>
      <protection hidden="1"/>
    </xf>
    <xf numFmtId="0" fontId="0" fillId="60" borderId="273" xfId="0" applyFill="1" applyBorder="1" applyAlignment="1" applyProtection="1">
      <alignment horizontal="center" vertical="center"/>
      <protection locked="0"/>
    </xf>
    <xf numFmtId="0" fontId="0" fillId="60" borderId="274" xfId="0" applyFill="1" applyBorder="1" applyAlignment="1" applyProtection="1">
      <alignment horizontal="center" vertical="center"/>
      <protection locked="0"/>
    </xf>
    <xf numFmtId="0" fontId="0" fillId="60" borderId="282" xfId="0" applyFill="1" applyBorder="1" applyAlignment="1" applyProtection="1">
      <alignment horizontal="center" vertical="center"/>
      <protection locked="0"/>
    </xf>
    <xf numFmtId="0" fontId="4" fillId="46" borderId="32" xfId="0" applyFont="1" applyFill="1" applyBorder="1" applyAlignment="1">
      <alignment vertical="top" wrapText="1"/>
    </xf>
    <xf numFmtId="0" fontId="71" fillId="46" borderId="32" xfId="0" applyFont="1" applyFill="1" applyBorder="1" applyAlignment="1">
      <alignment vertical="top" wrapText="1"/>
    </xf>
    <xf numFmtId="0" fontId="12" fillId="46" borderId="0" xfId="62" applyFont="1" applyFill="1" applyProtection="1">
      <protection locked="0"/>
    </xf>
    <xf numFmtId="0" fontId="5" fillId="0" borderId="32" xfId="62" applyFont="1" applyBorder="1" applyAlignment="1" applyProtection="1">
      <protection locked="0"/>
    </xf>
    <xf numFmtId="0" fontId="70" fillId="0" borderId="32" xfId="0" applyFont="1" applyBorder="1" applyAlignment="1">
      <alignment vertical="top"/>
    </xf>
    <xf numFmtId="0" fontId="70" fillId="0" borderId="32" xfId="0" applyFont="1" applyBorder="1" applyAlignment="1">
      <alignment vertical="top" wrapText="1"/>
    </xf>
    <xf numFmtId="0" fontId="70" fillId="0" borderId="32" xfId="0" quotePrefix="1" applyFont="1" applyBorder="1" applyAlignment="1">
      <alignment vertical="top" wrapText="1"/>
    </xf>
    <xf numFmtId="0" fontId="70" fillId="0" borderId="0" xfId="0" applyFont="1" applyBorder="1" applyAlignment="1">
      <alignment vertical="top" wrapText="1"/>
    </xf>
    <xf numFmtId="0" fontId="4" fillId="0" borderId="0" xfId="0" applyFont="1" applyBorder="1" applyAlignment="1">
      <alignment vertical="top" wrapText="1"/>
    </xf>
    <xf numFmtId="0" fontId="4" fillId="0" borderId="0" xfId="0" applyFont="1" applyFill="1" applyBorder="1" applyAlignment="1" applyProtection="1">
      <alignment horizontal="center" vertical="center"/>
      <protection locked="0" hidden="1"/>
    </xf>
    <xf numFmtId="0" fontId="4" fillId="43" borderId="0" xfId="0" applyFont="1" applyFill="1" applyBorder="1" applyAlignment="1" applyProtection="1">
      <alignment horizontal="center" vertical="center"/>
      <protection locked="0" hidden="1"/>
    </xf>
    <xf numFmtId="1" fontId="5" fillId="43" borderId="0" xfId="0" applyNumberFormat="1" applyFont="1" applyFill="1" applyBorder="1" applyAlignment="1" applyProtection="1">
      <alignment horizontal="center" vertical="center"/>
      <protection locked="0" hidden="1"/>
    </xf>
    <xf numFmtId="0" fontId="4" fillId="0" borderId="0" xfId="0" applyFont="1" applyBorder="1" applyProtection="1">
      <protection locked="0"/>
    </xf>
    <xf numFmtId="2" fontId="0" fillId="0" borderId="0" xfId="35" applyNumberFormat="1" applyFont="1" applyBorder="1" applyProtection="1">
      <protection locked="0"/>
    </xf>
    <xf numFmtId="0" fontId="4" fillId="50" borderId="36" xfId="0" applyFont="1" applyFill="1" applyBorder="1" applyAlignment="1" applyProtection="1">
      <alignment horizontal="center" vertical="center"/>
      <protection hidden="1"/>
    </xf>
    <xf numFmtId="0" fontId="4" fillId="50" borderId="60" xfId="0" applyFont="1" applyFill="1" applyBorder="1" applyAlignment="1" applyProtection="1">
      <alignment horizontal="center" vertical="center"/>
      <protection hidden="1"/>
    </xf>
    <xf numFmtId="0" fontId="4" fillId="43" borderId="0" xfId="0" applyFont="1" applyFill="1" applyProtection="1">
      <protection locked="0"/>
    </xf>
    <xf numFmtId="0" fontId="0" fillId="43" borderId="0" xfId="0" applyFill="1" applyProtection="1">
      <protection locked="0"/>
    </xf>
    <xf numFmtId="0" fontId="0" fillId="49" borderId="0" xfId="0" applyFill="1" applyProtection="1">
      <protection locked="0"/>
    </xf>
    <xf numFmtId="0" fontId="0" fillId="45" borderId="107" xfId="0" applyFill="1" applyBorder="1" applyAlignment="1" applyProtection="1">
      <alignment horizontal="center"/>
    </xf>
    <xf numFmtId="167" fontId="0" fillId="0" borderId="0" xfId="0" applyNumberFormat="1" applyProtection="1">
      <protection locked="0"/>
    </xf>
    <xf numFmtId="0" fontId="95" fillId="0" borderId="0" xfId="0" applyFont="1" applyFill="1" applyBorder="1" applyProtection="1">
      <protection locked="0"/>
    </xf>
    <xf numFmtId="0" fontId="95" fillId="0" borderId="0" xfId="0" applyFont="1" applyFill="1" applyBorder="1"/>
    <xf numFmtId="1" fontId="4" fillId="0" borderId="0" xfId="35" applyNumberFormat="1" applyFont="1" applyProtection="1">
      <protection locked="0"/>
    </xf>
    <xf numFmtId="1" fontId="4" fillId="64" borderId="0" xfId="35" applyNumberFormat="1" applyFont="1" applyFill="1" applyProtection="1">
      <protection locked="0"/>
    </xf>
    <xf numFmtId="1" fontId="4" fillId="0" borderId="0" xfId="35" applyNumberFormat="1" applyFont="1" applyBorder="1" applyProtection="1">
      <protection locked="0"/>
    </xf>
    <xf numFmtId="167" fontId="4" fillId="0" borderId="0" xfId="0" applyNumberFormat="1" applyFont="1" applyProtection="1">
      <protection locked="0"/>
    </xf>
    <xf numFmtId="167" fontId="12" fillId="0" borderId="0" xfId="0" applyNumberFormat="1" applyFont="1" applyFill="1"/>
    <xf numFmtId="167" fontId="12" fillId="63" borderId="0" xfId="0" applyNumberFormat="1" applyFont="1" applyFill="1"/>
    <xf numFmtId="9" fontId="12" fillId="0" borderId="0" xfId="35" applyFont="1" applyFill="1" applyAlignment="1">
      <alignment horizontal="center"/>
    </xf>
    <xf numFmtId="0" fontId="0" fillId="43" borderId="0" xfId="0" applyFont="1" applyFill="1"/>
    <xf numFmtId="167" fontId="0" fillId="60" borderId="274" xfId="0" applyNumberFormat="1" applyFill="1" applyBorder="1" applyAlignment="1" applyProtection="1">
      <alignment horizontal="center" vertical="center"/>
      <protection locked="0"/>
    </xf>
    <xf numFmtId="167" fontId="0" fillId="60" borderId="273" xfId="0" applyNumberFormat="1" applyFill="1" applyBorder="1" applyAlignment="1" applyProtection="1">
      <alignment horizontal="center" vertical="center"/>
      <protection locked="0"/>
    </xf>
    <xf numFmtId="167" fontId="0" fillId="60" borderId="278" xfId="0" applyNumberFormat="1" applyFill="1" applyBorder="1" applyAlignment="1" applyProtection="1">
      <alignment horizontal="center" vertical="center"/>
      <protection locked="0"/>
    </xf>
    <xf numFmtId="167" fontId="0" fillId="60" borderId="285" xfId="0" applyNumberFormat="1" applyFill="1" applyBorder="1" applyAlignment="1" applyProtection="1">
      <alignment horizontal="center" vertical="center"/>
      <protection locked="0"/>
    </xf>
    <xf numFmtId="167" fontId="0" fillId="60" borderId="37" xfId="0" applyNumberFormat="1" applyFill="1" applyBorder="1" applyAlignment="1" applyProtection="1">
      <alignment horizontal="center" vertical="center"/>
      <protection locked="0"/>
    </xf>
    <xf numFmtId="0" fontId="4" fillId="0" borderId="0" xfId="0" applyFont="1" applyBorder="1" applyAlignment="1" applyProtection="1">
      <alignment horizontal="center"/>
    </xf>
    <xf numFmtId="0" fontId="4" fillId="0" borderId="0" xfId="0" applyFont="1" applyProtection="1"/>
    <xf numFmtId="1" fontId="0" fillId="0" borderId="0" xfId="0" applyNumberFormat="1" applyProtection="1"/>
    <xf numFmtId="0" fontId="4" fillId="0" borderId="0" xfId="0" applyFont="1" applyAlignment="1" applyProtection="1">
      <alignment horizontal="center"/>
      <protection locked="0"/>
    </xf>
    <xf numFmtId="167" fontId="0" fillId="0" borderId="74" xfId="0" applyNumberFormat="1" applyFill="1" applyBorder="1" applyAlignment="1" applyProtection="1">
      <alignment horizontal="center" vertical="center"/>
      <protection hidden="1"/>
    </xf>
    <xf numFmtId="0" fontId="108" fillId="0" borderId="0" xfId="0" applyFont="1" applyProtection="1">
      <protection hidden="1"/>
    </xf>
    <xf numFmtId="167" fontId="0" fillId="0" borderId="139" xfId="0" applyNumberFormat="1" applyFill="1" applyBorder="1" applyAlignment="1" applyProtection="1">
      <alignment horizontal="center" vertical="center"/>
      <protection hidden="1"/>
    </xf>
    <xf numFmtId="1" fontId="5" fillId="0" borderId="113" xfId="0" applyNumberFormat="1" applyFont="1" applyBorder="1" applyAlignment="1" applyProtection="1">
      <alignment horizontal="center" vertical="center"/>
    </xf>
    <xf numFmtId="0" fontId="4" fillId="45" borderId="44" xfId="0" applyFont="1" applyFill="1" applyBorder="1" applyProtection="1">
      <protection hidden="1"/>
    </xf>
    <xf numFmtId="0" fontId="0" fillId="45" borderId="45" xfId="0" applyFill="1" applyBorder="1" applyProtection="1">
      <protection hidden="1"/>
    </xf>
    <xf numFmtId="0" fontId="4" fillId="45" borderId="162" xfId="0" applyFont="1" applyFill="1" applyBorder="1" applyProtection="1">
      <protection hidden="1"/>
    </xf>
    <xf numFmtId="0" fontId="0" fillId="45" borderId="283" xfId="0" applyFill="1" applyBorder="1" applyProtection="1">
      <protection hidden="1"/>
    </xf>
    <xf numFmtId="0" fontId="4" fillId="0" borderId="58" xfId="0" applyFont="1" applyFill="1" applyBorder="1" applyAlignment="1" applyProtection="1">
      <alignment vertical="center"/>
      <protection hidden="1"/>
    </xf>
    <xf numFmtId="0" fontId="4" fillId="0" borderId="2" xfId="0" applyFont="1" applyFill="1" applyBorder="1" applyAlignment="1" applyProtection="1">
      <alignment vertical="center"/>
      <protection hidden="1"/>
    </xf>
    <xf numFmtId="0" fontId="4" fillId="0" borderId="16" xfId="0" applyFont="1" applyFill="1" applyBorder="1" applyAlignment="1" applyProtection="1">
      <alignment vertical="center"/>
      <protection hidden="1"/>
    </xf>
    <xf numFmtId="0" fontId="109" fillId="0" borderId="0" xfId="0" applyFont="1" applyAlignment="1" applyProtection="1">
      <alignment vertical="center"/>
      <protection hidden="1"/>
    </xf>
    <xf numFmtId="0" fontId="8" fillId="0" borderId="0" xfId="62" applyFont="1" applyFill="1" applyBorder="1" applyAlignment="1" applyProtection="1">
      <alignment horizontal="left"/>
      <protection locked="0"/>
    </xf>
    <xf numFmtId="1" fontId="16" fillId="0" borderId="5" xfId="37" applyNumberFormat="1" applyFont="1" applyFill="1" applyBorder="1" applyAlignment="1" applyProtection="1">
      <alignment horizontal="center" vertical="center"/>
      <protection locked="0"/>
    </xf>
    <xf numFmtId="1" fontId="51" fillId="0" borderId="5" xfId="49" applyNumberFormat="1" applyFont="1" applyFill="1" applyBorder="1" applyAlignment="1" applyProtection="1">
      <alignment horizontal="center"/>
      <protection locked="0"/>
    </xf>
    <xf numFmtId="0" fontId="5" fillId="0" borderId="32" xfId="42" applyFont="1" applyFill="1" applyBorder="1" applyAlignment="1" applyProtection="1">
      <alignment horizontal="center" vertical="center" wrapText="1"/>
      <protection locked="0"/>
    </xf>
    <xf numFmtId="1" fontId="16" fillId="0" borderId="6" xfId="37" applyNumberFormat="1" applyFont="1" applyFill="1" applyBorder="1" applyAlignment="1" applyProtection="1">
      <alignment horizontal="center"/>
      <protection locked="0"/>
    </xf>
    <xf numFmtId="0" fontId="9" fillId="0" borderId="6" xfId="42" applyFont="1" applyFill="1" applyBorder="1" applyAlignment="1" applyProtection="1">
      <alignment horizontal="center" vertical="center" wrapText="1"/>
      <protection locked="0"/>
    </xf>
    <xf numFmtId="0" fontId="5" fillId="0" borderId="34" xfId="42" applyFont="1" applyFill="1" applyBorder="1" applyAlignment="1" applyProtection="1">
      <alignment horizontal="center" vertical="center" wrapText="1"/>
      <protection locked="0"/>
    </xf>
    <xf numFmtId="0" fontId="75" fillId="0" borderId="0" xfId="62" applyFont="1" applyFill="1" applyBorder="1" applyAlignment="1" applyProtection="1">
      <alignment horizontal="left" vertical="top"/>
      <protection locked="0"/>
    </xf>
    <xf numFmtId="0" fontId="0" fillId="45" borderId="81" xfId="0" applyFill="1" applyBorder="1" applyAlignment="1" applyProtection="1">
      <alignment horizontal="left" vertical="center"/>
      <protection hidden="1"/>
    </xf>
    <xf numFmtId="0" fontId="0" fillId="45" borderId="86" xfId="0" applyFill="1" applyBorder="1" applyAlignment="1" applyProtection="1">
      <alignment horizontal="left" vertical="center"/>
      <protection hidden="1"/>
    </xf>
    <xf numFmtId="0" fontId="0" fillId="45" borderId="131" xfId="0" applyFill="1" applyBorder="1" applyAlignment="1" applyProtection="1">
      <alignment horizontal="left" vertical="center"/>
      <protection hidden="1"/>
    </xf>
    <xf numFmtId="1" fontId="29" fillId="0" borderId="180" xfId="0" applyNumberFormat="1" applyFont="1" applyFill="1" applyBorder="1" applyAlignment="1" applyProtection="1">
      <alignment horizontal="center" vertical="center" shrinkToFit="1"/>
      <protection hidden="1"/>
    </xf>
    <xf numFmtId="167" fontId="29" fillId="0" borderId="189" xfId="0" applyNumberFormat="1" applyFont="1" applyFill="1" applyBorder="1" applyAlignment="1" applyProtection="1">
      <alignment horizontal="center" vertical="center" shrinkToFit="1"/>
      <protection hidden="1"/>
    </xf>
    <xf numFmtId="167" fontId="29" fillId="0" borderId="195" xfId="0" applyNumberFormat="1" applyFont="1" applyFill="1" applyBorder="1" applyAlignment="1" applyProtection="1">
      <alignment horizontal="center" vertical="center" shrinkToFit="1"/>
      <protection hidden="1"/>
    </xf>
    <xf numFmtId="1" fontId="15" fillId="0" borderId="181" xfId="0" applyNumberFormat="1" applyFont="1" applyFill="1" applyBorder="1" applyAlignment="1" applyProtection="1">
      <alignment horizontal="center" vertical="center" shrinkToFit="1"/>
      <protection hidden="1"/>
    </xf>
    <xf numFmtId="167" fontId="15" fillId="0" borderId="0" xfId="0" applyNumberFormat="1" applyFont="1" applyFill="1" applyBorder="1" applyAlignment="1" applyProtection="1">
      <alignment horizontal="center" vertical="center" shrinkToFit="1"/>
      <protection hidden="1"/>
    </xf>
    <xf numFmtId="167" fontId="15" fillId="0" borderId="196" xfId="0" applyNumberFormat="1" applyFont="1" applyFill="1" applyBorder="1" applyAlignment="1" applyProtection="1">
      <alignment horizontal="center" vertical="center" shrinkToFit="1"/>
      <protection hidden="1"/>
    </xf>
    <xf numFmtId="167" fontId="15" fillId="50" borderId="0" xfId="0" applyNumberFormat="1" applyFont="1" applyFill="1" applyBorder="1" applyAlignment="1" applyProtection="1">
      <alignment horizontal="center" vertical="center" shrinkToFit="1"/>
      <protection hidden="1"/>
    </xf>
    <xf numFmtId="167" fontId="15" fillId="50" borderId="196" xfId="0" applyNumberFormat="1" applyFont="1" applyFill="1" applyBorder="1" applyAlignment="1" applyProtection="1">
      <alignment horizontal="center" vertical="center" shrinkToFit="1"/>
      <protection hidden="1"/>
    </xf>
    <xf numFmtId="1" fontId="29" fillId="0" borderId="187" xfId="0" applyNumberFormat="1" applyFont="1" applyFill="1" applyBorder="1" applyAlignment="1" applyProtection="1">
      <alignment horizontal="center" vertical="center" shrinkToFit="1"/>
      <protection hidden="1"/>
    </xf>
    <xf numFmtId="167" fontId="29" fillId="50" borderId="186" xfId="0" applyNumberFormat="1" applyFont="1" applyFill="1" applyBorder="1" applyAlignment="1" applyProtection="1">
      <alignment horizontal="center" vertical="center" shrinkToFit="1"/>
      <protection hidden="1"/>
    </xf>
    <xf numFmtId="167" fontId="29" fillId="50" borderId="197" xfId="0" applyNumberFormat="1" applyFont="1" applyFill="1" applyBorder="1" applyAlignment="1" applyProtection="1">
      <alignment horizontal="center" vertical="center" shrinkToFit="1"/>
      <protection hidden="1"/>
    </xf>
    <xf numFmtId="1" fontId="29" fillId="50" borderId="181" xfId="0" applyNumberFormat="1" applyFont="1" applyFill="1" applyBorder="1" applyAlignment="1" applyProtection="1">
      <alignment horizontal="center" vertical="center" shrinkToFit="1"/>
      <protection hidden="1"/>
    </xf>
    <xf numFmtId="167" fontId="29" fillId="0" borderId="0" xfId="0" applyNumberFormat="1" applyFont="1" applyFill="1" applyBorder="1" applyAlignment="1" applyProtection="1">
      <alignment horizontal="center" vertical="center" shrinkToFit="1"/>
      <protection hidden="1"/>
    </xf>
    <xf numFmtId="167" fontId="29" fillId="50" borderId="196" xfId="0" applyNumberFormat="1" applyFont="1" applyFill="1" applyBorder="1" applyAlignment="1" applyProtection="1">
      <alignment horizontal="center" vertical="center" shrinkToFit="1"/>
      <protection hidden="1"/>
    </xf>
    <xf numFmtId="1" fontId="29" fillId="0" borderId="184" xfId="0" applyNumberFormat="1" applyFont="1" applyFill="1" applyBorder="1" applyAlignment="1" applyProtection="1">
      <alignment horizontal="center" vertical="center" shrinkToFit="1"/>
      <protection hidden="1"/>
    </xf>
    <xf numFmtId="167" fontId="29" fillId="0" borderId="183" xfId="0" applyNumberFormat="1" applyFont="1" applyFill="1" applyBorder="1" applyAlignment="1" applyProtection="1">
      <alignment horizontal="center" vertical="center" shrinkToFit="1"/>
      <protection hidden="1"/>
    </xf>
    <xf numFmtId="167" fontId="29" fillId="0" borderId="198" xfId="0" applyNumberFormat="1" applyFont="1" applyFill="1" applyBorder="1" applyAlignment="1" applyProtection="1">
      <alignment horizontal="center" vertical="center" shrinkToFit="1"/>
      <protection hidden="1"/>
    </xf>
    <xf numFmtId="1" fontId="15" fillId="0" borderId="185" xfId="0" applyNumberFormat="1" applyFont="1" applyFill="1" applyBorder="1" applyAlignment="1" applyProtection="1">
      <alignment horizontal="center" vertical="center" shrinkToFit="1"/>
      <protection hidden="1"/>
    </xf>
    <xf numFmtId="167" fontId="15" fillId="0" borderId="201" xfId="0" applyNumberFormat="1" applyFont="1" applyFill="1" applyBorder="1" applyAlignment="1" applyProtection="1">
      <alignment horizontal="center" vertical="center" shrinkToFit="1"/>
      <protection hidden="1"/>
    </xf>
    <xf numFmtId="167" fontId="15" fillId="0" borderId="199" xfId="0" applyNumberFormat="1" applyFont="1" applyFill="1" applyBorder="1" applyAlignment="1" applyProtection="1">
      <alignment horizontal="center" vertical="center" shrinkToFit="1"/>
      <protection hidden="1"/>
    </xf>
    <xf numFmtId="1" fontId="15" fillId="50" borderId="181" xfId="0" applyNumberFormat="1" applyFont="1" applyFill="1" applyBorder="1" applyAlignment="1" applyProtection="1">
      <alignment horizontal="center" vertical="center" shrinkToFit="1"/>
      <protection hidden="1"/>
    </xf>
    <xf numFmtId="1" fontId="15" fillId="50" borderId="216" xfId="0" applyNumberFormat="1" applyFont="1" applyFill="1" applyBorder="1" applyAlignment="1" applyProtection="1">
      <alignment horizontal="center" vertical="center" shrinkToFit="1"/>
      <protection hidden="1"/>
    </xf>
    <xf numFmtId="1" fontId="15" fillId="50" borderId="236" xfId="0" applyNumberFormat="1" applyFont="1" applyFill="1" applyBorder="1" applyAlignment="1" applyProtection="1">
      <alignment horizontal="center" vertical="center" shrinkToFit="1"/>
      <protection hidden="1"/>
    </xf>
    <xf numFmtId="1" fontId="15" fillId="50" borderId="0" xfId="0" applyNumberFormat="1" applyFont="1" applyFill="1" applyBorder="1" applyAlignment="1" applyProtection="1">
      <alignment horizontal="center" vertical="center" shrinkToFit="1"/>
      <protection hidden="1"/>
    </xf>
    <xf numFmtId="1" fontId="15" fillId="50" borderId="194" xfId="0" applyNumberFormat="1" applyFont="1" applyFill="1" applyBorder="1" applyAlignment="1" applyProtection="1">
      <alignment horizontal="center" vertical="center" shrinkToFit="1"/>
      <protection hidden="1"/>
    </xf>
    <xf numFmtId="167" fontId="29" fillId="0" borderId="186" xfId="0" applyNumberFormat="1" applyFont="1" applyFill="1" applyBorder="1" applyAlignment="1" applyProtection="1">
      <alignment horizontal="center" vertical="center" shrinkToFit="1"/>
      <protection hidden="1"/>
    </xf>
    <xf numFmtId="167" fontId="29" fillId="0" borderId="197" xfId="0" applyNumberFormat="1" applyFont="1" applyFill="1" applyBorder="1" applyAlignment="1" applyProtection="1">
      <alignment horizontal="center" vertical="center" shrinkToFit="1"/>
      <protection hidden="1"/>
    </xf>
    <xf numFmtId="1" fontId="15" fillId="0" borderId="187" xfId="0" applyNumberFormat="1" applyFont="1" applyFill="1" applyBorder="1" applyAlignment="1" applyProtection="1">
      <alignment horizontal="center" vertical="center" shrinkToFit="1"/>
      <protection hidden="1"/>
    </xf>
    <xf numFmtId="1" fontId="15" fillId="0" borderId="182" xfId="0" applyNumberFormat="1" applyFont="1" applyBorder="1" applyAlignment="1" applyProtection="1">
      <alignment horizontal="center" vertical="center" shrinkToFit="1"/>
      <protection hidden="1"/>
    </xf>
    <xf numFmtId="1" fontId="15" fillId="0" borderId="193" xfId="0" applyNumberFormat="1" applyFont="1" applyBorder="1" applyAlignment="1" applyProtection="1">
      <alignment horizontal="center" vertical="center" shrinkToFit="1"/>
      <protection hidden="1"/>
    </xf>
    <xf numFmtId="1" fontId="15" fillId="0" borderId="200" xfId="0" applyNumberFormat="1" applyFont="1" applyBorder="1" applyAlignment="1" applyProtection="1">
      <alignment horizontal="center" vertical="center" shrinkToFit="1"/>
      <protection hidden="1"/>
    </xf>
    <xf numFmtId="1" fontId="15" fillId="0" borderId="200" xfId="0" applyNumberFormat="1" applyFont="1" applyFill="1" applyBorder="1" applyAlignment="1" applyProtection="1">
      <alignment horizontal="center" vertical="center" shrinkToFit="1"/>
      <protection hidden="1"/>
    </xf>
    <xf numFmtId="1" fontId="5" fillId="49" borderId="0" xfId="0" applyNumberFormat="1" applyFont="1" applyFill="1" applyAlignment="1" applyProtection="1">
      <alignment horizontal="center" vertical="center" shrinkToFit="1"/>
      <protection hidden="1"/>
    </xf>
    <xf numFmtId="1" fontId="12" fillId="0" borderId="49" xfId="42" applyNumberFormat="1" applyFont="1" applyFill="1" applyBorder="1" applyAlignment="1" applyProtection="1">
      <alignment horizontal="center" vertical="center" shrinkToFit="1"/>
      <protection hidden="1"/>
    </xf>
    <xf numFmtId="2" fontId="12" fillId="0" borderId="112" xfId="0" applyNumberFormat="1" applyFont="1" applyBorder="1" applyAlignment="1" applyProtection="1">
      <alignment horizontal="center" vertical="center" shrinkToFit="1"/>
      <protection hidden="1"/>
    </xf>
    <xf numFmtId="2" fontId="12" fillId="0" borderId="89" xfId="0" applyNumberFormat="1" applyFont="1" applyBorder="1" applyAlignment="1" applyProtection="1">
      <alignment horizontal="center" vertical="center" shrinkToFit="1"/>
      <protection hidden="1"/>
    </xf>
    <xf numFmtId="1" fontId="12" fillId="0" borderId="49" xfId="42" applyNumberFormat="1" applyFont="1" applyBorder="1" applyAlignment="1" applyProtection="1">
      <alignment horizontal="center" vertical="center" shrinkToFit="1"/>
      <protection hidden="1"/>
    </xf>
    <xf numFmtId="2" fontId="12" fillId="0" borderId="112" xfId="42" applyNumberFormat="1" applyFont="1" applyBorder="1" applyAlignment="1" applyProtection="1">
      <alignment horizontal="center" vertical="center" shrinkToFit="1"/>
      <protection hidden="1"/>
    </xf>
    <xf numFmtId="2" fontId="0" fillId="0" borderId="112" xfId="0" applyNumberFormat="1" applyBorder="1" applyAlignment="1" applyProtection="1">
      <alignment horizontal="center" vertical="center" shrinkToFit="1"/>
      <protection hidden="1"/>
    </xf>
    <xf numFmtId="2" fontId="0" fillId="0" borderId="89" xfId="0" applyNumberFormat="1" applyBorder="1" applyAlignment="1" applyProtection="1">
      <alignment horizontal="center" vertical="center" shrinkToFit="1"/>
      <protection hidden="1"/>
    </xf>
    <xf numFmtId="2" fontId="12" fillId="0" borderId="219" xfId="42" applyNumberFormat="1" applyFont="1" applyFill="1" applyBorder="1" applyAlignment="1" applyProtection="1">
      <alignment horizontal="center" vertical="center" shrinkToFit="1"/>
      <protection hidden="1"/>
    </xf>
    <xf numFmtId="2" fontId="12" fillId="0" borderId="218" xfId="42" applyNumberFormat="1" applyFont="1" applyFill="1" applyBorder="1" applyAlignment="1" applyProtection="1">
      <alignment horizontal="center" vertical="center" shrinkToFit="1"/>
      <protection hidden="1"/>
    </xf>
    <xf numFmtId="2" fontId="12" fillId="0" borderId="224" xfId="42" applyNumberFormat="1" applyFont="1" applyFill="1" applyBorder="1" applyAlignment="1" applyProtection="1">
      <alignment horizontal="center" vertical="center" shrinkToFit="1"/>
      <protection hidden="1"/>
    </xf>
    <xf numFmtId="0" fontId="15" fillId="0" borderId="0" xfId="0" applyFont="1" applyBorder="1" applyAlignment="1" applyProtection="1">
      <alignment horizontal="center" vertical="center" shrinkToFit="1"/>
    </xf>
    <xf numFmtId="0" fontId="15" fillId="45" borderId="225" xfId="0" applyFont="1" applyFill="1" applyBorder="1" applyAlignment="1" applyProtection="1">
      <alignment horizontal="center" vertical="center" shrinkToFit="1"/>
    </xf>
    <xf numFmtId="0" fontId="15" fillId="45" borderId="226" xfId="0" applyFont="1" applyFill="1" applyBorder="1" applyAlignment="1" applyProtection="1">
      <alignment horizontal="center" vertical="center" shrinkToFit="1"/>
    </xf>
    <xf numFmtId="0" fontId="12" fillId="45" borderId="0" xfId="0" applyFont="1" applyFill="1" applyBorder="1" applyAlignment="1" applyProtection="1">
      <alignment vertical="center" shrinkToFit="1"/>
      <protection hidden="1"/>
    </xf>
    <xf numFmtId="0" fontId="12" fillId="45" borderId="232" xfId="0" applyFont="1" applyFill="1" applyBorder="1" applyAlignment="1" applyProtection="1">
      <alignment vertical="center" shrinkToFit="1"/>
      <protection hidden="1"/>
    </xf>
    <xf numFmtId="0" fontId="0" fillId="0" borderId="132" xfId="0" applyFill="1" applyBorder="1" applyAlignment="1" applyProtection="1">
      <alignment horizontal="center" shrinkToFit="1"/>
    </xf>
    <xf numFmtId="1" fontId="0" fillId="0" borderId="133" xfId="0" applyNumberFormat="1" applyFill="1" applyBorder="1" applyAlignment="1" applyProtection="1">
      <alignment horizontal="center" shrinkToFit="1"/>
    </xf>
    <xf numFmtId="1" fontId="0" fillId="0" borderId="73" xfId="0" applyNumberFormat="1" applyFill="1" applyBorder="1" applyAlignment="1" applyProtection="1">
      <alignment horizontal="center" shrinkToFit="1"/>
    </xf>
    <xf numFmtId="167" fontId="0" fillId="0" borderId="73" xfId="0" applyNumberFormat="1" applyFill="1" applyBorder="1" applyAlignment="1" applyProtection="1">
      <alignment horizontal="center" shrinkToFit="1"/>
    </xf>
    <xf numFmtId="167" fontId="0" fillId="0" borderId="83" xfId="0" applyNumberFormat="1" applyFill="1" applyBorder="1" applyAlignment="1" applyProtection="1">
      <alignment horizontal="center" shrinkToFit="1"/>
    </xf>
    <xf numFmtId="0" fontId="0" fillId="0" borderId="134" xfId="0" applyFill="1" applyBorder="1" applyAlignment="1" applyProtection="1">
      <alignment horizontal="center" shrinkToFit="1"/>
    </xf>
    <xf numFmtId="1" fontId="0" fillId="0" borderId="135" xfId="0" applyNumberFormat="1" applyFill="1" applyBorder="1" applyAlignment="1" applyProtection="1">
      <alignment horizontal="center" shrinkToFit="1"/>
    </xf>
    <xf numFmtId="1" fontId="0" fillId="0" borderId="74" xfId="0" applyNumberFormat="1" applyFill="1" applyBorder="1" applyAlignment="1" applyProtection="1">
      <alignment horizontal="center" shrinkToFit="1"/>
    </xf>
    <xf numFmtId="167" fontId="0" fillId="0" borderId="74" xfId="0" applyNumberFormat="1" applyFill="1" applyBorder="1" applyAlignment="1" applyProtection="1">
      <alignment horizontal="center" shrinkToFit="1"/>
    </xf>
    <xf numFmtId="167" fontId="0" fillId="0" borderId="88" xfId="0" applyNumberFormat="1" applyFill="1" applyBorder="1" applyAlignment="1" applyProtection="1">
      <alignment horizontal="center" shrinkToFit="1"/>
    </xf>
    <xf numFmtId="0" fontId="0" fillId="0" borderId="137" xfId="0" applyFill="1" applyBorder="1" applyAlignment="1" applyProtection="1">
      <alignment horizontal="center" shrinkToFit="1"/>
    </xf>
    <xf numFmtId="1" fontId="0" fillId="0" borderId="138" xfId="0" applyNumberFormat="1" applyFill="1" applyBorder="1" applyAlignment="1" applyProtection="1">
      <alignment horizontal="center" shrinkToFit="1"/>
    </xf>
    <xf numFmtId="1" fontId="0" fillId="0" borderId="139" xfId="0" applyNumberFormat="1" applyFill="1" applyBorder="1" applyAlignment="1" applyProtection="1">
      <alignment horizontal="center" shrinkToFit="1"/>
    </xf>
    <xf numFmtId="167" fontId="0" fillId="0" borderId="139" xfId="0" applyNumberFormat="1" applyFill="1" applyBorder="1" applyAlignment="1" applyProtection="1">
      <alignment horizontal="center" shrinkToFit="1"/>
    </xf>
    <xf numFmtId="167" fontId="0" fillId="0" borderId="118" xfId="0" applyNumberFormat="1" applyFill="1" applyBorder="1" applyAlignment="1" applyProtection="1">
      <alignment horizontal="center" shrinkToFit="1"/>
    </xf>
    <xf numFmtId="1" fontId="12" fillId="0" borderId="1" xfId="0" applyNumberFormat="1" applyFont="1" applyFill="1" applyBorder="1" applyAlignment="1" applyProtection="1">
      <alignment horizontal="center" vertical="center" shrinkToFit="1"/>
      <protection hidden="1"/>
    </xf>
    <xf numFmtId="1" fontId="12" fillId="0" borderId="154" xfId="0" applyNumberFormat="1" applyFont="1" applyFill="1" applyBorder="1" applyAlignment="1" applyProtection="1">
      <alignment horizontal="center" vertical="center" shrinkToFit="1"/>
      <protection hidden="1"/>
    </xf>
    <xf numFmtId="167" fontId="5" fillId="0" borderId="205" xfId="0" applyNumberFormat="1" applyFont="1" applyFill="1" applyBorder="1" applyAlignment="1" applyProtection="1">
      <alignment horizontal="center" vertical="center" shrinkToFit="1"/>
      <protection hidden="1"/>
    </xf>
    <xf numFmtId="167" fontId="5" fillId="0" borderId="207" xfId="0" applyNumberFormat="1" applyFont="1" applyFill="1" applyBorder="1" applyAlignment="1" applyProtection="1">
      <alignment horizontal="center" vertical="center" shrinkToFit="1"/>
      <protection hidden="1"/>
    </xf>
    <xf numFmtId="167" fontId="0" fillId="0" borderId="208" xfId="0" applyNumberFormat="1" applyFill="1" applyBorder="1" applyAlignment="1" applyProtection="1">
      <alignment horizontal="center" vertical="center" shrinkToFit="1"/>
      <protection hidden="1"/>
    </xf>
    <xf numFmtId="167" fontId="0" fillId="0" borderId="210" xfId="0" applyNumberFormat="1" applyFill="1" applyBorder="1" applyAlignment="1" applyProtection="1">
      <alignment horizontal="center" vertical="center" shrinkToFit="1"/>
      <protection hidden="1"/>
    </xf>
    <xf numFmtId="1" fontId="0" fillId="0" borderId="208" xfId="0" applyNumberFormat="1" applyFill="1" applyBorder="1" applyAlignment="1" applyProtection="1">
      <alignment horizontal="center" vertical="center" shrinkToFit="1"/>
      <protection hidden="1"/>
    </xf>
    <xf numFmtId="1" fontId="0" fillId="0" borderId="209" xfId="0" applyNumberFormat="1" applyFill="1" applyBorder="1" applyAlignment="1" applyProtection="1">
      <alignment horizontal="center" vertical="center" shrinkToFit="1"/>
      <protection hidden="1"/>
    </xf>
    <xf numFmtId="1" fontId="0" fillId="0" borderId="240" xfId="0" applyNumberFormat="1" applyFill="1" applyBorder="1" applyAlignment="1" applyProtection="1">
      <alignment horizontal="center" vertical="center" shrinkToFit="1"/>
      <protection hidden="1"/>
    </xf>
    <xf numFmtId="1" fontId="0" fillId="0" borderId="210" xfId="0" applyNumberFormat="1" applyFill="1" applyBorder="1" applyAlignment="1" applyProtection="1">
      <alignment horizontal="center" vertical="center" shrinkToFit="1"/>
      <protection hidden="1"/>
    </xf>
    <xf numFmtId="2" fontId="8" fillId="0" borderId="208" xfId="0" applyNumberFormat="1" applyFont="1" applyFill="1" applyBorder="1" applyAlignment="1" applyProtection="1">
      <alignment horizontal="center" vertical="center" shrinkToFit="1"/>
      <protection hidden="1"/>
    </xf>
    <xf numFmtId="167" fontId="8" fillId="4" borderId="210" xfId="0" applyNumberFormat="1" applyFont="1" applyFill="1" applyBorder="1" applyAlignment="1" applyProtection="1">
      <alignment horizontal="center" vertical="center" shrinkToFit="1"/>
      <protection hidden="1"/>
    </xf>
    <xf numFmtId="1" fontId="0" fillId="4" borderId="239" xfId="0" applyNumberFormat="1" applyFill="1" applyBorder="1" applyAlignment="1" applyProtection="1">
      <alignment horizontal="center" vertical="center" shrinkToFit="1"/>
      <protection hidden="1"/>
    </xf>
    <xf numFmtId="1" fontId="0" fillId="4" borderId="237" xfId="0" applyNumberFormat="1" applyFill="1" applyBorder="1" applyAlignment="1" applyProtection="1">
      <alignment horizontal="center" vertical="center" shrinkToFit="1"/>
      <protection hidden="1"/>
    </xf>
    <xf numFmtId="167" fontId="0" fillId="0" borderId="239" xfId="0" applyNumberFormat="1" applyFill="1" applyBorder="1" applyAlignment="1" applyProtection="1">
      <alignment horizontal="center" vertical="center" shrinkToFit="1"/>
      <protection hidden="1"/>
    </xf>
    <xf numFmtId="167" fontId="0" fillId="4" borderId="238" xfId="0" applyNumberFormat="1" applyFill="1" applyBorder="1" applyAlignment="1" applyProtection="1">
      <alignment horizontal="center" vertical="center" shrinkToFit="1"/>
      <protection hidden="1"/>
    </xf>
    <xf numFmtId="167" fontId="0" fillId="0" borderId="211" xfId="0" applyNumberFormat="1" applyFill="1" applyBorder="1" applyAlignment="1" applyProtection="1">
      <alignment horizontal="center" vertical="center" shrinkToFit="1"/>
      <protection hidden="1"/>
    </xf>
    <xf numFmtId="167" fontId="0" fillId="0" borderId="213" xfId="0" applyNumberFormat="1" applyFill="1" applyBorder="1" applyAlignment="1" applyProtection="1">
      <alignment horizontal="center" vertical="center" shrinkToFit="1"/>
      <protection hidden="1"/>
    </xf>
    <xf numFmtId="1" fontId="5" fillId="0" borderId="104" xfId="0" applyNumberFormat="1" applyFont="1" applyFill="1" applyBorder="1" applyAlignment="1" applyProtection="1">
      <alignment horizontal="center" vertical="center" shrinkToFit="1"/>
      <protection hidden="1"/>
    </xf>
    <xf numFmtId="1" fontId="5" fillId="0" borderId="86" xfId="0" applyNumberFormat="1" applyFont="1" applyFill="1" applyBorder="1" applyAlignment="1" applyProtection="1">
      <alignment horizontal="center" vertical="center" shrinkToFit="1"/>
      <protection hidden="1"/>
    </xf>
    <xf numFmtId="1" fontId="5" fillId="0" borderId="105" xfId="0" applyNumberFormat="1" applyFont="1" applyFill="1" applyBorder="1" applyAlignment="1" applyProtection="1">
      <alignment horizontal="center" vertical="center" shrinkToFit="1"/>
      <protection hidden="1"/>
    </xf>
    <xf numFmtId="1" fontId="5" fillId="0" borderId="64" xfId="0" applyNumberFormat="1" applyFont="1" applyBorder="1" applyAlignment="1" applyProtection="1">
      <alignment horizontal="center" vertical="center" shrinkToFit="1"/>
      <protection hidden="1"/>
    </xf>
    <xf numFmtId="0" fontId="0" fillId="0" borderId="0" xfId="0" applyAlignment="1" applyProtection="1">
      <alignment shrinkToFit="1"/>
      <protection hidden="1"/>
    </xf>
    <xf numFmtId="1" fontId="0" fillId="0" borderId="0" xfId="0" applyNumberFormat="1" applyAlignment="1" applyProtection="1">
      <alignment horizontal="center" vertical="center" shrinkToFit="1"/>
      <protection hidden="1"/>
    </xf>
    <xf numFmtId="1" fontId="4" fillId="0" borderId="0" xfId="0" applyNumberFormat="1" applyFont="1" applyAlignment="1" applyProtection="1">
      <alignment horizontal="center" vertical="center" shrinkToFit="1"/>
      <protection hidden="1"/>
    </xf>
    <xf numFmtId="1" fontId="90" fillId="0" borderId="0" xfId="0" applyNumberFormat="1" applyFont="1" applyAlignment="1" applyProtection="1">
      <alignment horizontal="center" vertical="center" shrinkToFit="1"/>
      <protection hidden="1"/>
    </xf>
    <xf numFmtId="1" fontId="0" fillId="0" borderId="0" xfId="0" applyNumberFormat="1" applyAlignment="1" applyProtection="1">
      <alignment horizontal="center" vertical="center" shrinkToFit="1"/>
      <protection locked="0"/>
    </xf>
    <xf numFmtId="0" fontId="0" fillId="0" borderId="0" xfId="0" applyAlignment="1" applyProtection="1">
      <alignment horizontal="center" vertical="center" shrinkToFit="1"/>
      <protection hidden="1"/>
    </xf>
    <xf numFmtId="0" fontId="0" fillId="0" borderId="0" xfId="0" applyAlignment="1">
      <alignment shrinkToFit="1"/>
    </xf>
    <xf numFmtId="0" fontId="0" fillId="0" borderId="0" xfId="0" applyAlignment="1" applyProtection="1">
      <alignment shrinkToFit="1"/>
      <protection locked="0"/>
    </xf>
    <xf numFmtId="1" fontId="0" fillId="0" borderId="0" xfId="0" applyNumberFormat="1" applyAlignment="1" applyProtection="1">
      <alignment shrinkToFit="1"/>
      <protection locked="0"/>
    </xf>
    <xf numFmtId="1" fontId="0" fillId="0" borderId="0" xfId="0" applyNumberFormat="1" applyAlignment="1" applyProtection="1">
      <alignment shrinkToFit="1"/>
    </xf>
    <xf numFmtId="0" fontId="0" fillId="0" borderId="275" xfId="0" applyFill="1" applyBorder="1" applyAlignment="1" applyProtection="1">
      <alignment horizontal="center" vertical="center" shrinkToFit="1"/>
      <protection hidden="1"/>
    </xf>
    <xf numFmtId="167" fontId="0" fillId="0" borderId="132" xfId="0" applyNumberFormat="1" applyFill="1" applyBorder="1" applyAlignment="1" applyProtection="1">
      <alignment horizontal="center" vertical="center" shrinkToFit="1"/>
      <protection hidden="1"/>
    </xf>
    <xf numFmtId="167" fontId="0" fillId="0" borderId="273" xfId="0" applyNumberFormat="1" applyFill="1" applyBorder="1" applyAlignment="1" applyProtection="1">
      <alignment horizontal="center" vertical="center" shrinkToFit="1"/>
      <protection hidden="1"/>
    </xf>
    <xf numFmtId="0" fontId="0" fillId="0" borderId="276" xfId="0" applyFill="1" applyBorder="1" applyAlignment="1" applyProtection="1">
      <alignment horizontal="center" vertical="center" shrinkToFit="1"/>
      <protection hidden="1"/>
    </xf>
    <xf numFmtId="167" fontId="0" fillId="0" borderId="134" xfId="0" applyNumberFormat="1" applyFill="1" applyBorder="1" applyAlignment="1" applyProtection="1">
      <alignment horizontal="center" vertical="center" shrinkToFit="1"/>
      <protection hidden="1"/>
    </xf>
    <xf numFmtId="167" fontId="0" fillId="0" borderId="274" xfId="0" applyNumberFormat="1" applyFill="1" applyBorder="1" applyAlignment="1" applyProtection="1">
      <alignment horizontal="center" vertical="center" shrinkToFit="1"/>
      <protection hidden="1"/>
    </xf>
    <xf numFmtId="0" fontId="0" fillId="0" borderId="284" xfId="0" applyFill="1" applyBorder="1" applyAlignment="1" applyProtection="1">
      <alignment horizontal="center" vertical="center" shrinkToFit="1"/>
      <protection hidden="1"/>
    </xf>
    <xf numFmtId="167" fontId="0" fillId="0" borderId="141" xfId="0" applyNumberFormat="1" applyFill="1" applyBorder="1" applyAlignment="1" applyProtection="1">
      <alignment horizontal="center" vertical="center" shrinkToFit="1"/>
      <protection hidden="1"/>
    </xf>
    <xf numFmtId="167" fontId="0" fillId="0" borderId="285" xfId="0" applyNumberFormat="1" applyFill="1" applyBorder="1" applyAlignment="1" applyProtection="1">
      <alignment horizontal="center" vertical="center" shrinkToFit="1"/>
      <protection hidden="1"/>
    </xf>
    <xf numFmtId="0" fontId="0" fillId="0" borderId="281" xfId="0" applyFill="1" applyBorder="1" applyAlignment="1" applyProtection="1">
      <alignment horizontal="center" vertical="center" shrinkToFit="1"/>
      <protection hidden="1"/>
    </xf>
    <xf numFmtId="167" fontId="0" fillId="0" borderId="137" xfId="0" applyNumberFormat="1" applyFill="1" applyBorder="1" applyAlignment="1" applyProtection="1">
      <alignment horizontal="center" vertical="center" shrinkToFit="1"/>
      <protection hidden="1"/>
    </xf>
    <xf numFmtId="167" fontId="0" fillId="0" borderId="282" xfId="0" applyNumberFormat="1" applyFill="1" applyBorder="1" applyAlignment="1" applyProtection="1">
      <alignment horizontal="center" vertical="center" shrinkToFit="1"/>
      <protection hidden="1"/>
    </xf>
    <xf numFmtId="167" fontId="0" fillId="0" borderId="275" xfId="0" applyNumberFormat="1" applyFill="1" applyBorder="1" applyAlignment="1" applyProtection="1">
      <alignment horizontal="center" vertical="center" shrinkToFit="1"/>
      <protection hidden="1"/>
    </xf>
    <xf numFmtId="167" fontId="0" fillId="0" borderId="73" xfId="0" applyNumberFormat="1" applyFill="1" applyBorder="1" applyAlignment="1" applyProtection="1">
      <alignment horizontal="center" vertical="center" shrinkToFit="1"/>
      <protection hidden="1"/>
    </xf>
    <xf numFmtId="167" fontId="0" fillId="0" borderId="276" xfId="0" applyNumberFormat="1" applyFill="1" applyBorder="1" applyAlignment="1" applyProtection="1">
      <alignment horizontal="center" vertical="center" shrinkToFit="1"/>
      <protection hidden="1"/>
    </xf>
    <xf numFmtId="167" fontId="0" fillId="0" borderId="142" xfId="0" applyNumberFormat="1" applyFill="1" applyBorder="1" applyAlignment="1" applyProtection="1">
      <alignment horizontal="center" vertical="center" shrinkToFit="1"/>
      <protection hidden="1"/>
    </xf>
    <xf numFmtId="167" fontId="0" fillId="0" borderId="286" xfId="0" applyNumberFormat="1" applyFill="1" applyBorder="1" applyAlignment="1" applyProtection="1">
      <alignment horizontal="center" vertical="center" shrinkToFit="1"/>
      <protection hidden="1"/>
    </xf>
    <xf numFmtId="0" fontId="4" fillId="0" borderId="104" xfId="0" applyFont="1" applyFill="1" applyBorder="1" applyAlignment="1" applyProtection="1">
      <alignment horizontal="center" vertical="center" shrinkToFit="1"/>
      <protection hidden="1"/>
    </xf>
    <xf numFmtId="0" fontId="4" fillId="0" borderId="285" xfId="0" applyFont="1" applyFill="1" applyBorder="1" applyAlignment="1" applyProtection="1">
      <alignment horizontal="center" vertical="center" shrinkToFit="1"/>
      <protection hidden="1"/>
    </xf>
    <xf numFmtId="0" fontId="0" fillId="0" borderId="86" xfId="0" applyFill="1" applyBorder="1" applyAlignment="1" applyProtection="1">
      <alignment horizontal="center" vertical="center" shrinkToFit="1"/>
      <protection hidden="1"/>
    </xf>
    <xf numFmtId="0" fontId="0" fillId="0" borderId="274" xfId="0" applyFill="1" applyBorder="1" applyAlignment="1" applyProtection="1">
      <alignment horizontal="center" vertical="center" shrinkToFit="1"/>
      <protection hidden="1"/>
    </xf>
    <xf numFmtId="0" fontId="4" fillId="0" borderId="131" xfId="0" applyFont="1" applyFill="1" applyBorder="1" applyAlignment="1" applyProtection="1">
      <alignment horizontal="center" vertical="center" shrinkToFit="1"/>
      <protection hidden="1"/>
    </xf>
    <xf numFmtId="0" fontId="4" fillId="0" borderId="282" xfId="0" applyFont="1" applyFill="1" applyBorder="1" applyAlignment="1" applyProtection="1">
      <alignment horizontal="center" vertical="center" shrinkToFit="1"/>
      <protection hidden="1"/>
    </xf>
    <xf numFmtId="0" fontId="0" fillId="60" borderId="73" xfId="0" applyFill="1" applyBorder="1" applyAlignment="1" applyProtection="1">
      <alignment horizontal="center" vertical="center"/>
      <protection locked="0"/>
    </xf>
    <xf numFmtId="0" fontId="0" fillId="60" borderId="74" xfId="0" applyFill="1" applyBorder="1" applyAlignment="1" applyProtection="1">
      <alignment horizontal="center" vertical="center"/>
      <protection locked="0"/>
    </xf>
    <xf numFmtId="0" fontId="0" fillId="60" borderId="139" xfId="0" applyFill="1" applyBorder="1" applyAlignment="1" applyProtection="1">
      <alignment horizontal="center" vertical="center"/>
      <protection locked="0"/>
    </xf>
    <xf numFmtId="0" fontId="0" fillId="60" borderId="132" xfId="0" applyFill="1" applyBorder="1" applyAlignment="1" applyProtection="1">
      <alignment horizontal="center" vertical="center"/>
      <protection locked="0"/>
    </xf>
    <xf numFmtId="0" fontId="0" fillId="60" borderId="81" xfId="0" applyFill="1" applyBorder="1" applyAlignment="1" applyProtection="1">
      <alignment horizontal="center" vertical="center"/>
      <protection locked="0"/>
    </xf>
    <xf numFmtId="0" fontId="0" fillId="60" borderId="134" xfId="0" applyFill="1" applyBorder="1" applyAlignment="1" applyProtection="1">
      <alignment horizontal="center" vertical="center"/>
      <protection locked="0"/>
    </xf>
    <xf numFmtId="0" fontId="0" fillId="60" borderId="284" xfId="0" applyFill="1" applyBorder="1" applyAlignment="1" applyProtection="1">
      <alignment horizontal="center" vertical="center"/>
      <protection locked="0"/>
    </xf>
    <xf numFmtId="0" fontId="0" fillId="60" borderId="104" xfId="0" applyFill="1" applyBorder="1" applyAlignment="1" applyProtection="1">
      <alignment horizontal="center" vertical="center"/>
      <protection locked="0"/>
    </xf>
    <xf numFmtId="0" fontId="0" fillId="60" borderId="142" xfId="0" applyFill="1" applyBorder="1" applyAlignment="1" applyProtection="1">
      <alignment horizontal="center" vertical="center"/>
      <protection locked="0"/>
    </xf>
    <xf numFmtId="0" fontId="0" fillId="60" borderId="281" xfId="0" applyFill="1" applyBorder="1" applyAlignment="1" applyProtection="1">
      <alignment horizontal="center" vertical="center"/>
      <protection locked="0"/>
    </xf>
    <xf numFmtId="0" fontId="0" fillId="60" borderId="137" xfId="0" applyFill="1" applyBorder="1" applyAlignment="1" applyProtection="1">
      <alignment horizontal="center" vertical="center"/>
      <protection locked="0"/>
    </xf>
    <xf numFmtId="167" fontId="0" fillId="60" borderId="73" xfId="0" applyNumberFormat="1" applyFill="1" applyBorder="1" applyAlignment="1" applyProtection="1">
      <alignment horizontal="center" vertical="center"/>
      <protection locked="0"/>
    </xf>
    <xf numFmtId="167" fontId="0" fillId="60" borderId="74" xfId="0" applyNumberFormat="1" applyFill="1" applyBorder="1" applyAlignment="1" applyProtection="1">
      <alignment horizontal="center" vertical="center"/>
      <protection locked="0"/>
    </xf>
    <xf numFmtId="0" fontId="0" fillId="60" borderId="277" xfId="0" applyFill="1" applyBorder="1" applyAlignment="1" applyProtection="1">
      <alignment horizontal="center" vertical="center"/>
      <protection locked="0"/>
    </xf>
    <xf numFmtId="167" fontId="0" fillId="60" borderId="139" xfId="0" applyNumberFormat="1" applyFill="1" applyBorder="1" applyAlignment="1" applyProtection="1">
      <alignment horizontal="center" vertical="center"/>
      <protection locked="0"/>
    </xf>
    <xf numFmtId="0" fontId="0" fillId="45" borderId="0" xfId="0" applyFill="1" applyAlignment="1" applyProtection="1">
      <alignment vertical="center"/>
      <protection hidden="1"/>
    </xf>
    <xf numFmtId="0" fontId="0" fillId="0" borderId="0" xfId="0" applyFill="1" applyAlignment="1">
      <alignment vertical="center"/>
    </xf>
    <xf numFmtId="0" fontId="0" fillId="0" borderId="0" xfId="0" applyFill="1" applyAlignment="1">
      <alignment horizontal="center" vertical="center"/>
    </xf>
    <xf numFmtId="0" fontId="4" fillId="60" borderId="1" xfId="0" applyFont="1" applyFill="1" applyBorder="1" applyAlignment="1" applyProtection="1">
      <alignment horizontal="center" vertical="center"/>
      <protection locked="0"/>
    </xf>
    <xf numFmtId="0" fontId="15" fillId="60" borderId="1" xfId="0" applyFont="1" applyFill="1" applyBorder="1" applyAlignment="1" applyProtection="1">
      <alignment horizontal="center" vertical="center"/>
      <protection locked="0"/>
    </xf>
    <xf numFmtId="0" fontId="0" fillId="60" borderId="2" xfId="0" applyFill="1" applyBorder="1" applyAlignment="1" applyProtection="1">
      <alignment vertical="center"/>
      <protection locked="0"/>
    </xf>
    <xf numFmtId="0" fontId="0" fillId="60" borderId="13" xfId="0" applyFill="1" applyBorder="1" applyAlignment="1" applyProtection="1">
      <alignment vertical="center"/>
      <protection locked="0"/>
    </xf>
    <xf numFmtId="0" fontId="5" fillId="60" borderId="71" xfId="0" applyFont="1" applyFill="1" applyBorder="1" applyAlignment="1" applyProtection="1">
      <alignment horizontal="center" vertical="center"/>
      <protection locked="0"/>
    </xf>
    <xf numFmtId="0" fontId="5" fillId="60" borderId="72" xfId="0" applyFont="1" applyFill="1" applyBorder="1" applyAlignment="1" applyProtection="1">
      <alignment horizontal="center" vertical="center"/>
      <protection locked="0"/>
    </xf>
    <xf numFmtId="0" fontId="5" fillId="60" borderId="77" xfId="0" applyFont="1" applyFill="1" applyBorder="1" applyAlignment="1" applyProtection="1">
      <alignment horizontal="center" vertical="center"/>
      <protection locked="0"/>
    </xf>
    <xf numFmtId="0" fontId="5" fillId="60" borderId="87" xfId="0" applyFont="1" applyFill="1" applyBorder="1" applyAlignment="1" applyProtection="1">
      <alignment horizontal="center" vertical="center"/>
      <protection locked="0"/>
    </xf>
    <xf numFmtId="0" fontId="5" fillId="60" borderId="96" xfId="0" applyFont="1" applyFill="1" applyBorder="1" applyAlignment="1" applyProtection="1">
      <alignment horizontal="center" vertical="center"/>
      <protection locked="0"/>
    </xf>
    <xf numFmtId="0" fontId="5" fillId="60" borderId="119" xfId="0" applyFont="1" applyFill="1" applyBorder="1" applyAlignment="1" applyProtection="1">
      <alignment horizontal="center" vertical="center"/>
      <protection locked="0"/>
    </xf>
    <xf numFmtId="0" fontId="5" fillId="60" borderId="91" xfId="0" applyFont="1" applyFill="1" applyBorder="1" applyAlignment="1" applyProtection="1">
      <alignment horizontal="center" vertical="center"/>
      <protection locked="0"/>
    </xf>
    <xf numFmtId="0" fontId="5" fillId="60" borderId="78" xfId="0" applyFont="1" applyFill="1" applyBorder="1" applyAlignment="1" applyProtection="1">
      <alignment horizontal="center" vertical="center"/>
      <protection locked="0"/>
    </xf>
    <xf numFmtId="0" fontId="5" fillId="60" borderId="97" xfId="0" applyFont="1" applyFill="1" applyBorder="1" applyAlignment="1" applyProtection="1">
      <alignment horizontal="center" vertical="center"/>
      <protection locked="0"/>
    </xf>
    <xf numFmtId="0" fontId="12" fillId="60" borderId="1" xfId="0" applyFont="1" applyFill="1" applyBorder="1" applyAlignment="1" applyProtection="1">
      <alignment horizontal="center" vertical="center" shrinkToFit="1"/>
      <protection locked="0" hidden="1"/>
    </xf>
    <xf numFmtId="0" fontId="0" fillId="60" borderId="80" xfId="0" applyFill="1" applyBorder="1" applyAlignment="1" applyProtection="1">
      <alignment horizontal="center"/>
      <protection locked="0"/>
    </xf>
    <xf numFmtId="0" fontId="0" fillId="60" borderId="73" xfId="0" applyFill="1" applyBorder="1" applyAlignment="1" applyProtection="1">
      <alignment horizontal="center"/>
      <protection locked="0"/>
    </xf>
    <xf numFmtId="0" fontId="0" fillId="60" borderId="85" xfId="0" applyFill="1" applyBorder="1" applyAlignment="1" applyProtection="1">
      <alignment horizontal="center"/>
      <protection locked="0"/>
    </xf>
    <xf numFmtId="0" fontId="0" fillId="60" borderId="74" xfId="0" applyFill="1" applyBorder="1" applyAlignment="1" applyProtection="1">
      <alignment horizontal="center"/>
      <protection locked="0"/>
    </xf>
    <xf numFmtId="0" fontId="0" fillId="60" borderId="136" xfId="0" applyFill="1" applyBorder="1" applyAlignment="1" applyProtection="1">
      <alignment horizontal="center"/>
      <protection locked="0"/>
    </xf>
    <xf numFmtId="0" fontId="0" fillId="60" borderId="139" xfId="0" applyFill="1" applyBorder="1" applyAlignment="1" applyProtection="1">
      <alignment horizontal="center"/>
      <protection locked="0"/>
    </xf>
    <xf numFmtId="0" fontId="0" fillId="60" borderId="141" xfId="0" applyFill="1" applyBorder="1" applyAlignment="1" applyProtection="1">
      <alignment horizontal="center"/>
      <protection locked="0"/>
    </xf>
    <xf numFmtId="0" fontId="0" fillId="60" borderId="142" xfId="0" applyFill="1" applyBorder="1" applyAlignment="1" applyProtection="1">
      <alignment horizontal="center"/>
      <protection locked="0"/>
    </xf>
    <xf numFmtId="2" fontId="0" fillId="60" borderId="142" xfId="0" applyNumberFormat="1" applyFill="1" applyBorder="1" applyAlignment="1" applyProtection="1">
      <alignment horizontal="center"/>
      <protection locked="0"/>
    </xf>
    <xf numFmtId="2" fontId="0" fillId="60" borderId="143" xfId="0" applyNumberFormat="1" applyFill="1" applyBorder="1" applyAlignment="1" applyProtection="1">
      <alignment horizontal="center"/>
      <protection locked="0"/>
    </xf>
    <xf numFmtId="0" fontId="0" fillId="60" borderId="134" xfId="0" applyFill="1" applyBorder="1" applyAlignment="1" applyProtection="1">
      <alignment horizontal="center"/>
      <protection locked="0"/>
    </xf>
    <xf numFmtId="2" fontId="0" fillId="60" borderId="74" xfId="0" applyNumberFormat="1" applyFill="1" applyBorder="1" applyAlignment="1" applyProtection="1">
      <alignment horizontal="center"/>
      <protection locked="0"/>
    </xf>
    <xf numFmtId="2" fontId="0" fillId="60" borderId="88" xfId="0" applyNumberFormat="1" applyFill="1" applyBorder="1" applyAlignment="1" applyProtection="1">
      <alignment horizontal="center"/>
      <protection locked="0"/>
    </xf>
    <xf numFmtId="0" fontId="0" fillId="60" borderId="137" xfId="0" applyFill="1" applyBorder="1" applyAlignment="1" applyProtection="1">
      <alignment horizontal="center"/>
      <protection locked="0"/>
    </xf>
    <xf numFmtId="2" fontId="0" fillId="60" borderId="139" xfId="0" applyNumberFormat="1" applyFill="1" applyBorder="1" applyAlignment="1" applyProtection="1">
      <alignment horizontal="center"/>
      <protection locked="0"/>
    </xf>
    <xf numFmtId="2" fontId="0" fillId="60" borderId="118" xfId="0" applyNumberFormat="1" applyFill="1" applyBorder="1" applyAlignment="1" applyProtection="1">
      <alignment horizontal="center"/>
      <protection locked="0"/>
    </xf>
    <xf numFmtId="0" fontId="5" fillId="60" borderId="121" xfId="0" applyFont="1" applyFill="1" applyBorder="1" applyAlignment="1" applyProtection="1">
      <alignment horizontal="center" vertical="center"/>
      <protection locked="0"/>
    </xf>
    <xf numFmtId="0" fontId="5" fillId="60" borderId="123" xfId="0" applyFont="1" applyFill="1" applyBorder="1" applyAlignment="1" applyProtection="1">
      <alignment horizontal="center" vertical="center"/>
      <protection locked="0"/>
    </xf>
    <xf numFmtId="0" fontId="5" fillId="60" borderId="147" xfId="0" applyFont="1" applyFill="1" applyBorder="1" applyAlignment="1" applyProtection="1">
      <alignment horizontal="center" vertical="center"/>
      <protection locked="0"/>
    </xf>
    <xf numFmtId="0" fontId="5" fillId="60" borderId="94" xfId="0" applyFont="1" applyFill="1" applyBorder="1" applyAlignment="1" applyProtection="1">
      <alignment horizontal="center" vertical="center"/>
      <protection locked="0"/>
    </xf>
    <xf numFmtId="0" fontId="5" fillId="60" borderId="126" xfId="0" applyFont="1" applyFill="1" applyBorder="1" applyAlignment="1" applyProtection="1">
      <alignment horizontal="center" vertical="center"/>
      <protection locked="0"/>
    </xf>
    <xf numFmtId="0" fontId="5" fillId="60" borderId="93" xfId="0" applyFont="1" applyFill="1" applyBorder="1" applyAlignment="1" applyProtection="1">
      <alignment horizontal="center" vertical="center"/>
      <protection locked="0"/>
    </xf>
    <xf numFmtId="0" fontId="5" fillId="60" borderId="90" xfId="42" applyFont="1" applyFill="1" applyBorder="1" applyAlignment="1" applyProtection="1">
      <alignment horizontal="center"/>
      <protection locked="0"/>
    </xf>
    <xf numFmtId="0" fontId="5" fillId="60" borderId="112" xfId="0" applyFont="1" applyFill="1" applyBorder="1" applyAlignment="1" applyProtection="1">
      <alignment horizontal="center" vertical="center" shrinkToFit="1"/>
      <protection locked="0"/>
    </xf>
    <xf numFmtId="0" fontId="5" fillId="60" borderId="68" xfId="0" applyFont="1" applyFill="1" applyBorder="1" applyAlignment="1" applyProtection="1">
      <alignment horizontal="center" vertical="center"/>
      <protection locked="0"/>
    </xf>
    <xf numFmtId="0" fontId="5" fillId="60" borderId="65" xfId="0" applyFont="1" applyFill="1" applyBorder="1" applyAlignment="1" applyProtection="1">
      <alignment horizontal="center" vertical="center"/>
      <protection locked="0"/>
    </xf>
    <xf numFmtId="0" fontId="5" fillId="60" borderId="69" xfId="0" applyFont="1" applyFill="1" applyBorder="1" applyAlignment="1" applyProtection="1">
      <alignment horizontal="center" vertical="center"/>
      <protection locked="0"/>
    </xf>
    <xf numFmtId="0" fontId="5" fillId="60" borderId="66" xfId="0" applyFont="1" applyFill="1" applyBorder="1" applyAlignment="1" applyProtection="1">
      <alignment horizontal="center" vertical="center"/>
      <protection locked="0"/>
    </xf>
    <xf numFmtId="0" fontId="5" fillId="60" borderId="70" xfId="0" applyFont="1" applyFill="1" applyBorder="1" applyAlignment="1" applyProtection="1">
      <alignment horizontal="center" vertical="center"/>
      <protection locked="0"/>
    </xf>
    <xf numFmtId="0" fontId="5" fillId="60" borderId="67" xfId="0" applyFont="1" applyFill="1" applyBorder="1" applyAlignment="1" applyProtection="1">
      <alignment horizontal="center" vertical="center"/>
      <protection locked="0"/>
    </xf>
    <xf numFmtId="167" fontId="0" fillId="60" borderId="83" xfId="0" applyNumberFormat="1" applyFill="1" applyBorder="1" applyAlignment="1" applyProtection="1">
      <alignment horizontal="center"/>
      <protection locked="0"/>
    </xf>
    <xf numFmtId="167" fontId="0" fillId="60" borderId="74" xfId="0" applyNumberFormat="1" applyFill="1" applyBorder="1" applyAlignment="1" applyProtection="1">
      <alignment horizontal="center"/>
      <protection locked="0"/>
    </xf>
    <xf numFmtId="167" fontId="0" fillId="60" borderId="88" xfId="0" applyNumberFormat="1" applyFill="1" applyBorder="1" applyAlignment="1" applyProtection="1">
      <alignment horizontal="center"/>
      <protection locked="0"/>
    </xf>
    <xf numFmtId="0" fontId="12" fillId="60" borderId="137" xfId="0" applyFont="1" applyFill="1" applyBorder="1" applyAlignment="1" applyProtection="1">
      <alignment horizontal="center"/>
      <protection locked="0"/>
    </xf>
    <xf numFmtId="167" fontId="0" fillId="60" borderId="139" xfId="0" applyNumberFormat="1" applyFill="1" applyBorder="1" applyAlignment="1" applyProtection="1">
      <alignment horizontal="center"/>
      <protection locked="0"/>
    </xf>
    <xf numFmtId="167" fontId="0" fillId="60" borderId="118" xfId="0" applyNumberFormat="1" applyFill="1" applyBorder="1" applyAlignment="1" applyProtection="1">
      <alignment horizontal="center"/>
      <protection locked="0"/>
    </xf>
    <xf numFmtId="0" fontId="4" fillId="0" borderId="0" xfId="0" applyFont="1" applyAlignment="1" applyProtection="1">
      <protection hidden="1"/>
    </xf>
    <xf numFmtId="0" fontId="0" fillId="0" borderId="0" xfId="0" applyAlignment="1" applyProtection="1">
      <protection hidden="1"/>
    </xf>
    <xf numFmtId="0" fontId="0" fillId="0" borderId="0" xfId="0" applyAlignment="1"/>
    <xf numFmtId="0" fontId="71" fillId="0" borderId="0" xfId="0" applyFont="1" applyFill="1" applyBorder="1" applyProtection="1">
      <protection locked="0"/>
    </xf>
    <xf numFmtId="0" fontId="110" fillId="0" borderId="0" xfId="0" applyFont="1" applyProtection="1">
      <protection hidden="1"/>
    </xf>
    <xf numFmtId="0" fontId="83" fillId="0" borderId="0" xfId="75" applyFont="1"/>
    <xf numFmtId="0" fontId="111" fillId="60" borderId="1" xfId="75" applyFont="1" applyFill="1" applyBorder="1" applyProtection="1">
      <protection locked="0"/>
    </xf>
    <xf numFmtId="0" fontId="83" fillId="0" borderId="1" xfId="75" applyFont="1" applyBorder="1"/>
    <xf numFmtId="0" fontId="111" fillId="60" borderId="1" xfId="75" applyFont="1" applyFill="1" applyBorder="1" applyAlignment="1" applyProtection="1">
      <alignment horizontal="center" vertical="center"/>
      <protection locked="0"/>
    </xf>
    <xf numFmtId="0" fontId="111" fillId="60" borderId="17" xfId="75" applyFont="1" applyFill="1" applyBorder="1" applyAlignment="1" applyProtection="1">
      <alignment horizontal="center" vertical="center"/>
      <protection locked="0"/>
    </xf>
    <xf numFmtId="17" fontId="111" fillId="60" borderId="17" xfId="75" applyNumberFormat="1" applyFont="1" applyFill="1" applyBorder="1" applyAlignment="1" applyProtection="1">
      <alignment horizontal="center" vertical="center"/>
      <protection locked="0"/>
    </xf>
    <xf numFmtId="0" fontId="111" fillId="60" borderId="17" xfId="75" applyFont="1" applyFill="1" applyBorder="1" applyProtection="1">
      <protection locked="0"/>
    </xf>
    <xf numFmtId="0" fontId="83" fillId="0" borderId="17" xfId="75" applyFont="1" applyBorder="1"/>
    <xf numFmtId="0" fontId="4" fillId="0" borderId="0" xfId="76"/>
    <xf numFmtId="0" fontId="4" fillId="0" borderId="0" xfId="76" applyProtection="1">
      <protection locked="0"/>
    </xf>
    <xf numFmtId="0" fontId="4" fillId="60" borderId="1" xfId="76" applyFill="1" applyBorder="1"/>
    <xf numFmtId="0" fontId="4" fillId="0" borderId="0" xfId="76" applyAlignment="1">
      <alignment horizontal="center" vertical="center"/>
    </xf>
    <xf numFmtId="0" fontId="4" fillId="0" borderId="24" xfId="76" applyBorder="1" applyAlignment="1" applyProtection="1">
      <alignment horizontal="center" vertical="center"/>
      <protection hidden="1"/>
    </xf>
    <xf numFmtId="0" fontId="4" fillId="0" borderId="0" xfId="76" applyAlignment="1" applyProtection="1">
      <alignment horizontal="center" vertical="center"/>
      <protection hidden="1"/>
    </xf>
    <xf numFmtId="0" fontId="4" fillId="0" borderId="21" xfId="76" applyBorder="1" applyAlignment="1" applyProtection="1">
      <alignment horizontal="center" vertical="center"/>
      <protection hidden="1"/>
    </xf>
    <xf numFmtId="0" fontId="4" fillId="0" borderId="0" xfId="76" applyAlignment="1">
      <alignment vertical="top"/>
    </xf>
    <xf numFmtId="0" fontId="4" fillId="0" borderId="0" xfId="76" applyAlignment="1">
      <alignment horizontal="center"/>
    </xf>
    <xf numFmtId="0" fontId="4" fillId="0" borderId="22" xfId="76" applyBorder="1" applyAlignment="1">
      <alignment horizontal="center"/>
    </xf>
    <xf numFmtId="0" fontId="5" fillId="0" borderId="0" xfId="76" applyFont="1"/>
    <xf numFmtId="0" fontId="4" fillId="0" borderId="0" xfId="76" applyAlignment="1">
      <alignment vertical="center"/>
    </xf>
    <xf numFmtId="0" fontId="31" fillId="0" borderId="0" xfId="76" applyFont="1"/>
    <xf numFmtId="0" fontId="4" fillId="0" borderId="0" xfId="76" applyAlignment="1">
      <alignment horizontal="right" vertical="center"/>
    </xf>
    <xf numFmtId="0" fontId="4" fillId="0" borderId="0" xfId="76" applyAlignment="1">
      <alignment vertical="center" wrapText="1"/>
    </xf>
    <xf numFmtId="1" fontId="4" fillId="0" borderId="0" xfId="76" applyNumberFormat="1" applyBorder="1" applyAlignment="1">
      <alignment horizontal="center"/>
    </xf>
    <xf numFmtId="1" fontId="15" fillId="0" borderId="225" xfId="0" applyNumberFormat="1" applyFont="1" applyFill="1" applyBorder="1" applyAlignment="1" applyProtection="1">
      <alignment horizontal="center" vertical="center" shrinkToFit="1"/>
    </xf>
    <xf numFmtId="1" fontId="15" fillId="0" borderId="203" xfId="0" applyNumberFormat="1" applyFont="1" applyFill="1" applyBorder="1" applyAlignment="1" applyProtection="1">
      <alignment horizontal="center" vertical="center" shrinkToFit="1"/>
    </xf>
    <xf numFmtId="0" fontId="4" fillId="0" borderId="50" xfId="76" applyBorder="1" applyAlignment="1" applyProtection="1">
      <alignment horizontal="center" vertical="center"/>
      <protection hidden="1"/>
    </xf>
    <xf numFmtId="0" fontId="4" fillId="0" borderId="0" xfId="76" applyBorder="1" applyAlignment="1" applyProtection="1">
      <alignment horizontal="center" vertical="center"/>
      <protection hidden="1"/>
    </xf>
    <xf numFmtId="0" fontId="4" fillId="0" borderId="58" xfId="76" applyBorder="1" applyAlignment="1" applyProtection="1">
      <alignment horizontal="center" vertical="center"/>
      <protection hidden="1"/>
    </xf>
    <xf numFmtId="0" fontId="4" fillId="0" borderId="2" xfId="76" applyBorder="1" applyAlignment="1" applyProtection="1">
      <alignment horizontal="center" vertical="center"/>
      <protection hidden="1"/>
    </xf>
    <xf numFmtId="0" fontId="4" fillId="0" borderId="22" xfId="76" applyBorder="1" applyAlignment="1" applyProtection="1">
      <alignment horizontal="center" vertical="center"/>
      <protection hidden="1"/>
    </xf>
    <xf numFmtId="2" fontId="4" fillId="0" borderId="0" xfId="76" applyNumberFormat="1" applyBorder="1" applyAlignment="1" applyProtection="1">
      <alignment horizontal="center" vertical="center"/>
      <protection hidden="1"/>
    </xf>
    <xf numFmtId="2" fontId="4" fillId="0" borderId="13" xfId="76" applyNumberFormat="1" applyBorder="1" applyAlignment="1">
      <alignment horizontal="center"/>
    </xf>
    <xf numFmtId="1" fontId="4" fillId="0" borderId="13" xfId="76" applyNumberFormat="1" applyBorder="1" applyAlignment="1">
      <alignment horizontal="center"/>
    </xf>
    <xf numFmtId="1" fontId="4" fillId="0" borderId="21" xfId="76" applyNumberFormat="1" applyBorder="1" applyAlignment="1">
      <alignment horizontal="center"/>
    </xf>
    <xf numFmtId="1" fontId="4" fillId="0" borderId="24" xfId="76" applyNumberFormat="1" applyBorder="1" applyAlignment="1">
      <alignment horizontal="center"/>
    </xf>
    <xf numFmtId="0" fontId="4" fillId="0" borderId="2" xfId="76" applyBorder="1" applyAlignment="1" applyProtection="1">
      <alignment horizontal="center" vertical="center"/>
      <protection locked="0"/>
    </xf>
    <xf numFmtId="2" fontId="4" fillId="0" borderId="2" xfId="76" applyNumberFormat="1" applyBorder="1" applyAlignment="1" applyProtection="1">
      <alignment horizontal="center" vertical="center"/>
      <protection hidden="1"/>
    </xf>
    <xf numFmtId="0" fontId="4" fillId="0" borderId="16" xfId="76" applyBorder="1" applyAlignment="1" applyProtection="1">
      <alignment horizontal="center" vertical="center"/>
      <protection hidden="1"/>
    </xf>
    <xf numFmtId="49" fontId="12" fillId="42" borderId="2" xfId="62" applyNumberFormat="1" applyFont="1" applyFill="1" applyBorder="1"/>
    <xf numFmtId="1" fontId="4" fillId="42" borderId="0" xfId="62" applyNumberFormat="1" applyFont="1" applyFill="1" applyAlignment="1">
      <alignment horizontal="center"/>
    </xf>
    <xf numFmtId="167" fontId="12" fillId="42" borderId="38" xfId="62" applyNumberFormat="1" applyFont="1" applyFill="1" applyBorder="1" applyAlignment="1">
      <alignment horizontal="center"/>
    </xf>
    <xf numFmtId="0" fontId="12" fillId="42" borderId="11" xfId="62" applyFont="1" applyFill="1" applyBorder="1" applyAlignment="1">
      <alignment horizontal="center"/>
    </xf>
    <xf numFmtId="0" fontId="12" fillId="65" borderId="17" xfId="62" applyFont="1" applyFill="1" applyBorder="1" applyAlignment="1">
      <alignment horizontal="center"/>
    </xf>
    <xf numFmtId="0" fontId="12" fillId="65" borderId="2" xfId="62" applyFont="1" applyFill="1" applyBorder="1" applyAlignment="1">
      <alignment horizontal="center"/>
    </xf>
    <xf numFmtId="0" fontId="12" fillId="42" borderId="0" xfId="0" applyFont="1" applyFill="1"/>
    <xf numFmtId="0" fontId="12" fillId="42" borderId="10" xfId="62" applyFont="1" applyFill="1" applyBorder="1" applyAlignment="1">
      <alignment horizontal="center"/>
    </xf>
    <xf numFmtId="0" fontId="12" fillId="42" borderId="46" xfId="62" applyFont="1" applyFill="1" applyBorder="1" applyAlignment="1">
      <alignment horizontal="center"/>
    </xf>
    <xf numFmtId="0" fontId="12" fillId="42" borderId="50" xfId="0" applyFont="1" applyFill="1" applyBorder="1"/>
    <xf numFmtId="0" fontId="12" fillId="42" borderId="0" xfId="0" applyFont="1" applyFill="1" applyBorder="1"/>
    <xf numFmtId="0" fontId="12" fillId="42" borderId="24" xfId="0" applyFont="1" applyFill="1" applyBorder="1"/>
    <xf numFmtId="167" fontId="12" fillId="42" borderId="59" xfId="62" applyNumberFormat="1" applyFont="1" applyFill="1" applyBorder="1" applyAlignment="1">
      <alignment horizontal="center"/>
    </xf>
    <xf numFmtId="167" fontId="12" fillId="42" borderId="2" xfId="62" applyNumberFormat="1" applyFont="1" applyFill="1" applyBorder="1" applyAlignment="1">
      <alignment horizontal="center"/>
    </xf>
    <xf numFmtId="167" fontId="12" fillId="42" borderId="17" xfId="62" applyNumberFormat="1" applyFont="1" applyFill="1" applyBorder="1" applyAlignment="1">
      <alignment horizontal="center"/>
    </xf>
    <xf numFmtId="167" fontId="12" fillId="42" borderId="58" xfId="62" applyNumberFormat="1" applyFont="1" applyFill="1" applyBorder="1" applyAlignment="1">
      <alignment horizontal="center"/>
    </xf>
    <xf numFmtId="167" fontId="12" fillId="42" borderId="46" xfId="62" applyNumberFormat="1" applyFont="1" applyFill="1" applyBorder="1" applyAlignment="1">
      <alignment horizontal="center"/>
    </xf>
    <xf numFmtId="167" fontId="12" fillId="42" borderId="10" xfId="62" applyNumberFormat="1" applyFont="1" applyFill="1" applyBorder="1" applyAlignment="1">
      <alignment horizontal="center"/>
    </xf>
    <xf numFmtId="167" fontId="12" fillId="42" borderId="39" xfId="62" applyNumberFormat="1" applyFont="1" applyFill="1" applyBorder="1" applyAlignment="1">
      <alignment horizontal="center"/>
    </xf>
    <xf numFmtId="0" fontId="12" fillId="42" borderId="0" xfId="62" applyFont="1" applyFill="1" applyBorder="1" applyAlignment="1">
      <alignment horizontal="center"/>
    </xf>
    <xf numFmtId="0" fontId="0" fillId="42" borderId="0" xfId="0" applyFill="1"/>
    <xf numFmtId="167" fontId="10" fillId="42" borderId="32" xfId="62" applyNumberFormat="1" applyFont="1" applyFill="1" applyBorder="1" applyAlignment="1">
      <alignment horizontal="center"/>
    </xf>
    <xf numFmtId="167" fontId="10" fillId="42" borderId="0" xfId="62" applyNumberFormat="1" applyFont="1" applyFill="1" applyBorder="1" applyAlignment="1">
      <alignment horizontal="center"/>
    </xf>
    <xf numFmtId="0" fontId="12" fillId="42" borderId="0" xfId="62" applyFont="1" applyFill="1" applyAlignment="1">
      <alignment horizontal="center"/>
    </xf>
    <xf numFmtId="2" fontId="81" fillId="42" borderId="32" xfId="62" applyNumberFormat="1" applyFont="1" applyFill="1" applyBorder="1" applyAlignment="1">
      <alignment horizontal="center"/>
    </xf>
    <xf numFmtId="2" fontId="71" fillId="42" borderId="43" xfId="62" applyNumberFormat="1" applyFont="1" applyFill="1" applyBorder="1" applyAlignment="1">
      <alignment horizontal="center"/>
    </xf>
    <xf numFmtId="2" fontId="10" fillId="42" borderId="32" xfId="62" applyNumberFormat="1" applyFont="1" applyFill="1" applyBorder="1" applyAlignment="1">
      <alignment horizontal="center"/>
    </xf>
    <xf numFmtId="2" fontId="12" fillId="42" borderId="32" xfId="62" applyNumberFormat="1" applyFill="1" applyBorder="1" applyAlignment="1">
      <alignment horizontal="center"/>
    </xf>
    <xf numFmtId="167" fontId="12" fillId="42" borderId="43" xfId="62" applyNumberFormat="1" applyFill="1" applyBorder="1" applyAlignment="1">
      <alignment horizontal="center"/>
    </xf>
    <xf numFmtId="167" fontId="12" fillId="42" borderId="9" xfId="62" applyNumberFormat="1" applyFill="1" applyBorder="1" applyAlignment="1">
      <alignment horizontal="center"/>
    </xf>
    <xf numFmtId="2" fontId="12" fillId="42" borderId="43" xfId="62" applyNumberFormat="1" applyFill="1" applyBorder="1"/>
    <xf numFmtId="2" fontId="71" fillId="42" borderId="25" xfId="62" applyNumberFormat="1" applyFont="1" applyFill="1" applyBorder="1" applyAlignment="1">
      <alignment horizontal="center"/>
    </xf>
    <xf numFmtId="2" fontId="12" fillId="42" borderId="41" xfId="62" applyNumberFormat="1" applyFill="1" applyBorder="1" applyAlignment="1">
      <alignment horizontal="center"/>
    </xf>
    <xf numFmtId="167" fontId="12" fillId="42" borderId="40" xfId="62" applyNumberFormat="1" applyFill="1" applyBorder="1" applyAlignment="1">
      <alignment horizontal="center"/>
    </xf>
    <xf numFmtId="167" fontId="12" fillId="42" borderId="42" xfId="62" applyNumberFormat="1" applyFill="1" applyBorder="1" applyAlignment="1">
      <alignment horizontal="center"/>
    </xf>
    <xf numFmtId="2" fontId="77" fillId="42" borderId="43" xfId="62" applyNumberFormat="1" applyFont="1" applyFill="1" applyBorder="1" applyAlignment="1">
      <alignment horizontal="center"/>
    </xf>
    <xf numFmtId="0" fontId="12" fillId="42" borderId="50" xfId="0" applyFont="1" applyFill="1" applyBorder="1" applyAlignment="1">
      <alignment horizontal="center"/>
    </xf>
    <xf numFmtId="0" fontId="12" fillId="42" borderId="0" xfId="0" applyFont="1" applyFill="1" applyBorder="1" applyAlignment="1">
      <alignment horizontal="center"/>
    </xf>
    <xf numFmtId="0" fontId="12" fillId="42" borderId="24" xfId="0" applyFont="1" applyFill="1" applyBorder="1" applyAlignment="1">
      <alignment horizontal="center"/>
    </xf>
    <xf numFmtId="49" fontId="12" fillId="42" borderId="0" xfId="62" applyNumberFormat="1" applyFont="1" applyFill="1" applyBorder="1"/>
    <xf numFmtId="167" fontId="12" fillId="42" borderId="32" xfId="62" applyNumberFormat="1" applyFont="1" applyFill="1" applyBorder="1" applyAlignment="1">
      <alignment horizontal="center"/>
    </xf>
    <xf numFmtId="167" fontId="12" fillId="42" borderId="43" xfId="62" applyNumberFormat="1" applyFont="1" applyFill="1" applyBorder="1" applyAlignment="1">
      <alignment horizontal="center"/>
    </xf>
    <xf numFmtId="167" fontId="12" fillId="65" borderId="25" xfId="62" applyNumberFormat="1" applyFont="1" applyFill="1" applyBorder="1" applyAlignment="1">
      <alignment horizontal="center"/>
    </xf>
    <xf numFmtId="167" fontId="12" fillId="65" borderId="0" xfId="62" applyNumberFormat="1" applyFont="1" applyFill="1" applyBorder="1" applyAlignment="1">
      <alignment horizontal="center"/>
    </xf>
    <xf numFmtId="167" fontId="12" fillId="42" borderId="31" xfId="62" applyNumberFormat="1" applyFont="1" applyFill="1" applyBorder="1" applyAlignment="1">
      <alignment horizontal="center"/>
    </xf>
    <xf numFmtId="167" fontId="12" fillId="42" borderId="0" xfId="62" applyNumberFormat="1" applyFont="1" applyFill="1" applyBorder="1" applyAlignment="1">
      <alignment horizontal="center"/>
    </xf>
    <xf numFmtId="167" fontId="12" fillId="42" borderId="25" xfId="62" applyNumberFormat="1" applyFont="1" applyFill="1" applyBorder="1" applyAlignment="1">
      <alignment horizontal="center"/>
    </xf>
    <xf numFmtId="167" fontId="12" fillId="42" borderId="50" xfId="62" applyNumberFormat="1" applyFont="1" applyFill="1" applyBorder="1" applyAlignment="1">
      <alignment horizontal="center"/>
    </xf>
    <xf numFmtId="167" fontId="12" fillId="42" borderId="9" xfId="62" applyNumberFormat="1" applyFont="1" applyFill="1" applyBorder="1" applyAlignment="1">
      <alignment horizontal="center"/>
    </xf>
    <xf numFmtId="167" fontId="12" fillId="42" borderId="24" xfId="62" applyNumberFormat="1" applyFont="1" applyFill="1" applyBorder="1" applyAlignment="1">
      <alignment horizontal="center"/>
    </xf>
    <xf numFmtId="167" fontId="12" fillId="42" borderId="24" xfId="0" applyNumberFormat="1" applyFont="1" applyFill="1" applyBorder="1" applyAlignment="1">
      <alignment horizontal="center"/>
    </xf>
    <xf numFmtId="167" fontId="12" fillId="42" borderId="0" xfId="62" applyNumberFormat="1" applyFill="1" applyAlignment="1">
      <alignment horizontal="center"/>
    </xf>
    <xf numFmtId="0" fontId="71" fillId="42" borderId="43" xfId="62" applyFont="1" applyFill="1" applyBorder="1" applyAlignment="1">
      <alignment horizontal="center"/>
    </xf>
    <xf numFmtId="167" fontId="71" fillId="42" borderId="25" xfId="62" applyNumberFormat="1" applyFont="1" applyFill="1" applyBorder="1" applyAlignment="1">
      <alignment horizontal="center"/>
    </xf>
    <xf numFmtId="167" fontId="71" fillId="42" borderId="43" xfId="62" applyNumberFormat="1" applyFont="1" applyFill="1" applyBorder="1" applyAlignment="1">
      <alignment horizontal="center"/>
    </xf>
    <xf numFmtId="0" fontId="71" fillId="42" borderId="43" xfId="62" applyFont="1" applyFill="1" applyBorder="1"/>
    <xf numFmtId="0" fontId="71" fillId="42" borderId="25" xfId="62" applyFont="1" applyFill="1" applyBorder="1"/>
    <xf numFmtId="0" fontId="71" fillId="42" borderId="25" xfId="62" applyFont="1" applyFill="1" applyBorder="1" applyAlignment="1">
      <alignment horizontal="center"/>
    </xf>
    <xf numFmtId="0" fontId="10" fillId="42" borderId="32" xfId="62" applyFont="1" applyFill="1" applyBorder="1" applyAlignment="1">
      <alignment horizontal="center"/>
    </xf>
    <xf numFmtId="167" fontId="12" fillId="42" borderId="25" xfId="62" applyNumberFormat="1" applyFill="1" applyBorder="1" applyAlignment="1">
      <alignment horizontal="center"/>
    </xf>
    <xf numFmtId="1" fontId="10" fillId="42" borderId="43" xfId="62" applyNumberFormat="1" applyFont="1" applyFill="1" applyBorder="1" applyAlignment="1">
      <alignment horizontal="center"/>
    </xf>
    <xf numFmtId="2" fontId="81" fillId="57" borderId="32" xfId="62" applyNumberFormat="1" applyFont="1" applyFill="1" applyBorder="1" applyAlignment="1">
      <alignment horizontal="center"/>
    </xf>
    <xf numFmtId="167" fontId="10" fillId="57" borderId="32" xfId="62" applyNumberFormat="1" applyFont="1" applyFill="1" applyBorder="1" applyAlignment="1">
      <alignment horizontal="center"/>
    </xf>
    <xf numFmtId="2" fontId="10" fillId="57" borderId="32" xfId="62" applyNumberFormat="1" applyFont="1" applyFill="1" applyBorder="1" applyAlignment="1">
      <alignment horizontal="center"/>
    </xf>
    <xf numFmtId="167" fontId="70" fillId="42" borderId="43" xfId="62" applyNumberFormat="1" applyFont="1" applyFill="1" applyBorder="1" applyAlignment="1">
      <alignment horizontal="center"/>
    </xf>
    <xf numFmtId="167" fontId="70" fillId="42" borderId="25" xfId="62" applyNumberFormat="1" applyFont="1" applyFill="1" applyBorder="1" applyAlignment="1">
      <alignment horizontal="center"/>
    </xf>
    <xf numFmtId="167" fontId="9" fillId="42" borderId="32" xfId="62" applyNumberFormat="1" applyFont="1" applyFill="1" applyBorder="1" applyAlignment="1">
      <alignment horizontal="center"/>
    </xf>
    <xf numFmtId="1" fontId="10" fillId="42" borderId="9" xfId="62" applyNumberFormat="1" applyFont="1" applyFill="1" applyBorder="1" applyAlignment="1">
      <alignment horizontal="center"/>
    </xf>
    <xf numFmtId="1" fontId="10" fillId="42" borderId="9" xfId="62" applyNumberFormat="1" applyFont="1" applyFill="1" applyBorder="1"/>
    <xf numFmtId="0" fontId="10" fillId="42" borderId="41" xfId="62" applyFont="1" applyFill="1" applyBorder="1" applyAlignment="1">
      <alignment horizontal="center"/>
    </xf>
    <xf numFmtId="167" fontId="12" fillId="42" borderId="41" xfId="62" applyNumberFormat="1" applyFill="1" applyBorder="1" applyAlignment="1">
      <alignment horizontal="center"/>
    </xf>
    <xf numFmtId="167" fontId="12" fillId="42" borderId="22" xfId="62" applyNumberFormat="1" applyFill="1" applyBorder="1" applyAlignment="1">
      <alignment horizontal="center"/>
    </xf>
    <xf numFmtId="0" fontId="12" fillId="42" borderId="40" xfId="62" applyFill="1" applyBorder="1"/>
    <xf numFmtId="167" fontId="12" fillId="42" borderId="13" xfId="62" applyNumberFormat="1" applyFill="1" applyBorder="1" applyAlignment="1">
      <alignment horizontal="center"/>
    </xf>
    <xf numFmtId="1" fontId="10" fillId="42" borderId="40" xfId="62" applyNumberFormat="1" applyFont="1" applyFill="1" applyBorder="1" applyAlignment="1">
      <alignment horizontal="center"/>
    </xf>
    <xf numFmtId="0" fontId="10" fillId="42" borderId="43" xfId="62" applyFont="1" applyFill="1" applyBorder="1" applyAlignment="1">
      <alignment horizontal="center"/>
    </xf>
    <xf numFmtId="1" fontId="5" fillId="0" borderId="86" xfId="0" applyNumberFormat="1" applyFont="1" applyFill="1" applyBorder="1" applyAlignment="1" applyProtection="1">
      <alignment horizontal="center" vertical="center" shrinkToFit="1"/>
      <protection hidden="1"/>
    </xf>
    <xf numFmtId="0" fontId="5" fillId="60" borderId="87" xfId="0" applyFont="1" applyFill="1" applyBorder="1" applyAlignment="1" applyProtection="1">
      <alignment horizontal="center" vertical="center"/>
      <protection locked="0"/>
    </xf>
    <xf numFmtId="0" fontId="0" fillId="0" borderId="0" xfId="0" applyAlignment="1" applyProtection="1">
      <alignment horizontal="center" vertical="center"/>
      <protection locked="0" hidden="1"/>
    </xf>
    <xf numFmtId="0" fontId="0" fillId="0" borderId="0" xfId="0" applyFill="1" applyBorder="1" applyAlignment="1" applyProtection="1">
      <alignment horizontal="center" vertical="center"/>
      <protection locked="0" hidden="1"/>
    </xf>
    <xf numFmtId="0" fontId="0" fillId="0" borderId="0" xfId="0" applyAlignment="1" applyProtection="1">
      <alignment horizontal="center"/>
      <protection hidden="1"/>
    </xf>
    <xf numFmtId="0" fontId="12" fillId="0" borderId="0" xfId="0" applyFont="1" applyAlignment="1" applyProtection="1">
      <alignment horizontal="center"/>
      <protection locked="0" hidden="1"/>
    </xf>
    <xf numFmtId="0" fontId="0" fillId="0" borderId="0" xfId="0" applyAlignment="1">
      <alignment horizontal="center"/>
    </xf>
    <xf numFmtId="0" fontId="4" fillId="0" borderId="0" xfId="0" applyFont="1" applyAlignment="1">
      <alignment horizontal="center"/>
    </xf>
    <xf numFmtId="1" fontId="12" fillId="0" borderId="0" xfId="0" applyNumberFormat="1" applyFont="1" applyFill="1"/>
    <xf numFmtId="0" fontId="0" fillId="0" borderId="0" xfId="0" applyAlignment="1">
      <alignment horizontal="center"/>
    </xf>
    <xf numFmtId="0" fontId="0" fillId="46" borderId="0" xfId="0" applyFill="1"/>
    <xf numFmtId="0" fontId="2" fillId="0" borderId="0" xfId="77"/>
    <xf numFmtId="0" fontId="114" fillId="56" borderId="64" xfId="77" applyFont="1" applyFill="1" applyBorder="1" applyAlignment="1">
      <alignment vertical="center"/>
    </xf>
    <xf numFmtId="0" fontId="114" fillId="56" borderId="63" xfId="77" applyFont="1" applyFill="1" applyBorder="1" applyAlignment="1">
      <alignment vertical="center"/>
    </xf>
    <xf numFmtId="0" fontId="114" fillId="56" borderId="113" xfId="77" applyFont="1" applyFill="1" applyBorder="1" applyAlignment="1">
      <alignment vertical="center"/>
    </xf>
    <xf numFmtId="0" fontId="2" fillId="0" borderId="0" xfId="77" applyAlignment="1">
      <alignment horizontal="center"/>
    </xf>
    <xf numFmtId="0" fontId="115" fillId="0" borderId="0" xfId="77" applyFont="1" applyAlignment="1">
      <alignment vertical="center"/>
    </xf>
    <xf numFmtId="0" fontId="115" fillId="0" borderId="0" xfId="77" applyFont="1" applyAlignment="1">
      <alignment horizontal="center" vertical="center"/>
    </xf>
    <xf numFmtId="0" fontId="115" fillId="0" borderId="0" xfId="77" applyFont="1" applyAlignment="1">
      <alignment horizontal="center"/>
    </xf>
    <xf numFmtId="0" fontId="115" fillId="0" borderId="0" xfId="77" applyFont="1" applyAlignment="1">
      <alignment vertical="center" shrinkToFit="1"/>
    </xf>
    <xf numFmtId="0" fontId="115" fillId="0" borderId="0" xfId="77" applyFont="1" applyAlignment="1">
      <alignment horizontal="center" vertical="center" shrinkToFit="1"/>
    </xf>
    <xf numFmtId="0" fontId="115" fillId="0" borderId="0" xfId="77" applyFont="1" applyAlignment="1">
      <alignment shrinkToFit="1"/>
    </xf>
    <xf numFmtId="0" fontId="115" fillId="0" borderId="0" xfId="77" applyFont="1" applyAlignment="1">
      <alignment horizontal="center" shrinkToFit="1"/>
    </xf>
    <xf numFmtId="0" fontId="116" fillId="0" borderId="0" xfId="77" applyFont="1" applyAlignment="1">
      <alignment vertical="center"/>
    </xf>
    <xf numFmtId="0" fontId="117" fillId="0" borderId="0" xfId="77" applyFont="1"/>
    <xf numFmtId="2" fontId="2" fillId="66" borderId="0" xfId="77" applyNumberFormat="1" applyFill="1"/>
    <xf numFmtId="0" fontId="2" fillId="0" borderId="0" xfId="77" applyAlignment="1">
      <alignment horizontal="center" shrinkToFit="1"/>
    </xf>
    <xf numFmtId="0" fontId="117" fillId="0" borderId="120" xfId="77" applyFont="1" applyBorder="1"/>
    <xf numFmtId="0" fontId="117" fillId="0" borderId="92" xfId="77" applyFont="1" applyBorder="1"/>
    <xf numFmtId="0" fontId="117" fillId="0" borderId="19" xfId="77" applyFont="1" applyBorder="1"/>
    <xf numFmtId="0" fontId="2" fillId="44" borderId="0" xfId="77" applyFill="1"/>
    <xf numFmtId="0" fontId="2" fillId="0" borderId="0" xfId="77" applyAlignment="1">
      <alignment shrinkToFit="1"/>
    </xf>
    <xf numFmtId="0" fontId="2" fillId="0" borderId="22" xfId="77" applyBorder="1"/>
    <xf numFmtId="0" fontId="2" fillId="68" borderId="0" xfId="77" applyFill="1"/>
    <xf numFmtId="1" fontId="2" fillId="4" borderId="0" xfId="77" applyNumberFormat="1" applyFill="1"/>
    <xf numFmtId="2" fontId="2" fillId="4" borderId="0" xfId="77" applyNumberFormat="1" applyFill="1" applyAlignment="1">
      <alignment shrinkToFit="1"/>
    </xf>
    <xf numFmtId="2" fontId="2" fillId="0" borderId="0" xfId="77" applyNumberFormat="1" applyAlignment="1">
      <alignment shrinkToFit="1"/>
    </xf>
    <xf numFmtId="0" fontId="2" fillId="0" borderId="25" xfId="77" applyBorder="1"/>
    <xf numFmtId="0" fontId="4" fillId="0" borderId="0" xfId="78" applyAlignment="1">
      <alignment horizontal="left"/>
    </xf>
    <xf numFmtId="2" fontId="2" fillId="0" borderId="0" xfId="77" applyNumberFormat="1"/>
    <xf numFmtId="2" fontId="2" fillId="4" borderId="0" xfId="77" applyNumberFormat="1" applyFill="1"/>
    <xf numFmtId="0" fontId="2" fillId="0" borderId="17" xfId="77" applyBorder="1"/>
    <xf numFmtId="0" fontId="2" fillId="0" borderId="0" xfId="77" applyProtection="1">
      <protection hidden="1"/>
    </xf>
    <xf numFmtId="0" fontId="115" fillId="70" borderId="1" xfId="77" applyFont="1" applyFill="1" applyBorder="1" applyAlignment="1" applyProtection="1">
      <alignment horizontal="center"/>
      <protection hidden="1"/>
    </xf>
    <xf numFmtId="0" fontId="51" fillId="70" borderId="1" xfId="77" applyFont="1" applyFill="1" applyBorder="1" applyAlignment="1">
      <alignment horizontal="center"/>
    </xf>
    <xf numFmtId="0" fontId="115" fillId="70" borderId="19" xfId="77" applyFont="1" applyFill="1" applyBorder="1" applyAlignment="1">
      <alignment horizontal="left" vertical="center"/>
    </xf>
    <xf numFmtId="0" fontId="115" fillId="70" borderId="120" xfId="77" applyFont="1" applyFill="1" applyBorder="1" applyAlignment="1">
      <alignment vertical="center"/>
    </xf>
    <xf numFmtId="0" fontId="115" fillId="70" borderId="1" xfId="77" applyFont="1" applyFill="1" applyBorder="1" applyAlignment="1">
      <alignment horizontal="center" vertical="center"/>
    </xf>
    <xf numFmtId="0" fontId="115" fillId="70" borderId="1" xfId="77" applyFont="1" applyFill="1" applyBorder="1" applyAlignment="1" applyProtection="1">
      <alignment horizontal="center" vertical="center"/>
      <protection hidden="1"/>
    </xf>
    <xf numFmtId="0" fontId="115" fillId="70" borderId="17" xfId="77" applyFont="1" applyFill="1" applyBorder="1" applyAlignment="1" applyProtection="1">
      <alignment horizontal="center" vertical="center"/>
      <protection hidden="1"/>
    </xf>
    <xf numFmtId="0" fontId="80" fillId="70" borderId="25" xfId="77" applyFont="1" applyFill="1" applyBorder="1" applyAlignment="1" applyProtection="1">
      <alignment horizontal="center" vertical="center"/>
      <protection hidden="1"/>
    </xf>
    <xf numFmtId="0" fontId="119" fillId="70" borderId="25" xfId="77" applyFont="1" applyFill="1" applyBorder="1" applyAlignment="1" applyProtection="1">
      <alignment horizontal="center" vertical="center"/>
      <protection hidden="1"/>
    </xf>
    <xf numFmtId="0" fontId="115" fillId="70" borderId="25" xfId="77" applyFont="1" applyFill="1" applyBorder="1" applyAlignment="1" applyProtection="1">
      <alignment horizontal="center" vertical="center"/>
      <protection hidden="1"/>
    </xf>
    <xf numFmtId="0" fontId="115" fillId="70" borderId="1" xfId="77" applyFont="1" applyFill="1" applyBorder="1" applyAlignment="1">
      <alignment horizontal="left" vertical="center"/>
    </xf>
    <xf numFmtId="0" fontId="115" fillId="70" borderId="25" xfId="77" applyFont="1" applyFill="1" applyBorder="1" applyAlignment="1">
      <alignment horizontal="left" vertical="center"/>
    </xf>
    <xf numFmtId="2" fontId="119" fillId="43" borderId="1" xfId="77" applyNumberFormat="1" applyFont="1" applyFill="1" applyBorder="1" applyAlignment="1">
      <alignment horizontal="center" vertical="center"/>
    </xf>
    <xf numFmtId="2" fontId="119" fillId="44" borderId="1" xfId="77" applyNumberFormat="1" applyFont="1" applyFill="1" applyBorder="1" applyAlignment="1">
      <alignment horizontal="center" vertical="center"/>
    </xf>
    <xf numFmtId="2" fontId="119" fillId="44" borderId="0" xfId="77" applyNumberFormat="1" applyFont="1" applyFill="1" applyAlignment="1">
      <alignment horizontal="center" vertical="center"/>
    </xf>
    <xf numFmtId="2" fontId="119" fillId="0" borderId="1" xfId="77" applyNumberFormat="1" applyFont="1" applyBorder="1" applyAlignment="1">
      <alignment horizontal="center" vertical="center"/>
    </xf>
    <xf numFmtId="1" fontId="2" fillId="0" borderId="0" xfId="77" applyNumberFormat="1" applyAlignment="1">
      <alignment shrinkToFit="1"/>
    </xf>
    <xf numFmtId="0" fontId="117" fillId="0" borderId="4" xfId="77" applyFont="1" applyBorder="1"/>
    <xf numFmtId="1" fontId="2" fillId="0" borderId="0" xfId="77" applyNumberFormat="1"/>
    <xf numFmtId="0" fontId="115" fillId="72" borderId="120" xfId="77" applyFont="1" applyFill="1" applyBorder="1"/>
    <xf numFmtId="0" fontId="115" fillId="72" borderId="19" xfId="77" applyFont="1" applyFill="1" applyBorder="1"/>
    <xf numFmtId="0" fontId="115" fillId="72" borderId="1" xfId="77" applyFont="1" applyFill="1" applyBorder="1" applyAlignment="1">
      <alignment horizontal="center" vertical="center"/>
    </xf>
    <xf numFmtId="0" fontId="115" fillId="72" borderId="1" xfId="77" applyFont="1" applyFill="1" applyBorder="1" applyAlignment="1">
      <alignment horizontal="center"/>
    </xf>
    <xf numFmtId="2" fontId="2" fillId="43" borderId="19" xfId="77" applyNumberFormat="1" applyFill="1" applyBorder="1" applyAlignment="1">
      <alignment horizontal="center"/>
    </xf>
    <xf numFmtId="0" fontId="5" fillId="0" borderId="292" xfId="0" applyFont="1" applyBorder="1" applyAlignment="1">
      <alignment vertical="center" wrapText="1"/>
    </xf>
    <xf numFmtId="0" fontId="4" fillId="0" borderId="293" xfId="0" applyFont="1" applyBorder="1" applyAlignment="1">
      <alignment horizontal="center" vertical="center"/>
    </xf>
    <xf numFmtId="0" fontId="0" fillId="0" borderId="296" xfId="0" applyBorder="1" applyAlignment="1">
      <alignment horizontal="center" vertical="center"/>
    </xf>
    <xf numFmtId="0" fontId="4" fillId="60" borderId="297" xfId="0" applyFont="1" applyFill="1" applyBorder="1" applyAlignment="1" applyProtection="1">
      <alignment horizontal="center" vertical="center"/>
      <protection locked="0"/>
    </xf>
    <xf numFmtId="0" fontId="0" fillId="0" borderId="299" xfId="0" applyBorder="1" applyAlignment="1">
      <alignment horizontal="center" vertical="center"/>
    </xf>
    <xf numFmtId="0" fontId="4" fillId="60" borderId="300" xfId="0" applyFont="1" applyFill="1" applyBorder="1" applyAlignment="1" applyProtection="1">
      <alignment horizontal="center" vertical="center"/>
      <protection locked="0"/>
    </xf>
    <xf numFmtId="0" fontId="0" fillId="0" borderId="304" xfId="0" applyBorder="1" applyAlignment="1">
      <alignment horizontal="center" vertical="center"/>
    </xf>
    <xf numFmtId="0" fontId="0" fillId="0" borderId="306" xfId="0" applyBorder="1" applyAlignment="1">
      <alignment horizontal="center" vertical="center"/>
    </xf>
    <xf numFmtId="0" fontId="0" fillId="0" borderId="309" xfId="0" applyBorder="1" applyAlignment="1">
      <alignment horizontal="center" vertical="center"/>
    </xf>
    <xf numFmtId="0" fontId="4" fillId="0" borderId="296" xfId="0" applyFont="1" applyBorder="1" applyAlignment="1">
      <alignment horizontal="center" vertical="center"/>
    </xf>
    <xf numFmtId="0" fontId="4" fillId="0" borderId="309" xfId="0" applyFont="1" applyBorder="1" applyAlignment="1">
      <alignment horizontal="center" vertical="center"/>
    </xf>
    <xf numFmtId="0" fontId="4" fillId="0" borderId="0" xfId="0" applyFont="1" applyProtection="1">
      <protection locked="0" hidden="1"/>
    </xf>
    <xf numFmtId="0" fontId="115" fillId="60" borderId="1" xfId="0" applyFont="1" applyFill="1" applyBorder="1" applyProtection="1">
      <protection locked="0"/>
    </xf>
    <xf numFmtId="0" fontId="119" fillId="60" borderId="1" xfId="0" applyFont="1" applyFill="1" applyBorder="1" applyAlignment="1" applyProtection="1">
      <alignment horizontal="center" vertical="center"/>
      <protection locked="0"/>
    </xf>
    <xf numFmtId="0" fontId="119" fillId="60" borderId="1" xfId="0" applyFont="1" applyFill="1" applyBorder="1" applyAlignment="1" applyProtection="1">
      <alignment horizontal="center"/>
      <protection locked="0"/>
    </xf>
    <xf numFmtId="0" fontId="115" fillId="60" borderId="1" xfId="0" applyFont="1" applyFill="1" applyBorder="1" applyAlignment="1" applyProtection="1">
      <alignment vertical="center"/>
      <protection locked="0"/>
    </xf>
    <xf numFmtId="0" fontId="17" fillId="60" borderId="1" xfId="78" applyFont="1" applyFill="1" applyBorder="1" applyAlignment="1" applyProtection="1">
      <alignment horizontal="center" vertical="center"/>
      <protection locked="0"/>
    </xf>
    <xf numFmtId="0" fontId="115" fillId="60" borderId="1" xfId="77" applyFont="1" applyFill="1" applyBorder="1" applyProtection="1">
      <protection locked="0"/>
    </xf>
    <xf numFmtId="0" fontId="119" fillId="60" borderId="1" xfId="77" applyFont="1" applyFill="1" applyBorder="1" applyAlignment="1" applyProtection="1">
      <alignment horizontal="center" vertical="center"/>
      <protection locked="0"/>
    </xf>
    <xf numFmtId="0" fontId="119" fillId="60" borderId="1" xfId="77" applyFont="1" applyFill="1" applyBorder="1" applyAlignment="1" applyProtection="1">
      <alignment horizontal="center"/>
      <protection locked="0"/>
    </xf>
    <xf numFmtId="0" fontId="4" fillId="0" borderId="30" xfId="0" applyFont="1" applyBorder="1" applyProtection="1">
      <protection hidden="1"/>
    </xf>
    <xf numFmtId="0" fontId="0" fillId="0" borderId="30" xfId="0" applyBorder="1" applyAlignment="1" applyProtection="1">
      <alignment shrinkToFit="1"/>
      <protection hidden="1"/>
    </xf>
    <xf numFmtId="2" fontId="0" fillId="0" borderId="151" xfId="0" applyNumberFormat="1" applyBorder="1" applyAlignment="1">
      <alignment horizontal="center" vertical="center"/>
    </xf>
    <xf numFmtId="2" fontId="0" fillId="0" borderId="315" xfId="0" applyNumberFormat="1" applyBorder="1" applyAlignment="1">
      <alignment horizontal="center" vertical="center"/>
    </xf>
    <xf numFmtId="2" fontId="0" fillId="0" borderId="316" xfId="0" applyNumberFormat="1" applyBorder="1" applyAlignment="1">
      <alignment horizontal="center" vertical="center"/>
    </xf>
    <xf numFmtId="2" fontId="0" fillId="0" borderId="317" xfId="0" applyNumberFormat="1" applyBorder="1" applyAlignment="1">
      <alignment horizontal="center" vertical="center"/>
    </xf>
    <xf numFmtId="2" fontId="0" fillId="0" borderId="318" xfId="0" applyNumberFormat="1" applyBorder="1" applyAlignment="1">
      <alignment horizontal="center" vertical="center"/>
    </xf>
    <xf numFmtId="2" fontId="0" fillId="0" borderId="319" xfId="0" applyNumberFormat="1" applyBorder="1" applyAlignment="1">
      <alignment horizontal="center" vertical="center"/>
    </xf>
    <xf numFmtId="0" fontId="4" fillId="0" borderId="32" xfId="0" applyFont="1" applyBorder="1" applyProtection="1">
      <protection hidden="1"/>
    </xf>
    <xf numFmtId="0" fontId="0" fillId="0" borderId="32" xfId="0" applyBorder="1" applyAlignment="1" applyProtection="1">
      <alignment shrinkToFit="1"/>
      <protection hidden="1"/>
    </xf>
    <xf numFmtId="2" fontId="0" fillId="0" borderId="127" xfId="0" applyNumberFormat="1" applyBorder="1" applyAlignment="1">
      <alignment horizontal="center" vertical="center"/>
    </xf>
    <xf numFmtId="2" fontId="0" fillId="0" borderId="304" xfId="0" applyNumberFormat="1" applyBorder="1" applyAlignment="1">
      <alignment horizontal="center" vertical="center"/>
    </xf>
    <xf numFmtId="2" fontId="0" fillId="0" borderId="305" xfId="0" applyNumberFormat="1" applyBorder="1" applyAlignment="1">
      <alignment horizontal="center" vertical="center"/>
    </xf>
    <xf numFmtId="2" fontId="0" fillId="0" borderId="117" xfId="0" applyNumberFormat="1" applyBorder="1" applyAlignment="1">
      <alignment horizontal="center" vertical="center"/>
    </xf>
    <xf numFmtId="2" fontId="0" fillId="0" borderId="302" xfId="0" applyNumberFormat="1" applyBorder="1" applyAlignment="1">
      <alignment horizontal="center" vertical="center"/>
    </xf>
    <xf numFmtId="2" fontId="0" fillId="0" borderId="301" xfId="0" applyNumberFormat="1" applyBorder="1" applyAlignment="1">
      <alignment horizontal="center" vertical="center"/>
    </xf>
    <xf numFmtId="0" fontId="4" fillId="0" borderId="38" xfId="0" applyFont="1" applyBorder="1" applyProtection="1">
      <protection hidden="1"/>
    </xf>
    <xf numFmtId="0" fontId="0" fillId="0" borderId="38" xfId="0" applyBorder="1" applyAlignment="1" applyProtection="1">
      <alignment shrinkToFit="1"/>
      <protection hidden="1"/>
    </xf>
    <xf numFmtId="2" fontId="0" fillId="0" borderId="320" xfId="0" applyNumberFormat="1" applyBorder="1" applyAlignment="1">
      <alignment horizontal="center" vertical="center"/>
    </xf>
    <xf numFmtId="2" fontId="0" fillId="0" borderId="321" xfId="0" applyNumberFormat="1" applyBorder="1" applyAlignment="1">
      <alignment horizontal="center" vertical="center"/>
    </xf>
    <xf numFmtId="2" fontId="0" fillId="0" borderId="322" xfId="0" applyNumberFormat="1" applyBorder="1" applyAlignment="1">
      <alignment horizontal="center" vertical="center"/>
    </xf>
    <xf numFmtId="2" fontId="0" fillId="0" borderId="323" xfId="0" applyNumberFormat="1" applyBorder="1" applyAlignment="1">
      <alignment horizontal="center" vertical="center"/>
    </xf>
    <xf numFmtId="2" fontId="0" fillId="0" borderId="324" xfId="0" applyNumberFormat="1" applyBorder="1" applyAlignment="1">
      <alignment horizontal="center" vertical="center"/>
    </xf>
    <xf numFmtId="2" fontId="0" fillId="0" borderId="325" xfId="0" applyNumberFormat="1" applyBorder="1" applyAlignment="1">
      <alignment horizontal="center" vertical="center"/>
    </xf>
    <xf numFmtId="2" fontId="0" fillId="0" borderId="160" xfId="0" applyNumberFormat="1" applyBorder="1" applyAlignment="1">
      <alignment horizontal="center" vertical="center"/>
    </xf>
    <xf numFmtId="2" fontId="0" fillId="0" borderId="306" xfId="0" applyNumberFormat="1" applyBorder="1" applyAlignment="1">
      <alignment horizontal="center" vertical="center"/>
    </xf>
    <xf numFmtId="2" fontId="0" fillId="0" borderId="308" xfId="0" applyNumberFormat="1" applyBorder="1" applyAlignment="1">
      <alignment horizontal="center" vertical="center"/>
    </xf>
    <xf numFmtId="2" fontId="0" fillId="0" borderId="125" xfId="0" applyNumberFormat="1" applyBorder="1" applyAlignment="1">
      <alignment horizontal="center" vertical="center"/>
    </xf>
    <xf numFmtId="2" fontId="0" fillId="0" borderId="307" xfId="0" applyNumberFormat="1" applyBorder="1" applyAlignment="1">
      <alignment horizontal="center" vertical="center"/>
    </xf>
    <xf numFmtId="2" fontId="0" fillId="0" borderId="326" xfId="0" applyNumberFormat="1" applyBorder="1" applyAlignment="1">
      <alignment horizontal="center" vertical="center"/>
    </xf>
    <xf numFmtId="0" fontId="4" fillId="0" borderId="34" xfId="0" applyFont="1" applyBorder="1" applyProtection="1">
      <protection hidden="1"/>
    </xf>
    <xf numFmtId="0" fontId="0" fillId="0" borderId="34" xfId="0" applyBorder="1" applyAlignment="1" applyProtection="1">
      <alignment shrinkToFit="1"/>
      <protection hidden="1"/>
    </xf>
    <xf numFmtId="0" fontId="7" fillId="0" borderId="0" xfId="0" applyFont="1" applyAlignment="1">
      <alignment horizontal="left" vertical="center"/>
    </xf>
    <xf numFmtId="0" fontId="5" fillId="0" borderId="0" xfId="0" applyFont="1" applyAlignment="1">
      <alignment horizontal="center"/>
    </xf>
    <xf numFmtId="0" fontId="5" fillId="0" borderId="335" xfId="0" applyFont="1" applyBorder="1" applyAlignment="1">
      <alignment horizontal="center"/>
    </xf>
    <xf numFmtId="0" fontId="5" fillId="0" borderId="337" xfId="0" applyFont="1" applyBorder="1" applyAlignment="1">
      <alignment horizontal="center"/>
    </xf>
    <xf numFmtId="0" fontId="5" fillId="0" borderId="338" xfId="0" applyFont="1" applyBorder="1" applyAlignment="1">
      <alignment horizontal="center"/>
    </xf>
    <xf numFmtId="0" fontId="5" fillId="0" borderId="339" xfId="0" applyFont="1" applyBorder="1" applyAlignment="1">
      <alignment horizontal="center"/>
    </xf>
    <xf numFmtId="0" fontId="5" fillId="0" borderId="340" xfId="0" applyFont="1" applyBorder="1" applyAlignment="1">
      <alignment horizontal="center"/>
    </xf>
    <xf numFmtId="0" fontId="5" fillId="0" borderId="25" xfId="0" applyFont="1" applyFill="1" applyBorder="1" applyAlignment="1">
      <alignment horizontal="center"/>
    </xf>
    <xf numFmtId="49" fontId="15" fillId="0" borderId="0" xfId="62" applyNumberFormat="1" applyFont="1" applyFill="1" applyBorder="1"/>
    <xf numFmtId="1" fontId="10" fillId="42" borderId="0" xfId="62" applyNumberFormat="1" applyFont="1" applyFill="1" applyBorder="1" applyAlignment="1">
      <alignment horizontal="center"/>
    </xf>
    <xf numFmtId="2" fontId="12" fillId="42" borderId="0" xfId="62" applyNumberFormat="1" applyFill="1" applyBorder="1" applyAlignment="1">
      <alignment horizontal="center"/>
    </xf>
    <xf numFmtId="1" fontId="4" fillId="61" borderId="0" xfId="62" applyNumberFormat="1" applyFont="1" applyFill="1" applyBorder="1" applyAlignment="1">
      <alignment horizontal="center"/>
    </xf>
    <xf numFmtId="167" fontId="71" fillId="0" borderId="0" xfId="0" applyNumberFormat="1" applyFont="1" applyBorder="1" applyAlignment="1">
      <alignment horizontal="center" vertical="top"/>
    </xf>
    <xf numFmtId="0" fontId="4" fillId="60" borderId="302" xfId="0" applyFont="1" applyFill="1" applyBorder="1" applyAlignment="1" applyProtection="1">
      <alignment horizontal="center" vertical="center"/>
      <protection locked="0"/>
    </xf>
    <xf numFmtId="0" fontId="4" fillId="60" borderId="307" xfId="0" applyFont="1" applyFill="1" applyBorder="1" applyAlignment="1" applyProtection="1">
      <alignment horizontal="center" vertical="center"/>
      <protection locked="0"/>
    </xf>
    <xf numFmtId="0" fontId="4" fillId="60" borderId="310" xfId="0" applyFont="1" applyFill="1" applyBorder="1" applyAlignment="1" applyProtection="1">
      <alignment horizontal="center" vertical="center"/>
      <protection locked="0"/>
    </xf>
    <xf numFmtId="0" fontId="0" fillId="64" borderId="0" xfId="0" applyFill="1"/>
    <xf numFmtId="0" fontId="10" fillId="0" borderId="32" xfId="62" applyFont="1" applyFill="1" applyBorder="1" applyAlignment="1">
      <alignment horizontal="center"/>
    </xf>
    <xf numFmtId="0" fontId="10" fillId="0" borderId="0" xfId="62" applyFont="1" applyFill="1" applyBorder="1" applyAlignment="1">
      <alignment horizontal="center"/>
    </xf>
    <xf numFmtId="1" fontId="4" fillId="64" borderId="25" xfId="62" applyNumberFormat="1" applyFont="1" applyFill="1" applyBorder="1" applyAlignment="1">
      <alignment horizontal="center"/>
    </xf>
    <xf numFmtId="1" fontId="0" fillId="0" borderId="316" xfId="0" applyNumberFormat="1" applyBorder="1" applyAlignment="1">
      <alignment horizontal="center" vertical="center"/>
    </xf>
    <xf numFmtId="1" fontId="0" fillId="0" borderId="317" xfId="0" applyNumberFormat="1" applyBorder="1" applyAlignment="1">
      <alignment horizontal="center" vertical="center"/>
    </xf>
    <xf numFmtId="1" fontId="0" fillId="0" borderId="305" xfId="0" applyNumberFormat="1" applyBorder="1" applyAlignment="1">
      <alignment horizontal="center" vertical="center"/>
    </xf>
    <xf numFmtId="1" fontId="0" fillId="0" borderId="117" xfId="0" applyNumberFormat="1" applyBorder="1" applyAlignment="1">
      <alignment horizontal="center" vertical="center"/>
    </xf>
    <xf numFmtId="1" fontId="0" fillId="0" borderId="322" xfId="0" applyNumberFormat="1" applyBorder="1" applyAlignment="1">
      <alignment horizontal="center" vertical="center"/>
    </xf>
    <xf numFmtId="1" fontId="0" fillId="0" borderId="323" xfId="0" applyNumberFormat="1" applyBorder="1" applyAlignment="1">
      <alignment horizontal="center" vertical="center"/>
    </xf>
    <xf numFmtId="1" fontId="0" fillId="0" borderId="308" xfId="0" applyNumberFormat="1" applyBorder="1" applyAlignment="1">
      <alignment horizontal="center" vertical="center"/>
    </xf>
    <xf numFmtId="1" fontId="0" fillId="0" borderId="125" xfId="0" applyNumberFormat="1" applyBorder="1" applyAlignment="1">
      <alignment horizontal="center" vertical="center"/>
    </xf>
    <xf numFmtId="0" fontId="5" fillId="41" borderId="7" xfId="0" applyFont="1" applyFill="1" applyBorder="1" applyAlignment="1">
      <alignment horizontal="center" vertical="center"/>
    </xf>
    <xf numFmtId="0" fontId="5" fillId="41" borderId="343" xfId="0" applyFont="1" applyFill="1" applyBorder="1" applyAlignment="1">
      <alignment horizontal="center" vertical="center"/>
    </xf>
    <xf numFmtId="0" fontId="5" fillId="41" borderId="60" xfId="0" applyFont="1" applyFill="1" applyBorder="1" applyAlignment="1">
      <alignment horizontal="center" vertical="center"/>
    </xf>
    <xf numFmtId="0" fontId="5" fillId="41" borderId="340" xfId="0" applyFont="1" applyFill="1" applyBorder="1" applyAlignment="1">
      <alignment horizontal="center" vertical="center"/>
    </xf>
    <xf numFmtId="0" fontId="5" fillId="41" borderId="6" xfId="0" applyFont="1" applyFill="1" applyBorder="1" applyAlignment="1">
      <alignment horizontal="center"/>
    </xf>
    <xf numFmtId="0" fontId="5" fillId="41" borderId="335" xfId="0" applyFont="1" applyFill="1" applyBorder="1" applyAlignment="1">
      <alignment horizontal="center"/>
    </xf>
    <xf numFmtId="0" fontId="5" fillId="41" borderId="60" xfId="0" applyFont="1" applyFill="1" applyBorder="1" applyAlignment="1">
      <alignment horizontal="center"/>
    </xf>
    <xf numFmtId="0" fontId="5" fillId="41" borderId="340" xfId="0" applyFont="1" applyFill="1" applyBorder="1" applyAlignment="1">
      <alignment horizontal="center"/>
    </xf>
    <xf numFmtId="0" fontId="4" fillId="0" borderId="144" xfId="0" applyFont="1" applyBorder="1" applyAlignment="1" applyProtection="1">
      <alignment horizontal="left"/>
      <protection hidden="1"/>
    </xf>
    <xf numFmtId="0" fontId="4" fillId="0" borderId="144" xfId="0" applyFont="1" applyBorder="1" applyAlignment="1" applyProtection="1">
      <alignment shrinkToFit="1"/>
      <protection hidden="1"/>
    </xf>
    <xf numFmtId="167" fontId="4" fillId="0" borderId="151" xfId="0" applyNumberFormat="1" applyFont="1" applyBorder="1" applyAlignment="1">
      <alignment horizontal="center"/>
    </xf>
    <xf numFmtId="167" fontId="4" fillId="0" borderId="344" xfId="0" applyNumberFormat="1" applyFont="1" applyBorder="1" applyAlignment="1">
      <alignment horizontal="center"/>
    </xf>
    <xf numFmtId="167" fontId="4" fillId="0" borderId="168" xfId="0" applyNumberFormat="1" applyFont="1" applyBorder="1" applyAlignment="1">
      <alignment horizontal="center"/>
    </xf>
    <xf numFmtId="167" fontId="4" fillId="0" borderId="317" xfId="0" applyNumberFormat="1" applyFont="1" applyBorder="1" applyAlignment="1">
      <alignment horizontal="center"/>
    </xf>
    <xf numFmtId="167" fontId="4" fillId="0" borderId="319" xfId="0" applyNumberFormat="1" applyFont="1" applyBorder="1" applyAlignment="1">
      <alignment horizontal="center"/>
    </xf>
    <xf numFmtId="0" fontId="4" fillId="0" borderId="145" xfId="0" applyFont="1" applyBorder="1" applyAlignment="1" applyProtection="1">
      <alignment horizontal="left"/>
      <protection hidden="1"/>
    </xf>
    <xf numFmtId="0" fontId="4" fillId="0" borderId="145" xfId="0" applyFont="1" applyBorder="1" applyAlignment="1" applyProtection="1">
      <alignment shrinkToFit="1"/>
      <protection hidden="1"/>
    </xf>
    <xf numFmtId="167" fontId="4" fillId="0" borderId="127" xfId="0" applyNumberFormat="1" applyFont="1" applyBorder="1" applyAlignment="1">
      <alignment horizontal="center"/>
    </xf>
    <xf numFmtId="167" fontId="0" fillId="0" borderId="345" xfId="0" applyNumberFormat="1" applyBorder="1" applyAlignment="1">
      <alignment horizontal="center"/>
    </xf>
    <xf numFmtId="167" fontId="0" fillId="0" borderId="346" xfId="0" applyNumberFormat="1" applyBorder="1" applyAlignment="1">
      <alignment horizontal="center"/>
    </xf>
    <xf numFmtId="167" fontId="0" fillId="0" borderId="117" xfId="0" applyNumberFormat="1" applyBorder="1" applyAlignment="1">
      <alignment horizontal="center"/>
    </xf>
    <xf numFmtId="167" fontId="0" fillId="0" borderId="127" xfId="0" applyNumberFormat="1" applyBorder="1" applyAlignment="1">
      <alignment horizontal="center"/>
    </xf>
    <xf numFmtId="167" fontId="0" fillId="0" borderId="301" xfId="0" applyNumberFormat="1" applyBorder="1" applyAlignment="1">
      <alignment horizontal="center"/>
    </xf>
    <xf numFmtId="167" fontId="4" fillId="0" borderId="117" xfId="0" applyNumberFormat="1" applyFont="1" applyBorder="1" applyAlignment="1">
      <alignment horizontal="center"/>
    </xf>
    <xf numFmtId="0" fontId="4" fillId="0" borderId="347" xfId="0" applyFont="1" applyBorder="1" applyAlignment="1" applyProtection="1">
      <alignment horizontal="left"/>
      <protection hidden="1"/>
    </xf>
    <xf numFmtId="0" fontId="4" fillId="0" borderId="347" xfId="0" applyFont="1" applyBorder="1" applyAlignment="1" applyProtection="1">
      <alignment shrinkToFit="1"/>
      <protection hidden="1"/>
    </xf>
    <xf numFmtId="167" fontId="4" fillId="0" borderId="348" xfId="0" applyNumberFormat="1" applyFont="1" applyBorder="1" applyAlignment="1">
      <alignment horizontal="center"/>
    </xf>
    <xf numFmtId="167" fontId="4" fillId="0" borderId="314" xfId="0" applyNumberFormat="1" applyFont="1" applyBorder="1" applyAlignment="1">
      <alignment horizontal="center"/>
    </xf>
    <xf numFmtId="167" fontId="4" fillId="0" borderId="350" xfId="0" applyNumberFormat="1" applyFont="1" applyBorder="1" applyAlignment="1">
      <alignment horizontal="center"/>
    </xf>
    <xf numFmtId="167" fontId="4" fillId="0" borderId="313" xfId="0" applyNumberFormat="1" applyFont="1" applyBorder="1" applyAlignment="1">
      <alignment horizontal="center"/>
    </xf>
    <xf numFmtId="167" fontId="4" fillId="0" borderId="311" xfId="0" applyNumberFormat="1" applyFont="1" applyBorder="1" applyAlignment="1">
      <alignment horizontal="center"/>
    </xf>
    <xf numFmtId="0" fontId="0" fillId="0" borderId="0" xfId="0" applyFill="1" applyBorder="1" applyAlignment="1" applyProtection="1">
      <alignment horizontal="center" vertical="center"/>
      <protection locked="0" hidden="1"/>
    </xf>
    <xf numFmtId="0" fontId="4" fillId="45" borderId="37" xfId="0" applyFont="1" applyFill="1" applyBorder="1" applyAlignment="1" applyProtection="1">
      <alignment horizontal="center"/>
      <protection hidden="1"/>
    </xf>
    <xf numFmtId="165" fontId="29" fillId="0" borderId="0" xfId="0" applyNumberFormat="1" applyFont="1" applyAlignment="1" applyProtection="1">
      <alignment vertical="center"/>
      <protection locked="0" hidden="1"/>
    </xf>
    <xf numFmtId="0" fontId="0" fillId="0" borderId="7" xfId="0" applyBorder="1" applyProtection="1">
      <protection locked="0"/>
    </xf>
    <xf numFmtId="0" fontId="75" fillId="0" borderId="7" xfId="62" applyFont="1" applyFill="1" applyBorder="1" applyAlignment="1" applyProtection="1">
      <alignment horizontal="left" vertical="top"/>
      <protection locked="0"/>
    </xf>
    <xf numFmtId="0" fontId="4" fillId="0" borderId="7" xfId="0" applyFont="1" applyBorder="1" applyProtection="1">
      <protection locked="0"/>
    </xf>
    <xf numFmtId="9" fontId="4" fillId="0" borderId="7" xfId="35" applyFont="1" applyBorder="1" applyProtection="1">
      <protection locked="0"/>
    </xf>
    <xf numFmtId="2" fontId="0" fillId="0" borderId="7" xfId="35" applyNumberFormat="1" applyFont="1" applyBorder="1" applyProtection="1">
      <protection locked="0"/>
    </xf>
    <xf numFmtId="9" fontId="0" fillId="0" borderId="7" xfId="35" applyFont="1" applyBorder="1" applyProtection="1">
      <protection locked="0"/>
    </xf>
    <xf numFmtId="1" fontId="4" fillId="0" borderId="7" xfId="35" applyNumberFormat="1" applyFont="1" applyBorder="1" applyProtection="1">
      <protection locked="0"/>
    </xf>
    <xf numFmtId="0" fontId="0" fillId="0" borderId="7" xfId="0" applyFill="1" applyBorder="1" applyProtection="1">
      <protection locked="0"/>
    </xf>
    <xf numFmtId="167" fontId="0" fillId="60" borderId="74" xfId="0" applyNumberFormat="1" applyFill="1" applyBorder="1" applyAlignment="1" applyProtection="1">
      <alignment horizontal="center"/>
      <protection locked="0"/>
    </xf>
    <xf numFmtId="167" fontId="0" fillId="60" borderId="73" xfId="0" applyNumberFormat="1" applyFill="1" applyBorder="1" applyAlignment="1" applyProtection="1">
      <alignment horizontal="center"/>
      <protection locked="0"/>
    </xf>
    <xf numFmtId="1" fontId="0" fillId="60" borderId="132" xfId="0" applyNumberFormat="1" applyFill="1" applyBorder="1" applyAlignment="1" applyProtection="1">
      <alignment horizontal="center"/>
      <protection locked="0"/>
    </xf>
    <xf numFmtId="1" fontId="4" fillId="0" borderId="0" xfId="35" applyNumberFormat="1" applyFont="1" applyFill="1" applyProtection="1">
      <protection locked="0"/>
    </xf>
    <xf numFmtId="0" fontId="0" fillId="0" borderId="0" xfId="0" applyFill="1" applyBorder="1" applyProtection="1">
      <protection locked="0"/>
    </xf>
    <xf numFmtId="9" fontId="4" fillId="0" borderId="0" xfId="35" applyFont="1" applyBorder="1" applyProtection="1">
      <protection locked="0"/>
    </xf>
    <xf numFmtId="9" fontId="0" fillId="0" borderId="0" xfId="35" applyFont="1" applyBorder="1" applyProtection="1">
      <protection locked="0"/>
    </xf>
    <xf numFmtId="0" fontId="71" fillId="0" borderId="7" xfId="0" applyFont="1" applyFill="1" applyBorder="1" applyAlignment="1" applyProtection="1">
      <alignment vertical="top"/>
      <protection locked="0"/>
    </xf>
    <xf numFmtId="0" fontId="5" fillId="0" borderId="5" xfId="49" applyFont="1" applyFill="1" applyBorder="1" applyAlignment="1" applyProtection="1">
      <alignment horizontal="center" vertical="center" wrapText="1"/>
      <protection locked="0"/>
    </xf>
    <xf numFmtId="0" fontId="12" fillId="0" borderId="0" xfId="62" applyFill="1" applyAlignment="1" applyProtection="1">
      <alignment horizontal="center" wrapText="1"/>
      <protection locked="0"/>
    </xf>
    <xf numFmtId="0" fontId="5" fillId="0" borderId="0" xfId="49" applyFont="1" applyFill="1" applyAlignment="1" applyProtection="1">
      <alignment horizontal="center" vertical="center" wrapText="1"/>
      <protection locked="0"/>
    </xf>
    <xf numFmtId="0" fontId="5" fillId="0" borderId="30" xfId="42" applyFont="1" applyFill="1" applyBorder="1" applyAlignment="1" applyProtection="1">
      <alignment horizontal="center" vertical="center" wrapText="1"/>
      <protection locked="0"/>
    </xf>
    <xf numFmtId="0" fontId="5" fillId="0" borderId="30" xfId="62" applyFont="1" applyFill="1" applyBorder="1" applyAlignment="1" applyProtection="1">
      <alignment horizontal="center"/>
      <protection locked="0"/>
    </xf>
    <xf numFmtId="2" fontId="12" fillId="0" borderId="41" xfId="62" applyNumberFormat="1" applyFill="1" applyBorder="1" applyAlignment="1" applyProtection="1">
      <alignment horizontal="center"/>
      <protection locked="0"/>
    </xf>
    <xf numFmtId="0" fontId="70" fillId="0" borderId="6" xfId="0" applyFont="1" applyFill="1" applyBorder="1" applyAlignment="1">
      <alignment horizontal="centerContinuous"/>
    </xf>
    <xf numFmtId="0" fontId="70" fillId="0" borderId="36" xfId="0" applyFont="1" applyFill="1" applyBorder="1" applyAlignment="1">
      <alignment horizontal="center"/>
    </xf>
    <xf numFmtId="2" fontId="71" fillId="0" borderId="95" xfId="0" applyNumberFormat="1" applyFont="1" applyFill="1" applyBorder="1" applyAlignment="1">
      <alignment horizontal="center" vertical="top"/>
    </xf>
    <xf numFmtId="0" fontId="71" fillId="0" borderId="95" xfId="0" applyFont="1" applyFill="1" applyBorder="1" applyAlignment="1">
      <alignment horizontal="center" vertical="top"/>
    </xf>
    <xf numFmtId="0" fontId="71" fillId="0" borderId="4" xfId="0" applyFont="1" applyFill="1" applyBorder="1" applyAlignment="1">
      <alignment horizontal="center" vertical="top"/>
    </xf>
    <xf numFmtId="2" fontId="4" fillId="0" borderId="0" xfId="0" applyNumberFormat="1" applyFont="1" applyFill="1" applyBorder="1" applyAlignment="1" applyProtection="1">
      <alignment horizontal="center"/>
      <protection locked="0"/>
    </xf>
    <xf numFmtId="2" fontId="12" fillId="0" borderId="0" xfId="62" applyNumberFormat="1" applyFill="1" applyBorder="1" applyAlignment="1" applyProtection="1">
      <alignment horizontal="center"/>
      <protection locked="0"/>
    </xf>
    <xf numFmtId="1" fontId="12" fillId="0" borderId="0" xfId="62" applyNumberFormat="1" applyFill="1" applyBorder="1" applyAlignment="1" applyProtection="1">
      <alignment horizontal="center"/>
      <protection locked="0"/>
    </xf>
    <xf numFmtId="0" fontId="70" fillId="0" borderId="6" xfId="0" applyFont="1" applyFill="1" applyBorder="1" applyAlignment="1">
      <alignment horizontal="center" vertical="top"/>
    </xf>
    <xf numFmtId="0" fontId="71" fillId="0" borderId="5" xfId="0" applyFont="1" applyFill="1" applyBorder="1" applyAlignment="1">
      <alignment horizontal="center" vertical="top"/>
    </xf>
    <xf numFmtId="0" fontId="71" fillId="0" borderId="280" xfId="0" applyFont="1" applyFill="1" applyBorder="1" applyAlignment="1">
      <alignment horizontal="center" vertical="top"/>
    </xf>
    <xf numFmtId="0" fontId="71" fillId="0" borderId="41" xfId="0" applyFont="1" applyFill="1" applyBorder="1" applyAlignment="1">
      <alignment horizontal="center" vertical="top"/>
    </xf>
    <xf numFmtId="0" fontId="71" fillId="0" borderId="35" xfId="0" applyFont="1" applyFill="1" applyBorder="1" applyAlignment="1">
      <alignment horizontal="center" vertical="top"/>
    </xf>
    <xf numFmtId="0" fontId="71" fillId="0" borderId="13" xfId="0" applyFont="1" applyFill="1" applyBorder="1" applyAlignment="1">
      <alignment horizontal="center" vertical="top"/>
    </xf>
    <xf numFmtId="167" fontId="71" fillId="0" borderId="12" xfId="0" applyNumberFormat="1" applyFont="1" applyFill="1" applyBorder="1" applyAlignment="1">
      <alignment horizontal="center" vertical="top"/>
    </xf>
    <xf numFmtId="2" fontId="71" fillId="0" borderId="22" xfId="0" applyNumberFormat="1" applyFont="1" applyFill="1" applyBorder="1" applyAlignment="1">
      <alignment horizontal="center" vertical="top"/>
    </xf>
    <xf numFmtId="167" fontId="71" fillId="0" borderId="22" xfId="0" applyNumberFormat="1" applyFont="1" applyFill="1" applyBorder="1" applyAlignment="1">
      <alignment horizontal="center" vertical="top"/>
    </xf>
    <xf numFmtId="167" fontId="71" fillId="0" borderId="13" xfId="0" applyNumberFormat="1" applyFont="1" applyFill="1" applyBorder="1" applyAlignment="1">
      <alignment horizontal="center" vertical="top"/>
    </xf>
    <xf numFmtId="2" fontId="4" fillId="0" borderId="12" xfId="62" applyNumberFormat="1" applyFont="1" applyFill="1" applyBorder="1" applyAlignment="1">
      <alignment horizontal="center" vertical="top"/>
    </xf>
    <xf numFmtId="167" fontId="71" fillId="0" borderId="40" xfId="0" applyNumberFormat="1" applyFont="1" applyFill="1" applyBorder="1" applyAlignment="1">
      <alignment horizontal="center" vertical="top"/>
    </xf>
    <xf numFmtId="167" fontId="4" fillId="0" borderId="41" xfId="0" applyNumberFormat="1" applyFont="1" applyFill="1" applyBorder="1" applyAlignment="1">
      <alignment horizontal="center" vertical="top"/>
    </xf>
    <xf numFmtId="0" fontId="34" fillId="0" borderId="0" xfId="0" applyFont="1" applyFill="1" applyAlignment="1" applyProtection="1">
      <alignment horizontal="center"/>
      <protection locked="0"/>
    </xf>
    <xf numFmtId="167" fontId="4" fillId="0" borderId="32" xfId="62" applyNumberFormat="1" applyFont="1" applyFill="1" applyBorder="1" applyAlignment="1">
      <alignment horizontal="center" vertical="top"/>
    </xf>
    <xf numFmtId="0" fontId="10" fillId="0" borderId="0" xfId="62" applyFont="1" applyFill="1" applyAlignment="1" applyProtection="1">
      <alignment horizontal="center"/>
      <protection locked="0"/>
    </xf>
    <xf numFmtId="0" fontId="12" fillId="0" borderId="0" xfId="62" applyFill="1" applyProtection="1">
      <protection locked="0"/>
    </xf>
    <xf numFmtId="2" fontId="71" fillId="0" borderId="5" xfId="0" applyNumberFormat="1" applyFont="1" applyFill="1" applyBorder="1" applyAlignment="1">
      <alignment horizontal="center" vertical="top"/>
    </xf>
    <xf numFmtId="167" fontId="71" fillId="0" borderId="5" xfId="0" applyNumberFormat="1" applyFont="1" applyFill="1" applyBorder="1" applyAlignment="1">
      <alignment horizontal="center" vertical="top"/>
    </xf>
    <xf numFmtId="0" fontId="71" fillId="0" borderId="43" xfId="0" applyFont="1" applyFill="1" applyBorder="1" applyAlignment="1">
      <alignment horizontal="center" vertical="top"/>
    </xf>
    <xf numFmtId="0" fontId="12" fillId="0" borderId="41" xfId="62" applyFill="1" applyBorder="1" applyProtection="1">
      <protection locked="0"/>
    </xf>
    <xf numFmtId="1" fontId="0" fillId="0" borderId="29" xfId="0" applyNumberFormat="1" applyBorder="1" applyAlignment="1" applyProtection="1">
      <alignment horizontal="center" vertical="center" shrinkToFit="1"/>
      <protection hidden="1"/>
    </xf>
    <xf numFmtId="1" fontId="0" fillId="41" borderId="272" xfId="0" applyNumberFormat="1" applyFill="1" applyBorder="1" applyAlignment="1" applyProtection="1">
      <alignment horizontal="center" vertical="center" shrinkToFit="1"/>
      <protection hidden="1"/>
    </xf>
    <xf numFmtId="0" fontId="8" fillId="0" borderId="0" xfId="0" applyFont="1" applyAlignment="1">
      <alignment vertical="top"/>
    </xf>
    <xf numFmtId="1" fontId="8" fillId="0" borderId="0" xfId="0" applyNumberFormat="1" applyFont="1" applyAlignment="1">
      <alignment horizontal="left" vertical="center"/>
    </xf>
    <xf numFmtId="0" fontId="4" fillId="0" borderId="111" xfId="0" applyFont="1" applyBorder="1" applyAlignment="1" applyProtection="1">
      <alignment horizontal="center" vertical="center"/>
      <protection hidden="1"/>
    </xf>
    <xf numFmtId="0" fontId="4" fillId="0" borderId="155" xfId="0" applyFont="1" applyBorder="1" applyAlignment="1" applyProtection="1">
      <alignment horizontal="center" vertical="center"/>
      <protection hidden="1"/>
    </xf>
    <xf numFmtId="0" fontId="4" fillId="0" borderId="111" xfId="0" applyFont="1" applyBorder="1" applyAlignment="1" applyProtection="1">
      <alignment horizontal="center" vertical="center"/>
      <protection hidden="1"/>
    </xf>
    <xf numFmtId="170" fontId="5" fillId="0" borderId="0" xfId="0" applyNumberFormat="1" applyFont="1" applyFill="1" applyAlignment="1" applyProtection="1">
      <alignment vertical="center"/>
      <protection hidden="1"/>
    </xf>
    <xf numFmtId="2" fontId="0" fillId="69" borderId="0" xfId="0" applyNumberFormat="1" applyFill="1"/>
    <xf numFmtId="2" fontId="0" fillId="66" borderId="0" xfId="0" applyNumberFormat="1" applyFill="1"/>
    <xf numFmtId="166" fontId="0" fillId="0" borderId="0" xfId="0" applyNumberFormat="1"/>
    <xf numFmtId="0" fontId="117" fillId="0" borderId="0" xfId="0" applyFont="1"/>
    <xf numFmtId="0" fontId="0" fillId="71" borderId="0" xfId="0" applyFill="1"/>
    <xf numFmtId="167" fontId="0" fillId="0" borderId="0" xfId="0" applyNumberFormat="1"/>
    <xf numFmtId="1" fontId="0" fillId="0" borderId="54" xfId="0" applyNumberFormat="1" applyBorder="1" applyAlignment="1" applyProtection="1">
      <alignment horizontal="center"/>
      <protection hidden="1"/>
    </xf>
    <xf numFmtId="1" fontId="0" fillId="0" borderId="110" xfId="0" applyNumberFormat="1" applyBorder="1" applyAlignment="1" applyProtection="1">
      <alignment horizontal="center"/>
      <protection hidden="1"/>
    </xf>
    <xf numFmtId="1" fontId="0" fillId="0" borderId="272" xfId="0" applyNumberFormat="1" applyBorder="1" applyAlignment="1" applyProtection="1">
      <alignment horizontal="center"/>
      <protection hidden="1"/>
    </xf>
    <xf numFmtId="0" fontId="0" fillId="60" borderId="132" xfId="0" applyNumberFormat="1" applyFill="1" applyBorder="1" applyAlignment="1" applyProtection="1">
      <alignment horizontal="center"/>
      <protection locked="0"/>
    </xf>
    <xf numFmtId="0" fontId="5" fillId="45" borderId="24" xfId="0" applyFont="1" applyFill="1" applyBorder="1" applyAlignment="1">
      <alignment horizontal="center" vertical="center"/>
    </xf>
    <xf numFmtId="0" fontId="8" fillId="45" borderId="24" xfId="0" applyFont="1" applyFill="1" applyBorder="1" applyAlignment="1">
      <alignment horizontal="center" vertical="center"/>
    </xf>
    <xf numFmtId="0" fontId="4" fillId="45" borderId="29" xfId="0" applyFont="1" applyFill="1" applyBorder="1" applyAlignment="1" applyProtection="1">
      <alignment horizontal="center" vertical="center"/>
      <protection hidden="1"/>
    </xf>
    <xf numFmtId="0" fontId="83" fillId="0" borderId="0" xfId="75" applyFont="1" applyProtection="1">
      <protection locked="0"/>
    </xf>
    <xf numFmtId="0" fontId="112" fillId="0" borderId="1" xfId="75" applyFont="1" applyBorder="1" applyAlignment="1" applyProtection="1">
      <alignment horizontal="center" vertical="center" shrinkToFit="1"/>
      <protection hidden="1"/>
    </xf>
    <xf numFmtId="2" fontId="112" fillId="0" borderId="1" xfId="75" applyNumberFormat="1" applyFont="1" applyBorder="1" applyAlignment="1" applyProtection="1">
      <alignment horizontal="center" vertical="center" shrinkToFit="1"/>
      <protection hidden="1"/>
    </xf>
    <xf numFmtId="0" fontId="112" fillId="4" borderId="120" xfId="75" applyFont="1" applyFill="1" applyBorder="1" applyAlignment="1" applyProtection="1">
      <alignment horizontal="center" vertical="center" shrinkToFit="1"/>
      <protection hidden="1"/>
    </xf>
    <xf numFmtId="0" fontId="112" fillId="4" borderId="50" xfId="75" applyFont="1" applyFill="1" applyBorder="1" applyAlignment="1" applyProtection="1">
      <alignment horizontal="center" vertical="center" shrinkToFit="1"/>
      <protection hidden="1"/>
    </xf>
    <xf numFmtId="0" fontId="112" fillId="0" borderId="290" xfId="75" applyFont="1" applyBorder="1" applyAlignment="1" applyProtection="1">
      <alignment horizontal="center" vertical="center" shrinkToFit="1"/>
      <protection hidden="1"/>
    </xf>
    <xf numFmtId="2" fontId="112" fillId="0" borderId="290" xfId="75" applyNumberFormat="1" applyFont="1" applyBorder="1" applyAlignment="1" applyProtection="1">
      <alignment horizontal="center" vertical="center" shrinkToFit="1"/>
      <protection hidden="1"/>
    </xf>
    <xf numFmtId="0" fontId="112" fillId="4" borderId="291" xfId="75" applyFont="1" applyFill="1" applyBorder="1" applyAlignment="1" applyProtection="1">
      <alignment horizontal="center" vertical="center" shrinkToFit="1"/>
      <protection hidden="1"/>
    </xf>
    <xf numFmtId="0" fontId="83" fillId="0" borderId="1" xfId="75" applyFont="1" applyBorder="1" applyAlignment="1" applyProtection="1">
      <alignment shrinkToFit="1"/>
      <protection hidden="1"/>
    </xf>
    <xf numFmtId="0" fontId="112" fillId="4" borderId="1" xfId="75" applyFont="1" applyFill="1" applyBorder="1" applyAlignment="1" applyProtection="1">
      <alignment horizontal="center" shrinkToFit="1"/>
      <protection hidden="1"/>
    </xf>
    <xf numFmtId="0" fontId="83" fillId="0" borderId="25" xfId="75" applyFont="1" applyBorder="1" applyAlignment="1" applyProtection="1">
      <alignment shrinkToFit="1"/>
      <protection hidden="1"/>
    </xf>
    <xf numFmtId="0" fontId="112" fillId="4" borderId="25" xfId="75" applyFont="1" applyFill="1" applyBorder="1" applyAlignment="1" applyProtection="1">
      <alignment horizontal="center" shrinkToFit="1"/>
      <protection hidden="1"/>
    </xf>
    <xf numFmtId="0" fontId="83" fillId="0" borderId="290" xfId="75" applyFont="1" applyBorder="1" applyAlignment="1" applyProtection="1">
      <alignment shrinkToFit="1"/>
      <protection hidden="1"/>
    </xf>
    <xf numFmtId="0" fontId="112" fillId="4" borderId="290" xfId="75" applyFont="1" applyFill="1" applyBorder="1" applyAlignment="1" applyProtection="1">
      <alignment horizontal="center" shrinkToFit="1"/>
      <protection hidden="1"/>
    </xf>
    <xf numFmtId="0" fontId="0" fillId="60" borderId="344" xfId="0" applyFill="1" applyBorder="1" applyAlignment="1" applyProtection="1">
      <alignment horizontal="center" vertical="center"/>
    </xf>
    <xf numFmtId="0" fontId="0" fillId="60" borderId="345" xfId="0" applyFill="1" applyBorder="1" applyAlignment="1" applyProtection="1">
      <alignment horizontal="center" vertical="center"/>
    </xf>
    <xf numFmtId="0" fontId="0" fillId="60" borderId="314" xfId="0" applyFill="1" applyBorder="1" applyAlignment="1" applyProtection="1">
      <alignment horizontal="center" vertical="center"/>
    </xf>
    <xf numFmtId="0" fontId="71" fillId="45" borderId="95" xfId="0" applyFont="1" applyFill="1" applyBorder="1" applyAlignment="1" applyProtection="1">
      <alignment horizontal="center"/>
    </xf>
    <xf numFmtId="0" fontId="5" fillId="45" borderId="5" xfId="0" applyFont="1" applyFill="1" applyBorder="1" applyAlignment="1" applyProtection="1">
      <alignment horizontal="left" vertical="center"/>
    </xf>
    <xf numFmtId="0" fontId="111" fillId="60" borderId="17" xfId="75" applyFont="1" applyFill="1" applyBorder="1" applyAlignment="1" applyProtection="1">
      <alignment horizontal="center" vertical="center"/>
    </xf>
    <xf numFmtId="0" fontId="5" fillId="0" borderId="46" xfId="62" applyFont="1" applyBorder="1" applyProtection="1"/>
    <xf numFmtId="0" fontId="5" fillId="0" borderId="46" xfId="62" applyFont="1" applyBorder="1" applyAlignment="1" applyProtection="1">
      <alignment horizontal="center"/>
    </xf>
    <xf numFmtId="0" fontId="5" fillId="0" borderId="44" xfId="62" applyFont="1" applyBorder="1" applyAlignment="1" applyProtection="1">
      <alignment horizontal="center"/>
    </xf>
    <xf numFmtId="0" fontId="5" fillId="0" borderId="48" xfId="62" applyFont="1" applyBorder="1" applyAlignment="1" applyProtection="1">
      <alignment horizontal="center"/>
    </xf>
    <xf numFmtId="0" fontId="5" fillId="0" borderId="54" xfId="62" applyFont="1" applyBorder="1" applyAlignment="1" applyProtection="1">
      <alignment horizontal="center"/>
    </xf>
    <xf numFmtId="0" fontId="4" fillId="0" borderId="32" xfId="62" applyFont="1" applyFill="1" applyBorder="1" applyProtection="1"/>
    <xf numFmtId="0" fontId="4" fillId="0" borderId="32" xfId="62" applyFont="1" applyFill="1" applyBorder="1" applyAlignment="1" applyProtection="1">
      <alignment horizontal="center"/>
    </xf>
    <xf numFmtId="0" fontId="4" fillId="0" borderId="5" xfId="62" applyNumberFormat="1" applyFont="1" applyFill="1" applyBorder="1" applyAlignment="1" applyProtection="1">
      <alignment horizontal="center"/>
    </xf>
    <xf numFmtId="0" fontId="4" fillId="0" borderId="25" xfId="62" applyNumberFormat="1" applyFont="1" applyFill="1" applyBorder="1" applyAlignment="1" applyProtection="1">
      <alignment horizontal="center"/>
    </xf>
    <xf numFmtId="0" fontId="4" fillId="0" borderId="31" xfId="62" applyNumberFormat="1" applyFont="1" applyFill="1" applyBorder="1" applyAlignment="1" applyProtection="1">
      <alignment horizontal="center"/>
    </xf>
    <xf numFmtId="1" fontId="4" fillId="0" borderId="32" xfId="62" applyNumberFormat="1" applyFont="1" applyFill="1" applyBorder="1" applyAlignment="1" applyProtection="1">
      <alignment horizontal="center"/>
    </xf>
    <xf numFmtId="0" fontId="4" fillId="0" borderId="109" xfId="62" applyFont="1" applyFill="1" applyBorder="1" applyProtection="1"/>
    <xf numFmtId="0" fontId="4" fillId="0" borderId="109" xfId="62" applyFont="1" applyFill="1" applyBorder="1" applyAlignment="1" applyProtection="1">
      <alignment horizontal="center"/>
    </xf>
    <xf numFmtId="0" fontId="4" fillId="0" borderId="56" xfId="62" applyNumberFormat="1" applyFont="1" applyFill="1" applyBorder="1" applyAlignment="1" applyProtection="1">
      <alignment horizontal="center"/>
    </xf>
    <xf numFmtId="0" fontId="4" fillId="0" borderId="1" xfId="62" applyNumberFormat="1" applyFont="1" applyFill="1" applyBorder="1" applyAlignment="1" applyProtection="1">
      <alignment horizontal="center"/>
    </xf>
    <xf numFmtId="0" fontId="4" fillId="0" borderId="110" xfId="62" applyNumberFormat="1" applyFont="1" applyFill="1" applyBorder="1" applyAlignment="1" applyProtection="1">
      <alignment horizontal="center"/>
    </xf>
    <xf numFmtId="1" fontId="4" fillId="0" borderId="109" xfId="62" applyNumberFormat="1" applyFont="1" applyFill="1" applyBorder="1" applyAlignment="1" applyProtection="1">
      <alignment horizontal="center"/>
    </xf>
    <xf numFmtId="2" fontId="4" fillId="0" borderId="56" xfId="62" applyNumberFormat="1" applyFont="1" applyFill="1" applyBorder="1" applyAlignment="1" applyProtection="1">
      <alignment horizontal="center"/>
    </xf>
    <xf numFmtId="2" fontId="4" fillId="0" borderId="1" xfId="62" applyNumberFormat="1" applyFont="1" applyFill="1" applyBorder="1" applyAlignment="1" applyProtection="1">
      <alignment horizontal="center"/>
    </xf>
    <xf numFmtId="2" fontId="4" fillId="0" borderId="110" xfId="62" applyNumberFormat="1" applyFont="1" applyFill="1" applyBorder="1" applyAlignment="1" applyProtection="1">
      <alignment horizontal="center"/>
    </xf>
    <xf numFmtId="167" fontId="4" fillId="0" borderId="109" xfId="62" applyNumberFormat="1" applyFont="1" applyFill="1" applyBorder="1" applyAlignment="1" applyProtection="1">
      <alignment horizontal="center"/>
    </xf>
    <xf numFmtId="167" fontId="4" fillId="0" borderId="32" xfId="62" applyNumberFormat="1" applyFont="1" applyFill="1" applyBorder="1" applyAlignment="1" applyProtection="1">
      <alignment horizontal="center"/>
    </xf>
    <xf numFmtId="0" fontId="5" fillId="0" borderId="38" xfId="62" applyFont="1" applyBorder="1" applyProtection="1"/>
    <xf numFmtId="0" fontId="5" fillId="0" borderId="38" xfId="62" applyFont="1" applyBorder="1" applyAlignment="1" applyProtection="1">
      <alignment horizontal="center"/>
    </xf>
    <xf numFmtId="0" fontId="5" fillId="0" borderId="10" xfId="62" applyFont="1" applyBorder="1" applyAlignment="1" applyProtection="1">
      <alignment horizontal="center"/>
    </xf>
    <xf numFmtId="0" fontId="5" fillId="0" borderId="17" xfId="62" applyFont="1" applyBorder="1" applyAlignment="1" applyProtection="1">
      <alignment horizontal="center"/>
    </xf>
    <xf numFmtId="0" fontId="5" fillId="0" borderId="59" xfId="62" applyFont="1" applyBorder="1" applyAlignment="1" applyProtection="1">
      <alignment horizontal="center"/>
    </xf>
    <xf numFmtId="1" fontId="5" fillId="0" borderId="38" xfId="62" applyNumberFormat="1" applyFont="1" applyBorder="1" applyAlignment="1" applyProtection="1">
      <alignment horizontal="center"/>
    </xf>
    <xf numFmtId="0" fontId="4" fillId="0" borderId="34" xfId="62" applyFont="1" applyFill="1" applyBorder="1" applyProtection="1"/>
    <xf numFmtId="0" fontId="4" fillId="0" borderId="34" xfId="62" applyFont="1" applyFill="1" applyBorder="1" applyAlignment="1" applyProtection="1">
      <alignment horizontal="center"/>
    </xf>
    <xf numFmtId="0" fontId="4" fillId="0" borderId="6" xfId="62" applyNumberFormat="1" applyFont="1" applyFill="1" applyBorder="1" applyAlignment="1" applyProtection="1">
      <alignment horizontal="center"/>
    </xf>
    <xf numFmtId="0" fontId="4" fillId="0" borderId="36" xfId="62" applyNumberFormat="1" applyFont="1" applyFill="1" applyBorder="1" applyAlignment="1" applyProtection="1">
      <alignment horizontal="center"/>
    </xf>
    <xf numFmtId="0" fontId="4" fillId="0" borderId="33" xfId="62" applyNumberFormat="1" applyFont="1" applyFill="1" applyBorder="1" applyAlignment="1" applyProtection="1">
      <alignment horizontal="center"/>
    </xf>
    <xf numFmtId="1" fontId="4" fillId="0" borderId="34" xfId="62" applyNumberFormat="1" applyFont="1" applyFill="1" applyBorder="1" applyAlignment="1" applyProtection="1">
      <alignment horizontal="center"/>
    </xf>
    <xf numFmtId="0" fontId="4" fillId="0" borderId="0" xfId="0" applyFont="1" applyAlignment="1" applyProtection="1"/>
    <xf numFmtId="0" fontId="0" fillId="0" borderId="0" xfId="0" applyAlignment="1" applyProtection="1"/>
    <xf numFmtId="1" fontId="0" fillId="0" borderId="0" xfId="0" applyNumberFormat="1" applyAlignment="1" applyProtection="1">
      <alignment horizontal="center" vertical="center" shrinkToFit="1"/>
    </xf>
    <xf numFmtId="1" fontId="4" fillId="0" borderId="0" xfId="0" applyNumberFormat="1" applyFont="1" applyAlignment="1" applyProtection="1">
      <alignment horizontal="center" vertical="center" shrinkToFit="1"/>
    </xf>
    <xf numFmtId="0" fontId="0" fillId="0" borderId="0" xfId="0" applyAlignment="1" applyProtection="1">
      <alignment shrinkToFit="1"/>
    </xf>
    <xf numFmtId="1" fontId="0" fillId="0" borderId="0" xfId="0" applyNumberFormat="1" applyAlignment="1" applyProtection="1">
      <alignment horizontal="center" vertical="center"/>
    </xf>
    <xf numFmtId="1" fontId="4" fillId="0" borderId="0" xfId="0" applyNumberFormat="1" applyFont="1" applyAlignment="1" applyProtection="1">
      <alignment horizontal="center" vertical="center"/>
    </xf>
    <xf numFmtId="0" fontId="4" fillId="0" borderId="208" xfId="0" applyFont="1" applyFill="1" applyBorder="1" applyAlignment="1" applyProtection="1">
      <alignment vertical="center"/>
      <protection hidden="1"/>
    </xf>
    <xf numFmtId="0" fontId="5" fillId="0" borderId="292" xfId="0" applyFont="1" applyBorder="1" applyAlignment="1">
      <alignment vertical="center"/>
    </xf>
    <xf numFmtId="0" fontId="4" fillId="0" borderId="0" xfId="0" applyFont="1" applyAlignment="1" applyProtection="1">
      <alignment horizontal="center"/>
      <protection locked="0"/>
    </xf>
    <xf numFmtId="0" fontId="0" fillId="0" borderId="0" xfId="0" applyAlignment="1" applyProtection="1">
      <alignment horizontal="center"/>
      <protection locked="0"/>
    </xf>
    <xf numFmtId="0" fontId="4" fillId="0" borderId="0" xfId="0" applyFont="1" applyAlignment="1" applyProtection="1">
      <alignment horizontal="center"/>
      <protection locked="0"/>
    </xf>
    <xf numFmtId="0" fontId="0" fillId="0" borderId="0" xfId="0" applyAlignment="1" applyProtection="1">
      <alignment horizontal="center"/>
      <protection locked="0"/>
    </xf>
    <xf numFmtId="0" fontId="78" fillId="0" borderId="0" xfId="0" applyFont="1" applyProtection="1">
      <protection hidden="1"/>
    </xf>
    <xf numFmtId="0" fontId="71" fillId="0" borderId="0" xfId="0" applyFont="1" applyProtection="1">
      <protection locked="0"/>
    </xf>
    <xf numFmtId="0" fontId="5" fillId="0" borderId="0" xfId="0" applyFont="1" applyAlignment="1" applyProtection="1">
      <alignment horizontal="center" vertical="center"/>
      <protection locked="0" hidden="1"/>
    </xf>
    <xf numFmtId="0" fontId="63" fillId="0" borderId="0" xfId="78" applyFont="1" applyAlignment="1">
      <alignment horizontal="left"/>
    </xf>
    <xf numFmtId="0" fontId="64" fillId="0" borderId="0" xfId="78" applyFont="1"/>
    <xf numFmtId="0" fontId="64" fillId="0" borderId="0" xfId="78" applyFont="1" applyAlignment="1">
      <alignment horizontal="center"/>
    </xf>
    <xf numFmtId="0" fontId="4" fillId="0" borderId="0" xfId="78"/>
    <xf numFmtId="0" fontId="65" fillId="0" borderId="0" xfId="78" applyFont="1" applyAlignment="1">
      <alignment horizontal="center"/>
    </xf>
    <xf numFmtId="0" fontId="65" fillId="0" borderId="0" xfId="78" applyFont="1"/>
    <xf numFmtId="0" fontId="66" fillId="0" borderId="0" xfId="78" applyFont="1"/>
    <xf numFmtId="0" fontId="67" fillId="0" borderId="0" xfId="78" applyFont="1" applyAlignment="1">
      <alignment horizontal="center"/>
    </xf>
    <xf numFmtId="0" fontId="66" fillId="37" borderId="14" xfId="78" applyFont="1" applyFill="1" applyBorder="1" applyAlignment="1">
      <alignment horizontal="center" vertical="center"/>
    </xf>
    <xf numFmtId="0" fontId="67" fillId="0" borderId="0" xfId="78" applyFont="1"/>
    <xf numFmtId="0" fontId="68" fillId="38" borderId="15" xfId="78" applyFont="1" applyFill="1" applyBorder="1" applyAlignment="1">
      <alignment horizontal="center"/>
    </xf>
    <xf numFmtId="0" fontId="68" fillId="38" borderId="16" xfId="78" applyFont="1" applyFill="1" applyBorder="1" applyAlignment="1">
      <alignment horizontal="center"/>
    </xf>
    <xf numFmtId="0" fontId="68" fillId="0" borderId="0" xfId="78" applyFont="1" applyAlignment="1">
      <alignment horizontal="center"/>
    </xf>
    <xf numFmtId="0" fontId="68" fillId="0" borderId="0" xfId="78" applyFont="1" applyAlignment="1">
      <alignment horizontal="left"/>
    </xf>
    <xf numFmtId="0" fontId="68" fillId="37" borderId="17" xfId="78" applyFont="1" applyFill="1" applyBorder="1" applyAlignment="1">
      <alignment horizontal="center"/>
    </xf>
    <xf numFmtId="0" fontId="69" fillId="0" borderId="0" xfId="78" applyFont="1"/>
    <xf numFmtId="0" fontId="69" fillId="0" borderId="0" xfId="78" applyFont="1" applyAlignment="1">
      <alignment horizontal="center"/>
    </xf>
    <xf numFmtId="0" fontId="69" fillId="0" borderId="0" xfId="78" applyFont="1" applyAlignment="1">
      <alignment vertical="center"/>
    </xf>
    <xf numFmtId="0" fontId="22" fillId="0" borderId="0" xfId="78" applyFont="1"/>
    <xf numFmtId="49" fontId="69" fillId="0" borderId="0" xfId="78" applyNumberFormat="1" applyFont="1" applyAlignment="1">
      <alignment horizontal="center"/>
    </xf>
    <xf numFmtId="49" fontId="22" fillId="40" borderId="22" xfId="78" applyNumberFormat="1" applyFont="1" applyFill="1" applyBorder="1" applyAlignment="1">
      <alignment vertical="center"/>
    </xf>
    <xf numFmtId="49" fontId="69" fillId="39" borderId="18" xfId="78" applyNumberFormat="1" applyFont="1" applyFill="1" applyBorder="1" applyAlignment="1">
      <alignment horizontal="center" vertical="center"/>
    </xf>
    <xf numFmtId="0" fontId="22" fillId="39" borderId="19" xfId="78" applyFont="1" applyFill="1" applyBorder="1" applyAlignment="1">
      <alignment vertical="center"/>
    </xf>
    <xf numFmtId="49" fontId="22" fillId="40" borderId="25" xfId="78" applyNumberFormat="1" applyFont="1" applyFill="1" applyBorder="1" applyAlignment="1">
      <alignment vertical="center"/>
    </xf>
    <xf numFmtId="49" fontId="69" fillId="0" borderId="0" xfId="78" applyNumberFormat="1" applyFont="1" applyAlignment="1">
      <alignment horizontal="center" vertical="center"/>
    </xf>
    <xf numFmtId="0" fontId="22" fillId="0" borderId="0" xfId="78" applyFont="1" applyAlignment="1">
      <alignment vertical="center"/>
    </xf>
    <xf numFmtId="49" fontId="22" fillId="40" borderId="17" xfId="78" applyNumberFormat="1" applyFont="1" applyFill="1" applyBorder="1" applyAlignment="1">
      <alignment vertical="center"/>
    </xf>
    <xf numFmtId="49" fontId="22" fillId="0" borderId="0" xfId="78" applyNumberFormat="1" applyFont="1" applyAlignment="1">
      <alignment vertical="center"/>
    </xf>
    <xf numFmtId="49" fontId="69" fillId="39" borderId="26" xfId="78" applyNumberFormat="1" applyFont="1" applyFill="1" applyBorder="1" applyAlignment="1">
      <alignment horizontal="center" vertical="center"/>
    </xf>
    <xf numFmtId="0" fontId="69" fillId="39" borderId="27" xfId="78" applyFont="1" applyFill="1" applyBorder="1" applyAlignment="1">
      <alignment vertical="center"/>
    </xf>
    <xf numFmtId="49" fontId="22" fillId="40" borderId="25" xfId="78" applyNumberFormat="1" applyFont="1" applyFill="1" applyBorder="1" applyAlignment="1">
      <alignment horizontal="left" vertical="center"/>
    </xf>
    <xf numFmtId="0" fontId="22" fillId="40" borderId="22" xfId="78" applyFont="1" applyFill="1" applyBorder="1" applyAlignment="1">
      <alignment vertical="center"/>
    </xf>
    <xf numFmtId="0" fontId="22" fillId="40" borderId="25" xfId="78" applyFont="1" applyFill="1" applyBorder="1" applyAlignment="1">
      <alignment vertical="center"/>
    </xf>
    <xf numFmtId="0" fontId="65" fillId="0" borderId="0" xfId="78" applyFont="1" applyAlignment="1">
      <alignment horizontal="center" vertical="center"/>
    </xf>
    <xf numFmtId="0" fontId="65" fillId="0" borderId="0" xfId="78" applyFont="1" applyAlignment="1">
      <alignment vertical="center"/>
    </xf>
    <xf numFmtId="0" fontId="22" fillId="40" borderId="17" xfId="78" applyFont="1" applyFill="1" applyBorder="1" applyAlignment="1">
      <alignment vertical="center"/>
    </xf>
    <xf numFmtId="0" fontId="22" fillId="40" borderId="25" xfId="78" applyFont="1" applyFill="1" applyBorder="1" applyAlignment="1">
      <alignment horizontal="left" vertical="center"/>
    </xf>
    <xf numFmtId="0" fontId="22" fillId="40" borderId="28" xfId="78" applyFont="1" applyFill="1" applyBorder="1" applyAlignment="1">
      <alignment vertical="center"/>
    </xf>
    <xf numFmtId="0" fontId="69" fillId="0" borderId="0" xfId="78" applyFont="1" applyAlignment="1">
      <alignment horizontal="left" vertical="center"/>
    </xf>
    <xf numFmtId="0" fontId="69" fillId="39" borderId="19" xfId="78" applyFont="1" applyFill="1" applyBorder="1" applyAlignment="1">
      <alignment vertical="center"/>
    </xf>
    <xf numFmtId="49" fontId="22" fillId="40" borderId="1" xfId="78" applyNumberFormat="1" applyFont="1" applyFill="1" applyBorder="1" applyAlignment="1">
      <alignment horizontal="left" vertical="center"/>
    </xf>
    <xf numFmtId="49" fontId="22" fillId="39" borderId="19" xfId="78" applyNumberFormat="1" applyFont="1" applyFill="1" applyBorder="1" applyAlignment="1">
      <alignment vertical="center"/>
    </xf>
    <xf numFmtId="49" fontId="22" fillId="0" borderId="0" xfId="78" applyNumberFormat="1" applyFont="1"/>
    <xf numFmtId="0" fontId="22" fillId="0" borderId="0" xfId="0" applyFont="1" applyAlignment="1" applyProtection="1">
      <alignment vertical="center"/>
      <protection hidden="1"/>
    </xf>
    <xf numFmtId="0" fontId="4" fillId="60" borderId="273" xfId="0" applyFont="1" applyFill="1" applyBorder="1" applyAlignment="1" applyProtection="1">
      <alignment horizontal="center" vertical="center"/>
      <protection locked="0"/>
    </xf>
    <xf numFmtId="167" fontId="12" fillId="60" borderId="79" xfId="0" applyNumberFormat="1" applyFont="1" applyFill="1" applyBorder="1" applyAlignment="1" applyProtection="1">
      <alignment horizontal="center" vertical="center"/>
      <protection locked="0"/>
    </xf>
    <xf numFmtId="167" fontId="12" fillId="60" borderId="68" xfId="0" applyNumberFormat="1" applyFont="1" applyFill="1" applyBorder="1" applyAlignment="1" applyProtection="1">
      <alignment horizontal="center" vertical="center"/>
      <protection locked="0"/>
    </xf>
    <xf numFmtId="167" fontId="12" fillId="60" borderId="65" xfId="0" applyNumberFormat="1" applyFont="1" applyFill="1" applyBorder="1" applyAlignment="1" applyProtection="1">
      <alignment horizontal="center" vertical="center"/>
      <protection locked="0"/>
    </xf>
    <xf numFmtId="167" fontId="12" fillId="60" borderId="82" xfId="0" applyNumberFormat="1" applyFont="1" applyFill="1" applyBorder="1" applyAlignment="1" applyProtection="1">
      <alignment horizontal="center" vertical="center"/>
      <protection locked="0"/>
    </xf>
    <xf numFmtId="167" fontId="0" fillId="60" borderId="68" xfId="0" applyNumberFormat="1" applyFill="1" applyBorder="1" applyAlignment="1" applyProtection="1">
      <alignment horizontal="center" vertical="center"/>
      <protection locked="0"/>
    </xf>
    <xf numFmtId="167" fontId="0" fillId="60" borderId="342" xfId="0" applyNumberFormat="1" applyFill="1" applyBorder="1" applyAlignment="1" applyProtection="1">
      <alignment horizontal="center" vertical="center"/>
      <protection locked="0"/>
    </xf>
    <xf numFmtId="167" fontId="0" fillId="60" borderId="65" xfId="0" applyNumberFormat="1" applyFill="1" applyBorder="1" applyAlignment="1" applyProtection="1">
      <alignment horizontal="center" vertical="center"/>
      <protection locked="0"/>
    </xf>
    <xf numFmtId="167" fontId="0" fillId="60" borderId="82" xfId="0" applyNumberFormat="1" applyFill="1" applyBorder="1" applyAlignment="1" applyProtection="1">
      <alignment horizontal="center" vertical="center"/>
      <protection locked="0"/>
    </xf>
    <xf numFmtId="167" fontId="0" fillId="60" borderId="83" xfId="0" applyNumberFormat="1" applyFill="1" applyBorder="1" applyAlignment="1" applyProtection="1">
      <alignment horizontal="center" vertical="center"/>
      <protection locked="0"/>
    </xf>
    <xf numFmtId="0" fontId="4" fillId="60" borderId="274" xfId="0" applyFont="1" applyFill="1" applyBorder="1" applyAlignment="1" applyProtection="1">
      <alignment horizontal="center" vertical="center"/>
      <protection locked="0"/>
    </xf>
    <xf numFmtId="167" fontId="12" fillId="60" borderId="84" xfId="0" applyNumberFormat="1" applyFont="1" applyFill="1" applyBorder="1" applyAlignment="1" applyProtection="1">
      <alignment horizontal="center" vertical="center"/>
      <protection locked="0"/>
    </xf>
    <xf numFmtId="167" fontId="12" fillId="60" borderId="69" xfId="0" applyNumberFormat="1" applyFont="1" applyFill="1" applyBorder="1" applyAlignment="1" applyProtection="1">
      <alignment horizontal="center" vertical="center"/>
      <protection locked="0"/>
    </xf>
    <xf numFmtId="167" fontId="12" fillId="60" borderId="66" xfId="0" applyNumberFormat="1" applyFont="1" applyFill="1" applyBorder="1" applyAlignment="1" applyProtection="1">
      <alignment horizontal="center" vertical="center"/>
      <protection locked="0"/>
    </xf>
    <xf numFmtId="167" fontId="12" fillId="60" borderId="87" xfId="0" applyNumberFormat="1" applyFont="1" applyFill="1" applyBorder="1" applyAlignment="1" applyProtection="1">
      <alignment horizontal="center" vertical="center"/>
      <protection locked="0"/>
    </xf>
    <xf numFmtId="167" fontId="0" fillId="60" borderId="69" xfId="0" applyNumberFormat="1" applyFill="1" applyBorder="1" applyAlignment="1" applyProtection="1">
      <alignment horizontal="center" vertical="center"/>
      <protection locked="0"/>
    </xf>
    <xf numFmtId="167" fontId="0" fillId="60" borderId="78" xfId="0" applyNumberFormat="1" applyFill="1" applyBorder="1" applyAlignment="1" applyProtection="1">
      <alignment horizontal="center" vertical="center"/>
      <protection locked="0"/>
    </xf>
    <xf numFmtId="167" fontId="0" fillId="60" borderId="66" xfId="0" applyNumberFormat="1" applyFill="1" applyBorder="1" applyAlignment="1" applyProtection="1">
      <alignment horizontal="center" vertical="center"/>
      <protection locked="0"/>
    </xf>
    <xf numFmtId="167" fontId="0" fillId="60" borderId="87" xfId="0" applyNumberFormat="1" applyFill="1" applyBorder="1" applyAlignment="1" applyProtection="1">
      <alignment horizontal="center" vertical="center"/>
      <protection locked="0"/>
    </xf>
    <xf numFmtId="167" fontId="0" fillId="60" borderId="88" xfId="0" applyNumberFormat="1" applyFill="1" applyBorder="1" applyAlignment="1" applyProtection="1">
      <alignment horizontal="center" vertical="center"/>
      <protection locked="0"/>
    </xf>
    <xf numFmtId="0" fontId="4" fillId="60" borderId="282" xfId="0" applyFont="1" applyFill="1" applyBorder="1" applyAlignment="1" applyProtection="1">
      <alignment horizontal="center" vertical="center"/>
      <protection locked="0"/>
    </xf>
    <xf numFmtId="167" fontId="12" fillId="60" borderId="287" xfId="0" applyNumberFormat="1" applyFont="1" applyFill="1" applyBorder="1" applyAlignment="1" applyProtection="1">
      <alignment horizontal="center" vertical="center"/>
      <protection locked="0"/>
    </xf>
    <xf numFmtId="167" fontId="12" fillId="60" borderId="70" xfId="0" applyNumberFormat="1" applyFont="1" applyFill="1" applyBorder="1" applyAlignment="1" applyProtection="1">
      <alignment horizontal="center" vertical="center"/>
      <protection locked="0"/>
    </xf>
    <xf numFmtId="167" fontId="12" fillId="60" borderId="67" xfId="0" applyNumberFormat="1" applyFont="1" applyFill="1" applyBorder="1" applyAlignment="1" applyProtection="1">
      <alignment horizontal="center" vertical="center"/>
      <protection locked="0"/>
    </xf>
    <xf numFmtId="167" fontId="12" fillId="60" borderId="119" xfId="0" applyNumberFormat="1" applyFont="1" applyFill="1" applyBorder="1" applyAlignment="1" applyProtection="1">
      <alignment horizontal="center" vertical="center"/>
      <protection locked="0"/>
    </xf>
    <xf numFmtId="167" fontId="0" fillId="60" borderId="70" xfId="0" applyNumberFormat="1" applyFill="1" applyBorder="1" applyAlignment="1" applyProtection="1">
      <alignment horizontal="center" vertical="center"/>
      <protection locked="0"/>
    </xf>
    <xf numFmtId="167" fontId="0" fillId="60" borderId="97" xfId="0" applyNumberFormat="1" applyFill="1" applyBorder="1" applyAlignment="1" applyProtection="1">
      <alignment horizontal="center" vertical="center"/>
      <protection locked="0"/>
    </xf>
    <xf numFmtId="167" fontId="0" fillId="60" borderId="67" xfId="0" applyNumberFormat="1" applyFill="1" applyBorder="1" applyAlignment="1" applyProtection="1">
      <alignment horizontal="center" vertical="center"/>
      <protection locked="0"/>
    </xf>
    <xf numFmtId="167" fontId="0" fillId="60" borderId="119" xfId="0" applyNumberFormat="1" applyFill="1" applyBorder="1" applyAlignment="1" applyProtection="1">
      <alignment horizontal="center" vertical="center"/>
      <protection locked="0"/>
    </xf>
    <xf numFmtId="167" fontId="0" fillId="60" borderId="118" xfId="0" applyNumberFormat="1" applyFill="1" applyBorder="1" applyAlignment="1" applyProtection="1">
      <alignment horizontal="center" vertical="center"/>
      <protection locked="0"/>
    </xf>
    <xf numFmtId="167" fontId="112" fillId="0" borderId="1" xfId="75" applyNumberFormat="1" applyFont="1" applyBorder="1" applyAlignment="1" applyProtection="1">
      <alignment horizontal="center" vertical="center" shrinkToFit="1"/>
      <protection hidden="1"/>
    </xf>
    <xf numFmtId="167" fontId="112" fillId="0" borderId="290" xfId="75" applyNumberFormat="1" applyFont="1" applyBorder="1" applyAlignment="1" applyProtection="1">
      <alignment horizontal="center" vertical="center" shrinkToFit="1"/>
      <protection hidden="1"/>
    </xf>
    <xf numFmtId="0" fontId="113" fillId="0" borderId="0" xfId="75" applyFont="1" applyBorder="1" applyAlignment="1">
      <alignment horizontal="center"/>
    </xf>
    <xf numFmtId="0" fontId="16" fillId="0" borderId="51" xfId="0" applyFont="1" applyBorder="1"/>
    <xf numFmtId="0" fontId="4" fillId="0" borderId="0" xfId="0" applyFont="1" applyAlignment="1">
      <alignment horizontal="left" wrapText="1"/>
    </xf>
    <xf numFmtId="0" fontId="4" fillId="0" borderId="0" xfId="0" applyFont="1" applyAlignment="1">
      <alignment wrapText="1"/>
    </xf>
    <xf numFmtId="0" fontId="4" fillId="0" borderId="0" xfId="76" applyFill="1" applyBorder="1" applyAlignment="1" applyProtection="1"/>
    <xf numFmtId="0" fontId="4" fillId="0" borderId="0" xfId="0" applyFont="1" applyBorder="1"/>
    <xf numFmtId="0" fontId="0" fillId="0" borderId="13" xfId="0" applyBorder="1"/>
    <xf numFmtId="0" fontId="0" fillId="0" borderId="21" xfId="0" applyBorder="1"/>
    <xf numFmtId="0" fontId="0" fillId="0" borderId="50" xfId="0" applyBorder="1"/>
    <xf numFmtId="0" fontId="0" fillId="0" borderId="24" xfId="0" applyBorder="1"/>
    <xf numFmtId="0" fontId="4" fillId="0" borderId="0" xfId="0" applyFont="1" applyBorder="1" applyAlignment="1">
      <alignment vertical="center" wrapText="1"/>
    </xf>
    <xf numFmtId="0" fontId="4" fillId="0" borderId="24" xfId="0" applyFont="1" applyBorder="1" applyAlignment="1">
      <alignment vertical="center" wrapText="1"/>
    </xf>
    <xf numFmtId="0" fontId="0" fillId="0" borderId="2" xfId="0" applyBorder="1"/>
    <xf numFmtId="0" fontId="0" fillId="0" borderId="16" xfId="0" applyBorder="1"/>
    <xf numFmtId="0" fontId="0" fillId="0" borderId="58" xfId="0" applyBorder="1"/>
    <xf numFmtId="49" fontId="4" fillId="60" borderId="2" xfId="0" applyNumberFormat="1" applyFont="1" applyFill="1" applyBorder="1" applyAlignment="1" applyProtection="1">
      <alignment horizontal="left" vertical="center"/>
      <protection locked="0"/>
    </xf>
    <xf numFmtId="49" fontId="69" fillId="39" borderId="20" xfId="78" applyNumberFormat="1" applyFont="1" applyFill="1" applyBorder="1" applyAlignment="1">
      <alignment horizontal="center" vertical="center"/>
    </xf>
    <xf numFmtId="49" fontId="69" fillId="39" borderId="15" xfId="78" applyNumberFormat="1" applyFont="1" applyFill="1" applyBorder="1" applyAlignment="1">
      <alignment horizontal="center" vertical="center"/>
    </xf>
    <xf numFmtId="0" fontId="69" fillId="39" borderId="21" xfId="78" applyFont="1" applyFill="1" applyBorder="1" applyAlignment="1">
      <alignment vertical="center"/>
    </xf>
    <xf numFmtId="49" fontId="69" fillId="39" borderId="23" xfId="78" applyNumberFormat="1" applyFont="1" applyFill="1" applyBorder="1" applyAlignment="1">
      <alignment horizontal="center" vertical="center"/>
    </xf>
    <xf numFmtId="0" fontId="69" fillId="39" borderId="24" xfId="78" applyFont="1" applyFill="1" applyBorder="1" applyAlignment="1">
      <alignment vertical="center"/>
    </xf>
    <xf numFmtId="0" fontId="69" fillId="39" borderId="16" xfId="78" applyFont="1" applyFill="1" applyBorder="1" applyAlignment="1">
      <alignment vertical="center"/>
    </xf>
    <xf numFmtId="49" fontId="22" fillId="40" borderId="22" xfId="78" applyNumberFormat="1" applyFont="1" applyFill="1" applyBorder="1" applyAlignment="1">
      <alignment horizontal="left" vertical="center"/>
    </xf>
    <xf numFmtId="49" fontId="22" fillId="40" borderId="17" xfId="78" applyNumberFormat="1" applyFont="1" applyFill="1" applyBorder="1" applyAlignment="1">
      <alignment horizontal="left" vertical="center"/>
    </xf>
    <xf numFmtId="1" fontId="8" fillId="43" borderId="0" xfId="62" applyNumberFormat="1" applyFont="1" applyFill="1" applyAlignment="1">
      <alignment horizontal="left"/>
    </xf>
    <xf numFmtId="1" fontId="5" fillId="43" borderId="4" xfId="62" applyNumberFormat="1" applyFont="1" applyFill="1" applyBorder="1" applyAlignment="1">
      <alignment horizontal="center"/>
    </xf>
    <xf numFmtId="1" fontId="5" fillId="43" borderId="0" xfId="62" applyNumberFormat="1" applyFont="1" applyFill="1" applyAlignment="1">
      <alignment horizontal="center"/>
    </xf>
    <xf numFmtId="1" fontId="5" fillId="43" borderId="36" xfId="62" applyNumberFormat="1" applyFont="1" applyFill="1" applyBorder="1" applyAlignment="1">
      <alignment horizontal="center"/>
    </xf>
    <xf numFmtId="1" fontId="4" fillId="43" borderId="25" xfId="62" applyNumberFormat="1" applyFont="1" applyFill="1" applyBorder="1" applyAlignment="1">
      <alignment horizontal="center"/>
    </xf>
    <xf numFmtId="1" fontId="4" fillId="43" borderId="22" xfId="62" applyNumberFormat="1" applyFont="1" applyFill="1" applyBorder="1" applyAlignment="1">
      <alignment horizontal="center"/>
    </xf>
    <xf numFmtId="0" fontId="10" fillId="43" borderId="0" xfId="62" applyFont="1" applyFill="1" applyAlignment="1">
      <alignment horizontal="center"/>
    </xf>
    <xf numFmtId="9" fontId="0" fillId="0" borderId="0" xfId="35" applyFont="1" applyFill="1" applyAlignment="1" applyProtection="1">
      <alignment vertical="center"/>
      <protection locked="0" hidden="1"/>
    </xf>
    <xf numFmtId="2" fontId="5" fillId="49" borderId="0" xfId="0" applyNumberFormat="1" applyFont="1" applyFill="1" applyAlignment="1" applyProtection="1">
      <alignment horizontal="center" vertical="center" shrinkToFit="1"/>
      <protection hidden="1"/>
    </xf>
    <xf numFmtId="1" fontId="0" fillId="0" borderId="315" xfId="0" applyNumberFormat="1" applyBorder="1" applyAlignment="1">
      <alignment horizontal="center" vertical="center"/>
    </xf>
    <xf numFmtId="1" fontId="0" fillId="0" borderId="304" xfId="0" applyNumberFormat="1" applyBorder="1" applyAlignment="1">
      <alignment horizontal="center" vertical="center"/>
    </xf>
    <xf numFmtId="1" fontId="0" fillId="0" borderId="321" xfId="0" applyNumberFormat="1" applyBorder="1" applyAlignment="1">
      <alignment horizontal="center" vertical="center"/>
    </xf>
    <xf numFmtId="1" fontId="0" fillId="0" borderId="306" xfId="0" applyNumberFormat="1" applyBorder="1" applyAlignment="1">
      <alignment horizontal="center" vertical="center"/>
    </xf>
    <xf numFmtId="2" fontId="5" fillId="0" borderId="6" xfId="37" applyNumberFormat="1" applyFont="1" applyFill="1" applyBorder="1" applyAlignment="1" applyProtection="1">
      <alignment horizontal="center"/>
    </xf>
    <xf numFmtId="0" fontId="5" fillId="0" borderId="46" xfId="62" applyFont="1" applyBorder="1" applyAlignment="1" applyProtection="1">
      <alignment shrinkToFit="1"/>
    </xf>
    <xf numFmtId="0" fontId="4" fillId="0" borderId="32" xfId="62" applyFont="1" applyFill="1" applyBorder="1" applyAlignment="1" applyProtection="1">
      <alignment shrinkToFit="1"/>
    </xf>
    <xf numFmtId="0" fontId="5" fillId="0" borderId="109" xfId="62" applyFont="1" applyFill="1" applyBorder="1" applyAlignment="1" applyProtection="1">
      <alignment shrinkToFit="1"/>
    </xf>
    <xf numFmtId="0" fontId="5" fillId="0" borderId="45" xfId="62" applyFont="1" applyBorder="1" applyAlignment="1" applyProtection="1">
      <alignment vertical="center" shrinkToFit="1"/>
    </xf>
    <xf numFmtId="0" fontId="5" fillId="0" borderId="38" xfId="62" applyFont="1" applyBorder="1" applyAlignment="1" applyProtection="1">
      <alignment shrinkToFit="1"/>
    </xf>
    <xf numFmtId="0" fontId="4" fillId="0" borderId="34" xfId="62" applyFont="1" applyFill="1" applyBorder="1" applyAlignment="1" applyProtection="1">
      <alignment shrinkToFit="1"/>
    </xf>
    <xf numFmtId="0" fontId="4" fillId="0" borderId="109" xfId="62" applyFont="1" applyFill="1" applyBorder="1" applyAlignment="1" applyProtection="1">
      <alignment shrinkToFit="1"/>
    </xf>
    <xf numFmtId="0" fontId="126" fillId="0" borderId="0" xfId="0" applyFont="1" applyFill="1" applyAlignment="1" applyProtection="1">
      <alignment vertical="center"/>
      <protection hidden="1"/>
    </xf>
    <xf numFmtId="0" fontId="127" fillId="0" borderId="0" xfId="0" applyFont="1" applyAlignment="1" applyProtection="1">
      <alignment vertical="center"/>
    </xf>
    <xf numFmtId="0" fontId="5" fillId="0" borderId="0" xfId="0" applyFont="1" applyFill="1" applyBorder="1" applyAlignment="1" applyProtection="1">
      <alignment horizontal="center" vertical="center"/>
      <protection locked="0" hidden="1"/>
    </xf>
    <xf numFmtId="0" fontId="0" fillId="0" borderId="0" xfId="0" applyFill="1" applyBorder="1" applyAlignment="1" applyProtection="1">
      <alignment horizontal="center" vertical="center"/>
      <protection locked="0" hidden="1"/>
    </xf>
    <xf numFmtId="1" fontId="5" fillId="0" borderId="0" xfId="0" applyNumberFormat="1" applyFont="1" applyFill="1" applyBorder="1" applyAlignment="1" applyProtection="1">
      <alignment horizontal="center" vertical="center"/>
      <protection locked="0" hidden="1"/>
    </xf>
    <xf numFmtId="0" fontId="0" fillId="0" borderId="0" xfId="0" applyBorder="1" applyAlignment="1">
      <alignment horizontal="center"/>
    </xf>
    <xf numFmtId="0" fontId="4" fillId="0" borderId="58" xfId="0" applyFont="1" applyBorder="1" applyAlignment="1" applyProtection="1">
      <alignment horizontal="center" vertical="center"/>
      <protection locked="0" hidden="1"/>
    </xf>
    <xf numFmtId="0" fontId="4" fillId="0" borderId="2" xfId="0" applyFont="1" applyBorder="1" applyAlignment="1" applyProtection="1">
      <alignment horizontal="center" vertical="center"/>
      <protection locked="0" hidden="1"/>
    </xf>
    <xf numFmtId="0" fontId="4" fillId="0" borderId="16" xfId="0" applyFont="1" applyBorder="1" applyAlignment="1" applyProtection="1">
      <alignment horizontal="center" vertical="center"/>
      <protection locked="0" hidden="1"/>
    </xf>
    <xf numFmtId="0" fontId="0" fillId="0" borderId="0" xfId="0" applyBorder="1" applyProtection="1">
      <protection hidden="1"/>
    </xf>
    <xf numFmtId="0" fontId="5" fillId="0" borderId="0" xfId="0" applyFont="1" applyAlignment="1">
      <alignment horizontal="center"/>
    </xf>
    <xf numFmtId="2" fontId="0" fillId="0" borderId="0" xfId="0" applyNumberFormat="1" applyBorder="1" applyProtection="1">
      <protection hidden="1"/>
    </xf>
    <xf numFmtId="0" fontId="5" fillId="0" borderId="0" xfId="0" applyFont="1" applyProtection="1"/>
    <xf numFmtId="1" fontId="4" fillId="43" borderId="0" xfId="62" applyNumberFormat="1" applyFont="1" applyFill="1" applyBorder="1" applyAlignment="1">
      <alignment horizontal="center"/>
    </xf>
    <xf numFmtId="167" fontId="71" fillId="42" borderId="0" xfId="62" applyNumberFormat="1" applyFont="1" applyFill="1" applyBorder="1" applyAlignment="1">
      <alignment horizontal="center"/>
    </xf>
    <xf numFmtId="0" fontId="5" fillId="0" borderId="0" xfId="78" applyFont="1"/>
    <xf numFmtId="0" fontId="5" fillId="46" borderId="0" xfId="78" applyFont="1" applyFill="1"/>
    <xf numFmtId="0" fontId="4" fillId="46" borderId="0" xfId="78" applyFill="1"/>
    <xf numFmtId="2" fontId="5" fillId="46" borderId="0" xfId="78" applyNumberFormat="1" applyFont="1" applyFill="1"/>
    <xf numFmtId="0" fontId="5" fillId="0" borderId="0" xfId="0" applyFont="1" applyFill="1" applyBorder="1" applyAlignment="1" applyProtection="1">
      <alignment horizontal="center" vertical="center"/>
      <protection locked="0" hidden="1"/>
    </xf>
    <xf numFmtId="2" fontId="8" fillId="0" borderId="0" xfId="0" applyNumberFormat="1" applyFont="1" applyBorder="1" applyAlignment="1" applyProtection="1">
      <alignment horizontal="left" vertical="center"/>
      <protection hidden="1"/>
    </xf>
    <xf numFmtId="1" fontId="5" fillId="0" borderId="0" xfId="0" applyNumberFormat="1" applyFont="1" applyFill="1" applyBorder="1" applyAlignment="1" applyProtection="1">
      <alignment horizontal="center" vertical="center"/>
      <protection locked="0" hidden="1"/>
    </xf>
    <xf numFmtId="0" fontId="0" fillId="0" borderId="355" xfId="0" applyBorder="1"/>
    <xf numFmtId="0" fontId="0" fillId="0" borderId="355" xfId="0" applyBorder="1" applyProtection="1"/>
    <xf numFmtId="0" fontId="0" fillId="0" borderId="355" xfId="0" applyBorder="1" applyProtection="1">
      <protection hidden="1"/>
    </xf>
    <xf numFmtId="0" fontId="4" fillId="0" borderId="47" xfId="0" applyFont="1" applyBorder="1" applyAlignment="1" applyProtection="1">
      <alignment vertical="center"/>
    </xf>
    <xf numFmtId="0" fontId="4" fillId="0" borderId="48" xfId="0" applyFont="1" applyBorder="1" applyAlignment="1" applyProtection="1">
      <alignment vertical="center"/>
    </xf>
    <xf numFmtId="0" fontId="0" fillId="0" borderId="155" xfId="0" applyBorder="1"/>
    <xf numFmtId="0" fontId="0" fillId="0" borderId="154" xfId="0" applyBorder="1"/>
    <xf numFmtId="0" fontId="0" fillId="0" borderId="114" xfId="0" applyBorder="1"/>
    <xf numFmtId="0" fontId="0" fillId="0" borderId="115" xfId="0" applyBorder="1"/>
    <xf numFmtId="0" fontId="0" fillId="0" borderId="47" xfId="0" applyBorder="1"/>
    <xf numFmtId="0" fontId="4" fillId="60" borderId="48" xfId="0" applyFont="1" applyFill="1" applyBorder="1" applyAlignment="1" applyProtection="1">
      <alignment horizontal="center" vertical="center"/>
      <protection locked="0"/>
    </xf>
    <xf numFmtId="0" fontId="0" fillId="0" borderId="111" xfId="0" applyBorder="1"/>
    <xf numFmtId="0" fontId="4" fillId="60" borderId="154" xfId="0" applyFont="1" applyFill="1" applyBorder="1" applyAlignment="1" applyProtection="1">
      <alignment horizontal="center" vertical="center"/>
      <protection locked="0"/>
    </xf>
    <xf numFmtId="0" fontId="5" fillId="0" borderId="0" xfId="0" applyFont="1" applyBorder="1"/>
    <xf numFmtId="0" fontId="4" fillId="0" borderId="2" xfId="0" applyFont="1" applyFill="1" applyBorder="1" applyAlignment="1" applyProtection="1">
      <alignment horizontal="center" vertical="center"/>
      <protection locked="0" hidden="1"/>
    </xf>
    <xf numFmtId="0" fontId="0" fillId="0" borderId="2" xfId="0" applyBorder="1" applyAlignment="1">
      <alignment vertical="top"/>
    </xf>
    <xf numFmtId="0" fontId="0" fillId="0" borderId="16" xfId="0" applyBorder="1" applyAlignment="1">
      <alignment vertical="top"/>
    </xf>
    <xf numFmtId="0" fontId="4" fillId="0" borderId="0" xfId="0" applyFont="1" applyBorder="1" applyAlignment="1">
      <alignment vertical="center"/>
    </xf>
    <xf numFmtId="0" fontId="0" fillId="0" borderId="0" xfId="0" applyBorder="1" applyAlignment="1">
      <alignment vertical="center"/>
    </xf>
    <xf numFmtId="0" fontId="0" fillId="0" borderId="24" xfId="0" applyBorder="1" applyAlignment="1">
      <alignment vertical="center"/>
    </xf>
    <xf numFmtId="0" fontId="0" fillId="0" borderId="50" xfId="0" applyBorder="1" applyAlignment="1">
      <alignment vertical="top"/>
    </xf>
    <xf numFmtId="0" fontId="0" fillId="0" borderId="0" xfId="0" applyBorder="1" applyAlignment="1">
      <alignment vertical="top"/>
    </xf>
    <xf numFmtId="0" fontId="5" fillId="0" borderId="50" xfId="0" applyFont="1" applyBorder="1" applyAlignment="1">
      <alignment vertical="top"/>
    </xf>
    <xf numFmtId="0" fontId="5" fillId="0" borderId="0" xfId="0" applyFont="1" applyBorder="1" applyAlignment="1">
      <alignment vertical="top"/>
    </xf>
    <xf numFmtId="0" fontId="29" fillId="45" borderId="1" xfId="76" applyFont="1" applyFill="1" applyBorder="1" applyAlignment="1">
      <alignment horizontal="center"/>
    </xf>
    <xf numFmtId="0" fontId="83" fillId="5" borderId="1" xfId="75" applyFont="1" applyFill="1" applyBorder="1" applyAlignment="1" applyProtection="1">
      <alignment horizontal="center" vertical="center" shrinkToFit="1"/>
      <protection hidden="1"/>
    </xf>
    <xf numFmtId="0" fontId="83" fillId="5" borderId="25" xfId="75" applyFont="1" applyFill="1" applyBorder="1" applyAlignment="1" applyProtection="1">
      <alignment horizontal="center" vertical="center" shrinkToFit="1"/>
      <protection hidden="1"/>
    </xf>
    <xf numFmtId="0" fontId="83" fillId="5" borderId="290" xfId="75" applyFont="1" applyFill="1" applyBorder="1" applyAlignment="1" applyProtection="1">
      <alignment horizontal="center" vertical="center" shrinkToFit="1"/>
      <protection hidden="1"/>
    </xf>
    <xf numFmtId="167" fontId="8" fillId="0" borderId="0" xfId="0" applyNumberFormat="1" applyFont="1" applyAlignment="1" applyProtection="1">
      <alignment horizontal="left" vertical="center"/>
      <protection hidden="1"/>
    </xf>
    <xf numFmtId="0" fontId="4" fillId="0" borderId="112" xfId="0" applyFont="1" applyFill="1" applyBorder="1" applyAlignment="1" applyProtection="1">
      <alignment vertical="center"/>
      <protection hidden="1"/>
    </xf>
    <xf numFmtId="0" fontId="4" fillId="60" borderId="356" xfId="0" applyFont="1" applyFill="1" applyBorder="1" applyAlignment="1" applyProtection="1">
      <alignment horizontal="center" vertical="center"/>
      <protection locked="0"/>
    </xf>
    <xf numFmtId="0" fontId="130" fillId="73" borderId="0" xfId="0" applyFont="1" applyFill="1" applyAlignment="1" applyProtection="1">
      <alignment vertical="center"/>
      <protection hidden="1"/>
    </xf>
    <xf numFmtId="0" fontId="19" fillId="73" borderId="0" xfId="0" applyFont="1" applyFill="1" applyAlignment="1" applyProtection="1">
      <alignment vertical="center"/>
      <protection hidden="1"/>
    </xf>
    <xf numFmtId="0" fontId="130" fillId="73" borderId="0" xfId="0" applyFont="1" applyFill="1"/>
    <xf numFmtId="0" fontId="130" fillId="73" borderId="0" xfId="0" applyFont="1" applyFill="1" applyBorder="1" applyAlignment="1" applyProtection="1">
      <alignment horizontal="center" vertical="center"/>
      <protection hidden="1"/>
    </xf>
    <xf numFmtId="1" fontId="130" fillId="73" borderId="0" xfId="0" applyNumberFormat="1" applyFont="1" applyFill="1" applyBorder="1" applyAlignment="1" applyProtection="1">
      <alignment horizontal="center" vertical="center"/>
      <protection locked="0" hidden="1"/>
    </xf>
    <xf numFmtId="1" fontId="130" fillId="73" borderId="0" xfId="0" applyNumberFormat="1" applyFont="1" applyFill="1" applyBorder="1" applyAlignment="1" applyProtection="1">
      <alignment horizontal="center" vertical="center"/>
      <protection hidden="1"/>
    </xf>
    <xf numFmtId="166" fontId="131" fillId="73" borderId="50" xfId="41" applyNumberFormat="1" applyFont="1" applyFill="1" applyBorder="1" applyAlignment="1" applyProtection="1">
      <alignment horizontal="center" vertical="center"/>
      <protection locked="0" hidden="1"/>
    </xf>
    <xf numFmtId="0" fontId="5" fillId="45" borderId="63" xfId="0" applyFont="1" applyFill="1" applyBorder="1" applyAlignment="1">
      <alignment vertical="center"/>
    </xf>
    <xf numFmtId="0" fontId="4" fillId="45" borderId="36" xfId="0" applyFont="1" applyFill="1" applyBorder="1" applyAlignment="1" applyProtection="1">
      <alignment horizontal="center" vertical="center" wrapText="1"/>
      <protection hidden="1"/>
    </xf>
    <xf numFmtId="0" fontId="0" fillId="60" borderId="86" xfId="0" applyFill="1" applyBorder="1" applyAlignment="1" applyProtection="1">
      <alignment horizontal="center" vertical="center"/>
      <protection locked="0"/>
    </xf>
    <xf numFmtId="0" fontId="4" fillId="45" borderId="6" xfId="0" applyFont="1" applyFill="1" applyBorder="1" applyAlignment="1" applyProtection="1">
      <alignment horizontal="center" vertical="center"/>
      <protection hidden="1"/>
    </xf>
    <xf numFmtId="0" fontId="0" fillId="60" borderId="131" xfId="0" applyFill="1" applyBorder="1" applyAlignment="1" applyProtection="1">
      <alignment horizontal="center" vertical="center"/>
      <protection locked="0"/>
    </xf>
    <xf numFmtId="0" fontId="0" fillId="45" borderId="63" xfId="0" applyFill="1" applyBorder="1" applyProtection="1">
      <protection hidden="1"/>
    </xf>
    <xf numFmtId="167" fontId="0" fillId="0" borderId="74" xfId="0" applyNumberFormat="1" applyFill="1" applyBorder="1" applyAlignment="1" applyProtection="1">
      <alignment horizontal="center" vertical="center" shrinkToFit="1"/>
      <protection hidden="1"/>
    </xf>
    <xf numFmtId="0" fontId="0" fillId="60" borderId="135" xfId="0" applyFill="1" applyBorder="1" applyAlignment="1" applyProtection="1">
      <alignment horizontal="center" vertical="center"/>
      <protection locked="0"/>
    </xf>
    <xf numFmtId="0" fontId="4" fillId="0" borderId="0" xfId="0" applyFont="1" applyAlignment="1" applyProtection="1">
      <alignment horizontal="left" vertical="center"/>
      <protection hidden="1"/>
    </xf>
    <xf numFmtId="0" fontId="4" fillId="45" borderId="60" xfId="0" applyFont="1" applyFill="1" applyBorder="1" applyAlignment="1" applyProtection="1">
      <alignment horizontal="center" vertical="center"/>
      <protection hidden="1"/>
    </xf>
    <xf numFmtId="49" fontId="22" fillId="74" borderId="25" xfId="78" applyNumberFormat="1" applyFont="1" applyFill="1" applyBorder="1" applyAlignment="1">
      <alignment vertical="center"/>
    </xf>
    <xf numFmtId="0" fontId="22" fillId="74" borderId="25" xfId="78" applyFont="1" applyFill="1" applyBorder="1" applyAlignment="1">
      <alignment vertical="center"/>
    </xf>
    <xf numFmtId="0" fontId="22" fillId="74" borderId="17" xfId="78" applyFont="1" applyFill="1" applyBorder="1" applyAlignment="1">
      <alignment vertical="center"/>
    </xf>
    <xf numFmtId="0" fontId="5" fillId="0" borderId="0" xfId="0" applyFont="1" applyFill="1" applyBorder="1" applyAlignment="1" applyProtection="1">
      <alignment horizontal="center" vertical="center"/>
      <protection locked="0" hidden="1"/>
    </xf>
    <xf numFmtId="0" fontId="0" fillId="0" borderId="0" xfId="0" applyFill="1" applyBorder="1" applyAlignment="1" applyProtection="1">
      <alignment horizontal="center" vertical="center"/>
      <protection locked="0" hidden="1"/>
    </xf>
    <xf numFmtId="1" fontId="5" fillId="0" borderId="0" xfId="0" applyNumberFormat="1" applyFont="1" applyFill="1" applyBorder="1" applyAlignment="1" applyProtection="1">
      <alignment horizontal="center" vertical="center"/>
      <protection locked="0" hidden="1"/>
    </xf>
    <xf numFmtId="167" fontId="55" fillId="0" borderId="0" xfId="41" applyNumberFormat="1" applyFill="1" applyBorder="1" applyAlignment="1" applyProtection="1">
      <alignment horizontal="center" vertical="center"/>
      <protection locked="0" hidden="1"/>
    </xf>
    <xf numFmtId="2" fontId="55" fillId="0" borderId="0" xfId="41" applyNumberFormat="1" applyFill="1" applyBorder="1" applyAlignment="1" applyProtection="1">
      <alignment horizontal="center" vertical="center"/>
      <protection locked="0" hidden="1"/>
    </xf>
    <xf numFmtId="1" fontId="55" fillId="0" borderId="50" xfId="41" applyNumberFormat="1" applyFill="1" applyBorder="1" applyAlignment="1" applyProtection="1">
      <alignment horizontal="center" vertical="center"/>
      <protection locked="0" hidden="1"/>
    </xf>
    <xf numFmtId="1" fontId="55" fillId="0" borderId="0" xfId="41" applyNumberFormat="1" applyFill="1" applyBorder="1" applyAlignment="1" applyProtection="1">
      <alignment horizontal="center" vertical="center"/>
      <protection locked="0" hidden="1"/>
    </xf>
    <xf numFmtId="1" fontId="55" fillId="0" borderId="24" xfId="41" applyNumberFormat="1" applyFill="1" applyBorder="1" applyAlignment="1" applyProtection="1">
      <alignment horizontal="center" vertical="center"/>
      <protection locked="0" hidden="1"/>
    </xf>
    <xf numFmtId="167" fontId="55" fillId="0" borderId="51" xfId="41" applyNumberFormat="1" applyFill="1" applyBorder="1" applyAlignment="1" applyProtection="1">
      <alignment horizontal="center" vertical="center"/>
      <protection locked="0" hidden="1"/>
    </xf>
    <xf numFmtId="167" fontId="55" fillId="0" borderId="13" xfId="41" applyNumberFormat="1" applyFill="1" applyBorder="1" applyAlignment="1" applyProtection="1">
      <alignment horizontal="center" vertical="center"/>
      <protection locked="0" hidden="1"/>
    </xf>
    <xf numFmtId="167" fontId="55" fillId="0" borderId="21" xfId="41" applyNumberFormat="1" applyFill="1" applyBorder="1" applyAlignment="1" applyProtection="1">
      <alignment horizontal="center" vertical="center"/>
      <protection locked="0" hidden="1"/>
    </xf>
    <xf numFmtId="167" fontId="0" fillId="0" borderId="0" xfId="0" applyNumberFormat="1" applyFill="1" applyAlignment="1" applyProtection="1">
      <alignment vertical="center"/>
      <protection hidden="1"/>
    </xf>
    <xf numFmtId="1" fontId="0" fillId="0" borderId="0" xfId="0" applyNumberFormat="1" applyFill="1" applyAlignment="1" applyProtection="1">
      <alignment vertical="center"/>
      <protection hidden="1"/>
    </xf>
    <xf numFmtId="1" fontId="55" fillId="0" borderId="0" xfId="41" applyNumberFormat="1" applyFill="1" applyAlignment="1" applyProtection="1">
      <alignment vertical="center"/>
      <protection hidden="1"/>
    </xf>
    <xf numFmtId="0" fontId="55" fillId="0" borderId="0" xfId="41" applyFill="1" applyAlignment="1" applyProtection="1">
      <alignment vertical="center"/>
      <protection hidden="1"/>
    </xf>
    <xf numFmtId="0" fontId="55" fillId="0" borderId="0" xfId="41" applyFill="1" applyAlignment="1" applyProtection="1">
      <alignment vertical="center"/>
      <protection locked="0" hidden="1"/>
    </xf>
    <xf numFmtId="0" fontId="53" fillId="0" borderId="0" xfId="30" applyFill="1" applyAlignment="1" applyProtection="1">
      <alignment vertical="center"/>
      <protection hidden="1"/>
    </xf>
    <xf numFmtId="0" fontId="12" fillId="0" borderId="0" xfId="0" applyFont="1" applyFill="1" applyAlignment="1" applyProtection="1">
      <alignment vertical="center"/>
      <protection hidden="1"/>
    </xf>
    <xf numFmtId="0" fontId="5" fillId="0" borderId="0" xfId="0" applyFont="1" applyFill="1" applyAlignment="1" applyProtection="1">
      <alignment vertical="center"/>
      <protection locked="0" hidden="1"/>
    </xf>
    <xf numFmtId="0" fontId="55" fillId="0" borderId="0" xfId="41" applyFill="1" applyBorder="1" applyAlignment="1" applyProtection="1">
      <alignment horizontal="center" vertical="center"/>
      <protection locked="0" hidden="1"/>
    </xf>
    <xf numFmtId="0" fontId="4" fillId="0" borderId="0" xfId="0" applyFont="1" applyBorder="1" applyAlignment="1">
      <alignment horizontal="left" wrapText="1"/>
    </xf>
    <xf numFmtId="0" fontId="4" fillId="0" borderId="24" xfId="0" applyFont="1" applyBorder="1" applyAlignment="1">
      <alignment horizontal="left" wrapText="1"/>
    </xf>
    <xf numFmtId="0" fontId="5" fillId="0" borderId="50" xfId="0" applyFont="1" applyBorder="1" applyAlignment="1">
      <alignment horizontal="left" vertical="top"/>
    </xf>
    <xf numFmtId="0" fontId="5" fillId="0" borderId="0" xfId="0" applyFont="1" applyBorder="1" applyAlignment="1">
      <alignment horizontal="left" vertical="top"/>
    </xf>
    <xf numFmtId="0" fontId="45" fillId="0" borderId="0" xfId="0" applyFont="1" applyAlignment="1" applyProtection="1">
      <alignment horizontal="center"/>
      <protection hidden="1"/>
    </xf>
    <xf numFmtId="0" fontId="0" fillId="0" borderId="0" xfId="0" applyBorder="1" applyAlignment="1">
      <alignment horizontal="left" wrapText="1"/>
    </xf>
    <xf numFmtId="0" fontId="0" fillId="0" borderId="24" xfId="0" applyBorder="1" applyAlignment="1">
      <alignment horizontal="left" wrapText="1"/>
    </xf>
    <xf numFmtId="0" fontId="4" fillId="0" borderId="0" xfId="0" applyFont="1" applyBorder="1" applyAlignment="1">
      <alignment horizontal="left" vertical="center" wrapText="1"/>
    </xf>
    <xf numFmtId="0" fontId="4" fillId="0" borderId="24" xfId="0" applyFont="1" applyBorder="1" applyAlignment="1">
      <alignment horizontal="left" vertical="center" wrapText="1"/>
    </xf>
    <xf numFmtId="0" fontId="5" fillId="0" borderId="58" xfId="0" applyFont="1" applyBorder="1" applyAlignment="1">
      <alignment horizontal="left" vertical="top"/>
    </xf>
    <xf numFmtId="0" fontId="5" fillId="0" borderId="2" xfId="0" applyFont="1" applyBorder="1" applyAlignment="1">
      <alignment horizontal="left" vertical="top"/>
    </xf>
    <xf numFmtId="0" fontId="5" fillId="0" borderId="0" xfId="0" applyFont="1" applyFill="1" applyBorder="1" applyAlignment="1" applyProtection="1">
      <alignment horizontal="center" vertical="center"/>
      <protection locked="0" hidden="1"/>
    </xf>
    <xf numFmtId="0" fontId="5" fillId="0" borderId="0" xfId="0" applyFont="1" applyBorder="1" applyAlignment="1" applyProtection="1">
      <alignment horizontal="center" vertical="center"/>
      <protection locked="0" hidden="1"/>
    </xf>
    <xf numFmtId="0" fontId="7" fillId="43" borderId="204" xfId="0" applyFont="1" applyFill="1" applyBorder="1" applyAlignment="1" applyProtection="1">
      <alignment horizontal="left" vertical="center"/>
      <protection hidden="1"/>
    </xf>
    <xf numFmtId="0" fontId="7" fillId="43" borderId="202" xfId="0" applyFont="1" applyFill="1" applyBorder="1" applyAlignment="1" applyProtection="1">
      <alignment horizontal="left" vertical="center"/>
      <protection hidden="1"/>
    </xf>
    <xf numFmtId="0" fontId="7" fillId="43" borderId="254" xfId="0" applyFont="1" applyFill="1" applyBorder="1" applyAlignment="1" applyProtection="1">
      <alignment horizontal="left" vertical="center"/>
      <protection hidden="1"/>
    </xf>
    <xf numFmtId="0" fontId="7" fillId="43" borderId="233" xfId="0" applyFont="1" applyFill="1" applyBorder="1" applyAlignment="1" applyProtection="1">
      <alignment horizontal="left" vertical="center"/>
    </xf>
    <xf numFmtId="0" fontId="7" fillId="43" borderId="234" xfId="0" applyFont="1" applyFill="1" applyBorder="1" applyAlignment="1" applyProtection="1">
      <alignment horizontal="left" vertical="center"/>
    </xf>
    <xf numFmtId="0" fontId="7" fillId="43" borderId="235" xfId="0" applyFont="1" applyFill="1" applyBorder="1" applyAlignment="1" applyProtection="1">
      <alignment horizontal="left" vertical="center"/>
    </xf>
    <xf numFmtId="0" fontId="8" fillId="0" borderId="189" xfId="0" applyFont="1" applyBorder="1" applyAlignment="1" applyProtection="1">
      <alignment horizontal="right" shrinkToFit="1"/>
      <protection hidden="1"/>
    </xf>
    <xf numFmtId="1" fontId="12" fillId="0" borderId="191" xfId="0" applyNumberFormat="1" applyFont="1" applyBorder="1" applyAlignment="1" applyProtection="1">
      <alignment horizontal="center" vertical="center" shrinkToFit="1"/>
      <protection hidden="1"/>
    </xf>
    <xf numFmtId="1" fontId="12" fillId="0" borderId="236" xfId="0" applyNumberFormat="1" applyFont="1" applyBorder="1" applyAlignment="1" applyProtection="1">
      <alignment horizontal="center" vertical="center" shrinkToFit="1"/>
      <protection hidden="1"/>
    </xf>
    <xf numFmtId="1" fontId="12" fillId="0" borderId="186" xfId="0" applyNumberFormat="1" applyFont="1" applyBorder="1" applyAlignment="1" applyProtection="1">
      <alignment horizontal="center" vertical="center" shrinkToFit="1"/>
      <protection hidden="1"/>
    </xf>
    <xf numFmtId="1" fontId="12" fillId="0" borderId="241" xfId="0" applyNumberFormat="1" applyFont="1" applyBorder="1" applyAlignment="1" applyProtection="1">
      <alignment horizontal="center" vertical="center" shrinkToFit="1"/>
      <protection hidden="1"/>
    </xf>
    <xf numFmtId="1" fontId="12" fillId="0" borderId="242" xfId="0" applyNumberFormat="1" applyFont="1" applyBorder="1" applyAlignment="1" applyProtection="1">
      <alignment horizontal="center" vertical="center" shrinkToFit="1"/>
      <protection hidden="1"/>
    </xf>
    <xf numFmtId="1" fontId="12" fillId="0" borderId="243" xfId="0" applyNumberFormat="1" applyFont="1" applyBorder="1" applyAlignment="1" applyProtection="1">
      <alignment horizontal="center" vertical="center" shrinkToFit="1"/>
      <protection hidden="1"/>
    </xf>
    <xf numFmtId="0" fontId="16" fillId="44" borderId="64" xfId="0" applyFont="1" applyFill="1" applyBorder="1" applyAlignment="1" applyProtection="1">
      <alignment horizontal="left" vertical="center"/>
    </xf>
    <xf numFmtId="0" fontId="16" fillId="44" borderId="63" xfId="0" applyFont="1" applyFill="1" applyBorder="1" applyAlignment="1" applyProtection="1">
      <alignment horizontal="left" vertical="center"/>
    </xf>
    <xf numFmtId="0" fontId="4" fillId="0" borderId="11" xfId="0" applyFont="1" applyFill="1" applyBorder="1" applyAlignment="1" applyProtection="1">
      <alignment horizontal="center" vertical="center"/>
    </xf>
    <xf numFmtId="0" fontId="4" fillId="0" borderId="155" xfId="0" applyFont="1" applyFill="1" applyBorder="1" applyAlignment="1" applyProtection="1">
      <alignment horizontal="center" vertical="center"/>
    </xf>
    <xf numFmtId="0" fontId="0" fillId="0" borderId="1" xfId="0" applyFill="1" applyBorder="1" applyAlignment="1" applyProtection="1">
      <alignment horizontal="center" vertical="center" wrapText="1"/>
    </xf>
    <xf numFmtId="0" fontId="0" fillId="0" borderId="154" xfId="0" applyFill="1" applyBorder="1" applyAlignment="1" applyProtection="1">
      <alignment horizontal="center" vertical="center" wrapText="1"/>
    </xf>
    <xf numFmtId="0" fontId="4" fillId="0" borderId="48" xfId="0" applyFont="1" applyFill="1" applyBorder="1" applyAlignment="1" applyProtection="1">
      <alignment horizontal="center" vertical="center" wrapText="1"/>
      <protection hidden="1"/>
    </xf>
    <xf numFmtId="0" fontId="12" fillId="0" borderId="49" xfId="0" applyFont="1" applyFill="1" applyBorder="1" applyAlignment="1" applyProtection="1">
      <alignment horizontal="center" vertical="center" wrapText="1"/>
      <protection hidden="1"/>
    </xf>
    <xf numFmtId="1" fontId="4" fillId="0" borderId="1" xfId="0" applyNumberFormat="1" applyFont="1" applyFill="1" applyBorder="1" applyAlignment="1" applyProtection="1">
      <alignment horizontal="center" vertical="center" shrinkToFit="1"/>
      <protection hidden="1"/>
    </xf>
    <xf numFmtId="1" fontId="4" fillId="0" borderId="112" xfId="0" applyNumberFormat="1" applyFont="1" applyFill="1" applyBorder="1" applyAlignment="1" applyProtection="1">
      <alignment horizontal="center" vertical="center" shrinkToFit="1"/>
      <protection hidden="1"/>
    </xf>
    <xf numFmtId="2" fontId="4" fillId="0" borderId="1" xfId="0" applyNumberFormat="1" applyFont="1" applyFill="1" applyBorder="1" applyAlignment="1" applyProtection="1">
      <alignment horizontal="center" vertical="center" shrinkToFit="1"/>
      <protection hidden="1"/>
    </xf>
    <xf numFmtId="2" fontId="4" fillId="0" borderId="112" xfId="0" applyNumberFormat="1" applyFont="1" applyFill="1" applyBorder="1" applyAlignment="1" applyProtection="1">
      <alignment horizontal="center" vertical="center" shrinkToFit="1"/>
      <protection hidden="1"/>
    </xf>
    <xf numFmtId="2" fontId="4" fillId="0" borderId="1" xfId="0" applyNumberFormat="1" applyFont="1" applyBorder="1" applyAlignment="1" applyProtection="1">
      <alignment horizontal="center" vertical="center" shrinkToFit="1"/>
      <protection hidden="1"/>
    </xf>
    <xf numFmtId="2" fontId="4" fillId="0" borderId="112" xfId="0" applyNumberFormat="1" applyFont="1" applyBorder="1" applyAlignment="1" applyProtection="1">
      <alignment horizontal="center" vertical="center" shrinkToFit="1"/>
      <protection hidden="1"/>
    </xf>
    <xf numFmtId="0" fontId="12" fillId="0" borderId="111" xfId="0" applyFont="1" applyFill="1" applyBorder="1" applyAlignment="1" applyProtection="1">
      <alignment horizontal="center" vertical="center"/>
      <protection hidden="1"/>
    </xf>
    <xf numFmtId="0" fontId="12" fillId="0" borderId="1" xfId="0" applyFont="1" applyFill="1" applyBorder="1" applyAlignment="1" applyProtection="1">
      <alignment horizontal="center" vertical="center"/>
      <protection hidden="1"/>
    </xf>
    <xf numFmtId="0" fontId="90" fillId="0" borderId="111" xfId="0" applyFont="1" applyFill="1" applyBorder="1" applyAlignment="1" applyProtection="1">
      <alignment horizontal="center" vertical="center"/>
      <protection hidden="1"/>
    </xf>
    <xf numFmtId="0" fontId="90" fillId="0" borderId="1" xfId="0" applyFont="1" applyFill="1" applyBorder="1" applyAlignment="1" applyProtection="1">
      <alignment horizontal="center" vertical="center"/>
      <protection hidden="1"/>
    </xf>
    <xf numFmtId="0" fontId="12" fillId="0" borderId="52" xfId="0" applyFont="1" applyFill="1" applyBorder="1" applyAlignment="1" applyProtection="1">
      <alignment horizontal="center" vertical="center" wrapText="1"/>
      <protection hidden="1"/>
    </xf>
    <xf numFmtId="0" fontId="12" fillId="0" borderId="53" xfId="0" applyFont="1" applyFill="1" applyBorder="1" applyAlignment="1" applyProtection="1">
      <alignment horizontal="center" vertical="center" wrapText="1"/>
      <protection hidden="1"/>
    </xf>
    <xf numFmtId="1" fontId="12" fillId="0" borderId="120" xfId="0" applyNumberFormat="1" applyFont="1" applyFill="1" applyBorder="1" applyAlignment="1" applyProtection="1">
      <alignment horizontal="center" vertical="center" shrinkToFit="1"/>
      <protection hidden="1"/>
    </xf>
    <xf numFmtId="1" fontId="12" fillId="0" borderId="19" xfId="0" applyNumberFormat="1" applyFont="1" applyFill="1" applyBorder="1" applyAlignment="1" applyProtection="1">
      <alignment horizontal="center" vertical="center" shrinkToFit="1"/>
      <protection hidden="1"/>
    </xf>
    <xf numFmtId="1" fontId="90" fillId="0" borderId="120" xfId="0" applyNumberFormat="1" applyFont="1" applyFill="1" applyBorder="1" applyAlignment="1" applyProtection="1">
      <alignment horizontal="center" vertical="center" shrinkToFit="1"/>
      <protection hidden="1"/>
    </xf>
    <xf numFmtId="1" fontId="90" fillId="0" borderId="19" xfId="0" applyNumberFormat="1" applyFont="1" applyFill="1" applyBorder="1" applyAlignment="1" applyProtection="1">
      <alignment horizontal="center" vertical="center" shrinkToFit="1"/>
      <protection hidden="1"/>
    </xf>
    <xf numFmtId="2" fontId="12" fillId="0" borderId="120" xfId="0" applyNumberFormat="1" applyFont="1" applyFill="1" applyBorder="1" applyAlignment="1" applyProtection="1">
      <alignment horizontal="center" vertical="center" shrinkToFit="1"/>
      <protection hidden="1"/>
    </xf>
    <xf numFmtId="2" fontId="12" fillId="0" borderId="19" xfId="0" applyNumberFormat="1" applyFont="1" applyFill="1" applyBorder="1" applyAlignment="1" applyProtection="1">
      <alignment horizontal="center" vertical="center" shrinkToFit="1"/>
      <protection hidden="1"/>
    </xf>
    <xf numFmtId="2" fontId="12" fillId="0" borderId="110" xfId="0" applyNumberFormat="1" applyFont="1" applyFill="1" applyBorder="1" applyAlignment="1" applyProtection="1">
      <alignment horizontal="center" vertical="center" shrinkToFit="1"/>
      <protection hidden="1"/>
    </xf>
    <xf numFmtId="2" fontId="0" fillId="0" borderId="1" xfId="0" applyNumberFormat="1" applyBorder="1" applyAlignment="1" applyProtection="1">
      <alignment horizontal="center" vertical="center" shrinkToFit="1"/>
      <protection hidden="1"/>
    </xf>
    <xf numFmtId="0" fontId="12" fillId="0" borderId="111" xfId="42" applyFont="1" applyBorder="1" applyAlignment="1">
      <alignment horizontal="center" vertical="center"/>
    </xf>
    <xf numFmtId="1" fontId="0" fillId="0" borderId="7" xfId="0" applyNumberFormat="1" applyBorder="1" applyAlignment="1">
      <alignment horizontal="center" vertical="center"/>
    </xf>
    <xf numFmtId="1" fontId="0" fillId="0" borderId="33" xfId="0" applyNumberFormat="1" applyBorder="1" applyAlignment="1">
      <alignment horizontal="center" vertical="center"/>
    </xf>
    <xf numFmtId="1" fontId="0" fillId="0" borderId="335" xfId="0" applyNumberFormat="1" applyBorder="1" applyAlignment="1">
      <alignment horizontal="center" vertical="center"/>
    </xf>
    <xf numFmtId="1" fontId="0" fillId="0" borderId="62" xfId="0" applyNumberFormat="1" applyBorder="1" applyAlignment="1">
      <alignment horizontal="center" vertical="center"/>
    </xf>
    <xf numFmtId="1" fontId="0" fillId="0" borderId="60" xfId="0" applyNumberFormat="1" applyBorder="1" applyAlignment="1">
      <alignment horizontal="center" vertical="center"/>
    </xf>
    <xf numFmtId="0" fontId="4" fillId="45" borderId="167" xfId="0" applyFont="1" applyFill="1" applyBorder="1" applyAlignment="1">
      <alignment horizontal="center" vertical="center"/>
    </xf>
    <xf numFmtId="0" fontId="0" fillId="45" borderId="63" xfId="0" applyFill="1" applyBorder="1" applyAlignment="1">
      <alignment horizontal="center" vertical="center"/>
    </xf>
    <xf numFmtId="0" fontId="4" fillId="45" borderId="341" xfId="0" applyFont="1" applyFill="1" applyBorder="1" applyAlignment="1">
      <alignment horizontal="center" vertical="center"/>
    </xf>
    <xf numFmtId="0" fontId="0" fillId="45" borderId="351" xfId="0" applyFill="1" applyBorder="1" applyAlignment="1">
      <alignment horizontal="center" vertical="center"/>
    </xf>
    <xf numFmtId="0" fontId="4" fillId="45" borderId="63" xfId="0" applyFont="1" applyFill="1" applyBorder="1" applyAlignment="1">
      <alignment horizontal="center" vertical="center"/>
    </xf>
    <xf numFmtId="0" fontId="0" fillId="45" borderId="113" xfId="0" applyFill="1" applyBorder="1" applyAlignment="1">
      <alignment horizontal="center" vertical="center"/>
    </xf>
    <xf numFmtId="0" fontId="4" fillId="0" borderId="64" xfId="0" applyFont="1" applyBorder="1" applyAlignment="1">
      <alignment vertical="center"/>
    </xf>
    <xf numFmtId="0" fontId="4" fillId="0" borderId="63" xfId="0" applyFont="1" applyBorder="1" applyAlignment="1">
      <alignment vertical="center"/>
    </xf>
    <xf numFmtId="0" fontId="4" fillId="0" borderId="116" xfId="0" applyFont="1" applyBorder="1" applyAlignment="1">
      <alignment vertical="center"/>
    </xf>
    <xf numFmtId="2" fontId="12" fillId="0" borderId="163" xfId="0" applyNumberFormat="1" applyFont="1" applyFill="1" applyBorder="1" applyAlignment="1" applyProtection="1">
      <alignment horizontal="center" vertical="center" shrinkToFit="1"/>
    </xf>
    <xf numFmtId="2" fontId="12" fillId="0" borderId="272" xfId="0" applyNumberFormat="1" applyFont="1" applyFill="1" applyBorder="1" applyAlignment="1" applyProtection="1">
      <alignment horizontal="center" vertical="center" shrinkToFit="1"/>
    </xf>
    <xf numFmtId="0" fontId="16" fillId="44" borderId="113" xfId="0" applyFont="1" applyFill="1" applyBorder="1" applyAlignment="1" applyProtection="1">
      <alignment horizontal="left" vertical="center"/>
    </xf>
    <xf numFmtId="0" fontId="5" fillId="45" borderId="64" xfId="0" applyFont="1" applyFill="1" applyBorder="1" applyAlignment="1" applyProtection="1">
      <alignment horizontal="left" vertical="center"/>
    </xf>
    <xf numFmtId="0" fontId="5" fillId="45" borderId="63" xfId="0" applyFont="1" applyFill="1" applyBorder="1" applyAlignment="1" applyProtection="1">
      <alignment horizontal="left" vertical="center"/>
    </xf>
    <xf numFmtId="0" fontId="5" fillId="45" borderId="113" xfId="0" applyFont="1" applyFill="1" applyBorder="1" applyAlignment="1" applyProtection="1">
      <alignment horizontal="left" vertical="center"/>
    </xf>
    <xf numFmtId="167" fontId="0" fillId="60" borderId="139" xfId="0" applyNumberFormat="1" applyFill="1" applyBorder="1" applyAlignment="1" applyProtection="1">
      <alignment horizontal="center"/>
      <protection locked="0"/>
    </xf>
    <xf numFmtId="167" fontId="0" fillId="60" borderId="138" xfId="0" applyNumberFormat="1" applyFill="1" applyBorder="1" applyAlignment="1" applyProtection="1">
      <alignment horizontal="center"/>
      <protection locked="0"/>
    </xf>
    <xf numFmtId="167" fontId="0" fillId="60" borderId="74" xfId="0" applyNumberFormat="1" applyFill="1" applyBorder="1" applyAlignment="1" applyProtection="1">
      <alignment horizontal="center"/>
      <protection locked="0"/>
    </xf>
    <xf numFmtId="167" fontId="0" fillId="60" borderId="135" xfId="0" applyNumberFormat="1" applyFill="1" applyBorder="1" applyAlignment="1" applyProtection="1">
      <alignment horizontal="center"/>
      <protection locked="0"/>
    </xf>
    <xf numFmtId="0" fontId="7" fillId="52" borderId="246" xfId="0" applyFont="1" applyFill="1" applyBorder="1" applyAlignment="1" applyProtection="1">
      <alignment horizontal="center" vertical="center"/>
    </xf>
    <xf numFmtId="0" fontId="7" fillId="52" borderId="247" xfId="0" applyFont="1" applyFill="1" applyBorder="1" applyAlignment="1" applyProtection="1">
      <alignment horizontal="center" vertical="center"/>
    </xf>
    <xf numFmtId="1" fontId="5" fillId="0" borderId="202" xfId="0" applyNumberFormat="1" applyFont="1" applyFill="1" applyBorder="1" applyAlignment="1" applyProtection="1">
      <alignment horizontal="center" vertical="center" shrinkToFit="1"/>
      <protection hidden="1"/>
    </xf>
    <xf numFmtId="1" fontId="5" fillId="0" borderId="248" xfId="0" applyNumberFormat="1" applyFont="1" applyFill="1" applyBorder="1" applyAlignment="1" applyProtection="1">
      <alignment horizontal="center" vertical="center" shrinkToFit="1"/>
      <protection hidden="1"/>
    </xf>
    <xf numFmtId="0" fontId="0" fillId="60" borderId="74" xfId="0" applyFill="1" applyBorder="1" applyAlignment="1" applyProtection="1">
      <alignment horizontal="center"/>
      <protection locked="0"/>
    </xf>
    <xf numFmtId="0" fontId="0" fillId="60" borderId="135" xfId="0" applyFill="1" applyBorder="1" applyAlignment="1" applyProtection="1">
      <alignment horizontal="center"/>
      <protection locked="0"/>
    </xf>
    <xf numFmtId="0" fontId="7" fillId="52" borderId="229" xfId="0" applyFont="1" applyFill="1" applyBorder="1" applyAlignment="1" applyProtection="1">
      <alignment horizontal="center" vertical="center"/>
    </xf>
    <xf numFmtId="0" fontId="4" fillId="0" borderId="56" xfId="0" applyFont="1" applyBorder="1" applyAlignment="1" applyProtection="1">
      <alignment horizontal="center" vertical="center"/>
      <protection hidden="1"/>
    </xf>
    <xf numFmtId="0" fontId="4" fillId="0" borderId="19" xfId="0" applyFont="1" applyBorder="1" applyAlignment="1" applyProtection="1">
      <alignment horizontal="center" vertical="center"/>
      <protection hidden="1"/>
    </xf>
    <xf numFmtId="0" fontId="4" fillId="0" borderId="162" xfId="0" applyFont="1" applyBorder="1" applyAlignment="1" applyProtection="1">
      <alignment horizontal="center" vertical="center"/>
      <protection hidden="1"/>
    </xf>
    <xf numFmtId="0" fontId="4" fillId="0" borderId="130" xfId="0" applyFont="1" applyBorder="1" applyAlignment="1" applyProtection="1">
      <alignment horizontal="center" vertical="center"/>
      <protection hidden="1"/>
    </xf>
    <xf numFmtId="2" fontId="12" fillId="0" borderId="163" xfId="0" applyNumberFormat="1" applyFont="1" applyFill="1" applyBorder="1" applyAlignment="1" applyProtection="1">
      <alignment horizontal="center" vertical="center" shrinkToFit="1"/>
      <protection hidden="1"/>
    </xf>
    <xf numFmtId="2" fontId="12" fillId="0" borderId="130" xfId="0" applyNumberFormat="1" applyFont="1" applyFill="1" applyBorder="1" applyAlignment="1" applyProtection="1">
      <alignment horizontal="center" vertical="center" shrinkToFit="1"/>
      <protection hidden="1"/>
    </xf>
    <xf numFmtId="1" fontId="5" fillId="0" borderId="204" xfId="0" applyNumberFormat="1" applyFont="1" applyFill="1" applyBorder="1" applyAlignment="1" applyProtection="1">
      <alignment horizontal="center" vertical="center" shrinkToFit="1"/>
      <protection hidden="1"/>
    </xf>
    <xf numFmtId="1" fontId="5" fillId="0" borderId="254" xfId="0" applyNumberFormat="1" applyFont="1" applyFill="1" applyBorder="1" applyAlignment="1" applyProtection="1">
      <alignment horizontal="center" vertical="center" shrinkToFit="1"/>
      <protection hidden="1"/>
    </xf>
    <xf numFmtId="1" fontId="12" fillId="0" borderId="190" xfId="0" applyNumberFormat="1" applyFont="1" applyFill="1" applyBorder="1" applyAlignment="1" applyProtection="1">
      <alignment horizontal="center" vertical="center" shrinkToFit="1"/>
      <protection hidden="1"/>
    </xf>
    <xf numFmtId="1" fontId="12" fillId="0" borderId="194" xfId="0" applyNumberFormat="1" applyFont="1" applyFill="1" applyBorder="1" applyAlignment="1" applyProtection="1">
      <alignment horizontal="center" vertical="center" shrinkToFit="1"/>
      <protection hidden="1"/>
    </xf>
    <xf numFmtId="2" fontId="12" fillId="0" borderId="1" xfId="0" applyNumberFormat="1" applyFont="1" applyBorder="1" applyAlignment="1" applyProtection="1">
      <alignment horizontal="center" vertical="center" shrinkToFit="1"/>
      <protection hidden="1"/>
    </xf>
    <xf numFmtId="2" fontId="12" fillId="0" borderId="112" xfId="0" applyNumberFormat="1" applyFont="1" applyBorder="1" applyAlignment="1" applyProtection="1">
      <alignment horizontal="center" vertical="center" shrinkToFit="1"/>
      <protection hidden="1"/>
    </xf>
    <xf numFmtId="0" fontId="4" fillId="0" borderId="56" xfId="42" applyFont="1" applyBorder="1" applyAlignment="1">
      <alignment horizontal="center" vertical="center"/>
    </xf>
    <xf numFmtId="0" fontId="4" fillId="0" borderId="19" xfId="42" applyFont="1" applyBorder="1" applyAlignment="1">
      <alignment horizontal="center" vertical="center"/>
    </xf>
    <xf numFmtId="2" fontId="12" fillId="0" borderId="1" xfId="42" applyNumberFormat="1" applyFont="1" applyBorder="1" applyAlignment="1" applyProtection="1">
      <alignment horizontal="center" vertical="center" shrinkToFit="1"/>
      <protection hidden="1"/>
    </xf>
    <xf numFmtId="1" fontId="12" fillId="0" borderId="110" xfId="0" applyNumberFormat="1" applyFont="1" applyFill="1" applyBorder="1" applyAlignment="1" applyProtection="1">
      <alignment horizontal="center" vertical="center" shrinkToFit="1"/>
      <protection hidden="1"/>
    </xf>
    <xf numFmtId="1" fontId="90" fillId="0" borderId="110" xfId="0" applyNumberFormat="1" applyFont="1" applyFill="1" applyBorder="1" applyAlignment="1" applyProtection="1">
      <alignment horizontal="center" vertical="center" shrinkToFit="1"/>
      <protection hidden="1"/>
    </xf>
    <xf numFmtId="1" fontId="4" fillId="0" borderId="120" xfId="0" applyNumberFormat="1" applyFont="1" applyFill="1" applyBorder="1" applyAlignment="1" applyProtection="1">
      <alignment horizontal="center" vertical="center" shrinkToFit="1"/>
      <protection hidden="1"/>
    </xf>
    <xf numFmtId="1" fontId="4" fillId="0" borderId="92" xfId="0" applyNumberFormat="1" applyFont="1" applyFill="1" applyBorder="1" applyAlignment="1" applyProtection="1">
      <alignment horizontal="center" vertical="center" shrinkToFit="1"/>
      <protection hidden="1"/>
    </xf>
    <xf numFmtId="1" fontId="4" fillId="0" borderId="110" xfId="0" applyNumberFormat="1" applyFont="1" applyFill="1" applyBorder="1" applyAlignment="1" applyProtection="1">
      <alignment horizontal="center" vertical="center" shrinkToFit="1"/>
      <protection hidden="1"/>
    </xf>
    <xf numFmtId="1" fontId="90" fillId="0" borderId="120" xfId="0" applyNumberFormat="1" applyFont="1" applyBorder="1" applyAlignment="1" applyProtection="1">
      <alignment horizontal="center" vertical="center" shrinkToFit="1"/>
      <protection hidden="1"/>
    </xf>
    <xf numFmtId="1" fontId="90" fillId="0" borderId="92" xfId="0" applyNumberFormat="1" applyFont="1" applyBorder="1" applyAlignment="1" applyProtection="1">
      <alignment horizontal="center" vertical="center" shrinkToFit="1"/>
      <protection hidden="1"/>
    </xf>
    <xf numFmtId="1" fontId="90" fillId="0" borderId="110" xfId="0" applyNumberFormat="1" applyFont="1" applyBorder="1" applyAlignment="1" applyProtection="1">
      <alignment horizontal="center" vertical="center" shrinkToFit="1"/>
      <protection hidden="1"/>
    </xf>
    <xf numFmtId="2" fontId="12" fillId="0" borderId="154" xfId="0" applyNumberFormat="1" applyFont="1" applyBorder="1" applyAlignment="1" applyProtection="1">
      <alignment horizontal="center" vertical="center" shrinkToFit="1"/>
      <protection hidden="1"/>
    </xf>
    <xf numFmtId="2" fontId="12" fillId="0" borderId="89" xfId="0" applyNumberFormat="1" applyFont="1" applyBorder="1" applyAlignment="1" applyProtection="1">
      <alignment horizontal="center" vertical="center" shrinkToFit="1"/>
      <protection hidden="1"/>
    </xf>
    <xf numFmtId="0" fontId="12" fillId="0" borderId="48" xfId="0" applyFont="1" applyFill="1" applyBorder="1" applyAlignment="1" applyProtection="1">
      <alignment horizontal="center" vertical="center" wrapText="1"/>
      <protection hidden="1"/>
    </xf>
    <xf numFmtId="1" fontId="4" fillId="0" borderId="1" xfId="0" applyNumberFormat="1" applyFont="1" applyFill="1" applyBorder="1" applyAlignment="1" applyProtection="1">
      <alignment horizontal="center" vertical="center"/>
      <protection hidden="1"/>
    </xf>
    <xf numFmtId="0" fontId="4" fillId="0" borderId="1" xfId="0" applyFont="1" applyFill="1" applyBorder="1" applyAlignment="1" applyProtection="1">
      <alignment horizontal="center" vertical="center"/>
      <protection hidden="1"/>
    </xf>
    <xf numFmtId="0" fontId="4" fillId="0" borderId="112" xfId="0" applyFont="1" applyFill="1" applyBorder="1" applyAlignment="1" applyProtection="1">
      <alignment horizontal="center" vertical="center"/>
      <protection hidden="1"/>
    </xf>
    <xf numFmtId="0" fontId="4" fillId="0" borderId="111" xfId="0" applyFont="1" applyBorder="1" applyAlignment="1" applyProtection="1">
      <alignment horizontal="center" vertical="center"/>
      <protection hidden="1"/>
    </xf>
    <xf numFmtId="0" fontId="12" fillId="0" borderId="1" xfId="0" applyFont="1" applyBorder="1" applyAlignment="1" applyProtection="1">
      <alignment horizontal="center" vertical="center"/>
      <protection hidden="1"/>
    </xf>
    <xf numFmtId="0" fontId="4" fillId="0" borderId="111" xfId="0" applyFont="1" applyBorder="1" applyAlignment="1">
      <alignment horizontal="center" vertical="center"/>
    </xf>
    <xf numFmtId="0" fontId="12" fillId="0" borderId="1" xfId="0" applyFont="1" applyBorder="1" applyAlignment="1">
      <alignment horizontal="center" vertical="center"/>
    </xf>
    <xf numFmtId="0" fontId="4" fillId="0" borderId="155" xfId="0" applyFont="1" applyBorder="1" applyAlignment="1">
      <alignment horizontal="center" vertical="center"/>
    </xf>
    <xf numFmtId="0" fontId="12" fillId="0" borderId="154" xfId="0" applyFont="1" applyBorder="1" applyAlignment="1">
      <alignment horizontal="center" vertical="center"/>
    </xf>
    <xf numFmtId="2" fontId="0" fillId="60" borderId="74" xfId="0" applyNumberFormat="1" applyFill="1" applyBorder="1" applyAlignment="1" applyProtection="1">
      <alignment horizontal="center"/>
      <protection locked="0"/>
    </xf>
    <xf numFmtId="2" fontId="0" fillId="60" borderId="135" xfId="0" applyNumberFormat="1" applyFill="1" applyBorder="1" applyAlignment="1" applyProtection="1">
      <alignment horizontal="center"/>
      <protection locked="0"/>
    </xf>
    <xf numFmtId="0" fontId="5" fillId="45" borderId="64" xfId="0" applyFont="1" applyFill="1" applyBorder="1" applyAlignment="1" applyProtection="1">
      <alignment horizontal="center" vertical="center"/>
    </xf>
    <xf numFmtId="0" fontId="5" fillId="45" borderId="113" xfId="0" applyFont="1" applyFill="1" applyBorder="1" applyAlignment="1" applyProtection="1">
      <alignment horizontal="center" vertical="center"/>
    </xf>
    <xf numFmtId="0" fontId="5" fillId="0" borderId="151" xfId="0" applyFont="1" applyFill="1" applyBorder="1" applyAlignment="1" applyProtection="1">
      <alignment horizontal="center" vertical="center"/>
    </xf>
    <xf numFmtId="0" fontId="5" fillId="0" borderId="153" xfId="0" applyFont="1" applyFill="1" applyBorder="1" applyAlignment="1" applyProtection="1">
      <alignment horizontal="center" vertical="center"/>
    </xf>
    <xf numFmtId="167" fontId="0" fillId="0" borderId="85" xfId="0" applyNumberFormat="1" applyFill="1" applyBorder="1" applyAlignment="1" applyProtection="1">
      <alignment horizontal="center" shrinkToFit="1"/>
    </xf>
    <xf numFmtId="0" fontId="12" fillId="0" borderId="111" xfId="42" applyFont="1" applyFill="1" applyBorder="1" applyAlignment="1" applyProtection="1">
      <alignment horizontal="center" vertical="center"/>
    </xf>
    <xf numFmtId="0" fontId="12" fillId="0" borderId="1" xfId="42" applyFont="1" applyFill="1" applyBorder="1" applyAlignment="1" applyProtection="1">
      <alignment horizontal="center" vertical="center"/>
    </xf>
    <xf numFmtId="0" fontId="0" fillId="60" borderId="120" xfId="0" applyFill="1" applyBorder="1" applyAlignment="1" applyProtection="1">
      <alignment horizontal="center"/>
      <protection locked="0"/>
    </xf>
    <xf numFmtId="0" fontId="0" fillId="60" borderId="92" xfId="0" applyFill="1" applyBorder="1" applyAlignment="1" applyProtection="1">
      <alignment horizontal="center"/>
      <protection locked="0"/>
    </xf>
    <xf numFmtId="0" fontId="0" fillId="60" borderId="19" xfId="0" applyFill="1" applyBorder="1" applyAlignment="1" applyProtection="1">
      <alignment horizontal="center"/>
      <protection locked="0"/>
    </xf>
    <xf numFmtId="167" fontId="12" fillId="41" borderId="164" xfId="0" applyNumberFormat="1" applyFont="1" applyFill="1" applyBorder="1" applyAlignment="1" applyProtection="1">
      <alignment horizontal="center" vertical="center"/>
    </xf>
    <xf numFmtId="167" fontId="12" fillId="41" borderId="150" xfId="0" applyNumberFormat="1" applyFont="1" applyFill="1" applyBorder="1" applyAlignment="1" applyProtection="1">
      <alignment horizontal="center" vertical="center"/>
    </xf>
    <xf numFmtId="167" fontId="12" fillId="41" borderId="27" xfId="0" applyNumberFormat="1" applyFont="1" applyFill="1" applyBorder="1" applyAlignment="1" applyProtection="1">
      <alignment horizontal="center" vertical="center"/>
    </xf>
    <xf numFmtId="0" fontId="0" fillId="60" borderId="50" xfId="0" applyFill="1" applyBorder="1" applyAlignment="1" applyProtection="1">
      <alignment horizontal="center"/>
      <protection locked="0"/>
    </xf>
    <xf numFmtId="0" fontId="0" fillId="60" borderId="0" xfId="0" applyFill="1" applyBorder="1" applyAlignment="1" applyProtection="1">
      <alignment horizontal="center"/>
      <protection locked="0"/>
    </xf>
    <xf numFmtId="0" fontId="0" fillId="60" borderId="24" xfId="0" applyFill="1" applyBorder="1" applyAlignment="1" applyProtection="1">
      <alignment horizontal="center"/>
      <protection locked="0"/>
    </xf>
    <xf numFmtId="1" fontId="0" fillId="60" borderId="58" xfId="0" applyNumberFormat="1" applyFill="1" applyBorder="1" applyAlignment="1" applyProtection="1">
      <alignment horizontal="center"/>
      <protection locked="0"/>
    </xf>
    <xf numFmtId="1" fontId="0" fillId="60" borderId="2" xfId="0" applyNumberFormat="1" applyFill="1" applyBorder="1" applyAlignment="1" applyProtection="1">
      <alignment horizontal="center"/>
      <protection locked="0"/>
    </xf>
    <xf numFmtId="1" fontId="0" fillId="60" borderId="16" xfId="0" applyNumberFormat="1" applyFill="1" applyBorder="1" applyAlignment="1" applyProtection="1">
      <alignment horizontal="center"/>
      <protection locked="0"/>
    </xf>
    <xf numFmtId="0" fontId="5" fillId="0" borderId="127" xfId="0" applyFont="1" applyFill="1" applyBorder="1" applyAlignment="1" applyProtection="1">
      <alignment horizontal="center" vertical="center"/>
    </xf>
    <xf numFmtId="0" fontId="5" fillId="0" borderId="129" xfId="0" applyFont="1" applyFill="1" applyBorder="1" applyAlignment="1" applyProtection="1">
      <alignment horizontal="center" vertical="center"/>
    </xf>
    <xf numFmtId="1" fontId="5" fillId="0" borderId="151" xfId="0" applyNumberFormat="1" applyFont="1" applyBorder="1" applyAlignment="1" applyProtection="1">
      <alignment horizontal="center" vertical="center" shrinkToFit="1"/>
      <protection hidden="1"/>
    </xf>
    <xf numFmtId="1" fontId="5" fillId="0" borderId="153" xfId="0" applyNumberFormat="1" applyFont="1" applyBorder="1" applyAlignment="1" applyProtection="1">
      <alignment horizontal="center" vertical="center" shrinkToFit="1"/>
      <protection hidden="1"/>
    </xf>
    <xf numFmtId="2" fontId="0" fillId="60" borderId="139" xfId="0" applyNumberFormat="1" applyFill="1" applyBorder="1" applyAlignment="1" applyProtection="1">
      <alignment horizontal="center"/>
      <protection locked="0"/>
    </xf>
    <xf numFmtId="2" fontId="0" fillId="60" borderId="138" xfId="0" applyNumberFormat="1" applyFill="1" applyBorder="1" applyAlignment="1" applyProtection="1">
      <alignment horizontal="center"/>
      <protection locked="0"/>
    </xf>
    <xf numFmtId="1" fontId="5" fillId="0" borderId="127" xfId="0" applyNumberFormat="1" applyFont="1" applyBorder="1" applyAlignment="1" applyProtection="1">
      <alignment horizontal="center" vertical="center" shrinkToFit="1"/>
      <protection hidden="1"/>
    </xf>
    <xf numFmtId="1" fontId="5" fillId="0" borderId="129" xfId="0" applyNumberFormat="1" applyFont="1" applyBorder="1" applyAlignment="1" applyProtection="1">
      <alignment horizontal="center" vertical="center" shrinkToFit="1"/>
      <protection hidden="1"/>
    </xf>
    <xf numFmtId="0" fontId="0" fillId="45" borderId="107" xfId="0" applyFill="1" applyBorder="1" applyAlignment="1" applyProtection="1">
      <alignment horizontal="center"/>
    </xf>
    <xf numFmtId="0" fontId="0" fillId="45" borderId="106" xfId="0" applyFill="1" applyBorder="1" applyAlignment="1" applyProtection="1">
      <alignment horizontal="center"/>
    </xf>
    <xf numFmtId="0" fontId="4" fillId="0" borderId="47" xfId="42" applyFont="1" applyBorder="1" applyAlignment="1">
      <alignment horizontal="center" vertical="center"/>
    </xf>
    <xf numFmtId="0" fontId="4" fillId="0" borderId="48" xfId="42" applyFont="1" applyBorder="1" applyAlignment="1">
      <alignment horizontal="center" vertical="center"/>
    </xf>
    <xf numFmtId="0" fontId="16" fillId="45" borderId="0" xfId="42" applyFont="1" applyFill="1" applyBorder="1" applyAlignment="1">
      <alignment horizontal="center"/>
    </xf>
    <xf numFmtId="167" fontId="0" fillId="0" borderId="209" xfId="0" applyNumberFormat="1" applyFill="1" applyBorder="1" applyAlignment="1" applyProtection="1">
      <alignment horizontal="center" vertical="center" shrinkToFit="1"/>
      <protection hidden="1"/>
    </xf>
    <xf numFmtId="1" fontId="8" fillId="4" borderId="240" xfId="0" applyNumberFormat="1" applyFont="1" applyFill="1" applyBorder="1" applyAlignment="1" applyProtection="1">
      <alignment horizontal="center" vertical="center" shrinkToFit="1"/>
      <protection hidden="1"/>
    </xf>
    <xf numFmtId="1" fontId="8" fillId="4" borderId="210" xfId="0" applyNumberFormat="1" applyFont="1" applyFill="1" applyBorder="1" applyAlignment="1" applyProtection="1">
      <alignment horizontal="center" vertical="center" shrinkToFit="1"/>
      <protection hidden="1"/>
    </xf>
    <xf numFmtId="1" fontId="8" fillId="0" borderId="240" xfId="0" applyNumberFormat="1" applyFont="1" applyFill="1" applyBorder="1" applyAlignment="1" applyProtection="1">
      <alignment horizontal="center" vertical="center" shrinkToFit="1"/>
      <protection hidden="1"/>
    </xf>
    <xf numFmtId="1" fontId="8" fillId="0" borderId="210" xfId="0" applyNumberFormat="1" applyFont="1" applyFill="1" applyBorder="1" applyAlignment="1" applyProtection="1">
      <alignment horizontal="center" vertical="center" shrinkToFit="1"/>
      <protection hidden="1"/>
    </xf>
    <xf numFmtId="2" fontId="0" fillId="60" borderId="73" xfId="0" applyNumberFormat="1" applyFill="1" applyBorder="1" applyAlignment="1" applyProtection="1">
      <alignment horizontal="center"/>
      <protection locked="0"/>
    </xf>
    <xf numFmtId="2" fontId="0" fillId="60" borderId="133" xfId="0" applyNumberFormat="1" applyFill="1" applyBorder="1" applyAlignment="1" applyProtection="1">
      <alignment horizontal="center"/>
      <protection locked="0"/>
    </xf>
    <xf numFmtId="0" fontId="12" fillId="0" borderId="47" xfId="42" applyFont="1" applyFill="1" applyBorder="1" applyAlignment="1" applyProtection="1">
      <alignment horizontal="center" vertical="center"/>
    </xf>
    <xf numFmtId="0" fontId="12" fillId="0" borderId="48" xfId="42" applyFont="1" applyFill="1" applyBorder="1" applyAlignment="1" applyProtection="1">
      <alignment horizontal="center" vertical="center"/>
    </xf>
    <xf numFmtId="0" fontId="5" fillId="0" borderId="156" xfId="0" applyFont="1" applyFill="1" applyBorder="1" applyAlignment="1" applyProtection="1">
      <alignment horizontal="center" vertical="center"/>
    </xf>
    <xf numFmtId="0" fontId="5" fillId="0" borderId="157" xfId="0" applyFont="1" applyFill="1" applyBorder="1" applyAlignment="1" applyProtection="1">
      <alignment horizontal="center" vertical="center"/>
    </xf>
    <xf numFmtId="0" fontId="4" fillId="0" borderId="156" xfId="0" applyFont="1" applyBorder="1" applyAlignment="1" applyProtection="1">
      <alignment horizontal="left" vertical="center"/>
    </xf>
    <xf numFmtId="0" fontId="12" fillId="0" borderId="158" xfId="0" applyFont="1" applyBorder="1" applyAlignment="1" applyProtection="1">
      <alignment horizontal="left" vertical="center"/>
    </xf>
    <xf numFmtId="0" fontId="12" fillId="0" borderId="159" xfId="0" applyFont="1" applyBorder="1" applyAlignment="1" applyProtection="1">
      <alignment horizontal="left" vertical="center"/>
    </xf>
    <xf numFmtId="1" fontId="0" fillId="0" borderId="190" xfId="0" applyNumberFormat="1" applyFill="1" applyBorder="1" applyAlignment="1" applyProtection="1">
      <alignment horizontal="center" vertical="center"/>
    </xf>
    <xf numFmtId="1" fontId="0" fillId="0" borderId="0" xfId="0" applyNumberFormat="1" applyFill="1" applyBorder="1" applyAlignment="1" applyProtection="1">
      <alignment horizontal="center" vertical="center"/>
    </xf>
    <xf numFmtId="1" fontId="0" fillId="0" borderId="194" xfId="0" applyNumberFormat="1" applyFill="1" applyBorder="1" applyAlignment="1" applyProtection="1">
      <alignment horizontal="center" vertical="center"/>
    </xf>
    <xf numFmtId="0" fontId="5" fillId="0" borderId="160" xfId="0" applyFont="1" applyFill="1" applyBorder="1" applyAlignment="1" applyProtection="1">
      <alignment horizontal="center" vertical="center"/>
    </xf>
    <xf numFmtId="0" fontId="5" fillId="0" borderId="161" xfId="0" applyFont="1" applyFill="1" applyBorder="1" applyAlignment="1" applyProtection="1">
      <alignment horizontal="center" vertical="center"/>
    </xf>
    <xf numFmtId="1" fontId="5" fillId="41" borderId="160" xfId="0" applyNumberFormat="1" applyFont="1" applyFill="1" applyBorder="1" applyAlignment="1" applyProtection="1">
      <alignment horizontal="center" vertical="center" shrinkToFit="1"/>
      <protection hidden="1"/>
    </xf>
    <xf numFmtId="1" fontId="5" fillId="41" borderId="161" xfId="0" applyNumberFormat="1" applyFont="1" applyFill="1" applyBorder="1" applyAlignment="1" applyProtection="1">
      <alignment horizontal="center" vertical="center" shrinkToFit="1"/>
      <protection hidden="1"/>
    </xf>
    <xf numFmtId="1" fontId="0" fillId="0" borderId="188" xfId="0" applyNumberFormat="1" applyFill="1" applyBorder="1" applyAlignment="1" applyProtection="1">
      <alignment horizontal="center" vertical="center"/>
    </xf>
    <xf numFmtId="1" fontId="0" fillId="0" borderId="189" xfId="0" applyNumberFormat="1" applyFill="1" applyBorder="1" applyAlignment="1" applyProtection="1">
      <alignment horizontal="center" vertical="center"/>
    </xf>
    <xf numFmtId="1" fontId="0" fillId="0" borderId="214" xfId="0" applyNumberFormat="1" applyFill="1" applyBorder="1" applyAlignment="1" applyProtection="1">
      <alignment horizontal="center" vertical="center"/>
    </xf>
    <xf numFmtId="1" fontId="0" fillId="0" borderId="208" xfId="0" applyNumberFormat="1" applyFill="1" applyBorder="1" applyAlignment="1" applyProtection="1">
      <alignment horizontal="center" vertical="center"/>
    </xf>
    <xf numFmtId="1" fontId="0" fillId="0" borderId="209" xfId="0" applyNumberFormat="1" applyFill="1" applyBorder="1" applyAlignment="1" applyProtection="1">
      <alignment horizontal="center" vertical="center"/>
    </xf>
    <xf numFmtId="1" fontId="0" fillId="0" borderId="210" xfId="0" applyNumberForma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33" xfId="0" applyFont="1" applyFill="1" applyBorder="1" applyAlignment="1" applyProtection="1">
      <alignment horizontal="center" vertical="center"/>
    </xf>
    <xf numFmtId="0" fontId="5" fillId="52" borderId="199" xfId="42" applyFont="1" applyFill="1" applyBorder="1" applyAlignment="1" applyProtection="1">
      <alignment horizontal="center" vertical="center"/>
    </xf>
    <xf numFmtId="0" fontId="0" fillId="0" borderId="0" xfId="0" applyAlignment="1" applyProtection="1">
      <alignment horizontal="center" vertical="center"/>
      <protection locked="0" hidden="1"/>
    </xf>
    <xf numFmtId="1" fontId="16" fillId="43" borderId="249" xfId="0" applyNumberFormat="1" applyFont="1" applyFill="1" applyBorder="1" applyAlignment="1" applyProtection="1">
      <alignment horizontal="center" vertical="center"/>
    </xf>
    <xf numFmtId="1" fontId="16" fillId="43" borderId="250" xfId="0" applyNumberFormat="1" applyFont="1" applyFill="1" applyBorder="1" applyAlignment="1" applyProtection="1">
      <alignment horizontal="center" vertical="center"/>
    </xf>
    <xf numFmtId="1" fontId="16" fillId="43" borderId="251" xfId="0" applyNumberFormat="1" applyFont="1" applyFill="1" applyBorder="1" applyAlignment="1" applyProtection="1">
      <alignment horizontal="center" vertical="center"/>
    </xf>
    <xf numFmtId="1" fontId="5" fillId="60" borderId="86" xfId="0" applyNumberFormat="1" applyFont="1" applyFill="1" applyBorder="1" applyAlignment="1" applyProtection="1">
      <alignment horizontal="center" vertical="center"/>
      <protection locked="0"/>
    </xf>
    <xf numFmtId="1" fontId="5" fillId="60" borderId="88" xfId="0" applyNumberFormat="1" applyFont="1" applyFill="1" applyBorder="1" applyAlignment="1" applyProtection="1">
      <alignment horizontal="center" vertical="center"/>
      <protection locked="0"/>
    </xf>
    <xf numFmtId="1" fontId="5" fillId="60" borderId="131" xfId="0" applyNumberFormat="1" applyFont="1" applyFill="1" applyBorder="1" applyAlignment="1" applyProtection="1">
      <alignment horizontal="center" vertical="center"/>
      <protection locked="0"/>
    </xf>
    <xf numFmtId="1" fontId="5" fillId="60" borderId="118" xfId="0" applyNumberFormat="1" applyFont="1" applyFill="1" applyBorder="1" applyAlignment="1" applyProtection="1">
      <alignment horizontal="center" vertical="center"/>
      <protection locked="0"/>
    </xf>
    <xf numFmtId="0" fontId="5" fillId="60" borderId="81" xfId="0" applyFont="1" applyFill="1" applyBorder="1" applyAlignment="1" applyProtection="1">
      <alignment horizontal="center" vertical="center"/>
      <protection locked="0"/>
    </xf>
    <xf numFmtId="0" fontId="5" fillId="60" borderId="80" xfId="0" applyFont="1" applyFill="1" applyBorder="1" applyAlignment="1" applyProtection="1">
      <alignment horizontal="center" vertical="center"/>
      <protection locked="0"/>
    </xf>
    <xf numFmtId="0" fontId="5" fillId="60" borderId="83" xfId="0" applyFont="1" applyFill="1" applyBorder="1" applyAlignment="1" applyProtection="1">
      <alignment horizontal="center" vertical="center"/>
      <protection locked="0"/>
    </xf>
    <xf numFmtId="0" fontId="5" fillId="0" borderId="188" xfId="0" applyFont="1" applyBorder="1" applyAlignment="1" applyProtection="1">
      <alignment horizontal="center" vertical="center" shrinkToFit="1"/>
      <protection hidden="1"/>
    </xf>
    <xf numFmtId="0" fontId="5" fillId="0" borderId="214" xfId="0" applyFont="1" applyBorder="1" applyAlignment="1" applyProtection="1">
      <alignment horizontal="center" vertical="center" shrinkToFit="1"/>
      <protection hidden="1"/>
    </xf>
    <xf numFmtId="0" fontId="5" fillId="52" borderId="258" xfId="0" applyFont="1" applyFill="1" applyBorder="1" applyAlignment="1" applyProtection="1">
      <alignment horizontal="center" vertical="center"/>
    </xf>
    <xf numFmtId="0" fontId="5" fillId="52" borderId="259" xfId="0" applyFont="1" applyFill="1" applyBorder="1" applyAlignment="1" applyProtection="1">
      <alignment horizontal="center" vertical="center"/>
    </xf>
    <xf numFmtId="0" fontId="5" fillId="45" borderId="107" xfId="0" applyFont="1" applyFill="1" applyBorder="1" applyAlignment="1" applyProtection="1">
      <alignment horizontal="center"/>
    </xf>
    <xf numFmtId="0" fontId="5" fillId="45" borderId="106" xfId="0" applyFont="1" applyFill="1" applyBorder="1" applyAlignment="1" applyProtection="1">
      <alignment horizontal="center"/>
    </xf>
    <xf numFmtId="0" fontId="29" fillId="60" borderId="86" xfId="0" applyFont="1" applyFill="1" applyBorder="1" applyAlignment="1" applyProtection="1">
      <alignment horizontal="center"/>
      <protection locked="0"/>
    </xf>
    <xf numFmtId="0" fontId="29" fillId="60" borderId="85" xfId="0" applyFont="1" applyFill="1" applyBorder="1" applyAlignment="1" applyProtection="1">
      <alignment horizontal="center"/>
      <protection locked="0"/>
    </xf>
    <xf numFmtId="0" fontId="5" fillId="45" borderId="4" xfId="0" applyFont="1" applyFill="1" applyBorder="1" applyAlignment="1" applyProtection="1">
      <alignment horizontal="center" vertical="center"/>
    </xf>
    <xf numFmtId="1" fontId="7" fillId="45" borderId="64" xfId="0" applyNumberFormat="1" applyFont="1" applyFill="1" applyBorder="1" applyAlignment="1" applyProtection="1">
      <alignment horizontal="center" vertical="center"/>
      <protection hidden="1"/>
    </xf>
    <xf numFmtId="1" fontId="7" fillId="45" borderId="113" xfId="0" applyNumberFormat="1" applyFont="1" applyFill="1" applyBorder="1" applyAlignment="1" applyProtection="1">
      <alignment horizontal="center" vertical="center"/>
      <protection hidden="1"/>
    </xf>
    <xf numFmtId="0" fontId="5" fillId="45" borderId="3" xfId="0" applyFont="1" applyFill="1" applyBorder="1" applyAlignment="1" applyProtection="1">
      <alignment horizontal="center" vertical="center"/>
    </xf>
    <xf numFmtId="0" fontId="5" fillId="45" borderId="29" xfId="0" applyFont="1" applyFill="1" applyBorder="1" applyAlignment="1" applyProtection="1">
      <alignment horizontal="center" vertical="center"/>
    </xf>
    <xf numFmtId="0" fontId="5" fillId="60" borderId="67" xfId="0" applyFont="1" applyFill="1" applyBorder="1" applyAlignment="1" applyProtection="1">
      <alignment horizontal="center" vertical="center"/>
      <protection locked="0"/>
    </xf>
    <xf numFmtId="0" fontId="5" fillId="60" borderId="119" xfId="0" applyFont="1" applyFill="1" applyBorder="1" applyAlignment="1" applyProtection="1">
      <alignment horizontal="center" vertical="center"/>
      <protection locked="0"/>
    </xf>
    <xf numFmtId="0" fontId="12" fillId="60" borderId="131" xfId="0" applyFont="1" applyFill="1" applyBorder="1" applyAlignment="1" applyProtection="1">
      <alignment horizontal="center" vertical="center"/>
      <protection locked="0"/>
    </xf>
    <xf numFmtId="0" fontId="12" fillId="60" borderId="136" xfId="0" applyFont="1" applyFill="1" applyBorder="1" applyAlignment="1" applyProtection="1">
      <alignment horizontal="center" vertical="center"/>
      <protection locked="0"/>
    </xf>
    <xf numFmtId="0" fontId="12" fillId="60" borderId="118" xfId="0" applyFont="1" applyFill="1" applyBorder="1" applyAlignment="1" applyProtection="1">
      <alignment horizontal="center" vertical="center"/>
      <protection locked="0"/>
    </xf>
    <xf numFmtId="0" fontId="5" fillId="60" borderId="65" xfId="0" applyFont="1" applyFill="1" applyBorder="1" applyAlignment="1" applyProtection="1">
      <alignment horizontal="center" vertical="center"/>
      <protection locked="0"/>
    </xf>
    <xf numFmtId="0" fontId="5" fillId="60" borderId="82" xfId="0" applyFont="1" applyFill="1" applyBorder="1" applyAlignment="1" applyProtection="1">
      <alignment horizontal="center" vertical="center"/>
      <protection locked="0"/>
    </xf>
    <xf numFmtId="1" fontId="7" fillId="43" borderId="203" xfId="0" applyNumberFormat="1" applyFont="1" applyFill="1" applyBorder="1" applyAlignment="1" applyProtection="1">
      <alignment horizontal="center" vertical="center"/>
    </xf>
    <xf numFmtId="1" fontId="7" fillId="43" borderId="193" xfId="0" applyNumberFormat="1" applyFont="1" applyFill="1" applyBorder="1" applyAlignment="1" applyProtection="1">
      <alignment horizontal="center" vertical="center"/>
    </xf>
    <xf numFmtId="1" fontId="7" fillId="43" borderId="215" xfId="0" applyNumberFormat="1" applyFont="1" applyFill="1" applyBorder="1" applyAlignment="1" applyProtection="1">
      <alignment horizontal="center" vertical="center"/>
    </xf>
    <xf numFmtId="0" fontId="5" fillId="0" borderId="47" xfId="0" applyFont="1" applyFill="1" applyBorder="1" applyAlignment="1" applyProtection="1">
      <alignment horizontal="center" vertical="center" wrapText="1"/>
      <protection hidden="1"/>
    </xf>
    <xf numFmtId="0" fontId="5" fillId="0" borderId="48" xfId="0" applyFont="1" applyFill="1" applyBorder="1" applyAlignment="1" applyProtection="1">
      <alignment horizontal="center" vertical="center" wrapText="1"/>
      <protection hidden="1"/>
    </xf>
    <xf numFmtId="0" fontId="5" fillId="0" borderId="0" xfId="0" applyFont="1" applyAlignment="1" applyProtection="1">
      <alignment horizontal="center" vertical="center"/>
      <protection locked="0" hidden="1"/>
    </xf>
    <xf numFmtId="0" fontId="5" fillId="0" borderId="0" xfId="0" applyFont="1" applyAlignment="1" applyProtection="1">
      <alignment horizontal="center" vertical="center"/>
      <protection hidden="1"/>
    </xf>
    <xf numFmtId="0" fontId="5" fillId="0" borderId="31" xfId="0" applyFont="1" applyBorder="1" applyAlignment="1" applyProtection="1">
      <alignment horizontal="center" vertical="center"/>
      <protection hidden="1"/>
    </xf>
    <xf numFmtId="1" fontId="12" fillId="0" borderId="0" xfId="0" applyNumberFormat="1" applyFont="1" applyFill="1" applyBorder="1" applyAlignment="1" applyProtection="1">
      <alignment horizontal="center" vertical="center" shrinkToFit="1"/>
      <protection hidden="1"/>
    </xf>
    <xf numFmtId="1" fontId="12" fillId="0" borderId="232" xfId="0" applyNumberFormat="1" applyFont="1" applyFill="1" applyBorder="1" applyAlignment="1" applyProtection="1">
      <alignment horizontal="center" vertical="center" shrinkToFit="1"/>
      <protection hidden="1"/>
    </xf>
    <xf numFmtId="1" fontId="5" fillId="60" borderId="81" xfId="0" applyNumberFormat="1" applyFont="1" applyFill="1" applyBorder="1" applyAlignment="1" applyProtection="1">
      <alignment horizontal="center" vertical="center"/>
      <protection locked="0"/>
    </xf>
    <xf numFmtId="1" fontId="5" fillId="60" borderId="83" xfId="0" applyNumberFormat="1" applyFont="1" applyFill="1" applyBorder="1" applyAlignment="1" applyProtection="1">
      <alignment horizontal="center" vertical="center"/>
      <protection locked="0"/>
    </xf>
    <xf numFmtId="1" fontId="5" fillId="0" borderId="86" xfId="0" applyNumberFormat="1" applyFont="1" applyFill="1" applyBorder="1" applyAlignment="1" applyProtection="1">
      <alignment horizontal="center" vertical="center" shrinkToFit="1"/>
      <protection hidden="1"/>
    </xf>
    <xf numFmtId="1" fontId="5" fillId="0" borderId="88" xfId="0" applyNumberFormat="1" applyFont="1" applyFill="1" applyBorder="1" applyAlignment="1" applyProtection="1">
      <alignment horizontal="center" vertical="center" shrinkToFit="1"/>
      <protection hidden="1"/>
    </xf>
    <xf numFmtId="0" fontId="5" fillId="45" borderId="5" xfId="0" applyFont="1" applyFill="1" applyBorder="1" applyAlignment="1" applyProtection="1">
      <alignment horizontal="center" vertical="center"/>
    </xf>
    <xf numFmtId="0" fontId="5" fillId="45" borderId="31" xfId="0" applyFont="1" applyFill="1" applyBorder="1" applyAlignment="1" applyProtection="1">
      <alignment horizontal="center" vertical="center"/>
    </xf>
    <xf numFmtId="1" fontId="12" fillId="0" borderId="190" xfId="0" applyNumberFormat="1" applyFont="1" applyBorder="1" applyAlignment="1" applyProtection="1">
      <alignment horizontal="center" vertical="center" shrinkToFit="1"/>
      <protection hidden="1"/>
    </xf>
    <xf numFmtId="0" fontId="12" fillId="0" borderId="194" xfId="0" applyFont="1" applyBorder="1" applyAlignment="1" applyProtection="1">
      <alignment horizontal="center" vertical="center" shrinkToFit="1"/>
      <protection hidden="1"/>
    </xf>
    <xf numFmtId="1" fontId="5" fillId="0" borderId="81" xfId="0" applyNumberFormat="1" applyFont="1" applyFill="1" applyBorder="1" applyAlignment="1" applyProtection="1">
      <alignment horizontal="center" vertical="center" shrinkToFit="1"/>
      <protection hidden="1"/>
    </xf>
    <xf numFmtId="1" fontId="5" fillId="0" borderId="83" xfId="0" applyNumberFormat="1" applyFont="1" applyFill="1" applyBorder="1" applyAlignment="1" applyProtection="1">
      <alignment horizontal="center" vertical="center" shrinkToFit="1"/>
      <protection hidden="1"/>
    </xf>
    <xf numFmtId="1" fontId="5" fillId="0" borderId="131" xfId="0" applyNumberFormat="1" applyFont="1" applyFill="1" applyBorder="1" applyAlignment="1" applyProtection="1">
      <alignment horizontal="center" vertical="center" shrinkToFit="1"/>
      <protection hidden="1"/>
    </xf>
    <xf numFmtId="1" fontId="5" fillId="0" borderId="118" xfId="0" applyNumberFormat="1" applyFont="1" applyFill="1" applyBorder="1" applyAlignment="1" applyProtection="1">
      <alignment horizontal="center" vertical="center" shrinkToFit="1"/>
      <protection hidden="1"/>
    </xf>
    <xf numFmtId="167" fontId="0" fillId="60" borderId="73" xfId="0" applyNumberFormat="1" applyFill="1" applyBorder="1" applyAlignment="1" applyProtection="1">
      <alignment horizontal="center"/>
      <protection locked="0"/>
    </xf>
    <xf numFmtId="167" fontId="0" fillId="60" borderId="133" xfId="0" applyNumberFormat="1" applyFill="1" applyBorder="1" applyAlignment="1" applyProtection="1">
      <alignment horizontal="center"/>
      <protection locked="0"/>
    </xf>
    <xf numFmtId="1" fontId="12" fillId="0" borderId="48" xfId="42" applyNumberFormat="1" applyFont="1" applyFill="1" applyBorder="1" applyAlignment="1" applyProtection="1">
      <alignment horizontal="center" vertical="center" shrinkToFit="1"/>
      <protection hidden="1"/>
    </xf>
    <xf numFmtId="1" fontId="12" fillId="0" borderId="49" xfId="42" applyNumberFormat="1" applyFont="1" applyFill="1" applyBorder="1" applyAlignment="1" applyProtection="1">
      <alignment horizontal="center" vertical="center" shrinkToFit="1"/>
      <protection hidden="1"/>
    </xf>
    <xf numFmtId="0" fontId="5" fillId="60" borderId="1" xfId="0" applyFont="1" applyFill="1" applyBorder="1" applyAlignment="1" applyProtection="1">
      <alignment horizontal="center" vertical="center" shrinkToFit="1"/>
      <protection locked="0"/>
    </xf>
    <xf numFmtId="0" fontId="5" fillId="60" borderId="112" xfId="0" applyFont="1" applyFill="1" applyBorder="1" applyAlignment="1" applyProtection="1">
      <alignment horizontal="center" vertical="center" shrinkToFit="1"/>
      <protection locked="0"/>
    </xf>
    <xf numFmtId="0" fontId="4" fillId="0" borderId="52" xfId="0" applyFont="1" applyFill="1" applyBorder="1" applyAlignment="1" applyProtection="1">
      <alignment horizontal="center" vertical="center" wrapText="1"/>
      <protection hidden="1"/>
    </xf>
    <xf numFmtId="0" fontId="12" fillId="0" borderId="54" xfId="0" applyFont="1" applyFill="1" applyBorder="1" applyAlignment="1" applyProtection="1">
      <alignment horizontal="center" vertical="center" wrapText="1"/>
      <protection hidden="1"/>
    </xf>
    <xf numFmtId="0" fontId="83" fillId="0" borderId="249" xfId="0" applyFont="1" applyFill="1" applyBorder="1" applyAlignment="1" applyProtection="1">
      <alignment horizontal="left" vertical="center"/>
    </xf>
    <xf numFmtId="0" fontId="83" fillId="0" borderId="250" xfId="0" applyFont="1" applyFill="1" applyBorder="1" applyAlignment="1" applyProtection="1">
      <alignment horizontal="left" vertical="center"/>
    </xf>
    <xf numFmtId="0" fontId="15" fillId="52" borderId="226" xfId="0" applyFont="1" applyFill="1" applyBorder="1" applyAlignment="1" applyProtection="1">
      <alignment horizontal="left" vertical="center"/>
    </xf>
    <xf numFmtId="0" fontId="15" fillId="52" borderId="202" xfId="0" applyFont="1" applyFill="1" applyBorder="1" applyAlignment="1" applyProtection="1">
      <alignment horizontal="left" vertical="center"/>
    </xf>
    <xf numFmtId="0" fontId="15" fillId="52" borderId="254" xfId="0" applyFont="1" applyFill="1" applyBorder="1" applyAlignment="1" applyProtection="1">
      <alignment horizontal="left" vertical="center"/>
    </xf>
    <xf numFmtId="0" fontId="12" fillId="0" borderId="160" xfId="0" applyFont="1" applyBorder="1" applyAlignment="1" applyProtection="1">
      <alignment horizontal="left" vertical="center"/>
    </xf>
    <xf numFmtId="0" fontId="12" fillId="0" borderId="99" xfId="0" applyFont="1" applyBorder="1" applyAlignment="1" applyProtection="1">
      <alignment horizontal="left" vertical="center"/>
    </xf>
    <xf numFmtId="0" fontId="12" fillId="0" borderId="100" xfId="0" applyFont="1" applyBorder="1" applyAlignment="1" applyProtection="1">
      <alignment horizontal="left" vertical="center"/>
    </xf>
    <xf numFmtId="1" fontId="5" fillId="41" borderId="6" xfId="0" applyNumberFormat="1" applyFont="1" applyFill="1" applyBorder="1" applyAlignment="1" applyProtection="1">
      <alignment horizontal="center" vertical="center" shrinkToFit="1"/>
      <protection hidden="1"/>
    </xf>
    <xf numFmtId="1" fontId="5" fillId="41" borderId="33" xfId="0" applyNumberFormat="1" applyFont="1" applyFill="1" applyBorder="1" applyAlignment="1" applyProtection="1">
      <alignment horizontal="center" vertical="center" shrinkToFit="1"/>
      <protection hidden="1"/>
    </xf>
    <xf numFmtId="1" fontId="5" fillId="41" borderId="127" xfId="0" applyNumberFormat="1" applyFont="1" applyFill="1" applyBorder="1" applyAlignment="1" applyProtection="1">
      <alignment horizontal="center" vertical="center" shrinkToFit="1"/>
      <protection hidden="1"/>
    </xf>
    <xf numFmtId="1" fontId="5" fillId="41" borderId="129" xfId="0" applyNumberFormat="1" applyFont="1" applyFill="1" applyBorder="1" applyAlignment="1" applyProtection="1">
      <alignment horizontal="center" vertical="center" shrinkToFit="1"/>
      <protection hidden="1"/>
    </xf>
    <xf numFmtId="1" fontId="5" fillId="0" borderId="156" xfId="0" applyNumberFormat="1" applyFont="1" applyBorder="1" applyAlignment="1" applyProtection="1">
      <alignment horizontal="center" vertical="center" shrinkToFit="1"/>
      <protection hidden="1"/>
    </xf>
    <xf numFmtId="1" fontId="5" fillId="0" borderId="157" xfId="0" applyNumberFormat="1" applyFont="1" applyBorder="1" applyAlignment="1" applyProtection="1">
      <alignment horizontal="center" vertical="center" shrinkToFit="1"/>
      <protection hidden="1"/>
    </xf>
    <xf numFmtId="0" fontId="5" fillId="52" borderId="195" xfId="42" applyFont="1" applyFill="1" applyBorder="1" applyAlignment="1" applyProtection="1">
      <alignment horizontal="center" vertical="center"/>
    </xf>
    <xf numFmtId="0" fontId="5" fillId="52" borderId="263" xfId="42" applyFont="1" applyFill="1" applyBorder="1" applyAlignment="1" applyProtection="1">
      <alignment horizontal="center" vertical="center"/>
    </xf>
    <xf numFmtId="0" fontId="5" fillId="52" borderId="25" xfId="42" applyFont="1" applyFill="1" applyBorder="1" applyAlignment="1" applyProtection="1">
      <alignment horizontal="center" vertical="center"/>
    </xf>
    <xf numFmtId="0" fontId="5" fillId="52" borderId="264" xfId="42" applyFont="1" applyFill="1" applyBorder="1" applyAlignment="1" applyProtection="1">
      <alignment horizontal="center" vertical="center"/>
    </xf>
    <xf numFmtId="0" fontId="83" fillId="0" borderId="203" xfId="0" applyFont="1" applyFill="1" applyBorder="1" applyAlignment="1" applyProtection="1">
      <alignment horizontal="left" vertical="center"/>
    </xf>
    <xf numFmtId="0" fontId="83" fillId="0" borderId="193" xfId="0" applyFont="1" applyFill="1" applyBorder="1" applyAlignment="1" applyProtection="1">
      <alignment horizontal="left" vertical="center"/>
    </xf>
    <xf numFmtId="0" fontId="83" fillId="0" borderId="190" xfId="0" applyFont="1" applyFill="1" applyBorder="1" applyAlignment="1" applyProtection="1">
      <alignment horizontal="left" vertical="center"/>
    </xf>
    <xf numFmtId="0" fontId="83" fillId="0" borderId="0" xfId="0" applyFont="1" applyFill="1" applyBorder="1" applyAlignment="1" applyProtection="1">
      <alignment horizontal="left" vertical="center"/>
    </xf>
    <xf numFmtId="0" fontId="83" fillId="0" borderId="188" xfId="0" applyFont="1" applyFill="1" applyBorder="1" applyAlignment="1" applyProtection="1">
      <alignment horizontal="left" vertical="center"/>
    </xf>
    <xf numFmtId="0" fontId="83" fillId="0" borderId="189" xfId="0" applyFont="1" applyFill="1" applyBorder="1" applyAlignment="1" applyProtection="1">
      <alignment horizontal="left" vertical="center"/>
    </xf>
    <xf numFmtId="0" fontId="83" fillId="0" borderId="208" xfId="0" applyFont="1" applyFill="1" applyBorder="1" applyAlignment="1" applyProtection="1">
      <alignment horizontal="left" vertical="center"/>
    </xf>
    <xf numFmtId="0" fontId="83" fillId="0" borderId="209" xfId="0" applyFont="1" applyFill="1" applyBorder="1" applyAlignment="1" applyProtection="1">
      <alignment horizontal="left" vertical="center"/>
    </xf>
    <xf numFmtId="1" fontId="12" fillId="0" borderId="224" xfId="42" applyNumberFormat="1" applyFont="1" applyFill="1" applyBorder="1" applyAlignment="1" applyProtection="1">
      <alignment horizontal="center" vertical="center" shrinkToFit="1"/>
      <protection hidden="1"/>
    </xf>
    <xf numFmtId="0" fontId="5" fillId="52" borderId="188" xfId="0" applyFont="1" applyFill="1" applyBorder="1" applyAlignment="1" applyProtection="1">
      <alignment horizontal="center"/>
    </xf>
    <xf numFmtId="0" fontId="5" fillId="52" borderId="244" xfId="0" applyFont="1" applyFill="1" applyBorder="1" applyAlignment="1" applyProtection="1">
      <alignment horizontal="center"/>
    </xf>
    <xf numFmtId="0" fontId="12" fillId="60" borderId="139" xfId="0" applyFont="1" applyFill="1" applyBorder="1" applyAlignment="1" applyProtection="1">
      <alignment horizontal="center"/>
      <protection locked="0"/>
    </xf>
    <xf numFmtId="0" fontId="0" fillId="60" borderId="138" xfId="0" applyFill="1" applyBorder="1" applyAlignment="1" applyProtection="1">
      <alignment horizontal="center"/>
      <protection locked="0"/>
    </xf>
    <xf numFmtId="0" fontId="27" fillId="43" borderId="266" xfId="0" applyFont="1" applyFill="1" applyBorder="1" applyAlignment="1" applyProtection="1">
      <alignment horizontal="left"/>
    </xf>
    <xf numFmtId="0" fontId="27" fillId="43" borderId="267" xfId="0" applyFont="1" applyFill="1" applyBorder="1" applyAlignment="1" applyProtection="1">
      <alignment horizontal="left"/>
    </xf>
    <xf numFmtId="0" fontId="27" fillId="43" borderId="266" xfId="0" applyFont="1" applyFill="1" applyBorder="1" applyAlignment="1" applyProtection="1">
      <alignment horizontal="center" vertical="center"/>
      <protection hidden="1"/>
    </xf>
    <xf numFmtId="0" fontId="27" fillId="43" borderId="267" xfId="0" applyFont="1" applyFill="1" applyBorder="1" applyAlignment="1" applyProtection="1">
      <alignment horizontal="center" vertical="center"/>
      <protection hidden="1"/>
    </xf>
    <xf numFmtId="0" fontId="27" fillId="43" borderId="268" xfId="0" applyFont="1" applyFill="1" applyBorder="1" applyAlignment="1" applyProtection="1">
      <alignment horizontal="center" vertical="center"/>
      <protection hidden="1"/>
    </xf>
    <xf numFmtId="1" fontId="5" fillId="0" borderId="190" xfId="0" applyNumberFormat="1" applyFont="1" applyBorder="1" applyAlignment="1" applyProtection="1">
      <alignment horizontal="center" vertical="center" shrinkToFit="1"/>
      <protection hidden="1"/>
    </xf>
    <xf numFmtId="1" fontId="5" fillId="0" borderId="217" xfId="0" applyNumberFormat="1" applyFont="1" applyBorder="1" applyAlignment="1" applyProtection="1">
      <alignment horizontal="center" vertical="center" shrinkToFit="1"/>
      <protection hidden="1"/>
    </xf>
    <xf numFmtId="1" fontId="12" fillId="0" borderId="269" xfId="0" applyNumberFormat="1" applyFont="1" applyBorder="1" applyAlignment="1" applyProtection="1">
      <alignment horizontal="center" vertical="center" shrinkToFit="1"/>
      <protection hidden="1"/>
    </xf>
    <xf numFmtId="1" fontId="12" fillId="0" borderId="270" xfId="0" applyNumberFormat="1" applyFont="1" applyBorder="1" applyAlignment="1" applyProtection="1">
      <alignment horizontal="center" vertical="center" shrinkToFit="1"/>
      <protection hidden="1"/>
    </xf>
    <xf numFmtId="0" fontId="7" fillId="52" borderId="188" xfId="0" applyFont="1" applyFill="1" applyBorder="1" applyAlignment="1" applyProtection="1">
      <alignment horizontal="left" vertical="center"/>
    </xf>
    <xf numFmtId="0" fontId="7" fillId="52" borderId="189" xfId="0" applyFont="1" applyFill="1" applyBorder="1" applyAlignment="1" applyProtection="1">
      <alignment horizontal="left" vertical="center"/>
    </xf>
    <xf numFmtId="0" fontId="7" fillId="52" borderId="252" xfId="0" applyFont="1" applyFill="1" applyBorder="1" applyAlignment="1" applyProtection="1">
      <alignment horizontal="left" vertical="center"/>
    </xf>
    <xf numFmtId="0" fontId="7" fillId="52" borderId="201" xfId="0" applyFont="1" applyFill="1" applyBorder="1" applyAlignment="1" applyProtection="1">
      <alignment horizontal="left" vertical="center"/>
    </xf>
    <xf numFmtId="0" fontId="12" fillId="0" borderId="269" xfId="0" applyFont="1" applyFill="1" applyBorder="1" applyAlignment="1" applyProtection="1">
      <alignment horizontal="left" vertical="center"/>
    </xf>
    <xf numFmtId="0" fontId="12" fillId="0" borderId="242" xfId="0" applyFont="1" applyFill="1" applyBorder="1" applyAlignment="1" applyProtection="1">
      <alignment horizontal="left" vertical="center"/>
    </xf>
    <xf numFmtId="0" fontId="0" fillId="52" borderId="189" xfId="0" applyFill="1" applyBorder="1" applyAlignment="1" applyProtection="1">
      <alignment horizontal="center"/>
    </xf>
    <xf numFmtId="0" fontId="0" fillId="52" borderId="214" xfId="0" applyFill="1" applyBorder="1" applyAlignment="1" applyProtection="1">
      <alignment horizontal="center"/>
    </xf>
    <xf numFmtId="0" fontId="0" fillId="52" borderId="201" xfId="0" applyFill="1" applyBorder="1" applyAlignment="1" applyProtection="1">
      <alignment horizontal="center"/>
    </xf>
    <xf numFmtId="0" fontId="0" fillId="52" borderId="253" xfId="0" applyFill="1" applyBorder="1" applyAlignment="1" applyProtection="1">
      <alignment horizontal="center"/>
    </xf>
    <xf numFmtId="1" fontId="0" fillId="0" borderId="0" xfId="0" applyNumberFormat="1" applyBorder="1" applyAlignment="1" applyProtection="1">
      <alignment horizontal="center" vertical="center" shrinkToFit="1"/>
      <protection hidden="1"/>
    </xf>
    <xf numFmtId="1" fontId="0" fillId="0" borderId="194" xfId="0" applyNumberFormat="1" applyBorder="1" applyAlignment="1" applyProtection="1">
      <alignment horizontal="center" vertical="center" shrinkToFit="1"/>
      <protection hidden="1"/>
    </xf>
    <xf numFmtId="0" fontId="5" fillId="52" borderId="252" xfId="0" applyFont="1" applyFill="1" applyBorder="1" applyAlignment="1" applyProtection="1">
      <alignment horizontal="center"/>
    </xf>
    <xf numFmtId="0" fontId="5" fillId="52" borderId="271" xfId="0" applyFont="1" applyFill="1" applyBorder="1" applyAlignment="1" applyProtection="1">
      <alignment horizontal="center"/>
    </xf>
    <xf numFmtId="0" fontId="12" fillId="0" borderId="19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109" fillId="0" borderId="4" xfId="0" applyFont="1" applyBorder="1" applyAlignment="1" applyProtection="1">
      <alignment horizontal="center" vertical="center"/>
      <protection hidden="1"/>
    </xf>
    <xf numFmtId="1" fontId="7" fillId="43" borderId="260" xfId="0" applyNumberFormat="1" applyFont="1" applyFill="1" applyBorder="1" applyAlignment="1" applyProtection="1">
      <alignment horizontal="center" vertical="center" shrinkToFit="1"/>
      <protection hidden="1"/>
    </xf>
    <xf numFmtId="1" fontId="7" fillId="43" borderId="235" xfId="0" applyNumberFormat="1" applyFont="1" applyFill="1" applyBorder="1" applyAlignment="1" applyProtection="1">
      <alignment horizontal="center" vertical="center" shrinkToFit="1"/>
      <protection hidden="1"/>
    </xf>
    <xf numFmtId="1" fontId="7" fillId="43" borderId="234" xfId="0" applyNumberFormat="1" applyFont="1" applyFill="1" applyBorder="1" applyAlignment="1" applyProtection="1">
      <alignment horizontal="center" vertical="center" shrinkToFit="1"/>
      <protection hidden="1"/>
    </xf>
    <xf numFmtId="1" fontId="7" fillId="43" borderId="261" xfId="0" applyNumberFormat="1" applyFont="1" applyFill="1" applyBorder="1" applyAlignment="1" applyProtection="1">
      <alignment horizontal="center" vertical="center" shrinkToFit="1"/>
      <protection hidden="1"/>
    </xf>
    <xf numFmtId="0" fontId="29" fillId="60" borderId="131" xfId="0" applyFont="1" applyFill="1" applyBorder="1" applyAlignment="1" applyProtection="1">
      <alignment horizontal="center"/>
      <protection locked="0"/>
    </xf>
    <xf numFmtId="0" fontId="29" fillId="60" borderId="136" xfId="0" applyFont="1" applyFill="1" applyBorder="1" applyAlignment="1" applyProtection="1">
      <alignment horizontal="center"/>
      <protection locked="0"/>
    </xf>
    <xf numFmtId="0" fontId="12" fillId="0" borderId="64" xfId="0" applyFont="1" applyBorder="1" applyAlignment="1" applyProtection="1">
      <alignment horizontal="left" vertical="center"/>
    </xf>
    <xf numFmtId="0" fontId="12" fillId="0" borderId="63" xfId="0" applyFont="1" applyBorder="1" applyAlignment="1" applyProtection="1">
      <alignment horizontal="left" vertical="center"/>
    </xf>
    <xf numFmtId="0" fontId="5" fillId="60" borderId="68" xfId="0" applyFont="1" applyFill="1" applyBorder="1" applyAlignment="1" applyProtection="1">
      <alignment horizontal="center" vertical="center"/>
      <protection locked="0"/>
    </xf>
    <xf numFmtId="0" fontId="5" fillId="60" borderId="66" xfId="0" applyFont="1" applyFill="1" applyBorder="1" applyAlignment="1" applyProtection="1">
      <alignment horizontal="center" vertical="center"/>
      <protection locked="0"/>
    </xf>
    <xf numFmtId="0" fontId="5" fillId="60" borderId="87" xfId="0" applyFont="1" applyFill="1" applyBorder="1" applyAlignment="1" applyProtection="1">
      <alignment horizontal="center" vertical="center"/>
      <protection locked="0"/>
    </xf>
    <xf numFmtId="0" fontId="5" fillId="60" borderId="69" xfId="0" applyFont="1" applyFill="1" applyBorder="1" applyAlignment="1" applyProtection="1">
      <alignment horizontal="center" vertical="center"/>
      <protection locked="0"/>
    </xf>
    <xf numFmtId="0" fontId="12" fillId="60" borderId="56" xfId="0" applyFont="1" applyFill="1" applyBorder="1" applyAlignment="1" applyProtection="1">
      <alignment horizontal="left" vertical="center"/>
      <protection locked="0"/>
    </xf>
    <xf numFmtId="0" fontId="12" fillId="60" borderId="19" xfId="0" applyFont="1" applyFill="1" applyBorder="1" applyAlignment="1" applyProtection="1">
      <alignment horizontal="left" vertical="center"/>
      <protection locked="0"/>
    </xf>
    <xf numFmtId="0" fontId="5" fillId="60" borderId="86" xfId="0" applyFont="1" applyFill="1" applyBorder="1" applyAlignment="1" applyProtection="1">
      <alignment horizontal="center" vertical="center"/>
      <protection locked="0"/>
    </xf>
    <xf numFmtId="0" fontId="5" fillId="60" borderId="85" xfId="0" applyFont="1" applyFill="1" applyBorder="1" applyAlignment="1" applyProtection="1">
      <alignment horizontal="center" vertical="center"/>
      <protection locked="0"/>
    </xf>
    <xf numFmtId="0" fontId="5" fillId="60" borderId="88" xfId="0" applyFont="1" applyFill="1" applyBorder="1" applyAlignment="1" applyProtection="1">
      <alignment horizontal="center" vertical="center"/>
      <protection locked="0"/>
    </xf>
    <xf numFmtId="0" fontId="5" fillId="45" borderId="50" xfId="0" applyFont="1" applyFill="1" applyBorder="1" applyAlignment="1" applyProtection="1">
      <alignment horizontal="center" vertical="center"/>
    </xf>
    <xf numFmtId="0" fontId="5" fillId="45" borderId="24" xfId="0" applyFont="1" applyFill="1" applyBorder="1" applyAlignment="1" applyProtection="1">
      <alignment horizontal="center" vertical="center"/>
    </xf>
    <xf numFmtId="0" fontId="12" fillId="60" borderId="162" xfId="0" applyFont="1" applyFill="1" applyBorder="1" applyAlignment="1" applyProtection="1">
      <alignment horizontal="left" vertical="center"/>
      <protection locked="0"/>
    </xf>
    <xf numFmtId="0" fontId="12" fillId="60" borderId="130" xfId="0" applyFont="1" applyFill="1" applyBorder="1" applyAlignment="1" applyProtection="1">
      <alignment horizontal="left" vertical="center"/>
      <protection locked="0"/>
    </xf>
    <xf numFmtId="0" fontId="5" fillId="0" borderId="19" xfId="0" applyFont="1" applyFill="1" applyBorder="1" applyAlignment="1" applyProtection="1">
      <alignment horizontal="center" vertical="center"/>
    </xf>
    <xf numFmtId="0" fontId="5" fillId="0" borderId="120" xfId="0" applyFont="1" applyFill="1" applyBorder="1" applyAlignment="1" applyProtection="1">
      <alignment horizontal="center" vertical="center"/>
    </xf>
    <xf numFmtId="0" fontId="5" fillId="0" borderId="53" xfId="0" applyFont="1" applyFill="1" applyBorder="1" applyAlignment="1" applyProtection="1">
      <alignment horizontal="center" vertical="center"/>
    </xf>
    <xf numFmtId="0" fontId="5" fillId="0" borderId="52" xfId="0" applyFont="1" applyFill="1" applyBorder="1" applyAlignment="1" applyProtection="1">
      <alignment horizontal="center" vertical="center"/>
    </xf>
    <xf numFmtId="0" fontId="5" fillId="45" borderId="60" xfId="0" applyFont="1" applyFill="1" applyBorder="1" applyAlignment="1" applyProtection="1">
      <alignment horizontal="center" vertical="center"/>
    </xf>
    <xf numFmtId="0" fontId="5" fillId="45" borderId="7" xfId="0" applyFont="1" applyFill="1" applyBorder="1" applyAlignment="1" applyProtection="1">
      <alignment horizontal="center" vertical="center"/>
    </xf>
    <xf numFmtId="0" fontId="5" fillId="45" borderId="0" xfId="0" applyFont="1" applyFill="1" applyBorder="1" applyAlignment="1" applyProtection="1">
      <alignment horizontal="center" vertical="center"/>
    </xf>
    <xf numFmtId="0" fontId="0" fillId="60" borderId="139" xfId="0" applyFill="1" applyBorder="1" applyAlignment="1" applyProtection="1">
      <alignment horizontal="center"/>
      <protection locked="0"/>
    </xf>
    <xf numFmtId="1" fontId="0" fillId="0" borderId="208" xfId="0" applyNumberFormat="1" applyFill="1" applyBorder="1" applyAlignment="1" applyProtection="1">
      <alignment horizontal="center" vertical="center" shrinkToFit="1"/>
      <protection hidden="1"/>
    </xf>
    <xf numFmtId="1" fontId="0" fillId="0" borderId="209" xfId="0" applyNumberFormat="1" applyFill="1" applyBorder="1" applyAlignment="1" applyProtection="1">
      <alignment horizontal="center" vertical="center" shrinkToFit="1"/>
      <protection hidden="1"/>
    </xf>
    <xf numFmtId="1" fontId="5" fillId="0" borderId="255" xfId="0" applyNumberFormat="1" applyFont="1" applyFill="1" applyBorder="1" applyAlignment="1" applyProtection="1">
      <alignment horizontal="center" vertical="center" shrinkToFit="1"/>
      <protection hidden="1"/>
    </xf>
    <xf numFmtId="0" fontId="5" fillId="0" borderId="207" xfId="0" applyFont="1" applyFill="1" applyBorder="1" applyAlignment="1" applyProtection="1">
      <alignment horizontal="center" vertical="center" shrinkToFit="1"/>
      <protection hidden="1"/>
    </xf>
    <xf numFmtId="1" fontId="8" fillId="4" borderId="208" xfId="0" applyNumberFormat="1" applyFont="1" applyFill="1" applyBorder="1" applyAlignment="1" applyProtection="1">
      <alignment horizontal="center" vertical="center" shrinkToFit="1"/>
      <protection hidden="1"/>
    </xf>
    <xf numFmtId="1" fontId="8" fillId="4" borderId="209" xfId="0" applyNumberFormat="1" applyFont="1" applyFill="1" applyBorder="1" applyAlignment="1" applyProtection="1">
      <alignment horizontal="center" vertical="center" shrinkToFit="1"/>
      <protection hidden="1"/>
    </xf>
    <xf numFmtId="1" fontId="8" fillId="0" borderId="208" xfId="0" applyNumberFormat="1" applyFont="1" applyFill="1" applyBorder="1" applyAlignment="1" applyProtection="1">
      <alignment horizontal="center" vertical="center" shrinkToFit="1"/>
      <protection hidden="1"/>
    </xf>
    <xf numFmtId="1" fontId="8" fillId="0" borderId="209" xfId="0" applyNumberFormat="1" applyFont="1" applyFill="1" applyBorder="1" applyAlignment="1" applyProtection="1">
      <alignment horizontal="center" vertical="center" shrinkToFit="1"/>
      <protection hidden="1"/>
    </xf>
    <xf numFmtId="0" fontId="12" fillId="0" borderId="111" xfId="0" applyFont="1" applyFill="1" applyBorder="1" applyAlignment="1" applyProtection="1">
      <alignment horizontal="left" vertical="center"/>
      <protection hidden="1"/>
    </xf>
    <xf numFmtId="0" fontId="12" fillId="0" borderId="1" xfId="0" applyFont="1" applyFill="1" applyBorder="1" applyAlignment="1" applyProtection="1">
      <alignment horizontal="left" vertical="center"/>
      <protection hidden="1"/>
    </xf>
    <xf numFmtId="0" fontId="12" fillId="0" borderId="155" xfId="0" applyFont="1" applyFill="1" applyBorder="1" applyAlignment="1" applyProtection="1">
      <alignment horizontal="left" vertical="center"/>
      <protection hidden="1"/>
    </xf>
    <xf numFmtId="0" fontId="12" fillId="0" borderId="154" xfId="0" applyFont="1" applyFill="1" applyBorder="1" applyAlignment="1" applyProtection="1">
      <alignment horizontal="left" vertical="center"/>
      <protection hidden="1"/>
    </xf>
    <xf numFmtId="0" fontId="4" fillId="45" borderId="107" xfId="0" applyFont="1" applyFill="1" applyBorder="1" applyAlignment="1" applyProtection="1">
      <alignment horizontal="center" vertical="center" wrapText="1"/>
    </xf>
    <xf numFmtId="0" fontId="4" fillId="45" borderId="106" xfId="0" applyFont="1" applyFill="1" applyBorder="1" applyAlignment="1" applyProtection="1">
      <alignment horizontal="center" vertical="center" wrapText="1"/>
    </xf>
    <xf numFmtId="0" fontId="4" fillId="45" borderId="50" xfId="0" applyFont="1" applyFill="1" applyBorder="1" applyAlignment="1" applyProtection="1">
      <alignment horizontal="center" vertical="center" wrapText="1"/>
    </xf>
    <xf numFmtId="0" fontId="4" fillId="45" borderId="24" xfId="0" applyFont="1" applyFill="1" applyBorder="1" applyAlignment="1" applyProtection="1">
      <alignment horizontal="center" vertical="center" wrapText="1"/>
    </xf>
    <xf numFmtId="0" fontId="4" fillId="45" borderId="60" xfId="0" applyFont="1" applyFill="1" applyBorder="1" applyAlignment="1" applyProtection="1">
      <alignment horizontal="center" vertical="center" wrapText="1"/>
    </xf>
    <xf numFmtId="0" fontId="4" fillId="45" borderId="55" xfId="0" applyFont="1" applyFill="1" applyBorder="1" applyAlignment="1" applyProtection="1">
      <alignment horizontal="center" vertical="center" wrapText="1"/>
    </xf>
    <xf numFmtId="0" fontId="0" fillId="60" borderId="73" xfId="0" applyFill="1" applyBorder="1" applyAlignment="1" applyProtection="1">
      <alignment horizontal="center"/>
      <protection locked="0"/>
    </xf>
    <xf numFmtId="0" fontId="0" fillId="60" borderId="133" xfId="0" applyFill="1" applyBorder="1" applyAlignment="1" applyProtection="1">
      <alignment horizontal="center"/>
      <protection locked="0"/>
    </xf>
    <xf numFmtId="0" fontId="4" fillId="45" borderId="6" xfId="0" applyFont="1" applyFill="1" applyBorder="1" applyAlignment="1" applyProtection="1">
      <alignment horizontal="left" vertical="center"/>
    </xf>
    <xf numFmtId="0" fontId="4" fillId="45" borderId="55" xfId="0" applyFont="1" applyFill="1" applyBorder="1" applyAlignment="1" applyProtection="1">
      <alignment horizontal="left" vertical="center"/>
    </xf>
    <xf numFmtId="0" fontId="29" fillId="45" borderId="3" xfId="0" applyFont="1" applyFill="1" applyBorder="1" applyAlignment="1" applyProtection="1">
      <alignment horizontal="left" vertical="center"/>
    </xf>
    <xf numFmtId="0" fontId="29" fillId="45" borderId="106" xfId="0" applyFont="1" applyFill="1" applyBorder="1" applyAlignment="1" applyProtection="1">
      <alignment horizontal="left" vertical="center"/>
    </xf>
    <xf numFmtId="0" fontId="0" fillId="0" borderId="5" xfId="0" applyFill="1" applyBorder="1" applyAlignment="1" applyProtection="1">
      <alignment horizontal="left" vertical="center"/>
    </xf>
    <xf numFmtId="0" fontId="0" fillId="0" borderId="0" xfId="0" applyFill="1" applyBorder="1" applyAlignment="1" applyProtection="1">
      <alignment horizontal="left" vertical="center"/>
    </xf>
    <xf numFmtId="1" fontId="0" fillId="0" borderId="240" xfId="0" applyNumberFormat="1" applyFill="1" applyBorder="1" applyAlignment="1" applyProtection="1">
      <alignment horizontal="center" vertical="center" shrinkToFit="1"/>
      <protection hidden="1"/>
    </xf>
    <xf numFmtId="1" fontId="0" fillId="0" borderId="210" xfId="0" applyNumberFormat="1" applyFill="1" applyBorder="1" applyAlignment="1" applyProtection="1">
      <alignment horizontal="center" vertical="center" shrinkToFit="1"/>
      <protection hidden="1"/>
    </xf>
    <xf numFmtId="1" fontId="0" fillId="4" borderId="211" xfId="0" applyNumberFormat="1" applyFill="1" applyBorder="1" applyAlignment="1" applyProtection="1">
      <alignment horizontal="center" vertical="center" shrinkToFit="1"/>
      <protection hidden="1"/>
    </xf>
    <xf numFmtId="1" fontId="0" fillId="4" borderId="212" xfId="0" applyNumberFormat="1" applyFill="1" applyBorder="1" applyAlignment="1" applyProtection="1">
      <alignment horizontal="center" vertical="center" shrinkToFit="1"/>
      <protection hidden="1"/>
    </xf>
    <xf numFmtId="1" fontId="5" fillId="0" borderId="205" xfId="0" applyNumberFormat="1" applyFont="1" applyFill="1" applyBorder="1" applyAlignment="1" applyProtection="1">
      <alignment horizontal="center" vertical="center" shrinkToFit="1"/>
      <protection hidden="1"/>
    </xf>
    <xf numFmtId="0" fontId="5" fillId="0" borderId="206" xfId="0" applyFont="1" applyFill="1" applyBorder="1" applyAlignment="1" applyProtection="1">
      <alignment horizontal="center" vertical="center" shrinkToFit="1"/>
      <protection hidden="1"/>
    </xf>
    <xf numFmtId="1" fontId="0" fillId="4" borderId="240" xfId="0" applyNumberFormat="1" applyFill="1" applyBorder="1" applyAlignment="1" applyProtection="1">
      <alignment horizontal="center" vertical="center" shrinkToFit="1"/>
      <protection hidden="1"/>
    </xf>
    <xf numFmtId="1" fontId="0" fillId="4" borderId="210" xfId="0" applyNumberFormat="1" applyFill="1" applyBorder="1" applyAlignment="1" applyProtection="1">
      <alignment horizontal="center" vertical="center" shrinkToFit="1"/>
      <protection hidden="1"/>
    </xf>
    <xf numFmtId="0" fontId="4" fillId="52" borderId="203" xfId="0" applyFont="1" applyFill="1" applyBorder="1" applyAlignment="1" applyProtection="1">
      <alignment horizontal="center"/>
    </xf>
    <xf numFmtId="0" fontId="12" fillId="52" borderId="193" xfId="0" applyFont="1" applyFill="1" applyBorder="1" applyAlignment="1" applyProtection="1">
      <alignment horizontal="center"/>
    </xf>
    <xf numFmtId="0" fontId="4" fillId="52" borderId="352" xfId="0" applyFont="1" applyFill="1" applyBorder="1" applyAlignment="1" applyProtection="1">
      <alignment horizontal="center"/>
    </xf>
    <xf numFmtId="0" fontId="12" fillId="52" borderId="215" xfId="0" applyFont="1" applyFill="1" applyBorder="1" applyAlignment="1" applyProtection="1">
      <alignment horizontal="center"/>
    </xf>
    <xf numFmtId="0" fontId="5" fillId="52" borderId="188" xfId="0" applyFont="1" applyFill="1" applyBorder="1" applyAlignment="1" applyProtection="1">
      <alignment horizontal="center" vertical="center"/>
      <protection hidden="1"/>
    </xf>
    <xf numFmtId="0" fontId="5" fillId="52" borderId="189" xfId="0" applyFont="1" applyFill="1" applyBorder="1" applyAlignment="1" applyProtection="1">
      <alignment horizontal="center" vertical="center"/>
      <protection hidden="1"/>
    </xf>
    <xf numFmtId="1" fontId="5" fillId="0" borderId="78" xfId="0" applyNumberFormat="1" applyFont="1" applyFill="1" applyBorder="1" applyAlignment="1" applyProtection="1">
      <alignment horizontal="center" vertical="center" shrinkToFit="1"/>
      <protection hidden="1"/>
    </xf>
    <xf numFmtId="0" fontId="0" fillId="0" borderId="6" xfId="0" applyFill="1" applyBorder="1" applyAlignment="1" applyProtection="1">
      <alignment horizontal="left" vertical="center"/>
      <protection hidden="1"/>
    </xf>
    <xf numFmtId="0" fontId="0" fillId="0" borderId="7" xfId="0" applyFill="1" applyBorder="1" applyAlignment="1" applyProtection="1">
      <alignment horizontal="left" vertical="center"/>
      <protection hidden="1"/>
    </xf>
    <xf numFmtId="0" fontId="0" fillId="0" borderId="55" xfId="0" applyFill="1" applyBorder="1" applyAlignment="1" applyProtection="1">
      <alignment horizontal="left" vertical="center"/>
      <protection hidden="1"/>
    </xf>
    <xf numFmtId="0" fontId="4" fillId="45" borderId="4" xfId="0" applyFont="1" applyFill="1" applyBorder="1" applyAlignment="1" applyProtection="1">
      <alignment horizontal="center"/>
    </xf>
    <xf numFmtId="167" fontId="0" fillId="0" borderId="212" xfId="0" applyNumberFormat="1" applyFill="1" applyBorder="1" applyAlignment="1" applyProtection="1">
      <alignment horizontal="center" vertical="center" shrinkToFit="1"/>
      <protection hidden="1"/>
    </xf>
    <xf numFmtId="1" fontId="5" fillId="0" borderId="203" xfId="0" applyNumberFormat="1" applyFont="1" applyBorder="1" applyAlignment="1" applyProtection="1">
      <alignment horizontal="center" vertical="center" shrinkToFit="1"/>
      <protection hidden="1"/>
    </xf>
    <xf numFmtId="1" fontId="5" fillId="0" borderId="215" xfId="0" applyNumberFormat="1" applyFont="1" applyBorder="1" applyAlignment="1" applyProtection="1">
      <alignment horizontal="center" vertical="center" shrinkToFit="1"/>
      <protection hidden="1"/>
    </xf>
    <xf numFmtId="1" fontId="5" fillId="0" borderId="97" xfId="0" applyNumberFormat="1" applyFont="1" applyFill="1" applyBorder="1" applyAlignment="1" applyProtection="1">
      <alignment horizontal="center" vertical="center" shrinkToFit="1"/>
      <protection hidden="1"/>
    </xf>
    <xf numFmtId="0" fontId="12" fillId="45" borderId="332" xfId="0" applyFont="1" applyFill="1" applyBorder="1" applyAlignment="1" applyProtection="1">
      <alignment horizontal="center" vertical="center"/>
      <protection hidden="1"/>
    </xf>
    <xf numFmtId="0" fontId="12" fillId="45" borderId="31" xfId="0" applyFont="1" applyFill="1" applyBorder="1" applyAlignment="1" applyProtection="1">
      <alignment horizontal="center" vertical="center"/>
      <protection hidden="1"/>
    </xf>
    <xf numFmtId="0" fontId="4" fillId="0" borderId="151" xfId="0" applyFont="1" applyBorder="1" applyAlignment="1" applyProtection="1">
      <alignment horizontal="left" vertical="center"/>
    </xf>
    <xf numFmtId="0" fontId="12" fillId="0" borderId="152" xfId="0" applyFont="1" applyBorder="1" applyAlignment="1" applyProtection="1">
      <alignment horizontal="left" vertical="center"/>
    </xf>
    <xf numFmtId="0" fontId="12" fillId="0" borderId="166" xfId="0" applyFont="1" applyBorder="1" applyAlignment="1" applyProtection="1">
      <alignment horizontal="left" vertical="center"/>
    </xf>
    <xf numFmtId="0" fontId="29" fillId="47" borderId="131" xfId="0" applyFont="1" applyFill="1" applyBorder="1" applyAlignment="1" applyProtection="1">
      <alignment horizontal="center"/>
    </xf>
    <xf numFmtId="0" fontId="29" fillId="47" borderId="138" xfId="0" applyFont="1" applyFill="1" applyBorder="1" applyAlignment="1" applyProtection="1">
      <alignment horizontal="center"/>
    </xf>
    <xf numFmtId="0" fontId="0" fillId="45" borderId="60" xfId="0" applyFill="1" applyBorder="1" applyAlignment="1" applyProtection="1">
      <alignment horizontal="center"/>
    </xf>
    <xf numFmtId="0" fontId="0" fillId="45" borderId="7" xfId="0" applyFill="1" applyBorder="1" applyAlignment="1" applyProtection="1">
      <alignment horizontal="center"/>
    </xf>
    <xf numFmtId="0" fontId="0" fillId="45" borderId="33" xfId="0" applyFill="1" applyBorder="1" applyAlignment="1" applyProtection="1">
      <alignment horizontal="center"/>
    </xf>
    <xf numFmtId="167" fontId="0" fillId="5" borderId="209" xfId="0" applyNumberFormat="1" applyFill="1" applyBorder="1" applyAlignment="1" applyProtection="1">
      <alignment horizontal="center" vertical="center" shrinkToFit="1"/>
      <protection hidden="1"/>
    </xf>
    <xf numFmtId="0" fontId="0" fillId="0" borderId="0" xfId="0" applyFill="1" applyBorder="1" applyAlignment="1" applyProtection="1">
      <alignment horizontal="center" vertical="center"/>
      <protection locked="0" hidden="1"/>
    </xf>
    <xf numFmtId="0" fontId="0" fillId="0" borderId="50" xfId="0" applyBorder="1" applyAlignment="1" applyProtection="1">
      <alignment horizontal="center" vertical="center"/>
      <protection locked="0" hidden="1"/>
    </xf>
    <xf numFmtId="0" fontId="0" fillId="0" borderId="24" xfId="0" applyBorder="1" applyAlignment="1" applyProtection="1">
      <alignment horizontal="center" vertical="center"/>
      <protection locked="0" hidden="1"/>
    </xf>
    <xf numFmtId="0" fontId="7" fillId="52" borderId="188" xfId="0" applyFont="1" applyFill="1" applyBorder="1" applyAlignment="1" applyProtection="1">
      <alignment horizontal="center" vertical="center"/>
      <protection hidden="1"/>
    </xf>
    <xf numFmtId="0" fontId="7" fillId="52" borderId="214" xfId="0" applyFont="1" applyFill="1" applyBorder="1" applyAlignment="1" applyProtection="1">
      <alignment horizontal="center" vertical="center"/>
      <protection hidden="1"/>
    </xf>
    <xf numFmtId="0" fontId="5" fillId="45" borderId="3" xfId="0" applyFont="1" applyFill="1" applyBorder="1" applyAlignment="1" applyProtection="1">
      <alignment horizontal="center" vertical="center"/>
      <protection hidden="1"/>
    </xf>
    <xf numFmtId="0" fontId="5" fillId="45" borderId="4" xfId="0" applyFont="1" applyFill="1" applyBorder="1" applyAlignment="1" applyProtection="1">
      <alignment horizontal="center" vertical="center"/>
      <protection hidden="1"/>
    </xf>
    <xf numFmtId="0" fontId="5" fillId="45" borderId="29" xfId="0" applyFont="1" applyFill="1" applyBorder="1" applyAlignment="1" applyProtection="1">
      <alignment horizontal="center" vertical="center"/>
      <protection hidden="1"/>
    </xf>
    <xf numFmtId="0" fontId="0" fillId="45" borderId="50" xfId="0" applyFill="1" applyBorder="1" applyAlignment="1" applyProtection="1">
      <alignment horizontal="center"/>
    </xf>
    <xf numFmtId="0" fontId="0" fillId="45" borderId="0" xfId="0" applyFill="1" applyBorder="1" applyAlignment="1" applyProtection="1">
      <alignment horizontal="center"/>
    </xf>
    <xf numFmtId="0" fontId="0" fillId="45" borderId="31" xfId="0" applyFill="1" applyBorder="1" applyAlignment="1" applyProtection="1">
      <alignment horizontal="center"/>
    </xf>
    <xf numFmtId="0" fontId="12" fillId="0" borderId="127" xfId="0" applyFont="1" applyBorder="1" applyAlignment="1" applyProtection="1">
      <alignment horizontal="left" vertical="center"/>
    </xf>
    <xf numFmtId="0" fontId="12" fillId="0" borderId="128" xfId="0" applyFont="1" applyBorder="1" applyAlignment="1" applyProtection="1">
      <alignment horizontal="left" vertical="center"/>
    </xf>
    <xf numFmtId="0" fontId="12" fillId="0" borderId="165" xfId="0" applyFont="1" applyBorder="1" applyAlignment="1" applyProtection="1">
      <alignment horizontal="left" vertical="center"/>
    </xf>
    <xf numFmtId="0" fontId="15" fillId="0" borderId="0" xfId="0" applyFont="1" applyBorder="1" applyAlignment="1" applyProtection="1">
      <alignment horizontal="center" vertical="center"/>
    </xf>
    <xf numFmtId="0" fontId="12" fillId="0" borderId="127" xfId="0" applyFont="1" applyFill="1" applyBorder="1" applyAlignment="1" applyProtection="1">
      <alignment horizontal="center" vertical="center"/>
    </xf>
    <xf numFmtId="0" fontId="12" fillId="0" borderId="129" xfId="0" applyFont="1" applyFill="1" applyBorder="1" applyAlignment="1" applyProtection="1">
      <alignment horizontal="center" vertical="center"/>
    </xf>
    <xf numFmtId="2" fontId="15" fillId="0" borderId="0" xfId="0" applyNumberFormat="1" applyFont="1" applyAlignment="1" applyProtection="1">
      <alignment horizontal="center" vertical="center"/>
      <protection locked="0" hidden="1"/>
    </xf>
    <xf numFmtId="0" fontId="15" fillId="0" borderId="0" xfId="0" applyFont="1" applyAlignment="1" applyProtection="1">
      <alignment horizontal="center" vertical="center"/>
      <protection locked="0" hidden="1"/>
    </xf>
    <xf numFmtId="0" fontId="16" fillId="0" borderId="0" xfId="0" applyFont="1" applyAlignment="1" applyProtection="1">
      <alignment horizontal="center" vertical="center"/>
      <protection hidden="1"/>
    </xf>
    <xf numFmtId="2" fontId="8" fillId="5" borderId="209" xfId="0" applyNumberFormat="1" applyFont="1" applyFill="1" applyBorder="1" applyAlignment="1" applyProtection="1">
      <alignment horizontal="center" vertical="center" shrinkToFit="1"/>
      <protection hidden="1"/>
    </xf>
    <xf numFmtId="0" fontId="7" fillId="43" borderId="204" xfId="0" applyFont="1" applyFill="1" applyBorder="1" applyAlignment="1" applyProtection="1">
      <alignment horizontal="center" vertical="center"/>
      <protection hidden="1"/>
    </xf>
    <xf numFmtId="0" fontId="7" fillId="43" borderId="254" xfId="0" applyFont="1" applyFill="1" applyBorder="1" applyAlignment="1" applyProtection="1">
      <alignment horizontal="center" vertical="center"/>
      <protection hidden="1"/>
    </xf>
    <xf numFmtId="0" fontId="0" fillId="0" borderId="24" xfId="0" applyFill="1" applyBorder="1" applyAlignment="1" applyProtection="1">
      <alignment horizontal="left" vertical="center"/>
    </xf>
    <xf numFmtId="0" fontId="5" fillId="45" borderId="107" xfId="0" applyFont="1" applyFill="1" applyBorder="1" applyAlignment="1" applyProtection="1">
      <alignment horizontal="center" vertical="center"/>
      <protection hidden="1"/>
    </xf>
    <xf numFmtId="0" fontId="16" fillId="45" borderId="5" xfId="0" applyFont="1" applyFill="1" applyBorder="1" applyAlignment="1" applyProtection="1">
      <alignment horizontal="center" vertical="center" wrapText="1"/>
      <protection hidden="1"/>
    </xf>
    <xf numFmtId="0" fontId="16" fillId="45" borderId="0" xfId="0" applyFont="1" applyFill="1" applyBorder="1" applyAlignment="1" applyProtection="1">
      <alignment horizontal="center" vertical="center" wrapText="1"/>
      <protection hidden="1"/>
    </xf>
    <xf numFmtId="0" fontId="16" fillId="45" borderId="24" xfId="0" applyFont="1" applyFill="1" applyBorder="1" applyAlignment="1" applyProtection="1">
      <alignment horizontal="center" vertical="center" wrapText="1"/>
      <protection hidden="1"/>
    </xf>
    <xf numFmtId="0" fontId="16" fillId="45" borderId="6" xfId="0" applyFont="1" applyFill="1" applyBorder="1" applyAlignment="1" applyProtection="1">
      <alignment horizontal="center" vertical="center" wrapText="1"/>
      <protection hidden="1"/>
    </xf>
    <xf numFmtId="0" fontId="16" fillId="45" borderId="7" xfId="0" applyFont="1" applyFill="1" applyBorder="1" applyAlignment="1" applyProtection="1">
      <alignment horizontal="center" vertical="center" wrapText="1"/>
      <protection hidden="1"/>
    </xf>
    <xf numFmtId="0" fontId="16" fillId="45" borderId="55" xfId="0" applyFont="1" applyFill="1" applyBorder="1" applyAlignment="1" applyProtection="1">
      <alignment horizontal="center" vertical="center" wrapText="1"/>
      <protection hidden="1"/>
    </xf>
    <xf numFmtId="0" fontId="5" fillId="45" borderId="106" xfId="0" applyFont="1" applyFill="1" applyBorder="1" applyAlignment="1" applyProtection="1">
      <alignment horizontal="center" vertical="center"/>
      <protection hidden="1"/>
    </xf>
    <xf numFmtId="0" fontId="5" fillId="45" borderId="5" xfId="0" applyFont="1" applyFill="1" applyBorder="1" applyAlignment="1" applyProtection="1">
      <alignment horizontal="center" vertical="center"/>
      <protection hidden="1"/>
    </xf>
    <xf numFmtId="0" fontId="5" fillId="45" borderId="0" xfId="0" applyFont="1" applyFill="1" applyBorder="1" applyAlignment="1" applyProtection="1">
      <alignment horizontal="center" vertical="center"/>
      <protection hidden="1"/>
    </xf>
    <xf numFmtId="0" fontId="5" fillId="45" borderId="24" xfId="0" applyFont="1" applyFill="1" applyBorder="1" applyAlignment="1" applyProtection="1">
      <alignment horizontal="center" vertical="center"/>
      <protection hidden="1"/>
    </xf>
    <xf numFmtId="0" fontId="7" fillId="52" borderId="204" xfId="0" applyFont="1" applyFill="1" applyBorder="1" applyAlignment="1" applyProtection="1">
      <alignment horizontal="left" vertical="center"/>
      <protection hidden="1"/>
    </xf>
    <xf numFmtId="0" fontId="7" fillId="52" borderId="202" xfId="0" applyFont="1" applyFill="1" applyBorder="1" applyAlignment="1" applyProtection="1">
      <alignment horizontal="left" vertical="center"/>
      <protection hidden="1"/>
    </xf>
    <xf numFmtId="0" fontId="7" fillId="52" borderId="254" xfId="0" applyFont="1" applyFill="1" applyBorder="1" applyAlignment="1" applyProtection="1">
      <alignment horizontal="left" vertical="center"/>
      <protection hidden="1"/>
    </xf>
    <xf numFmtId="1" fontId="5" fillId="0" borderId="0" xfId="0" applyNumberFormat="1" applyFont="1" applyBorder="1" applyAlignment="1" applyProtection="1">
      <alignment horizontal="center" vertical="center" shrinkToFit="1"/>
      <protection hidden="1"/>
    </xf>
    <xf numFmtId="1" fontId="5" fillId="0" borderId="194" xfId="0" applyNumberFormat="1" applyFont="1" applyBorder="1" applyAlignment="1" applyProtection="1">
      <alignment horizontal="center" vertical="center" shrinkToFit="1"/>
      <protection hidden="1"/>
    </xf>
    <xf numFmtId="1" fontId="15" fillId="0" borderId="0" xfId="0" applyNumberFormat="1" applyFont="1" applyFill="1" applyBorder="1" applyAlignment="1" applyProtection="1">
      <alignment horizontal="center" vertical="center" shrinkToFit="1"/>
      <protection hidden="1"/>
    </xf>
    <xf numFmtId="1" fontId="15" fillId="0" borderId="194" xfId="0" applyNumberFormat="1" applyFont="1" applyFill="1" applyBorder="1" applyAlignment="1" applyProtection="1">
      <alignment horizontal="center" vertical="center" shrinkToFit="1"/>
      <protection hidden="1"/>
    </xf>
    <xf numFmtId="0" fontId="16" fillId="0" borderId="190" xfId="0" applyFont="1" applyBorder="1" applyAlignment="1" applyProtection="1">
      <alignment horizontal="left" vertical="center"/>
      <protection hidden="1"/>
    </xf>
    <xf numFmtId="0" fontId="16" fillId="0" borderId="0" xfId="0" applyFont="1" applyBorder="1" applyAlignment="1" applyProtection="1">
      <alignment horizontal="left" vertical="center"/>
      <protection hidden="1"/>
    </xf>
    <xf numFmtId="0" fontId="15" fillId="0" borderId="252" xfId="0" applyFont="1" applyBorder="1" applyAlignment="1" applyProtection="1">
      <alignment horizontal="left" vertical="center"/>
      <protection hidden="1"/>
    </xf>
    <xf numFmtId="0" fontId="15" fillId="0" borderId="201" xfId="0" applyFont="1" applyBorder="1" applyAlignment="1" applyProtection="1">
      <alignment horizontal="left" vertical="center"/>
      <protection hidden="1"/>
    </xf>
    <xf numFmtId="0" fontId="5" fillId="0" borderId="190" xfId="0" applyFont="1" applyFill="1" applyBorder="1" applyAlignment="1" applyProtection="1">
      <alignment horizontal="left" vertical="center"/>
      <protection hidden="1"/>
    </xf>
    <xf numFmtId="0" fontId="5" fillId="0" borderId="0" xfId="0" applyFont="1" applyFill="1" applyBorder="1" applyAlignment="1" applyProtection="1">
      <alignment horizontal="left" vertical="center"/>
      <protection hidden="1"/>
    </xf>
    <xf numFmtId="1" fontId="5" fillId="0" borderId="0" xfId="0" applyNumberFormat="1" applyFont="1" applyFill="1" applyBorder="1" applyAlignment="1" applyProtection="1">
      <alignment horizontal="center" vertical="center"/>
      <protection locked="0" hidden="1"/>
    </xf>
    <xf numFmtId="0" fontId="12" fillId="0" borderId="50" xfId="0" applyFont="1" applyFill="1" applyBorder="1" applyAlignment="1" applyProtection="1">
      <alignment horizontal="center" vertical="center"/>
      <protection locked="0" hidden="1"/>
    </xf>
    <xf numFmtId="0" fontId="12" fillId="0" borderId="0" xfId="0" applyFont="1" applyFill="1" applyBorder="1" applyAlignment="1" applyProtection="1">
      <alignment horizontal="center" vertical="center"/>
      <protection locked="0" hidden="1"/>
    </xf>
    <xf numFmtId="0" fontId="4" fillId="45" borderId="336" xfId="0" applyFont="1" applyFill="1" applyBorder="1" applyAlignment="1" applyProtection="1">
      <alignment horizontal="center" vertical="center"/>
      <protection hidden="1"/>
    </xf>
    <xf numFmtId="0" fontId="12" fillId="45" borderId="33" xfId="0" applyFont="1" applyFill="1" applyBorder="1" applyAlignment="1" applyProtection="1">
      <alignment horizontal="center" vertical="center"/>
      <protection hidden="1"/>
    </xf>
    <xf numFmtId="1" fontId="5" fillId="0" borderId="342" xfId="0" applyNumberFormat="1" applyFont="1" applyFill="1" applyBorder="1" applyAlignment="1" applyProtection="1">
      <alignment horizontal="center" vertical="center" shrinkToFit="1"/>
      <protection hidden="1"/>
    </xf>
    <xf numFmtId="1" fontId="5" fillId="0" borderId="354" xfId="0" applyNumberFormat="1" applyFont="1" applyBorder="1" applyAlignment="1" applyProtection="1">
      <alignment horizontal="center" vertical="center" shrinkToFit="1"/>
      <protection hidden="1"/>
    </xf>
    <xf numFmtId="1" fontId="5" fillId="0" borderId="113" xfId="0" applyNumberFormat="1" applyFont="1" applyBorder="1" applyAlignment="1" applyProtection="1">
      <alignment horizontal="center" vertical="center" shrinkToFit="1"/>
      <protection hidden="1"/>
    </xf>
    <xf numFmtId="0" fontId="15" fillId="0" borderId="0" xfId="0" applyFont="1" applyAlignment="1" applyProtection="1">
      <alignment horizontal="center" vertical="center" wrapText="1"/>
      <protection hidden="1"/>
    </xf>
    <xf numFmtId="0" fontId="12" fillId="0" borderId="24" xfId="0" applyFont="1" applyFill="1" applyBorder="1" applyAlignment="1" applyProtection="1">
      <alignment horizontal="center" vertical="center"/>
      <protection locked="0" hidden="1"/>
    </xf>
    <xf numFmtId="0" fontId="0" fillId="0" borderId="0" xfId="0" applyBorder="1" applyAlignment="1" applyProtection="1">
      <alignment horizontal="center" vertical="center"/>
      <protection locked="0" hidden="1"/>
    </xf>
    <xf numFmtId="0" fontId="4" fillId="45" borderId="60" xfId="0" applyFont="1" applyFill="1" applyBorder="1" applyAlignment="1" applyProtection="1">
      <alignment horizontal="center"/>
    </xf>
    <xf numFmtId="0" fontId="4" fillId="45" borderId="7" xfId="0" applyFont="1" applyFill="1" applyBorder="1" applyAlignment="1" applyProtection="1">
      <alignment horizontal="center"/>
    </xf>
    <xf numFmtId="0" fontId="4" fillId="45" borderId="33" xfId="0" applyFont="1" applyFill="1" applyBorder="1" applyAlignment="1" applyProtection="1">
      <alignment horizontal="center"/>
    </xf>
    <xf numFmtId="167" fontId="5" fillId="0" borderId="206" xfId="0" applyNumberFormat="1" applyFont="1" applyFill="1" applyBorder="1" applyAlignment="1" applyProtection="1">
      <alignment horizontal="center" vertical="center" shrinkToFit="1"/>
      <protection hidden="1"/>
    </xf>
    <xf numFmtId="0" fontId="12" fillId="52" borderId="203" xfId="0" applyFont="1" applyFill="1" applyBorder="1" applyAlignment="1" applyProtection="1">
      <alignment horizontal="center"/>
    </xf>
    <xf numFmtId="0" fontId="0" fillId="52" borderId="193" xfId="0" applyFill="1" applyBorder="1" applyAlignment="1" applyProtection="1">
      <alignment horizontal="center"/>
    </xf>
    <xf numFmtId="0" fontId="0" fillId="52" borderId="215" xfId="0" applyFill="1" applyBorder="1" applyAlignment="1" applyProtection="1">
      <alignment horizontal="center"/>
    </xf>
    <xf numFmtId="0" fontId="4" fillId="45" borderId="50" xfId="0" applyFont="1" applyFill="1" applyBorder="1" applyAlignment="1" applyProtection="1">
      <alignment horizontal="center"/>
    </xf>
    <xf numFmtId="0" fontId="4" fillId="45" borderId="0" xfId="0" applyFont="1" applyFill="1" applyBorder="1" applyAlignment="1" applyProtection="1">
      <alignment horizontal="center"/>
    </xf>
    <xf numFmtId="0" fontId="4" fillId="45" borderId="31" xfId="0" applyFont="1" applyFill="1" applyBorder="1" applyAlignment="1" applyProtection="1">
      <alignment horizontal="center"/>
    </xf>
    <xf numFmtId="0" fontId="12" fillId="0" borderId="0" xfId="0" applyFont="1" applyFill="1" applyBorder="1" applyAlignment="1" applyProtection="1">
      <alignment horizontal="center" vertical="center"/>
      <protection hidden="1"/>
    </xf>
    <xf numFmtId="167" fontId="0" fillId="0" borderId="80" xfId="0" applyNumberFormat="1" applyFill="1" applyBorder="1" applyAlignment="1" applyProtection="1">
      <alignment horizontal="center" shrinkToFit="1"/>
    </xf>
    <xf numFmtId="0" fontId="5" fillId="52" borderId="189" xfId="0" applyFont="1" applyFill="1" applyBorder="1" applyAlignment="1" applyProtection="1">
      <alignment horizontal="center"/>
    </xf>
    <xf numFmtId="0" fontId="0" fillId="0" borderId="51" xfId="0" applyBorder="1" applyAlignment="1" applyProtection="1">
      <alignment horizontal="center" vertical="center"/>
      <protection locked="0" hidden="1"/>
    </xf>
    <xf numFmtId="0" fontId="0" fillId="0" borderId="13" xfId="0" applyBorder="1" applyAlignment="1" applyProtection="1">
      <alignment horizontal="center" vertical="center"/>
      <protection locked="0" hidden="1"/>
    </xf>
    <xf numFmtId="0" fontId="0" fillId="0" borderId="21" xfId="0" applyBorder="1" applyAlignment="1" applyProtection="1">
      <alignment horizontal="center" vertical="center"/>
      <protection locked="0" hidden="1"/>
    </xf>
    <xf numFmtId="49" fontId="4" fillId="60" borderId="92" xfId="0" applyNumberFormat="1" applyFont="1" applyFill="1" applyBorder="1" applyAlignment="1" applyProtection="1">
      <alignment horizontal="left" vertical="center"/>
      <protection locked="0"/>
    </xf>
    <xf numFmtId="0" fontId="107" fillId="0" borderId="50" xfId="74" applyBorder="1" applyAlignment="1" applyProtection="1">
      <alignment horizontal="left" vertical="center"/>
    </xf>
    <xf numFmtId="0" fontId="107" fillId="0" borderId="0" xfId="74" applyBorder="1" applyAlignment="1" applyProtection="1">
      <alignment horizontal="left" vertical="center"/>
    </xf>
    <xf numFmtId="0" fontId="45" fillId="0" borderId="0" xfId="0" applyFont="1" applyAlignment="1" applyProtection="1">
      <alignment horizontal="center" vertical="center"/>
    </xf>
    <xf numFmtId="0" fontId="6" fillId="0" borderId="0" xfId="0" applyFont="1" applyAlignment="1" applyProtection="1">
      <alignment horizontal="center" vertical="center"/>
    </xf>
    <xf numFmtId="49" fontId="12" fillId="60" borderId="92" xfId="0" applyNumberFormat="1" applyFont="1" applyFill="1" applyBorder="1" applyAlignment="1" applyProtection="1">
      <alignment horizontal="left" vertical="center"/>
      <protection locked="0"/>
    </xf>
    <xf numFmtId="49" fontId="0" fillId="60" borderId="92" xfId="0" applyNumberFormat="1" applyFill="1" applyBorder="1" applyAlignment="1" applyProtection="1">
      <alignment horizontal="left" vertical="center"/>
      <protection locked="0"/>
    </xf>
    <xf numFmtId="1" fontId="29" fillId="0" borderId="195" xfId="0" applyNumberFormat="1" applyFont="1" applyFill="1" applyBorder="1" applyAlignment="1" applyProtection="1">
      <alignment horizontal="center" vertical="center" shrinkToFit="1"/>
      <protection hidden="1"/>
    </xf>
    <xf numFmtId="1" fontId="15" fillId="0" borderId="196" xfId="0" applyNumberFormat="1" applyFont="1" applyFill="1" applyBorder="1" applyAlignment="1" applyProtection="1">
      <alignment horizontal="center" vertical="center" shrinkToFit="1"/>
      <protection hidden="1"/>
    </xf>
    <xf numFmtId="1" fontId="29" fillId="0" borderId="189" xfId="0" applyNumberFormat="1" applyFont="1" applyFill="1" applyBorder="1" applyAlignment="1" applyProtection="1">
      <alignment horizontal="center" vertical="center" shrinkToFit="1"/>
      <protection hidden="1"/>
    </xf>
    <xf numFmtId="1" fontId="29" fillId="0" borderId="214" xfId="0" applyNumberFormat="1" applyFont="1" applyFill="1" applyBorder="1" applyAlignment="1" applyProtection="1">
      <alignment horizontal="center" vertical="center" shrinkToFit="1"/>
      <protection hidden="1"/>
    </xf>
    <xf numFmtId="1" fontId="15" fillId="50" borderId="196" xfId="0" applyNumberFormat="1" applyFont="1" applyFill="1" applyBorder="1" applyAlignment="1" applyProtection="1">
      <alignment horizontal="center" vertical="center" shrinkToFit="1"/>
      <protection hidden="1"/>
    </xf>
    <xf numFmtId="0" fontId="27" fillId="0" borderId="0" xfId="0" applyFont="1" applyAlignment="1" applyProtection="1">
      <alignment horizontal="center" vertical="center"/>
      <protection hidden="1"/>
    </xf>
    <xf numFmtId="49" fontId="4" fillId="60" borderId="2" xfId="0" applyNumberFormat="1" applyFont="1" applyFill="1" applyBorder="1" applyAlignment="1" applyProtection="1">
      <alignment horizontal="left" vertical="center"/>
      <protection locked="0"/>
    </xf>
    <xf numFmtId="49" fontId="12" fillId="60" borderId="2" xfId="0" applyNumberFormat="1" applyFont="1" applyFill="1" applyBorder="1" applyAlignment="1" applyProtection="1">
      <alignment horizontal="left" vertical="center"/>
      <protection locked="0"/>
    </xf>
    <xf numFmtId="49" fontId="0" fillId="60" borderId="2" xfId="0" applyNumberFormat="1" applyFill="1" applyBorder="1" applyAlignment="1" applyProtection="1">
      <alignment horizontal="left" vertical="center"/>
      <protection locked="0"/>
    </xf>
    <xf numFmtId="0" fontId="17" fillId="0" borderId="0" xfId="0" applyFont="1" applyAlignment="1" applyProtection="1">
      <alignment horizontal="center" vertical="center"/>
    </xf>
    <xf numFmtId="0" fontId="85" fillId="0" borderId="0" xfId="0" applyFont="1" applyAlignment="1" applyProtection="1">
      <alignment horizontal="center" vertical="center"/>
    </xf>
    <xf numFmtId="0" fontId="16" fillId="52" borderId="189" xfId="0" applyFont="1" applyFill="1" applyBorder="1" applyAlignment="1" applyProtection="1">
      <alignment horizontal="center" vertical="center"/>
      <protection hidden="1"/>
    </xf>
    <xf numFmtId="0" fontId="16" fillId="52" borderId="214" xfId="0" applyFont="1" applyFill="1" applyBorder="1" applyAlignment="1" applyProtection="1">
      <alignment horizontal="center" vertical="center"/>
      <protection hidden="1"/>
    </xf>
    <xf numFmtId="0" fontId="16" fillId="52" borderId="257" xfId="0" applyFont="1" applyFill="1" applyBorder="1" applyAlignment="1" applyProtection="1">
      <alignment horizontal="center" vertical="center"/>
      <protection hidden="1"/>
    </xf>
    <xf numFmtId="0" fontId="16" fillId="52" borderId="244" xfId="0" applyFont="1" applyFill="1" applyBorder="1" applyAlignment="1" applyProtection="1">
      <alignment horizontal="center" vertical="center"/>
      <protection hidden="1"/>
    </xf>
    <xf numFmtId="0" fontId="12" fillId="49" borderId="0" xfId="0" applyFont="1" applyFill="1" applyAlignment="1" applyProtection="1">
      <alignment horizontal="center" vertical="center" textRotation="90" wrapText="1"/>
      <protection hidden="1"/>
    </xf>
    <xf numFmtId="0" fontId="16" fillId="52" borderId="188" xfId="0" applyFont="1" applyFill="1" applyBorder="1" applyAlignment="1" applyProtection="1">
      <alignment horizontal="center" vertical="center"/>
      <protection hidden="1"/>
    </xf>
    <xf numFmtId="0" fontId="29" fillId="52" borderId="0" xfId="0" applyFont="1" applyFill="1" applyBorder="1" applyAlignment="1" applyProtection="1">
      <alignment horizontal="center" vertical="center"/>
      <protection hidden="1"/>
    </xf>
    <xf numFmtId="0" fontId="29" fillId="52" borderId="194" xfId="0" applyFont="1" applyFill="1" applyBorder="1" applyAlignment="1" applyProtection="1">
      <alignment horizontal="center" vertical="center"/>
      <protection hidden="1"/>
    </xf>
    <xf numFmtId="0" fontId="15" fillId="0" borderId="190" xfId="0" applyFont="1" applyBorder="1" applyAlignment="1" applyProtection="1">
      <alignment horizontal="left" vertical="center"/>
      <protection hidden="1"/>
    </xf>
    <xf numFmtId="0" fontId="15" fillId="0" borderId="0" xfId="0" applyFont="1" applyBorder="1" applyAlignment="1" applyProtection="1">
      <alignment horizontal="left" vertical="center"/>
      <protection hidden="1"/>
    </xf>
    <xf numFmtId="0" fontId="12" fillId="52" borderId="203" xfId="0" applyFont="1" applyFill="1" applyBorder="1" applyAlignment="1" applyProtection="1">
      <alignment horizontal="center" vertical="center"/>
      <protection hidden="1"/>
    </xf>
    <xf numFmtId="0" fontId="12" fillId="52" borderId="193" xfId="0" applyFont="1" applyFill="1" applyBorder="1" applyAlignment="1" applyProtection="1">
      <alignment horizontal="center" vertical="center"/>
      <protection hidden="1"/>
    </xf>
    <xf numFmtId="0" fontId="12" fillId="52" borderId="215" xfId="0" applyFont="1" applyFill="1" applyBorder="1" applyAlignment="1" applyProtection="1">
      <alignment horizontal="center" vertical="center"/>
      <protection hidden="1"/>
    </xf>
    <xf numFmtId="0" fontId="16" fillId="0" borderId="203" xfId="0" applyFont="1" applyBorder="1" applyAlignment="1" applyProtection="1">
      <alignment horizontal="left" vertical="center"/>
      <protection hidden="1"/>
    </xf>
    <xf numFmtId="0" fontId="16" fillId="0" borderId="193" xfId="0" applyFont="1" applyBorder="1" applyAlignment="1" applyProtection="1">
      <alignment horizontal="left" vertical="center"/>
      <protection hidden="1"/>
    </xf>
    <xf numFmtId="1" fontId="29" fillId="0" borderId="198" xfId="0" applyNumberFormat="1" applyFont="1" applyFill="1" applyBorder="1" applyAlignment="1" applyProtection="1">
      <alignment horizontal="center" vertical="center" shrinkToFit="1"/>
      <protection hidden="1"/>
    </xf>
    <xf numFmtId="1" fontId="29" fillId="0" borderId="186" xfId="0" applyNumberFormat="1" applyFont="1" applyFill="1" applyBorder="1" applyAlignment="1" applyProtection="1">
      <alignment horizontal="center" vertical="center" shrinkToFit="1"/>
      <protection hidden="1"/>
    </xf>
    <xf numFmtId="1" fontId="29" fillId="0" borderId="241" xfId="0" applyNumberFormat="1" applyFont="1" applyFill="1" applyBorder="1" applyAlignment="1" applyProtection="1">
      <alignment horizontal="center" vertical="center" shrinkToFit="1"/>
      <protection hidden="1"/>
    </xf>
    <xf numFmtId="0" fontId="5" fillId="0" borderId="0" xfId="0" applyFont="1" applyBorder="1" applyAlignment="1" applyProtection="1">
      <alignment horizontal="center" vertical="center" shrinkToFit="1"/>
      <protection hidden="1"/>
    </xf>
    <xf numFmtId="0" fontId="5" fillId="0" borderId="194" xfId="0" applyFont="1" applyBorder="1" applyAlignment="1" applyProtection="1">
      <alignment horizontal="center" vertical="center" shrinkToFit="1"/>
      <protection hidden="1"/>
    </xf>
    <xf numFmtId="1" fontId="29" fillId="0" borderId="197" xfId="0" applyNumberFormat="1" applyFont="1" applyFill="1" applyBorder="1" applyAlignment="1" applyProtection="1">
      <alignment horizontal="center" vertical="center" shrinkToFit="1"/>
      <protection hidden="1"/>
    </xf>
    <xf numFmtId="1" fontId="29" fillId="0" borderId="183" xfId="0" applyNumberFormat="1" applyFont="1" applyFill="1" applyBorder="1" applyAlignment="1" applyProtection="1">
      <alignment horizontal="center" vertical="center" shrinkToFit="1"/>
      <protection hidden="1"/>
    </xf>
    <xf numFmtId="1" fontId="29" fillId="0" borderId="256" xfId="0" applyNumberFormat="1" applyFont="1" applyFill="1" applyBorder="1" applyAlignment="1" applyProtection="1">
      <alignment horizontal="center" vertical="center" shrinkToFit="1"/>
      <protection hidden="1"/>
    </xf>
    <xf numFmtId="1" fontId="29" fillId="50" borderId="196" xfId="0" applyNumberFormat="1" applyFont="1" applyFill="1" applyBorder="1" applyAlignment="1" applyProtection="1">
      <alignment horizontal="center" vertical="center" shrinkToFit="1"/>
      <protection hidden="1"/>
    </xf>
    <xf numFmtId="1" fontId="29" fillId="50" borderId="0" xfId="0" applyNumberFormat="1" applyFont="1" applyFill="1" applyBorder="1" applyAlignment="1" applyProtection="1">
      <alignment horizontal="center" vertical="center" shrinkToFit="1"/>
      <protection hidden="1"/>
    </xf>
    <xf numFmtId="1" fontId="29" fillId="50" borderId="194" xfId="0" applyNumberFormat="1" applyFont="1" applyFill="1" applyBorder="1" applyAlignment="1" applyProtection="1">
      <alignment horizontal="center" vertical="center" shrinkToFit="1"/>
      <protection hidden="1"/>
    </xf>
    <xf numFmtId="1" fontId="15" fillId="0" borderId="200" xfId="0" applyNumberFormat="1" applyFont="1" applyFill="1" applyBorder="1" applyAlignment="1" applyProtection="1">
      <alignment horizontal="center" vertical="center" shrinkToFit="1"/>
      <protection hidden="1"/>
    </xf>
    <xf numFmtId="1" fontId="15" fillId="0" borderId="193" xfId="0" applyNumberFormat="1" applyFont="1" applyFill="1" applyBorder="1" applyAlignment="1" applyProtection="1">
      <alignment horizontal="center" vertical="center" shrinkToFit="1"/>
      <protection hidden="1"/>
    </xf>
    <xf numFmtId="1" fontId="15" fillId="0" borderId="215" xfId="0" applyNumberFormat="1" applyFont="1" applyFill="1" applyBorder="1" applyAlignment="1" applyProtection="1">
      <alignment horizontal="center" vertical="center" shrinkToFit="1"/>
      <protection hidden="1"/>
    </xf>
    <xf numFmtId="1" fontId="15" fillId="0" borderId="199" xfId="0" applyNumberFormat="1" applyFont="1" applyFill="1" applyBorder="1" applyAlignment="1" applyProtection="1">
      <alignment horizontal="center" vertical="center" shrinkToFit="1"/>
      <protection hidden="1"/>
    </xf>
    <xf numFmtId="1" fontId="15" fillId="0" borderId="201" xfId="0" applyNumberFormat="1" applyFont="1" applyFill="1" applyBorder="1" applyAlignment="1" applyProtection="1">
      <alignment horizontal="center" vertical="center" shrinkToFit="1"/>
      <protection hidden="1"/>
    </xf>
    <xf numFmtId="1" fontId="15" fillId="0" borderId="253" xfId="0" applyNumberFormat="1" applyFont="1" applyFill="1" applyBorder="1" applyAlignment="1" applyProtection="1">
      <alignment horizontal="center" vertical="center" shrinkToFit="1"/>
      <protection hidden="1"/>
    </xf>
    <xf numFmtId="0" fontId="5" fillId="52" borderId="204" xfId="0" applyFont="1" applyFill="1" applyBorder="1" applyAlignment="1" applyProtection="1">
      <alignment horizontal="center" vertical="center" wrapText="1"/>
      <protection hidden="1"/>
    </xf>
    <xf numFmtId="0" fontId="5" fillId="52" borderId="254" xfId="0" applyFont="1" applyFill="1" applyBorder="1" applyAlignment="1" applyProtection="1">
      <alignment horizontal="center" vertical="center" wrapText="1"/>
      <protection hidden="1"/>
    </xf>
    <xf numFmtId="0" fontId="5" fillId="52" borderId="204" xfId="0" applyFont="1" applyFill="1" applyBorder="1" applyAlignment="1" applyProtection="1">
      <alignment horizontal="center" vertical="center"/>
      <protection hidden="1"/>
    </xf>
    <xf numFmtId="0" fontId="5" fillId="52" borderId="254" xfId="0" applyFont="1" applyFill="1" applyBorder="1" applyAlignment="1" applyProtection="1">
      <alignment horizontal="center" vertical="center"/>
      <protection hidden="1"/>
    </xf>
    <xf numFmtId="1" fontId="0" fillId="4" borderId="265" xfId="0" applyNumberFormat="1" applyFill="1" applyBorder="1" applyAlignment="1" applyProtection="1">
      <alignment horizontal="center" vertical="center" shrinkToFit="1"/>
      <protection hidden="1"/>
    </xf>
    <xf numFmtId="1" fontId="0" fillId="4" borderId="213" xfId="0" applyNumberFormat="1" applyFill="1" applyBorder="1" applyAlignment="1" applyProtection="1">
      <alignment horizontal="center" vertical="center" shrinkToFit="1"/>
      <protection hidden="1"/>
    </xf>
    <xf numFmtId="0" fontId="0" fillId="0" borderId="5" xfId="0" applyFill="1" applyBorder="1" applyAlignment="1" applyProtection="1">
      <alignment horizontal="left" vertical="center"/>
      <protection hidden="1"/>
    </xf>
    <xf numFmtId="0" fontId="0" fillId="0" borderId="0" xfId="0" applyFill="1" applyBorder="1" applyAlignment="1" applyProtection="1">
      <alignment horizontal="left" vertical="center"/>
      <protection hidden="1"/>
    </xf>
    <xf numFmtId="0" fontId="0" fillId="0" borderId="24" xfId="0" applyFill="1" applyBorder="1" applyAlignment="1" applyProtection="1">
      <alignment horizontal="left" vertical="center"/>
      <protection hidden="1"/>
    </xf>
    <xf numFmtId="0" fontId="5" fillId="52" borderId="257" xfId="0" applyFont="1" applyFill="1" applyBorder="1" applyAlignment="1" applyProtection="1">
      <alignment horizontal="center" vertical="center"/>
      <protection hidden="1"/>
    </xf>
    <xf numFmtId="0" fontId="5" fillId="52" borderId="214" xfId="0" applyFont="1" applyFill="1" applyBorder="1" applyAlignment="1" applyProtection="1">
      <alignment horizontal="center" vertical="center"/>
      <protection hidden="1"/>
    </xf>
    <xf numFmtId="0" fontId="5" fillId="45" borderId="50" xfId="0" applyFont="1" applyFill="1" applyBorder="1" applyAlignment="1" applyProtection="1">
      <alignment horizontal="center" vertical="center"/>
      <protection hidden="1"/>
    </xf>
    <xf numFmtId="0" fontId="5" fillId="45" borderId="31" xfId="0" applyFont="1" applyFill="1" applyBorder="1" applyAlignment="1" applyProtection="1">
      <alignment horizontal="center" vertical="center"/>
      <protection hidden="1"/>
    </xf>
    <xf numFmtId="0" fontId="7" fillId="43" borderId="193" xfId="0" applyFont="1" applyFill="1" applyBorder="1" applyAlignment="1" applyProtection="1">
      <alignment horizontal="center" vertical="center"/>
      <protection hidden="1"/>
    </xf>
    <xf numFmtId="0" fontId="7" fillId="43" borderId="215" xfId="0" applyFont="1" applyFill="1" applyBorder="1" applyAlignment="1" applyProtection="1">
      <alignment horizontal="center" vertical="center"/>
      <protection hidden="1"/>
    </xf>
    <xf numFmtId="0" fontId="7" fillId="43" borderId="203" xfId="0" applyFont="1" applyFill="1" applyBorder="1" applyAlignment="1" applyProtection="1">
      <alignment horizontal="center" vertical="center"/>
      <protection hidden="1"/>
    </xf>
    <xf numFmtId="0" fontId="7" fillId="52" borderId="189" xfId="0" applyFont="1" applyFill="1" applyBorder="1" applyAlignment="1" applyProtection="1">
      <alignment horizontal="center" vertical="center"/>
      <protection hidden="1"/>
    </xf>
    <xf numFmtId="0" fontId="29" fillId="60" borderId="81" xfId="0" applyFont="1" applyFill="1" applyBorder="1" applyAlignment="1" applyProtection="1">
      <alignment horizontal="center"/>
      <protection locked="0"/>
    </xf>
    <xf numFmtId="0" fontId="29" fillId="60" borderId="80" xfId="0" applyFont="1" applyFill="1" applyBorder="1" applyAlignment="1" applyProtection="1">
      <alignment horizontal="center"/>
      <protection locked="0"/>
    </xf>
    <xf numFmtId="0" fontId="29" fillId="60" borderId="133" xfId="0" applyFont="1" applyFill="1" applyBorder="1" applyAlignment="1" applyProtection="1">
      <alignment horizontal="center"/>
      <protection locked="0"/>
    </xf>
    <xf numFmtId="0" fontId="7" fillId="43" borderId="260" xfId="0" applyFont="1" applyFill="1" applyBorder="1" applyAlignment="1" applyProtection="1">
      <alignment horizontal="center" vertical="center"/>
      <protection hidden="1"/>
    </xf>
    <xf numFmtId="0" fontId="7" fillId="43" borderId="235" xfId="0" applyFont="1" applyFill="1" applyBorder="1" applyAlignment="1" applyProtection="1">
      <alignment horizontal="center" vertical="center"/>
      <protection hidden="1"/>
    </xf>
    <xf numFmtId="0" fontId="12" fillId="0" borderId="245" xfId="0" applyFont="1" applyBorder="1" applyAlignment="1" applyProtection="1">
      <alignment horizontal="left" vertical="center"/>
      <protection hidden="1"/>
    </xf>
    <xf numFmtId="0" fontId="12" fillId="0" borderId="193" xfId="0" applyFont="1" applyBorder="1" applyAlignment="1" applyProtection="1">
      <alignment horizontal="left" vertical="center"/>
      <protection hidden="1"/>
    </xf>
    <xf numFmtId="0" fontId="12" fillId="0" borderId="215" xfId="0" applyFont="1" applyBorder="1" applyAlignment="1" applyProtection="1">
      <alignment horizontal="left" vertical="center"/>
      <protection hidden="1"/>
    </xf>
    <xf numFmtId="0" fontId="5" fillId="60" borderId="131" xfId="0" applyFont="1" applyFill="1" applyBorder="1" applyAlignment="1" applyProtection="1">
      <alignment horizontal="center" vertical="center"/>
      <protection locked="0"/>
    </xf>
    <xf numFmtId="0" fontId="5" fillId="60" borderId="136" xfId="0" applyFont="1" applyFill="1" applyBorder="1" applyAlignment="1" applyProtection="1">
      <alignment horizontal="center" vertical="center"/>
      <protection locked="0"/>
    </xf>
    <xf numFmtId="0" fontId="5" fillId="60" borderId="118" xfId="0" applyFont="1" applyFill="1" applyBorder="1" applyAlignment="1" applyProtection="1">
      <alignment horizontal="center" vertical="center"/>
      <protection locked="0"/>
    </xf>
    <xf numFmtId="1" fontId="12" fillId="0" borderId="194" xfId="0" applyNumberFormat="1" applyFont="1" applyBorder="1" applyAlignment="1" applyProtection="1">
      <alignment horizontal="center" vertical="center" shrinkToFit="1"/>
      <protection hidden="1"/>
    </xf>
    <xf numFmtId="1" fontId="8" fillId="0" borderId="64" xfId="0" applyNumberFormat="1" applyFont="1" applyFill="1" applyBorder="1" applyAlignment="1" applyProtection="1">
      <alignment horizontal="center" vertical="center"/>
      <protection hidden="1"/>
    </xf>
    <xf numFmtId="1" fontId="8" fillId="0" borderId="113" xfId="0" applyNumberFormat="1" applyFont="1" applyFill="1" applyBorder="1" applyAlignment="1" applyProtection="1">
      <alignment horizontal="center" vertical="center"/>
      <protection hidden="1"/>
    </xf>
    <xf numFmtId="0" fontId="8" fillId="0" borderId="0" xfId="0" applyFont="1" applyBorder="1" applyAlignment="1" applyProtection="1">
      <alignment horizontal="right" vertical="center"/>
      <protection hidden="1"/>
    </xf>
    <xf numFmtId="0" fontId="8" fillId="0" borderId="0" xfId="0" applyFont="1" applyAlignment="1" applyProtection="1">
      <alignment horizontal="left" vertical="center" wrapText="1"/>
    </xf>
    <xf numFmtId="0" fontId="5" fillId="52" borderId="246" xfId="0" applyFont="1" applyFill="1" applyBorder="1" applyAlignment="1" applyProtection="1">
      <alignment horizontal="center" vertical="center" wrapText="1"/>
    </xf>
    <xf numFmtId="0" fontId="5" fillId="52" borderId="229" xfId="0" applyFont="1" applyFill="1" applyBorder="1" applyAlignment="1" applyProtection="1">
      <alignment horizontal="center" vertical="center" wrapText="1"/>
    </xf>
    <xf numFmtId="0" fontId="7" fillId="43" borderId="261" xfId="0" applyFont="1" applyFill="1" applyBorder="1" applyAlignment="1" applyProtection="1">
      <alignment horizontal="center" vertical="center"/>
      <protection hidden="1"/>
    </xf>
    <xf numFmtId="0" fontId="12" fillId="0" borderId="0" xfId="0" applyFont="1" applyFill="1" applyAlignment="1">
      <alignment horizontal="center"/>
    </xf>
    <xf numFmtId="0" fontId="12" fillId="45" borderId="0" xfId="0" applyFont="1" applyFill="1" applyAlignment="1">
      <alignment horizontal="center"/>
    </xf>
    <xf numFmtId="0" fontId="12" fillId="53" borderId="0" xfId="0" applyFont="1" applyFill="1" applyAlignment="1">
      <alignment horizontal="center"/>
    </xf>
    <xf numFmtId="0" fontId="0" fillId="0" borderId="2" xfId="0" applyFill="1" applyBorder="1" applyAlignment="1" applyProtection="1">
      <alignment horizontal="center" vertical="center"/>
      <protection locked="0" hidden="1"/>
    </xf>
    <xf numFmtId="0" fontId="12" fillId="0" borderId="51" xfId="0" applyFont="1" applyFill="1" applyBorder="1" applyAlignment="1" applyProtection="1">
      <alignment horizontal="center" vertical="center"/>
      <protection locked="0" hidden="1"/>
    </xf>
    <xf numFmtId="0" fontId="12" fillId="0" borderId="13" xfId="0" applyFont="1" applyFill="1" applyBorder="1" applyAlignment="1" applyProtection="1">
      <alignment horizontal="center" vertical="center"/>
      <protection locked="0" hidden="1"/>
    </xf>
    <xf numFmtId="0" fontId="12" fillId="0" borderId="21" xfId="0" applyFont="1" applyFill="1" applyBorder="1" applyAlignment="1" applyProtection="1">
      <alignment horizontal="center" vertical="center"/>
      <protection locked="0" hidden="1"/>
    </xf>
    <xf numFmtId="0" fontId="12" fillId="0" borderId="24" xfId="0" applyFont="1" applyFill="1" applyBorder="1" applyAlignment="1">
      <alignment horizontal="center"/>
    </xf>
    <xf numFmtId="0" fontId="5" fillId="0" borderId="231" xfId="0" applyFont="1" applyFill="1" applyBorder="1" applyAlignment="1" applyProtection="1">
      <alignment horizontal="left" vertical="center"/>
    </xf>
    <xf numFmtId="0" fontId="5" fillId="0" borderId="202" xfId="0" applyFont="1" applyFill="1" applyBorder="1" applyAlignment="1" applyProtection="1">
      <alignment horizontal="left" vertical="center"/>
    </xf>
    <xf numFmtId="0" fontId="8" fillId="0" borderId="0" xfId="0" applyFont="1" applyAlignment="1" applyProtection="1">
      <alignment horizontal="right" vertical="center"/>
      <protection hidden="1"/>
    </xf>
    <xf numFmtId="0" fontId="12" fillId="45" borderId="7" xfId="0" applyFont="1" applyFill="1" applyBorder="1" applyAlignment="1" applyProtection="1">
      <alignment horizontal="center"/>
    </xf>
    <xf numFmtId="0" fontId="12" fillId="45" borderId="55" xfId="0" applyFont="1" applyFill="1" applyBorder="1" applyAlignment="1" applyProtection="1">
      <alignment horizontal="center"/>
    </xf>
    <xf numFmtId="0" fontId="4" fillId="45" borderId="95" xfId="0" applyFont="1" applyFill="1" applyBorder="1" applyAlignment="1" applyProtection="1">
      <alignment horizontal="center" wrapText="1"/>
    </xf>
    <xf numFmtId="0" fontId="12" fillId="45" borderId="36" xfId="0" applyFont="1" applyFill="1" applyBorder="1" applyAlignment="1" applyProtection="1">
      <alignment horizontal="center" wrapText="1"/>
    </xf>
    <xf numFmtId="0" fontId="12" fillId="60" borderId="44" xfId="0" applyFont="1" applyFill="1" applyBorder="1" applyAlignment="1" applyProtection="1">
      <alignment horizontal="left" vertical="center"/>
      <protection locked="0"/>
    </xf>
    <xf numFmtId="0" fontId="12" fillId="60" borderId="53" xfId="0" applyFont="1" applyFill="1" applyBorder="1" applyAlignment="1" applyProtection="1">
      <alignment horizontal="left" vertical="center"/>
      <protection locked="0"/>
    </xf>
    <xf numFmtId="0" fontId="4" fillId="60" borderId="81" xfId="0" applyFont="1" applyFill="1" applyBorder="1" applyAlignment="1" applyProtection="1">
      <alignment horizontal="center" vertical="center"/>
      <protection locked="0"/>
    </xf>
    <xf numFmtId="0" fontId="12" fillId="60" borderId="80" xfId="0" applyFont="1" applyFill="1" applyBorder="1" applyAlignment="1" applyProtection="1">
      <alignment horizontal="center" vertical="center"/>
      <protection locked="0"/>
    </xf>
    <xf numFmtId="0" fontId="12" fillId="60" borderId="83" xfId="0" applyFont="1" applyFill="1" applyBorder="1" applyAlignment="1" applyProtection="1">
      <alignment horizontal="center" vertical="center"/>
      <protection locked="0"/>
    </xf>
    <xf numFmtId="0" fontId="5" fillId="0" borderId="130" xfId="0" applyFont="1" applyFill="1" applyBorder="1" applyAlignment="1" applyProtection="1">
      <alignment horizontal="center" vertical="center"/>
    </xf>
    <xf numFmtId="0" fontId="5" fillId="0" borderId="163" xfId="0" applyFont="1" applyFill="1" applyBorder="1" applyAlignment="1" applyProtection="1">
      <alignment horizontal="center" vertical="center"/>
    </xf>
    <xf numFmtId="0" fontId="5" fillId="51" borderId="3" xfId="0" applyFont="1" applyFill="1" applyBorder="1" applyAlignment="1" applyProtection="1">
      <alignment horizontal="center" vertical="center"/>
    </xf>
    <xf numFmtId="0" fontId="5" fillId="51" borderId="29" xfId="0" applyFont="1" applyFill="1" applyBorder="1" applyAlignment="1" applyProtection="1">
      <alignment horizontal="center" vertical="center"/>
    </xf>
    <xf numFmtId="0" fontId="5" fillId="45" borderId="6" xfId="0" applyFont="1" applyFill="1" applyBorder="1" applyAlignment="1" applyProtection="1">
      <alignment horizontal="center" vertical="center"/>
    </xf>
    <xf numFmtId="0" fontId="5" fillId="45" borderId="33" xfId="0" applyFont="1" applyFill="1" applyBorder="1" applyAlignment="1" applyProtection="1">
      <alignment horizontal="center" vertical="center"/>
    </xf>
    <xf numFmtId="0" fontId="86" fillId="51" borderId="6" xfId="0" applyFont="1" applyFill="1" applyBorder="1" applyAlignment="1" applyProtection="1">
      <alignment horizontal="center" vertical="center" wrapText="1"/>
    </xf>
    <xf numFmtId="0" fontId="86" fillId="51" borderId="33" xfId="0" applyFont="1" applyFill="1" applyBorder="1" applyAlignment="1" applyProtection="1">
      <alignment horizontal="center" vertical="center" wrapText="1"/>
    </xf>
    <xf numFmtId="0" fontId="20" fillId="45" borderId="106" xfId="0" applyFont="1" applyFill="1" applyBorder="1" applyAlignment="1" applyProtection="1">
      <alignment horizontal="center" vertical="center" textRotation="90" wrapText="1"/>
    </xf>
    <xf numFmtId="0" fontId="20" fillId="45" borderId="55" xfId="0" applyFont="1" applyFill="1" applyBorder="1" applyAlignment="1" applyProtection="1">
      <alignment horizontal="center" vertical="center" textRotation="90" wrapText="1"/>
    </xf>
    <xf numFmtId="0" fontId="12" fillId="60" borderId="86" xfId="0" applyFont="1" applyFill="1" applyBorder="1" applyAlignment="1" applyProtection="1">
      <alignment horizontal="center" vertical="center"/>
      <protection locked="0"/>
    </xf>
    <xf numFmtId="0" fontId="12" fillId="60" borderId="85" xfId="0" applyFont="1" applyFill="1" applyBorder="1" applyAlignment="1" applyProtection="1">
      <alignment horizontal="center" vertical="center"/>
      <protection locked="0"/>
    </xf>
    <xf numFmtId="0" fontId="12" fillId="60" borderId="88" xfId="0" applyFont="1" applyFill="1" applyBorder="1" applyAlignment="1" applyProtection="1">
      <alignment horizontal="center" vertical="center"/>
      <protection locked="0"/>
    </xf>
    <xf numFmtId="0" fontId="5" fillId="51" borderId="6" xfId="0" applyFont="1" applyFill="1" applyBorder="1" applyAlignment="1" applyProtection="1">
      <alignment horizontal="center" vertical="center"/>
    </xf>
    <xf numFmtId="0" fontId="5" fillId="51" borderId="33" xfId="0" applyFont="1" applyFill="1" applyBorder="1" applyAlignment="1" applyProtection="1">
      <alignment horizontal="center" vertical="center"/>
    </xf>
    <xf numFmtId="1" fontId="5" fillId="60" borderId="104" xfId="0" applyNumberFormat="1" applyFont="1" applyFill="1" applyBorder="1" applyAlignment="1" applyProtection="1">
      <alignment horizontal="center" vertical="center"/>
      <protection locked="0"/>
    </xf>
    <xf numFmtId="1" fontId="5" fillId="60" borderId="143" xfId="0" applyNumberFormat="1" applyFont="1" applyFill="1" applyBorder="1" applyAlignment="1" applyProtection="1">
      <alignment horizontal="center" vertical="center"/>
      <protection locked="0"/>
    </xf>
    <xf numFmtId="0" fontId="84" fillId="51" borderId="3" xfId="0" applyFont="1" applyFill="1" applyBorder="1" applyAlignment="1" applyProtection="1">
      <alignment horizontal="center" vertical="center" wrapText="1"/>
    </xf>
    <xf numFmtId="0" fontId="84" fillId="51" borderId="29" xfId="0" applyFont="1" applyFill="1" applyBorder="1" applyAlignment="1" applyProtection="1">
      <alignment horizontal="center" vertical="center" wrapText="1"/>
    </xf>
    <xf numFmtId="0" fontId="5" fillId="0" borderId="262" xfId="0" applyFont="1" applyBorder="1" applyAlignment="1" applyProtection="1">
      <alignment horizontal="center" vertical="center" shrinkToFit="1"/>
      <protection hidden="1"/>
    </xf>
    <xf numFmtId="1" fontId="0" fillId="60" borderId="120" xfId="0" applyNumberFormat="1" applyFill="1" applyBorder="1" applyAlignment="1" applyProtection="1">
      <alignment horizontal="center"/>
      <protection locked="0"/>
    </xf>
    <xf numFmtId="1" fontId="0" fillId="60" borderId="92" xfId="0" applyNumberFormat="1" applyFill="1" applyBorder="1" applyAlignment="1" applyProtection="1">
      <alignment horizontal="center"/>
      <protection locked="0"/>
    </xf>
    <xf numFmtId="1" fontId="0" fillId="60" borderId="19" xfId="0" applyNumberFormat="1" applyFill="1" applyBorder="1" applyAlignment="1" applyProtection="1">
      <alignment horizontal="center"/>
      <protection locked="0"/>
    </xf>
    <xf numFmtId="1" fontId="0" fillId="60" borderId="167" xfId="0" applyNumberFormat="1" applyFill="1" applyBorder="1" applyAlignment="1" applyProtection="1">
      <alignment horizontal="center"/>
      <protection locked="0"/>
    </xf>
    <xf numFmtId="1" fontId="0" fillId="60" borderId="63" xfId="0" applyNumberFormat="1" applyFill="1" applyBorder="1" applyAlignment="1" applyProtection="1">
      <alignment horizontal="center"/>
      <protection locked="0"/>
    </xf>
    <xf numFmtId="1" fontId="0" fillId="60" borderId="116" xfId="0" applyNumberFormat="1" applyFill="1" applyBorder="1" applyAlignment="1" applyProtection="1">
      <alignment horizontal="center"/>
      <protection locked="0"/>
    </xf>
    <xf numFmtId="1" fontId="0" fillId="60" borderId="168" xfId="0" applyNumberFormat="1" applyFill="1" applyBorder="1" applyAlignment="1" applyProtection="1">
      <alignment horizontal="center"/>
      <protection locked="0"/>
    </xf>
    <xf numFmtId="1" fontId="0" fillId="60" borderId="152" xfId="0" applyNumberFormat="1" applyFill="1" applyBorder="1" applyAlignment="1" applyProtection="1">
      <alignment horizontal="center"/>
      <protection locked="0"/>
    </xf>
    <xf numFmtId="1" fontId="0" fillId="60" borderId="166" xfId="0" applyNumberFormat="1" applyFill="1" applyBorder="1" applyAlignment="1" applyProtection="1">
      <alignment horizontal="center"/>
      <protection locked="0"/>
    </xf>
    <xf numFmtId="0" fontId="15" fillId="0" borderId="1" xfId="0" applyFont="1" applyFill="1" applyBorder="1" applyAlignment="1" applyProtection="1">
      <alignment horizontal="left" vertical="center"/>
    </xf>
    <xf numFmtId="0" fontId="15" fillId="0" borderId="120" xfId="0" applyFont="1" applyFill="1" applyBorder="1" applyAlignment="1" applyProtection="1">
      <alignment horizontal="left" vertical="center"/>
    </xf>
    <xf numFmtId="0" fontId="15" fillId="0" borderId="154" xfId="0" applyFont="1" applyFill="1" applyBorder="1" applyAlignment="1" applyProtection="1">
      <alignment horizontal="left" vertical="center"/>
    </xf>
    <xf numFmtId="0" fontId="15" fillId="0" borderId="163" xfId="0" applyFont="1" applyFill="1" applyBorder="1" applyAlignment="1" applyProtection="1">
      <alignment horizontal="left" vertical="center"/>
    </xf>
    <xf numFmtId="0" fontId="5" fillId="60" borderId="70" xfId="0" applyFont="1" applyFill="1" applyBorder="1" applyAlignment="1" applyProtection="1">
      <alignment horizontal="center" vertical="center"/>
      <protection locked="0"/>
    </xf>
    <xf numFmtId="169" fontId="5" fillId="0" borderId="0" xfId="0" applyNumberFormat="1" applyFont="1" applyFill="1" applyBorder="1" applyAlignment="1" applyProtection="1">
      <alignment horizontal="center" vertical="center"/>
      <protection locked="0" hidden="1"/>
    </xf>
    <xf numFmtId="0" fontId="15" fillId="0" borderId="48" xfId="0" applyFont="1" applyFill="1" applyBorder="1" applyAlignment="1" applyProtection="1">
      <alignment horizontal="left" vertical="center"/>
    </xf>
    <xf numFmtId="0" fontId="15" fillId="0" borderId="52" xfId="0" applyFont="1" applyFill="1" applyBorder="1" applyAlignment="1" applyProtection="1">
      <alignment horizontal="left" vertical="center"/>
    </xf>
    <xf numFmtId="0" fontId="5" fillId="45" borderId="107" xfId="0" applyFont="1" applyFill="1" applyBorder="1" applyAlignment="1" applyProtection="1">
      <alignment horizontal="center" vertical="center"/>
    </xf>
    <xf numFmtId="0" fontId="5" fillId="45" borderId="106" xfId="0" applyFont="1" applyFill="1" applyBorder="1" applyAlignment="1" applyProtection="1">
      <alignment horizontal="center" vertical="center"/>
    </xf>
    <xf numFmtId="0" fontId="5" fillId="45" borderId="6" xfId="0" applyFont="1" applyFill="1" applyBorder="1" applyAlignment="1" applyProtection="1">
      <alignment horizontal="center" vertical="center" wrapText="1"/>
    </xf>
    <xf numFmtId="0" fontId="5" fillId="45" borderId="33" xfId="0" applyFont="1" applyFill="1" applyBorder="1" applyAlignment="1" applyProtection="1">
      <alignment horizontal="center" vertical="center" wrapText="1"/>
    </xf>
    <xf numFmtId="0" fontId="0" fillId="0" borderId="112" xfId="0" applyFill="1" applyBorder="1" applyAlignment="1" applyProtection="1">
      <alignment horizontal="center" vertical="center" wrapText="1"/>
    </xf>
    <xf numFmtId="0" fontId="0" fillId="0" borderId="89" xfId="0" applyFill="1" applyBorder="1" applyAlignment="1" applyProtection="1">
      <alignment horizontal="center" vertical="center" wrapText="1"/>
    </xf>
    <xf numFmtId="1" fontId="12" fillId="0" borderId="1" xfId="42" applyNumberFormat="1" applyFont="1" applyBorder="1" applyAlignment="1" applyProtection="1">
      <alignment horizontal="center" vertical="center" shrinkToFit="1"/>
      <protection hidden="1"/>
    </xf>
    <xf numFmtId="0" fontId="130" fillId="73" borderId="0" xfId="0" applyFont="1" applyFill="1" applyAlignment="1">
      <alignment horizontal="center" wrapText="1"/>
    </xf>
    <xf numFmtId="0" fontId="4" fillId="0" borderId="51" xfId="0" applyFont="1" applyBorder="1" applyAlignment="1" applyProtection="1">
      <alignment horizontal="center" vertical="center"/>
      <protection locked="0" hidden="1"/>
    </xf>
    <xf numFmtId="0" fontId="4" fillId="0" borderId="13" xfId="0" applyFont="1" applyBorder="1" applyAlignment="1" applyProtection="1">
      <alignment horizontal="center" vertical="center"/>
      <protection locked="0" hidden="1"/>
    </xf>
    <xf numFmtId="0" fontId="4" fillId="0" borderId="21" xfId="0" applyFont="1" applyBorder="1" applyAlignment="1" applyProtection="1">
      <alignment horizontal="center" vertical="center"/>
      <protection locked="0" hidden="1"/>
    </xf>
    <xf numFmtId="0" fontId="4" fillId="0" borderId="127" xfId="0" applyFont="1" applyBorder="1" applyAlignment="1" applyProtection="1">
      <alignment horizontal="left" vertical="center"/>
      <protection hidden="1"/>
    </xf>
    <xf numFmtId="0" fontId="4" fillId="0" borderId="128" xfId="0" applyFont="1" applyBorder="1" applyAlignment="1" applyProtection="1">
      <alignment horizontal="left" vertical="center"/>
      <protection hidden="1"/>
    </xf>
    <xf numFmtId="0" fontId="4" fillId="0" borderId="165" xfId="0" applyFont="1" applyBorder="1" applyAlignment="1" applyProtection="1">
      <alignment horizontal="left" vertical="center"/>
      <protection hidden="1"/>
    </xf>
    <xf numFmtId="0" fontId="4" fillId="0" borderId="6" xfId="0" applyFont="1" applyBorder="1" applyAlignment="1" applyProtection="1">
      <alignment horizontal="left" vertical="center"/>
      <protection hidden="1"/>
    </xf>
    <xf numFmtId="0" fontId="4" fillId="0" borderId="7" xfId="0" applyFont="1" applyBorder="1" applyAlignment="1" applyProtection="1">
      <alignment horizontal="left" vertical="center"/>
      <protection hidden="1"/>
    </xf>
    <xf numFmtId="0" fontId="4" fillId="0" borderId="55" xfId="0" applyFont="1" applyBorder="1" applyAlignment="1" applyProtection="1">
      <alignment horizontal="left" vertical="center"/>
      <protection hidden="1"/>
    </xf>
    <xf numFmtId="14" fontId="4" fillId="60" borderId="92" xfId="0" applyNumberFormat="1" applyFont="1" applyFill="1" applyBorder="1" applyAlignment="1" applyProtection="1">
      <alignment horizontal="left" vertical="center"/>
      <protection locked="0"/>
    </xf>
    <xf numFmtId="14" fontId="12" fillId="60" borderId="92" xfId="0" applyNumberFormat="1" applyFont="1" applyFill="1" applyBorder="1" applyAlignment="1" applyProtection="1">
      <alignment horizontal="left" vertical="center"/>
      <protection locked="0"/>
    </xf>
    <xf numFmtId="14" fontId="0" fillId="60" borderId="92" xfId="0" applyNumberFormat="1" applyFill="1" applyBorder="1" applyAlignment="1" applyProtection="1">
      <alignment horizontal="left" vertical="center"/>
      <protection locked="0"/>
    </xf>
    <xf numFmtId="0" fontId="5" fillId="45" borderId="64" xfId="0" applyFont="1" applyFill="1" applyBorder="1" applyAlignment="1">
      <alignment vertical="center"/>
    </xf>
    <xf numFmtId="0" fontId="5" fillId="45" borderId="63" xfId="0" applyFont="1" applyFill="1" applyBorder="1" applyAlignment="1">
      <alignment vertical="center"/>
    </xf>
    <xf numFmtId="0" fontId="5" fillId="45" borderId="116" xfId="0" applyFont="1" applyFill="1" applyBorder="1" applyAlignment="1">
      <alignment vertical="center"/>
    </xf>
    <xf numFmtId="0" fontId="4" fillId="45" borderId="95" xfId="0" applyFont="1" applyFill="1" applyBorder="1" applyAlignment="1" applyProtection="1">
      <alignment horizontal="center" vertical="center" wrapText="1"/>
    </xf>
    <xf numFmtId="0" fontId="4" fillId="45" borderId="25" xfId="0" applyFont="1" applyFill="1" applyBorder="1" applyAlignment="1" applyProtection="1">
      <alignment horizontal="center" vertical="center" wrapText="1"/>
    </xf>
    <xf numFmtId="0" fontId="4" fillId="45" borderId="36" xfId="0" applyFont="1" applyFill="1" applyBorder="1" applyAlignment="1" applyProtection="1">
      <alignment horizontal="center" vertical="center" wrapText="1"/>
    </xf>
    <xf numFmtId="0" fontId="4" fillId="45" borderId="95" xfId="0" applyFont="1" applyFill="1" applyBorder="1" applyAlignment="1" applyProtection="1">
      <alignment horizontal="center" vertical="center" wrapText="1"/>
      <protection hidden="1"/>
    </xf>
    <xf numFmtId="0" fontId="4" fillId="45" borderId="25" xfId="0" applyFont="1" applyFill="1" applyBorder="1" applyAlignment="1" applyProtection="1">
      <alignment horizontal="center" vertical="center" wrapText="1"/>
      <protection hidden="1"/>
    </xf>
    <xf numFmtId="0" fontId="4" fillId="45" borderId="36" xfId="0" applyFont="1" applyFill="1" applyBorder="1" applyAlignment="1" applyProtection="1">
      <alignment horizontal="center" vertical="center" wrapText="1"/>
      <protection hidden="1"/>
    </xf>
    <xf numFmtId="167" fontId="0" fillId="0" borderId="136" xfId="0" applyNumberFormat="1" applyFill="1" applyBorder="1" applyAlignment="1" applyProtection="1">
      <alignment horizontal="center" shrinkToFit="1"/>
    </xf>
    <xf numFmtId="0" fontId="4" fillId="0" borderId="0" xfId="0" applyFont="1" applyAlignment="1">
      <alignment horizontal="center"/>
    </xf>
    <xf numFmtId="0" fontId="0" fillId="0" borderId="0" xfId="0" applyAlignment="1">
      <alignment horizontal="center"/>
    </xf>
    <xf numFmtId="0" fontId="4" fillId="0" borderId="0" xfId="0" applyFont="1" applyBorder="1" applyAlignment="1">
      <alignment horizontal="center"/>
    </xf>
    <xf numFmtId="0" fontId="0" fillId="0" borderId="0" xfId="0" applyBorder="1" applyAlignment="1">
      <alignment horizontal="center"/>
    </xf>
    <xf numFmtId="0" fontId="0" fillId="0" borderId="0" xfId="0" applyFill="1" applyBorder="1" applyAlignment="1">
      <alignment horizontal="center"/>
    </xf>
    <xf numFmtId="0" fontId="4" fillId="0" borderId="52" xfId="0" applyFont="1" applyBorder="1" applyAlignment="1" applyProtection="1">
      <alignment horizontal="center" vertical="center"/>
    </xf>
    <xf numFmtId="0" fontId="4" fillId="0" borderId="53" xfId="0" applyFont="1" applyBorder="1" applyAlignment="1" applyProtection="1">
      <alignment horizontal="center" vertical="center"/>
    </xf>
    <xf numFmtId="0" fontId="15" fillId="0" borderId="4" xfId="0" applyFont="1" applyBorder="1" applyAlignment="1">
      <alignment horizontal="center" vertical="center" wrapText="1"/>
    </xf>
    <xf numFmtId="0" fontId="15" fillId="0" borderId="0" xfId="0" applyFont="1" applyBorder="1" applyAlignment="1">
      <alignment horizontal="center" vertical="center" wrapText="1"/>
    </xf>
    <xf numFmtId="0" fontId="0" fillId="0" borderId="0" xfId="0" applyBorder="1" applyAlignment="1">
      <alignment horizontal="center" vertical="center"/>
    </xf>
    <xf numFmtId="1" fontId="4" fillId="0" borderId="0" xfId="62" applyNumberFormat="1" applyFont="1" applyFill="1" applyBorder="1" applyAlignment="1" applyProtection="1">
      <alignment horizontal="center"/>
    </xf>
    <xf numFmtId="0" fontId="4" fillId="0" borderId="45" xfId="0" applyFont="1" applyBorder="1" applyAlignment="1" applyProtection="1">
      <alignment horizontal="center" vertical="center"/>
    </xf>
    <xf numFmtId="0" fontId="0" fillId="0" borderId="163" xfId="0" applyBorder="1" applyAlignment="1">
      <alignment horizontal="center"/>
    </xf>
    <xf numFmtId="0" fontId="0" fillId="0" borderId="272" xfId="0" applyBorder="1" applyAlignment="1">
      <alignment horizontal="center"/>
    </xf>
    <xf numFmtId="0" fontId="4" fillId="0" borderId="5" xfId="0" applyFont="1" applyBorder="1" applyAlignment="1">
      <alignment horizontal="center"/>
    </xf>
    <xf numFmtId="1" fontId="0" fillId="0" borderId="5" xfId="0" applyNumberFormat="1" applyFill="1" applyBorder="1" applyAlignment="1">
      <alignment horizontal="center"/>
    </xf>
    <xf numFmtId="1" fontId="0" fillId="0" borderId="0" xfId="0" applyNumberFormat="1" applyFill="1" applyBorder="1" applyAlignment="1">
      <alignment horizontal="center"/>
    </xf>
    <xf numFmtId="0" fontId="0" fillId="0" borderId="5" xfId="0" applyFill="1" applyBorder="1" applyAlignment="1">
      <alignment horizontal="center"/>
    </xf>
    <xf numFmtId="0" fontId="0" fillId="0" borderId="167" xfId="0" applyBorder="1" applyAlignment="1">
      <alignment horizontal="center"/>
    </xf>
    <xf numFmtId="0" fontId="0" fillId="0" borderId="63" xfId="0" applyBorder="1" applyAlignment="1">
      <alignment horizontal="center"/>
    </xf>
    <xf numFmtId="0" fontId="0" fillId="0" borderId="130" xfId="0" applyBorder="1" applyAlignment="1">
      <alignment horizontal="center"/>
    </xf>
    <xf numFmtId="0" fontId="0" fillId="0" borderId="116" xfId="0" applyBorder="1" applyAlignment="1">
      <alignment horizontal="center"/>
    </xf>
    <xf numFmtId="0" fontId="0" fillId="0" borderId="52" xfId="0" applyBorder="1" applyAlignment="1">
      <alignment horizontal="center"/>
    </xf>
    <xf numFmtId="0" fontId="0" fillId="0" borderId="54" xfId="0" applyBorder="1" applyAlignment="1">
      <alignment horizontal="center"/>
    </xf>
    <xf numFmtId="0" fontId="0" fillId="0" borderId="53" xfId="0" applyBorder="1" applyAlignment="1">
      <alignment horizontal="center"/>
    </xf>
    <xf numFmtId="0" fontId="0" fillId="0" borderId="120" xfId="0" applyBorder="1" applyAlignment="1">
      <alignment horizontal="center"/>
    </xf>
    <xf numFmtId="0" fontId="0" fillId="0" borderId="92" xfId="0" applyBorder="1" applyAlignment="1">
      <alignment horizontal="center"/>
    </xf>
    <xf numFmtId="0" fontId="0" fillId="60" borderId="356" xfId="0" applyFill="1" applyBorder="1" applyAlignment="1" applyProtection="1">
      <alignment horizontal="center" vertical="center"/>
      <protection locked="0"/>
    </xf>
    <xf numFmtId="0" fontId="0" fillId="60" borderId="98" xfId="0" applyFill="1" applyBorder="1" applyAlignment="1" applyProtection="1">
      <alignment horizontal="center" vertical="center"/>
      <protection locked="0"/>
    </xf>
    <xf numFmtId="0" fontId="0" fillId="60" borderId="301" xfId="0" applyFill="1" applyBorder="1" applyAlignment="1" applyProtection="1">
      <alignment horizontal="center" vertical="center"/>
      <protection locked="0"/>
    </xf>
    <xf numFmtId="0" fontId="0" fillId="60" borderId="302" xfId="0" applyFill="1" applyBorder="1" applyAlignment="1" applyProtection="1">
      <alignment horizontal="center" vertical="center"/>
      <protection locked="0"/>
    </xf>
    <xf numFmtId="0" fontId="0" fillId="60" borderId="311" xfId="0" applyFill="1" applyBorder="1" applyAlignment="1" applyProtection="1">
      <alignment horizontal="center" vertical="center"/>
      <protection locked="0"/>
    </xf>
    <xf numFmtId="0" fontId="0" fillId="60" borderId="310" xfId="0" applyFill="1" applyBorder="1" applyAlignment="1" applyProtection="1">
      <alignment horizontal="center" vertical="center"/>
      <protection locked="0"/>
    </xf>
    <xf numFmtId="0" fontId="0" fillId="0" borderId="107" xfId="0" applyBorder="1" applyAlignment="1">
      <alignment horizontal="center"/>
    </xf>
    <xf numFmtId="0" fontId="0" fillId="0" borderId="106" xfId="0" applyBorder="1" applyAlignment="1">
      <alignment horizontal="center"/>
    </xf>
    <xf numFmtId="0" fontId="0" fillId="0" borderId="50" xfId="0" applyBorder="1" applyAlignment="1">
      <alignment horizontal="center"/>
    </xf>
    <xf numFmtId="0" fontId="0" fillId="0" borderId="24" xfId="0" applyBorder="1" applyAlignment="1">
      <alignment horizontal="center"/>
    </xf>
    <xf numFmtId="0" fontId="0" fillId="0" borderId="60" xfId="0" applyBorder="1" applyAlignment="1">
      <alignment horizontal="center"/>
    </xf>
    <xf numFmtId="0" fontId="0" fillId="0" borderId="55" xfId="0" applyBorder="1" applyAlignment="1">
      <alignment horizontal="center"/>
    </xf>
    <xf numFmtId="0" fontId="0" fillId="60" borderId="128" xfId="0" applyFill="1" applyBorder="1" applyAlignment="1" applyProtection="1">
      <alignment horizontal="center" vertical="center"/>
      <protection locked="0"/>
    </xf>
    <xf numFmtId="0" fontId="0" fillId="60" borderId="312" xfId="0" applyFill="1" applyBorder="1" applyAlignment="1" applyProtection="1">
      <alignment horizontal="center" vertical="center"/>
      <protection locked="0"/>
    </xf>
    <xf numFmtId="0" fontId="4" fillId="0" borderId="294" xfId="0" applyFont="1" applyBorder="1" applyAlignment="1">
      <alignment horizontal="center" wrapText="1"/>
    </xf>
    <xf numFmtId="0" fontId="4" fillId="0" borderId="45" xfId="0" applyFont="1" applyBorder="1" applyAlignment="1">
      <alignment horizontal="center" wrapText="1"/>
    </xf>
    <xf numFmtId="0" fontId="5" fillId="0" borderId="64" xfId="0" applyFont="1" applyBorder="1" applyAlignment="1">
      <alignment horizontal="center"/>
    </xf>
    <xf numFmtId="0" fontId="5" fillId="0" borderId="63" xfId="0" applyFont="1" applyBorder="1" applyAlignment="1">
      <alignment horizontal="center"/>
    </xf>
    <xf numFmtId="0" fontId="5" fillId="0" borderId="113" xfId="0" applyFont="1" applyBorder="1" applyAlignment="1">
      <alignment horizontal="center"/>
    </xf>
    <xf numFmtId="0" fontId="5" fillId="0" borderId="30" xfId="0" applyFont="1" applyBorder="1" applyAlignment="1">
      <alignment horizontal="center" vertical="center"/>
    </xf>
    <xf numFmtId="0" fontId="5" fillId="0" borderId="32" xfId="0" applyFont="1" applyBorder="1" applyAlignment="1">
      <alignment horizontal="center" vertical="center"/>
    </xf>
    <xf numFmtId="0" fontId="5" fillId="0" borderId="34" xfId="0" applyFont="1" applyBorder="1" applyAlignment="1">
      <alignment horizontal="center" vertical="center"/>
    </xf>
    <xf numFmtId="0" fontId="5" fillId="0" borderId="3" xfId="0" applyFont="1" applyBorder="1" applyAlignment="1">
      <alignment horizontal="center"/>
    </xf>
    <xf numFmtId="0" fontId="5" fillId="0" borderId="4" xfId="0" applyFont="1" applyBorder="1" applyAlignment="1">
      <alignment horizontal="center"/>
    </xf>
    <xf numFmtId="0" fontId="5" fillId="0" borderId="29" xfId="0" applyFont="1" applyBorder="1" applyAlignment="1">
      <alignment horizontal="center"/>
    </xf>
    <xf numFmtId="0" fontId="0" fillId="0" borderId="64" xfId="0" applyBorder="1" applyAlignment="1">
      <alignment horizontal="center"/>
    </xf>
    <xf numFmtId="0" fontId="0" fillId="0" borderId="113" xfId="0" applyBorder="1" applyAlignment="1">
      <alignment horizontal="center"/>
    </xf>
    <xf numFmtId="0" fontId="0" fillId="0" borderId="341" xfId="0" applyBorder="1" applyAlignment="1">
      <alignment horizontal="center"/>
    </xf>
    <xf numFmtId="0" fontId="16" fillId="0" borderId="0" xfId="0" applyFont="1" applyAlignment="1" applyProtection="1">
      <alignment horizontal="left" wrapText="1"/>
      <protection hidden="1"/>
    </xf>
    <xf numFmtId="0" fontId="4" fillId="0" borderId="294" xfId="0" applyFont="1" applyBorder="1" applyAlignment="1">
      <alignment horizontal="center" vertical="center"/>
    </xf>
    <xf numFmtId="0" fontId="4" fillId="0" borderId="45" xfId="0" applyFont="1" applyBorder="1" applyAlignment="1">
      <alignment horizontal="center" vertical="center"/>
    </xf>
    <xf numFmtId="0" fontId="4" fillId="0" borderId="295" xfId="0" applyFont="1" applyBorder="1" applyAlignment="1">
      <alignment horizontal="center" vertical="center"/>
    </xf>
    <xf numFmtId="0" fontId="0" fillId="60" borderId="298" xfId="0" applyFill="1" applyBorder="1" applyAlignment="1" applyProtection="1">
      <alignment horizontal="center" vertical="center"/>
      <protection locked="0"/>
    </xf>
    <xf numFmtId="0" fontId="0" fillId="60" borderId="150" xfId="0" applyFill="1" applyBorder="1" applyAlignment="1" applyProtection="1">
      <alignment horizontal="center" vertical="center"/>
      <protection locked="0"/>
    </xf>
    <xf numFmtId="0" fontId="0" fillId="60" borderId="297" xfId="0" applyFill="1" applyBorder="1" applyAlignment="1" applyProtection="1">
      <alignment horizontal="center" vertical="center"/>
      <protection locked="0"/>
    </xf>
    <xf numFmtId="0" fontId="12" fillId="0" borderId="0" xfId="0" applyFont="1" applyAlignment="1" applyProtection="1">
      <alignment horizontal="center"/>
      <protection locked="0" hidden="1"/>
    </xf>
    <xf numFmtId="0" fontId="5" fillId="0" borderId="3" xfId="0" applyFont="1" applyFill="1" applyBorder="1" applyAlignment="1">
      <alignment horizontal="center"/>
    </xf>
    <xf numFmtId="0" fontId="5" fillId="0" borderId="4" xfId="0" applyFont="1" applyFill="1" applyBorder="1" applyAlignment="1">
      <alignment horizontal="center"/>
    </xf>
    <xf numFmtId="0" fontId="5" fillId="0" borderId="29" xfId="0" applyFont="1" applyFill="1" applyBorder="1" applyAlignment="1">
      <alignment horizontal="center"/>
    </xf>
    <xf numFmtId="0" fontId="5" fillId="0" borderId="331" xfId="0" applyFont="1" applyBorder="1" applyAlignment="1">
      <alignment horizontal="center"/>
    </xf>
    <xf numFmtId="0" fontId="5" fillId="0" borderId="0" xfId="0" applyFont="1" applyAlignment="1">
      <alignment horizontal="center"/>
    </xf>
    <xf numFmtId="0" fontId="5" fillId="0" borderId="31" xfId="0" applyFont="1" applyBorder="1" applyAlignment="1">
      <alignment horizontal="center"/>
    </xf>
    <xf numFmtId="0" fontId="4" fillId="0" borderId="294" xfId="0" applyFont="1" applyBorder="1" applyAlignment="1">
      <alignment horizontal="center" vertical="center" wrapText="1"/>
    </xf>
    <xf numFmtId="0" fontId="4" fillId="0" borderId="45" xfId="0" applyFont="1" applyBorder="1" applyAlignment="1">
      <alignment horizontal="center" vertical="center" wrapText="1"/>
    </xf>
    <xf numFmtId="0" fontId="4" fillId="0" borderId="294" xfId="0" applyFont="1" applyBorder="1" applyAlignment="1" applyProtection="1">
      <alignment horizontal="center" vertical="center" wrapText="1"/>
      <protection hidden="1"/>
    </xf>
    <xf numFmtId="0" fontId="4" fillId="0" borderId="295" xfId="0" applyFont="1" applyBorder="1" applyAlignment="1" applyProtection="1">
      <alignment horizontal="center" vertical="center" wrapText="1"/>
      <protection hidden="1"/>
    </xf>
    <xf numFmtId="0" fontId="4" fillId="0" borderId="311" xfId="0" applyFont="1" applyBorder="1" applyAlignment="1">
      <alignment horizontal="center" vertical="center"/>
    </xf>
    <xf numFmtId="0" fontId="0" fillId="0" borderId="312" xfId="0" applyBorder="1" applyAlignment="1">
      <alignment horizontal="center" vertical="center"/>
    </xf>
    <xf numFmtId="0" fontId="0" fillId="0" borderId="310" xfId="0" applyBorder="1" applyAlignment="1">
      <alignment horizontal="center" vertical="center"/>
    </xf>
    <xf numFmtId="0" fontId="4" fillId="0" borderId="5" xfId="0" applyFont="1" applyBorder="1" applyAlignment="1">
      <alignment horizontal="center" vertical="center" textRotation="90" wrapText="1"/>
    </xf>
    <xf numFmtId="0" fontId="0" fillId="0" borderId="5" xfId="0" applyBorder="1" applyAlignment="1">
      <alignment horizontal="center" vertical="center" textRotation="90" wrapText="1"/>
    </xf>
    <xf numFmtId="0" fontId="4" fillId="0" borderId="294" xfId="0" applyFont="1" applyBorder="1"/>
    <xf numFmtId="0" fontId="4" fillId="0" borderId="45" xfId="0" applyFont="1" applyBorder="1"/>
    <xf numFmtId="0" fontId="4" fillId="0" borderId="295" xfId="0" applyFont="1" applyBorder="1"/>
    <xf numFmtId="0" fontId="4" fillId="0" borderId="298" xfId="0" applyFont="1" applyBorder="1" applyAlignment="1">
      <alignment horizontal="center" vertical="center"/>
    </xf>
    <xf numFmtId="0" fontId="0" fillId="0" borderId="150" xfId="0" applyBorder="1" applyAlignment="1">
      <alignment horizontal="center" vertical="center"/>
    </xf>
    <xf numFmtId="0" fontId="0" fillId="0" borderId="297" xfId="0" applyBorder="1" applyAlignment="1">
      <alignment horizontal="center" vertical="center"/>
    </xf>
    <xf numFmtId="0" fontId="0" fillId="60" borderId="303" xfId="0" applyFill="1" applyBorder="1" applyAlignment="1" applyProtection="1">
      <alignment horizontal="center" vertical="center"/>
      <protection locked="0"/>
    </xf>
    <xf numFmtId="0" fontId="0" fillId="60" borderId="158" xfId="0" applyFill="1" applyBorder="1" applyAlignment="1" applyProtection="1">
      <alignment horizontal="center" vertical="center"/>
      <protection locked="0"/>
    </xf>
    <xf numFmtId="0" fontId="0" fillId="60" borderId="300" xfId="0" applyFill="1" applyBorder="1" applyAlignment="1" applyProtection="1">
      <alignment horizontal="center" vertical="center"/>
      <protection locked="0"/>
    </xf>
    <xf numFmtId="0" fontId="5" fillId="0" borderId="328" xfId="0" applyFont="1" applyBorder="1" applyAlignment="1">
      <alignment horizontal="center" vertical="center"/>
    </xf>
    <xf numFmtId="0" fontId="5" fillId="0" borderId="76" xfId="0" applyFont="1" applyBorder="1" applyAlignment="1">
      <alignment horizontal="center" vertical="center"/>
    </xf>
    <xf numFmtId="0" fontId="5" fillId="0" borderId="329" xfId="0" applyFont="1" applyBorder="1" applyAlignment="1">
      <alignment horizontal="center" vertical="center"/>
    </xf>
    <xf numFmtId="0" fontId="5" fillId="0" borderId="75" xfId="0" applyFont="1" applyBorder="1" applyAlignment="1">
      <alignment horizontal="center" vertical="center"/>
    </xf>
    <xf numFmtId="0" fontId="5" fillId="0" borderId="327" xfId="0" applyFont="1" applyBorder="1" applyAlignment="1">
      <alignment horizontal="center" vertical="center"/>
    </xf>
    <xf numFmtId="0" fontId="5" fillId="0" borderId="333" xfId="0" applyFont="1" applyBorder="1" applyAlignment="1">
      <alignment horizontal="center" vertical="center"/>
    </xf>
    <xf numFmtId="0" fontId="5" fillId="0" borderId="330" xfId="0" applyFont="1" applyBorder="1" applyAlignment="1">
      <alignment horizontal="center" vertical="center"/>
    </xf>
    <xf numFmtId="0" fontId="5" fillId="0" borderId="334" xfId="0" applyFont="1" applyBorder="1" applyAlignment="1">
      <alignment horizontal="center" vertical="center"/>
    </xf>
    <xf numFmtId="0" fontId="5" fillId="0" borderId="332" xfId="0" applyFont="1" applyBorder="1" applyAlignment="1">
      <alignment horizontal="center" vertical="center"/>
    </xf>
    <xf numFmtId="0" fontId="5" fillId="0" borderId="336" xfId="0" applyFont="1" applyBorder="1" applyAlignment="1">
      <alignment horizontal="center" vertical="center"/>
    </xf>
    <xf numFmtId="0" fontId="4" fillId="0" borderId="64" xfId="0" applyFont="1" applyBorder="1" applyAlignment="1">
      <alignment horizontal="center"/>
    </xf>
    <xf numFmtId="0" fontId="4" fillId="0" borderId="63" xfId="0" applyFont="1" applyBorder="1" applyAlignment="1">
      <alignment horizontal="center"/>
    </xf>
    <xf numFmtId="0" fontId="4" fillId="0" borderId="113" xfId="0" applyFont="1" applyBorder="1" applyAlignment="1">
      <alignment horizontal="center"/>
    </xf>
    <xf numFmtId="0" fontId="7" fillId="0" borderId="0" xfId="0" applyFont="1" applyFill="1" applyBorder="1" applyAlignment="1" applyProtection="1">
      <alignment horizontal="left" vertical="center"/>
    </xf>
    <xf numFmtId="167" fontId="4" fillId="0" borderId="151" xfId="0" applyNumberFormat="1" applyFont="1" applyBorder="1" applyAlignment="1">
      <alignment horizontal="center" vertical="center"/>
    </xf>
    <xf numFmtId="167" fontId="4" fillId="0" borderId="152" xfId="0" applyNumberFormat="1" applyFont="1" applyBorder="1" applyAlignment="1">
      <alignment horizontal="center" vertical="center"/>
    </xf>
    <xf numFmtId="167" fontId="4" fillId="0" borderId="319" xfId="0" applyNumberFormat="1" applyFont="1" applyBorder="1" applyAlignment="1">
      <alignment horizontal="center" vertical="center"/>
    </xf>
    <xf numFmtId="167" fontId="4" fillId="0" borderId="153" xfId="0" applyNumberFormat="1" applyFont="1" applyBorder="1" applyAlignment="1">
      <alignment horizontal="center" vertical="center"/>
    </xf>
    <xf numFmtId="167" fontId="4" fillId="0" borderId="127" xfId="0" applyNumberFormat="1" applyFont="1" applyBorder="1" applyAlignment="1">
      <alignment horizontal="center" vertical="center"/>
    </xf>
    <xf numFmtId="167" fontId="4" fillId="0" borderId="128" xfId="0" applyNumberFormat="1" applyFont="1" applyBorder="1" applyAlignment="1">
      <alignment horizontal="center" vertical="center"/>
    </xf>
    <xf numFmtId="167" fontId="4" fillId="0" borderId="301" xfId="0" applyNumberFormat="1" applyFont="1" applyBorder="1" applyAlignment="1">
      <alignment horizontal="center" vertical="center"/>
    </xf>
    <xf numFmtId="167" fontId="4" fillId="0" borderId="129" xfId="0" applyNumberFormat="1" applyFont="1" applyBorder="1" applyAlignment="1">
      <alignment horizontal="center" vertical="center"/>
    </xf>
    <xf numFmtId="0" fontId="5" fillId="0" borderId="3" xfId="0" applyFont="1" applyBorder="1" applyAlignment="1">
      <alignment horizontal="center" vertical="center"/>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70" fillId="41" borderId="3" xfId="0" applyFont="1" applyFill="1" applyBorder="1" applyAlignment="1">
      <alignment horizontal="center" vertical="center" wrapText="1"/>
    </xf>
    <xf numFmtId="0" fontId="70" fillId="41" borderId="4" xfId="0" applyFont="1" applyFill="1" applyBorder="1" applyAlignment="1">
      <alignment horizontal="center" vertical="center" wrapText="1"/>
    </xf>
    <xf numFmtId="0" fontId="70" fillId="41" borderId="29" xfId="0" applyFont="1" applyFill="1" applyBorder="1" applyAlignment="1">
      <alignment horizontal="center" vertical="center" wrapText="1"/>
    </xf>
    <xf numFmtId="0" fontId="70" fillId="41" borderId="5" xfId="0" applyFont="1" applyFill="1" applyBorder="1" applyAlignment="1">
      <alignment horizontal="center" vertical="center" wrapText="1"/>
    </xf>
    <xf numFmtId="0" fontId="70" fillId="41" borderId="0" xfId="0" applyFont="1" applyFill="1" applyAlignment="1">
      <alignment horizontal="center" vertical="center" wrapText="1"/>
    </xf>
    <xf numFmtId="0" fontId="70" fillId="41" borderId="31" xfId="0" applyFont="1" applyFill="1" applyBorder="1" applyAlignment="1">
      <alignment horizontal="center" vertical="center" wrapText="1"/>
    </xf>
    <xf numFmtId="0" fontId="20" fillId="0" borderId="30" xfId="0" applyFont="1" applyBorder="1" applyAlignment="1">
      <alignment horizontal="center" vertical="center" wrapText="1"/>
    </xf>
    <xf numFmtId="0" fontId="20" fillId="0" borderId="32" xfId="0" applyFont="1" applyBorder="1" applyAlignment="1">
      <alignment horizontal="center" vertical="center" wrapText="1"/>
    </xf>
    <xf numFmtId="0" fontId="20" fillId="0" borderId="34" xfId="0" applyFont="1" applyBorder="1" applyAlignment="1">
      <alignment horizontal="center" vertical="center" wrapText="1"/>
    </xf>
    <xf numFmtId="0" fontId="5" fillId="41" borderId="4" xfId="0" applyFont="1" applyFill="1" applyBorder="1" applyAlignment="1">
      <alignment horizontal="center"/>
    </xf>
    <xf numFmtId="0" fontId="5" fillId="41" borderId="29" xfId="0" applyFont="1" applyFill="1" applyBorder="1" applyAlignment="1">
      <alignment horizontal="center"/>
    </xf>
    <xf numFmtId="0" fontId="70" fillId="41" borderId="0" xfId="0" applyFont="1" applyFill="1" applyAlignment="1">
      <alignment horizontal="center"/>
    </xf>
    <xf numFmtId="0" fontId="70" fillId="41" borderId="50" xfId="0" applyFont="1" applyFill="1" applyBorder="1" applyAlignment="1">
      <alignment horizontal="center"/>
    </xf>
    <xf numFmtId="0" fontId="70" fillId="41" borderId="24" xfId="0" applyFont="1" applyFill="1" applyBorder="1" applyAlignment="1">
      <alignment horizontal="center"/>
    </xf>
    <xf numFmtId="0" fontId="70" fillId="41" borderId="31" xfId="0" applyFont="1" applyFill="1" applyBorder="1" applyAlignment="1">
      <alignment horizontal="center"/>
    </xf>
    <xf numFmtId="0" fontId="70" fillId="41" borderId="6" xfId="0" applyFont="1" applyFill="1" applyBorder="1" applyAlignment="1">
      <alignment horizontal="center" vertical="center" wrapText="1"/>
    </xf>
    <xf numFmtId="0" fontId="70" fillId="41" borderId="7" xfId="0" applyFont="1" applyFill="1" applyBorder="1" applyAlignment="1">
      <alignment horizontal="center" vertical="center" wrapText="1"/>
    </xf>
    <xf numFmtId="0" fontId="70" fillId="41" borderId="335" xfId="0" applyFont="1" applyFill="1" applyBorder="1" applyAlignment="1">
      <alignment horizontal="center" vertical="center" wrapText="1"/>
    </xf>
    <xf numFmtId="0" fontId="70" fillId="41" borderId="33" xfId="0" applyFont="1" applyFill="1" applyBorder="1" applyAlignment="1">
      <alignment horizontal="center" vertical="center" wrapText="1"/>
    </xf>
    <xf numFmtId="0" fontId="5" fillId="0" borderId="4" xfId="0" applyFont="1" applyBorder="1" applyAlignment="1">
      <alignment horizontal="center" vertical="center"/>
    </xf>
    <xf numFmtId="0" fontId="5" fillId="0" borderId="29" xfId="0" applyFont="1" applyBorder="1" applyAlignment="1">
      <alignment horizontal="center" vertical="center"/>
    </xf>
    <xf numFmtId="0" fontId="5" fillId="0" borderId="0" xfId="0" applyFont="1" applyAlignment="1">
      <alignment horizontal="center" vertical="center"/>
    </xf>
    <xf numFmtId="0" fontId="5" fillId="0" borderId="31" xfId="0" applyFont="1" applyBorder="1" applyAlignment="1">
      <alignment horizontal="center" vertical="center"/>
    </xf>
    <xf numFmtId="0" fontId="5" fillId="0" borderId="33" xfId="0" applyFont="1" applyBorder="1" applyAlignment="1">
      <alignment horizontal="center" vertical="center"/>
    </xf>
    <xf numFmtId="0" fontId="0" fillId="0" borderId="19" xfId="0" applyBorder="1" applyAlignment="1">
      <alignment horizontal="center"/>
    </xf>
    <xf numFmtId="0" fontId="0" fillId="60" borderId="346" xfId="0" applyFill="1" applyBorder="1" applyAlignment="1" applyProtection="1">
      <alignment horizontal="center" vertical="center"/>
      <protection locked="0"/>
    </xf>
    <xf numFmtId="0" fontId="0" fillId="60" borderId="165" xfId="0" applyFill="1" applyBorder="1" applyAlignment="1" applyProtection="1">
      <alignment horizontal="center" vertical="center"/>
      <protection locked="0"/>
    </xf>
    <xf numFmtId="167" fontId="4" fillId="0" borderId="348" xfId="0" applyNumberFormat="1" applyFont="1" applyBorder="1" applyAlignment="1">
      <alignment horizontal="center" vertical="center"/>
    </xf>
    <xf numFmtId="167" fontId="4" fillId="0" borderId="312" xfId="0" applyNumberFormat="1" applyFont="1" applyBorder="1" applyAlignment="1">
      <alignment horizontal="center" vertical="center"/>
    </xf>
    <xf numFmtId="167" fontId="4" fillId="0" borderId="311" xfId="0" applyNumberFormat="1" applyFont="1" applyBorder="1" applyAlignment="1">
      <alignment horizontal="center" vertical="center"/>
    </xf>
    <xf numFmtId="167" fontId="4" fillId="0" borderId="349" xfId="0" applyNumberFormat="1" applyFont="1" applyBorder="1" applyAlignment="1">
      <alignment horizontal="center" vertical="center"/>
    </xf>
    <xf numFmtId="0" fontId="4" fillId="0" borderId="0" xfId="0" applyFont="1" applyAlignment="1" applyProtection="1">
      <alignment horizontal="center"/>
      <protection locked="0"/>
    </xf>
    <xf numFmtId="0" fontId="4" fillId="0" borderId="25" xfId="0" applyFont="1" applyBorder="1" applyAlignment="1" applyProtection="1">
      <alignment horizontal="center" vertical="center" wrapText="1"/>
      <protection hidden="1"/>
    </xf>
    <xf numFmtId="0" fontId="0" fillId="0" borderId="0" xfId="0" applyAlignment="1" applyProtection="1">
      <alignment horizontal="center"/>
      <protection locked="0"/>
    </xf>
    <xf numFmtId="0" fontId="4" fillId="45" borderId="3" xfId="0" applyFont="1" applyFill="1" applyBorder="1" applyAlignment="1" applyProtection="1">
      <alignment horizontal="center" vertical="center" wrapText="1"/>
      <protection hidden="1"/>
    </xf>
    <xf numFmtId="0" fontId="4" fillId="45" borderId="4" xfId="0" applyFont="1" applyFill="1" applyBorder="1" applyAlignment="1" applyProtection="1">
      <alignment horizontal="center" vertical="center" wrapText="1"/>
      <protection hidden="1"/>
    </xf>
    <xf numFmtId="0" fontId="4" fillId="45" borderId="29" xfId="0" applyFont="1" applyFill="1" applyBorder="1" applyAlignment="1" applyProtection="1">
      <alignment horizontal="center" vertical="center" wrapText="1"/>
      <protection hidden="1"/>
    </xf>
    <xf numFmtId="0" fontId="4" fillId="45" borderId="5" xfId="0" applyFont="1" applyFill="1" applyBorder="1" applyAlignment="1" applyProtection="1">
      <alignment horizontal="center" vertical="center" wrapText="1"/>
      <protection hidden="1"/>
    </xf>
    <xf numFmtId="0" fontId="4" fillId="45" borderId="0" xfId="0" applyFont="1" applyFill="1" applyBorder="1" applyAlignment="1" applyProtection="1">
      <alignment horizontal="center" vertical="center" wrapText="1"/>
      <protection hidden="1"/>
    </xf>
    <xf numFmtId="0" fontId="4" fillId="45" borderId="31" xfId="0" applyFont="1" applyFill="1" applyBorder="1" applyAlignment="1" applyProtection="1">
      <alignment horizontal="center" vertical="center" wrapText="1"/>
      <protection hidden="1"/>
    </xf>
    <xf numFmtId="0" fontId="4" fillId="45" borderId="6" xfId="0" applyFont="1" applyFill="1" applyBorder="1" applyAlignment="1" applyProtection="1">
      <alignment horizontal="center" vertical="center" wrapText="1"/>
      <protection hidden="1"/>
    </xf>
    <xf numFmtId="0" fontId="4" fillId="45" borderId="7" xfId="0" applyFont="1" applyFill="1" applyBorder="1" applyAlignment="1" applyProtection="1">
      <alignment horizontal="center" vertical="center" wrapText="1"/>
      <protection hidden="1"/>
    </xf>
    <xf numFmtId="0" fontId="4" fillId="45" borderId="33" xfId="0" applyFont="1" applyFill="1" applyBorder="1" applyAlignment="1" applyProtection="1">
      <alignment horizontal="center" vertical="center" wrapText="1"/>
      <protection hidden="1"/>
    </xf>
    <xf numFmtId="0" fontId="8" fillId="45" borderId="50" xfId="0" applyFont="1" applyFill="1" applyBorder="1" applyAlignment="1" applyProtection="1">
      <alignment horizontal="center" vertical="center"/>
      <protection hidden="1"/>
    </xf>
    <xf numFmtId="0" fontId="8" fillId="45" borderId="31" xfId="0" applyFont="1" applyFill="1" applyBorder="1" applyAlignment="1" applyProtection="1">
      <alignment horizontal="center" vertical="center"/>
      <protection hidden="1"/>
    </xf>
    <xf numFmtId="0" fontId="4" fillId="45" borderId="60" xfId="0" applyFont="1" applyFill="1" applyBorder="1" applyAlignment="1" applyProtection="1">
      <alignment horizontal="center" vertical="center"/>
      <protection hidden="1"/>
    </xf>
    <xf numFmtId="0" fontId="4" fillId="45" borderId="33" xfId="0" applyFont="1" applyFill="1" applyBorder="1" applyAlignment="1" applyProtection="1">
      <alignment horizontal="center" vertical="center"/>
      <protection hidden="1"/>
    </xf>
    <xf numFmtId="0" fontId="4" fillId="45" borderId="22" xfId="0" applyFont="1" applyFill="1" applyBorder="1" applyAlignment="1" applyProtection="1">
      <alignment horizontal="center" vertical="center" wrapText="1"/>
      <protection hidden="1"/>
    </xf>
    <xf numFmtId="0" fontId="0" fillId="0" borderId="25" xfId="0"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4" fillId="0" borderId="50" xfId="0" applyFont="1" applyBorder="1" applyAlignment="1" applyProtection="1">
      <alignment horizontal="center" vertical="center" wrapText="1"/>
      <protection hidden="1"/>
    </xf>
    <xf numFmtId="0" fontId="4" fillId="0" borderId="58" xfId="0" applyFont="1" applyBorder="1" applyAlignment="1" applyProtection="1">
      <alignment horizontal="center" vertical="center" wrapText="1"/>
      <protection hidden="1"/>
    </xf>
    <xf numFmtId="0" fontId="0" fillId="0" borderId="0" xfId="0" applyBorder="1" applyAlignment="1" applyProtection="1">
      <alignment horizontal="center" vertical="center" wrapText="1"/>
      <protection hidden="1"/>
    </xf>
    <xf numFmtId="0" fontId="0" fillId="0" borderId="2" xfId="0" applyBorder="1" applyAlignment="1" applyProtection="1">
      <alignment horizontal="center" vertical="center" wrapText="1"/>
      <protection hidden="1"/>
    </xf>
    <xf numFmtId="0" fontId="4" fillId="45" borderId="40" xfId="0" applyFont="1" applyFill="1" applyBorder="1" applyAlignment="1" applyProtection="1">
      <alignment horizontal="center" vertical="center" wrapText="1"/>
      <protection hidden="1"/>
    </xf>
    <xf numFmtId="0" fontId="4" fillId="45" borderId="43" xfId="0" applyFont="1" applyFill="1" applyBorder="1" applyAlignment="1" applyProtection="1">
      <alignment horizontal="center" vertical="center" wrapText="1"/>
      <protection hidden="1"/>
    </xf>
    <xf numFmtId="0" fontId="4" fillId="45" borderId="8" xfId="0" applyFont="1" applyFill="1" applyBorder="1" applyAlignment="1" applyProtection="1">
      <alignment horizontal="center" vertical="center" wrapText="1"/>
      <protection hidden="1"/>
    </xf>
    <xf numFmtId="0" fontId="4" fillId="47" borderId="74" xfId="0" applyFont="1" applyFill="1" applyBorder="1" applyAlignment="1" applyProtection="1">
      <alignment horizontal="center" vertical="center"/>
      <protection hidden="1"/>
    </xf>
    <xf numFmtId="0" fontId="0" fillId="47" borderId="85" xfId="0" applyFill="1" applyBorder="1" applyAlignment="1" applyProtection="1">
      <alignment horizontal="center" vertical="center"/>
      <protection hidden="1"/>
    </xf>
    <xf numFmtId="0" fontId="0" fillId="47" borderId="88" xfId="0" applyFill="1" applyBorder="1" applyAlignment="1" applyProtection="1">
      <alignment horizontal="center" vertical="center"/>
      <protection hidden="1"/>
    </xf>
    <xf numFmtId="0" fontId="0" fillId="47" borderId="74" xfId="0" applyFill="1" applyBorder="1" applyAlignment="1" applyProtection="1">
      <alignment horizontal="center" vertical="center"/>
      <protection hidden="1"/>
    </xf>
    <xf numFmtId="0" fontId="0" fillId="60" borderId="131" xfId="0" applyFill="1" applyBorder="1" applyAlignment="1" applyProtection="1">
      <alignment horizontal="center" vertical="center"/>
      <protection locked="0"/>
    </xf>
    <xf numFmtId="0" fontId="0" fillId="60" borderId="136" xfId="0" applyFill="1" applyBorder="1" applyAlignment="1" applyProtection="1">
      <alignment horizontal="center" vertical="center"/>
      <protection locked="0"/>
    </xf>
    <xf numFmtId="0" fontId="0" fillId="60" borderId="118" xfId="0" applyFill="1" applyBorder="1" applyAlignment="1" applyProtection="1">
      <alignment horizontal="center" vertical="center"/>
      <protection locked="0"/>
    </xf>
    <xf numFmtId="1" fontId="0" fillId="0" borderId="0" xfId="0" applyNumberFormat="1" applyAlignment="1" applyProtection="1">
      <alignment horizontal="center"/>
      <protection hidden="1"/>
    </xf>
    <xf numFmtId="0" fontId="5" fillId="45" borderId="12" xfId="0" applyFont="1" applyFill="1" applyBorder="1" applyAlignment="1" applyProtection="1">
      <alignment horizontal="center" vertical="center" wrapText="1"/>
      <protection hidden="1"/>
    </xf>
    <xf numFmtId="0" fontId="5" fillId="45" borderId="13" xfId="0" applyFont="1" applyFill="1" applyBorder="1" applyAlignment="1" applyProtection="1">
      <alignment horizontal="center" vertical="center"/>
      <protection hidden="1"/>
    </xf>
    <xf numFmtId="0" fontId="5" fillId="45" borderId="35" xfId="0" applyFont="1" applyFill="1" applyBorder="1" applyAlignment="1" applyProtection="1">
      <alignment horizontal="center" vertical="center"/>
      <protection hidden="1"/>
    </xf>
    <xf numFmtId="0" fontId="5" fillId="45" borderId="6" xfId="0" applyFont="1" applyFill="1" applyBorder="1" applyAlignment="1" applyProtection="1">
      <alignment horizontal="center" vertical="center"/>
      <protection hidden="1"/>
    </xf>
    <xf numFmtId="0" fontId="5" fillId="45" borderId="7" xfId="0" applyFont="1" applyFill="1" applyBorder="1" applyAlignment="1" applyProtection="1">
      <alignment horizontal="center" vertical="center"/>
      <protection hidden="1"/>
    </xf>
    <xf numFmtId="0" fontId="5" fillId="45" borderId="33" xfId="0" applyFont="1" applyFill="1" applyBorder="1" applyAlignment="1" applyProtection="1">
      <alignment horizontal="center" vertical="center"/>
      <protection hidden="1"/>
    </xf>
    <xf numFmtId="0" fontId="0" fillId="45" borderId="60" xfId="0" applyFill="1" applyBorder="1" applyAlignment="1" applyProtection="1">
      <alignment horizontal="center" vertical="center"/>
      <protection hidden="1"/>
    </xf>
    <xf numFmtId="0" fontId="0" fillId="45" borderId="33" xfId="0" applyFill="1" applyBorder="1" applyAlignment="1" applyProtection="1">
      <alignment horizontal="center" vertical="center"/>
      <protection hidden="1"/>
    </xf>
    <xf numFmtId="0" fontId="4" fillId="0" borderId="0" xfId="0" applyFont="1" applyAlignment="1" applyProtection="1">
      <alignment horizontal="left" vertical="center"/>
      <protection hidden="1"/>
    </xf>
    <xf numFmtId="0" fontId="4" fillId="0" borderId="44" xfId="0" applyFont="1" applyBorder="1" applyAlignment="1" applyProtection="1">
      <alignment horizontal="center"/>
      <protection hidden="1"/>
    </xf>
    <xf numFmtId="0" fontId="4" fillId="0" borderId="54" xfId="0" applyFont="1" applyBorder="1" applyAlignment="1" applyProtection="1">
      <alignment horizontal="center"/>
      <protection hidden="1"/>
    </xf>
    <xf numFmtId="0" fontId="4" fillId="0" borderId="45" xfId="0" applyFont="1" applyBorder="1" applyAlignment="1" applyProtection="1">
      <alignment horizontal="center"/>
      <protection hidden="1"/>
    </xf>
    <xf numFmtId="0" fontId="0" fillId="0" borderId="44" xfId="0" applyBorder="1" applyAlignment="1" applyProtection="1">
      <alignment horizontal="center"/>
      <protection hidden="1"/>
    </xf>
    <xf numFmtId="0" fontId="0" fillId="0" borderId="45" xfId="0" applyBorder="1" applyAlignment="1" applyProtection="1">
      <alignment horizontal="center"/>
      <protection hidden="1"/>
    </xf>
    <xf numFmtId="0" fontId="0" fillId="0" borderId="54" xfId="0" applyBorder="1" applyAlignment="1" applyProtection="1">
      <alignment horizontal="center"/>
      <protection hidden="1"/>
    </xf>
    <xf numFmtId="0" fontId="4" fillId="0" borderId="0" xfId="0" applyFont="1" applyAlignment="1" applyProtection="1">
      <alignment horizontal="left"/>
      <protection hidden="1"/>
    </xf>
    <xf numFmtId="0" fontId="4" fillId="45" borderId="0" xfId="0" applyFont="1" applyFill="1" applyAlignment="1" applyProtection="1">
      <alignment horizontal="center" vertical="center"/>
      <protection hidden="1"/>
    </xf>
    <xf numFmtId="0" fontId="0" fillId="45" borderId="0" xfId="0" applyFill="1" applyAlignment="1" applyProtection="1">
      <alignment horizontal="center" vertical="center"/>
      <protection hidden="1"/>
    </xf>
    <xf numFmtId="0" fontId="4" fillId="45" borderId="51" xfId="0" applyFont="1" applyFill="1" applyBorder="1" applyAlignment="1" applyProtection="1">
      <alignment horizontal="center" vertical="center" wrapText="1"/>
      <protection hidden="1"/>
    </xf>
    <xf numFmtId="0" fontId="4" fillId="45" borderId="35" xfId="0" applyFont="1" applyFill="1" applyBorder="1" applyAlignment="1" applyProtection="1">
      <alignment horizontal="center" vertical="center" wrapText="1"/>
      <protection hidden="1"/>
    </xf>
    <xf numFmtId="0" fontId="4" fillId="45" borderId="50" xfId="0" applyFont="1" applyFill="1" applyBorder="1" applyAlignment="1" applyProtection="1">
      <alignment horizontal="center" vertical="center" wrapText="1"/>
      <protection hidden="1"/>
    </xf>
    <xf numFmtId="0" fontId="4" fillId="45" borderId="42" xfId="0" applyFont="1" applyFill="1" applyBorder="1" applyAlignment="1" applyProtection="1">
      <alignment horizontal="center" vertical="center" wrapText="1"/>
      <protection hidden="1"/>
    </xf>
    <xf numFmtId="0" fontId="4" fillId="45" borderId="9" xfId="0" applyFont="1" applyFill="1" applyBorder="1" applyAlignment="1" applyProtection="1">
      <alignment horizontal="center" vertical="center" wrapText="1"/>
      <protection hidden="1"/>
    </xf>
    <xf numFmtId="0" fontId="4" fillId="45" borderId="37" xfId="0" applyFont="1" applyFill="1" applyBorder="1" applyAlignment="1" applyProtection="1">
      <alignment horizontal="center" vertical="center" wrapText="1"/>
      <protection hidden="1"/>
    </xf>
    <xf numFmtId="0" fontId="4" fillId="50" borderId="40" xfId="0" applyFont="1" applyFill="1" applyBorder="1" applyAlignment="1" applyProtection="1">
      <alignment horizontal="center" vertical="center" wrapText="1"/>
      <protection hidden="1"/>
    </xf>
    <xf numFmtId="0" fontId="4" fillId="50" borderId="43" xfId="0" applyFont="1" applyFill="1" applyBorder="1" applyAlignment="1" applyProtection="1">
      <alignment horizontal="center" vertical="center" wrapText="1"/>
      <protection hidden="1"/>
    </xf>
    <xf numFmtId="0" fontId="4" fillId="50" borderId="8" xfId="0" applyFont="1" applyFill="1" applyBorder="1" applyAlignment="1" applyProtection="1">
      <alignment horizontal="center" vertical="center" wrapText="1"/>
      <protection hidden="1"/>
    </xf>
    <xf numFmtId="0" fontId="4" fillId="50" borderId="22" xfId="0" applyFont="1" applyFill="1" applyBorder="1" applyAlignment="1" applyProtection="1">
      <alignment horizontal="center" vertical="center" wrapText="1"/>
      <protection hidden="1"/>
    </xf>
    <xf numFmtId="0" fontId="4" fillId="50" borderId="25" xfId="0" applyFont="1" applyFill="1" applyBorder="1" applyAlignment="1" applyProtection="1">
      <alignment horizontal="center" vertical="center" wrapText="1"/>
      <protection hidden="1"/>
    </xf>
    <xf numFmtId="0" fontId="4" fillId="50" borderId="36" xfId="0" applyFont="1" applyFill="1" applyBorder="1" applyAlignment="1" applyProtection="1">
      <alignment horizontal="center" vertical="center" wrapText="1"/>
      <protection hidden="1"/>
    </xf>
    <xf numFmtId="0" fontId="4" fillId="45" borderId="13" xfId="0" applyFont="1" applyFill="1" applyBorder="1" applyAlignment="1" applyProtection="1">
      <alignment horizontal="center" vertical="center" wrapText="1"/>
      <protection hidden="1"/>
    </xf>
    <xf numFmtId="0" fontId="4" fillId="50" borderId="51" xfId="0" applyFont="1" applyFill="1" applyBorder="1" applyAlignment="1" applyProtection="1">
      <alignment horizontal="center" vertical="center" wrapText="1"/>
      <protection hidden="1"/>
    </xf>
    <xf numFmtId="0" fontId="4" fillId="50" borderId="13" xfId="0" applyFont="1" applyFill="1" applyBorder="1" applyAlignment="1" applyProtection="1">
      <alignment horizontal="center" vertical="center" wrapText="1"/>
      <protection hidden="1"/>
    </xf>
    <xf numFmtId="0" fontId="4" fillId="50" borderId="50" xfId="0" applyFont="1" applyFill="1" applyBorder="1" applyAlignment="1" applyProtection="1">
      <alignment horizontal="center" vertical="center" wrapText="1"/>
      <protection hidden="1"/>
    </xf>
    <xf numFmtId="0" fontId="4" fillId="50" borderId="0" xfId="0" applyFont="1" applyFill="1" applyBorder="1" applyAlignment="1" applyProtection="1">
      <alignment horizontal="center" vertical="center" wrapText="1"/>
      <protection hidden="1"/>
    </xf>
    <xf numFmtId="0" fontId="4" fillId="45" borderId="42" xfId="0" applyFont="1" applyFill="1" applyBorder="1" applyAlignment="1" applyProtection="1">
      <alignment horizontal="center" vertical="center" textRotation="90" wrapText="1"/>
      <protection hidden="1"/>
    </xf>
    <xf numFmtId="0" fontId="4" fillId="45" borderId="9" xfId="0" applyFont="1" applyFill="1" applyBorder="1" applyAlignment="1" applyProtection="1">
      <alignment horizontal="center" vertical="center" textRotation="90" wrapText="1"/>
      <protection hidden="1"/>
    </xf>
    <xf numFmtId="0" fontId="4" fillId="45" borderId="37" xfId="0" applyFont="1" applyFill="1" applyBorder="1" applyAlignment="1" applyProtection="1">
      <alignment horizontal="center" vertical="center" textRotation="90" wrapText="1"/>
      <protection hidden="1"/>
    </xf>
    <xf numFmtId="0" fontId="4" fillId="45" borderId="6" xfId="0" applyFont="1" applyFill="1" applyBorder="1" applyAlignment="1" applyProtection="1">
      <alignment horizontal="center"/>
      <protection hidden="1"/>
    </xf>
    <xf numFmtId="0" fontId="4" fillId="45" borderId="7" xfId="0" applyFont="1" applyFill="1" applyBorder="1" applyAlignment="1" applyProtection="1">
      <alignment horizontal="center"/>
      <protection hidden="1"/>
    </xf>
    <xf numFmtId="0" fontId="0" fillId="0" borderId="50" xfId="0" applyBorder="1" applyAlignment="1" applyProtection="1">
      <alignment horizontal="center" vertical="center" wrapText="1"/>
      <protection hidden="1"/>
    </xf>
    <xf numFmtId="0" fontId="0" fillId="0" borderId="58" xfId="0" applyBorder="1" applyAlignment="1" applyProtection="1">
      <alignment horizontal="center" vertical="center" wrapText="1"/>
      <protection hidden="1"/>
    </xf>
    <xf numFmtId="0" fontId="0" fillId="0" borderId="51" xfId="0" applyBorder="1" applyAlignment="1" applyProtection="1">
      <alignment horizontal="center"/>
      <protection hidden="1"/>
    </xf>
    <xf numFmtId="0" fontId="0" fillId="0" borderId="13" xfId="0" applyBorder="1" applyAlignment="1" applyProtection="1">
      <alignment horizontal="center"/>
      <protection hidden="1"/>
    </xf>
    <xf numFmtId="0" fontId="0" fillId="0" borderId="21" xfId="0" applyBorder="1" applyAlignment="1" applyProtection="1">
      <alignment horizontal="center"/>
      <protection hidden="1"/>
    </xf>
    <xf numFmtId="0" fontId="0" fillId="0" borderId="50" xfId="0"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4" fillId="0" borderId="0" xfId="0" applyFont="1" applyBorder="1" applyAlignment="1" applyProtection="1">
      <alignment horizontal="center" vertical="center" wrapText="1"/>
      <protection hidden="1"/>
    </xf>
    <xf numFmtId="0" fontId="4" fillId="0" borderId="24" xfId="0" applyFont="1" applyBorder="1" applyAlignment="1" applyProtection="1">
      <alignment horizontal="center" vertical="center" wrapText="1"/>
      <protection hidden="1"/>
    </xf>
    <xf numFmtId="0" fontId="0" fillId="62" borderId="0" xfId="0" applyFill="1" applyBorder="1" applyAlignment="1" applyProtection="1">
      <alignment horizontal="center" vertical="center"/>
    </xf>
    <xf numFmtId="0" fontId="4" fillId="0" borderId="51" xfId="0" applyFont="1" applyBorder="1" applyAlignment="1">
      <alignment horizontal="center"/>
    </xf>
    <xf numFmtId="0" fontId="0" fillId="0" borderId="13" xfId="0" applyBorder="1" applyAlignment="1">
      <alignment horizontal="center"/>
    </xf>
    <xf numFmtId="0" fontId="0" fillId="0" borderId="21" xfId="0" applyBorder="1" applyAlignment="1">
      <alignment horizontal="center"/>
    </xf>
    <xf numFmtId="0" fontId="0" fillId="0" borderId="51" xfId="0" applyBorder="1" applyAlignment="1">
      <alignment horizontal="center"/>
    </xf>
    <xf numFmtId="0" fontId="4" fillId="0" borderId="25" xfId="0" applyFont="1" applyBorder="1" applyAlignment="1">
      <alignment horizontal="center" vertical="center" wrapText="1"/>
    </xf>
    <xf numFmtId="0" fontId="0" fillId="0" borderId="25" xfId="0" applyBorder="1" applyAlignment="1">
      <alignment horizontal="center" vertical="center" wrapText="1"/>
    </xf>
    <xf numFmtId="0" fontId="0" fillId="0" borderId="17" xfId="0" applyBorder="1" applyAlignment="1" applyProtection="1">
      <alignment horizontal="center" vertical="center" wrapText="1"/>
      <protection hidden="1"/>
    </xf>
    <xf numFmtId="0" fontId="0" fillId="0" borderId="25" xfId="0" applyFont="1" applyBorder="1" applyAlignment="1" applyProtection="1">
      <alignment horizontal="center" vertical="center" wrapText="1"/>
      <protection hidden="1"/>
    </xf>
    <xf numFmtId="0" fontId="0" fillId="62" borderId="0" xfId="0" applyFill="1" applyAlignment="1">
      <alignment horizontal="center" vertical="center"/>
    </xf>
    <xf numFmtId="0" fontId="4" fillId="45" borderId="5" xfId="0" applyFont="1" applyFill="1" applyBorder="1" applyAlignment="1" applyProtection="1">
      <alignment horizontal="center" vertical="center"/>
      <protection hidden="1"/>
    </xf>
    <xf numFmtId="0" fontId="4" fillId="45" borderId="31" xfId="0" applyFont="1" applyFill="1" applyBorder="1" applyAlignment="1" applyProtection="1">
      <alignment horizontal="center" vertical="center"/>
      <protection hidden="1"/>
    </xf>
    <xf numFmtId="167" fontId="0" fillId="0" borderId="86" xfId="0" applyNumberFormat="1" applyFill="1" applyBorder="1" applyAlignment="1" applyProtection="1">
      <alignment horizontal="center" vertical="center" shrinkToFit="1"/>
      <protection hidden="1"/>
    </xf>
    <xf numFmtId="167" fontId="0" fillId="0" borderId="85" xfId="0" applyNumberFormat="1" applyFill="1" applyBorder="1" applyAlignment="1" applyProtection="1">
      <alignment horizontal="center" vertical="center" shrinkToFit="1"/>
      <protection hidden="1"/>
    </xf>
    <xf numFmtId="0" fontId="4" fillId="0" borderId="64" xfId="0" applyFont="1" applyBorder="1" applyAlignment="1" applyProtection="1">
      <alignment horizontal="center"/>
      <protection hidden="1"/>
    </xf>
    <xf numFmtId="0" fontId="0" fillId="0" borderId="63" xfId="0" applyBorder="1" applyAlignment="1" applyProtection="1">
      <alignment horizontal="center"/>
      <protection hidden="1"/>
    </xf>
    <xf numFmtId="0" fontId="0" fillId="0" borderId="113" xfId="0" applyBorder="1" applyAlignment="1" applyProtection="1">
      <alignment horizontal="center"/>
      <protection hidden="1"/>
    </xf>
    <xf numFmtId="0" fontId="4" fillId="0" borderId="51" xfId="0" applyFont="1" applyBorder="1" applyAlignment="1" applyProtection="1">
      <alignment horizontal="center" vertical="center"/>
      <protection hidden="1"/>
    </xf>
    <xf numFmtId="0" fontId="4" fillId="0" borderId="13" xfId="0" applyFont="1" applyBorder="1" applyAlignment="1" applyProtection="1">
      <alignment horizontal="center" vertical="center"/>
      <protection hidden="1"/>
    </xf>
    <xf numFmtId="0" fontId="4" fillId="0" borderId="21" xfId="0" applyFont="1" applyBorder="1" applyAlignment="1" applyProtection="1">
      <alignment horizontal="center" vertical="center"/>
      <protection hidden="1"/>
    </xf>
    <xf numFmtId="0" fontId="4" fillId="0" borderId="50" xfId="0" applyFont="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4" fillId="0" borderId="24" xfId="0" applyFont="1" applyBorder="1" applyAlignment="1" applyProtection="1">
      <alignment horizontal="center" vertical="center"/>
      <protection hidden="1"/>
    </xf>
    <xf numFmtId="0" fontId="4" fillId="0" borderId="58" xfId="0" applyFont="1" applyBorder="1" applyAlignment="1" applyProtection="1">
      <alignment horizontal="center" vertical="center"/>
      <protection hidden="1"/>
    </xf>
    <xf numFmtId="0" fontId="4" fillId="0" borderId="2" xfId="0" applyFont="1" applyBorder="1" applyAlignment="1" applyProtection="1">
      <alignment horizontal="center" vertical="center"/>
      <protection hidden="1"/>
    </xf>
    <xf numFmtId="0" fontId="4" fillId="0" borderId="16" xfId="0" applyFont="1" applyBorder="1" applyAlignment="1" applyProtection="1">
      <alignment horizontal="center" vertical="center"/>
      <protection hidden="1"/>
    </xf>
    <xf numFmtId="1" fontId="0" fillId="0" borderId="104" xfId="0" applyNumberFormat="1" applyFill="1" applyBorder="1" applyAlignment="1" applyProtection="1">
      <alignment horizontal="center" vertical="center"/>
      <protection hidden="1"/>
    </xf>
    <xf numFmtId="1" fontId="0" fillId="0" borderId="288" xfId="0" applyNumberFormat="1" applyFill="1" applyBorder="1" applyAlignment="1" applyProtection="1">
      <alignment horizontal="center" vertical="center"/>
      <protection hidden="1"/>
    </xf>
    <xf numFmtId="0" fontId="0" fillId="60" borderId="86" xfId="0" applyFill="1" applyBorder="1" applyAlignment="1" applyProtection="1">
      <alignment horizontal="center" vertical="center"/>
      <protection locked="0"/>
    </xf>
    <xf numFmtId="0" fontId="0" fillId="60" borderId="135" xfId="0" applyFill="1" applyBorder="1" applyAlignment="1" applyProtection="1">
      <alignment horizontal="center" vertical="center"/>
      <protection locked="0"/>
    </xf>
    <xf numFmtId="0" fontId="4" fillId="50" borderId="35" xfId="0" applyFont="1" applyFill="1" applyBorder="1" applyAlignment="1" applyProtection="1">
      <alignment horizontal="center" vertical="center" textRotation="90" wrapText="1"/>
      <protection hidden="1"/>
    </xf>
    <xf numFmtId="0" fontId="4" fillId="50" borderId="31" xfId="0" applyFont="1" applyFill="1" applyBorder="1" applyAlignment="1" applyProtection="1">
      <alignment horizontal="center" vertical="center" textRotation="90" wrapText="1"/>
      <protection hidden="1"/>
    </xf>
    <xf numFmtId="0" fontId="4" fillId="50" borderId="33" xfId="0" applyFont="1" applyFill="1" applyBorder="1" applyAlignment="1" applyProtection="1">
      <alignment horizontal="center" vertical="center" textRotation="90" wrapText="1"/>
      <protection hidden="1"/>
    </xf>
    <xf numFmtId="0" fontId="4" fillId="4" borderId="44" xfId="0" applyFont="1" applyFill="1" applyBorder="1" applyAlignment="1" applyProtection="1">
      <alignment horizontal="center"/>
      <protection hidden="1"/>
    </xf>
    <xf numFmtId="0" fontId="4" fillId="4" borderId="45" xfId="0" applyFont="1" applyFill="1" applyBorder="1" applyAlignment="1" applyProtection="1">
      <alignment horizontal="center"/>
      <protection hidden="1"/>
    </xf>
    <xf numFmtId="0" fontId="4" fillId="4" borderId="54" xfId="0" applyFont="1" applyFill="1" applyBorder="1" applyAlignment="1" applyProtection="1">
      <alignment horizontal="center"/>
      <protection hidden="1"/>
    </xf>
    <xf numFmtId="0" fontId="4" fillId="45" borderId="3" xfId="0" applyFont="1" applyFill="1" applyBorder="1" applyAlignment="1" applyProtection="1">
      <alignment horizontal="center" vertical="center"/>
      <protection hidden="1"/>
    </xf>
    <xf numFmtId="0" fontId="4" fillId="45" borderId="4" xfId="0" applyFont="1" applyFill="1" applyBorder="1" applyAlignment="1" applyProtection="1">
      <alignment horizontal="center" vertical="center"/>
      <protection hidden="1"/>
    </xf>
    <xf numFmtId="0" fontId="4" fillId="45" borderId="29" xfId="0" applyFont="1" applyFill="1" applyBorder="1" applyAlignment="1" applyProtection="1">
      <alignment horizontal="center" vertical="center"/>
      <protection hidden="1"/>
    </xf>
    <xf numFmtId="0" fontId="4" fillId="45" borderId="0" xfId="0" applyFont="1" applyFill="1" applyBorder="1" applyAlignment="1" applyProtection="1">
      <alignment horizontal="center" vertical="center"/>
      <protection hidden="1"/>
    </xf>
    <xf numFmtId="0" fontId="4" fillId="45" borderId="60" xfId="0" applyFont="1" applyFill="1" applyBorder="1" applyAlignment="1" applyProtection="1">
      <alignment horizontal="center"/>
      <protection hidden="1"/>
    </xf>
    <xf numFmtId="0" fontId="4" fillId="45" borderId="33" xfId="0" applyFont="1" applyFill="1" applyBorder="1" applyAlignment="1" applyProtection="1">
      <alignment horizontal="center"/>
      <protection hidden="1"/>
    </xf>
    <xf numFmtId="167" fontId="4" fillId="0" borderId="142" xfId="0" applyNumberFormat="1" applyFont="1" applyFill="1" applyBorder="1" applyAlignment="1" applyProtection="1">
      <alignment horizontal="center" vertical="center" shrinkToFit="1"/>
      <protection hidden="1"/>
    </xf>
    <xf numFmtId="167" fontId="4" fillId="0" borderId="143" xfId="0" applyNumberFormat="1" applyFont="1" applyFill="1" applyBorder="1" applyAlignment="1" applyProtection="1">
      <alignment horizontal="center" vertical="center" shrinkToFit="1"/>
      <protection hidden="1"/>
    </xf>
    <xf numFmtId="167" fontId="0" fillId="0" borderId="74" xfId="0" applyNumberFormat="1" applyFill="1" applyBorder="1" applyAlignment="1" applyProtection="1">
      <alignment horizontal="center" vertical="center" shrinkToFit="1"/>
      <protection hidden="1"/>
    </xf>
    <xf numFmtId="167" fontId="0" fillId="0" borderId="88" xfId="0" applyNumberFormat="1" applyFill="1" applyBorder="1" applyAlignment="1" applyProtection="1">
      <alignment horizontal="center" vertical="center" shrinkToFit="1"/>
      <protection hidden="1"/>
    </xf>
    <xf numFmtId="0" fontId="4" fillId="45" borderId="289" xfId="0" applyFont="1" applyFill="1" applyBorder="1" applyAlignment="1" applyProtection="1">
      <alignment horizontal="left" vertical="center" wrapText="1"/>
      <protection hidden="1"/>
    </xf>
    <xf numFmtId="0" fontId="4" fillId="45" borderId="5" xfId="0" applyFont="1" applyFill="1" applyBorder="1" applyAlignment="1" applyProtection="1">
      <alignment horizontal="left" vertical="center" wrapText="1"/>
      <protection hidden="1"/>
    </xf>
    <xf numFmtId="0" fontId="4" fillId="45" borderId="104" xfId="0" applyFont="1" applyFill="1" applyBorder="1" applyAlignment="1" applyProtection="1">
      <alignment horizontal="left" vertical="center" wrapText="1"/>
      <protection hidden="1"/>
    </xf>
    <xf numFmtId="0" fontId="4" fillId="45" borderId="74" xfId="0" applyFont="1" applyFill="1" applyBorder="1" applyAlignment="1" applyProtection="1">
      <alignment vertical="center" wrapText="1"/>
      <protection hidden="1"/>
    </xf>
    <xf numFmtId="0" fontId="4" fillId="45" borderId="85" xfId="0" applyFont="1" applyFill="1" applyBorder="1" applyAlignment="1" applyProtection="1">
      <alignment vertical="center" wrapText="1"/>
      <protection hidden="1"/>
    </xf>
    <xf numFmtId="0" fontId="4" fillId="45" borderId="88" xfId="0" applyFont="1" applyFill="1" applyBorder="1" applyAlignment="1" applyProtection="1">
      <alignment vertical="center" wrapText="1"/>
      <protection hidden="1"/>
    </xf>
    <xf numFmtId="0" fontId="4" fillId="45" borderId="74" xfId="0" applyFont="1" applyFill="1" applyBorder="1" applyAlignment="1" applyProtection="1">
      <alignment vertical="center"/>
      <protection hidden="1"/>
    </xf>
    <xf numFmtId="0" fontId="4" fillId="45" borderId="85" xfId="0" applyFont="1" applyFill="1" applyBorder="1" applyAlignment="1" applyProtection="1">
      <alignment vertical="center"/>
      <protection hidden="1"/>
    </xf>
    <xf numFmtId="0" fontId="4" fillId="45" borderId="88" xfId="0" applyFont="1" applyFill="1" applyBorder="1" applyAlignment="1" applyProtection="1">
      <alignment vertical="center"/>
      <protection hidden="1"/>
    </xf>
    <xf numFmtId="0" fontId="4" fillId="45" borderId="142" xfId="0" applyFont="1" applyFill="1" applyBorder="1" applyAlignment="1" applyProtection="1">
      <alignment horizontal="left" vertical="center"/>
      <protection hidden="1"/>
    </xf>
    <xf numFmtId="0" fontId="4" fillId="45" borderId="140" xfId="0" applyFont="1" applyFill="1" applyBorder="1" applyAlignment="1" applyProtection="1">
      <alignment horizontal="left" vertical="center"/>
      <protection hidden="1"/>
    </xf>
    <xf numFmtId="0" fontId="4" fillId="45" borderId="143" xfId="0" applyFont="1" applyFill="1" applyBorder="1" applyAlignment="1" applyProtection="1">
      <alignment horizontal="left" vertical="center"/>
      <protection hidden="1"/>
    </xf>
    <xf numFmtId="167" fontId="4" fillId="0" borderId="139" xfId="0" applyNumberFormat="1" applyFont="1" applyFill="1" applyBorder="1" applyAlignment="1" applyProtection="1">
      <alignment horizontal="center" vertical="center" shrinkToFit="1"/>
      <protection hidden="1"/>
    </xf>
    <xf numFmtId="167" fontId="4" fillId="0" borderId="118" xfId="0" applyNumberFormat="1" applyFont="1" applyFill="1" applyBorder="1" applyAlignment="1" applyProtection="1">
      <alignment horizontal="center" vertical="center" shrinkToFit="1"/>
      <protection hidden="1"/>
    </xf>
    <xf numFmtId="167" fontId="0" fillId="0" borderId="167" xfId="0" applyNumberFormat="1" applyBorder="1" applyAlignment="1" applyProtection="1">
      <alignment horizontal="center" vertical="center" shrinkToFit="1"/>
      <protection hidden="1"/>
    </xf>
    <xf numFmtId="167" fontId="0" fillId="0" borderId="113" xfId="0" applyNumberFormat="1" applyBorder="1" applyAlignment="1" applyProtection="1">
      <alignment horizontal="center" vertical="center" shrinkToFit="1"/>
      <protection hidden="1"/>
    </xf>
    <xf numFmtId="0" fontId="0" fillId="60" borderId="85" xfId="0" applyFill="1" applyBorder="1" applyAlignment="1" applyProtection="1">
      <alignment horizontal="center" vertical="center"/>
      <protection locked="0"/>
    </xf>
    <xf numFmtId="0" fontId="0" fillId="60" borderId="88" xfId="0" applyFill="1" applyBorder="1" applyAlignment="1" applyProtection="1">
      <alignment horizontal="center" vertical="center"/>
      <protection locked="0"/>
    </xf>
    <xf numFmtId="0" fontId="5" fillId="45" borderId="3" xfId="0" applyFont="1" applyFill="1" applyBorder="1" applyAlignment="1" applyProtection="1">
      <alignment horizontal="center" vertical="center" wrapText="1"/>
      <protection hidden="1"/>
    </xf>
    <xf numFmtId="0" fontId="5" fillId="45" borderId="4" xfId="0" applyFont="1" applyFill="1" applyBorder="1" applyAlignment="1" applyProtection="1">
      <alignment horizontal="center" vertical="center" wrapText="1"/>
      <protection hidden="1"/>
    </xf>
    <xf numFmtId="0" fontId="5" fillId="45" borderId="29" xfId="0" applyFont="1" applyFill="1" applyBorder="1" applyAlignment="1" applyProtection="1">
      <alignment horizontal="center" vertical="center" wrapText="1"/>
      <protection hidden="1"/>
    </xf>
    <xf numFmtId="0" fontId="5" fillId="45" borderId="5" xfId="0" applyFont="1" applyFill="1" applyBorder="1" applyAlignment="1" applyProtection="1">
      <alignment horizontal="center" vertical="center" wrapText="1"/>
      <protection hidden="1"/>
    </xf>
    <xf numFmtId="0" fontId="5" fillId="45" borderId="0" xfId="0" applyFont="1" applyFill="1" applyBorder="1" applyAlignment="1" applyProtection="1">
      <alignment horizontal="center" vertical="center" wrapText="1"/>
      <protection hidden="1"/>
    </xf>
    <xf numFmtId="0" fontId="5" fillId="45" borderId="31" xfId="0" applyFont="1" applyFill="1" applyBorder="1" applyAlignment="1" applyProtection="1">
      <alignment horizontal="center" vertical="center" wrapText="1"/>
      <protection hidden="1"/>
    </xf>
    <xf numFmtId="0" fontId="5" fillId="45" borderId="6" xfId="0" applyFont="1" applyFill="1" applyBorder="1" applyAlignment="1" applyProtection="1">
      <alignment horizontal="center" vertical="center" wrapText="1"/>
      <protection hidden="1"/>
    </xf>
    <xf numFmtId="0" fontId="5" fillId="45" borderId="7" xfId="0" applyFont="1" applyFill="1" applyBorder="1" applyAlignment="1" applyProtection="1">
      <alignment horizontal="center" vertical="center" wrapText="1"/>
      <protection hidden="1"/>
    </xf>
    <xf numFmtId="0" fontId="5" fillId="45" borderId="33" xfId="0" applyFont="1" applyFill="1" applyBorder="1" applyAlignment="1" applyProtection="1">
      <alignment horizontal="center" vertical="center" wrapText="1"/>
      <protection hidden="1"/>
    </xf>
    <xf numFmtId="0" fontId="4" fillId="45" borderId="6" xfId="0" applyFont="1" applyFill="1" applyBorder="1" applyAlignment="1" applyProtection="1">
      <alignment horizontal="center" vertical="center"/>
      <protection hidden="1"/>
    </xf>
    <xf numFmtId="0" fontId="4" fillId="45" borderId="7" xfId="0" applyFont="1" applyFill="1" applyBorder="1" applyAlignment="1" applyProtection="1">
      <alignment horizontal="center" vertical="center"/>
      <protection hidden="1"/>
    </xf>
    <xf numFmtId="0" fontId="0" fillId="60" borderId="138" xfId="0" applyFill="1" applyBorder="1" applyAlignment="1" applyProtection="1">
      <alignment horizontal="center" vertical="center"/>
      <protection locked="0"/>
    </xf>
    <xf numFmtId="167" fontId="4" fillId="0" borderId="104" xfId="0" applyNumberFormat="1" applyFont="1" applyFill="1" applyBorder="1" applyAlignment="1" applyProtection="1">
      <alignment horizontal="center" vertical="center" shrinkToFit="1"/>
      <protection hidden="1"/>
    </xf>
    <xf numFmtId="167" fontId="4" fillId="0" borderId="140" xfId="0" applyNumberFormat="1" applyFont="1" applyFill="1" applyBorder="1" applyAlignment="1" applyProtection="1">
      <alignment horizontal="center" vertical="center" shrinkToFit="1"/>
      <protection hidden="1"/>
    </xf>
    <xf numFmtId="0" fontId="4" fillId="45" borderId="139" xfId="0" applyFont="1" applyFill="1" applyBorder="1" applyAlignment="1" applyProtection="1">
      <alignment vertical="center"/>
      <protection hidden="1"/>
    </xf>
    <xf numFmtId="0" fontId="4" fillId="45" borderId="136" xfId="0" applyFont="1" applyFill="1" applyBorder="1" applyAlignment="1" applyProtection="1">
      <alignment vertical="center"/>
      <protection hidden="1"/>
    </xf>
    <xf numFmtId="0" fontId="4" fillId="45" borderId="118" xfId="0" applyFont="1" applyFill="1" applyBorder="1" applyAlignment="1" applyProtection="1">
      <alignment vertical="center"/>
      <protection hidden="1"/>
    </xf>
    <xf numFmtId="167" fontId="4" fillId="0" borderId="131" xfId="0" applyNumberFormat="1" applyFont="1" applyFill="1" applyBorder="1" applyAlignment="1" applyProtection="1">
      <alignment horizontal="center" vertical="center" shrinkToFit="1"/>
      <protection hidden="1"/>
    </xf>
    <xf numFmtId="167" fontId="4" fillId="0" borderId="136" xfId="0" applyNumberFormat="1" applyFont="1" applyFill="1" applyBorder="1" applyAlignment="1" applyProtection="1">
      <alignment horizontal="center" vertical="center" shrinkToFit="1"/>
      <protection hidden="1"/>
    </xf>
    <xf numFmtId="0" fontId="0" fillId="45" borderId="63" xfId="0" applyFill="1" applyBorder="1" applyProtection="1">
      <protection hidden="1"/>
    </xf>
    <xf numFmtId="0" fontId="4" fillId="47" borderId="73" xfId="0" applyFont="1" applyFill="1" applyBorder="1" applyAlignment="1" applyProtection="1">
      <alignment horizontal="center" vertical="center"/>
      <protection hidden="1"/>
    </xf>
    <xf numFmtId="0" fontId="4" fillId="47" borderId="80" xfId="0" applyFont="1" applyFill="1" applyBorder="1" applyAlignment="1" applyProtection="1">
      <alignment horizontal="center" vertical="center"/>
      <protection hidden="1"/>
    </xf>
    <xf numFmtId="0" fontId="4" fillId="47" borderId="83" xfId="0" applyFont="1" applyFill="1" applyBorder="1" applyAlignment="1" applyProtection="1">
      <alignment horizontal="center" vertical="center"/>
      <protection hidden="1"/>
    </xf>
    <xf numFmtId="167" fontId="0" fillId="0" borderId="64" xfId="0" applyNumberFormat="1" applyBorder="1" applyAlignment="1" applyProtection="1">
      <alignment horizontal="center" vertical="center" shrinkToFit="1"/>
      <protection hidden="1"/>
    </xf>
    <xf numFmtId="167" fontId="0" fillId="0" borderId="63" xfId="0" applyNumberFormat="1" applyBorder="1" applyAlignment="1" applyProtection="1">
      <alignment horizontal="center" vertical="center" shrinkToFit="1"/>
      <protection hidden="1"/>
    </xf>
    <xf numFmtId="2" fontId="5" fillId="0" borderId="30" xfId="62" applyNumberFormat="1" applyFont="1" applyBorder="1" applyAlignment="1">
      <alignment horizontal="center" vertical="top" wrapText="1"/>
    </xf>
    <xf numFmtId="2" fontId="5" fillId="0" borderId="32" xfId="62" applyNumberFormat="1" applyFont="1" applyBorder="1" applyAlignment="1">
      <alignment horizontal="center" vertical="top" wrapText="1"/>
    </xf>
    <xf numFmtId="0" fontId="9" fillId="0" borderId="3" xfId="62" applyFont="1" applyBorder="1" applyAlignment="1">
      <alignment horizontal="center"/>
    </xf>
    <xf numFmtId="0" fontId="9" fillId="0" borderId="29" xfId="62" applyFont="1" applyBorder="1" applyAlignment="1">
      <alignment horizontal="center"/>
    </xf>
    <xf numFmtId="0" fontId="9" fillId="0" borderId="5" xfId="62" applyFont="1" applyBorder="1" applyAlignment="1">
      <alignment horizontal="center"/>
    </xf>
    <xf numFmtId="0" fontId="9" fillId="0" borderId="31" xfId="62" applyFont="1" applyBorder="1" applyAlignment="1">
      <alignment horizontal="center"/>
    </xf>
    <xf numFmtId="0" fontId="0" fillId="0" borderId="4" xfId="0" applyBorder="1" applyAlignment="1">
      <alignment horizontal="center"/>
    </xf>
    <xf numFmtId="0" fontId="0" fillId="0" borderId="29" xfId="0" applyBorder="1" applyAlignment="1">
      <alignment horizontal="center"/>
    </xf>
    <xf numFmtId="0" fontId="4" fillId="0" borderId="31" xfId="0" applyFont="1" applyBorder="1" applyAlignment="1">
      <alignment horizontal="center"/>
    </xf>
    <xf numFmtId="0" fontId="9" fillId="0" borderId="4" xfId="62" applyFont="1" applyBorder="1" applyAlignment="1">
      <alignment horizontal="center"/>
    </xf>
    <xf numFmtId="0" fontId="16" fillId="0" borderId="0" xfId="76" applyFont="1" applyAlignment="1">
      <alignment horizontal="center" vertical="center"/>
    </xf>
    <xf numFmtId="0" fontId="4" fillId="0" borderId="51" xfId="76" applyBorder="1" applyAlignment="1">
      <alignment horizontal="center"/>
    </xf>
    <xf numFmtId="0" fontId="4" fillId="0" borderId="21" xfId="76" applyBorder="1" applyAlignment="1">
      <alignment horizontal="center"/>
    </xf>
    <xf numFmtId="0" fontId="4" fillId="0" borderId="2" xfId="76" applyBorder="1" applyAlignment="1">
      <alignment horizontal="center"/>
    </xf>
    <xf numFmtId="0" fontId="4" fillId="0" borderId="58" xfId="76" applyBorder="1" applyAlignment="1">
      <alignment horizontal="center"/>
    </xf>
    <xf numFmtId="0" fontId="4" fillId="0" borderId="16" xfId="76" applyBorder="1" applyAlignment="1">
      <alignment horizontal="center"/>
    </xf>
    <xf numFmtId="0" fontId="4" fillId="60" borderId="51" xfId="76" applyFill="1" applyBorder="1" applyAlignment="1" applyProtection="1">
      <alignment horizontal="left" vertical="top" wrapText="1"/>
      <protection locked="0"/>
    </xf>
    <xf numFmtId="0" fontId="4" fillId="60" borderId="13" xfId="76" applyFill="1" applyBorder="1" applyAlignment="1" applyProtection="1">
      <alignment horizontal="left" vertical="top" wrapText="1"/>
      <protection locked="0"/>
    </xf>
    <xf numFmtId="0" fontId="4" fillId="60" borderId="21" xfId="76" applyFill="1" applyBorder="1" applyAlignment="1" applyProtection="1">
      <alignment horizontal="left" vertical="top" wrapText="1"/>
      <protection locked="0"/>
    </xf>
    <xf numFmtId="0" fontId="4" fillId="60" borderId="50" xfId="76" applyFill="1" applyBorder="1" applyAlignment="1" applyProtection="1">
      <alignment horizontal="left" vertical="top" wrapText="1"/>
      <protection locked="0"/>
    </xf>
    <xf numFmtId="0" fontId="4" fillId="60" borderId="0" xfId="76" applyFill="1" applyBorder="1" applyAlignment="1" applyProtection="1">
      <alignment horizontal="left" vertical="top" wrapText="1"/>
      <protection locked="0"/>
    </xf>
    <xf numFmtId="0" fontId="4" fillId="60" borderId="24" xfId="76" applyFill="1" applyBorder="1" applyAlignment="1" applyProtection="1">
      <alignment horizontal="left" vertical="top" wrapText="1"/>
      <protection locked="0"/>
    </xf>
    <xf numFmtId="0" fontId="4" fillId="60" borderId="58" xfId="76" applyFill="1" applyBorder="1" applyAlignment="1" applyProtection="1">
      <alignment horizontal="left" vertical="top" wrapText="1"/>
      <protection locked="0"/>
    </xf>
    <xf numFmtId="0" fontId="4" fillId="60" borderId="2" xfId="76" applyFill="1" applyBorder="1" applyAlignment="1" applyProtection="1">
      <alignment horizontal="left" vertical="top" wrapText="1"/>
      <protection locked="0"/>
    </xf>
    <xf numFmtId="0" fontId="4" fillId="60" borderId="16" xfId="76" applyFill="1" applyBorder="1" applyAlignment="1" applyProtection="1">
      <alignment horizontal="left" vertical="top" wrapText="1"/>
      <protection locked="0"/>
    </xf>
    <xf numFmtId="0" fontId="4" fillId="60" borderId="120" xfId="76" applyFill="1" applyBorder="1" applyAlignment="1" applyProtection="1">
      <alignment horizontal="center"/>
      <protection locked="0"/>
    </xf>
    <xf numFmtId="0" fontId="4" fillId="60" borderId="19" xfId="76" applyFill="1" applyBorder="1" applyAlignment="1" applyProtection="1">
      <alignment horizontal="center"/>
      <protection locked="0"/>
    </xf>
    <xf numFmtId="0" fontId="4" fillId="0" borderId="0" xfId="76" applyAlignment="1">
      <alignment horizontal="left" vertical="top" wrapText="1"/>
    </xf>
    <xf numFmtId="0" fontId="4" fillId="0" borderId="2" xfId="76" applyBorder="1" applyAlignment="1">
      <alignment horizontal="left" vertical="top" wrapText="1"/>
    </xf>
    <xf numFmtId="0" fontId="4" fillId="0" borderId="25" xfId="76" applyBorder="1" applyAlignment="1">
      <alignment horizontal="center" vertical="center" wrapText="1"/>
    </xf>
    <xf numFmtId="0" fontId="4" fillId="0" borderId="0" xfId="76" applyAlignment="1">
      <alignment horizontal="left" shrinkToFit="1"/>
    </xf>
    <xf numFmtId="0" fontId="4" fillId="0" borderId="22" xfId="76" applyBorder="1" applyAlignment="1">
      <alignment horizontal="center"/>
    </xf>
    <xf numFmtId="0" fontId="4" fillId="0" borderId="25" xfId="76" applyBorder="1" applyAlignment="1">
      <alignment horizontal="center"/>
    </xf>
    <xf numFmtId="0" fontId="4" fillId="0" borderId="13" xfId="76" applyBorder="1" applyAlignment="1">
      <alignment horizontal="center"/>
    </xf>
    <xf numFmtId="0" fontId="4" fillId="0" borderId="51" xfId="76" applyBorder="1" applyAlignment="1" applyProtection="1">
      <alignment horizontal="center" vertical="center"/>
      <protection hidden="1"/>
    </xf>
    <xf numFmtId="0" fontId="4" fillId="0" borderId="13" xfId="76" applyBorder="1" applyAlignment="1" applyProtection="1">
      <alignment horizontal="center" vertical="center"/>
      <protection hidden="1"/>
    </xf>
    <xf numFmtId="0" fontId="4" fillId="0" borderId="50" xfId="76" applyBorder="1" applyAlignment="1" applyProtection="1">
      <alignment horizontal="center" vertical="center"/>
      <protection hidden="1"/>
    </xf>
    <xf numFmtId="0" fontId="4" fillId="0" borderId="0" xfId="76" applyBorder="1" applyAlignment="1" applyProtection="1">
      <alignment horizontal="center" vertical="center"/>
      <protection hidden="1"/>
    </xf>
    <xf numFmtId="0" fontId="4" fillId="0" borderId="0" xfId="76" applyAlignment="1" applyProtection="1">
      <alignment horizontal="left" vertical="center" wrapText="1"/>
      <protection hidden="1"/>
    </xf>
    <xf numFmtId="0" fontId="4" fillId="0" borderId="0" xfId="0" applyFont="1" applyAlignment="1">
      <alignment horizontal="left" vertical="center" wrapText="1"/>
    </xf>
    <xf numFmtId="0" fontId="40" fillId="0" borderId="0" xfId="62" applyFont="1" applyFill="1" applyAlignment="1" applyProtection="1">
      <alignment horizontal="center"/>
      <protection locked="0"/>
    </xf>
    <xf numFmtId="0" fontId="5" fillId="0" borderId="5" xfId="62" applyFont="1" applyFill="1" applyBorder="1" applyAlignment="1" applyProtection="1">
      <alignment horizontal="center" vertical="center" wrapText="1"/>
      <protection locked="0"/>
    </xf>
    <xf numFmtId="0" fontId="5" fillId="0" borderId="0" xfId="62" applyFont="1" applyFill="1" applyBorder="1" applyAlignment="1" applyProtection="1">
      <alignment horizontal="center" vertical="center" wrapText="1"/>
      <protection locked="0"/>
    </xf>
    <xf numFmtId="0" fontId="5" fillId="0" borderId="31" xfId="62" applyFont="1" applyFill="1" applyBorder="1" applyAlignment="1" applyProtection="1">
      <alignment horizontal="center" vertical="center" wrapText="1"/>
      <protection locked="0"/>
    </xf>
    <xf numFmtId="0" fontId="83" fillId="45" borderId="22" xfId="75" applyFont="1" applyFill="1" applyBorder="1" applyAlignment="1">
      <alignment horizontal="center"/>
    </xf>
    <xf numFmtId="0" fontId="83" fillId="45" borderId="17" xfId="75" applyFont="1" applyFill="1" applyBorder="1" applyAlignment="1">
      <alignment horizontal="center"/>
    </xf>
    <xf numFmtId="0" fontId="83" fillId="0" borderId="22" xfId="75" applyFont="1" applyBorder="1" applyAlignment="1" applyProtection="1">
      <alignment horizontal="left" vertical="center" shrinkToFit="1"/>
      <protection hidden="1"/>
    </xf>
    <xf numFmtId="0" fontId="83" fillId="0" borderId="25" xfId="75" applyFont="1" applyBorder="1" applyAlignment="1" applyProtection="1">
      <alignment horizontal="left" vertical="center" shrinkToFit="1"/>
      <protection hidden="1"/>
    </xf>
    <xf numFmtId="0" fontId="83" fillId="0" borderId="353" xfId="75" applyFont="1" applyBorder="1" applyAlignment="1" applyProtection="1">
      <alignment horizontal="left" vertical="center" shrinkToFit="1"/>
      <protection hidden="1"/>
    </xf>
    <xf numFmtId="0" fontId="83" fillId="0" borderId="0" xfId="75" applyFont="1" applyAlignment="1">
      <alignment horizontal="left" wrapText="1"/>
    </xf>
    <xf numFmtId="0" fontId="113" fillId="0" borderId="0" xfId="75" applyFont="1" applyBorder="1" applyAlignment="1">
      <alignment horizontal="center"/>
    </xf>
    <xf numFmtId="0" fontId="83" fillId="45" borderId="22" xfId="75" applyFont="1" applyFill="1" applyBorder="1" applyAlignment="1">
      <alignment horizontal="center" wrapText="1"/>
    </xf>
    <xf numFmtId="0" fontId="83" fillId="45" borderId="17" xfId="75" applyFont="1" applyFill="1" applyBorder="1" applyAlignment="1">
      <alignment horizontal="center" wrapText="1"/>
    </xf>
    <xf numFmtId="0" fontId="83" fillId="45" borderId="51" xfId="75" applyFont="1" applyFill="1" applyBorder="1" applyAlignment="1">
      <alignment horizontal="center" wrapText="1"/>
    </xf>
    <xf numFmtId="0" fontId="83" fillId="45" borderId="58" xfId="75" applyFont="1" applyFill="1" applyBorder="1" applyAlignment="1">
      <alignment horizontal="center" wrapText="1"/>
    </xf>
    <xf numFmtId="0" fontId="27" fillId="0" borderId="0" xfId="0" applyFont="1" applyAlignment="1">
      <alignment horizontal="center" vertical="center"/>
    </xf>
    <xf numFmtId="0" fontId="4" fillId="0" borderId="0" xfId="0" applyFont="1" applyAlignment="1">
      <alignment horizontal="left" vertical="top" wrapText="1"/>
    </xf>
    <xf numFmtId="0" fontId="66" fillId="38" borderId="164" xfId="78" applyFont="1" applyFill="1" applyBorder="1" applyAlignment="1">
      <alignment horizontal="center" vertical="center"/>
    </xf>
    <xf numFmtId="0" fontId="67" fillId="0" borderId="27" xfId="78" applyFont="1" applyBorder="1" applyAlignment="1">
      <alignment horizontal="center"/>
    </xf>
    <xf numFmtId="49" fontId="69" fillId="39" borderId="20" xfId="78" applyNumberFormat="1" applyFont="1" applyFill="1" applyBorder="1" applyAlignment="1">
      <alignment horizontal="center" vertical="center"/>
    </xf>
    <xf numFmtId="49" fontId="69" fillId="39" borderId="15" xfId="78" applyNumberFormat="1" applyFont="1" applyFill="1" applyBorder="1" applyAlignment="1">
      <alignment horizontal="center" vertical="center"/>
    </xf>
    <xf numFmtId="0" fontId="69" fillId="39" borderId="21" xfId="78" applyFont="1" applyFill="1" applyBorder="1" applyAlignment="1">
      <alignment vertical="center"/>
    </xf>
    <xf numFmtId="0" fontId="69" fillId="39" borderId="16" xfId="78" applyFont="1" applyFill="1" applyBorder="1" applyAlignment="1">
      <alignment vertical="center"/>
    </xf>
    <xf numFmtId="49" fontId="22" fillId="40" borderId="22" xfId="78" applyNumberFormat="1" applyFont="1" applyFill="1" applyBorder="1" applyAlignment="1">
      <alignment horizontal="left" vertical="top"/>
    </xf>
    <xf numFmtId="49" fontId="22" fillId="40" borderId="25" xfId="78" applyNumberFormat="1" applyFont="1" applyFill="1" applyBorder="1" applyAlignment="1">
      <alignment horizontal="left" vertical="top"/>
    </xf>
    <xf numFmtId="49" fontId="22" fillId="40" borderId="22" xfId="78" applyNumberFormat="1" applyFont="1" applyFill="1" applyBorder="1" applyAlignment="1">
      <alignment horizontal="left" vertical="center"/>
    </xf>
    <xf numFmtId="49" fontId="22" fillId="40" borderId="17" xfId="78" applyNumberFormat="1" applyFont="1" applyFill="1" applyBorder="1" applyAlignment="1">
      <alignment horizontal="left" vertical="center"/>
    </xf>
    <xf numFmtId="49" fontId="69" fillId="39" borderId="23" xfId="78" applyNumberFormat="1" applyFont="1" applyFill="1" applyBorder="1" applyAlignment="1">
      <alignment horizontal="center" vertical="center"/>
    </xf>
    <xf numFmtId="0" fontId="65" fillId="0" borderId="15" xfId="78" applyFont="1" applyBorder="1" applyAlignment="1">
      <alignment horizontal="center" vertical="center"/>
    </xf>
    <xf numFmtId="0" fontId="69" fillId="39" borderId="24" xfId="78" applyFont="1" applyFill="1" applyBorder="1" applyAlignment="1">
      <alignment vertical="center"/>
    </xf>
    <xf numFmtId="0" fontId="65" fillId="0" borderId="16" xfId="78" applyFont="1" applyBorder="1" applyAlignment="1">
      <alignment vertical="center"/>
    </xf>
    <xf numFmtId="0" fontId="69" fillId="39" borderId="21" xfId="78" applyFont="1" applyFill="1" applyBorder="1" applyAlignment="1">
      <alignment horizontal="left" vertical="center"/>
    </xf>
    <xf numFmtId="0" fontId="69" fillId="39" borderId="16" xfId="78" applyFont="1" applyFill="1" applyBorder="1" applyAlignment="1">
      <alignment horizontal="left" vertical="center"/>
    </xf>
    <xf numFmtId="49" fontId="22" fillId="39" borderId="21" xfId="78" applyNumberFormat="1" applyFont="1" applyFill="1" applyBorder="1" applyAlignment="1">
      <alignment horizontal="left" vertical="center"/>
    </xf>
    <xf numFmtId="49" fontId="22" fillId="39" borderId="16" xfId="78" applyNumberFormat="1" applyFont="1" applyFill="1" applyBorder="1" applyAlignment="1">
      <alignment horizontal="left" vertical="center"/>
    </xf>
    <xf numFmtId="49" fontId="22" fillId="39" borderId="169" xfId="78" applyNumberFormat="1" applyFont="1" applyFill="1" applyBorder="1" applyAlignment="1">
      <alignment vertical="center"/>
    </xf>
    <xf numFmtId="0" fontId="65" fillId="0" borderId="170" xfId="78" applyFont="1" applyBorder="1" applyAlignment="1">
      <alignment vertical="center"/>
    </xf>
    <xf numFmtId="0" fontId="12" fillId="0" borderId="0" xfId="0" applyFont="1" applyAlignment="1">
      <alignment horizontal="left" vertical="center" wrapText="1"/>
    </xf>
    <xf numFmtId="0" fontId="12" fillId="0" borderId="0" xfId="0" applyFont="1" applyAlignment="1">
      <alignment horizontal="left"/>
    </xf>
    <xf numFmtId="0" fontId="7" fillId="0" borderId="0" xfId="0" applyFont="1" applyAlignment="1">
      <alignment horizontal="center" vertical="center" wrapText="1"/>
    </xf>
    <xf numFmtId="0" fontId="115" fillId="70" borderId="120" xfId="77" applyFont="1" applyFill="1" applyBorder="1" applyAlignment="1" applyProtection="1">
      <alignment horizontal="center"/>
      <protection hidden="1"/>
    </xf>
    <xf numFmtId="0" fontId="115" fillId="70" borderId="92" xfId="77" applyFont="1" applyFill="1" applyBorder="1" applyAlignment="1" applyProtection="1">
      <alignment horizontal="center"/>
      <protection hidden="1"/>
    </xf>
    <xf numFmtId="0" fontId="115" fillId="70" borderId="19" xfId="77" applyFont="1" applyFill="1" applyBorder="1" applyAlignment="1" applyProtection="1">
      <alignment horizontal="center"/>
      <protection hidden="1"/>
    </xf>
    <xf numFmtId="0" fontId="51" fillId="70" borderId="1" xfId="77" applyFont="1" applyFill="1" applyBorder="1" applyAlignment="1">
      <alignment horizontal="center"/>
    </xf>
    <xf numFmtId="0" fontId="2" fillId="0" borderId="0" xfId="77" applyAlignment="1">
      <alignment horizontal="center"/>
    </xf>
    <xf numFmtId="0" fontId="117" fillId="67" borderId="0" xfId="77" applyFont="1" applyFill="1" applyAlignment="1">
      <alignment horizontal="center"/>
    </xf>
    <xf numFmtId="0" fontId="117" fillId="0" borderId="0" xfId="77" applyFont="1" applyAlignment="1">
      <alignment horizontal="center"/>
    </xf>
    <xf numFmtId="0" fontId="115" fillId="70" borderId="120" xfId="77" applyFont="1" applyFill="1" applyBorder="1" applyAlignment="1">
      <alignment horizontal="left" vertical="center"/>
    </xf>
    <xf numFmtId="0" fontId="115" fillId="70" borderId="19" xfId="77" applyFont="1" applyFill="1" applyBorder="1" applyAlignment="1">
      <alignment horizontal="left" vertical="center"/>
    </xf>
    <xf numFmtId="0" fontId="121" fillId="0" borderId="13" xfId="77" applyFont="1" applyBorder="1" applyAlignment="1">
      <alignment horizontal="center"/>
    </xf>
    <xf numFmtId="0" fontId="115" fillId="70" borderId="120" xfId="77" applyFont="1" applyFill="1" applyBorder="1" applyAlignment="1" applyProtection="1">
      <alignment horizontal="center" vertical="center"/>
      <protection hidden="1"/>
    </xf>
    <xf numFmtId="0" fontId="115" fillId="70" borderId="92" xfId="77" applyFont="1" applyFill="1" applyBorder="1" applyAlignment="1" applyProtection="1">
      <alignment horizontal="center" vertical="center"/>
      <protection hidden="1"/>
    </xf>
    <xf numFmtId="0" fontId="115" fillId="70" borderId="19" xfId="77" applyFont="1" applyFill="1" applyBorder="1" applyAlignment="1" applyProtection="1">
      <alignment horizontal="center" vertical="center"/>
      <protection hidden="1"/>
    </xf>
    <xf numFmtId="0" fontId="115" fillId="70" borderId="1" xfId="77" applyFont="1" applyFill="1" applyBorder="1" applyAlignment="1" applyProtection="1">
      <alignment horizontal="center"/>
      <protection hidden="1"/>
    </xf>
    <xf numFmtId="1" fontId="121" fillId="0" borderId="13" xfId="77" applyNumberFormat="1" applyFont="1" applyBorder="1" applyAlignment="1">
      <alignment horizontal="center" vertical="center"/>
    </xf>
    <xf numFmtId="0" fontId="2" fillId="0" borderId="0" xfId="77" applyAlignment="1">
      <alignment horizontal="center" vertical="center"/>
    </xf>
    <xf numFmtId="0" fontId="117" fillId="0" borderId="120" xfId="77" applyFont="1" applyBorder="1" applyAlignment="1">
      <alignment horizontal="center"/>
    </xf>
    <xf numFmtId="0" fontId="117" fillId="0" borderId="92" xfId="77" applyFont="1" applyBorder="1" applyAlignment="1">
      <alignment horizontal="center"/>
    </xf>
    <xf numFmtId="0" fontId="117" fillId="0" borderId="19" xfId="77" applyFont="1" applyBorder="1" applyAlignment="1">
      <alignment horizontal="center"/>
    </xf>
    <xf numFmtId="0" fontId="5" fillId="0" borderId="30" xfId="62" applyFont="1" applyFill="1" applyBorder="1" applyAlignment="1" applyProtection="1">
      <alignment horizontal="center" vertical="center" wrapText="1"/>
    </xf>
    <xf numFmtId="0" fontId="5" fillId="0" borderId="32" xfId="62" applyFont="1" applyFill="1" applyBorder="1" applyAlignment="1" applyProtection="1">
      <alignment horizontal="center" vertical="center" wrapText="1"/>
    </xf>
    <xf numFmtId="0" fontId="5" fillId="0" borderId="34" xfId="62" applyFont="1" applyFill="1" applyBorder="1" applyAlignment="1" applyProtection="1">
      <alignment horizontal="center" vertical="center" wrapText="1"/>
    </xf>
    <xf numFmtId="0" fontId="5" fillId="0" borderId="3" xfId="62" applyFont="1" applyFill="1" applyBorder="1" applyAlignment="1" applyProtection="1">
      <alignment horizontal="center"/>
    </xf>
    <xf numFmtId="0" fontId="5" fillId="0" borderId="4" xfId="62" applyFont="1" applyFill="1" applyBorder="1" applyAlignment="1" applyProtection="1">
      <alignment horizontal="center"/>
    </xf>
    <xf numFmtId="0" fontId="5" fillId="0" borderId="29" xfId="62" applyFont="1" applyFill="1" applyBorder="1" applyAlignment="1" applyProtection="1">
      <alignment horizontal="center"/>
    </xf>
  </cellXfs>
  <cellStyles count="80">
    <cellStyle name="20 % - Akzent1" xfId="1" builtinId="30" customBuiltin="1"/>
    <cellStyle name="20 % - Akzent2" xfId="2" builtinId="34" customBuiltin="1"/>
    <cellStyle name="20 % - Akzent3" xfId="3" builtinId="38" customBuiltin="1"/>
    <cellStyle name="20 % - Akzent4" xfId="4" builtinId="42" customBuiltin="1"/>
    <cellStyle name="20 % - Akzent5" xfId="5" builtinId="46" customBuiltin="1"/>
    <cellStyle name="20 % - Akzent6" xfId="6" builtinId="50" customBuiltin="1"/>
    <cellStyle name="40 % - Akzent1" xfId="7" builtinId="31" customBuiltin="1"/>
    <cellStyle name="40 % - Akzent2" xfId="8" builtinId="35" customBuiltin="1"/>
    <cellStyle name="40 % - Akzent3" xfId="9" builtinId="39" customBuiltin="1"/>
    <cellStyle name="40 % - Akzent4" xfId="10" builtinId="43" customBuiltin="1"/>
    <cellStyle name="40 % - Akzent5" xfId="11" builtinId="47" customBuiltin="1"/>
    <cellStyle name="40 % - Akzent6" xfId="12" builtinId="51" customBuiltin="1"/>
    <cellStyle name="60 % - Akzent1" xfId="13" builtinId="32" customBuiltin="1"/>
    <cellStyle name="60 % - Akzent2" xfId="14" builtinId="36" customBuiltin="1"/>
    <cellStyle name="60 % - Akzent3" xfId="15" builtinId="40" customBuiltin="1"/>
    <cellStyle name="60 % - Akzent4" xfId="16" builtinId="44" customBuiltin="1"/>
    <cellStyle name="60 % - Akzent5" xfId="17" builtinId="48" customBuiltin="1"/>
    <cellStyle name="60 % - Akzent6" xfId="18" builtinId="52" customBuiltin="1"/>
    <cellStyle name="Akzent1" xfId="19" builtinId="29" customBuiltin="1"/>
    <cellStyle name="Akzent2" xfId="20" builtinId="33" customBuiltin="1"/>
    <cellStyle name="Akzent3" xfId="21" builtinId="37" customBuiltin="1"/>
    <cellStyle name="Akzent4" xfId="22" builtinId="41" customBuiltin="1"/>
    <cellStyle name="Akzent5" xfId="23" builtinId="45" customBuiltin="1"/>
    <cellStyle name="Akzent6" xfId="24" builtinId="49" customBuiltin="1"/>
    <cellStyle name="Ausgabe" xfId="25" builtinId="21" customBuiltin="1"/>
    <cellStyle name="Berechnung" xfId="26" builtinId="22" customBuiltin="1"/>
    <cellStyle name="Eingabe" xfId="27" builtinId="20" customBuiltin="1"/>
    <cellStyle name="Ergebnis" xfId="28" builtinId="25" customBuiltin="1"/>
    <cellStyle name="Erklärender Text" xfId="29" builtinId="53" customBuiltin="1"/>
    <cellStyle name="Gut" xfId="30" builtinId="26" customBuiltin="1"/>
    <cellStyle name="Komma" xfId="31" builtinId="3"/>
    <cellStyle name="Komma 2" xfId="32"/>
    <cellStyle name="Komma 3" xfId="73"/>
    <cellStyle name="Link" xfId="74" builtinId="8"/>
    <cellStyle name="Neutral" xfId="33" builtinId="28" customBuiltin="1"/>
    <cellStyle name="Notiz 2" xfId="34"/>
    <cellStyle name="Prozent" xfId="35" builtinId="5"/>
    <cellStyle name="Prozent 2" xfId="36"/>
    <cellStyle name="Prozent 2 2" xfId="37"/>
    <cellStyle name="Prozent 3" xfId="38"/>
    <cellStyle name="Prozent 4" xfId="39"/>
    <cellStyle name="Prozent 4 2" xfId="40"/>
    <cellStyle name="Schlecht" xfId="41" builtinId="27" customBuiltin="1"/>
    <cellStyle name="Standard" xfId="0" builtinId="0"/>
    <cellStyle name="Standard 2" xfId="42"/>
    <cellStyle name="Standard 2 2" xfId="43"/>
    <cellStyle name="Standard 2 3" xfId="44"/>
    <cellStyle name="Standard 2 3 2" xfId="45"/>
    <cellStyle name="Standard 2 3 2 2" xfId="46"/>
    <cellStyle name="Standard 2 3 2 3" xfId="47"/>
    <cellStyle name="Standard 2 3 2 4" xfId="48"/>
    <cellStyle name="Standard 2 3 2 4 2" xfId="49"/>
    <cellStyle name="Standard 2 3 3" xfId="50"/>
    <cellStyle name="Standard 2 3 4" xfId="51"/>
    <cellStyle name="Standard 2 3 5" xfId="52"/>
    <cellStyle name="Standard 2 4" xfId="53"/>
    <cellStyle name="Standard 2 4 2" xfId="54"/>
    <cellStyle name="Standard 2 4 3" xfId="55"/>
    <cellStyle name="Standard 2 4 4" xfId="56"/>
    <cellStyle name="Standard 2 4 4 2" xfId="57"/>
    <cellStyle name="Standard 2 5" xfId="58"/>
    <cellStyle name="Standard 2 6" xfId="59"/>
    <cellStyle name="Standard 2 7" xfId="60"/>
    <cellStyle name="Standard 2 8" xfId="61"/>
    <cellStyle name="Standard 3" xfId="62"/>
    <cellStyle name="Standard 3 2" xfId="63"/>
    <cellStyle name="Standard 3 3" xfId="78"/>
    <cellStyle name="Standard 4" xfId="64"/>
    <cellStyle name="Standard 5" xfId="76"/>
    <cellStyle name="Standard 6" xfId="77"/>
    <cellStyle name="Standard 7" xfId="75"/>
    <cellStyle name="Standard 8" xfId="79"/>
    <cellStyle name="Überschrift" xfId="65" builtinId="15" customBuiltin="1"/>
    <cellStyle name="Überschrift 1" xfId="66" builtinId="16" customBuiltin="1"/>
    <cellStyle name="Überschrift 2" xfId="67" builtinId="17" customBuiltin="1"/>
    <cellStyle name="Überschrift 3" xfId="68" builtinId="18" customBuiltin="1"/>
    <cellStyle name="Überschrift 4" xfId="69" builtinId="19" customBuiltin="1"/>
    <cellStyle name="Verknüpfte Zelle" xfId="70" builtinId="24" customBuiltin="1"/>
    <cellStyle name="Warnender Text" xfId="71" builtinId="11" customBuiltin="1"/>
    <cellStyle name="Zelle überprüfen" xfId="72" builtinId="23" customBuiltin="1"/>
  </cellStyles>
  <dxfs count="54">
    <dxf>
      <fill>
        <patternFill>
          <bgColor theme="9" tint="0.59996337778862885"/>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8F896"/>
        </patternFill>
      </fill>
    </dxf>
    <dxf>
      <font>
        <color rgb="FF9C0006"/>
      </font>
      <fill>
        <patternFill>
          <bgColor rgb="FFFFC7CE"/>
        </patternFill>
      </fill>
    </dxf>
    <dxf>
      <fill>
        <patternFill patternType="lightDown"/>
      </fill>
    </dxf>
    <dxf>
      <font>
        <b/>
        <i val="0"/>
        <color theme="1" tint="0.499984740745262"/>
      </font>
      <fill>
        <patternFill>
          <bgColor theme="0" tint="-0.14996795556505021"/>
        </patternFill>
      </fill>
    </dxf>
    <dxf>
      <font>
        <strike val="0"/>
        <color theme="0"/>
      </font>
    </dxf>
    <dxf>
      <font>
        <strike val="0"/>
        <color theme="0"/>
      </font>
    </dxf>
    <dxf>
      <font>
        <strike val="0"/>
        <color theme="0"/>
      </font>
    </dxf>
    <dxf>
      <font>
        <strike val="0"/>
        <color theme="0"/>
      </font>
    </dxf>
    <dxf>
      <font>
        <strike val="0"/>
        <color theme="0"/>
      </font>
    </dxf>
    <dxf>
      <font>
        <strike val="0"/>
        <color theme="0"/>
      </font>
    </dxf>
    <dxf>
      <font>
        <strike val="0"/>
        <color theme="0"/>
      </font>
    </dxf>
    <dxf>
      <font>
        <b/>
        <i val="0"/>
        <strike val="0"/>
      </font>
      <fill>
        <patternFill>
          <bgColor theme="0" tint="-0.14996795556505021"/>
        </patternFill>
      </fill>
      <border>
        <vertical/>
        <horizontal/>
      </border>
    </dxf>
    <dxf>
      <fill>
        <patternFill>
          <bgColor rgb="FFFF0000"/>
        </patternFill>
      </fill>
    </dxf>
    <dxf>
      <font>
        <strike val="0"/>
        <color theme="0"/>
      </font>
    </dxf>
    <dxf>
      <font>
        <strike val="0"/>
        <color rgb="FFFF0000"/>
      </font>
    </dxf>
    <dxf>
      <font>
        <strike val="0"/>
        <color theme="0"/>
      </font>
    </dxf>
    <dxf>
      <font>
        <strike val="0"/>
        <color theme="0"/>
      </font>
    </dxf>
    <dxf>
      <font>
        <strike val="0"/>
        <color theme="0"/>
      </font>
    </dxf>
    <dxf>
      <fill>
        <patternFill patternType="lightDown"/>
      </fill>
    </dxf>
    <dxf>
      <fill>
        <patternFill patternType="lightDown"/>
      </fill>
    </dxf>
    <dxf>
      <fill>
        <patternFill patternType="lightDown"/>
      </fill>
    </dxf>
    <dxf>
      <fill>
        <patternFill patternType="lightDown"/>
      </fill>
    </dxf>
    <dxf>
      <font>
        <strike val="0"/>
        <color theme="0"/>
      </font>
    </dxf>
    <dxf>
      <fill>
        <patternFill patternType="lightDown"/>
      </fill>
    </dxf>
    <dxf>
      <font>
        <color auto="1"/>
      </font>
      <fill>
        <patternFill>
          <bgColor rgb="FFF8F896"/>
        </patternFill>
      </fill>
    </dxf>
    <dxf>
      <font>
        <strike val="0"/>
        <color theme="0"/>
      </font>
    </dxf>
    <dxf>
      <font>
        <strike val="0"/>
        <color theme="0"/>
      </font>
    </dxf>
    <dxf>
      <font>
        <strike val="0"/>
        <color theme="0"/>
      </font>
    </dxf>
    <dxf>
      <font>
        <strike val="0"/>
        <color theme="0"/>
      </font>
    </dxf>
    <dxf>
      <font>
        <strike val="0"/>
        <color theme="0"/>
      </font>
    </dxf>
    <dxf>
      <font>
        <strike val="0"/>
        <color theme="0"/>
      </font>
    </dxf>
    <dxf>
      <fill>
        <patternFill patternType="lightDown"/>
      </fill>
    </dxf>
    <dxf>
      <fill>
        <patternFill patternType="lightUp"/>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strike val="0"/>
        <color theme="0"/>
      </font>
    </dxf>
  </dxfs>
  <tableStyles count="0" defaultTableStyle="TableStyleMedium9" defaultPivotStyle="PivotStyleLight16"/>
  <colors>
    <mruColors>
      <color rgb="FFF8F896"/>
      <color rgb="FFC84646"/>
      <color rgb="FF85C226"/>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r>
              <a:rPr lang="de-DE" sz="1600" b="1" u="none">
                <a:solidFill>
                  <a:schemeClr val="tx1"/>
                </a:solidFill>
                <a:latin typeface="Calibri Light" panose="020F0302020204030204" pitchFamily="34" charset="0"/>
                <a:cs typeface="Calibri Light" panose="020F0302020204030204" pitchFamily="34" charset="0"/>
              </a:rPr>
              <a:t>Lagerbestand</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de-DE"/>
        </a:p>
      </c:txPr>
    </c:title>
    <c:autoTitleDeleted val="0"/>
    <c:plotArea>
      <c:layout>
        <c:manualLayout>
          <c:layoutTarget val="inner"/>
          <c:xMode val="edge"/>
          <c:yMode val="edge"/>
          <c:x val="9.3601567690085777E-2"/>
          <c:y val="0.14915695591887673"/>
          <c:w val="0.74573967927741258"/>
          <c:h val="0.65489361176051863"/>
        </c:manualLayout>
      </c:layout>
      <c:barChart>
        <c:barDir val="col"/>
        <c:grouping val="stacked"/>
        <c:varyColors val="0"/>
        <c:ser>
          <c:idx val="1"/>
          <c:order val="0"/>
          <c:tx>
            <c:strRef>
              <c:f>'Datentabellen Diagramme'!$A$3</c:f>
              <c:strCache>
                <c:ptCount val="1"/>
                <c:pt idx="0">
                  <c:v>Grobfutter</c:v>
                </c:pt>
              </c:strCache>
            </c:strRef>
          </c:tx>
          <c:spPr>
            <a:solidFill>
              <a:srgbClr val="85C226"/>
            </a:solidFill>
            <a:ln>
              <a:noFill/>
            </a:ln>
            <a:effectLst/>
          </c:spPr>
          <c:invertIfNegative val="0"/>
          <c:cat>
            <c:multiLvlStrRef>
              <c:f>'Datentabellen Diagramme'!$B$1:$AM$2</c:f>
              <c:multiLvlStrCache>
                <c:ptCount val="38"/>
                <c:lvl>
                  <c:pt idx="0">
                    <c:v>N</c:v>
                  </c:pt>
                  <c:pt idx="1">
                    <c:v>P₂O₅</c:v>
                  </c:pt>
                  <c:pt idx="3">
                    <c:v>N</c:v>
                  </c:pt>
                  <c:pt idx="4">
                    <c:v>P₂O₅</c:v>
                  </c:pt>
                  <c:pt idx="6">
                    <c:v>N</c:v>
                  </c:pt>
                  <c:pt idx="7">
                    <c:v>P₂O₅</c:v>
                  </c:pt>
                  <c:pt idx="9">
                    <c:v>N</c:v>
                  </c:pt>
                  <c:pt idx="10">
                    <c:v>P₂O₅</c:v>
                  </c:pt>
                  <c:pt idx="12">
                    <c:v>N</c:v>
                  </c:pt>
                  <c:pt idx="13">
                    <c:v>P₂O₅</c:v>
                  </c:pt>
                  <c:pt idx="15">
                    <c:v>N</c:v>
                  </c:pt>
                  <c:pt idx="16">
                    <c:v>P₂O₅</c:v>
                  </c:pt>
                  <c:pt idx="18">
                    <c:v>N</c:v>
                  </c:pt>
                  <c:pt idx="19">
                    <c:v>P₂O₅</c:v>
                  </c:pt>
                  <c:pt idx="21">
                    <c:v>N</c:v>
                  </c:pt>
                  <c:pt idx="22">
                    <c:v>P₂O₅</c:v>
                  </c:pt>
                  <c:pt idx="24">
                    <c:v>N</c:v>
                  </c:pt>
                  <c:pt idx="25">
                    <c:v>P₂O₅</c:v>
                  </c:pt>
                  <c:pt idx="27">
                    <c:v>N</c:v>
                  </c:pt>
                  <c:pt idx="28">
                    <c:v>P₂O₅</c:v>
                  </c:pt>
                  <c:pt idx="30">
                    <c:v>N</c:v>
                  </c:pt>
                  <c:pt idx="31">
                    <c:v>P₂O₅</c:v>
                  </c:pt>
                  <c:pt idx="33">
                    <c:v>N</c:v>
                  </c:pt>
                  <c:pt idx="34">
                    <c:v>P₂O₅</c:v>
                  </c:pt>
                  <c:pt idx="36">
                    <c:v>N</c:v>
                  </c:pt>
                  <c:pt idx="37">
                    <c:v>P₂O₅</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Diagramme'!$B$3:$AM$3</c:f>
              <c:numCache>
                <c:formatCode>General</c:formatCode>
                <c:ptCount val="38"/>
                <c:pt idx="0">
                  <c:v>0</c:v>
                </c:pt>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1-34E3-4EE6-AE9B-6258A04588D6}"/>
            </c:ext>
          </c:extLst>
        </c:ser>
        <c:ser>
          <c:idx val="2"/>
          <c:order val="1"/>
          <c:tx>
            <c:strRef>
              <c:f>'Datentabellen Diagramme'!$A$4</c:f>
              <c:strCache>
                <c:ptCount val="1"/>
                <c:pt idx="0">
                  <c:v>Kraftfutter</c:v>
                </c:pt>
              </c:strCache>
            </c:strRef>
          </c:tx>
          <c:spPr>
            <a:solidFill>
              <a:srgbClr val="C84646"/>
            </a:solidFill>
            <a:ln w="9525">
              <a:noFill/>
            </a:ln>
            <a:effectLst/>
          </c:spPr>
          <c:invertIfNegative val="0"/>
          <c:cat>
            <c:multiLvlStrRef>
              <c:f>'Datentabellen Diagramme'!$B$1:$AM$2</c:f>
              <c:multiLvlStrCache>
                <c:ptCount val="38"/>
                <c:lvl>
                  <c:pt idx="0">
                    <c:v>N</c:v>
                  </c:pt>
                  <c:pt idx="1">
                    <c:v>P₂O₅</c:v>
                  </c:pt>
                  <c:pt idx="3">
                    <c:v>N</c:v>
                  </c:pt>
                  <c:pt idx="4">
                    <c:v>P₂O₅</c:v>
                  </c:pt>
                  <c:pt idx="6">
                    <c:v>N</c:v>
                  </c:pt>
                  <c:pt idx="7">
                    <c:v>P₂O₅</c:v>
                  </c:pt>
                  <c:pt idx="9">
                    <c:v>N</c:v>
                  </c:pt>
                  <c:pt idx="10">
                    <c:v>P₂O₅</c:v>
                  </c:pt>
                  <c:pt idx="12">
                    <c:v>N</c:v>
                  </c:pt>
                  <c:pt idx="13">
                    <c:v>P₂O₅</c:v>
                  </c:pt>
                  <c:pt idx="15">
                    <c:v>N</c:v>
                  </c:pt>
                  <c:pt idx="16">
                    <c:v>P₂O₅</c:v>
                  </c:pt>
                  <c:pt idx="18">
                    <c:v>N</c:v>
                  </c:pt>
                  <c:pt idx="19">
                    <c:v>P₂O₅</c:v>
                  </c:pt>
                  <c:pt idx="21">
                    <c:v>N</c:v>
                  </c:pt>
                  <c:pt idx="22">
                    <c:v>P₂O₅</c:v>
                  </c:pt>
                  <c:pt idx="24">
                    <c:v>N</c:v>
                  </c:pt>
                  <c:pt idx="25">
                    <c:v>P₂O₅</c:v>
                  </c:pt>
                  <c:pt idx="27">
                    <c:v>N</c:v>
                  </c:pt>
                  <c:pt idx="28">
                    <c:v>P₂O₅</c:v>
                  </c:pt>
                  <c:pt idx="30">
                    <c:v>N</c:v>
                  </c:pt>
                  <c:pt idx="31">
                    <c:v>P₂O₅</c:v>
                  </c:pt>
                  <c:pt idx="33">
                    <c:v>N</c:v>
                  </c:pt>
                  <c:pt idx="34">
                    <c:v>P₂O₅</c:v>
                  </c:pt>
                  <c:pt idx="36">
                    <c:v>N</c:v>
                  </c:pt>
                  <c:pt idx="37">
                    <c:v>P₂O₅</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Diagramme'!$B$4:$AM$4</c:f>
              <c:numCache>
                <c:formatCode>General</c:formatCode>
                <c:ptCount val="38"/>
                <c:pt idx="0">
                  <c:v>0</c:v>
                </c:pt>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2-34E3-4EE6-AE9B-6258A04588D6}"/>
            </c:ext>
          </c:extLst>
        </c:ser>
        <c:ser>
          <c:idx val="3"/>
          <c:order val="2"/>
          <c:tx>
            <c:strRef>
              <c:f>'Datentabellen Diagramme'!$A$5</c:f>
              <c:strCache>
                <c:ptCount val="1"/>
                <c:pt idx="0">
                  <c:v>Sonst. Biogas-Einsatzstoffe</c:v>
                </c:pt>
              </c:strCache>
            </c:strRef>
          </c:tx>
          <c:spPr>
            <a:solidFill>
              <a:schemeClr val="tx2">
                <a:lumMod val="60000"/>
                <a:lumOff val="40000"/>
              </a:schemeClr>
            </a:solidFill>
            <a:ln>
              <a:noFill/>
            </a:ln>
            <a:effectLst/>
          </c:spPr>
          <c:invertIfNegative val="0"/>
          <c:cat>
            <c:multiLvlStrRef>
              <c:f>'Datentabellen Diagramme'!$B$1:$AM$2</c:f>
              <c:multiLvlStrCache>
                <c:ptCount val="38"/>
                <c:lvl>
                  <c:pt idx="0">
                    <c:v>N</c:v>
                  </c:pt>
                  <c:pt idx="1">
                    <c:v>P₂O₅</c:v>
                  </c:pt>
                  <c:pt idx="3">
                    <c:v>N</c:v>
                  </c:pt>
                  <c:pt idx="4">
                    <c:v>P₂O₅</c:v>
                  </c:pt>
                  <c:pt idx="6">
                    <c:v>N</c:v>
                  </c:pt>
                  <c:pt idx="7">
                    <c:v>P₂O₅</c:v>
                  </c:pt>
                  <c:pt idx="9">
                    <c:v>N</c:v>
                  </c:pt>
                  <c:pt idx="10">
                    <c:v>P₂O₅</c:v>
                  </c:pt>
                  <c:pt idx="12">
                    <c:v>N</c:v>
                  </c:pt>
                  <c:pt idx="13">
                    <c:v>P₂O₅</c:v>
                  </c:pt>
                  <c:pt idx="15">
                    <c:v>N</c:v>
                  </c:pt>
                  <c:pt idx="16">
                    <c:v>P₂O₅</c:v>
                  </c:pt>
                  <c:pt idx="18">
                    <c:v>N</c:v>
                  </c:pt>
                  <c:pt idx="19">
                    <c:v>P₂O₅</c:v>
                  </c:pt>
                  <c:pt idx="21">
                    <c:v>N</c:v>
                  </c:pt>
                  <c:pt idx="22">
                    <c:v>P₂O₅</c:v>
                  </c:pt>
                  <c:pt idx="24">
                    <c:v>N</c:v>
                  </c:pt>
                  <c:pt idx="25">
                    <c:v>P₂O₅</c:v>
                  </c:pt>
                  <c:pt idx="27">
                    <c:v>N</c:v>
                  </c:pt>
                  <c:pt idx="28">
                    <c:v>P₂O₅</c:v>
                  </c:pt>
                  <c:pt idx="30">
                    <c:v>N</c:v>
                  </c:pt>
                  <c:pt idx="31">
                    <c:v>P₂O₅</c:v>
                  </c:pt>
                  <c:pt idx="33">
                    <c:v>N</c:v>
                  </c:pt>
                  <c:pt idx="34">
                    <c:v>P₂O₅</c:v>
                  </c:pt>
                  <c:pt idx="36">
                    <c:v>N</c:v>
                  </c:pt>
                  <c:pt idx="37">
                    <c:v>P₂O₅</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Diagramme'!$B$5:$AM$5</c:f>
              <c:numCache>
                <c:formatCode>General</c:formatCode>
                <c:ptCount val="38"/>
                <c:pt idx="0">
                  <c:v>0</c:v>
                </c:pt>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3-34E3-4EE6-AE9B-6258A04588D6}"/>
            </c:ext>
          </c:extLst>
        </c:ser>
        <c:dLbls>
          <c:showLegendKey val="0"/>
          <c:showVal val="0"/>
          <c:showCatName val="0"/>
          <c:showSerName val="0"/>
          <c:showPercent val="0"/>
          <c:showBubbleSize val="0"/>
        </c:dLbls>
        <c:gapWidth val="50"/>
        <c:overlap val="100"/>
        <c:axId val="545140584"/>
        <c:axId val="545137632"/>
      </c:barChart>
      <c:catAx>
        <c:axId val="545140584"/>
        <c:scaling>
          <c:orientation val="minMax"/>
        </c:scaling>
        <c:delete val="0"/>
        <c:axPos val="b"/>
        <c:numFmt formatCode="General" sourceLinked="1"/>
        <c:majorTickMark val="none"/>
        <c:minorTickMark val="none"/>
        <c:tickLblPos val="low"/>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de-DE"/>
          </a:p>
        </c:txPr>
        <c:crossAx val="545137632"/>
        <c:crosses val="autoZero"/>
        <c:auto val="1"/>
        <c:lblAlgn val="ctr"/>
        <c:lblOffset val="100"/>
        <c:noMultiLvlLbl val="0"/>
      </c:catAx>
      <c:valAx>
        <c:axId val="545137632"/>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r>
                  <a:rPr lang="en-US">
                    <a:solidFill>
                      <a:schemeClr val="tx1"/>
                    </a:solidFill>
                    <a:latin typeface="Calibri Light" panose="020F0302020204030204" pitchFamily="34" charset="0"/>
                    <a:cs typeface="Calibri Light" panose="020F0302020204030204" pitchFamily="34" charset="0"/>
                  </a:rPr>
                  <a:t>N/P</a:t>
                </a:r>
                <a:r>
                  <a:rPr lang="en-US" baseline="-25000">
                    <a:solidFill>
                      <a:schemeClr val="tx1"/>
                    </a:solidFill>
                    <a:latin typeface="Calibri Light" panose="020F0302020204030204" pitchFamily="34" charset="0"/>
                    <a:cs typeface="Calibri Light" panose="020F0302020204030204" pitchFamily="34" charset="0"/>
                  </a:rPr>
                  <a:t>2</a:t>
                </a:r>
                <a:r>
                  <a:rPr lang="en-US">
                    <a:solidFill>
                      <a:schemeClr val="tx1"/>
                    </a:solidFill>
                    <a:latin typeface="Calibri Light" panose="020F0302020204030204" pitchFamily="34" charset="0"/>
                    <a:cs typeface="Calibri Light" panose="020F0302020204030204" pitchFamily="34" charset="0"/>
                  </a:rPr>
                  <a:t>O</a:t>
                </a:r>
                <a:r>
                  <a:rPr lang="en-US" baseline="-25000">
                    <a:solidFill>
                      <a:schemeClr val="tx1"/>
                    </a:solidFill>
                    <a:latin typeface="Calibri Light" panose="020F0302020204030204" pitchFamily="34" charset="0"/>
                    <a:cs typeface="Calibri Light" panose="020F0302020204030204" pitchFamily="34" charset="0"/>
                  </a:rPr>
                  <a:t>5</a:t>
                </a:r>
                <a:r>
                  <a:rPr lang="en-US">
                    <a:solidFill>
                      <a:schemeClr val="tx1"/>
                    </a:solidFill>
                    <a:latin typeface="Calibri Light" panose="020F0302020204030204" pitchFamily="34" charset="0"/>
                    <a:cs typeface="Calibri Light" panose="020F0302020204030204" pitchFamily="34" charset="0"/>
                  </a:rPr>
                  <a:t>  in t</a:t>
                </a:r>
              </a:p>
            </c:rich>
          </c:tx>
          <c:layout>
            <c:manualLayout>
              <c:xMode val="edge"/>
              <c:yMode val="edge"/>
              <c:x val="1.2956848796431174E-2"/>
              <c:y val="0.2309125195711131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de-DE"/>
            </a:p>
          </c:txPr>
        </c:title>
        <c:numFmt formatCode="General" sourceLinked="1"/>
        <c:majorTickMark val="in"/>
        <c:minorTickMark val="in"/>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de-DE"/>
          </a:p>
        </c:txPr>
        <c:crossAx val="545140584"/>
        <c:crosses val="autoZero"/>
        <c:crossBetween val="between"/>
      </c:valAx>
      <c:spPr>
        <a:noFill/>
        <a:ln>
          <a:noFill/>
        </a:ln>
        <a:effectLst/>
      </c:spPr>
    </c:plotArea>
    <c:legend>
      <c:legendPos val="r"/>
      <c:layout>
        <c:manualLayout>
          <c:xMode val="edge"/>
          <c:yMode val="edge"/>
          <c:x val="0.85717008729268518"/>
          <c:y val="0.1844387069571877"/>
          <c:w val="0.14282991270731488"/>
          <c:h val="0.3712236218916853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9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Calibri Light" panose="020F0302020204030204" pitchFamily="34" charset="0"/>
                <a:ea typeface="+mn-ea"/>
                <a:cs typeface="Calibri Light" panose="020F0302020204030204" pitchFamily="34" charset="0"/>
              </a:defRPr>
            </a:pPr>
            <a:r>
              <a:rPr lang="de-DE" sz="1600" b="1" u="none">
                <a:solidFill>
                  <a:schemeClr val="tx1"/>
                </a:solidFill>
                <a:latin typeface="Calibri Light" panose="020F0302020204030204" pitchFamily="34" charset="0"/>
                <a:cs typeface="Calibri Light" panose="020F0302020204030204" pitchFamily="34" charset="0"/>
              </a:rPr>
              <a:t>Verbrauch</a:t>
            </a:r>
            <a:r>
              <a:rPr lang="de-DE" sz="1600" b="1" u="none" baseline="0">
                <a:solidFill>
                  <a:schemeClr val="tx1"/>
                </a:solidFill>
                <a:latin typeface="Calibri Light" panose="020F0302020204030204" pitchFamily="34" charset="0"/>
                <a:cs typeface="Calibri Light" panose="020F0302020204030204" pitchFamily="34" charset="0"/>
              </a:rPr>
              <a:t> pro Jahr</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Calibri Light" panose="020F0302020204030204" pitchFamily="34" charset="0"/>
              <a:ea typeface="+mn-ea"/>
              <a:cs typeface="Calibri Light" panose="020F0302020204030204" pitchFamily="34" charset="0"/>
            </a:defRPr>
          </a:pPr>
          <a:endParaRPr lang="de-DE"/>
        </a:p>
      </c:txPr>
    </c:title>
    <c:autoTitleDeleted val="0"/>
    <c:plotArea>
      <c:layout>
        <c:manualLayout>
          <c:layoutTarget val="inner"/>
          <c:xMode val="edge"/>
          <c:yMode val="edge"/>
          <c:x val="9.0596201303804955E-2"/>
          <c:y val="0.18734047706846563"/>
          <c:w val="0.73489112806861268"/>
          <c:h val="0.57114560060157782"/>
        </c:manualLayout>
      </c:layout>
      <c:barChart>
        <c:barDir val="col"/>
        <c:grouping val="stacked"/>
        <c:varyColors val="0"/>
        <c:ser>
          <c:idx val="0"/>
          <c:order val="0"/>
          <c:tx>
            <c:strRef>
              <c:f>'Datentabellen Diagramme'!$C$22:$C$22</c:f>
              <c:strCache>
                <c:ptCount val="1"/>
                <c:pt idx="0">
                  <c:v>Tiere</c:v>
                </c:pt>
              </c:strCache>
            </c:strRef>
          </c:tx>
          <c:spPr>
            <a:solidFill>
              <a:schemeClr val="accent1"/>
            </a:solidFill>
            <a:ln>
              <a:noFill/>
            </a:ln>
            <a:effectLst/>
          </c:spPr>
          <c:invertIfNegative val="0"/>
          <c:cat>
            <c:multiLvlStrRef>
              <c:f>'Datentabellen Diagramme'!$A$23:$B$30</c:f>
              <c:multiLvlStrCache>
                <c:ptCount val="8"/>
                <c:lvl>
                  <c:pt idx="0">
                    <c:v>N</c:v>
                  </c:pt>
                  <c:pt idx="1">
                    <c:v>P₂O₅</c:v>
                  </c:pt>
                  <c:pt idx="3">
                    <c:v>N</c:v>
                  </c:pt>
                  <c:pt idx="4">
                    <c:v>P₂O₅</c:v>
                  </c:pt>
                  <c:pt idx="6">
                    <c:v>N</c:v>
                  </c:pt>
                  <c:pt idx="7">
                    <c:v>P₂O₅</c:v>
                  </c:pt>
                </c:lvl>
                <c:lvl>
                  <c:pt idx="0">
                    <c:v>Grobfutter</c:v>
                  </c:pt>
                  <c:pt idx="3">
                    <c:v>Kraftfutter</c:v>
                  </c:pt>
                  <c:pt idx="6">
                    <c:v>Sonst. Biogas-Einsatzstoffe</c:v>
                  </c:pt>
                </c:lvl>
              </c:multiLvlStrCache>
            </c:multiLvlStrRef>
          </c:cat>
          <c:val>
            <c:numRef>
              <c:f>'Datentabellen Diagramme'!$C$23:$C$30</c:f>
              <c:numCache>
                <c:formatCode>General</c:formatCode>
                <c:ptCount val="8"/>
                <c:pt idx="0">
                  <c:v>0</c:v>
                </c:pt>
                <c:pt idx="1">
                  <c:v>0</c:v>
                </c:pt>
                <c:pt idx="3">
                  <c:v>0</c:v>
                </c:pt>
                <c:pt idx="4">
                  <c:v>0</c:v>
                </c:pt>
              </c:numCache>
            </c:numRef>
          </c:val>
          <c:extLst xmlns:c15="http://schemas.microsoft.com/office/drawing/2012/chart">
            <c:ext xmlns:c16="http://schemas.microsoft.com/office/drawing/2014/chart" uri="{C3380CC4-5D6E-409C-BE32-E72D297353CC}">
              <c16:uniqueId val="{00000000-1900-49B3-9FFD-32A263802CCD}"/>
            </c:ext>
          </c:extLst>
        </c:ser>
        <c:ser>
          <c:idx val="1"/>
          <c:order val="1"/>
          <c:tx>
            <c:strRef>
              <c:f>'Datentabellen Diagramme'!$D$22:$D$22</c:f>
              <c:strCache>
                <c:ptCount val="1"/>
                <c:pt idx="0">
                  <c:v>Biogas</c:v>
                </c:pt>
              </c:strCache>
            </c:strRef>
          </c:tx>
          <c:spPr>
            <a:solidFill>
              <a:srgbClr val="CC9900"/>
            </a:solidFill>
            <a:ln>
              <a:noFill/>
            </a:ln>
            <a:effectLst/>
          </c:spPr>
          <c:invertIfNegative val="0"/>
          <c:cat>
            <c:multiLvlStrRef>
              <c:f>'Datentabellen Diagramme'!$A$23:$B$30</c:f>
              <c:multiLvlStrCache>
                <c:ptCount val="8"/>
                <c:lvl>
                  <c:pt idx="0">
                    <c:v>N</c:v>
                  </c:pt>
                  <c:pt idx="1">
                    <c:v>P₂O₅</c:v>
                  </c:pt>
                  <c:pt idx="3">
                    <c:v>N</c:v>
                  </c:pt>
                  <c:pt idx="4">
                    <c:v>P₂O₅</c:v>
                  </c:pt>
                  <c:pt idx="6">
                    <c:v>N</c:v>
                  </c:pt>
                  <c:pt idx="7">
                    <c:v>P₂O₅</c:v>
                  </c:pt>
                </c:lvl>
                <c:lvl>
                  <c:pt idx="0">
                    <c:v>Grobfutter</c:v>
                  </c:pt>
                  <c:pt idx="3">
                    <c:v>Kraftfutter</c:v>
                  </c:pt>
                  <c:pt idx="6">
                    <c:v>Sonst. Biogas-Einsatzstoffe</c:v>
                  </c:pt>
                </c:lvl>
              </c:multiLvlStrCache>
            </c:multiLvlStrRef>
          </c:cat>
          <c:val>
            <c:numRef>
              <c:f>'Datentabellen Diagramme'!$D$23:$D$30</c:f>
              <c:numCache>
                <c:formatCode>General</c:formatCode>
                <c:ptCount val="8"/>
                <c:pt idx="0">
                  <c:v>0</c:v>
                </c:pt>
                <c:pt idx="1">
                  <c:v>0</c:v>
                </c:pt>
                <c:pt idx="3">
                  <c:v>0</c:v>
                </c:pt>
                <c:pt idx="4">
                  <c:v>0</c:v>
                </c:pt>
                <c:pt idx="6">
                  <c:v>0</c:v>
                </c:pt>
                <c:pt idx="7">
                  <c:v>0</c:v>
                </c:pt>
              </c:numCache>
            </c:numRef>
          </c:val>
          <c:extLst>
            <c:ext xmlns:c16="http://schemas.microsoft.com/office/drawing/2014/chart" uri="{C3380CC4-5D6E-409C-BE32-E72D297353CC}">
              <c16:uniqueId val="{00000001-1900-49B3-9FFD-32A263802CCD}"/>
            </c:ext>
          </c:extLst>
        </c:ser>
        <c:dLbls>
          <c:showLegendKey val="0"/>
          <c:showVal val="0"/>
          <c:showCatName val="0"/>
          <c:showSerName val="0"/>
          <c:showPercent val="0"/>
          <c:showBubbleSize val="0"/>
        </c:dLbls>
        <c:gapWidth val="50"/>
        <c:overlap val="100"/>
        <c:axId val="632208408"/>
        <c:axId val="632209064"/>
        <c:extLst/>
      </c:barChart>
      <c:catAx>
        <c:axId val="63220840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de-DE"/>
          </a:p>
        </c:txPr>
        <c:crossAx val="632209064"/>
        <c:crosses val="autoZero"/>
        <c:auto val="1"/>
        <c:lblAlgn val="ctr"/>
        <c:lblOffset val="100"/>
        <c:noMultiLvlLbl val="0"/>
      </c:catAx>
      <c:valAx>
        <c:axId val="632209064"/>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r>
                  <a:rPr lang="en-US">
                    <a:solidFill>
                      <a:schemeClr val="tx1"/>
                    </a:solidFill>
                    <a:latin typeface="Calibri Light" panose="020F0302020204030204" pitchFamily="34" charset="0"/>
                    <a:cs typeface="Calibri Light" panose="020F0302020204030204" pitchFamily="34" charset="0"/>
                  </a:rPr>
                  <a:t>N/P</a:t>
                </a:r>
                <a:r>
                  <a:rPr lang="en-US" baseline="-25000">
                    <a:solidFill>
                      <a:schemeClr val="tx1"/>
                    </a:solidFill>
                    <a:latin typeface="Calibri Light" panose="020F0302020204030204" pitchFamily="34" charset="0"/>
                    <a:cs typeface="Calibri Light" panose="020F0302020204030204" pitchFamily="34" charset="0"/>
                  </a:rPr>
                  <a:t>2</a:t>
                </a:r>
                <a:r>
                  <a:rPr lang="en-US">
                    <a:solidFill>
                      <a:schemeClr val="tx1"/>
                    </a:solidFill>
                    <a:latin typeface="Calibri Light" panose="020F0302020204030204" pitchFamily="34" charset="0"/>
                    <a:cs typeface="Calibri Light" panose="020F0302020204030204" pitchFamily="34" charset="0"/>
                  </a:rPr>
                  <a:t>O</a:t>
                </a:r>
                <a:r>
                  <a:rPr lang="en-US" baseline="-25000">
                    <a:solidFill>
                      <a:schemeClr val="tx1"/>
                    </a:solidFill>
                    <a:latin typeface="Calibri Light" panose="020F0302020204030204" pitchFamily="34" charset="0"/>
                    <a:cs typeface="Calibri Light" panose="020F0302020204030204" pitchFamily="34" charset="0"/>
                  </a:rPr>
                  <a:t>5</a:t>
                </a:r>
                <a:r>
                  <a:rPr lang="en-US">
                    <a:solidFill>
                      <a:schemeClr val="tx1"/>
                    </a:solidFill>
                    <a:latin typeface="Calibri Light" panose="020F0302020204030204" pitchFamily="34" charset="0"/>
                    <a:cs typeface="Calibri Light" panose="020F0302020204030204" pitchFamily="34" charset="0"/>
                  </a:rPr>
                  <a:t> in t</a:t>
                </a:r>
              </a:p>
            </c:rich>
          </c:tx>
          <c:layout>
            <c:manualLayout>
              <c:xMode val="edge"/>
              <c:yMode val="edge"/>
              <c:x val="1.2354766157496659E-2"/>
              <c:y val="0.2707877987053543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de-DE"/>
            </a:p>
          </c:txPr>
        </c:title>
        <c:numFmt formatCode="General" sourceLinked="1"/>
        <c:majorTickMark val="in"/>
        <c:minorTickMark val="in"/>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de-DE"/>
          </a:p>
        </c:txPr>
        <c:crossAx val="632208408"/>
        <c:crosses val="autoZero"/>
        <c:crossBetween val="between"/>
      </c:valAx>
      <c:spPr>
        <a:noFill/>
        <a:ln>
          <a:noFill/>
        </a:ln>
        <a:effectLst/>
      </c:spPr>
    </c:plotArea>
    <c:legend>
      <c:legendPos val="r"/>
      <c:layout>
        <c:manualLayout>
          <c:xMode val="edge"/>
          <c:yMode val="edge"/>
          <c:x val="0.83895190797452712"/>
          <c:y val="0.18888382753808666"/>
          <c:w val="0.10830242728558852"/>
          <c:h val="0.150368394033390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9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Calibri Light" panose="020F0302020204030204" pitchFamily="34" charset="0"/>
                <a:ea typeface="+mn-ea"/>
                <a:cs typeface="Calibri Light" panose="020F0302020204030204" pitchFamily="34" charset="0"/>
              </a:defRPr>
            </a:pPr>
            <a:r>
              <a:rPr lang="de-DE" sz="1600" b="1" u="none">
                <a:solidFill>
                  <a:schemeClr val="tx1"/>
                </a:solidFill>
                <a:latin typeface="Calibri Light" panose="020F0302020204030204" pitchFamily="34" charset="0"/>
                <a:cs typeface="Calibri Light" panose="020F0302020204030204" pitchFamily="34" charset="0"/>
              </a:rPr>
              <a:t>Stickstoff -</a:t>
            </a:r>
            <a:r>
              <a:rPr lang="de-DE" sz="1600" b="1" u="none" baseline="0">
                <a:solidFill>
                  <a:schemeClr val="tx1"/>
                </a:solidFill>
                <a:latin typeface="Calibri Light" panose="020F0302020204030204" pitchFamily="34" charset="0"/>
                <a:cs typeface="Calibri Light" panose="020F0302020204030204" pitchFamily="34" charset="0"/>
              </a:rPr>
              <a:t>  </a:t>
            </a:r>
            <a:r>
              <a:rPr lang="de-DE" sz="1600" b="1" u="none">
                <a:solidFill>
                  <a:schemeClr val="tx1"/>
                </a:solidFill>
                <a:latin typeface="Calibri Light" panose="020F0302020204030204" pitchFamily="34" charset="0"/>
                <a:cs typeface="Calibri Light" panose="020F0302020204030204" pitchFamily="34" charset="0"/>
              </a:rPr>
              <a:t>An-/Verkauf (Kauf)</a:t>
            </a:r>
            <a:r>
              <a:rPr lang="de-DE" sz="1600" b="1" u="none" baseline="0">
                <a:solidFill>
                  <a:schemeClr val="tx1"/>
                </a:solidFill>
                <a:latin typeface="Calibri Light" panose="020F0302020204030204" pitchFamily="34" charset="0"/>
                <a:cs typeface="Calibri Light" panose="020F0302020204030204" pitchFamily="34" charset="0"/>
              </a:rPr>
              <a:t> und Produktion (Prod) </a:t>
            </a:r>
            <a:endParaRPr lang="de-DE" sz="1600" b="1" u="none">
              <a:solidFill>
                <a:schemeClr val="tx1"/>
              </a:solidFill>
              <a:latin typeface="Calibri Light" panose="020F0302020204030204" pitchFamily="34" charset="0"/>
              <a:cs typeface="Calibri Light" panose="020F0302020204030204" pitchFamily="34" charset="0"/>
            </a:endParaRPr>
          </a:p>
        </c:rich>
      </c:tx>
      <c:layout>
        <c:manualLayout>
          <c:xMode val="edge"/>
          <c:yMode val="edge"/>
          <c:x val="0.13664125397329824"/>
          <c:y val="2.5889967637540454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Calibri Light" panose="020F0302020204030204" pitchFamily="34" charset="0"/>
              <a:ea typeface="+mn-ea"/>
              <a:cs typeface="Calibri Light" panose="020F0302020204030204" pitchFamily="34" charset="0"/>
            </a:defRPr>
          </a:pPr>
          <a:endParaRPr lang="de-DE"/>
        </a:p>
      </c:txPr>
    </c:title>
    <c:autoTitleDeleted val="0"/>
    <c:plotArea>
      <c:layout>
        <c:manualLayout>
          <c:layoutTarget val="inner"/>
          <c:xMode val="edge"/>
          <c:yMode val="edge"/>
          <c:x val="9.3280638533343563E-2"/>
          <c:y val="0.15709445150360016"/>
          <c:w val="0.75475158093346228"/>
          <c:h val="0.62393961251026819"/>
        </c:manualLayout>
      </c:layout>
      <c:barChart>
        <c:barDir val="col"/>
        <c:grouping val="stacked"/>
        <c:varyColors val="0"/>
        <c:ser>
          <c:idx val="1"/>
          <c:order val="0"/>
          <c:tx>
            <c:strRef>
              <c:f>'Datentabellen Diagramme'!$A$10</c:f>
              <c:strCache>
                <c:ptCount val="1"/>
                <c:pt idx="0">
                  <c:v>Grobfutter</c:v>
                </c:pt>
              </c:strCache>
            </c:strRef>
          </c:tx>
          <c:spPr>
            <a:solidFill>
              <a:srgbClr val="85C226"/>
            </a:solidFill>
            <a:ln>
              <a:noFill/>
            </a:ln>
            <a:effectLst/>
          </c:spPr>
          <c:invertIfNegative val="0"/>
          <c:cat>
            <c:multiLvlStrRef>
              <c:f>'Datentabellen Diagramme'!$B$8:$AM$9</c:f>
              <c:multiLvlStrCache>
                <c:ptCount val="38"/>
                <c:lvl>
                  <c:pt idx="1">
                    <c:v>01.01.</c:v>
                  </c:pt>
                  <c:pt idx="3">
                    <c:v>Kauf</c:v>
                  </c:pt>
                  <c:pt idx="4">
                    <c:v>Prod</c:v>
                  </c:pt>
                  <c:pt idx="6">
                    <c:v>Kauf</c:v>
                  </c:pt>
                  <c:pt idx="7">
                    <c:v>Prod</c:v>
                  </c:pt>
                  <c:pt idx="9">
                    <c:v>Kauf</c:v>
                  </c:pt>
                  <c:pt idx="10">
                    <c:v>Prod</c:v>
                  </c:pt>
                  <c:pt idx="12">
                    <c:v>Kauf</c:v>
                  </c:pt>
                  <c:pt idx="13">
                    <c:v>Prod</c:v>
                  </c:pt>
                  <c:pt idx="15">
                    <c:v>Kauf</c:v>
                  </c:pt>
                  <c:pt idx="16">
                    <c:v>Prod</c:v>
                  </c:pt>
                  <c:pt idx="18">
                    <c:v>Kauf</c:v>
                  </c:pt>
                  <c:pt idx="19">
                    <c:v>Prod</c:v>
                  </c:pt>
                  <c:pt idx="21">
                    <c:v>Kauf</c:v>
                  </c:pt>
                  <c:pt idx="22">
                    <c:v>Prod</c:v>
                  </c:pt>
                  <c:pt idx="24">
                    <c:v>Kauf</c:v>
                  </c:pt>
                  <c:pt idx="25">
                    <c:v>Prod</c:v>
                  </c:pt>
                  <c:pt idx="27">
                    <c:v>Kauf</c:v>
                  </c:pt>
                  <c:pt idx="28">
                    <c:v>Prod</c:v>
                  </c:pt>
                  <c:pt idx="30">
                    <c:v>Kauf</c:v>
                  </c:pt>
                  <c:pt idx="31">
                    <c:v>Prod</c:v>
                  </c:pt>
                  <c:pt idx="33">
                    <c:v>Kauf</c:v>
                  </c:pt>
                  <c:pt idx="34">
                    <c:v>Prod</c:v>
                  </c:pt>
                  <c:pt idx="36">
                    <c:v>Kauf</c:v>
                  </c:pt>
                  <c:pt idx="37">
                    <c:v>Prod</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Diagramme'!$B$10:$AM$10</c:f>
              <c:numCache>
                <c:formatCode>General</c:formatCode>
                <c:ptCount val="38"/>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0-2070-4B15-BC6E-3E2CD0109AA5}"/>
            </c:ext>
          </c:extLst>
        </c:ser>
        <c:ser>
          <c:idx val="2"/>
          <c:order val="1"/>
          <c:tx>
            <c:strRef>
              <c:f>'Datentabellen Diagramme'!$A$11</c:f>
              <c:strCache>
                <c:ptCount val="1"/>
                <c:pt idx="0">
                  <c:v>Kraftfutter</c:v>
                </c:pt>
              </c:strCache>
            </c:strRef>
          </c:tx>
          <c:spPr>
            <a:solidFill>
              <a:srgbClr val="C84646"/>
            </a:solidFill>
            <a:ln>
              <a:noFill/>
            </a:ln>
            <a:effectLst/>
          </c:spPr>
          <c:invertIfNegative val="0"/>
          <c:cat>
            <c:multiLvlStrRef>
              <c:f>'Datentabellen Diagramme'!$B$8:$AM$9</c:f>
              <c:multiLvlStrCache>
                <c:ptCount val="38"/>
                <c:lvl>
                  <c:pt idx="1">
                    <c:v>01.01.</c:v>
                  </c:pt>
                  <c:pt idx="3">
                    <c:v>Kauf</c:v>
                  </c:pt>
                  <c:pt idx="4">
                    <c:v>Prod</c:v>
                  </c:pt>
                  <c:pt idx="6">
                    <c:v>Kauf</c:v>
                  </c:pt>
                  <c:pt idx="7">
                    <c:v>Prod</c:v>
                  </c:pt>
                  <c:pt idx="9">
                    <c:v>Kauf</c:v>
                  </c:pt>
                  <c:pt idx="10">
                    <c:v>Prod</c:v>
                  </c:pt>
                  <c:pt idx="12">
                    <c:v>Kauf</c:v>
                  </c:pt>
                  <c:pt idx="13">
                    <c:v>Prod</c:v>
                  </c:pt>
                  <c:pt idx="15">
                    <c:v>Kauf</c:v>
                  </c:pt>
                  <c:pt idx="16">
                    <c:v>Prod</c:v>
                  </c:pt>
                  <c:pt idx="18">
                    <c:v>Kauf</c:v>
                  </c:pt>
                  <c:pt idx="19">
                    <c:v>Prod</c:v>
                  </c:pt>
                  <c:pt idx="21">
                    <c:v>Kauf</c:v>
                  </c:pt>
                  <c:pt idx="22">
                    <c:v>Prod</c:v>
                  </c:pt>
                  <c:pt idx="24">
                    <c:v>Kauf</c:v>
                  </c:pt>
                  <c:pt idx="25">
                    <c:v>Prod</c:v>
                  </c:pt>
                  <c:pt idx="27">
                    <c:v>Kauf</c:v>
                  </c:pt>
                  <c:pt idx="28">
                    <c:v>Prod</c:v>
                  </c:pt>
                  <c:pt idx="30">
                    <c:v>Kauf</c:v>
                  </c:pt>
                  <c:pt idx="31">
                    <c:v>Prod</c:v>
                  </c:pt>
                  <c:pt idx="33">
                    <c:v>Kauf</c:v>
                  </c:pt>
                  <c:pt idx="34">
                    <c:v>Prod</c:v>
                  </c:pt>
                  <c:pt idx="36">
                    <c:v>Kauf</c:v>
                  </c:pt>
                  <c:pt idx="37">
                    <c:v>Prod</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Diagramme'!$B$11:$AM$11</c:f>
              <c:numCache>
                <c:formatCode>General</c:formatCode>
                <c:ptCount val="38"/>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1-2070-4B15-BC6E-3E2CD0109AA5}"/>
            </c:ext>
          </c:extLst>
        </c:ser>
        <c:ser>
          <c:idx val="3"/>
          <c:order val="2"/>
          <c:tx>
            <c:strRef>
              <c:f>'Datentabellen Diagramme'!$A$12</c:f>
              <c:strCache>
                <c:ptCount val="1"/>
                <c:pt idx="0">
                  <c:v>Sonst. Biogas-Einsatzstoffe</c:v>
                </c:pt>
              </c:strCache>
            </c:strRef>
          </c:tx>
          <c:spPr>
            <a:solidFill>
              <a:schemeClr val="tx2">
                <a:lumMod val="60000"/>
                <a:lumOff val="40000"/>
              </a:schemeClr>
            </a:solidFill>
            <a:ln>
              <a:noFill/>
            </a:ln>
            <a:effectLst/>
          </c:spPr>
          <c:invertIfNegative val="0"/>
          <c:cat>
            <c:multiLvlStrRef>
              <c:f>'Datentabellen Diagramme'!$B$8:$AM$9</c:f>
              <c:multiLvlStrCache>
                <c:ptCount val="38"/>
                <c:lvl>
                  <c:pt idx="1">
                    <c:v>01.01.</c:v>
                  </c:pt>
                  <c:pt idx="3">
                    <c:v>Kauf</c:v>
                  </c:pt>
                  <c:pt idx="4">
                    <c:v>Prod</c:v>
                  </c:pt>
                  <c:pt idx="6">
                    <c:v>Kauf</c:v>
                  </c:pt>
                  <c:pt idx="7">
                    <c:v>Prod</c:v>
                  </c:pt>
                  <c:pt idx="9">
                    <c:v>Kauf</c:v>
                  </c:pt>
                  <c:pt idx="10">
                    <c:v>Prod</c:v>
                  </c:pt>
                  <c:pt idx="12">
                    <c:v>Kauf</c:v>
                  </c:pt>
                  <c:pt idx="13">
                    <c:v>Prod</c:v>
                  </c:pt>
                  <c:pt idx="15">
                    <c:v>Kauf</c:v>
                  </c:pt>
                  <c:pt idx="16">
                    <c:v>Prod</c:v>
                  </c:pt>
                  <c:pt idx="18">
                    <c:v>Kauf</c:v>
                  </c:pt>
                  <c:pt idx="19">
                    <c:v>Prod</c:v>
                  </c:pt>
                  <c:pt idx="21">
                    <c:v>Kauf</c:v>
                  </c:pt>
                  <c:pt idx="22">
                    <c:v>Prod</c:v>
                  </c:pt>
                  <c:pt idx="24">
                    <c:v>Kauf</c:v>
                  </c:pt>
                  <c:pt idx="25">
                    <c:v>Prod</c:v>
                  </c:pt>
                  <c:pt idx="27">
                    <c:v>Kauf</c:v>
                  </c:pt>
                  <c:pt idx="28">
                    <c:v>Prod</c:v>
                  </c:pt>
                  <c:pt idx="30">
                    <c:v>Kauf</c:v>
                  </c:pt>
                  <c:pt idx="31">
                    <c:v>Prod</c:v>
                  </c:pt>
                  <c:pt idx="33">
                    <c:v>Kauf</c:v>
                  </c:pt>
                  <c:pt idx="34">
                    <c:v>Prod</c:v>
                  </c:pt>
                  <c:pt idx="36">
                    <c:v>Kauf</c:v>
                  </c:pt>
                  <c:pt idx="37">
                    <c:v>Prod</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Diagramme'!$B$12:$AM$12</c:f>
              <c:numCache>
                <c:formatCode>General</c:formatCode>
                <c:ptCount val="38"/>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2-2070-4B15-BC6E-3E2CD0109AA5}"/>
            </c:ext>
          </c:extLst>
        </c:ser>
        <c:dLbls>
          <c:showLegendKey val="0"/>
          <c:showVal val="0"/>
          <c:showCatName val="0"/>
          <c:showSerName val="0"/>
          <c:showPercent val="0"/>
          <c:showBubbleSize val="0"/>
        </c:dLbls>
        <c:gapWidth val="0"/>
        <c:overlap val="100"/>
        <c:axId val="758252416"/>
        <c:axId val="758254384"/>
      </c:barChart>
      <c:catAx>
        <c:axId val="758252416"/>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de-DE"/>
          </a:p>
        </c:txPr>
        <c:crossAx val="758254384"/>
        <c:crosses val="autoZero"/>
        <c:auto val="1"/>
        <c:lblAlgn val="ctr"/>
        <c:lblOffset val="100"/>
        <c:noMultiLvlLbl val="0"/>
      </c:catAx>
      <c:valAx>
        <c:axId val="758254384"/>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r>
                  <a:rPr lang="en-US" b="0">
                    <a:solidFill>
                      <a:schemeClr val="tx1"/>
                    </a:solidFill>
                    <a:latin typeface="Calibri Light" panose="020F0302020204030204" pitchFamily="34" charset="0"/>
                    <a:cs typeface="Calibri Light" panose="020F0302020204030204" pitchFamily="34" charset="0"/>
                  </a:rPr>
                  <a:t>N in t</a:t>
                </a:r>
              </a:p>
            </c:rich>
          </c:tx>
          <c:layout>
            <c:manualLayout>
              <c:xMode val="edge"/>
              <c:yMode val="edge"/>
              <c:x val="1.3131267906183825E-5"/>
              <c:y val="0.3508388264444043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de-DE"/>
            </a:p>
          </c:txPr>
        </c:title>
        <c:numFmt formatCode="General" sourceLinked="1"/>
        <c:majorTickMark val="in"/>
        <c:minorTickMark val="in"/>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de-DE"/>
          </a:p>
        </c:txPr>
        <c:crossAx val="758252416"/>
        <c:crosses val="autoZero"/>
        <c:crossBetween val="between"/>
      </c:valAx>
      <c:spPr>
        <a:noFill/>
        <a:ln>
          <a:noFill/>
        </a:ln>
        <a:effectLst/>
      </c:spPr>
    </c:plotArea>
    <c:legend>
      <c:legendPos val="r"/>
      <c:layout>
        <c:manualLayout>
          <c:xMode val="edge"/>
          <c:yMode val="edge"/>
          <c:x val="0.8436349184777665"/>
          <c:y val="0.16004287631984934"/>
          <c:w val="0.15251508869696845"/>
          <c:h val="0.4136045494313210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9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de-DE" sz="1600" b="1" u="none">
                <a:solidFill>
                  <a:schemeClr val="tx1"/>
                </a:solidFill>
                <a:latin typeface="Calibri Light" panose="020F0302020204030204" pitchFamily="34" charset="0"/>
                <a:cs typeface="Calibri Light" panose="020F0302020204030204" pitchFamily="34" charset="0"/>
              </a:rPr>
              <a:t>Phosphat - An-/Verkauf (Kauf)</a:t>
            </a:r>
            <a:r>
              <a:rPr lang="de-DE" sz="1600" b="1" u="none" baseline="0">
                <a:solidFill>
                  <a:schemeClr val="tx1"/>
                </a:solidFill>
                <a:latin typeface="Calibri Light" panose="020F0302020204030204" pitchFamily="34" charset="0"/>
                <a:cs typeface="Calibri Light" panose="020F0302020204030204" pitchFamily="34" charset="0"/>
              </a:rPr>
              <a:t> und Produktion (Prod) </a:t>
            </a:r>
            <a:endParaRPr lang="de-DE" sz="1600" b="1" u="none">
              <a:solidFill>
                <a:schemeClr val="tx1"/>
              </a:solidFill>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manualLayout>
          <c:layoutTarget val="inner"/>
          <c:xMode val="edge"/>
          <c:yMode val="edge"/>
          <c:x val="9.3815818006435681E-2"/>
          <c:y val="0.17398723669783361"/>
          <c:w val="0.75107272311454565"/>
          <c:h val="0.62370280637997177"/>
        </c:manualLayout>
      </c:layout>
      <c:barChart>
        <c:barDir val="col"/>
        <c:grouping val="stacked"/>
        <c:varyColors val="0"/>
        <c:ser>
          <c:idx val="2"/>
          <c:order val="0"/>
          <c:tx>
            <c:strRef>
              <c:f>'Datentabellen Diagramme'!$A$17</c:f>
              <c:strCache>
                <c:ptCount val="1"/>
                <c:pt idx="0">
                  <c:v>Grobfutter</c:v>
                </c:pt>
              </c:strCache>
            </c:strRef>
          </c:tx>
          <c:spPr>
            <a:solidFill>
              <a:srgbClr val="85C226"/>
            </a:solidFill>
            <a:ln>
              <a:noFill/>
            </a:ln>
            <a:effectLst/>
          </c:spPr>
          <c:invertIfNegative val="0"/>
          <c:cat>
            <c:multiLvlStrRef>
              <c:f>'Datentabellen Diagramme'!$B$15:$AM$16</c:f>
              <c:multiLvlStrCache>
                <c:ptCount val="38"/>
                <c:lvl>
                  <c:pt idx="1">
                    <c:v>01.01.</c:v>
                  </c:pt>
                  <c:pt idx="3">
                    <c:v>Kauf</c:v>
                  </c:pt>
                  <c:pt idx="4">
                    <c:v>Prod</c:v>
                  </c:pt>
                  <c:pt idx="6">
                    <c:v>Kauf</c:v>
                  </c:pt>
                  <c:pt idx="7">
                    <c:v>Prod</c:v>
                  </c:pt>
                  <c:pt idx="9">
                    <c:v>Kauf</c:v>
                  </c:pt>
                  <c:pt idx="10">
                    <c:v>Prod</c:v>
                  </c:pt>
                  <c:pt idx="12">
                    <c:v>Kauf</c:v>
                  </c:pt>
                  <c:pt idx="13">
                    <c:v>Prod</c:v>
                  </c:pt>
                  <c:pt idx="15">
                    <c:v>Kauf</c:v>
                  </c:pt>
                  <c:pt idx="16">
                    <c:v>Prod</c:v>
                  </c:pt>
                  <c:pt idx="18">
                    <c:v>Kauf</c:v>
                  </c:pt>
                  <c:pt idx="19">
                    <c:v>Prod</c:v>
                  </c:pt>
                  <c:pt idx="21">
                    <c:v>Kauf</c:v>
                  </c:pt>
                  <c:pt idx="22">
                    <c:v>Prod</c:v>
                  </c:pt>
                  <c:pt idx="24">
                    <c:v>Kauf</c:v>
                  </c:pt>
                  <c:pt idx="25">
                    <c:v>Prod</c:v>
                  </c:pt>
                  <c:pt idx="27">
                    <c:v>Kauf</c:v>
                  </c:pt>
                  <c:pt idx="28">
                    <c:v>Prod</c:v>
                  </c:pt>
                  <c:pt idx="30">
                    <c:v>Kauf</c:v>
                  </c:pt>
                  <c:pt idx="31">
                    <c:v>Prod</c:v>
                  </c:pt>
                  <c:pt idx="33">
                    <c:v>Kauf</c:v>
                  </c:pt>
                  <c:pt idx="34">
                    <c:v>Prod</c:v>
                  </c:pt>
                  <c:pt idx="36">
                    <c:v>Kauf</c:v>
                  </c:pt>
                  <c:pt idx="37">
                    <c:v>Prod</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Diagramme'!$B$17:$AM$17</c:f>
              <c:numCache>
                <c:formatCode>General</c:formatCode>
                <c:ptCount val="38"/>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1-D560-4628-9CD1-797E2948347E}"/>
            </c:ext>
          </c:extLst>
        </c:ser>
        <c:ser>
          <c:idx val="3"/>
          <c:order val="1"/>
          <c:tx>
            <c:strRef>
              <c:f>'Datentabellen Diagramme'!$A$18</c:f>
              <c:strCache>
                <c:ptCount val="1"/>
                <c:pt idx="0">
                  <c:v>Kraftfutter</c:v>
                </c:pt>
              </c:strCache>
            </c:strRef>
          </c:tx>
          <c:spPr>
            <a:solidFill>
              <a:srgbClr val="C84646"/>
            </a:solidFill>
            <a:ln>
              <a:noFill/>
            </a:ln>
            <a:effectLst/>
          </c:spPr>
          <c:invertIfNegative val="0"/>
          <c:cat>
            <c:multiLvlStrRef>
              <c:f>'Datentabellen Diagramme'!$B$15:$AM$16</c:f>
              <c:multiLvlStrCache>
                <c:ptCount val="38"/>
                <c:lvl>
                  <c:pt idx="1">
                    <c:v>01.01.</c:v>
                  </c:pt>
                  <c:pt idx="3">
                    <c:v>Kauf</c:v>
                  </c:pt>
                  <c:pt idx="4">
                    <c:v>Prod</c:v>
                  </c:pt>
                  <c:pt idx="6">
                    <c:v>Kauf</c:v>
                  </c:pt>
                  <c:pt idx="7">
                    <c:v>Prod</c:v>
                  </c:pt>
                  <c:pt idx="9">
                    <c:v>Kauf</c:v>
                  </c:pt>
                  <c:pt idx="10">
                    <c:v>Prod</c:v>
                  </c:pt>
                  <c:pt idx="12">
                    <c:v>Kauf</c:v>
                  </c:pt>
                  <c:pt idx="13">
                    <c:v>Prod</c:v>
                  </c:pt>
                  <c:pt idx="15">
                    <c:v>Kauf</c:v>
                  </c:pt>
                  <c:pt idx="16">
                    <c:v>Prod</c:v>
                  </c:pt>
                  <c:pt idx="18">
                    <c:v>Kauf</c:v>
                  </c:pt>
                  <c:pt idx="19">
                    <c:v>Prod</c:v>
                  </c:pt>
                  <c:pt idx="21">
                    <c:v>Kauf</c:v>
                  </c:pt>
                  <c:pt idx="22">
                    <c:v>Prod</c:v>
                  </c:pt>
                  <c:pt idx="24">
                    <c:v>Kauf</c:v>
                  </c:pt>
                  <c:pt idx="25">
                    <c:v>Prod</c:v>
                  </c:pt>
                  <c:pt idx="27">
                    <c:v>Kauf</c:v>
                  </c:pt>
                  <c:pt idx="28">
                    <c:v>Prod</c:v>
                  </c:pt>
                  <c:pt idx="30">
                    <c:v>Kauf</c:v>
                  </c:pt>
                  <c:pt idx="31">
                    <c:v>Prod</c:v>
                  </c:pt>
                  <c:pt idx="33">
                    <c:v>Kauf</c:v>
                  </c:pt>
                  <c:pt idx="34">
                    <c:v>Prod</c:v>
                  </c:pt>
                  <c:pt idx="36">
                    <c:v>Kauf</c:v>
                  </c:pt>
                  <c:pt idx="37">
                    <c:v>Prod</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Diagramme'!$B$18:$AM$18</c:f>
              <c:numCache>
                <c:formatCode>General</c:formatCode>
                <c:ptCount val="38"/>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2-D560-4628-9CD1-797E2948347E}"/>
            </c:ext>
          </c:extLst>
        </c:ser>
        <c:ser>
          <c:idx val="0"/>
          <c:order val="2"/>
          <c:tx>
            <c:strRef>
              <c:f>'Datentabellen Diagramme'!$A$19</c:f>
              <c:strCache>
                <c:ptCount val="1"/>
                <c:pt idx="0">
                  <c:v>Sonst. Biogas-Einsatzstoffe</c:v>
                </c:pt>
              </c:strCache>
            </c:strRef>
          </c:tx>
          <c:spPr>
            <a:solidFill>
              <a:schemeClr val="tx2">
                <a:lumMod val="60000"/>
                <a:lumOff val="40000"/>
              </a:schemeClr>
            </a:solidFill>
            <a:ln>
              <a:noFill/>
            </a:ln>
            <a:effectLst/>
          </c:spPr>
          <c:invertIfNegative val="0"/>
          <c:cat>
            <c:multiLvlStrRef>
              <c:f>'Datentabellen Diagramme'!$B$15:$AM$16</c:f>
              <c:multiLvlStrCache>
                <c:ptCount val="38"/>
                <c:lvl>
                  <c:pt idx="1">
                    <c:v>01.01.</c:v>
                  </c:pt>
                  <c:pt idx="3">
                    <c:v>Kauf</c:v>
                  </c:pt>
                  <c:pt idx="4">
                    <c:v>Prod</c:v>
                  </c:pt>
                  <c:pt idx="6">
                    <c:v>Kauf</c:v>
                  </c:pt>
                  <c:pt idx="7">
                    <c:v>Prod</c:v>
                  </c:pt>
                  <c:pt idx="9">
                    <c:v>Kauf</c:v>
                  </c:pt>
                  <c:pt idx="10">
                    <c:v>Prod</c:v>
                  </c:pt>
                  <c:pt idx="12">
                    <c:v>Kauf</c:v>
                  </c:pt>
                  <c:pt idx="13">
                    <c:v>Prod</c:v>
                  </c:pt>
                  <c:pt idx="15">
                    <c:v>Kauf</c:v>
                  </c:pt>
                  <c:pt idx="16">
                    <c:v>Prod</c:v>
                  </c:pt>
                  <c:pt idx="18">
                    <c:v>Kauf</c:v>
                  </c:pt>
                  <c:pt idx="19">
                    <c:v>Prod</c:v>
                  </c:pt>
                  <c:pt idx="21">
                    <c:v>Kauf</c:v>
                  </c:pt>
                  <c:pt idx="22">
                    <c:v>Prod</c:v>
                  </c:pt>
                  <c:pt idx="24">
                    <c:v>Kauf</c:v>
                  </c:pt>
                  <c:pt idx="25">
                    <c:v>Prod</c:v>
                  </c:pt>
                  <c:pt idx="27">
                    <c:v>Kauf</c:v>
                  </c:pt>
                  <c:pt idx="28">
                    <c:v>Prod</c:v>
                  </c:pt>
                  <c:pt idx="30">
                    <c:v>Kauf</c:v>
                  </c:pt>
                  <c:pt idx="31">
                    <c:v>Prod</c:v>
                  </c:pt>
                  <c:pt idx="33">
                    <c:v>Kauf</c:v>
                  </c:pt>
                  <c:pt idx="34">
                    <c:v>Prod</c:v>
                  </c:pt>
                  <c:pt idx="36">
                    <c:v>Kauf</c:v>
                  </c:pt>
                  <c:pt idx="37">
                    <c:v>Prod</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Diagramme'!$B$19:$AM$19</c:f>
              <c:numCache>
                <c:formatCode>General</c:formatCode>
                <c:ptCount val="38"/>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4-D560-4628-9CD1-797E2948347E}"/>
            </c:ext>
          </c:extLst>
        </c:ser>
        <c:dLbls>
          <c:showLegendKey val="0"/>
          <c:showVal val="0"/>
          <c:showCatName val="0"/>
          <c:showSerName val="0"/>
          <c:showPercent val="0"/>
          <c:showBubbleSize val="0"/>
        </c:dLbls>
        <c:gapWidth val="0"/>
        <c:overlap val="100"/>
        <c:axId val="758252416"/>
        <c:axId val="758254384"/>
      </c:barChart>
      <c:catAx>
        <c:axId val="758252416"/>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de-DE"/>
          </a:p>
        </c:txPr>
        <c:crossAx val="758254384"/>
        <c:crosses val="autoZero"/>
        <c:auto val="1"/>
        <c:lblAlgn val="ctr"/>
        <c:lblOffset val="100"/>
        <c:noMultiLvlLbl val="0"/>
      </c:catAx>
      <c:valAx>
        <c:axId val="758254384"/>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r>
                  <a:rPr lang="en-US" b="0">
                    <a:solidFill>
                      <a:schemeClr val="tx1"/>
                    </a:solidFill>
                    <a:latin typeface="Calibri Light" panose="020F0302020204030204" pitchFamily="34" charset="0"/>
                    <a:cs typeface="Calibri Light" panose="020F0302020204030204" pitchFamily="34" charset="0"/>
                  </a:rPr>
                  <a:t>P</a:t>
                </a:r>
                <a:r>
                  <a:rPr lang="en-US" b="0" baseline="-25000">
                    <a:solidFill>
                      <a:schemeClr val="tx1"/>
                    </a:solidFill>
                    <a:latin typeface="Calibri Light" panose="020F0302020204030204" pitchFamily="34" charset="0"/>
                    <a:cs typeface="Calibri Light" panose="020F0302020204030204" pitchFamily="34" charset="0"/>
                  </a:rPr>
                  <a:t>2</a:t>
                </a:r>
                <a:r>
                  <a:rPr lang="en-US" b="0">
                    <a:solidFill>
                      <a:schemeClr val="tx1"/>
                    </a:solidFill>
                    <a:latin typeface="Calibri Light" panose="020F0302020204030204" pitchFamily="34" charset="0"/>
                    <a:cs typeface="Calibri Light" panose="020F0302020204030204" pitchFamily="34" charset="0"/>
                  </a:rPr>
                  <a:t>O</a:t>
                </a:r>
                <a:r>
                  <a:rPr lang="en-US" b="0" baseline="-25000">
                    <a:solidFill>
                      <a:schemeClr val="tx1"/>
                    </a:solidFill>
                    <a:latin typeface="Calibri Light" panose="020F0302020204030204" pitchFamily="34" charset="0"/>
                    <a:cs typeface="Calibri Light" panose="020F0302020204030204" pitchFamily="34" charset="0"/>
                  </a:rPr>
                  <a:t>5</a:t>
                </a:r>
                <a:r>
                  <a:rPr lang="en-US" b="0">
                    <a:solidFill>
                      <a:schemeClr val="tx1"/>
                    </a:solidFill>
                    <a:latin typeface="Calibri Light" panose="020F0302020204030204" pitchFamily="34" charset="0"/>
                    <a:cs typeface="Calibri Light" panose="020F0302020204030204" pitchFamily="34" charset="0"/>
                  </a:rPr>
                  <a:t> in t</a:t>
                </a:r>
              </a:p>
            </c:rich>
          </c:tx>
          <c:layout>
            <c:manualLayout>
              <c:xMode val="edge"/>
              <c:yMode val="edge"/>
              <c:x val="7.8202123130330647E-3"/>
              <c:y val="0.4017338433471009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de-DE"/>
            </a:p>
          </c:txPr>
        </c:title>
        <c:numFmt formatCode="General" sourceLinked="1"/>
        <c:majorTickMark val="in"/>
        <c:minorTickMark val="in"/>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libri Light" panose="020F0302020204030204" pitchFamily="34" charset="0"/>
                <a:ea typeface="+mn-ea"/>
                <a:cs typeface="Calibri Light" panose="020F0302020204030204" pitchFamily="34" charset="0"/>
              </a:defRPr>
            </a:pPr>
            <a:endParaRPr lang="de-DE"/>
          </a:p>
        </c:txPr>
        <c:crossAx val="758252416"/>
        <c:crosses val="autoZero"/>
        <c:crossBetween val="between"/>
      </c:valAx>
      <c:spPr>
        <a:noFill/>
        <a:ln>
          <a:noFill/>
        </a:ln>
        <a:effectLst/>
      </c:spPr>
    </c:plotArea>
    <c:legend>
      <c:legendPos val="r"/>
      <c:layout>
        <c:manualLayout>
          <c:xMode val="edge"/>
          <c:yMode val="edge"/>
          <c:x val="0.83439411873872271"/>
          <c:y val="0.18659213140993033"/>
          <c:w val="0.16560583194442116"/>
          <c:h val="0.415076635629151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9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15" dropStyle="combo" dx="16" fmlaLink="$BM$69" fmlaRange="Tiere!$B$30:$B$114" noThreeD="1" sel="1" val="0"/>
</file>

<file path=xl/ctrlProps/ctrlProp10.xml><?xml version="1.0" encoding="utf-8"?>
<formControlPr xmlns="http://schemas.microsoft.com/office/spreadsheetml/2009/9/main" objectType="Drop" dropLines="15" dropStyle="combo" dx="16" fmlaLink="$BM$80" fmlaRange="Tiere!$B$30:$B$114" noThreeD="1" sel="1" val="0"/>
</file>

<file path=xl/ctrlProps/ctrlProp100.xml><?xml version="1.0" encoding="utf-8"?>
<formControlPr xmlns="http://schemas.microsoft.com/office/spreadsheetml/2009/9/main" objectType="Drop" dropLines="35" dropStyle="combo" dx="16" fmlaLink="$AX$129" fmlaRange="Pflanzen!$C$5:$C$104" noThreeD="1" sel="1" val="0"/>
</file>

<file path=xl/ctrlProps/ctrlProp101.xml><?xml version="1.0" encoding="utf-8"?>
<formControlPr xmlns="http://schemas.microsoft.com/office/spreadsheetml/2009/9/main" objectType="Drop" dropLines="35" dropStyle="combo" dx="16" fmlaLink="$AX$130" fmlaRange="Pflanzen!$C$5:$C$104" noThreeD="1" sel="1" val="0"/>
</file>

<file path=xl/ctrlProps/ctrlProp102.xml><?xml version="1.0" encoding="utf-8"?>
<formControlPr xmlns="http://schemas.microsoft.com/office/spreadsheetml/2009/9/main" objectType="CheckBox" fmlaLink="$P$310" lockText="1" noThreeD="1"/>
</file>

<file path=xl/ctrlProps/ctrlProp103.xml><?xml version="1.0" encoding="utf-8"?>
<formControlPr xmlns="http://schemas.microsoft.com/office/spreadsheetml/2009/9/main" objectType="CheckBox" fmlaLink="$P$310" lockText="1" noThreeD="1"/>
</file>

<file path=xl/ctrlProps/ctrlProp104.xml><?xml version="1.0" encoding="utf-8"?>
<formControlPr xmlns="http://schemas.microsoft.com/office/spreadsheetml/2009/9/main" objectType="CheckBox" fmlaLink="$P$311" lockText="1" noThreeD="1"/>
</file>

<file path=xl/ctrlProps/ctrlProp105.xml><?xml version="1.0" encoding="utf-8"?>
<formControlPr xmlns="http://schemas.microsoft.com/office/spreadsheetml/2009/9/main" objectType="CheckBox" fmlaLink="$P$310" lockText="1" noThreeD="1"/>
</file>

<file path=xl/ctrlProps/ctrlProp106.xml><?xml version="1.0" encoding="utf-8"?>
<formControlPr xmlns="http://schemas.microsoft.com/office/spreadsheetml/2009/9/main" objectType="CheckBox" fmlaLink="$P$309" lockText="1" noThreeD="1"/>
</file>

<file path=xl/ctrlProps/ctrlProp107.xml><?xml version="1.0" encoding="utf-8"?>
<formControlPr xmlns="http://schemas.microsoft.com/office/spreadsheetml/2009/9/main" objectType="CheckBox" fmlaLink="$P$312" lockText="1" noThreeD="1"/>
</file>

<file path=xl/ctrlProps/ctrlProp108.xml><?xml version="1.0" encoding="utf-8"?>
<formControlPr xmlns="http://schemas.microsoft.com/office/spreadsheetml/2009/9/main" objectType="CheckBox" fmlaLink="$P$310" lockText="1" noThreeD="1"/>
</file>

<file path=xl/ctrlProps/ctrlProp109.xml><?xml version="1.0" encoding="utf-8"?>
<formControlPr xmlns="http://schemas.microsoft.com/office/spreadsheetml/2009/9/main" objectType="CheckBox" fmlaLink="$P$309" lockText="1" noThreeD="1"/>
</file>

<file path=xl/ctrlProps/ctrlProp11.xml><?xml version="1.0" encoding="utf-8"?>
<formControlPr xmlns="http://schemas.microsoft.com/office/spreadsheetml/2009/9/main" objectType="Drop" dropLines="15" dropStyle="combo" dx="16" fmlaLink="$BM$81" fmlaRange="Tiere!$B$30:$B$114" noThreeD="1" sel="1" val="0"/>
</file>

<file path=xl/ctrlProps/ctrlProp110.xml><?xml version="1.0" encoding="utf-8"?>
<formControlPr xmlns="http://schemas.microsoft.com/office/spreadsheetml/2009/9/main" objectType="CheckBox" fmlaLink="$P$313" lockText="1" noThreeD="1"/>
</file>

<file path=xl/ctrlProps/ctrlProp111.xml><?xml version="1.0" encoding="utf-8"?>
<formControlPr xmlns="http://schemas.microsoft.com/office/spreadsheetml/2009/9/main" objectType="CheckBox" fmlaLink="$P$310" lockText="1" noThreeD="1"/>
</file>

<file path=xl/ctrlProps/ctrlProp112.xml><?xml version="1.0" encoding="utf-8"?>
<formControlPr xmlns="http://schemas.microsoft.com/office/spreadsheetml/2009/9/main" objectType="CheckBox" fmlaLink="$P$309" lockText="1" noThreeD="1"/>
</file>

<file path=xl/ctrlProps/ctrlProp113.xml><?xml version="1.0" encoding="utf-8"?>
<formControlPr xmlns="http://schemas.microsoft.com/office/spreadsheetml/2009/9/main" objectType="CheckBox" fmlaLink="$P$314" lockText="1" noThreeD="1"/>
</file>

<file path=xl/ctrlProps/ctrlProp114.xml><?xml version="1.0" encoding="utf-8"?>
<formControlPr xmlns="http://schemas.microsoft.com/office/spreadsheetml/2009/9/main" objectType="CheckBox" fmlaLink="$P$310" lockText="1" noThreeD="1"/>
</file>

<file path=xl/ctrlProps/ctrlProp115.xml><?xml version="1.0" encoding="utf-8"?>
<formControlPr xmlns="http://schemas.microsoft.com/office/spreadsheetml/2009/9/main" objectType="CheckBox" fmlaLink="$P$309" lockText="1" noThreeD="1"/>
</file>

<file path=xl/ctrlProps/ctrlProp116.xml><?xml version="1.0" encoding="utf-8"?>
<formControlPr xmlns="http://schemas.microsoft.com/office/spreadsheetml/2009/9/main" objectType="CheckBox" fmlaLink="$P$315" lockText="1" noThreeD="1"/>
</file>

<file path=xl/ctrlProps/ctrlProp117.xml><?xml version="1.0" encoding="utf-8"?>
<formControlPr xmlns="http://schemas.microsoft.com/office/spreadsheetml/2009/9/main" objectType="CheckBox" fmlaLink="$P$310" lockText="1" noThreeD="1"/>
</file>

<file path=xl/ctrlProps/ctrlProp118.xml><?xml version="1.0" encoding="utf-8"?>
<formControlPr xmlns="http://schemas.microsoft.com/office/spreadsheetml/2009/9/main" objectType="CheckBox" fmlaLink="$P$309" lockText="1" noThreeD="1"/>
</file>

<file path=xl/ctrlProps/ctrlProp119.xml><?xml version="1.0" encoding="utf-8"?>
<formControlPr xmlns="http://schemas.microsoft.com/office/spreadsheetml/2009/9/main" objectType="CheckBox" fmlaLink="$P$316" lockText="1" noThreeD="1"/>
</file>

<file path=xl/ctrlProps/ctrlProp12.xml><?xml version="1.0" encoding="utf-8"?>
<formControlPr xmlns="http://schemas.microsoft.com/office/spreadsheetml/2009/9/main" objectType="Drop" dropStyle="combo" dx="16" fmlaLink="$BN$68" fmlaRange="Stroh!$B$2:$B$4" noThreeD="1" sel="1" val="0"/>
</file>

<file path=xl/ctrlProps/ctrlProp120.xml><?xml version="1.0" encoding="utf-8"?>
<formControlPr xmlns="http://schemas.microsoft.com/office/spreadsheetml/2009/9/main" objectType="CheckBox" fmlaLink="$P$310" lockText="1" noThreeD="1"/>
</file>

<file path=xl/ctrlProps/ctrlProp121.xml><?xml version="1.0" encoding="utf-8"?>
<formControlPr xmlns="http://schemas.microsoft.com/office/spreadsheetml/2009/9/main" objectType="CheckBox" fmlaLink="$P$309" lockText="1" noThreeD="1"/>
</file>

<file path=xl/ctrlProps/ctrlProp122.xml><?xml version="1.0" encoding="utf-8"?>
<formControlPr xmlns="http://schemas.microsoft.com/office/spreadsheetml/2009/9/main" objectType="CheckBox" fmlaLink="$P$317" lockText="1" noThreeD="1"/>
</file>

<file path=xl/ctrlProps/ctrlProp123.xml><?xml version="1.0" encoding="utf-8"?>
<formControlPr xmlns="http://schemas.microsoft.com/office/spreadsheetml/2009/9/main" objectType="CheckBox" fmlaLink="$P$310" lockText="1" noThreeD="1"/>
</file>

<file path=xl/ctrlProps/ctrlProp124.xml><?xml version="1.0" encoding="utf-8"?>
<formControlPr xmlns="http://schemas.microsoft.com/office/spreadsheetml/2009/9/main" objectType="CheckBox" fmlaLink="$P$309" lockText="1" noThreeD="1"/>
</file>

<file path=xl/ctrlProps/ctrlProp125.xml><?xml version="1.0" encoding="utf-8"?>
<formControlPr xmlns="http://schemas.microsoft.com/office/spreadsheetml/2009/9/main" objectType="CheckBox" fmlaLink="$P$318" lockText="1" noThreeD="1"/>
</file>

<file path=xl/ctrlProps/ctrlProp126.xml><?xml version="1.0" encoding="utf-8"?>
<formControlPr xmlns="http://schemas.microsoft.com/office/spreadsheetml/2009/9/main" objectType="CheckBox" fmlaLink="$P$310" lockText="1" noThreeD="1"/>
</file>

<file path=xl/ctrlProps/ctrlProp127.xml><?xml version="1.0" encoding="utf-8"?>
<formControlPr xmlns="http://schemas.microsoft.com/office/spreadsheetml/2009/9/main" objectType="CheckBox" fmlaLink="$P$309" lockText="1" noThreeD="1"/>
</file>

<file path=xl/ctrlProps/ctrlProp128.xml><?xml version="1.0" encoding="utf-8"?>
<formControlPr xmlns="http://schemas.microsoft.com/office/spreadsheetml/2009/9/main" objectType="CheckBox" fmlaLink="$P$319" lockText="1" noThreeD="1"/>
</file>

<file path=xl/ctrlProps/ctrlProp129.xml><?xml version="1.0" encoding="utf-8"?>
<formControlPr xmlns="http://schemas.microsoft.com/office/spreadsheetml/2009/9/main" objectType="CheckBox" fmlaLink="$P$310" lockText="1" noThreeD="1"/>
</file>

<file path=xl/ctrlProps/ctrlProp13.xml><?xml version="1.0" encoding="utf-8"?>
<formControlPr xmlns="http://schemas.microsoft.com/office/spreadsheetml/2009/9/main" objectType="Drop" dropLines="15" dropStyle="combo" dx="16" fmlaLink="$BM$68" fmlaRange="Tiere!$B$30:$B$114" noThreeD="1" sel="1" val="0"/>
</file>

<file path=xl/ctrlProps/ctrlProp130.xml><?xml version="1.0" encoding="utf-8"?>
<formControlPr xmlns="http://schemas.microsoft.com/office/spreadsheetml/2009/9/main" objectType="CheckBox" fmlaLink="$P$309" lockText="1" noThreeD="1"/>
</file>

<file path=xl/ctrlProps/ctrlProp131.xml><?xml version="1.0" encoding="utf-8"?>
<formControlPr xmlns="http://schemas.microsoft.com/office/spreadsheetml/2009/9/main" objectType="CheckBox" fmlaLink="$P$320" lockText="1" noThreeD="1"/>
</file>

<file path=xl/ctrlProps/ctrlProp132.xml><?xml version="1.0" encoding="utf-8"?>
<formControlPr xmlns="http://schemas.microsoft.com/office/spreadsheetml/2009/9/main" objectType="CheckBox" fmlaLink="$P$310" lockText="1" noThreeD="1"/>
</file>

<file path=xl/ctrlProps/ctrlProp133.xml><?xml version="1.0" encoding="utf-8"?>
<formControlPr xmlns="http://schemas.microsoft.com/office/spreadsheetml/2009/9/main" objectType="CheckBox" fmlaLink="$P$309" lockText="1" noThreeD="1"/>
</file>

<file path=xl/ctrlProps/ctrlProp134.xml><?xml version="1.0" encoding="utf-8"?>
<formControlPr xmlns="http://schemas.microsoft.com/office/spreadsheetml/2009/9/main" objectType="CheckBox" fmlaLink="$P$321" lockText="1" noThreeD="1"/>
</file>

<file path=xl/ctrlProps/ctrlProp135.xml><?xml version="1.0" encoding="utf-8"?>
<formControlPr xmlns="http://schemas.microsoft.com/office/spreadsheetml/2009/9/main" objectType="CheckBox" fmlaLink="$P$310" lockText="1" noThreeD="1"/>
</file>

<file path=xl/ctrlProps/ctrlProp136.xml><?xml version="1.0" encoding="utf-8"?>
<formControlPr xmlns="http://schemas.microsoft.com/office/spreadsheetml/2009/9/main" objectType="CheckBox" fmlaLink="$P$309" lockText="1" noThreeD="1"/>
</file>

<file path=xl/ctrlProps/ctrlProp137.xml><?xml version="1.0" encoding="utf-8"?>
<formControlPr xmlns="http://schemas.microsoft.com/office/spreadsheetml/2009/9/main" objectType="CheckBox" fmlaLink="$P$322" lockText="1" noThreeD="1"/>
</file>

<file path=xl/ctrlProps/ctrlProp138.xml><?xml version="1.0" encoding="utf-8"?>
<formControlPr xmlns="http://schemas.microsoft.com/office/spreadsheetml/2009/9/main" objectType="CheckBox" fmlaLink="$P$310" lockText="1" noThreeD="1"/>
</file>

<file path=xl/ctrlProps/ctrlProp139.xml><?xml version="1.0" encoding="utf-8"?>
<formControlPr xmlns="http://schemas.microsoft.com/office/spreadsheetml/2009/9/main" objectType="CheckBox" fmlaLink="$P$309" lockText="1" noThreeD="1"/>
</file>

<file path=xl/ctrlProps/ctrlProp14.xml><?xml version="1.0" encoding="utf-8"?>
<formControlPr xmlns="http://schemas.microsoft.com/office/spreadsheetml/2009/9/main" objectType="Drop" dropStyle="combo" dx="16" fmlaLink="$BN$69" fmlaRange="Stroh!$B$2:$B$4" noThreeD="1" sel="1" val="0"/>
</file>

<file path=xl/ctrlProps/ctrlProp140.xml><?xml version="1.0" encoding="utf-8"?>
<formControlPr xmlns="http://schemas.microsoft.com/office/spreadsheetml/2009/9/main" objectType="CheckBox" fmlaLink="$P$323" lockText="1" noThreeD="1"/>
</file>

<file path=xl/ctrlProps/ctrlProp141.xml><?xml version="1.0" encoding="utf-8"?>
<formControlPr xmlns="http://schemas.microsoft.com/office/spreadsheetml/2009/9/main" objectType="CheckBox" fmlaLink="$P$310" lockText="1" noThreeD="1"/>
</file>

<file path=xl/ctrlProps/ctrlProp142.xml><?xml version="1.0" encoding="utf-8"?>
<formControlPr xmlns="http://schemas.microsoft.com/office/spreadsheetml/2009/9/main" objectType="CheckBox" fmlaLink="$P$309" lockText="1" noThreeD="1"/>
</file>

<file path=xl/ctrlProps/ctrlProp143.xml><?xml version="1.0" encoding="utf-8"?>
<formControlPr xmlns="http://schemas.microsoft.com/office/spreadsheetml/2009/9/main" objectType="CheckBox" fmlaLink="$P$324" lockText="1" noThreeD="1"/>
</file>

<file path=xl/ctrlProps/ctrlProp144.xml><?xml version="1.0" encoding="utf-8"?>
<formControlPr xmlns="http://schemas.microsoft.com/office/spreadsheetml/2009/9/main" objectType="CheckBox" fmlaLink="$P$310" lockText="1" noThreeD="1"/>
</file>

<file path=xl/ctrlProps/ctrlProp145.xml><?xml version="1.0" encoding="utf-8"?>
<formControlPr xmlns="http://schemas.microsoft.com/office/spreadsheetml/2009/9/main" objectType="CheckBox" fmlaLink="$P$309" lockText="1" noThreeD="1"/>
</file>

<file path=xl/ctrlProps/ctrlProp146.xml><?xml version="1.0" encoding="utf-8"?>
<formControlPr xmlns="http://schemas.microsoft.com/office/spreadsheetml/2009/9/main" objectType="CheckBox" fmlaLink="$P$325" lockText="1" noThreeD="1"/>
</file>

<file path=xl/ctrlProps/ctrlProp147.xml><?xml version="1.0" encoding="utf-8"?>
<formControlPr xmlns="http://schemas.microsoft.com/office/spreadsheetml/2009/9/main" objectType="CheckBox" fmlaLink="$P$310" lockText="1" noThreeD="1"/>
</file>

<file path=xl/ctrlProps/ctrlProp148.xml><?xml version="1.0" encoding="utf-8"?>
<formControlPr xmlns="http://schemas.microsoft.com/office/spreadsheetml/2009/9/main" objectType="CheckBox" fmlaLink="$P$309" lockText="1" noThreeD="1"/>
</file>

<file path=xl/ctrlProps/ctrlProp149.xml><?xml version="1.0" encoding="utf-8"?>
<formControlPr xmlns="http://schemas.microsoft.com/office/spreadsheetml/2009/9/main" objectType="CheckBox" fmlaLink="$P$326" lockText="1" noThreeD="1"/>
</file>

<file path=xl/ctrlProps/ctrlProp15.xml><?xml version="1.0" encoding="utf-8"?>
<formControlPr xmlns="http://schemas.microsoft.com/office/spreadsheetml/2009/9/main" objectType="Drop" dropStyle="combo" dx="16" fmlaLink="$BN$70" fmlaRange="Stroh!$B$2:$B$4" noThreeD="1" sel="1" val="0"/>
</file>

<file path=xl/ctrlProps/ctrlProp150.xml><?xml version="1.0" encoding="utf-8"?>
<formControlPr xmlns="http://schemas.microsoft.com/office/spreadsheetml/2009/9/main" objectType="CheckBox" fmlaLink="$P$310" lockText="1" noThreeD="1"/>
</file>

<file path=xl/ctrlProps/ctrlProp151.xml><?xml version="1.0" encoding="utf-8"?>
<formControlPr xmlns="http://schemas.microsoft.com/office/spreadsheetml/2009/9/main" objectType="CheckBox" fmlaLink="$P$309" lockText="1" noThreeD="1"/>
</file>

<file path=xl/ctrlProps/ctrlProp152.xml><?xml version="1.0" encoding="utf-8"?>
<formControlPr xmlns="http://schemas.microsoft.com/office/spreadsheetml/2009/9/main" objectType="CheckBox" fmlaLink="$P$327" lockText="1" noThreeD="1"/>
</file>

<file path=xl/ctrlProps/ctrlProp153.xml><?xml version="1.0" encoding="utf-8"?>
<formControlPr xmlns="http://schemas.microsoft.com/office/spreadsheetml/2009/9/main" objectType="CheckBox" fmlaLink="$P$310" lockText="1" noThreeD="1"/>
</file>

<file path=xl/ctrlProps/ctrlProp154.xml><?xml version="1.0" encoding="utf-8"?>
<formControlPr xmlns="http://schemas.microsoft.com/office/spreadsheetml/2009/9/main" objectType="CheckBox" fmlaLink="$P$309" lockText="1" noThreeD="1"/>
</file>

<file path=xl/ctrlProps/ctrlProp155.xml><?xml version="1.0" encoding="utf-8"?>
<formControlPr xmlns="http://schemas.microsoft.com/office/spreadsheetml/2009/9/main" objectType="CheckBox" fmlaLink="$P$328" lockText="1" noThreeD="1"/>
</file>

<file path=xl/ctrlProps/ctrlProp156.xml><?xml version="1.0" encoding="utf-8"?>
<formControlPr xmlns="http://schemas.microsoft.com/office/spreadsheetml/2009/9/main" objectType="CheckBox" fmlaLink="$P$310" lockText="1" noThreeD="1"/>
</file>

<file path=xl/ctrlProps/ctrlProp157.xml><?xml version="1.0" encoding="utf-8"?>
<formControlPr xmlns="http://schemas.microsoft.com/office/spreadsheetml/2009/9/main" objectType="CheckBox" fmlaLink="$P$309" lockText="1" noThreeD="1"/>
</file>

<file path=xl/ctrlProps/ctrlProp158.xml><?xml version="1.0" encoding="utf-8"?>
<formControlPr xmlns="http://schemas.microsoft.com/office/spreadsheetml/2009/9/main" objectType="CheckBox" fmlaLink="$P$329" lockText="1" noThreeD="1"/>
</file>

<file path=xl/ctrlProps/ctrlProp159.xml><?xml version="1.0" encoding="utf-8"?>
<formControlPr xmlns="http://schemas.microsoft.com/office/spreadsheetml/2009/9/main" objectType="CheckBox" fmlaLink="$P$310" lockText="1" noThreeD="1"/>
</file>

<file path=xl/ctrlProps/ctrlProp16.xml><?xml version="1.0" encoding="utf-8"?>
<formControlPr xmlns="http://schemas.microsoft.com/office/spreadsheetml/2009/9/main" objectType="Drop" dropStyle="combo" dx="16" fmlaLink="$BN$71" fmlaRange="Stroh!$B$2:$B$4" noThreeD="1" sel="1" val="0"/>
</file>

<file path=xl/ctrlProps/ctrlProp160.xml><?xml version="1.0" encoding="utf-8"?>
<formControlPr xmlns="http://schemas.microsoft.com/office/spreadsheetml/2009/9/main" objectType="CheckBox" fmlaLink="$P$309" lockText="1" noThreeD="1"/>
</file>

<file path=xl/ctrlProps/ctrlProp161.xml><?xml version="1.0" encoding="utf-8"?>
<formControlPr xmlns="http://schemas.microsoft.com/office/spreadsheetml/2009/9/main" objectType="CheckBox" fmlaLink="$P$330" lockText="1" noThreeD="1"/>
</file>

<file path=xl/ctrlProps/ctrlProp162.xml><?xml version="1.0" encoding="utf-8"?>
<formControlPr xmlns="http://schemas.microsoft.com/office/spreadsheetml/2009/9/main" objectType="CheckBox" fmlaLink="$P$310" lockText="1" noThreeD="1"/>
</file>

<file path=xl/ctrlProps/ctrlProp163.xml><?xml version="1.0" encoding="utf-8"?>
<formControlPr xmlns="http://schemas.microsoft.com/office/spreadsheetml/2009/9/main" objectType="CheckBox" fmlaLink="$P$309" lockText="1" noThreeD="1"/>
</file>

<file path=xl/ctrlProps/ctrlProp164.xml><?xml version="1.0" encoding="utf-8"?>
<formControlPr xmlns="http://schemas.microsoft.com/office/spreadsheetml/2009/9/main" objectType="CheckBox" fmlaLink="$P$331" lockText="1" noThreeD="1"/>
</file>

<file path=xl/ctrlProps/ctrlProp165.xml><?xml version="1.0" encoding="utf-8"?>
<formControlPr xmlns="http://schemas.microsoft.com/office/spreadsheetml/2009/9/main" objectType="CheckBox" fmlaLink="$P$310" lockText="1" noThreeD="1"/>
</file>

<file path=xl/ctrlProps/ctrlProp166.xml><?xml version="1.0" encoding="utf-8"?>
<formControlPr xmlns="http://schemas.microsoft.com/office/spreadsheetml/2009/9/main" objectType="CheckBox" fmlaLink="$P$309" lockText="1" noThreeD="1"/>
</file>

<file path=xl/ctrlProps/ctrlProp167.xml><?xml version="1.0" encoding="utf-8"?>
<formControlPr xmlns="http://schemas.microsoft.com/office/spreadsheetml/2009/9/main" objectType="CheckBox" fmlaLink="$P$332" lockText="1" noThreeD="1"/>
</file>

<file path=xl/ctrlProps/ctrlProp168.xml><?xml version="1.0" encoding="utf-8"?>
<formControlPr xmlns="http://schemas.microsoft.com/office/spreadsheetml/2009/9/main" objectType="CheckBox" fmlaLink="$P$310" lockText="1" noThreeD="1"/>
</file>

<file path=xl/ctrlProps/ctrlProp169.xml><?xml version="1.0" encoding="utf-8"?>
<formControlPr xmlns="http://schemas.microsoft.com/office/spreadsheetml/2009/9/main" objectType="CheckBox" fmlaLink="$P$309" lockText="1" noThreeD="1"/>
</file>

<file path=xl/ctrlProps/ctrlProp17.xml><?xml version="1.0" encoding="utf-8"?>
<formControlPr xmlns="http://schemas.microsoft.com/office/spreadsheetml/2009/9/main" objectType="Drop" dropStyle="combo" dx="16" fmlaLink="$BN$72" fmlaRange="Stroh!$B$2:$B$4" noThreeD="1" sel="1" val="0"/>
</file>

<file path=xl/ctrlProps/ctrlProp170.xml><?xml version="1.0" encoding="utf-8"?>
<formControlPr xmlns="http://schemas.microsoft.com/office/spreadsheetml/2009/9/main" objectType="CheckBox" fmlaLink="$P$333" lockText="1" noThreeD="1"/>
</file>

<file path=xl/ctrlProps/ctrlProp171.xml><?xml version="1.0" encoding="utf-8"?>
<formControlPr xmlns="http://schemas.microsoft.com/office/spreadsheetml/2009/9/main" objectType="CheckBox" fmlaLink="$P$310" lockText="1" noThreeD="1"/>
</file>

<file path=xl/ctrlProps/ctrlProp172.xml><?xml version="1.0" encoding="utf-8"?>
<formControlPr xmlns="http://schemas.microsoft.com/office/spreadsheetml/2009/9/main" objectType="CheckBox" fmlaLink="$P$309" lockText="1" noThreeD="1"/>
</file>

<file path=xl/ctrlProps/ctrlProp173.xml><?xml version="1.0" encoding="utf-8"?>
<formControlPr xmlns="http://schemas.microsoft.com/office/spreadsheetml/2009/9/main" objectType="CheckBox" fmlaLink="$P$334" lockText="1" noThreeD="1"/>
</file>

<file path=xl/ctrlProps/ctrlProp174.xml><?xml version="1.0" encoding="utf-8"?>
<formControlPr xmlns="http://schemas.microsoft.com/office/spreadsheetml/2009/9/main" objectType="CheckBox" fmlaLink="$P$310" lockText="1" noThreeD="1"/>
</file>

<file path=xl/ctrlProps/ctrlProp175.xml><?xml version="1.0" encoding="utf-8"?>
<formControlPr xmlns="http://schemas.microsoft.com/office/spreadsheetml/2009/9/main" objectType="CheckBox" fmlaLink="$P$309" lockText="1" noThreeD="1"/>
</file>

<file path=xl/ctrlProps/ctrlProp176.xml><?xml version="1.0" encoding="utf-8"?>
<formControlPr xmlns="http://schemas.microsoft.com/office/spreadsheetml/2009/9/main" objectType="CheckBox" fmlaLink="$P$335" lockText="1" noThreeD="1"/>
</file>

<file path=xl/ctrlProps/ctrlProp177.xml><?xml version="1.0" encoding="utf-8"?>
<formControlPr xmlns="http://schemas.microsoft.com/office/spreadsheetml/2009/9/main" objectType="CheckBox" fmlaLink="$P$310" lockText="1" noThreeD="1"/>
</file>

<file path=xl/ctrlProps/ctrlProp178.xml><?xml version="1.0" encoding="utf-8"?>
<formControlPr xmlns="http://schemas.microsoft.com/office/spreadsheetml/2009/9/main" objectType="CheckBox" fmlaLink="$P$309" lockText="1" noThreeD="1"/>
</file>

<file path=xl/ctrlProps/ctrlProp179.xml><?xml version="1.0" encoding="utf-8"?>
<formControlPr xmlns="http://schemas.microsoft.com/office/spreadsheetml/2009/9/main" objectType="CheckBox" fmlaLink="$P$336" lockText="1" noThreeD="1"/>
</file>

<file path=xl/ctrlProps/ctrlProp18.xml><?xml version="1.0" encoding="utf-8"?>
<formControlPr xmlns="http://schemas.microsoft.com/office/spreadsheetml/2009/9/main" objectType="Drop" dropStyle="combo" dx="16" fmlaLink="$BN$73" fmlaRange="Stroh!$B$2:$B$4" noThreeD="1" sel="1" val="0"/>
</file>

<file path=xl/ctrlProps/ctrlProp180.xml><?xml version="1.0" encoding="utf-8"?>
<formControlPr xmlns="http://schemas.microsoft.com/office/spreadsheetml/2009/9/main" objectType="CheckBox" fmlaLink="$P$310" lockText="1" noThreeD="1"/>
</file>

<file path=xl/ctrlProps/ctrlProp181.xml><?xml version="1.0" encoding="utf-8"?>
<formControlPr xmlns="http://schemas.microsoft.com/office/spreadsheetml/2009/9/main" objectType="CheckBox" fmlaLink="$P$337" lockText="1" noThreeD="1"/>
</file>

<file path=xl/ctrlProps/ctrlProp182.xml><?xml version="1.0" encoding="utf-8"?>
<formControlPr xmlns="http://schemas.microsoft.com/office/spreadsheetml/2009/9/main" objectType="Drop" dropLines="3" dropStyle="combo" dx="16" fmlaLink="$AD$308" fmlaRange="Stroh!$H$2:$H$4" noThreeD="1" sel="1" val="0"/>
</file>

<file path=xl/ctrlProps/ctrlProp183.xml><?xml version="1.0" encoding="utf-8"?>
<formControlPr xmlns="http://schemas.microsoft.com/office/spreadsheetml/2009/9/main" objectType="Drop" dropLines="3" dropStyle="combo" dx="16" fmlaLink="$AD$309" fmlaRange="Stroh!$H$2:$H$4" noThreeD="1" sel="1" val="0"/>
</file>

<file path=xl/ctrlProps/ctrlProp184.xml><?xml version="1.0" encoding="utf-8"?>
<formControlPr xmlns="http://schemas.microsoft.com/office/spreadsheetml/2009/9/main" objectType="Drop" dropLines="3" dropStyle="combo" dx="16" fmlaLink="$AD$310" fmlaRange="Stroh!$H$2:$H$4" noThreeD="1" sel="1" val="0"/>
</file>

<file path=xl/ctrlProps/ctrlProp185.xml><?xml version="1.0" encoding="utf-8"?>
<formControlPr xmlns="http://schemas.microsoft.com/office/spreadsheetml/2009/9/main" objectType="Drop" dropLines="3" dropStyle="combo" dx="16" fmlaLink="$AD$311" fmlaRange="Stroh!$H$2:$H$4" noThreeD="1" sel="1" val="0"/>
</file>

<file path=xl/ctrlProps/ctrlProp186.xml><?xml version="1.0" encoding="utf-8"?>
<formControlPr xmlns="http://schemas.microsoft.com/office/spreadsheetml/2009/9/main" objectType="Drop" dropLines="3" dropStyle="combo" dx="16" fmlaLink="$AD$312" fmlaRange="Stroh!$H$2:$H$4" noThreeD="1" sel="1" val="0"/>
</file>

<file path=xl/ctrlProps/ctrlProp187.xml><?xml version="1.0" encoding="utf-8"?>
<formControlPr xmlns="http://schemas.microsoft.com/office/spreadsheetml/2009/9/main" objectType="Drop" dropLines="3" dropStyle="combo" dx="16" fmlaLink="$AD$313" fmlaRange="Stroh!$H$2:$H$4" noThreeD="1" sel="1" val="0"/>
</file>

<file path=xl/ctrlProps/ctrlProp188.xml><?xml version="1.0" encoding="utf-8"?>
<formControlPr xmlns="http://schemas.microsoft.com/office/spreadsheetml/2009/9/main" objectType="Drop" dropLines="3" dropStyle="combo" dx="16" fmlaLink="$AD$314" fmlaRange="Stroh!$H$2:$H$4" noThreeD="1" sel="1" val="0"/>
</file>

<file path=xl/ctrlProps/ctrlProp189.xml><?xml version="1.0" encoding="utf-8"?>
<formControlPr xmlns="http://schemas.microsoft.com/office/spreadsheetml/2009/9/main" objectType="Drop" dropLines="3" dropStyle="combo" dx="16" fmlaLink="$AD$315" fmlaRange="Stroh!$H$2:$H$4" noThreeD="1" sel="1" val="0"/>
</file>

<file path=xl/ctrlProps/ctrlProp19.xml><?xml version="1.0" encoding="utf-8"?>
<formControlPr xmlns="http://schemas.microsoft.com/office/spreadsheetml/2009/9/main" objectType="Drop" dropStyle="combo" dx="16" fmlaLink="$BN$74" fmlaRange="Stroh!$B$2:$B$4" noThreeD="1" sel="1" val="0"/>
</file>

<file path=xl/ctrlProps/ctrlProp190.xml><?xml version="1.0" encoding="utf-8"?>
<formControlPr xmlns="http://schemas.microsoft.com/office/spreadsheetml/2009/9/main" objectType="Drop" dropLines="3" dropStyle="combo" dx="16" fmlaLink="$AD$316" fmlaRange="Stroh!$H$2:$H$4" noThreeD="1" sel="1" val="0"/>
</file>

<file path=xl/ctrlProps/ctrlProp191.xml><?xml version="1.0" encoding="utf-8"?>
<formControlPr xmlns="http://schemas.microsoft.com/office/spreadsheetml/2009/9/main" objectType="Drop" dropLines="3" dropStyle="combo" dx="16" fmlaLink="$AD$317" fmlaRange="Stroh!$H$2:$H$4" noThreeD="1" sel="1" val="0"/>
</file>

<file path=xl/ctrlProps/ctrlProp192.xml><?xml version="1.0" encoding="utf-8"?>
<formControlPr xmlns="http://schemas.microsoft.com/office/spreadsheetml/2009/9/main" objectType="Drop" dropLines="3" dropStyle="combo" dx="16" fmlaLink="$AD$318" fmlaRange="Stroh!$H$2:$H$4" noThreeD="1" sel="1" val="0"/>
</file>

<file path=xl/ctrlProps/ctrlProp193.xml><?xml version="1.0" encoding="utf-8"?>
<formControlPr xmlns="http://schemas.microsoft.com/office/spreadsheetml/2009/9/main" objectType="Drop" dropLines="3" dropStyle="combo" dx="16" fmlaLink="$AD$319" fmlaRange="Stroh!$H$2:$H$4" noThreeD="1" sel="1" val="0"/>
</file>

<file path=xl/ctrlProps/ctrlProp194.xml><?xml version="1.0" encoding="utf-8"?>
<formControlPr xmlns="http://schemas.microsoft.com/office/spreadsheetml/2009/9/main" objectType="Drop" dropLines="3" dropStyle="combo" dx="16" fmlaLink="$AD$320" fmlaRange="Stroh!$H$2:$H$4" noThreeD="1" sel="1" val="0"/>
</file>

<file path=xl/ctrlProps/ctrlProp195.xml><?xml version="1.0" encoding="utf-8"?>
<formControlPr xmlns="http://schemas.microsoft.com/office/spreadsheetml/2009/9/main" objectType="Drop" dropLines="3" dropStyle="combo" dx="16" fmlaLink="$AD$321" fmlaRange="Stroh!$H$2:$H$4" noThreeD="1" sel="1" val="0"/>
</file>

<file path=xl/ctrlProps/ctrlProp196.xml><?xml version="1.0" encoding="utf-8"?>
<formControlPr xmlns="http://schemas.microsoft.com/office/spreadsheetml/2009/9/main" objectType="Drop" dropLines="3" dropStyle="combo" dx="16" fmlaLink="$AD$322" fmlaRange="Stroh!$H$2:$H$4" noThreeD="1" sel="1" val="0"/>
</file>

<file path=xl/ctrlProps/ctrlProp197.xml><?xml version="1.0" encoding="utf-8"?>
<formControlPr xmlns="http://schemas.microsoft.com/office/spreadsheetml/2009/9/main" objectType="Drop" dropLines="3" dropStyle="combo" dx="16" fmlaLink="$AD$323" fmlaRange="Stroh!$H$2:$H$4" noThreeD="1" sel="1" val="0"/>
</file>

<file path=xl/ctrlProps/ctrlProp198.xml><?xml version="1.0" encoding="utf-8"?>
<formControlPr xmlns="http://schemas.microsoft.com/office/spreadsheetml/2009/9/main" objectType="Drop" dropLines="3" dropStyle="combo" dx="16" fmlaLink="$AD$324" fmlaRange="Stroh!$H$2:$H$4" noThreeD="1" sel="1" val="0"/>
</file>

<file path=xl/ctrlProps/ctrlProp199.xml><?xml version="1.0" encoding="utf-8"?>
<formControlPr xmlns="http://schemas.microsoft.com/office/spreadsheetml/2009/9/main" objectType="Drop" dropLines="3" dropStyle="combo" dx="16" fmlaLink="$AD$325" fmlaRange="Stroh!$H$2:$H$4" noThreeD="1" sel="1" val="0"/>
</file>

<file path=xl/ctrlProps/ctrlProp2.xml><?xml version="1.0" encoding="utf-8"?>
<formControlPr xmlns="http://schemas.microsoft.com/office/spreadsheetml/2009/9/main" objectType="Drop" dropLines="15" dropStyle="combo" dx="16" fmlaLink="$BM$70" fmlaRange="Tiere!$B$30:$B$114" noThreeD="1" sel="1" val="0"/>
</file>

<file path=xl/ctrlProps/ctrlProp20.xml><?xml version="1.0" encoding="utf-8"?>
<formControlPr xmlns="http://schemas.microsoft.com/office/spreadsheetml/2009/9/main" objectType="Drop" dropStyle="combo" dx="16" fmlaLink="$BN$75" fmlaRange="Stroh!$B$2:$B$4" noThreeD="1" sel="1" val="0"/>
</file>

<file path=xl/ctrlProps/ctrlProp200.xml><?xml version="1.0" encoding="utf-8"?>
<formControlPr xmlns="http://schemas.microsoft.com/office/spreadsheetml/2009/9/main" objectType="Drop" dropLines="3" dropStyle="combo" dx="16" fmlaLink="$AD$326" fmlaRange="Stroh!$H$2:$H$4" noThreeD="1" sel="1" val="0"/>
</file>

<file path=xl/ctrlProps/ctrlProp201.xml><?xml version="1.0" encoding="utf-8"?>
<formControlPr xmlns="http://schemas.microsoft.com/office/spreadsheetml/2009/9/main" objectType="Drop" dropLines="3" dropStyle="combo" dx="16" fmlaLink="$AD$327" fmlaRange="Stroh!$H$2:$H$4" noThreeD="1" sel="1" val="0"/>
</file>

<file path=xl/ctrlProps/ctrlProp202.xml><?xml version="1.0" encoding="utf-8"?>
<formControlPr xmlns="http://schemas.microsoft.com/office/spreadsheetml/2009/9/main" objectType="Drop" dropLines="3" dropStyle="combo" dx="16" fmlaLink="$AD$328" fmlaRange="Stroh!$H$2:$H$4" noThreeD="1" sel="1" val="0"/>
</file>

<file path=xl/ctrlProps/ctrlProp203.xml><?xml version="1.0" encoding="utf-8"?>
<formControlPr xmlns="http://schemas.microsoft.com/office/spreadsheetml/2009/9/main" objectType="Drop" dropLines="3" dropStyle="combo" dx="16" fmlaLink="$AD$329" fmlaRange="Stroh!$H$2:$H$4" noThreeD="1" sel="1" val="0"/>
</file>

<file path=xl/ctrlProps/ctrlProp204.xml><?xml version="1.0" encoding="utf-8"?>
<formControlPr xmlns="http://schemas.microsoft.com/office/spreadsheetml/2009/9/main" objectType="Drop" dropLines="3" dropStyle="combo" dx="16" fmlaLink="$AD$330" fmlaRange="Stroh!$H$2:$H$4" noThreeD="1" sel="1" val="0"/>
</file>

<file path=xl/ctrlProps/ctrlProp205.xml><?xml version="1.0" encoding="utf-8"?>
<formControlPr xmlns="http://schemas.microsoft.com/office/spreadsheetml/2009/9/main" objectType="Drop" dropLines="3" dropStyle="combo" dx="16" fmlaLink="$AD$331" fmlaRange="Stroh!$H$2:$H$4" noThreeD="1" sel="1" val="0"/>
</file>

<file path=xl/ctrlProps/ctrlProp206.xml><?xml version="1.0" encoding="utf-8"?>
<formControlPr xmlns="http://schemas.microsoft.com/office/spreadsheetml/2009/9/main" objectType="Drop" dropLines="3" dropStyle="combo" dx="16" fmlaLink="$AD$332" fmlaRange="Stroh!$H$2:$H$4" noThreeD="1" sel="1" val="0"/>
</file>

<file path=xl/ctrlProps/ctrlProp207.xml><?xml version="1.0" encoding="utf-8"?>
<formControlPr xmlns="http://schemas.microsoft.com/office/spreadsheetml/2009/9/main" objectType="Drop" dropLines="3" dropStyle="combo" dx="16" fmlaLink="$AD$333" fmlaRange="Stroh!$H$2:$H$4" noThreeD="1" sel="1" val="0"/>
</file>

<file path=xl/ctrlProps/ctrlProp208.xml><?xml version="1.0" encoding="utf-8"?>
<formControlPr xmlns="http://schemas.microsoft.com/office/spreadsheetml/2009/9/main" objectType="Drop" dropLines="3" dropStyle="combo" dx="16" fmlaLink="$AD$334" fmlaRange="Stroh!$H$2:$H$4" noThreeD="1" sel="1" val="0"/>
</file>

<file path=xl/ctrlProps/ctrlProp209.xml><?xml version="1.0" encoding="utf-8"?>
<formControlPr xmlns="http://schemas.microsoft.com/office/spreadsheetml/2009/9/main" objectType="Drop" dropLines="3" dropStyle="combo" dx="16" fmlaLink="$AD$335" fmlaRange="Stroh!$H$2:$H$4" noThreeD="1" sel="1" val="0"/>
</file>

<file path=xl/ctrlProps/ctrlProp21.xml><?xml version="1.0" encoding="utf-8"?>
<formControlPr xmlns="http://schemas.microsoft.com/office/spreadsheetml/2009/9/main" objectType="Drop" dropStyle="combo" dx="16" fmlaLink="$BN$76" fmlaRange="Stroh!$B$2:$B$4" noThreeD="1" sel="1" val="0"/>
</file>

<file path=xl/ctrlProps/ctrlProp210.xml><?xml version="1.0" encoding="utf-8"?>
<formControlPr xmlns="http://schemas.microsoft.com/office/spreadsheetml/2009/9/main" objectType="Drop" dropLines="3" dropStyle="combo" dx="16" fmlaLink="$AD$336" fmlaRange="Stroh!$H$2:$H$4" noThreeD="1" sel="1" val="0"/>
</file>

<file path=xl/ctrlProps/ctrlProp211.xml><?xml version="1.0" encoding="utf-8"?>
<formControlPr xmlns="http://schemas.microsoft.com/office/spreadsheetml/2009/9/main" objectType="Drop" dropLines="3" dropStyle="combo" dx="16" fmlaLink="$AD$337" fmlaRange="Stroh!$H$2:$H$4" noThreeD="1" sel="1" val="0"/>
</file>

<file path=xl/ctrlProps/ctrlProp212.xml><?xml version="1.0" encoding="utf-8"?>
<formControlPr xmlns="http://schemas.microsoft.com/office/spreadsheetml/2009/9/main" objectType="Drop" dropLines="35" dropStyle="combo" dx="16" fmlaLink="$AX$113" fmlaRange="Pflanzen!$C$5:$C$104" noThreeD="1" sel="1" val="64"/>
</file>

<file path=xl/ctrlProps/ctrlProp213.xml><?xml version="1.0" encoding="utf-8"?>
<formControlPr xmlns="http://schemas.microsoft.com/office/spreadsheetml/2009/9/main" objectType="Drop" dropLines="35" dropStyle="combo" dx="16" fmlaLink="$AX$114" fmlaRange="Pflanzen!$C$5:$C$104" noThreeD="1" sel="1" val="59"/>
</file>

<file path=xl/ctrlProps/ctrlProp214.xml><?xml version="1.0" encoding="utf-8"?>
<formControlPr xmlns="http://schemas.microsoft.com/office/spreadsheetml/2009/9/main" objectType="Drop" dropLines="35" dropStyle="combo" dx="16" fmlaLink="$AX$115" fmlaRange="Pflanzen!$C$5:$C$104" noThreeD="1" sel="1" val="0"/>
</file>

<file path=xl/ctrlProps/ctrlProp215.xml><?xml version="1.0" encoding="utf-8"?>
<formControlPr xmlns="http://schemas.microsoft.com/office/spreadsheetml/2009/9/main" objectType="Drop" dropLines="35" dropStyle="combo" dx="16" fmlaLink="$AX$116" fmlaRange="Pflanzen!$C$5:$C$104" noThreeD="1" sel="1" val="0"/>
</file>

<file path=xl/ctrlProps/ctrlProp216.xml><?xml version="1.0" encoding="utf-8"?>
<formControlPr xmlns="http://schemas.microsoft.com/office/spreadsheetml/2009/9/main" objectType="Drop" dropLines="35" dropStyle="combo" dx="16" fmlaLink="$AX$117" fmlaRange="Pflanzen!$C$5:$C$104" noThreeD="1" sel="1" val="0"/>
</file>

<file path=xl/ctrlProps/ctrlProp217.xml><?xml version="1.0" encoding="utf-8"?>
<formControlPr xmlns="http://schemas.microsoft.com/office/spreadsheetml/2009/9/main" objectType="Drop" dropLines="35" dropStyle="combo" dx="16" fmlaLink="$AX$118" fmlaRange="Pflanzen!$C$5:$C$104" noThreeD="1" sel="1" val="0"/>
</file>

<file path=xl/ctrlProps/ctrlProp218.xml><?xml version="1.0" encoding="utf-8"?>
<formControlPr xmlns="http://schemas.microsoft.com/office/spreadsheetml/2009/9/main" objectType="Drop" dropLines="35" dropStyle="combo" dx="16" fmlaLink="$AX$119" fmlaRange="Pflanzen!$C$5:$C$104" noThreeD="1" sel="1" val="0"/>
</file>

<file path=xl/ctrlProps/ctrlProp219.xml><?xml version="1.0" encoding="utf-8"?>
<formControlPr xmlns="http://schemas.microsoft.com/office/spreadsheetml/2009/9/main" objectType="Drop" dropLines="35" dropStyle="combo" dx="16" fmlaLink="$AX$120" fmlaRange="Pflanzen!$C$5:$C$104" noThreeD="1" sel="1" val="0"/>
</file>

<file path=xl/ctrlProps/ctrlProp22.xml><?xml version="1.0" encoding="utf-8"?>
<formControlPr xmlns="http://schemas.microsoft.com/office/spreadsheetml/2009/9/main" objectType="Drop" dropStyle="combo" dx="16" fmlaLink="$BN$79" fmlaRange="Stroh!$B$2:$B$4" noThreeD="1" sel="1" val="0"/>
</file>

<file path=xl/ctrlProps/ctrlProp220.xml><?xml version="1.0" encoding="utf-8"?>
<formControlPr xmlns="http://schemas.microsoft.com/office/spreadsheetml/2009/9/main" objectType="Drop" dropLines="35" dropStyle="combo" dx="16" fmlaLink="$AX$121" fmlaRange="Pflanzen!$C$5:$C$104" noThreeD="1" sel="1" val="64"/>
</file>

<file path=xl/ctrlProps/ctrlProp221.xml><?xml version="1.0" encoding="utf-8"?>
<formControlPr xmlns="http://schemas.microsoft.com/office/spreadsheetml/2009/9/main" objectType="Drop" dropLines="35" dropStyle="combo" dx="16" fmlaLink="$AX$122" fmlaRange="Pflanzen!$C$5:$C$104" noThreeD="1" sel="1" val="64"/>
</file>

<file path=xl/ctrlProps/ctrlProp222.xml><?xml version="1.0" encoding="utf-8"?>
<formControlPr xmlns="http://schemas.microsoft.com/office/spreadsheetml/2009/9/main" objectType="Drop" dropLines="35" dropStyle="combo" dx="16" fmlaLink="$AX$123" fmlaRange="Pflanzen!$C$5:$C$104" noThreeD="1" sel="1" val="64"/>
</file>

<file path=xl/ctrlProps/ctrlProp223.xml><?xml version="1.0" encoding="utf-8"?>
<formControlPr xmlns="http://schemas.microsoft.com/office/spreadsheetml/2009/9/main" objectType="Drop" dropLines="35" dropStyle="combo" dx="16" fmlaLink="$AX$124" fmlaRange="Pflanzen!$C$5:$C$104" noThreeD="1" sel="1" val="64"/>
</file>

<file path=xl/ctrlProps/ctrlProp224.xml><?xml version="1.0" encoding="utf-8"?>
<formControlPr xmlns="http://schemas.microsoft.com/office/spreadsheetml/2009/9/main" objectType="Drop" dropLines="35" dropStyle="combo" dx="16" fmlaLink="$AX$125" fmlaRange="Pflanzen!$C$5:$C$104" noThreeD="1" sel="1" val="64"/>
</file>

<file path=xl/ctrlProps/ctrlProp225.xml><?xml version="1.0" encoding="utf-8"?>
<formControlPr xmlns="http://schemas.microsoft.com/office/spreadsheetml/2009/9/main" objectType="Drop" dropLines="35" dropStyle="combo" dx="16" fmlaLink="$AX$126" fmlaRange="Pflanzen!$C$5:$C$104" noThreeD="1" sel="1" val="0"/>
</file>

<file path=xl/ctrlProps/ctrlProp226.xml><?xml version="1.0" encoding="utf-8"?>
<formControlPr xmlns="http://schemas.microsoft.com/office/spreadsheetml/2009/9/main" objectType="Drop" dropLines="35" dropStyle="combo" dx="16" fmlaLink="$AX$127" fmlaRange="Pflanzen!$C$5:$C$104" noThreeD="1" sel="1" val="64"/>
</file>

<file path=xl/ctrlProps/ctrlProp227.xml><?xml version="1.0" encoding="utf-8"?>
<formControlPr xmlns="http://schemas.microsoft.com/office/spreadsheetml/2009/9/main" objectType="Drop" dropLines="35" dropStyle="combo" dx="16" fmlaLink="$AX$128" fmlaRange="Pflanzen!$C$5:$C$104" noThreeD="1" sel="1" val="64"/>
</file>

<file path=xl/ctrlProps/ctrlProp228.xml><?xml version="1.0" encoding="utf-8"?>
<formControlPr xmlns="http://schemas.microsoft.com/office/spreadsheetml/2009/9/main" objectType="Drop" dropLines="35" dropStyle="combo" dx="16" fmlaLink="$AX$129" fmlaRange="Pflanzen!$C$5:$C$104" noThreeD="1" sel="1" val="0"/>
</file>

<file path=xl/ctrlProps/ctrlProp229.xml><?xml version="1.0" encoding="utf-8"?>
<formControlPr xmlns="http://schemas.microsoft.com/office/spreadsheetml/2009/9/main" objectType="Drop" dropLines="35" dropStyle="combo" dx="16" fmlaLink="$AX$130" fmlaRange="Pflanzen!$C$5:$C$104" noThreeD="1" sel="1" val="0"/>
</file>

<file path=xl/ctrlProps/ctrlProp23.xml><?xml version="1.0" encoding="utf-8"?>
<formControlPr xmlns="http://schemas.microsoft.com/office/spreadsheetml/2009/9/main" objectType="Drop" dropStyle="combo" dx="16" fmlaLink="$BN$80" fmlaRange="Stroh!$B$2:$B$4" noThreeD="1" sel="1" val="0"/>
</file>

<file path=xl/ctrlProps/ctrlProp230.xml><?xml version="1.0" encoding="utf-8"?>
<formControlPr xmlns="http://schemas.microsoft.com/office/spreadsheetml/2009/9/main" objectType="Drop" dropLines="35" dropStyle="combo" dx="16" fmlaLink="$BR$137" fmlaRange="Pflanzen!$A$5:$A$112" noThreeD="1" sel="1" val="0"/>
</file>

<file path=xl/ctrlProps/ctrlProp231.xml><?xml version="1.0" encoding="utf-8"?>
<formControlPr xmlns="http://schemas.microsoft.com/office/spreadsheetml/2009/9/main" objectType="Drop" dropLines="35" dropStyle="combo" dx="16" fmlaLink="$BR$138" fmlaRange="Pflanzen!$A$5:$A$112" noThreeD="1" sel="1" val="0"/>
</file>

<file path=xl/ctrlProps/ctrlProp232.xml><?xml version="1.0" encoding="utf-8"?>
<formControlPr xmlns="http://schemas.microsoft.com/office/spreadsheetml/2009/9/main" objectType="Drop" dropLines="35" dropStyle="combo" dx="16" fmlaLink="$BR$139" fmlaRange="Pflanzen!$A$5:$A$112" noThreeD="1" sel="1" val="0"/>
</file>

<file path=xl/ctrlProps/ctrlProp233.xml><?xml version="1.0" encoding="utf-8"?>
<formControlPr xmlns="http://schemas.microsoft.com/office/spreadsheetml/2009/9/main" objectType="Drop" dropLines="35" dropStyle="combo" dx="16" fmlaLink="$BR$140" fmlaRange="Pflanzen!$A$5:$A$112" noThreeD="1" sel="1" val="0"/>
</file>

<file path=xl/ctrlProps/ctrlProp234.xml><?xml version="1.0" encoding="utf-8"?>
<formControlPr xmlns="http://schemas.microsoft.com/office/spreadsheetml/2009/9/main" objectType="Drop" dropLines="35" dropStyle="combo" dx="16" fmlaLink="$BR$141" fmlaRange="Pflanzen!$A$5:$A$112" noThreeD="1" sel="1" val="0"/>
</file>

<file path=xl/ctrlProps/ctrlProp235.xml><?xml version="1.0" encoding="utf-8"?>
<formControlPr xmlns="http://schemas.microsoft.com/office/spreadsheetml/2009/9/main" objectType="Drop" dropLines="35" dropStyle="combo" dx="16" fmlaLink="$BR$142" fmlaRange="Pflanzen!$A$5:$A$112" noThreeD="1" sel="1" val="0"/>
</file>

<file path=xl/ctrlProps/ctrlProp236.xml><?xml version="1.0" encoding="utf-8"?>
<formControlPr xmlns="http://schemas.microsoft.com/office/spreadsheetml/2009/9/main" objectType="Drop" dropLines="35" dropStyle="combo" dx="16" fmlaLink="$BR$143" fmlaRange="Pflanzen!$A$5:$A$112" noThreeD="1" sel="1" val="72"/>
</file>

<file path=xl/ctrlProps/ctrlProp237.xml><?xml version="1.0" encoding="utf-8"?>
<formControlPr xmlns="http://schemas.microsoft.com/office/spreadsheetml/2009/9/main" objectType="Drop" dropLines="35" dropStyle="combo" dx="16" fmlaLink="$BR$144" fmlaRange="Pflanzen!$A$5:$A$112" noThreeD="1" sel="1" val="0"/>
</file>

<file path=xl/ctrlProps/ctrlProp238.xml><?xml version="1.0" encoding="utf-8"?>
<formControlPr xmlns="http://schemas.microsoft.com/office/spreadsheetml/2009/9/main" objectType="Drop" dropLines="35" dropStyle="combo" dx="16" fmlaLink="$BR$145" fmlaRange="Pflanzen!$A$5:$A$112" noThreeD="1" sel="1" val="64"/>
</file>

<file path=xl/ctrlProps/ctrlProp239.xml><?xml version="1.0" encoding="utf-8"?>
<formControlPr xmlns="http://schemas.microsoft.com/office/spreadsheetml/2009/9/main" objectType="Drop" dropLines="35" dropStyle="combo" dx="16" fmlaLink="$BR$146" fmlaRange="Pflanzen!$A$5:$A$112" noThreeD="1" sel="1" val="0"/>
</file>

<file path=xl/ctrlProps/ctrlProp24.xml><?xml version="1.0" encoding="utf-8"?>
<formControlPr xmlns="http://schemas.microsoft.com/office/spreadsheetml/2009/9/main" objectType="Drop" dropStyle="combo" dx="16" fmlaLink="$BN$81" fmlaRange="Stroh!$B$2:$B$4" noThreeD="1" sel="1" val="0"/>
</file>

<file path=xl/ctrlProps/ctrlProp240.xml><?xml version="1.0" encoding="utf-8"?>
<formControlPr xmlns="http://schemas.microsoft.com/office/spreadsheetml/2009/9/main" objectType="Drop" dropLines="35" dropStyle="combo" dx="16" fmlaLink="$BR$147" fmlaRange="Pflanzen!$A$5:$A$112" noThreeD="1" sel="1" val="0"/>
</file>

<file path=xl/ctrlProps/ctrlProp241.xml><?xml version="1.0" encoding="utf-8"?>
<formControlPr xmlns="http://schemas.microsoft.com/office/spreadsheetml/2009/9/main" objectType="Drop" dropLines="35" dropStyle="combo" dx="16" fmlaLink="$BR$148" fmlaRange="Pflanzen!$A$5:$A$112" noThreeD="1" sel="1" val="64"/>
</file>

<file path=xl/ctrlProps/ctrlProp242.xml><?xml version="1.0" encoding="utf-8"?>
<formControlPr xmlns="http://schemas.microsoft.com/office/spreadsheetml/2009/9/main" objectType="Drop" dropLines="35" dropStyle="combo" dx="16" fmlaLink="$BR$149" fmlaRange="Pflanzen!$A$5:$A$112" noThreeD="1" sel="1" val="64"/>
</file>

<file path=xl/ctrlProps/ctrlProp243.xml><?xml version="1.0" encoding="utf-8"?>
<formControlPr xmlns="http://schemas.microsoft.com/office/spreadsheetml/2009/9/main" objectType="Drop" dropLines="35" dropStyle="combo" dx="16" fmlaLink="$BR$150" fmlaRange="Pflanzen!$A$5:$A$112" noThreeD="1" sel="1" val="0"/>
</file>

<file path=xl/ctrlProps/ctrlProp244.xml><?xml version="1.0" encoding="utf-8"?>
<formControlPr xmlns="http://schemas.microsoft.com/office/spreadsheetml/2009/9/main" objectType="Drop" dropLines="35" dropStyle="combo" dx="16" fmlaLink="$BR$151" fmlaRange="Pflanzen!$A$5:$A$112" noThreeD="1" sel="1" val="63"/>
</file>

<file path=xl/ctrlProps/ctrlProp245.xml><?xml version="1.0" encoding="utf-8"?>
<formControlPr xmlns="http://schemas.microsoft.com/office/spreadsheetml/2009/9/main" objectType="Drop" dropLines="35" dropStyle="combo" dx="16" fmlaLink="$BR$152" fmlaRange="Pflanzen!$A$5:$A$112" noThreeD="1" sel="1" val="64"/>
</file>

<file path=xl/ctrlProps/ctrlProp246.xml><?xml version="1.0" encoding="utf-8"?>
<formControlPr xmlns="http://schemas.microsoft.com/office/spreadsheetml/2009/9/main" objectType="Drop" dropLines="35" dropStyle="combo" dx="16" fmlaLink="$BR$153" fmlaRange="Pflanzen!$A$5:$A$112" noThreeD="1" sel="1" val="0"/>
</file>

<file path=xl/ctrlProps/ctrlProp247.xml><?xml version="1.0" encoding="utf-8"?>
<formControlPr xmlns="http://schemas.microsoft.com/office/spreadsheetml/2009/9/main" objectType="Drop" dropLines="35" dropStyle="combo" dx="16" fmlaLink="$BR$154" fmlaRange="Pflanzen!$A$5:$A$112" noThreeD="1" sel="1" val="0"/>
</file>

<file path=xl/ctrlProps/ctrlProp248.xml><?xml version="1.0" encoding="utf-8"?>
<formControlPr xmlns="http://schemas.microsoft.com/office/spreadsheetml/2009/9/main" objectType="Drop" dropLines="35" dropStyle="combo" dx="16" fmlaLink="$AX$130" fmlaRange="Pflanzen!$C$5:$C$104" noThreeD="1" sel="1" val="0"/>
</file>

<file path=xl/ctrlProps/ctrlProp249.xml><?xml version="1.0" encoding="utf-8"?>
<formControlPr xmlns="http://schemas.microsoft.com/office/spreadsheetml/2009/9/main" objectType="Drop" dropLines="35" dropStyle="combo" dx="16" fmlaLink="$BR$155" fmlaRange="Pflanzen!$A$5:$A$112" noThreeD="1" sel="1" val="63"/>
</file>

<file path=xl/ctrlProps/ctrlProp25.xml><?xml version="1.0" encoding="utf-8"?>
<formControlPr xmlns="http://schemas.microsoft.com/office/spreadsheetml/2009/9/main" objectType="Drop" dropStyle="combo" dx="16" fmlaLink="$BN$83" fmlaRange="Stroh!$B$2:$B$4" noThreeD="1" sel="1" val="0"/>
</file>

<file path=xl/ctrlProps/ctrlProp250.xml><?xml version="1.0" encoding="utf-8"?>
<formControlPr xmlns="http://schemas.microsoft.com/office/spreadsheetml/2009/9/main" objectType="Drop" dropLines="15" dropStyle="combo" dx="16" fmlaLink="$BM$82" fmlaRange="Tiere!$B$30:$B$114" noThreeD="1" sel="1" val="0"/>
</file>

<file path=xl/ctrlProps/ctrlProp251.xml><?xml version="1.0" encoding="utf-8"?>
<formControlPr xmlns="http://schemas.microsoft.com/office/spreadsheetml/2009/9/main" objectType="Drop" dropStyle="combo" dx="16" fmlaLink="$BN$82" fmlaRange="Stroh!$B$2:$B$4" noThreeD="1" sel="1" val="0"/>
</file>

<file path=xl/ctrlProps/ctrlProp252.xml><?xml version="1.0" encoding="utf-8"?>
<formControlPr xmlns="http://schemas.microsoft.com/office/spreadsheetml/2009/9/main" objectType="CheckBox" fmlaLink="$DQ$82" lockText="1" noThreeD="1"/>
</file>

<file path=xl/ctrlProps/ctrlProp253.xml><?xml version="1.0" encoding="utf-8"?>
<formControlPr xmlns="http://schemas.microsoft.com/office/spreadsheetml/2009/9/main" objectType="Drop" dropLines="15" dropStyle="combo" dx="16" fmlaLink="$BM$83" fmlaRange="Tiere!$B$30:$B$114" noThreeD="1" sel="1" val="0"/>
</file>

<file path=xl/ctrlProps/ctrlProp254.xml><?xml version="1.0" encoding="utf-8"?>
<formControlPr xmlns="http://schemas.microsoft.com/office/spreadsheetml/2009/9/main" objectType="Drop" dropLines="15" dropStyle="combo" dx="16" fmlaLink="$BM$84" fmlaRange="Tiere!$B$30:$B$114" noThreeD="1" sel="1" val="0"/>
</file>

<file path=xl/ctrlProps/ctrlProp255.xml><?xml version="1.0" encoding="utf-8"?>
<formControlPr xmlns="http://schemas.microsoft.com/office/spreadsheetml/2009/9/main" objectType="Drop" dropLines="15" dropStyle="combo" dx="16" fmlaLink="$BM$85" fmlaRange="Tiere!$B$30:$B$114" noThreeD="1" sel="1" val="0"/>
</file>

<file path=xl/ctrlProps/ctrlProp256.xml><?xml version="1.0" encoding="utf-8"?>
<formControlPr xmlns="http://schemas.microsoft.com/office/spreadsheetml/2009/9/main" objectType="Drop" dropLines="15" dropStyle="combo" dx="16" fmlaLink="$BM$86" fmlaRange="Tiere!$B$30:$B$114" noThreeD="1" sel="1" val="0"/>
</file>

<file path=xl/ctrlProps/ctrlProp257.xml><?xml version="1.0" encoding="utf-8"?>
<formControlPr xmlns="http://schemas.microsoft.com/office/spreadsheetml/2009/9/main" objectType="Drop" dropLines="15" dropStyle="combo" dx="16" fmlaLink="$BM$87" fmlaRange="Tiere!$B$30:$B$114" noThreeD="1" sel="1" val="0"/>
</file>

<file path=xl/ctrlProps/ctrlProp258.xml><?xml version="1.0" encoding="utf-8"?>
<formControlPr xmlns="http://schemas.microsoft.com/office/spreadsheetml/2009/9/main" objectType="Drop" dropLines="5" dropStyle="combo" dx="16" fmlaLink="'Eigene, abweichende Tierdaten'!$AC$28" fmlaRange="Tiere!$E$119:$E$123" noThreeD="1" sel="1" val="0"/>
</file>

<file path=xl/ctrlProps/ctrlProp259.xml><?xml version="1.0" encoding="utf-8"?>
<formControlPr xmlns="http://schemas.microsoft.com/office/spreadsheetml/2009/9/main" objectType="Drop" dropLines="5" dropStyle="combo" dx="16" fmlaLink="$AC$29" fmlaRange="Tiere!$E$119:$E$123" noThreeD="1" sel="1" val="0"/>
</file>

<file path=xl/ctrlProps/ctrlProp26.xml><?xml version="1.0" encoding="utf-8"?>
<formControlPr xmlns="http://schemas.microsoft.com/office/spreadsheetml/2009/9/main" objectType="Drop" dropStyle="combo" dx="16" fmlaLink="$BN$86" fmlaRange="Stroh!$B$2:$B$4" noThreeD="1" sel="1" val="0"/>
</file>

<file path=xl/ctrlProps/ctrlProp260.xml><?xml version="1.0" encoding="utf-8"?>
<formControlPr xmlns="http://schemas.microsoft.com/office/spreadsheetml/2009/9/main" objectType="Drop" dropStyle="combo" dx="16" fmlaLink="'Eigene, abweichende Tierdaten'!$AC$30" fmlaRange="Tiere!$E$119:$E$123" noThreeD="1" sel="1" val="0"/>
</file>

<file path=xl/ctrlProps/ctrlProp261.xml><?xml version="1.0" encoding="utf-8"?>
<formControlPr xmlns="http://schemas.microsoft.com/office/spreadsheetml/2009/9/main" objectType="Drop" dropStyle="combo" dx="16" fmlaLink="'Eigene, abweichende Tierdaten'!$AC$31" fmlaRange="Tiere!$E$119:$E$123" noThreeD="1" sel="1" val="0"/>
</file>

<file path=xl/ctrlProps/ctrlProp262.xml><?xml version="1.0" encoding="utf-8"?>
<formControlPr xmlns="http://schemas.microsoft.com/office/spreadsheetml/2009/9/main" objectType="Drop" dropStyle="combo" dx="16" fmlaLink="'Eigene, abweichende Tierdaten'!$AC$32" fmlaRange="Tiere!$E$119:$E$123" noThreeD="1" sel="1" val="0"/>
</file>

<file path=xl/ctrlProps/ctrlProp263.xml><?xml version="1.0" encoding="utf-8"?>
<formControlPr xmlns="http://schemas.microsoft.com/office/spreadsheetml/2009/9/main" objectType="Drop" dropLines="35" dropStyle="combo" dx="22" fmlaLink="$BR$14" fmlaRange="Pflanzen!$C$5:$C$104" noThreeD="1" sel="1" val="0"/>
</file>

<file path=xl/ctrlProps/ctrlProp264.xml><?xml version="1.0" encoding="utf-8"?>
<formControlPr xmlns="http://schemas.microsoft.com/office/spreadsheetml/2009/9/main" objectType="Drop" dropLines="35" dropStyle="combo" dx="22" fmlaLink="$BR$15" fmlaRange="Pflanzen!$C$5:$C$104" noThreeD="1" sel="1" val="0"/>
</file>

<file path=xl/ctrlProps/ctrlProp265.xml><?xml version="1.0" encoding="utf-8"?>
<formControlPr xmlns="http://schemas.microsoft.com/office/spreadsheetml/2009/9/main" objectType="Drop" dropLines="35" dropStyle="combo" dx="22" fmlaLink="$BR$16" fmlaRange="Pflanzen!$C$5:$C$104" noThreeD="1" sel="1" val="0"/>
</file>

<file path=xl/ctrlProps/ctrlProp266.xml><?xml version="1.0" encoding="utf-8"?>
<formControlPr xmlns="http://schemas.microsoft.com/office/spreadsheetml/2009/9/main" objectType="Drop" dropLines="35" dropStyle="combo" dx="22" fmlaLink="$BR$17" fmlaRange="Pflanzen!$C$5:$C$104" noThreeD="1" sel="1" val="0"/>
</file>

<file path=xl/ctrlProps/ctrlProp267.xml><?xml version="1.0" encoding="utf-8"?>
<formControlPr xmlns="http://schemas.microsoft.com/office/spreadsheetml/2009/9/main" objectType="Drop" dropLines="35" dropStyle="combo" dx="22" fmlaLink="$BR$18" fmlaRange="Pflanzen!$C$5:$C$104" noThreeD="1" sel="1" val="0"/>
</file>

<file path=xl/ctrlProps/ctrlProp268.xml><?xml version="1.0" encoding="utf-8"?>
<formControlPr xmlns="http://schemas.microsoft.com/office/spreadsheetml/2009/9/main" objectType="Drop" dropLines="35" dropStyle="combo" dx="22" fmlaLink="$BR$19" fmlaRange="Pflanzen!$C$5:$C$104" noThreeD="1" sel="1" val="0"/>
</file>

<file path=xl/ctrlProps/ctrlProp269.xml><?xml version="1.0" encoding="utf-8"?>
<formControlPr xmlns="http://schemas.microsoft.com/office/spreadsheetml/2009/9/main" objectType="Drop" dropLines="35" dropStyle="combo" dx="22" fmlaLink="$BR$20" fmlaRange="Pflanzen!$C$5:$C$104" noThreeD="1" sel="1" val="0"/>
</file>

<file path=xl/ctrlProps/ctrlProp27.xml><?xml version="1.0" encoding="utf-8"?>
<formControlPr xmlns="http://schemas.microsoft.com/office/spreadsheetml/2009/9/main" objectType="Drop" dropStyle="combo" dx="16" fmlaLink="$BN$87" fmlaRange="Stroh!$B$2:$B$4" noThreeD="1" sel="1" val="0"/>
</file>

<file path=xl/ctrlProps/ctrlProp270.xml><?xml version="1.0" encoding="utf-8"?>
<formControlPr xmlns="http://schemas.microsoft.com/office/spreadsheetml/2009/9/main" objectType="Drop" dropLines="35" dropStyle="combo" dx="22" fmlaLink="$BR$21" fmlaRange="Pflanzen!$C$5:$C$104" noThreeD="1" sel="1" val="0"/>
</file>

<file path=xl/ctrlProps/ctrlProp271.xml><?xml version="1.0" encoding="utf-8"?>
<formControlPr xmlns="http://schemas.microsoft.com/office/spreadsheetml/2009/9/main" objectType="Drop" dropLines="35" dropStyle="combo" dx="22" fmlaLink="$BR$22" fmlaRange="Pflanzen!$C$5:$C$104" noThreeD="1" sel="1" val="0"/>
</file>

<file path=xl/ctrlProps/ctrlProp272.xml><?xml version="1.0" encoding="utf-8"?>
<formControlPr xmlns="http://schemas.microsoft.com/office/spreadsheetml/2009/9/main" objectType="Drop" dropLines="35" dropStyle="combo" dx="22" fmlaLink="$BR$23" fmlaRange="Pflanzen!$C$5:$C$104" noThreeD="1" sel="1" val="0"/>
</file>

<file path=xl/ctrlProps/ctrlProp273.xml><?xml version="1.0" encoding="utf-8"?>
<formControlPr xmlns="http://schemas.microsoft.com/office/spreadsheetml/2009/9/main" objectType="Drop" dropLines="35" dropStyle="combo" dx="22" fmlaLink="$BR$24" fmlaRange="Pflanzen!$C$5:$C$104" noThreeD="1" sel="1" val="0"/>
</file>

<file path=xl/ctrlProps/ctrlProp274.xml><?xml version="1.0" encoding="utf-8"?>
<formControlPr xmlns="http://schemas.microsoft.com/office/spreadsheetml/2009/9/main" objectType="Drop" dropLines="35" dropStyle="combo" dx="22" fmlaLink="$BR$25" fmlaRange="Pflanzen!$C$5:$C$104" noThreeD="1" sel="1" val="0"/>
</file>

<file path=xl/ctrlProps/ctrlProp275.xml><?xml version="1.0" encoding="utf-8"?>
<formControlPr xmlns="http://schemas.microsoft.com/office/spreadsheetml/2009/9/main" objectType="Drop" dropLines="35" dropStyle="combo" dx="22" fmlaLink="$BR$26" fmlaRange="Pflanzen!$C$5:$C$104" noThreeD="1" sel="1" val="0"/>
</file>

<file path=xl/ctrlProps/ctrlProp276.xml><?xml version="1.0" encoding="utf-8"?>
<formControlPr xmlns="http://schemas.microsoft.com/office/spreadsheetml/2009/9/main" objectType="Drop" dropLines="35" dropStyle="combo" dx="22" fmlaLink="$BR$27" fmlaRange="Pflanzen!$C$5:$C$104" noThreeD="1" sel="1" val="0"/>
</file>

<file path=xl/ctrlProps/ctrlProp277.xml><?xml version="1.0" encoding="utf-8"?>
<formControlPr xmlns="http://schemas.microsoft.com/office/spreadsheetml/2009/9/main" objectType="Drop" dropLines="35" dropStyle="combo" dx="22" fmlaLink="$BR$28" fmlaRange="Pflanzen!$C$5:$C$104" noThreeD="1" sel="1" val="0"/>
</file>

<file path=xl/ctrlProps/ctrlProp278.xml><?xml version="1.0" encoding="utf-8"?>
<formControlPr xmlns="http://schemas.microsoft.com/office/spreadsheetml/2009/9/main" objectType="Drop" dropLines="35" dropStyle="combo" dx="22" fmlaLink="$BR$29" fmlaRange="Pflanzen!$C$5:$C$104" noThreeD="1" sel="1" val="0"/>
</file>

<file path=xl/ctrlProps/ctrlProp279.xml><?xml version="1.0" encoding="utf-8"?>
<formControlPr xmlns="http://schemas.microsoft.com/office/spreadsheetml/2009/9/main" objectType="Drop" dropLines="35" dropStyle="combo" dx="22" fmlaLink="$BR$30" fmlaRange="Pflanzen!$C$5:$C$104" noThreeD="1" sel="1" val="0"/>
</file>

<file path=xl/ctrlProps/ctrlProp28.xml><?xml version="1.0" encoding="utf-8"?>
<formControlPr xmlns="http://schemas.microsoft.com/office/spreadsheetml/2009/9/main" objectType="Drop" dropLines="3" dropStyle="combo" dx="16" fmlaLink="$X$266" fmlaRange="$U$265:$U$267" noThreeD="1" sel="1" val="0"/>
</file>

<file path=xl/ctrlProps/ctrlProp280.xml><?xml version="1.0" encoding="utf-8"?>
<formControlPr xmlns="http://schemas.microsoft.com/office/spreadsheetml/2009/9/main" objectType="Drop" dropLines="35" dropStyle="combo" dx="22" fmlaLink="$BQ$44" fmlaRange="Pflanzen!$A$5:$A$112" noThreeD="1" sel="1" val="0"/>
</file>

<file path=xl/ctrlProps/ctrlProp281.xml><?xml version="1.0" encoding="utf-8"?>
<formControlPr xmlns="http://schemas.microsoft.com/office/spreadsheetml/2009/9/main" objectType="Drop" dropLines="35" dropStyle="combo" dx="22" fmlaLink="$BQ$45" fmlaRange="Pflanzen!$A$5:$A$112" noThreeD="1" sel="1" val="0"/>
</file>

<file path=xl/ctrlProps/ctrlProp282.xml><?xml version="1.0" encoding="utf-8"?>
<formControlPr xmlns="http://schemas.microsoft.com/office/spreadsheetml/2009/9/main" objectType="Drop" dropLines="35" dropStyle="combo" dx="22" fmlaLink="$BQ$46" fmlaRange="Pflanzen!$A$5:$A$112" noThreeD="1" sel="1" val="0"/>
</file>

<file path=xl/ctrlProps/ctrlProp283.xml><?xml version="1.0" encoding="utf-8"?>
<formControlPr xmlns="http://schemas.microsoft.com/office/spreadsheetml/2009/9/main" objectType="Drop" dropLines="35" dropStyle="combo" dx="22" fmlaLink="$BQ$47" fmlaRange="Pflanzen!$A$5:$A$112" noThreeD="1" sel="1" val="0"/>
</file>

<file path=xl/ctrlProps/ctrlProp284.xml><?xml version="1.0" encoding="utf-8"?>
<formControlPr xmlns="http://schemas.microsoft.com/office/spreadsheetml/2009/9/main" objectType="Drop" dropLines="35" dropStyle="combo" dx="22" fmlaLink="$BQ$48" fmlaRange="Pflanzen!$A$5:$A$112" noThreeD="1" sel="1" val="0"/>
</file>

<file path=xl/ctrlProps/ctrlProp285.xml><?xml version="1.0" encoding="utf-8"?>
<formControlPr xmlns="http://schemas.microsoft.com/office/spreadsheetml/2009/9/main" objectType="Drop" dropLines="35" dropStyle="combo" dx="22" fmlaLink="$BQ$49" fmlaRange="Pflanzen!$A$5:$A$112" noThreeD="1" sel="1" val="0"/>
</file>

<file path=xl/ctrlProps/ctrlProp286.xml><?xml version="1.0" encoding="utf-8"?>
<formControlPr xmlns="http://schemas.microsoft.com/office/spreadsheetml/2009/9/main" objectType="Drop" dropLines="35" dropStyle="combo" dx="22" fmlaLink="$BQ$50" fmlaRange="Pflanzen!$A$5:$A$112" noThreeD="1" sel="1" val="73"/>
</file>

<file path=xl/ctrlProps/ctrlProp287.xml><?xml version="1.0" encoding="utf-8"?>
<formControlPr xmlns="http://schemas.microsoft.com/office/spreadsheetml/2009/9/main" objectType="Drop" dropLines="35" dropStyle="combo" dx="22" fmlaLink="$BQ$51" fmlaRange="Pflanzen!$A$5:$A$112" noThreeD="1" sel="1" val="0"/>
</file>

<file path=xl/ctrlProps/ctrlProp288.xml><?xml version="1.0" encoding="utf-8"?>
<formControlPr xmlns="http://schemas.microsoft.com/office/spreadsheetml/2009/9/main" objectType="Drop" dropLines="35" dropStyle="combo" dx="22" fmlaLink="$BQ$52" fmlaRange="Pflanzen!$A$5:$A$112" noThreeD="1" sel="1" val="0"/>
</file>

<file path=xl/ctrlProps/ctrlProp289.xml><?xml version="1.0" encoding="utf-8"?>
<formControlPr xmlns="http://schemas.microsoft.com/office/spreadsheetml/2009/9/main" objectType="Drop" dropLines="35" dropStyle="combo" dx="22" fmlaLink="$BQ$61" fmlaRange="Pflanzen!$A$5:$A$112" noThreeD="1" sel="1" val="27"/>
</file>

<file path=xl/ctrlProps/ctrlProp29.xml><?xml version="1.0" encoding="utf-8"?>
<formControlPr xmlns="http://schemas.microsoft.com/office/spreadsheetml/2009/9/main" objectType="Drop" dropLines="3" dropStyle="combo" dx="16" fmlaLink="$X$267" fmlaRange="$U$265:$U$267" noThreeD="1" sel="1" val="0"/>
</file>

<file path=xl/ctrlProps/ctrlProp290.xml><?xml version="1.0" encoding="utf-8"?>
<formControlPr xmlns="http://schemas.microsoft.com/office/spreadsheetml/2009/9/main" objectType="Drop" dropLines="35" dropStyle="combo" dx="22" fmlaLink="$BQ$53" fmlaRange="Pflanzen!$A$5:$A$112" noThreeD="1" sel="1" val="0"/>
</file>

<file path=xl/ctrlProps/ctrlProp291.xml><?xml version="1.0" encoding="utf-8"?>
<formControlPr xmlns="http://schemas.microsoft.com/office/spreadsheetml/2009/9/main" objectType="Drop" dropLines="35" dropStyle="combo" dx="22" fmlaLink="$BQ$54" fmlaRange="Pflanzen!$A$5:$A$112" noThreeD="1" sel="1" val="0"/>
</file>

<file path=xl/ctrlProps/ctrlProp292.xml><?xml version="1.0" encoding="utf-8"?>
<formControlPr xmlns="http://schemas.microsoft.com/office/spreadsheetml/2009/9/main" objectType="Drop" dropLines="35" dropStyle="combo" dx="22" fmlaLink="$BQ$55" fmlaRange="Pflanzen!$A$5:$A$112" noThreeD="1" sel="1" val="0"/>
</file>

<file path=xl/ctrlProps/ctrlProp293.xml><?xml version="1.0" encoding="utf-8"?>
<formControlPr xmlns="http://schemas.microsoft.com/office/spreadsheetml/2009/9/main" objectType="Drop" dropLines="35" dropStyle="combo" dx="22" fmlaLink="$BQ$56" fmlaRange="Pflanzen!$A$5:$A$112" noThreeD="1" sel="1" val="36"/>
</file>

<file path=xl/ctrlProps/ctrlProp294.xml><?xml version="1.0" encoding="utf-8"?>
<formControlPr xmlns="http://schemas.microsoft.com/office/spreadsheetml/2009/9/main" objectType="Drop" dropLines="35" dropStyle="combo" dx="22" fmlaLink="$BQ$57" fmlaRange="Pflanzen!$A$5:$A$112" noThreeD="1" sel="1" val="0"/>
</file>

<file path=xl/ctrlProps/ctrlProp295.xml><?xml version="1.0" encoding="utf-8"?>
<formControlPr xmlns="http://schemas.microsoft.com/office/spreadsheetml/2009/9/main" objectType="Drop" dropLines="35" dropStyle="combo" dx="22" fmlaLink="$BQ$58" fmlaRange="Pflanzen!$A$5:$A$112" noThreeD="1" sel="1" val="0"/>
</file>

<file path=xl/ctrlProps/ctrlProp296.xml><?xml version="1.0" encoding="utf-8"?>
<formControlPr xmlns="http://schemas.microsoft.com/office/spreadsheetml/2009/9/main" objectType="Drop" dropLines="35" dropStyle="combo" dx="22" fmlaLink="$BQ$59" fmlaRange="Pflanzen!$A$5:$A$112" noThreeD="1" sel="1" val="31"/>
</file>

<file path=xl/ctrlProps/ctrlProp297.xml><?xml version="1.0" encoding="utf-8"?>
<formControlPr xmlns="http://schemas.microsoft.com/office/spreadsheetml/2009/9/main" objectType="Drop" dropLines="35" dropStyle="combo" dx="22" fmlaLink="$BQ$60" fmlaRange="Pflanzen!$A$5:$A$112" noThreeD="1" sel="1" val="38"/>
</file>

<file path=xl/ctrlProps/ctrlProp298.xml><?xml version="1.0" encoding="utf-8"?>
<formControlPr xmlns="http://schemas.microsoft.com/office/spreadsheetml/2009/9/main" objectType="Drop" dropLines="35" dropStyle="combo" dx="22" fmlaLink="$BR$32" fmlaRange="Pflanzen!$C$5:$C$104" noThreeD="1" sel="1" val="0"/>
</file>

<file path=xl/ctrlProps/ctrlProp299.xml><?xml version="1.0" encoding="utf-8"?>
<formControlPr xmlns="http://schemas.microsoft.com/office/spreadsheetml/2009/9/main" objectType="Drop" dropLines="35" dropStyle="combo" dx="22" fmlaLink="$BR$33" fmlaRange="Pflanzen!$C$5:$C$104" noThreeD="1" sel="1" val="0"/>
</file>

<file path=xl/ctrlProps/ctrlProp3.xml><?xml version="1.0" encoding="utf-8"?>
<formControlPr xmlns="http://schemas.microsoft.com/office/spreadsheetml/2009/9/main" objectType="Drop" dropLines="15" dropStyle="combo" dx="16" fmlaLink="$BM$71" fmlaRange="Tiere!$B$30:$B$114" noThreeD="1" sel="1" val="0"/>
</file>

<file path=xl/ctrlProps/ctrlProp30.xml><?xml version="1.0" encoding="utf-8"?>
<formControlPr xmlns="http://schemas.microsoft.com/office/spreadsheetml/2009/9/main" objectType="Drop" dropLines="3" dropStyle="combo" dx="16" fmlaLink="$X$268" fmlaRange="$U$265:$U$267" noThreeD="1" sel="1" val="0"/>
</file>

<file path=xl/ctrlProps/ctrlProp300.xml><?xml version="1.0" encoding="utf-8"?>
<formControlPr xmlns="http://schemas.microsoft.com/office/spreadsheetml/2009/9/main" objectType="Drop" dropLines="35" dropStyle="combo" dx="22" fmlaLink="$BR$34" fmlaRange="Pflanzen!$C$5:$C$104" noThreeD="1" sel="1" val="0"/>
</file>

<file path=xl/ctrlProps/ctrlProp301.xml><?xml version="1.0" encoding="utf-8"?>
<formControlPr xmlns="http://schemas.microsoft.com/office/spreadsheetml/2009/9/main" objectType="Drop" dropLines="35" dropStyle="combo" dx="22" fmlaLink="$BR$35" fmlaRange="Pflanzen!$C$5:$C$104" noThreeD="1" sel="1" val="0"/>
</file>

<file path=xl/ctrlProps/ctrlProp302.xml><?xml version="1.0" encoding="utf-8"?>
<formControlPr xmlns="http://schemas.microsoft.com/office/spreadsheetml/2009/9/main" objectType="Drop" dropLines="35" dropStyle="combo" dx="22" fmlaLink="$BR$36" fmlaRange="Pflanzen!$C$5:$C$104" noThreeD="1" sel="1" val="0"/>
</file>

<file path=xl/ctrlProps/ctrlProp303.xml><?xml version="1.0" encoding="utf-8"?>
<formControlPr xmlns="http://schemas.microsoft.com/office/spreadsheetml/2009/9/main" objectType="Drop" dropLines="35" dropStyle="combo" dx="22" fmlaLink="$BQ$63" fmlaRange="Pflanzen!$A$5:$A$112" noThreeD="1" sel="1" val="0"/>
</file>

<file path=xl/ctrlProps/ctrlProp304.xml><?xml version="1.0" encoding="utf-8"?>
<formControlPr xmlns="http://schemas.microsoft.com/office/spreadsheetml/2009/9/main" objectType="Drop" dropLines="35" dropStyle="combo" dx="22" fmlaLink="$BQ$64" fmlaRange="Pflanzen!$A$5:$A$112" noThreeD="1" sel="1" val="4"/>
</file>

<file path=xl/ctrlProps/ctrlProp305.xml><?xml version="1.0" encoding="utf-8"?>
<formControlPr xmlns="http://schemas.microsoft.com/office/spreadsheetml/2009/9/main" objectType="Drop" dropLines="35" dropStyle="combo" dx="22" fmlaLink="$BQ$65" fmlaRange="Pflanzen!$A$5:$A$112" noThreeD="1" sel="1" val="0"/>
</file>

<file path=xl/ctrlProps/ctrlProp306.xml><?xml version="1.0" encoding="utf-8"?>
<formControlPr xmlns="http://schemas.microsoft.com/office/spreadsheetml/2009/9/main" objectType="Drop" dropLines="35" dropStyle="combo" dx="22" fmlaLink="$BQ$66" fmlaRange="Pflanzen!$A$5:$A$112" noThreeD="1" sel="1" val="0"/>
</file>

<file path=xl/ctrlProps/ctrlProp307.xml><?xml version="1.0" encoding="utf-8"?>
<formControlPr xmlns="http://schemas.microsoft.com/office/spreadsheetml/2009/9/main" objectType="Drop" dropLines="35" dropStyle="combo" dx="22" fmlaLink="$BQ$68" fmlaRange="Pflanzen!$A$5:$A$112" noThreeD="1" sel="1" val="0"/>
</file>

<file path=xl/ctrlProps/ctrlProp308.xml><?xml version="1.0" encoding="utf-8"?>
<formControlPr xmlns="http://schemas.microsoft.com/office/spreadsheetml/2009/9/main" objectType="Drop" dropLines="35" dropStyle="combo" dx="22" fmlaLink="$BQ$67" fmlaRange="Pflanzen!$A$5:$A$112" noThreeD="1" sel="1" val="0"/>
</file>

<file path=xl/ctrlProps/ctrlProp309.xml><?xml version="1.0" encoding="utf-8"?>
<formControlPr xmlns="http://schemas.microsoft.com/office/spreadsheetml/2009/9/main" objectType="Drop" dropStyle="combo" dx="22" fmlaLink="$BQ$98" fmlaRange="Tierprodukte!$B$35:$B$38" noThreeD="1" sel="2" val="0"/>
</file>

<file path=xl/ctrlProps/ctrlProp31.xml><?xml version="1.0" encoding="utf-8"?>
<formControlPr xmlns="http://schemas.microsoft.com/office/spreadsheetml/2009/9/main" objectType="Drop" dropLines="3" dropStyle="combo" dx="16" fmlaLink="$X$269" fmlaRange="$U$265:$U$267" noThreeD="1" sel="1" val="0"/>
</file>

<file path=xl/ctrlProps/ctrlProp310.xml><?xml version="1.0" encoding="utf-8"?>
<formControlPr xmlns="http://schemas.microsoft.com/office/spreadsheetml/2009/9/main" objectType="Drop" dropStyle="combo" dx="22" fmlaLink="$BQ$102" fmlaRange="Tierprodukte!$B$51:$B$52" noThreeD="1" sel="2" val="0"/>
</file>

<file path=xl/ctrlProps/ctrlProp311.xml><?xml version="1.0" encoding="utf-8"?>
<formControlPr xmlns="http://schemas.microsoft.com/office/spreadsheetml/2009/9/main" objectType="Drop" dropStyle="combo" dx="22" fmlaLink="$BQ$103" fmlaRange="Tierprodukte!$B$59:$B$60" noThreeD="1" sel="2" val="0"/>
</file>

<file path=xl/ctrlProps/ctrlProp312.xml><?xml version="1.0" encoding="utf-8"?>
<formControlPr xmlns="http://schemas.microsoft.com/office/spreadsheetml/2009/9/main" objectType="Drop" dropLines="14" dropStyle="combo" dx="22" fmlaLink="$BQ$99" fmlaRange="Tierprodukte!$B$7:$B$19" noThreeD="1" sel="2" val="0"/>
</file>

<file path=xl/ctrlProps/ctrlProp313.xml><?xml version="1.0" encoding="utf-8"?>
<formControlPr xmlns="http://schemas.microsoft.com/office/spreadsheetml/2009/9/main" objectType="Drop" dropLines="14" dropStyle="combo" dx="22" fmlaLink="$BQ$101" fmlaRange="Tierprodukte!$B$7:$B$19" noThreeD="1" sel="1" val="0"/>
</file>

<file path=xl/ctrlProps/ctrlProp314.xml><?xml version="1.0" encoding="utf-8"?>
<formControlPr xmlns="http://schemas.microsoft.com/office/spreadsheetml/2009/9/main" objectType="Drop" dropLines="14" dropStyle="combo" dx="22" fmlaLink="$BQ$100" fmlaRange="Tierprodukte!$B$7:$B$19" noThreeD="1" sel="1" val="0"/>
</file>

<file path=xl/ctrlProps/ctrlProp315.xml><?xml version="1.0" encoding="utf-8"?>
<formControlPr xmlns="http://schemas.microsoft.com/office/spreadsheetml/2009/9/main" objectType="Drop" dropLines="35" dropStyle="combo" dx="22" fmlaLink="$BR$31" fmlaRange="Pflanzen!$C$5:$C$104" noThreeD="1" sel="1" val="0"/>
</file>

<file path=xl/ctrlProps/ctrlProp316.xml><?xml version="1.0" encoding="utf-8"?>
<formControlPr xmlns="http://schemas.microsoft.com/office/spreadsheetml/2009/9/main" objectType="Drop" dropLines="35" dropStyle="combo" dx="22" fmlaLink="$BQ$62" fmlaRange="Pflanzen!$A$5:$A$112" noThreeD="1" sel="1" val="27"/>
</file>

<file path=xl/ctrlProps/ctrlProp317.xml><?xml version="1.0" encoding="utf-8"?>
<formControlPr xmlns="http://schemas.microsoft.com/office/spreadsheetml/2009/9/main" objectType="Drop" dropLines="35" dropStyle="combo" dx="22" fmlaLink="$BR$75" fmlaRange="Pflanzen!$C$117:$C$154" noThreeD="1" sel="1" val="0"/>
</file>

<file path=xl/ctrlProps/ctrlProp318.xml><?xml version="1.0" encoding="utf-8"?>
<formControlPr xmlns="http://schemas.microsoft.com/office/spreadsheetml/2009/9/main" objectType="Drop" dropLines="35" dropStyle="combo" dx="22" fmlaLink="$BR$76" fmlaRange="Pflanzen!$C$117:$C$154" noThreeD="1" sel="1" val="0"/>
</file>

<file path=xl/ctrlProps/ctrlProp319.xml><?xml version="1.0" encoding="utf-8"?>
<formControlPr xmlns="http://schemas.microsoft.com/office/spreadsheetml/2009/9/main" objectType="Drop" dropLines="35" dropStyle="combo" dx="22" fmlaLink="$BR$77" fmlaRange="Pflanzen!$C$117:$C$154" noThreeD="1" sel="1" val="0"/>
</file>

<file path=xl/ctrlProps/ctrlProp32.xml><?xml version="1.0" encoding="utf-8"?>
<formControlPr xmlns="http://schemas.microsoft.com/office/spreadsheetml/2009/9/main" objectType="Drop" dropLines="3" dropStyle="combo" dx="16" fmlaLink="$X$277" fmlaRange="$U$277:$U$279" noThreeD="1" sel="2" val="0"/>
</file>

<file path=xl/ctrlProps/ctrlProp320.xml><?xml version="1.0" encoding="utf-8"?>
<formControlPr xmlns="http://schemas.microsoft.com/office/spreadsheetml/2009/9/main" objectType="Drop" dropLines="35" dropStyle="combo" dx="22" fmlaLink="$BR$78" fmlaRange="Pflanzen!$C$117:$C$154" noThreeD="1" sel="1" val="0"/>
</file>

<file path=xl/ctrlProps/ctrlProp321.xml><?xml version="1.0" encoding="utf-8"?>
<formControlPr xmlns="http://schemas.microsoft.com/office/spreadsheetml/2009/9/main" objectType="Drop" dropLines="35" dropStyle="combo" dx="22" fmlaLink="$BR$79" fmlaRange="Pflanzen!$C$117:$C$154" noThreeD="1" sel="1" val="0"/>
</file>

<file path=xl/ctrlProps/ctrlProp322.xml><?xml version="1.0" encoding="utf-8"?>
<formControlPr xmlns="http://schemas.microsoft.com/office/spreadsheetml/2009/9/main" objectType="Drop" dropStyle="combo" dx="22" fmlaLink="BT99" fmlaRange="Tierprodukte!$H$23:$H$24" noThreeD="1" sel="1" val="0"/>
</file>

<file path=xl/ctrlProps/ctrlProp323.xml><?xml version="1.0" encoding="utf-8"?>
<formControlPr xmlns="http://schemas.microsoft.com/office/spreadsheetml/2009/9/main" objectType="Drop" dropStyle="combo" dx="22" fmlaLink="BT101" fmlaRange="Tierprodukte!$H$23:$H$24" noThreeD="1" sel="1" val="0"/>
</file>

<file path=xl/ctrlProps/ctrlProp324.xml><?xml version="1.0" encoding="utf-8"?>
<formControlPr xmlns="http://schemas.microsoft.com/office/spreadsheetml/2009/9/main" objectType="Drop" dropStyle="combo" dx="22" fmlaLink="BT100" fmlaRange="Tierprodukte!$H$23:$H$24" noThreeD="1" sel="1" val="0"/>
</file>

<file path=xl/ctrlProps/ctrlProp325.xml><?xml version="1.0" encoding="utf-8"?>
<formControlPr xmlns="http://schemas.microsoft.com/office/spreadsheetml/2009/9/main" objectType="CheckBox" fmlaLink="$BT$14" lockText="1" noThreeD="1"/>
</file>

<file path=xl/ctrlProps/ctrlProp326.xml><?xml version="1.0" encoding="utf-8"?>
<formControlPr xmlns="http://schemas.microsoft.com/office/spreadsheetml/2009/9/main" objectType="CheckBox" fmlaLink="$BT$15" lockText="1" noThreeD="1"/>
</file>

<file path=xl/ctrlProps/ctrlProp327.xml><?xml version="1.0" encoding="utf-8"?>
<formControlPr xmlns="http://schemas.microsoft.com/office/spreadsheetml/2009/9/main" objectType="CheckBox" fmlaLink="$BT$16" lockText="1" noThreeD="1"/>
</file>

<file path=xl/ctrlProps/ctrlProp328.xml><?xml version="1.0" encoding="utf-8"?>
<formControlPr xmlns="http://schemas.microsoft.com/office/spreadsheetml/2009/9/main" objectType="CheckBox" fmlaLink="$BT$18" lockText="1" noThreeD="1"/>
</file>

<file path=xl/ctrlProps/ctrlProp329.xml><?xml version="1.0" encoding="utf-8"?>
<formControlPr xmlns="http://schemas.microsoft.com/office/spreadsheetml/2009/9/main" objectType="CheckBox" fmlaLink="$BT$19" lockText="1" noThreeD="1"/>
</file>

<file path=xl/ctrlProps/ctrlProp33.xml><?xml version="1.0" encoding="utf-8"?>
<formControlPr xmlns="http://schemas.microsoft.com/office/spreadsheetml/2009/9/main" objectType="Drop" dropLines="3" dropStyle="combo" dx="16" fmlaLink="$X$278" fmlaRange="$U$277:$U$279" noThreeD="1" sel="2" val="0"/>
</file>

<file path=xl/ctrlProps/ctrlProp330.xml><?xml version="1.0" encoding="utf-8"?>
<formControlPr xmlns="http://schemas.microsoft.com/office/spreadsheetml/2009/9/main" objectType="CheckBox" fmlaLink="$BT$20" lockText="1" noThreeD="1"/>
</file>

<file path=xl/ctrlProps/ctrlProp331.xml><?xml version="1.0" encoding="utf-8"?>
<formControlPr xmlns="http://schemas.microsoft.com/office/spreadsheetml/2009/9/main" objectType="CheckBox" fmlaLink="$BT$21" lockText="1" noThreeD="1"/>
</file>

<file path=xl/ctrlProps/ctrlProp332.xml><?xml version="1.0" encoding="utf-8"?>
<formControlPr xmlns="http://schemas.microsoft.com/office/spreadsheetml/2009/9/main" objectType="CheckBox" fmlaLink="$BT$22" lockText="1" noThreeD="1"/>
</file>

<file path=xl/ctrlProps/ctrlProp333.xml><?xml version="1.0" encoding="utf-8"?>
<formControlPr xmlns="http://schemas.microsoft.com/office/spreadsheetml/2009/9/main" objectType="CheckBox" fmlaLink="$BT$23" lockText="1" noThreeD="1"/>
</file>

<file path=xl/ctrlProps/ctrlProp334.xml><?xml version="1.0" encoding="utf-8"?>
<formControlPr xmlns="http://schemas.microsoft.com/office/spreadsheetml/2009/9/main" objectType="CheckBox" fmlaLink="$BT$24" lockText="1" noThreeD="1"/>
</file>

<file path=xl/ctrlProps/ctrlProp335.xml><?xml version="1.0" encoding="utf-8"?>
<formControlPr xmlns="http://schemas.microsoft.com/office/spreadsheetml/2009/9/main" objectType="CheckBox" fmlaLink="$BT$25" lockText="1" noThreeD="1"/>
</file>

<file path=xl/ctrlProps/ctrlProp336.xml><?xml version="1.0" encoding="utf-8"?>
<formControlPr xmlns="http://schemas.microsoft.com/office/spreadsheetml/2009/9/main" objectType="CheckBox" fmlaLink="$BT$26" lockText="1" noThreeD="1"/>
</file>

<file path=xl/ctrlProps/ctrlProp337.xml><?xml version="1.0" encoding="utf-8"?>
<formControlPr xmlns="http://schemas.microsoft.com/office/spreadsheetml/2009/9/main" objectType="CheckBox" fmlaLink="$BT$27" lockText="1" noThreeD="1"/>
</file>

<file path=xl/ctrlProps/ctrlProp338.xml><?xml version="1.0" encoding="utf-8"?>
<formControlPr xmlns="http://schemas.microsoft.com/office/spreadsheetml/2009/9/main" objectType="CheckBox" fmlaLink="$BT$28" lockText="1" noThreeD="1"/>
</file>

<file path=xl/ctrlProps/ctrlProp339.xml><?xml version="1.0" encoding="utf-8"?>
<formControlPr xmlns="http://schemas.microsoft.com/office/spreadsheetml/2009/9/main" objectType="CheckBox" fmlaLink="$BT$29" lockText="1" noThreeD="1"/>
</file>

<file path=xl/ctrlProps/ctrlProp34.xml><?xml version="1.0" encoding="utf-8"?>
<formControlPr xmlns="http://schemas.microsoft.com/office/spreadsheetml/2009/9/main" objectType="Drop" dropLines="3" dropStyle="combo" dx="16" fmlaLink="$X$279" fmlaRange="$U$277:$U$279" noThreeD="1" sel="2" val="0"/>
</file>

<file path=xl/ctrlProps/ctrlProp340.xml><?xml version="1.0" encoding="utf-8"?>
<formControlPr xmlns="http://schemas.microsoft.com/office/spreadsheetml/2009/9/main" objectType="CheckBox" fmlaLink="$BT$30" lockText="1" noThreeD="1"/>
</file>

<file path=xl/ctrlProps/ctrlProp341.xml><?xml version="1.0" encoding="utf-8"?>
<formControlPr xmlns="http://schemas.microsoft.com/office/spreadsheetml/2009/9/main" objectType="CheckBox" fmlaLink="$BT$31" lockText="1" noThreeD="1"/>
</file>

<file path=xl/ctrlProps/ctrlProp342.xml><?xml version="1.0" encoding="utf-8"?>
<formControlPr xmlns="http://schemas.microsoft.com/office/spreadsheetml/2009/9/main" objectType="CheckBox" fmlaLink="$BT$32" lockText="1" noThreeD="1"/>
</file>

<file path=xl/ctrlProps/ctrlProp343.xml><?xml version="1.0" encoding="utf-8"?>
<formControlPr xmlns="http://schemas.microsoft.com/office/spreadsheetml/2009/9/main" objectType="CheckBox" fmlaLink="$BT$33" lockText="1" noThreeD="1"/>
</file>

<file path=xl/ctrlProps/ctrlProp344.xml><?xml version="1.0" encoding="utf-8"?>
<formControlPr xmlns="http://schemas.microsoft.com/office/spreadsheetml/2009/9/main" objectType="CheckBox" fmlaLink="$BT$34" lockText="1" noThreeD="1"/>
</file>

<file path=xl/ctrlProps/ctrlProp345.xml><?xml version="1.0" encoding="utf-8"?>
<formControlPr xmlns="http://schemas.microsoft.com/office/spreadsheetml/2009/9/main" objectType="CheckBox" fmlaLink="$BT$35" lockText="1" noThreeD="1"/>
</file>

<file path=xl/ctrlProps/ctrlProp346.xml><?xml version="1.0" encoding="utf-8"?>
<formControlPr xmlns="http://schemas.microsoft.com/office/spreadsheetml/2009/9/main" objectType="CheckBox" fmlaLink="$BT$36" lockText="1" noThreeD="1"/>
</file>

<file path=xl/ctrlProps/ctrlProp347.xml><?xml version="1.0" encoding="utf-8"?>
<formControlPr xmlns="http://schemas.microsoft.com/office/spreadsheetml/2009/9/main" objectType="CheckBox" fmlaLink="$BT$17" lockText="1" noThreeD="1"/>
</file>

<file path=xl/ctrlProps/ctrlProp348.xml><?xml version="1.0" encoding="utf-8"?>
<formControlPr xmlns="http://schemas.microsoft.com/office/spreadsheetml/2009/9/main" objectType="CheckBox" fmlaLink="$BT$44" lockText="1" noThreeD="1"/>
</file>

<file path=xl/ctrlProps/ctrlProp349.xml><?xml version="1.0" encoding="utf-8"?>
<formControlPr xmlns="http://schemas.microsoft.com/office/spreadsheetml/2009/9/main" objectType="CheckBox" fmlaLink="$BT$45" lockText="1" noThreeD="1"/>
</file>

<file path=xl/ctrlProps/ctrlProp35.xml><?xml version="1.0" encoding="utf-8"?>
<formControlPr xmlns="http://schemas.microsoft.com/office/spreadsheetml/2009/9/main" objectType="Drop" dropLines="3" dropStyle="combo" dx="16" fmlaLink="$X$281" fmlaRange="$U$277:$U$279" noThreeD="1" sel="2" val="0"/>
</file>

<file path=xl/ctrlProps/ctrlProp350.xml><?xml version="1.0" encoding="utf-8"?>
<formControlPr xmlns="http://schemas.microsoft.com/office/spreadsheetml/2009/9/main" objectType="CheckBox" fmlaLink="$BT$46" lockText="1" noThreeD="1"/>
</file>

<file path=xl/ctrlProps/ctrlProp351.xml><?xml version="1.0" encoding="utf-8"?>
<formControlPr xmlns="http://schemas.microsoft.com/office/spreadsheetml/2009/9/main" objectType="CheckBox" fmlaLink="$BT$47"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fmlaLink="$BT$48" lockText="1" noThreeD="1"/>
</file>

<file path=xl/ctrlProps/ctrlProp354.xml><?xml version="1.0" encoding="utf-8"?>
<formControlPr xmlns="http://schemas.microsoft.com/office/spreadsheetml/2009/9/main" objectType="CheckBox" fmlaLink="$BT$49" lockText="1" noThreeD="1"/>
</file>

<file path=xl/ctrlProps/ctrlProp355.xml><?xml version="1.0" encoding="utf-8"?>
<formControlPr xmlns="http://schemas.microsoft.com/office/spreadsheetml/2009/9/main" objectType="CheckBox" fmlaLink="$BT$50" lockText="1" noThreeD="1"/>
</file>

<file path=xl/ctrlProps/ctrlProp356.xml><?xml version="1.0" encoding="utf-8"?>
<formControlPr xmlns="http://schemas.microsoft.com/office/spreadsheetml/2009/9/main" objectType="CheckBox" fmlaLink="$BT$51" lockText="1" noThreeD="1"/>
</file>

<file path=xl/ctrlProps/ctrlProp357.xml><?xml version="1.0" encoding="utf-8"?>
<formControlPr xmlns="http://schemas.microsoft.com/office/spreadsheetml/2009/9/main" objectType="CheckBox" fmlaLink="$BT$52" lockText="1" noThreeD="1"/>
</file>

<file path=xl/ctrlProps/ctrlProp358.xml><?xml version="1.0" encoding="utf-8"?>
<formControlPr xmlns="http://schemas.microsoft.com/office/spreadsheetml/2009/9/main" objectType="CheckBox" fmlaLink="$BT$53" lockText="1" noThreeD="1"/>
</file>

<file path=xl/ctrlProps/ctrlProp359.xml><?xml version="1.0" encoding="utf-8"?>
<formControlPr xmlns="http://schemas.microsoft.com/office/spreadsheetml/2009/9/main" objectType="CheckBox" fmlaLink="$BT$54" lockText="1" noThreeD="1"/>
</file>

<file path=xl/ctrlProps/ctrlProp36.xml><?xml version="1.0" encoding="utf-8"?>
<formControlPr xmlns="http://schemas.microsoft.com/office/spreadsheetml/2009/9/main" objectType="Drop" dropStyle="combo" dx="16" fmlaLink="$Z$13:$Z$14" fmlaRange="$AA$13:$AA$14" noThreeD="1" sel="1" val="0"/>
</file>

<file path=xl/ctrlProps/ctrlProp360.xml><?xml version="1.0" encoding="utf-8"?>
<formControlPr xmlns="http://schemas.microsoft.com/office/spreadsheetml/2009/9/main" objectType="CheckBox" fmlaLink="$BT$55" lockText="1" noThreeD="1"/>
</file>

<file path=xl/ctrlProps/ctrlProp361.xml><?xml version="1.0" encoding="utf-8"?>
<formControlPr xmlns="http://schemas.microsoft.com/office/spreadsheetml/2009/9/main" objectType="CheckBox" fmlaLink="$BT$56" lockText="1" noThreeD="1"/>
</file>

<file path=xl/ctrlProps/ctrlProp362.xml><?xml version="1.0" encoding="utf-8"?>
<formControlPr xmlns="http://schemas.microsoft.com/office/spreadsheetml/2009/9/main" objectType="CheckBox" fmlaLink="$BT$57" lockText="1" noThreeD="1"/>
</file>

<file path=xl/ctrlProps/ctrlProp363.xml><?xml version="1.0" encoding="utf-8"?>
<formControlPr xmlns="http://schemas.microsoft.com/office/spreadsheetml/2009/9/main" objectType="CheckBox" fmlaLink="$BT$58" lockText="1" noThreeD="1"/>
</file>

<file path=xl/ctrlProps/ctrlProp364.xml><?xml version="1.0" encoding="utf-8"?>
<formControlPr xmlns="http://schemas.microsoft.com/office/spreadsheetml/2009/9/main" objectType="CheckBox" fmlaLink="$BT$59" lockText="1" noThreeD="1"/>
</file>

<file path=xl/ctrlProps/ctrlProp365.xml><?xml version="1.0" encoding="utf-8"?>
<formControlPr xmlns="http://schemas.microsoft.com/office/spreadsheetml/2009/9/main" objectType="CheckBox" fmlaLink="$BT$60" lockText="1" noThreeD="1"/>
</file>

<file path=xl/ctrlProps/ctrlProp366.xml><?xml version="1.0" encoding="utf-8"?>
<formControlPr xmlns="http://schemas.microsoft.com/office/spreadsheetml/2009/9/main" objectType="CheckBox" fmlaLink="$BT$61" lockText="1" noThreeD="1"/>
</file>

<file path=xl/ctrlProps/ctrlProp367.xml><?xml version="1.0" encoding="utf-8"?>
<formControlPr xmlns="http://schemas.microsoft.com/office/spreadsheetml/2009/9/main" objectType="CheckBox" fmlaLink="$BT$62" lockText="1" noThreeD="1"/>
</file>

<file path=xl/ctrlProps/ctrlProp368.xml><?xml version="1.0" encoding="utf-8"?>
<formControlPr xmlns="http://schemas.microsoft.com/office/spreadsheetml/2009/9/main" objectType="CheckBox" fmlaLink="$BT$63" lockText="1" noThreeD="1"/>
</file>

<file path=xl/ctrlProps/ctrlProp369.xml><?xml version="1.0" encoding="utf-8"?>
<formControlPr xmlns="http://schemas.microsoft.com/office/spreadsheetml/2009/9/main" objectType="CheckBox" fmlaLink="$BT$64" lockText="1" noThreeD="1"/>
</file>

<file path=xl/ctrlProps/ctrlProp37.xml><?xml version="1.0" encoding="utf-8"?>
<formControlPr xmlns="http://schemas.microsoft.com/office/spreadsheetml/2009/9/main" objectType="Drop" dropLines="35" dropStyle="combo" dx="16" fmlaLink="$AX$113" fmlaRange="Pflanzen!$C$5:$C$104" noThreeD="1" sel="1" val="0"/>
</file>

<file path=xl/ctrlProps/ctrlProp370.xml><?xml version="1.0" encoding="utf-8"?>
<formControlPr xmlns="http://schemas.microsoft.com/office/spreadsheetml/2009/9/main" objectType="CheckBox" fmlaLink="$BT$65" lockText="1" noThreeD="1"/>
</file>

<file path=xl/ctrlProps/ctrlProp371.xml><?xml version="1.0" encoding="utf-8"?>
<formControlPr xmlns="http://schemas.microsoft.com/office/spreadsheetml/2009/9/main" objectType="CheckBox" fmlaLink="$BT$66" lockText="1" noThreeD="1"/>
</file>

<file path=xl/ctrlProps/ctrlProp372.xml><?xml version="1.0" encoding="utf-8"?>
<formControlPr xmlns="http://schemas.microsoft.com/office/spreadsheetml/2009/9/main" objectType="CheckBox" fmlaLink="$BT$67" lockText="1" noThreeD="1"/>
</file>

<file path=xl/ctrlProps/ctrlProp373.xml><?xml version="1.0" encoding="utf-8"?>
<formControlPr xmlns="http://schemas.microsoft.com/office/spreadsheetml/2009/9/main" objectType="CheckBox" fmlaLink="$BT$68" lockText="1" noThreeD="1"/>
</file>

<file path=xl/ctrlProps/ctrlProp374.xml><?xml version="1.0" encoding="utf-8"?>
<formControlPr xmlns="http://schemas.microsoft.com/office/spreadsheetml/2009/9/main" objectType="CheckBox" checked="Checked" fmlaLink="$R$27" lockText="1" noThreeD="1"/>
</file>

<file path=xl/ctrlProps/ctrlProp375.xml><?xml version="1.0" encoding="utf-8"?>
<formControlPr xmlns="http://schemas.microsoft.com/office/spreadsheetml/2009/9/main" objectType="CheckBox" checked="Checked" fmlaLink="$R$32" lockText="1" noThreeD="1"/>
</file>

<file path=xl/ctrlProps/ctrlProp376.xml><?xml version="1.0" encoding="utf-8"?>
<formControlPr xmlns="http://schemas.microsoft.com/office/spreadsheetml/2009/9/main" objectType="CheckBox" checked="Checked" fmlaLink="$R$28" lockText="1" noThreeD="1"/>
</file>

<file path=xl/ctrlProps/ctrlProp377.xml><?xml version="1.0" encoding="utf-8"?>
<formControlPr xmlns="http://schemas.microsoft.com/office/spreadsheetml/2009/9/main" objectType="CheckBox" checked="Checked" fmlaLink="$R$29" lockText="1" noThreeD="1"/>
</file>

<file path=xl/ctrlProps/ctrlProp378.xml><?xml version="1.0" encoding="utf-8"?>
<formControlPr xmlns="http://schemas.microsoft.com/office/spreadsheetml/2009/9/main" objectType="CheckBox" checked="Checked" fmlaLink="$R$30" lockText="1" noThreeD="1"/>
</file>

<file path=xl/ctrlProps/ctrlProp379.xml><?xml version="1.0" encoding="utf-8"?>
<formControlPr xmlns="http://schemas.microsoft.com/office/spreadsheetml/2009/9/main" objectType="CheckBox" checked="Checked" fmlaLink="$R$31" lockText="1" noThreeD="1"/>
</file>

<file path=xl/ctrlProps/ctrlProp38.xml><?xml version="1.0" encoding="utf-8"?>
<formControlPr xmlns="http://schemas.microsoft.com/office/spreadsheetml/2009/9/main" objectType="CheckBox" fmlaLink="$P$308" lockText="1" noThreeD="1"/>
</file>

<file path=xl/ctrlProps/ctrlProp380.xml><?xml version="1.0" encoding="utf-8"?>
<formControlPr xmlns="http://schemas.microsoft.com/office/spreadsheetml/2009/9/main" objectType="Drop" dropLines="3" dropStyle="combo" dx="16" fmlaLink="$M$9" fmlaRange="Stroh!$H$2:$H$4" noThreeD="1" sel="1" val="0"/>
</file>

<file path=xl/ctrlProps/ctrlProp381.xml><?xml version="1.0" encoding="utf-8"?>
<formControlPr xmlns="http://schemas.microsoft.com/office/spreadsheetml/2009/9/main" objectType="Drop" dropLines="3" dropStyle="combo" dx="16" fmlaLink="$M$10" fmlaRange="Stroh!$H$2:$H$4" noThreeD="1" sel="1" val="0"/>
</file>

<file path=xl/ctrlProps/ctrlProp382.xml><?xml version="1.0" encoding="utf-8"?>
<formControlPr xmlns="http://schemas.microsoft.com/office/spreadsheetml/2009/9/main" objectType="Drop" dropLines="3" dropStyle="combo" dx="16" fmlaLink="$M$11" fmlaRange="Stroh!$H$2:$H$4" noThreeD="1" sel="1" val="0"/>
</file>

<file path=xl/ctrlProps/ctrlProp383.xml><?xml version="1.0" encoding="utf-8"?>
<formControlPr xmlns="http://schemas.microsoft.com/office/spreadsheetml/2009/9/main" objectType="Drop" dropLines="3" dropStyle="combo" dx="16" fmlaLink="$M$12" fmlaRange="Stroh!$H$2:$H$4" noThreeD="1" sel="1" val="0"/>
</file>

<file path=xl/ctrlProps/ctrlProp384.xml><?xml version="1.0" encoding="utf-8"?>
<formControlPr xmlns="http://schemas.microsoft.com/office/spreadsheetml/2009/9/main" objectType="Drop" dropLines="3" dropStyle="combo" dx="16" fmlaLink="$M$13" fmlaRange="Stroh!$H$2:$H$4" noThreeD="1" sel="1" val="0"/>
</file>

<file path=xl/ctrlProps/ctrlProp385.xml><?xml version="1.0" encoding="utf-8"?>
<formControlPr xmlns="http://schemas.microsoft.com/office/spreadsheetml/2009/9/main" objectType="Drop" dropLines="3" dropStyle="combo" dx="16" fmlaLink="$M$14" fmlaRange="Stroh!$H$2:$H$4" noThreeD="1" sel="1" val="0"/>
</file>

<file path=xl/ctrlProps/ctrlProp386.xml><?xml version="1.0" encoding="utf-8"?>
<formControlPr xmlns="http://schemas.microsoft.com/office/spreadsheetml/2009/9/main" objectType="Drop" dropLines="3" dropStyle="combo" dx="16" fmlaLink="$M$15" fmlaRange="Stroh!$H$2:$H$4" noThreeD="1" sel="1" val="0"/>
</file>

<file path=xl/ctrlProps/ctrlProp387.xml><?xml version="1.0" encoding="utf-8"?>
<formControlPr xmlns="http://schemas.microsoft.com/office/spreadsheetml/2009/9/main" objectType="Drop" dropLines="3" dropStyle="combo" dx="16" fmlaLink="$M$16" fmlaRange="Stroh!$H$2:$H$4" noThreeD="1" sel="1" val="0"/>
</file>

<file path=xl/ctrlProps/ctrlProp388.xml><?xml version="1.0" encoding="utf-8"?>
<formControlPr xmlns="http://schemas.microsoft.com/office/spreadsheetml/2009/9/main" objectType="Drop" dropLines="3" dropStyle="combo" dx="16" fmlaLink="$M$17" fmlaRange="Stroh!$H$2:$H$4" noThreeD="1" sel="1" val="0"/>
</file>

<file path=xl/ctrlProps/ctrlProp389.xml><?xml version="1.0" encoding="utf-8"?>
<formControlPr xmlns="http://schemas.microsoft.com/office/spreadsheetml/2009/9/main" objectType="Drop" dropLines="3" dropStyle="combo" dx="16" fmlaLink="$M$18" fmlaRange="Stroh!$H$2:$H$4" noThreeD="1" sel="1" val="0"/>
</file>

<file path=xl/ctrlProps/ctrlProp39.xml><?xml version="1.0" encoding="utf-8"?>
<formControlPr xmlns="http://schemas.microsoft.com/office/spreadsheetml/2009/9/main" objectType="CheckBox" fmlaLink="$DQ$68" lockText="1" noThreeD="1"/>
</file>

<file path=xl/ctrlProps/ctrlProp390.xml><?xml version="1.0" encoding="utf-8"?>
<formControlPr xmlns="http://schemas.microsoft.com/office/spreadsheetml/2009/9/main" objectType="Drop" dropLines="3" dropStyle="combo" dx="16" fmlaLink="$M$19" fmlaRange="Stroh!$H$2:$H$4" noThreeD="1" sel="1" val="0"/>
</file>

<file path=xl/ctrlProps/ctrlProp391.xml><?xml version="1.0" encoding="utf-8"?>
<formControlPr xmlns="http://schemas.microsoft.com/office/spreadsheetml/2009/9/main" objectType="Drop" dropLines="3" dropStyle="combo" dx="16" fmlaLink="$M$20" fmlaRange="Stroh!$H$2:$H$4" noThreeD="1" sel="1" val="0"/>
</file>

<file path=xl/ctrlProps/ctrlProp392.xml><?xml version="1.0" encoding="utf-8"?>
<formControlPr xmlns="http://schemas.microsoft.com/office/spreadsheetml/2009/9/main" objectType="Drop" dropLines="3" dropStyle="combo" dx="16" fmlaLink="$M$21" fmlaRange="Stroh!$H$2:$H$4" noThreeD="1" sel="1" val="0"/>
</file>

<file path=xl/ctrlProps/ctrlProp393.xml><?xml version="1.0" encoding="utf-8"?>
<formControlPr xmlns="http://schemas.microsoft.com/office/spreadsheetml/2009/9/main" objectType="Drop" dropLines="3" dropStyle="combo" dx="16" fmlaLink="$M$22" fmlaRange="Stroh!$H$2:$H$4" noThreeD="1" sel="1" val="0"/>
</file>

<file path=xl/ctrlProps/ctrlProp394.xml><?xml version="1.0" encoding="utf-8"?>
<formControlPr xmlns="http://schemas.microsoft.com/office/spreadsheetml/2009/9/main" objectType="Drop" dropLines="3" dropStyle="combo" dx="16" fmlaLink="$M$23" fmlaRange="Stroh!$H$2:$H$4" noThreeD="1" sel="1" val="0"/>
</file>

<file path=xl/ctrlProps/ctrlProp395.xml><?xml version="1.0" encoding="utf-8"?>
<formControlPr xmlns="http://schemas.microsoft.com/office/spreadsheetml/2009/9/main" objectType="Drop" dropLines="3" dropStyle="combo" dx="16" fmlaLink="$M$24" fmlaRange="Stroh!$H$2:$H$4" noThreeD="1" sel="1" val="0"/>
</file>

<file path=xl/ctrlProps/ctrlProp396.xml><?xml version="1.0" encoding="utf-8"?>
<formControlPr xmlns="http://schemas.microsoft.com/office/spreadsheetml/2009/9/main" objectType="Drop" dropLines="3" dropStyle="combo" dx="16" fmlaLink="$M$25" fmlaRange="Stroh!$H$2:$H$4" noThreeD="1" sel="1" val="0"/>
</file>

<file path=xl/ctrlProps/ctrlProp397.xml><?xml version="1.0" encoding="utf-8"?>
<formControlPr xmlns="http://schemas.microsoft.com/office/spreadsheetml/2009/9/main" objectType="Drop" dropLines="3" dropStyle="combo" dx="16" fmlaLink="$M$26" fmlaRange="Stroh!$H$2:$H$4" noThreeD="1" sel="1" val="0"/>
</file>

<file path=xl/ctrlProps/ctrlProp398.xml><?xml version="1.0" encoding="utf-8"?>
<formControlPr xmlns="http://schemas.microsoft.com/office/spreadsheetml/2009/9/main" objectType="Drop" dropLines="3" dropStyle="combo" dx="16" fmlaLink="$M$27" fmlaRange="Stroh!$H$2:$H$4" noThreeD="1" sel="1" val="0"/>
</file>

<file path=xl/ctrlProps/ctrlProp399.xml><?xml version="1.0" encoding="utf-8"?>
<formControlPr xmlns="http://schemas.microsoft.com/office/spreadsheetml/2009/9/main" objectType="Drop" dropLines="3" dropStyle="combo" dx="16" fmlaLink="$M$28" fmlaRange="Stroh!$H$2:$H$4" noThreeD="1" sel="1" val="0"/>
</file>

<file path=xl/ctrlProps/ctrlProp4.xml><?xml version="1.0" encoding="utf-8"?>
<formControlPr xmlns="http://schemas.microsoft.com/office/spreadsheetml/2009/9/main" objectType="Drop" dropLines="15" dropStyle="combo" dx="16" fmlaLink="$BM$72" fmlaRange="Tiere!$B$30:$B$114" noThreeD="1" sel="1" val="0"/>
</file>

<file path=xl/ctrlProps/ctrlProp40.xml><?xml version="1.0" encoding="utf-8"?>
<formControlPr xmlns="http://schemas.microsoft.com/office/spreadsheetml/2009/9/main" objectType="CheckBox" fmlaLink="$DQ$71" lockText="1" noThreeD="1"/>
</file>

<file path=xl/ctrlProps/ctrlProp400.xml><?xml version="1.0" encoding="utf-8"?>
<formControlPr xmlns="http://schemas.microsoft.com/office/spreadsheetml/2009/9/main" objectType="Drop" dropLines="3" dropStyle="combo" dx="16" fmlaLink="$M$29" fmlaRange="Stroh!$H$2:$H$4" noThreeD="1" sel="1" val="0"/>
</file>

<file path=xl/ctrlProps/ctrlProp401.xml><?xml version="1.0" encoding="utf-8"?>
<formControlPr xmlns="http://schemas.microsoft.com/office/spreadsheetml/2009/9/main" objectType="Drop" dropLines="3" dropStyle="combo" dx="16" fmlaLink="$M$30" fmlaRange="Stroh!$H$2:$H$4" noThreeD="1" sel="1" val="0"/>
</file>

<file path=xl/ctrlProps/ctrlProp402.xml><?xml version="1.0" encoding="utf-8"?>
<formControlPr xmlns="http://schemas.microsoft.com/office/spreadsheetml/2009/9/main" objectType="Drop" dropLines="3" dropStyle="combo" dx="16" fmlaLink="$M$31" fmlaRange="Stroh!$H$2:$H$4" noThreeD="1" sel="1" val="0"/>
</file>

<file path=xl/ctrlProps/ctrlProp403.xml><?xml version="1.0" encoding="utf-8"?>
<formControlPr xmlns="http://schemas.microsoft.com/office/spreadsheetml/2009/9/main" objectType="Drop" dropLines="3" dropStyle="combo" dx="16" fmlaLink="$M$32" fmlaRange="Stroh!$H$2:$H$4" noThreeD="1" sel="1" val="0"/>
</file>

<file path=xl/ctrlProps/ctrlProp404.xml><?xml version="1.0" encoding="utf-8"?>
<formControlPr xmlns="http://schemas.microsoft.com/office/spreadsheetml/2009/9/main" objectType="Drop" dropLines="3" dropStyle="combo" dx="16" fmlaLink="$M$33" fmlaRange="Stroh!$H$2:$H$4" noThreeD="1" sel="1" val="0"/>
</file>

<file path=xl/ctrlProps/ctrlProp405.xml><?xml version="1.0" encoding="utf-8"?>
<formControlPr xmlns="http://schemas.microsoft.com/office/spreadsheetml/2009/9/main" objectType="Drop" dropLines="3" dropStyle="combo" dx="16" fmlaLink="$M$34" fmlaRange="Stroh!$H$2:$H$4" noThreeD="1" sel="1" val="0"/>
</file>

<file path=xl/ctrlProps/ctrlProp406.xml><?xml version="1.0" encoding="utf-8"?>
<formControlPr xmlns="http://schemas.microsoft.com/office/spreadsheetml/2009/9/main" objectType="Drop" dropLines="3" dropStyle="combo" dx="16" fmlaLink="$M$35" fmlaRange="Stroh!$H$2:$H$4" noThreeD="1" sel="1" val="0"/>
</file>

<file path=xl/ctrlProps/ctrlProp407.xml><?xml version="1.0" encoding="utf-8"?>
<formControlPr xmlns="http://schemas.microsoft.com/office/spreadsheetml/2009/9/main" objectType="Drop" dropLines="3" dropStyle="combo" dx="16" fmlaLink="$M$36" fmlaRange="Stroh!$H$2:$H$4" noThreeD="1" sel="1" val="0"/>
</file>

<file path=xl/ctrlProps/ctrlProp408.xml><?xml version="1.0" encoding="utf-8"?>
<formControlPr xmlns="http://schemas.microsoft.com/office/spreadsheetml/2009/9/main" objectType="Drop" dropLines="3" dropStyle="combo" dx="16" fmlaLink="$M$37" fmlaRange="Stroh!$H$2:$H$4" noThreeD="1" sel="1" val="0"/>
</file>

<file path=xl/ctrlProps/ctrlProp409.xml><?xml version="1.0" encoding="utf-8"?>
<formControlPr xmlns="http://schemas.microsoft.com/office/spreadsheetml/2009/9/main" objectType="Drop" dropLines="3" dropStyle="combo" dx="16" fmlaLink="$M$38" fmlaRange="Stroh!$H$2:$H$4" noThreeD="1" sel="1" val="0"/>
</file>

<file path=xl/ctrlProps/ctrlProp41.xml><?xml version="1.0" encoding="utf-8"?>
<formControlPr xmlns="http://schemas.microsoft.com/office/spreadsheetml/2009/9/main" objectType="CheckBox" fmlaLink="$DQ$74" lockText="1" noThreeD="1"/>
</file>

<file path=xl/ctrlProps/ctrlProp410.xml><?xml version="1.0" encoding="utf-8"?>
<formControlPr xmlns="http://schemas.microsoft.com/office/spreadsheetml/2009/9/main" objectType="Drop" dropLines="3" dropStyle="combo" dx="16" fmlaLink="$M$39" fmlaRange="Stroh!$H$2:$H$4" noThreeD="1" sel="1" val="0"/>
</file>

<file path=xl/ctrlProps/ctrlProp411.xml><?xml version="1.0" encoding="utf-8"?>
<formControlPr xmlns="http://schemas.microsoft.com/office/spreadsheetml/2009/9/main" objectType="Drop" dropLines="3" dropStyle="combo" dx="16" fmlaLink="$M$40" fmlaRange="Stroh!$H$2:$H$4" noThreeD="1" sel="1" val="0"/>
</file>

<file path=xl/ctrlProps/ctrlProp412.xml><?xml version="1.0" encoding="utf-8"?>
<formControlPr xmlns="http://schemas.microsoft.com/office/spreadsheetml/2009/9/main" objectType="Drop" dropLines="3" dropStyle="combo" dx="16" fmlaLink="$M$41" fmlaRange="Stroh!$H$2:$H$4" noThreeD="1" sel="1" val="0"/>
</file>

<file path=xl/ctrlProps/ctrlProp413.xml><?xml version="1.0" encoding="utf-8"?>
<formControlPr xmlns="http://schemas.microsoft.com/office/spreadsheetml/2009/9/main" objectType="Drop" dropLines="3" dropStyle="combo" dx="16" fmlaLink="$M$42" fmlaRange="Stroh!$H$2:$H$4" noThreeD="1" sel="1" val="0"/>
</file>

<file path=xl/ctrlProps/ctrlProp414.xml><?xml version="1.0" encoding="utf-8"?>
<formControlPr xmlns="http://schemas.microsoft.com/office/spreadsheetml/2009/9/main" objectType="Drop" dropLines="3" dropStyle="combo" dx="16" fmlaLink="$M$43" fmlaRange="Stroh!$H$2:$H$4" noThreeD="1" sel="1" val="0"/>
</file>

<file path=xl/ctrlProps/ctrlProp415.xml><?xml version="1.0" encoding="utf-8"?>
<formControlPr xmlns="http://schemas.microsoft.com/office/spreadsheetml/2009/9/main" objectType="Drop" dropLines="3" dropStyle="combo" dx="16" fmlaLink="$M$44" fmlaRange="Stroh!$H$2:$H$4" noThreeD="1" sel="1" val="0"/>
</file>

<file path=xl/ctrlProps/ctrlProp416.xml><?xml version="1.0" encoding="utf-8"?>
<formControlPr xmlns="http://schemas.microsoft.com/office/spreadsheetml/2009/9/main" objectType="Drop" dropLines="3" dropStyle="combo" dx="16" fmlaLink="$M$45" fmlaRange="Stroh!$H$2:$H$4" noThreeD="1" sel="1" val="0"/>
</file>

<file path=xl/ctrlProps/ctrlProp417.xml><?xml version="1.0" encoding="utf-8"?>
<formControlPr xmlns="http://schemas.microsoft.com/office/spreadsheetml/2009/9/main" objectType="Drop" dropLines="3" dropStyle="combo" dx="16" fmlaLink="$M$46" fmlaRange="Stroh!$H$2:$H$4" noThreeD="1" sel="1" val="0"/>
</file>

<file path=xl/ctrlProps/ctrlProp418.xml><?xml version="1.0" encoding="utf-8"?>
<formControlPr xmlns="http://schemas.microsoft.com/office/spreadsheetml/2009/9/main" objectType="Drop" dropLines="3" dropStyle="combo" dx="16" fmlaLink="$M$47" fmlaRange="Stroh!$H$2:$H$4" noThreeD="1" sel="1" val="0"/>
</file>

<file path=xl/ctrlProps/ctrlProp419.xml><?xml version="1.0" encoding="utf-8"?>
<formControlPr xmlns="http://schemas.microsoft.com/office/spreadsheetml/2009/9/main" objectType="Drop" dropLines="3" dropStyle="combo" dx="16" fmlaLink="$M$48" fmlaRange="Stroh!$H$2:$H$4" noThreeD="1" sel="1" val="0"/>
</file>

<file path=xl/ctrlProps/ctrlProp42.xml><?xml version="1.0" encoding="utf-8"?>
<formControlPr xmlns="http://schemas.microsoft.com/office/spreadsheetml/2009/9/main" objectType="CheckBox" fmlaLink="$DQ$72" lockText="1" noThreeD="1"/>
</file>

<file path=xl/ctrlProps/ctrlProp420.xml><?xml version="1.0" encoding="utf-8"?>
<formControlPr xmlns="http://schemas.microsoft.com/office/spreadsheetml/2009/9/main" objectType="Drop" dropLines="3" dropStyle="combo" dx="16" fmlaLink="$M$49" fmlaRange="Stroh!$H$2:$H$4" noThreeD="1" sel="1" val="0"/>
</file>

<file path=xl/ctrlProps/ctrlProp421.xml><?xml version="1.0" encoding="utf-8"?>
<formControlPr xmlns="http://schemas.microsoft.com/office/spreadsheetml/2009/9/main" objectType="Drop" dropLines="3" dropStyle="combo" dx="16" fmlaLink="$M$50" fmlaRange="Stroh!$H$2:$H$4" noThreeD="1" sel="1" val="0"/>
</file>

<file path=xl/ctrlProps/ctrlProp422.xml><?xml version="1.0" encoding="utf-8"?>
<formControlPr xmlns="http://schemas.microsoft.com/office/spreadsheetml/2009/9/main" objectType="Drop" dropLines="3" dropStyle="combo" dx="16" fmlaLink="$M$51" fmlaRange="Stroh!$H$2:$H$4" noThreeD="1" sel="1" val="0"/>
</file>

<file path=xl/ctrlProps/ctrlProp423.xml><?xml version="1.0" encoding="utf-8"?>
<formControlPr xmlns="http://schemas.microsoft.com/office/spreadsheetml/2009/9/main" objectType="Drop" dropLines="3" dropStyle="combo" dx="16" fmlaLink="$M$52" fmlaRange="Stroh!$H$2:$H$4" noThreeD="1" sel="1" val="0"/>
</file>

<file path=xl/ctrlProps/ctrlProp424.xml><?xml version="1.0" encoding="utf-8"?>
<formControlPr xmlns="http://schemas.microsoft.com/office/spreadsheetml/2009/9/main" objectType="Drop" dropLines="3" dropStyle="combo" dx="16" fmlaLink="$M$53" fmlaRange="Stroh!$H$2:$H$4" noThreeD="1" sel="1" val="0"/>
</file>

<file path=xl/ctrlProps/ctrlProp425.xml><?xml version="1.0" encoding="utf-8"?>
<formControlPr xmlns="http://schemas.microsoft.com/office/spreadsheetml/2009/9/main" objectType="Drop" dropLines="3" dropStyle="combo" dx="16" fmlaLink="$M$54" fmlaRange="Stroh!$H$2:$H$4" noThreeD="1" sel="1" val="0"/>
</file>

<file path=xl/ctrlProps/ctrlProp426.xml><?xml version="1.0" encoding="utf-8"?>
<formControlPr xmlns="http://schemas.microsoft.com/office/spreadsheetml/2009/9/main" objectType="Drop" dropLines="3" dropStyle="combo" dx="16" fmlaLink="$M$55" fmlaRange="Stroh!$H$2:$H$4" noThreeD="1" sel="1" val="0"/>
</file>

<file path=xl/ctrlProps/ctrlProp427.xml><?xml version="1.0" encoding="utf-8"?>
<formControlPr xmlns="http://schemas.microsoft.com/office/spreadsheetml/2009/9/main" objectType="Drop" dropLines="3" dropStyle="combo" dx="16" fmlaLink="$M$56" fmlaRange="Stroh!$H$2:$H$4" noThreeD="1" sel="1" val="0"/>
</file>

<file path=xl/ctrlProps/ctrlProp428.xml><?xml version="1.0" encoding="utf-8"?>
<formControlPr xmlns="http://schemas.microsoft.com/office/spreadsheetml/2009/9/main" objectType="Drop" dropLines="3" dropStyle="combo" dx="16" fmlaLink="$M$57" fmlaRange="Stroh!$H$2:$H$4" noThreeD="1" sel="1" val="0"/>
</file>

<file path=xl/ctrlProps/ctrlProp429.xml><?xml version="1.0" encoding="utf-8"?>
<formControlPr xmlns="http://schemas.microsoft.com/office/spreadsheetml/2009/9/main" objectType="Drop" dropLines="3" dropStyle="combo" dx="16" fmlaLink="$M$58" fmlaRange="Stroh!$H$2:$H$4" noThreeD="1" sel="1" val="0"/>
</file>

<file path=xl/ctrlProps/ctrlProp43.xml><?xml version="1.0" encoding="utf-8"?>
<formControlPr xmlns="http://schemas.microsoft.com/office/spreadsheetml/2009/9/main" objectType="CheckBox" fmlaLink="$DQ$73" lockText="1" noThreeD="1"/>
</file>

<file path=xl/ctrlProps/ctrlProp430.xml><?xml version="1.0" encoding="utf-8"?>
<formControlPr xmlns="http://schemas.microsoft.com/office/spreadsheetml/2009/9/main" objectType="Drop" dropLines="3" dropStyle="combo" dx="16" fmlaLink="$M$59" fmlaRange="Stroh!$H$2:$H$4" noThreeD="1" sel="1" val="0"/>
</file>

<file path=xl/ctrlProps/ctrlProp431.xml><?xml version="1.0" encoding="utf-8"?>
<formControlPr xmlns="http://schemas.microsoft.com/office/spreadsheetml/2009/9/main" objectType="Drop" dropLines="3" dropStyle="combo" dx="16" fmlaLink="$M$60" fmlaRange="Stroh!$H$2:$H$4" noThreeD="1" sel="1" val="0"/>
</file>

<file path=xl/ctrlProps/ctrlProp432.xml><?xml version="1.0" encoding="utf-8"?>
<formControlPr xmlns="http://schemas.microsoft.com/office/spreadsheetml/2009/9/main" objectType="Drop" dropLines="3" dropStyle="combo" dx="16" fmlaLink="$M$61" fmlaRange="Stroh!$H$2:$H$4" noThreeD="1" sel="1" val="0"/>
</file>

<file path=xl/ctrlProps/ctrlProp433.xml><?xml version="1.0" encoding="utf-8"?>
<formControlPr xmlns="http://schemas.microsoft.com/office/spreadsheetml/2009/9/main" objectType="Drop" dropLines="3" dropStyle="combo" dx="16" fmlaLink="$M$62" fmlaRange="Stroh!$H$2:$H$4" noThreeD="1" sel="1" val="0"/>
</file>

<file path=xl/ctrlProps/ctrlProp44.xml><?xml version="1.0" encoding="utf-8"?>
<formControlPr xmlns="http://schemas.microsoft.com/office/spreadsheetml/2009/9/main" objectType="CheckBox" fmlaLink="$DQ$75" lockText="1" noThreeD="1"/>
</file>

<file path=xl/ctrlProps/ctrlProp45.xml><?xml version="1.0" encoding="utf-8"?>
<formControlPr xmlns="http://schemas.microsoft.com/office/spreadsheetml/2009/9/main" objectType="CheckBox" fmlaLink="$DQ$76" lockText="1" noThreeD="1"/>
</file>

<file path=xl/ctrlProps/ctrlProp46.xml><?xml version="1.0" encoding="utf-8"?>
<formControlPr xmlns="http://schemas.microsoft.com/office/spreadsheetml/2009/9/main" objectType="CheckBox" fmlaLink="$DQ$79" lockText="1" noThreeD="1"/>
</file>

<file path=xl/ctrlProps/ctrlProp47.xml><?xml version="1.0" encoding="utf-8"?>
<formControlPr xmlns="http://schemas.microsoft.com/office/spreadsheetml/2009/9/main" objectType="CheckBox" fmlaLink="$DQ$80" lockText="1" noThreeD="1"/>
</file>

<file path=xl/ctrlProps/ctrlProp48.xml><?xml version="1.0" encoding="utf-8"?>
<formControlPr xmlns="http://schemas.microsoft.com/office/spreadsheetml/2009/9/main" objectType="CheckBox" fmlaLink="$DQ$81" lockText="1" noThreeD="1"/>
</file>

<file path=xl/ctrlProps/ctrlProp49.xml><?xml version="1.0" encoding="utf-8"?>
<formControlPr xmlns="http://schemas.microsoft.com/office/spreadsheetml/2009/9/main" objectType="CheckBox" fmlaLink="$DQ$83" lockText="1" noThreeD="1"/>
</file>

<file path=xl/ctrlProps/ctrlProp5.xml><?xml version="1.0" encoding="utf-8"?>
<formControlPr xmlns="http://schemas.microsoft.com/office/spreadsheetml/2009/9/main" objectType="Drop" dropLines="15" dropStyle="combo" dx="16" fmlaLink="$BM$73" fmlaRange="Tiere!$B$30:$B$114" noThreeD="1" sel="1" val="0"/>
</file>

<file path=xl/ctrlProps/ctrlProp50.xml><?xml version="1.0" encoding="utf-8"?>
<formControlPr xmlns="http://schemas.microsoft.com/office/spreadsheetml/2009/9/main" objectType="CheckBox" fmlaLink="$DQ$86" lockText="1" noThreeD="1"/>
</file>

<file path=xl/ctrlProps/ctrlProp51.xml><?xml version="1.0" encoding="utf-8"?>
<formControlPr xmlns="http://schemas.microsoft.com/office/spreadsheetml/2009/9/main" objectType="CheckBox" fmlaLink="$DQ$87" lockText="1" noThreeD="1"/>
</file>

<file path=xl/ctrlProps/ctrlProp52.xml><?xml version="1.0" encoding="utf-8"?>
<formControlPr xmlns="http://schemas.microsoft.com/office/spreadsheetml/2009/9/main" objectType="CheckBox" fmlaLink="$DQ$69" lockText="1" noThreeD="1"/>
</file>

<file path=xl/ctrlProps/ctrlProp53.xml><?xml version="1.0" encoding="utf-8"?>
<formControlPr xmlns="http://schemas.microsoft.com/office/spreadsheetml/2009/9/main" objectType="CheckBox" fmlaLink="$DQ$70" lockText="1" noThreeD="1"/>
</file>

<file path=xl/ctrlProps/ctrlProp54.xml><?xml version="1.0" encoding="utf-8"?>
<formControlPr xmlns="http://schemas.microsoft.com/office/spreadsheetml/2009/9/main" objectType="Drop" dropLines="2" dropStyle="combo" dx="16" fmlaLink="$Y$164" fmlaRange="Stroh!$B$9:$B$10" noThreeD="1" sel="2" val="0"/>
</file>

<file path=xl/ctrlProps/ctrlProp55.xml><?xml version="1.0" encoding="utf-8"?>
<formControlPr xmlns="http://schemas.microsoft.com/office/spreadsheetml/2009/9/main" objectType="CheckBox" fmlaLink="$P$309" lockText="1" noThreeD="1"/>
</file>

<file path=xl/ctrlProps/ctrlProp56.xml><?xml version="1.0" encoding="utf-8"?>
<formControlPr xmlns="http://schemas.microsoft.com/office/spreadsheetml/2009/9/main" objectType="CheckBox" fmlaLink="$P$310" lockText="1" noThreeD="1"/>
</file>

<file path=xl/ctrlProps/ctrlProp57.xml><?xml version="1.0" encoding="utf-8"?>
<formControlPr xmlns="http://schemas.microsoft.com/office/spreadsheetml/2009/9/main" objectType="Drop" dropLines="35" dropStyle="combo" dx="16" fmlaLink="$AX$114" fmlaRange="Pflanzen!$C$5:$C$104" noThreeD="1" sel="1" val="0"/>
</file>

<file path=xl/ctrlProps/ctrlProp58.xml><?xml version="1.0" encoding="utf-8"?>
<formControlPr xmlns="http://schemas.microsoft.com/office/spreadsheetml/2009/9/main" objectType="Drop" dropLines="35" dropStyle="combo" dx="16" fmlaLink="$AX$115" fmlaRange="Pflanzen!$C$5:$C$104" noThreeD="1" sel="1" val="0"/>
</file>

<file path=xl/ctrlProps/ctrlProp59.xml><?xml version="1.0" encoding="utf-8"?>
<formControlPr xmlns="http://schemas.microsoft.com/office/spreadsheetml/2009/9/main" objectType="Drop" dropLines="2" dropStyle="combo" dx="16" fmlaLink="$Y$165" fmlaRange="Stroh!$B$9:$B$10" noThreeD="1" sel="2" val="0"/>
</file>

<file path=xl/ctrlProps/ctrlProp6.xml><?xml version="1.0" encoding="utf-8"?>
<formControlPr xmlns="http://schemas.microsoft.com/office/spreadsheetml/2009/9/main" objectType="Drop" dropLines="15" dropStyle="combo" dx="16" fmlaLink="$BM$74" fmlaRange="Tiere!$B$30:$B$114" noThreeD="1" sel="1" val="0"/>
</file>

<file path=xl/ctrlProps/ctrlProp60.xml><?xml version="1.0" encoding="utf-8"?>
<formControlPr xmlns="http://schemas.microsoft.com/office/spreadsheetml/2009/9/main" objectType="Drop" dropLines="2" dropStyle="combo" dx="16" fmlaLink="$Y$166" fmlaRange="Stroh!$B$9:$B$10" noThreeD="1" sel="2" val="0"/>
</file>

<file path=xl/ctrlProps/ctrlProp61.xml><?xml version="1.0" encoding="utf-8"?>
<formControlPr xmlns="http://schemas.microsoft.com/office/spreadsheetml/2009/9/main" objectType="Drop" dropLines="2" dropStyle="combo" dx="16" fmlaLink="$Y$167" fmlaRange="Stroh!$B$9:$B$10" noThreeD="1" sel="2" val="0"/>
</file>

<file path=xl/ctrlProps/ctrlProp62.xml><?xml version="1.0" encoding="utf-8"?>
<formControlPr xmlns="http://schemas.microsoft.com/office/spreadsheetml/2009/9/main" objectType="Drop" dropLines="2" dropStyle="combo" dx="16" fmlaLink="$Y$168" fmlaRange="Stroh!$B$9:$B$10" noThreeD="1" sel="2" val="0"/>
</file>

<file path=xl/ctrlProps/ctrlProp63.xml><?xml version="1.0" encoding="utf-8"?>
<formControlPr xmlns="http://schemas.microsoft.com/office/spreadsheetml/2009/9/main" objectType="Drop" dropLines="3" dropStyle="combo" dx="16" fmlaLink="$X$279" fmlaRange="$U$277:$U$279" noThreeD="1" sel="2" val="0"/>
</file>

<file path=xl/ctrlProps/ctrlProp64.xml><?xml version="1.0" encoding="utf-8"?>
<formControlPr xmlns="http://schemas.microsoft.com/office/spreadsheetml/2009/9/main" objectType="Drop" dropLines="3" dropStyle="combo" dx="16" fmlaLink="$X$280" fmlaRange="$U$277:$U$279" noThreeD="1" sel="2" val="0"/>
</file>

<file path=xl/ctrlProps/ctrlProp65.xml><?xml version="1.0" encoding="utf-8"?>
<formControlPr xmlns="http://schemas.microsoft.com/office/spreadsheetml/2009/9/main" objectType="CheckBox" fmlaLink="$Q$257" lockText="1" noThreeD="1"/>
</file>

<file path=xl/ctrlProps/ctrlProp66.xml><?xml version="1.0" encoding="utf-8"?>
<formControlPr xmlns="http://schemas.microsoft.com/office/spreadsheetml/2009/9/main" objectType="CheckBox" fmlaLink="$Q$258" lockText="1" noThreeD="1"/>
</file>

<file path=xl/ctrlProps/ctrlProp67.xml><?xml version="1.0" encoding="utf-8"?>
<formControlPr xmlns="http://schemas.microsoft.com/office/spreadsheetml/2009/9/main" objectType="CheckBox" fmlaLink="$Q$259" lockText="1" noThreeD="1"/>
</file>

<file path=xl/ctrlProps/ctrlProp68.xml><?xml version="1.0" encoding="utf-8"?>
<formControlPr xmlns="http://schemas.microsoft.com/office/spreadsheetml/2009/9/main" objectType="CheckBox" fmlaLink="$Q$260" lockText="1" noThreeD="1"/>
</file>

<file path=xl/ctrlProps/ctrlProp69.xml><?xml version="1.0" encoding="utf-8"?>
<formControlPr xmlns="http://schemas.microsoft.com/office/spreadsheetml/2009/9/main" objectType="CheckBox" fmlaLink="$Q$261" lockText="1" noThreeD="1"/>
</file>

<file path=xl/ctrlProps/ctrlProp7.xml><?xml version="1.0" encoding="utf-8"?>
<formControlPr xmlns="http://schemas.microsoft.com/office/spreadsheetml/2009/9/main" objectType="Drop" dropLines="15" dropStyle="combo" dx="16" fmlaLink="$BM$75" fmlaRange="Tiere!$B$30:$B$114" noThreeD="1" sel="1" val="0"/>
</file>

<file path=xl/ctrlProps/ctrlProp70.xml><?xml version="1.0" encoding="utf-8"?>
<formControlPr xmlns="http://schemas.microsoft.com/office/spreadsheetml/2009/9/main" objectType="CheckBox" fmlaLink="$Q$262" lockText="1" noThreeD="1"/>
</file>

<file path=xl/ctrlProps/ctrlProp71.xml><?xml version="1.0" encoding="utf-8"?>
<formControlPr xmlns="http://schemas.microsoft.com/office/spreadsheetml/2009/9/main" objectType="CheckBox" fmlaLink="$Q$263" lockText="1" noThreeD="1"/>
</file>

<file path=xl/ctrlProps/ctrlProp72.xml><?xml version="1.0" encoding="utf-8"?>
<formControlPr xmlns="http://schemas.microsoft.com/office/spreadsheetml/2009/9/main" objectType="CheckBox" fmlaLink="$Q$266" lockText="1" noThreeD="1"/>
</file>

<file path=xl/ctrlProps/ctrlProp73.xml><?xml version="1.0" encoding="utf-8"?>
<formControlPr xmlns="http://schemas.microsoft.com/office/spreadsheetml/2009/9/main" objectType="CheckBox" fmlaLink="$Q$267" lockText="1" noThreeD="1"/>
</file>

<file path=xl/ctrlProps/ctrlProp74.xml><?xml version="1.0" encoding="utf-8"?>
<formControlPr xmlns="http://schemas.microsoft.com/office/spreadsheetml/2009/9/main" objectType="CheckBox" fmlaLink="$Q$268" lockText="1" noThreeD="1"/>
</file>

<file path=xl/ctrlProps/ctrlProp75.xml><?xml version="1.0" encoding="utf-8"?>
<formControlPr xmlns="http://schemas.microsoft.com/office/spreadsheetml/2009/9/main" objectType="CheckBox" fmlaLink="$Q$269" lockText="1" noThreeD="1"/>
</file>

<file path=xl/ctrlProps/ctrlProp76.xml><?xml version="1.0" encoding="utf-8"?>
<formControlPr xmlns="http://schemas.microsoft.com/office/spreadsheetml/2009/9/main" objectType="Drop" dropStyle="combo" dx="16" fmlaLink="$BN$84" fmlaRange="Stroh!$B$2:$B$4" noThreeD="1" sel="1" val="0"/>
</file>

<file path=xl/ctrlProps/ctrlProp77.xml><?xml version="1.0" encoding="utf-8"?>
<formControlPr xmlns="http://schemas.microsoft.com/office/spreadsheetml/2009/9/main" objectType="Drop" dropStyle="combo" dx="16" fmlaLink="$BN$85" fmlaRange="Stroh!$B$2:$B$4" noThreeD="1" sel="1" val="0"/>
</file>

<file path=xl/ctrlProps/ctrlProp78.xml><?xml version="1.0" encoding="utf-8"?>
<formControlPr xmlns="http://schemas.microsoft.com/office/spreadsheetml/2009/9/main" objectType="CheckBox" fmlaLink="$DQ$85" lockText="1" noThreeD="1"/>
</file>

<file path=xl/ctrlProps/ctrlProp79.xml><?xml version="1.0" encoding="utf-8"?>
<formControlPr xmlns="http://schemas.microsoft.com/office/spreadsheetml/2009/9/main" objectType="Drop" dropLines="15" dropStyle="combo" dx="16" fmlaLink="$BM$77" fmlaRange="Tiere!$B$30:$B$114" noThreeD="1" sel="1" val="0"/>
</file>

<file path=xl/ctrlProps/ctrlProp8.xml><?xml version="1.0" encoding="utf-8"?>
<formControlPr xmlns="http://schemas.microsoft.com/office/spreadsheetml/2009/9/main" objectType="Drop" dropLines="15" dropStyle="combo" dx="16" fmlaLink="$BM$76" fmlaRange="Tiere!$B$30:$B$114" noThreeD="1" sel="1" val="0"/>
</file>

<file path=xl/ctrlProps/ctrlProp80.xml><?xml version="1.0" encoding="utf-8"?>
<formControlPr xmlns="http://schemas.microsoft.com/office/spreadsheetml/2009/9/main" objectType="Drop" dropStyle="combo" dx="16" fmlaLink="$BN$77" fmlaRange="Stroh!$B$2:$B$4" noThreeD="1" sel="1" val="0"/>
</file>

<file path=xl/ctrlProps/ctrlProp81.xml><?xml version="1.0" encoding="utf-8"?>
<formControlPr xmlns="http://schemas.microsoft.com/office/spreadsheetml/2009/9/main" objectType="CheckBox" fmlaLink="$DQ$77" lockText="1" noThreeD="1"/>
</file>

<file path=xl/ctrlProps/ctrlProp82.xml><?xml version="1.0" encoding="utf-8"?>
<formControlPr xmlns="http://schemas.microsoft.com/office/spreadsheetml/2009/9/main" objectType="Drop" dropLines="15" dropStyle="combo" dx="16" fmlaLink="$BM$78" fmlaRange="Tiere!$B$30:$B$114" noThreeD="1" sel="1" val="0"/>
</file>

<file path=xl/ctrlProps/ctrlProp83.xml><?xml version="1.0" encoding="utf-8"?>
<formControlPr xmlns="http://schemas.microsoft.com/office/spreadsheetml/2009/9/main" objectType="Drop" dropStyle="combo" dx="16" fmlaLink="$BN$78" fmlaRange="Stroh!$B$2:$B$4" noThreeD="1" sel="1" val="0"/>
</file>

<file path=xl/ctrlProps/ctrlProp84.xml><?xml version="1.0" encoding="utf-8"?>
<formControlPr xmlns="http://schemas.microsoft.com/office/spreadsheetml/2009/9/main" objectType="CheckBox" fmlaLink="$DQ$78" lockText="1" noThreeD="1"/>
</file>

<file path=xl/ctrlProps/ctrlProp85.xml><?xml version="1.0" encoding="utf-8"?>
<formControlPr xmlns="http://schemas.microsoft.com/office/spreadsheetml/2009/9/main" objectType="Drop" dropStyle="combo" dx="16" fmlaLink="$BN$84" fmlaRange="Stroh!$B$2:$B$4" noThreeD="1" sel="1" val="0"/>
</file>

<file path=xl/ctrlProps/ctrlProp86.xml><?xml version="1.0" encoding="utf-8"?>
<formControlPr xmlns="http://schemas.microsoft.com/office/spreadsheetml/2009/9/main" objectType="CheckBox" fmlaLink="$DQ$84" lockText="1" noThreeD="1"/>
</file>

<file path=xl/ctrlProps/ctrlProp87.xml><?xml version="1.0" encoding="utf-8"?>
<formControlPr xmlns="http://schemas.microsoft.com/office/spreadsheetml/2009/9/main" objectType="Drop" dropLines="35" dropStyle="combo" dx="16" fmlaLink="$AX$116" fmlaRange="Pflanzen!$C$5:$C$104" noThreeD="1" sel="1" val="0"/>
</file>

<file path=xl/ctrlProps/ctrlProp88.xml><?xml version="1.0" encoding="utf-8"?>
<formControlPr xmlns="http://schemas.microsoft.com/office/spreadsheetml/2009/9/main" objectType="Drop" dropLines="35" dropStyle="combo" dx="16" fmlaLink="$AX$117" fmlaRange="Pflanzen!$C$5:$C$104" noThreeD="1" sel="1" val="0"/>
</file>

<file path=xl/ctrlProps/ctrlProp89.xml><?xml version="1.0" encoding="utf-8"?>
<formControlPr xmlns="http://schemas.microsoft.com/office/spreadsheetml/2009/9/main" objectType="Drop" dropLines="35" dropStyle="combo" dx="16" fmlaLink="$AX$118" fmlaRange="Pflanzen!$C$5:$C$104" noThreeD="1" sel="1" val="0"/>
</file>

<file path=xl/ctrlProps/ctrlProp9.xml><?xml version="1.0" encoding="utf-8"?>
<formControlPr xmlns="http://schemas.microsoft.com/office/spreadsheetml/2009/9/main" objectType="Drop" dropLines="15" dropStyle="combo" dx="16" fmlaLink="$BM$79" fmlaRange="Tiere!$B$30:$B$114" noThreeD="1" sel="1" val="0"/>
</file>

<file path=xl/ctrlProps/ctrlProp90.xml><?xml version="1.0" encoding="utf-8"?>
<formControlPr xmlns="http://schemas.microsoft.com/office/spreadsheetml/2009/9/main" objectType="Drop" dropLines="35" dropStyle="combo" dx="16" fmlaLink="$AX$119" fmlaRange="Pflanzen!$C$5:$C$104" noThreeD="1" sel="1" val="0"/>
</file>

<file path=xl/ctrlProps/ctrlProp91.xml><?xml version="1.0" encoding="utf-8"?>
<formControlPr xmlns="http://schemas.microsoft.com/office/spreadsheetml/2009/9/main" objectType="Drop" dropLines="35" dropStyle="combo" dx="16" fmlaLink="$AX$120" fmlaRange="Pflanzen!$C$5:$C$104" noThreeD="1" sel="1" val="0"/>
</file>

<file path=xl/ctrlProps/ctrlProp92.xml><?xml version="1.0" encoding="utf-8"?>
<formControlPr xmlns="http://schemas.microsoft.com/office/spreadsheetml/2009/9/main" objectType="Drop" dropLines="35" dropStyle="combo" dx="16" fmlaLink="$AX$121" fmlaRange="Pflanzen!$C$5:$C$104" noThreeD="1" sel="1" val="0"/>
</file>

<file path=xl/ctrlProps/ctrlProp93.xml><?xml version="1.0" encoding="utf-8"?>
<formControlPr xmlns="http://schemas.microsoft.com/office/spreadsheetml/2009/9/main" objectType="Drop" dropLines="35" dropStyle="combo" dx="16" fmlaLink="$AX$122" fmlaRange="Pflanzen!$C$5:$C$104" noThreeD="1" sel="1" val="0"/>
</file>

<file path=xl/ctrlProps/ctrlProp94.xml><?xml version="1.0" encoding="utf-8"?>
<formControlPr xmlns="http://schemas.microsoft.com/office/spreadsheetml/2009/9/main" objectType="Drop" dropLines="35" dropStyle="combo" dx="16" fmlaLink="$AX$123" fmlaRange="Pflanzen!$C$5:$C$104" noThreeD="1" sel="1" val="0"/>
</file>

<file path=xl/ctrlProps/ctrlProp95.xml><?xml version="1.0" encoding="utf-8"?>
<formControlPr xmlns="http://schemas.microsoft.com/office/spreadsheetml/2009/9/main" objectType="Drop" dropLines="35" dropStyle="combo" dx="16" fmlaLink="$AX$124" fmlaRange="Pflanzen!$C$5:$C$104" noThreeD="1" sel="1" val="0"/>
</file>

<file path=xl/ctrlProps/ctrlProp96.xml><?xml version="1.0" encoding="utf-8"?>
<formControlPr xmlns="http://schemas.microsoft.com/office/spreadsheetml/2009/9/main" objectType="Drop" dropLines="35" dropStyle="combo" dx="16" fmlaLink="$AX$125" fmlaRange="Pflanzen!$C$5:$C$104" noThreeD="1" sel="1" val="55"/>
</file>

<file path=xl/ctrlProps/ctrlProp97.xml><?xml version="1.0" encoding="utf-8"?>
<formControlPr xmlns="http://schemas.microsoft.com/office/spreadsheetml/2009/9/main" objectType="Drop" dropLines="35" dropStyle="combo" dx="16" fmlaLink="$AX$126" fmlaRange="Pflanzen!$C$5:$C$104" noThreeD="1" sel="1" val="0"/>
</file>

<file path=xl/ctrlProps/ctrlProp98.xml><?xml version="1.0" encoding="utf-8"?>
<formControlPr xmlns="http://schemas.microsoft.com/office/spreadsheetml/2009/9/main" objectType="Drop" dropLines="35" dropStyle="combo" dx="16" fmlaLink="$AX$127" fmlaRange="Pflanzen!$C$5:$C$104" noThreeD="1" sel="1" val="64"/>
</file>

<file path=xl/ctrlProps/ctrlProp99.xml><?xml version="1.0" encoding="utf-8"?>
<formControlPr xmlns="http://schemas.microsoft.com/office/spreadsheetml/2009/9/main" objectType="Drop" dropLines="35" dropStyle="combo" dx="16" fmlaLink="$AX$128" fmlaRange="Pflanzen!$C$5:$C$104" noThreeD="1" sel="1" val="64"/>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4.png"/><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7</xdr:col>
      <xdr:colOff>201275</xdr:colOff>
      <xdr:row>0</xdr:row>
      <xdr:rowOff>129540</xdr:rowOff>
    </xdr:from>
    <xdr:to>
      <xdr:col>8</xdr:col>
      <xdr:colOff>666750</xdr:colOff>
      <xdr:row>3</xdr:row>
      <xdr:rowOff>152400</xdr:rowOff>
    </xdr:to>
    <xdr:pic>
      <xdr:nvPicPr>
        <xdr:cNvPr id="2" name="Picture 3">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5455900" y="129540"/>
          <a:ext cx="1259225" cy="657860"/>
        </a:xfrm>
        <a:prstGeom prst="rect">
          <a:avLst/>
        </a:prstGeom>
        <a:noFill/>
        <a:ln w="9525">
          <a:noFill/>
          <a:miter lim="800000"/>
          <a:headEnd/>
          <a:tailEnd/>
        </a:ln>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18</xdr:row>
      <xdr:rowOff>95250</xdr:rowOff>
    </xdr:from>
    <xdr:to>
      <xdr:col>6</xdr:col>
      <xdr:colOff>9525</xdr:colOff>
      <xdr:row>20</xdr:row>
      <xdr:rowOff>133350</xdr:rowOff>
    </xdr:to>
    <xdr:sp macro="" textlink="">
      <xdr:nvSpPr>
        <xdr:cNvPr id="175242" name="Ellipse 16">
          <a:extLst>
            <a:ext uri="{FF2B5EF4-FFF2-40B4-BE49-F238E27FC236}">
              <a16:creationId xmlns:a16="http://schemas.microsoft.com/office/drawing/2014/main" id="{00000000-0008-0000-0100-00008AAC0200}"/>
            </a:ext>
          </a:extLst>
        </xdr:cNvPr>
        <xdr:cNvSpPr>
          <a:spLocks noChangeArrowheads="1"/>
        </xdr:cNvSpPr>
      </xdr:nvSpPr>
      <xdr:spPr bwMode="auto">
        <a:xfrm>
          <a:off x="1914525" y="4000500"/>
          <a:ext cx="1885950" cy="342900"/>
        </a:xfrm>
        <a:prstGeom prst="ellipse">
          <a:avLst/>
        </a:prstGeom>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de-DE"/>
        </a:p>
      </xdr:txBody>
    </xdr:sp>
    <xdr:clientData/>
  </xdr:twoCellAnchor>
  <xdr:twoCellAnchor>
    <xdr:from>
      <xdr:col>2</xdr:col>
      <xdr:colOff>1</xdr:colOff>
      <xdr:row>18</xdr:row>
      <xdr:rowOff>74083</xdr:rowOff>
    </xdr:from>
    <xdr:to>
      <xdr:col>6</xdr:col>
      <xdr:colOff>21169</xdr:colOff>
      <xdr:row>27</xdr:row>
      <xdr:rowOff>63500</xdr:rowOff>
    </xdr:to>
    <xdr:sp macro="" textlink="">
      <xdr:nvSpPr>
        <xdr:cNvPr id="73" name="Zylinder 72">
          <a:extLst>
            <a:ext uri="{FF2B5EF4-FFF2-40B4-BE49-F238E27FC236}">
              <a16:creationId xmlns:a16="http://schemas.microsoft.com/office/drawing/2014/main" id="{00000000-0008-0000-0100-000049000000}"/>
            </a:ext>
          </a:extLst>
        </xdr:cNvPr>
        <xdr:cNvSpPr/>
      </xdr:nvSpPr>
      <xdr:spPr>
        <a:xfrm>
          <a:off x="1915584" y="3905250"/>
          <a:ext cx="1862668" cy="1322917"/>
        </a:xfrm>
        <a:prstGeom prst="can">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sz="1200">
            <a:latin typeface="Arial" panose="020B0604020202020204" pitchFamily="34" charset="0"/>
            <a:cs typeface="Arial" panose="020B0604020202020204" pitchFamily="34" charset="0"/>
          </a:endParaRPr>
        </a:p>
      </xdr:txBody>
    </xdr:sp>
    <xdr:clientData/>
  </xdr:twoCellAnchor>
  <xdr:twoCellAnchor>
    <xdr:from>
      <xdr:col>0</xdr:col>
      <xdr:colOff>42333</xdr:colOff>
      <xdr:row>16</xdr:row>
      <xdr:rowOff>62195</xdr:rowOff>
    </xdr:from>
    <xdr:to>
      <xdr:col>12</xdr:col>
      <xdr:colOff>402166</xdr:colOff>
      <xdr:row>28</xdr:row>
      <xdr:rowOff>10584</xdr:rowOff>
    </xdr:to>
    <xdr:sp macro="" textlink="">
      <xdr:nvSpPr>
        <xdr:cNvPr id="50" name="Rechteck 49">
          <a:extLst>
            <a:ext uri="{FF2B5EF4-FFF2-40B4-BE49-F238E27FC236}">
              <a16:creationId xmlns:a16="http://schemas.microsoft.com/office/drawing/2014/main" id="{00000000-0008-0000-0100-000032000000}"/>
            </a:ext>
          </a:extLst>
        </xdr:cNvPr>
        <xdr:cNvSpPr/>
      </xdr:nvSpPr>
      <xdr:spPr>
        <a:xfrm>
          <a:off x="42333" y="3693601"/>
          <a:ext cx="6384396" cy="1781952"/>
        </a:xfrm>
        <a:prstGeom prst="rect">
          <a:avLst/>
        </a:pr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68</xdr:row>
          <xdr:rowOff>19050</xdr:rowOff>
        </xdr:from>
        <xdr:to>
          <xdr:col>3</xdr:col>
          <xdr:colOff>476250</xdr:colOff>
          <xdr:row>69</xdr:row>
          <xdr:rowOff>0</xdr:rowOff>
        </xdr:to>
        <xdr:sp macro="" textlink="">
          <xdr:nvSpPr>
            <xdr:cNvPr id="2055" name="Drop Down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69</xdr:row>
          <xdr:rowOff>9525</xdr:rowOff>
        </xdr:from>
        <xdr:to>
          <xdr:col>3</xdr:col>
          <xdr:colOff>476250</xdr:colOff>
          <xdr:row>69</xdr:row>
          <xdr:rowOff>209550</xdr:rowOff>
        </xdr:to>
        <xdr:sp macro="" textlink="">
          <xdr:nvSpPr>
            <xdr:cNvPr id="2058" name="Drop Down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69</xdr:row>
          <xdr:rowOff>228600</xdr:rowOff>
        </xdr:from>
        <xdr:to>
          <xdr:col>3</xdr:col>
          <xdr:colOff>476250</xdr:colOff>
          <xdr:row>70</xdr:row>
          <xdr:rowOff>209550</xdr:rowOff>
        </xdr:to>
        <xdr:sp macro="" textlink="">
          <xdr:nvSpPr>
            <xdr:cNvPr id="2059" name="Drop Down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70</xdr:row>
          <xdr:rowOff>228600</xdr:rowOff>
        </xdr:from>
        <xdr:to>
          <xdr:col>3</xdr:col>
          <xdr:colOff>476250</xdr:colOff>
          <xdr:row>71</xdr:row>
          <xdr:rowOff>209550</xdr:rowOff>
        </xdr:to>
        <xdr:sp macro="" textlink="">
          <xdr:nvSpPr>
            <xdr:cNvPr id="2060" name="Drop Down 12" hidden="1">
              <a:extLst>
                <a:ext uri="{63B3BB69-23CF-44E3-9099-C40C66FF867C}">
                  <a14:compatExt spid="_x0000_s2060"/>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71</xdr:row>
          <xdr:rowOff>219075</xdr:rowOff>
        </xdr:from>
        <xdr:to>
          <xdr:col>3</xdr:col>
          <xdr:colOff>485775</xdr:colOff>
          <xdr:row>72</xdr:row>
          <xdr:rowOff>209550</xdr:rowOff>
        </xdr:to>
        <xdr:sp macro="" textlink="">
          <xdr:nvSpPr>
            <xdr:cNvPr id="2061" name="Drop Down 13" hidden="1">
              <a:extLst>
                <a:ext uri="{63B3BB69-23CF-44E3-9099-C40C66FF867C}">
                  <a14:compatExt spid="_x0000_s2061"/>
                </a:ext>
                <a:ext uri="{FF2B5EF4-FFF2-40B4-BE49-F238E27FC236}">
                  <a16:creationId xmlns:a16="http://schemas.microsoft.com/office/drawing/2014/main" id="{00000000-0008-0000-01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72</xdr:row>
          <xdr:rowOff>219075</xdr:rowOff>
        </xdr:from>
        <xdr:to>
          <xdr:col>3</xdr:col>
          <xdr:colOff>485775</xdr:colOff>
          <xdr:row>73</xdr:row>
          <xdr:rowOff>200025</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1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73</xdr:row>
          <xdr:rowOff>219075</xdr:rowOff>
        </xdr:from>
        <xdr:to>
          <xdr:col>3</xdr:col>
          <xdr:colOff>485775</xdr:colOff>
          <xdr:row>74</xdr:row>
          <xdr:rowOff>209550</xdr:rowOff>
        </xdr:to>
        <xdr:sp macro="" textlink="">
          <xdr:nvSpPr>
            <xdr:cNvPr id="2063" name="Drop Down 15" hidden="1">
              <a:extLst>
                <a:ext uri="{63B3BB69-23CF-44E3-9099-C40C66FF867C}">
                  <a14:compatExt spid="_x0000_s2063"/>
                </a:ext>
                <a:ext uri="{FF2B5EF4-FFF2-40B4-BE49-F238E27FC236}">
                  <a16:creationId xmlns:a16="http://schemas.microsoft.com/office/drawing/2014/main" id="{00000000-0008-0000-0100-00000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74</xdr:row>
          <xdr:rowOff>219075</xdr:rowOff>
        </xdr:from>
        <xdr:to>
          <xdr:col>3</xdr:col>
          <xdr:colOff>485775</xdr:colOff>
          <xdr:row>75</xdr:row>
          <xdr:rowOff>209550</xdr:rowOff>
        </xdr:to>
        <xdr:sp macro="" textlink="">
          <xdr:nvSpPr>
            <xdr:cNvPr id="2064" name="Drop Down 16" hidden="1">
              <a:extLst>
                <a:ext uri="{63B3BB69-23CF-44E3-9099-C40C66FF867C}">
                  <a14:compatExt spid="_x0000_s2064"/>
                </a:ext>
                <a:ext uri="{FF2B5EF4-FFF2-40B4-BE49-F238E27FC236}">
                  <a16:creationId xmlns:a16="http://schemas.microsoft.com/office/drawing/2014/main" id="{00000000-0008-0000-01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78</xdr:row>
          <xdr:rowOff>0</xdr:rowOff>
        </xdr:from>
        <xdr:to>
          <xdr:col>3</xdr:col>
          <xdr:colOff>485775</xdr:colOff>
          <xdr:row>78</xdr:row>
          <xdr:rowOff>219075</xdr:rowOff>
        </xdr:to>
        <xdr:sp macro="" textlink="">
          <xdr:nvSpPr>
            <xdr:cNvPr id="2065" name="Drop Down 17" hidden="1">
              <a:extLst>
                <a:ext uri="{63B3BB69-23CF-44E3-9099-C40C66FF867C}">
                  <a14:compatExt spid="_x0000_s2065"/>
                </a:ext>
                <a:ext uri="{FF2B5EF4-FFF2-40B4-BE49-F238E27FC236}">
                  <a16:creationId xmlns:a16="http://schemas.microsoft.com/office/drawing/2014/main" id="{00000000-0008-0000-01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79</xdr:row>
          <xdr:rowOff>9525</xdr:rowOff>
        </xdr:from>
        <xdr:to>
          <xdr:col>3</xdr:col>
          <xdr:colOff>485775</xdr:colOff>
          <xdr:row>79</xdr:row>
          <xdr:rowOff>219075</xdr:rowOff>
        </xdr:to>
        <xdr:sp macro="" textlink="">
          <xdr:nvSpPr>
            <xdr:cNvPr id="2081" name="Drop Down 33" hidden="1">
              <a:extLst>
                <a:ext uri="{63B3BB69-23CF-44E3-9099-C40C66FF867C}">
                  <a14:compatExt spid="_x0000_s2081"/>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80</xdr:row>
          <xdr:rowOff>9525</xdr:rowOff>
        </xdr:from>
        <xdr:to>
          <xdr:col>3</xdr:col>
          <xdr:colOff>485775</xdr:colOff>
          <xdr:row>80</xdr:row>
          <xdr:rowOff>219075</xdr:rowOff>
        </xdr:to>
        <xdr:sp macro="" textlink="">
          <xdr:nvSpPr>
            <xdr:cNvPr id="2082" name="Drop Down 34" hidden="1">
              <a:extLst>
                <a:ext uri="{63B3BB69-23CF-44E3-9099-C40C66FF867C}">
                  <a14:compatExt spid="_x0000_s2082"/>
                </a:ext>
                <a:ext uri="{FF2B5EF4-FFF2-40B4-BE49-F238E27FC236}">
                  <a16:creationId xmlns:a16="http://schemas.microsoft.com/office/drawing/2014/main" id="{00000000-0008-0000-0100-00002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67</xdr:row>
          <xdr:rowOff>28575</xdr:rowOff>
        </xdr:from>
        <xdr:to>
          <xdr:col>6</xdr:col>
          <xdr:colOff>495300</xdr:colOff>
          <xdr:row>67</xdr:row>
          <xdr:rowOff>209550</xdr:rowOff>
        </xdr:to>
        <xdr:sp macro="" textlink="">
          <xdr:nvSpPr>
            <xdr:cNvPr id="2208" name="Drop Down 160" hidden="1">
              <a:extLst>
                <a:ext uri="{63B3BB69-23CF-44E3-9099-C40C66FF867C}">
                  <a14:compatExt spid="_x0000_s2208"/>
                </a:ext>
                <a:ext uri="{FF2B5EF4-FFF2-40B4-BE49-F238E27FC236}">
                  <a16:creationId xmlns:a16="http://schemas.microsoft.com/office/drawing/2014/main" id="{00000000-0008-0000-0100-0000A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67</xdr:row>
          <xdr:rowOff>19050</xdr:rowOff>
        </xdr:from>
        <xdr:to>
          <xdr:col>3</xdr:col>
          <xdr:colOff>476250</xdr:colOff>
          <xdr:row>68</xdr:row>
          <xdr:rowOff>0</xdr:rowOff>
        </xdr:to>
        <xdr:sp macro="" textlink="">
          <xdr:nvSpPr>
            <xdr:cNvPr id="2250" name="Drop Down 202" hidden="1">
              <a:extLst>
                <a:ext uri="{63B3BB69-23CF-44E3-9099-C40C66FF867C}">
                  <a14:compatExt spid="_x0000_s2250"/>
                </a:ext>
                <a:ext uri="{FF2B5EF4-FFF2-40B4-BE49-F238E27FC236}">
                  <a16:creationId xmlns:a16="http://schemas.microsoft.com/office/drawing/2014/main" id="{00000000-0008-0000-0100-0000C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68</xdr:row>
          <xdr:rowOff>19050</xdr:rowOff>
        </xdr:from>
        <xdr:to>
          <xdr:col>6</xdr:col>
          <xdr:colOff>495300</xdr:colOff>
          <xdr:row>68</xdr:row>
          <xdr:rowOff>209550</xdr:rowOff>
        </xdr:to>
        <xdr:sp macro="" textlink="">
          <xdr:nvSpPr>
            <xdr:cNvPr id="2261" name="Drop Down 213" hidden="1">
              <a:extLst>
                <a:ext uri="{63B3BB69-23CF-44E3-9099-C40C66FF867C}">
                  <a14:compatExt spid="_x0000_s2261"/>
                </a:ext>
                <a:ext uri="{FF2B5EF4-FFF2-40B4-BE49-F238E27FC236}">
                  <a16:creationId xmlns:a16="http://schemas.microsoft.com/office/drawing/2014/main" id="{00000000-0008-0000-0100-0000D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69</xdr:row>
          <xdr:rowOff>19050</xdr:rowOff>
        </xdr:from>
        <xdr:to>
          <xdr:col>6</xdr:col>
          <xdr:colOff>495300</xdr:colOff>
          <xdr:row>69</xdr:row>
          <xdr:rowOff>219075</xdr:rowOff>
        </xdr:to>
        <xdr:sp macro="" textlink="">
          <xdr:nvSpPr>
            <xdr:cNvPr id="2262" name="Drop Down 214" hidden="1">
              <a:extLst>
                <a:ext uri="{63B3BB69-23CF-44E3-9099-C40C66FF867C}">
                  <a14:compatExt spid="_x0000_s2262"/>
                </a:ext>
                <a:ext uri="{FF2B5EF4-FFF2-40B4-BE49-F238E27FC236}">
                  <a16:creationId xmlns:a16="http://schemas.microsoft.com/office/drawing/2014/main" id="{00000000-0008-0000-0100-0000D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70</xdr:row>
          <xdr:rowOff>19050</xdr:rowOff>
        </xdr:from>
        <xdr:to>
          <xdr:col>6</xdr:col>
          <xdr:colOff>495300</xdr:colOff>
          <xdr:row>70</xdr:row>
          <xdr:rowOff>219075</xdr:rowOff>
        </xdr:to>
        <xdr:sp macro="" textlink="">
          <xdr:nvSpPr>
            <xdr:cNvPr id="2263" name="Drop Down 215" hidden="1">
              <a:extLst>
                <a:ext uri="{63B3BB69-23CF-44E3-9099-C40C66FF867C}">
                  <a14:compatExt spid="_x0000_s2263"/>
                </a:ext>
                <a:ext uri="{FF2B5EF4-FFF2-40B4-BE49-F238E27FC236}">
                  <a16:creationId xmlns:a16="http://schemas.microsoft.com/office/drawing/2014/main" id="{00000000-0008-0000-0100-0000D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71</xdr:row>
          <xdr:rowOff>19050</xdr:rowOff>
        </xdr:from>
        <xdr:to>
          <xdr:col>6</xdr:col>
          <xdr:colOff>495300</xdr:colOff>
          <xdr:row>71</xdr:row>
          <xdr:rowOff>219075</xdr:rowOff>
        </xdr:to>
        <xdr:sp macro="" textlink="">
          <xdr:nvSpPr>
            <xdr:cNvPr id="2264" name="Drop Down 216" hidden="1">
              <a:extLst>
                <a:ext uri="{63B3BB69-23CF-44E3-9099-C40C66FF867C}">
                  <a14:compatExt spid="_x0000_s2264"/>
                </a:ext>
                <a:ext uri="{FF2B5EF4-FFF2-40B4-BE49-F238E27FC236}">
                  <a16:creationId xmlns:a16="http://schemas.microsoft.com/office/drawing/2014/main" id="{00000000-0008-0000-0100-0000D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72</xdr:row>
          <xdr:rowOff>19050</xdr:rowOff>
        </xdr:from>
        <xdr:to>
          <xdr:col>6</xdr:col>
          <xdr:colOff>495300</xdr:colOff>
          <xdr:row>72</xdr:row>
          <xdr:rowOff>219075</xdr:rowOff>
        </xdr:to>
        <xdr:sp macro="" textlink="">
          <xdr:nvSpPr>
            <xdr:cNvPr id="2265" name="Drop Down 217" hidden="1">
              <a:extLst>
                <a:ext uri="{63B3BB69-23CF-44E3-9099-C40C66FF867C}">
                  <a14:compatExt spid="_x0000_s2265"/>
                </a:ext>
                <a:ext uri="{FF2B5EF4-FFF2-40B4-BE49-F238E27FC236}">
                  <a16:creationId xmlns:a16="http://schemas.microsoft.com/office/drawing/2014/main" id="{00000000-0008-0000-0100-0000D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73</xdr:row>
          <xdr:rowOff>19050</xdr:rowOff>
        </xdr:from>
        <xdr:to>
          <xdr:col>6</xdr:col>
          <xdr:colOff>495300</xdr:colOff>
          <xdr:row>73</xdr:row>
          <xdr:rowOff>219075</xdr:rowOff>
        </xdr:to>
        <xdr:sp macro="" textlink="">
          <xdr:nvSpPr>
            <xdr:cNvPr id="2266" name="Drop Down 218" hidden="1">
              <a:extLst>
                <a:ext uri="{63B3BB69-23CF-44E3-9099-C40C66FF867C}">
                  <a14:compatExt spid="_x0000_s2266"/>
                </a:ext>
                <a:ext uri="{FF2B5EF4-FFF2-40B4-BE49-F238E27FC236}">
                  <a16:creationId xmlns:a16="http://schemas.microsoft.com/office/drawing/2014/main" id="{00000000-0008-0000-0100-0000D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74</xdr:row>
          <xdr:rowOff>19050</xdr:rowOff>
        </xdr:from>
        <xdr:to>
          <xdr:col>6</xdr:col>
          <xdr:colOff>495300</xdr:colOff>
          <xdr:row>74</xdr:row>
          <xdr:rowOff>219075</xdr:rowOff>
        </xdr:to>
        <xdr:sp macro="" textlink="">
          <xdr:nvSpPr>
            <xdr:cNvPr id="2267" name="Drop Down 219" hidden="1">
              <a:extLst>
                <a:ext uri="{63B3BB69-23CF-44E3-9099-C40C66FF867C}">
                  <a14:compatExt spid="_x0000_s2267"/>
                </a:ext>
                <a:ext uri="{FF2B5EF4-FFF2-40B4-BE49-F238E27FC236}">
                  <a16:creationId xmlns:a16="http://schemas.microsoft.com/office/drawing/2014/main" id="{00000000-0008-0000-0100-0000D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75</xdr:row>
          <xdr:rowOff>19050</xdr:rowOff>
        </xdr:from>
        <xdr:to>
          <xdr:col>6</xdr:col>
          <xdr:colOff>495300</xdr:colOff>
          <xdr:row>75</xdr:row>
          <xdr:rowOff>219075</xdr:rowOff>
        </xdr:to>
        <xdr:sp macro="" textlink="">
          <xdr:nvSpPr>
            <xdr:cNvPr id="2268" name="Drop Down 220" hidden="1">
              <a:extLst>
                <a:ext uri="{63B3BB69-23CF-44E3-9099-C40C66FF867C}">
                  <a14:compatExt spid="_x0000_s2268"/>
                </a:ext>
                <a:ext uri="{FF2B5EF4-FFF2-40B4-BE49-F238E27FC236}">
                  <a16:creationId xmlns:a16="http://schemas.microsoft.com/office/drawing/2014/main" id="{00000000-0008-0000-0100-0000D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78</xdr:row>
          <xdr:rowOff>19050</xdr:rowOff>
        </xdr:from>
        <xdr:to>
          <xdr:col>6</xdr:col>
          <xdr:colOff>495300</xdr:colOff>
          <xdr:row>78</xdr:row>
          <xdr:rowOff>219075</xdr:rowOff>
        </xdr:to>
        <xdr:sp macro="" textlink="">
          <xdr:nvSpPr>
            <xdr:cNvPr id="2269" name="Drop Down 221" hidden="1">
              <a:extLst>
                <a:ext uri="{63B3BB69-23CF-44E3-9099-C40C66FF867C}">
                  <a14:compatExt spid="_x0000_s2269"/>
                </a:ext>
                <a:ext uri="{FF2B5EF4-FFF2-40B4-BE49-F238E27FC236}">
                  <a16:creationId xmlns:a16="http://schemas.microsoft.com/office/drawing/2014/main" id="{00000000-0008-0000-0100-0000D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79</xdr:row>
          <xdr:rowOff>19050</xdr:rowOff>
        </xdr:from>
        <xdr:to>
          <xdr:col>6</xdr:col>
          <xdr:colOff>495300</xdr:colOff>
          <xdr:row>79</xdr:row>
          <xdr:rowOff>219075</xdr:rowOff>
        </xdr:to>
        <xdr:sp macro="" textlink="">
          <xdr:nvSpPr>
            <xdr:cNvPr id="2270" name="Drop Down 222" hidden="1">
              <a:extLst>
                <a:ext uri="{63B3BB69-23CF-44E3-9099-C40C66FF867C}">
                  <a14:compatExt spid="_x0000_s2270"/>
                </a:ext>
                <a:ext uri="{FF2B5EF4-FFF2-40B4-BE49-F238E27FC236}">
                  <a16:creationId xmlns:a16="http://schemas.microsoft.com/office/drawing/2014/main" id="{00000000-0008-0000-0100-0000D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80</xdr:row>
          <xdr:rowOff>19050</xdr:rowOff>
        </xdr:from>
        <xdr:to>
          <xdr:col>6</xdr:col>
          <xdr:colOff>495300</xdr:colOff>
          <xdr:row>80</xdr:row>
          <xdr:rowOff>209550</xdr:rowOff>
        </xdr:to>
        <xdr:sp macro="" textlink="">
          <xdr:nvSpPr>
            <xdr:cNvPr id="2271" name="Drop Down 223" hidden="1">
              <a:extLst>
                <a:ext uri="{63B3BB69-23CF-44E3-9099-C40C66FF867C}">
                  <a14:compatExt spid="_x0000_s2271"/>
                </a:ext>
                <a:ext uri="{FF2B5EF4-FFF2-40B4-BE49-F238E27FC236}">
                  <a16:creationId xmlns:a16="http://schemas.microsoft.com/office/drawing/2014/main" id="{00000000-0008-0000-0100-0000D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82</xdr:row>
          <xdr:rowOff>19050</xdr:rowOff>
        </xdr:from>
        <xdr:to>
          <xdr:col>6</xdr:col>
          <xdr:colOff>495300</xdr:colOff>
          <xdr:row>82</xdr:row>
          <xdr:rowOff>209550</xdr:rowOff>
        </xdr:to>
        <xdr:sp macro="" textlink="">
          <xdr:nvSpPr>
            <xdr:cNvPr id="2304" name="Drop Down 256" hidden="1">
              <a:extLst>
                <a:ext uri="{63B3BB69-23CF-44E3-9099-C40C66FF867C}">
                  <a14:compatExt spid="_x0000_s2304"/>
                </a:ext>
                <a:ext uri="{FF2B5EF4-FFF2-40B4-BE49-F238E27FC236}">
                  <a16:creationId xmlns:a16="http://schemas.microsoft.com/office/drawing/2014/main" id="{00000000-0008-0000-0100-000000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85</xdr:row>
          <xdr:rowOff>19050</xdr:rowOff>
        </xdr:from>
        <xdr:to>
          <xdr:col>6</xdr:col>
          <xdr:colOff>495300</xdr:colOff>
          <xdr:row>85</xdr:row>
          <xdr:rowOff>209550</xdr:rowOff>
        </xdr:to>
        <xdr:sp macro="" textlink="">
          <xdr:nvSpPr>
            <xdr:cNvPr id="2307" name="Drop Down 259" hidden="1">
              <a:extLst>
                <a:ext uri="{63B3BB69-23CF-44E3-9099-C40C66FF867C}">
                  <a14:compatExt spid="_x0000_s2307"/>
                </a:ext>
                <a:ext uri="{FF2B5EF4-FFF2-40B4-BE49-F238E27FC236}">
                  <a16:creationId xmlns:a16="http://schemas.microsoft.com/office/drawing/2014/main" id="{00000000-0008-0000-0100-00000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86</xdr:row>
          <xdr:rowOff>19050</xdr:rowOff>
        </xdr:from>
        <xdr:to>
          <xdr:col>6</xdr:col>
          <xdr:colOff>495300</xdr:colOff>
          <xdr:row>86</xdr:row>
          <xdr:rowOff>209550</xdr:rowOff>
        </xdr:to>
        <xdr:sp macro="" textlink="">
          <xdr:nvSpPr>
            <xdr:cNvPr id="2308" name="Drop Down 260" hidden="1">
              <a:extLst>
                <a:ext uri="{63B3BB69-23CF-44E3-9099-C40C66FF867C}">
                  <a14:compatExt spid="_x0000_s2308"/>
                </a:ext>
                <a:ext uri="{FF2B5EF4-FFF2-40B4-BE49-F238E27FC236}">
                  <a16:creationId xmlns:a16="http://schemas.microsoft.com/office/drawing/2014/main" id="{00000000-0008-0000-0100-00000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265</xdr:row>
          <xdr:rowOff>0</xdr:rowOff>
        </xdr:from>
        <xdr:to>
          <xdr:col>5</xdr:col>
          <xdr:colOff>0</xdr:colOff>
          <xdr:row>265</xdr:row>
          <xdr:rowOff>209550</xdr:rowOff>
        </xdr:to>
        <xdr:sp macro="" textlink="">
          <xdr:nvSpPr>
            <xdr:cNvPr id="2368" name="Drop Down 320" hidden="1">
              <a:extLst>
                <a:ext uri="{63B3BB69-23CF-44E3-9099-C40C66FF867C}">
                  <a14:compatExt spid="_x0000_s2368"/>
                </a:ext>
                <a:ext uri="{FF2B5EF4-FFF2-40B4-BE49-F238E27FC236}">
                  <a16:creationId xmlns:a16="http://schemas.microsoft.com/office/drawing/2014/main" id="{00000000-0008-0000-0100-000040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266</xdr:row>
          <xdr:rowOff>9525</xdr:rowOff>
        </xdr:from>
        <xdr:to>
          <xdr:col>5</xdr:col>
          <xdr:colOff>0</xdr:colOff>
          <xdr:row>266</xdr:row>
          <xdr:rowOff>209550</xdr:rowOff>
        </xdr:to>
        <xdr:sp macro="" textlink="">
          <xdr:nvSpPr>
            <xdr:cNvPr id="2370" name="Drop Down 322" hidden="1">
              <a:extLst>
                <a:ext uri="{63B3BB69-23CF-44E3-9099-C40C66FF867C}">
                  <a14:compatExt spid="_x0000_s2370"/>
                </a:ext>
                <a:ext uri="{FF2B5EF4-FFF2-40B4-BE49-F238E27FC236}">
                  <a16:creationId xmlns:a16="http://schemas.microsoft.com/office/drawing/2014/main" id="{00000000-0008-0000-0100-000042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267</xdr:row>
          <xdr:rowOff>9525</xdr:rowOff>
        </xdr:from>
        <xdr:to>
          <xdr:col>5</xdr:col>
          <xdr:colOff>0</xdr:colOff>
          <xdr:row>267</xdr:row>
          <xdr:rowOff>219075</xdr:rowOff>
        </xdr:to>
        <xdr:sp macro="" textlink="">
          <xdr:nvSpPr>
            <xdr:cNvPr id="2371" name="Drop Down 323" hidden="1">
              <a:extLst>
                <a:ext uri="{63B3BB69-23CF-44E3-9099-C40C66FF867C}">
                  <a14:compatExt spid="_x0000_s2371"/>
                </a:ext>
                <a:ext uri="{FF2B5EF4-FFF2-40B4-BE49-F238E27FC236}">
                  <a16:creationId xmlns:a16="http://schemas.microsoft.com/office/drawing/2014/main" id="{00000000-0008-0000-0100-00004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268</xdr:row>
          <xdr:rowOff>9525</xdr:rowOff>
        </xdr:from>
        <xdr:to>
          <xdr:col>5</xdr:col>
          <xdr:colOff>0</xdr:colOff>
          <xdr:row>268</xdr:row>
          <xdr:rowOff>209550</xdr:rowOff>
        </xdr:to>
        <xdr:sp macro="" textlink="">
          <xdr:nvSpPr>
            <xdr:cNvPr id="2372" name="Drop Down 324" hidden="1">
              <a:extLst>
                <a:ext uri="{63B3BB69-23CF-44E3-9099-C40C66FF867C}">
                  <a14:compatExt spid="_x0000_s2372"/>
                </a:ext>
                <a:ext uri="{FF2B5EF4-FFF2-40B4-BE49-F238E27FC236}">
                  <a16:creationId xmlns:a16="http://schemas.microsoft.com/office/drawing/2014/main" id="{00000000-0008-0000-0100-00004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276</xdr:row>
          <xdr:rowOff>0</xdr:rowOff>
        </xdr:from>
        <xdr:to>
          <xdr:col>0</xdr:col>
          <xdr:colOff>962025</xdr:colOff>
          <xdr:row>277</xdr:row>
          <xdr:rowOff>9525</xdr:rowOff>
        </xdr:to>
        <xdr:sp macro="" textlink="">
          <xdr:nvSpPr>
            <xdr:cNvPr id="2401" name="Drop Down 353" hidden="1">
              <a:extLst>
                <a:ext uri="{63B3BB69-23CF-44E3-9099-C40C66FF867C}">
                  <a14:compatExt spid="_x0000_s2401"/>
                </a:ext>
                <a:ext uri="{FF2B5EF4-FFF2-40B4-BE49-F238E27FC236}">
                  <a16:creationId xmlns:a16="http://schemas.microsoft.com/office/drawing/2014/main" id="{00000000-0008-0000-0100-000061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277</xdr:row>
          <xdr:rowOff>0</xdr:rowOff>
        </xdr:from>
        <xdr:to>
          <xdr:col>0</xdr:col>
          <xdr:colOff>962025</xdr:colOff>
          <xdr:row>278</xdr:row>
          <xdr:rowOff>9525</xdr:rowOff>
        </xdr:to>
        <xdr:sp macro="" textlink="">
          <xdr:nvSpPr>
            <xdr:cNvPr id="2402" name="Drop Down 354" hidden="1">
              <a:extLst>
                <a:ext uri="{63B3BB69-23CF-44E3-9099-C40C66FF867C}">
                  <a14:compatExt spid="_x0000_s2402"/>
                </a:ext>
                <a:ext uri="{FF2B5EF4-FFF2-40B4-BE49-F238E27FC236}">
                  <a16:creationId xmlns:a16="http://schemas.microsoft.com/office/drawing/2014/main" id="{00000000-0008-0000-0100-000062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278</xdr:row>
          <xdr:rowOff>0</xdr:rowOff>
        </xdr:from>
        <xdr:to>
          <xdr:col>0</xdr:col>
          <xdr:colOff>962025</xdr:colOff>
          <xdr:row>279</xdr:row>
          <xdr:rowOff>9525</xdr:rowOff>
        </xdr:to>
        <xdr:sp macro="" textlink="">
          <xdr:nvSpPr>
            <xdr:cNvPr id="2403" name="Drop Down 355" hidden="1">
              <a:extLst>
                <a:ext uri="{63B3BB69-23CF-44E3-9099-C40C66FF867C}">
                  <a14:compatExt spid="_x0000_s2403"/>
                </a:ext>
                <a:ext uri="{FF2B5EF4-FFF2-40B4-BE49-F238E27FC236}">
                  <a16:creationId xmlns:a16="http://schemas.microsoft.com/office/drawing/2014/main" id="{00000000-0008-0000-0100-00006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280</xdr:row>
          <xdr:rowOff>0</xdr:rowOff>
        </xdr:from>
        <xdr:to>
          <xdr:col>0</xdr:col>
          <xdr:colOff>962025</xdr:colOff>
          <xdr:row>281</xdr:row>
          <xdr:rowOff>9525</xdr:rowOff>
        </xdr:to>
        <xdr:sp macro="" textlink="">
          <xdr:nvSpPr>
            <xdr:cNvPr id="2404" name="Drop Down 356" hidden="1">
              <a:extLst>
                <a:ext uri="{63B3BB69-23CF-44E3-9099-C40C66FF867C}">
                  <a14:compatExt spid="_x0000_s2404"/>
                </a:ext>
                <a:ext uri="{FF2B5EF4-FFF2-40B4-BE49-F238E27FC236}">
                  <a16:creationId xmlns:a16="http://schemas.microsoft.com/office/drawing/2014/main" id="{00000000-0008-0000-0100-00006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390524</xdr:colOff>
      <xdr:row>222</xdr:row>
      <xdr:rowOff>19050</xdr:rowOff>
    </xdr:from>
    <xdr:to>
      <xdr:col>1</xdr:col>
      <xdr:colOff>523874</xdr:colOff>
      <xdr:row>225</xdr:row>
      <xdr:rowOff>142876</xdr:rowOff>
    </xdr:to>
    <xdr:sp macro="" textlink="">
      <xdr:nvSpPr>
        <xdr:cNvPr id="42" name="Flussdiagramm: Magnetplattenspeicher 41">
          <a:extLst>
            <a:ext uri="{FF2B5EF4-FFF2-40B4-BE49-F238E27FC236}">
              <a16:creationId xmlns:a16="http://schemas.microsoft.com/office/drawing/2014/main" id="{00000000-0008-0000-0100-00002A000000}"/>
            </a:ext>
          </a:extLst>
        </xdr:cNvPr>
        <xdr:cNvSpPr/>
      </xdr:nvSpPr>
      <xdr:spPr bwMode="auto">
        <a:xfrm>
          <a:off x="390524" y="6353175"/>
          <a:ext cx="1114425" cy="695326"/>
        </a:xfrm>
        <a:prstGeom prst="flowChartMagneticDisk">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Endlager flüssig</a:t>
          </a:r>
        </a:p>
        <a:p>
          <a:pPr algn="ctr"/>
          <a:r>
            <a:rPr lang="de-DE" sz="1000">
              <a:latin typeface="Arial" panose="020B0604020202020204" pitchFamily="34" charset="0"/>
              <a:cs typeface="Arial" panose="020B0604020202020204" pitchFamily="34" charset="0"/>
            </a:rPr>
            <a:t>(ohne Separation)</a:t>
          </a: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3</xdr:col>
      <xdr:colOff>158917</xdr:colOff>
      <xdr:row>221</xdr:row>
      <xdr:rowOff>194509</xdr:rowOff>
    </xdr:from>
    <xdr:to>
      <xdr:col>5</xdr:col>
      <xdr:colOff>349417</xdr:colOff>
      <xdr:row>225</xdr:row>
      <xdr:rowOff>127334</xdr:rowOff>
    </xdr:to>
    <xdr:sp macro="" textlink="">
      <xdr:nvSpPr>
        <xdr:cNvPr id="43" name="Flussdiagramm: Magnetplattenspeicher 42">
          <a:extLst>
            <a:ext uri="{FF2B5EF4-FFF2-40B4-BE49-F238E27FC236}">
              <a16:creationId xmlns:a16="http://schemas.microsoft.com/office/drawing/2014/main" id="{00000000-0008-0000-0100-00002B000000}"/>
            </a:ext>
          </a:extLst>
        </xdr:cNvPr>
        <xdr:cNvSpPr/>
      </xdr:nvSpPr>
      <xdr:spPr bwMode="auto">
        <a:xfrm>
          <a:off x="2434891" y="45588654"/>
          <a:ext cx="1203158" cy="734930"/>
        </a:xfrm>
        <a:prstGeom prst="flowChartMagneticDisk">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Endlager flüssig</a:t>
          </a:r>
        </a:p>
        <a:p>
          <a:pPr algn="ctr"/>
          <a:r>
            <a:rPr lang="de-DE" sz="1000">
              <a:latin typeface="Arial" panose="020B0604020202020204" pitchFamily="34" charset="0"/>
              <a:cs typeface="Arial" panose="020B0604020202020204" pitchFamily="34" charset="0"/>
            </a:rPr>
            <a:t>(mit</a:t>
          </a:r>
          <a:r>
            <a:rPr lang="de-DE" sz="1000" baseline="0">
              <a:latin typeface="Arial" panose="020B0604020202020204" pitchFamily="34" charset="0"/>
              <a:cs typeface="Arial" panose="020B0604020202020204" pitchFamily="34" charset="0"/>
            </a:rPr>
            <a:t> Separation)</a:t>
          </a:r>
          <a:endParaRPr lang="de-DE" sz="1000">
            <a:latin typeface="Arial" panose="020B0604020202020204" pitchFamily="34" charset="0"/>
            <a:cs typeface="Arial" panose="020B0604020202020204" pitchFamily="34" charset="0"/>
          </a:endParaRPr>
        </a:p>
      </xdr:txBody>
    </xdr:sp>
    <xdr:clientData/>
  </xdr:twoCellAnchor>
  <xdr:twoCellAnchor>
    <xdr:from>
      <xdr:col>8</xdr:col>
      <xdr:colOff>371475</xdr:colOff>
      <xdr:row>222</xdr:row>
      <xdr:rowOff>76200</xdr:rowOff>
    </xdr:from>
    <xdr:to>
      <xdr:col>11</xdr:col>
      <xdr:colOff>361950</xdr:colOff>
      <xdr:row>225</xdr:row>
      <xdr:rowOff>66675</xdr:rowOff>
    </xdr:to>
    <xdr:sp macro="" textlink="">
      <xdr:nvSpPr>
        <xdr:cNvPr id="44" name="Flussdiagramm: Prozess 43">
          <a:extLst>
            <a:ext uri="{FF2B5EF4-FFF2-40B4-BE49-F238E27FC236}">
              <a16:creationId xmlns:a16="http://schemas.microsoft.com/office/drawing/2014/main" id="{00000000-0008-0000-0100-00002C000000}"/>
            </a:ext>
          </a:extLst>
        </xdr:cNvPr>
        <xdr:cNvSpPr/>
      </xdr:nvSpPr>
      <xdr:spPr bwMode="auto">
        <a:xfrm>
          <a:off x="5067300" y="6410325"/>
          <a:ext cx="1047750" cy="561975"/>
        </a:xfrm>
        <a:prstGeom prst="flowChartProcess">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Endlager fest</a:t>
          </a:r>
        </a:p>
        <a:p>
          <a:pPr algn="ctr"/>
          <a:r>
            <a:rPr lang="de-DE" sz="1000">
              <a:latin typeface="Arial" panose="020B0604020202020204" pitchFamily="34" charset="0"/>
              <a:cs typeface="Arial" panose="020B0604020202020204" pitchFamily="34" charset="0"/>
            </a:rPr>
            <a:t>(mit</a:t>
          </a:r>
          <a:r>
            <a:rPr lang="de-DE" sz="1000" baseline="0">
              <a:latin typeface="Arial" panose="020B0604020202020204" pitchFamily="34" charset="0"/>
              <a:cs typeface="Arial" panose="020B0604020202020204" pitchFamily="34" charset="0"/>
            </a:rPr>
            <a:t> Separation</a:t>
          </a:r>
          <a:r>
            <a:rPr lang="de-DE" sz="1100" baseline="0"/>
            <a:t>)</a:t>
          </a:r>
          <a:endParaRPr lang="de-DE" sz="1100"/>
        </a:p>
      </xdr:txBody>
    </xdr:sp>
    <xdr:clientData/>
  </xdr:twoCellAnchor>
  <xdr:twoCellAnchor>
    <xdr:from>
      <xdr:col>5</xdr:col>
      <xdr:colOff>481965</xdr:colOff>
      <xdr:row>216</xdr:row>
      <xdr:rowOff>152400</xdr:rowOff>
    </xdr:from>
    <xdr:to>
      <xdr:col>9</xdr:col>
      <xdr:colOff>241935</xdr:colOff>
      <xdr:row>219</xdr:row>
      <xdr:rowOff>114300</xdr:rowOff>
    </xdr:to>
    <xdr:sp macro="" textlink="">
      <xdr:nvSpPr>
        <xdr:cNvPr id="45" name="Flussdiagramm: Alternativer Prozess 44">
          <a:extLst>
            <a:ext uri="{FF2B5EF4-FFF2-40B4-BE49-F238E27FC236}">
              <a16:creationId xmlns:a16="http://schemas.microsoft.com/office/drawing/2014/main" id="{00000000-0008-0000-0100-00002D000000}"/>
            </a:ext>
          </a:extLst>
        </xdr:cNvPr>
        <xdr:cNvSpPr/>
      </xdr:nvSpPr>
      <xdr:spPr bwMode="auto">
        <a:xfrm>
          <a:off x="3857625" y="43875960"/>
          <a:ext cx="1634490" cy="556260"/>
        </a:xfrm>
        <a:prstGeom prst="flowChartAlternateProcess">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Separation</a:t>
          </a:r>
        </a:p>
      </xdr:txBody>
    </xdr:sp>
    <xdr:clientData/>
  </xdr:twoCellAnchor>
  <xdr:twoCellAnchor>
    <xdr:from>
      <xdr:col>0</xdr:col>
      <xdr:colOff>960119</xdr:colOff>
      <xdr:row>213</xdr:row>
      <xdr:rowOff>190500</xdr:rowOff>
    </xdr:from>
    <xdr:to>
      <xdr:col>3</xdr:col>
      <xdr:colOff>289560</xdr:colOff>
      <xdr:row>222</xdr:row>
      <xdr:rowOff>19050</xdr:rowOff>
    </xdr:to>
    <xdr:cxnSp macro="">
      <xdr:nvCxnSpPr>
        <xdr:cNvPr id="224672" name="Gerade Verbindung mit Pfeil 17">
          <a:extLst>
            <a:ext uri="{FF2B5EF4-FFF2-40B4-BE49-F238E27FC236}">
              <a16:creationId xmlns:a16="http://schemas.microsoft.com/office/drawing/2014/main" id="{00000000-0008-0000-0100-0000A06D0300}"/>
            </a:ext>
          </a:extLst>
        </xdr:cNvPr>
        <xdr:cNvCxnSpPr>
          <a:cxnSpLocks noChangeShapeType="1"/>
          <a:endCxn id="42" idx="1"/>
        </xdr:cNvCxnSpPr>
      </xdr:nvCxnSpPr>
      <xdr:spPr bwMode="auto">
        <a:xfrm flipH="1">
          <a:off x="960119" y="43319700"/>
          <a:ext cx="1668781" cy="161163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xdr:col>
      <xdr:colOff>254167</xdr:colOff>
      <xdr:row>219</xdr:row>
      <xdr:rowOff>114300</xdr:rowOff>
    </xdr:from>
    <xdr:to>
      <xdr:col>7</xdr:col>
      <xdr:colOff>266701</xdr:colOff>
      <xdr:row>221</xdr:row>
      <xdr:rowOff>194509</xdr:rowOff>
    </xdr:to>
    <xdr:cxnSp macro="">
      <xdr:nvCxnSpPr>
        <xdr:cNvPr id="224673" name="Gerade Verbindung mit Pfeil 21">
          <a:extLst>
            <a:ext uri="{FF2B5EF4-FFF2-40B4-BE49-F238E27FC236}">
              <a16:creationId xmlns:a16="http://schemas.microsoft.com/office/drawing/2014/main" id="{00000000-0008-0000-0100-0000A16D0300}"/>
            </a:ext>
          </a:extLst>
        </xdr:cNvPr>
        <xdr:cNvCxnSpPr>
          <a:cxnSpLocks noChangeShapeType="1"/>
          <a:stCxn id="45" idx="2"/>
          <a:endCxn id="43" idx="1"/>
        </xdr:cNvCxnSpPr>
      </xdr:nvCxnSpPr>
      <xdr:spPr bwMode="auto">
        <a:xfrm flipH="1">
          <a:off x="3036470" y="45107392"/>
          <a:ext cx="1531520" cy="481262"/>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262890</xdr:colOff>
      <xdr:row>219</xdr:row>
      <xdr:rowOff>114300</xdr:rowOff>
    </xdr:from>
    <xdr:to>
      <xdr:col>9</xdr:col>
      <xdr:colOff>454343</xdr:colOff>
      <xdr:row>222</xdr:row>
      <xdr:rowOff>76200</xdr:rowOff>
    </xdr:to>
    <xdr:cxnSp macro="">
      <xdr:nvCxnSpPr>
        <xdr:cNvPr id="224674" name="Gerade Verbindung mit Pfeil 23">
          <a:extLst>
            <a:ext uri="{FF2B5EF4-FFF2-40B4-BE49-F238E27FC236}">
              <a16:creationId xmlns:a16="http://schemas.microsoft.com/office/drawing/2014/main" id="{00000000-0008-0000-0100-0000A26D0300}"/>
            </a:ext>
          </a:extLst>
        </xdr:cNvPr>
        <xdr:cNvCxnSpPr>
          <a:cxnSpLocks noChangeShapeType="1"/>
          <a:stCxn id="45" idx="2"/>
          <a:endCxn id="44" idx="0"/>
        </xdr:cNvCxnSpPr>
      </xdr:nvCxnSpPr>
      <xdr:spPr bwMode="auto">
        <a:xfrm>
          <a:off x="4674870" y="44432220"/>
          <a:ext cx="1029653" cy="55626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xdr:col>
      <xdr:colOff>289560</xdr:colOff>
      <xdr:row>214</xdr:row>
      <xdr:rowOff>0</xdr:rowOff>
    </xdr:from>
    <xdr:to>
      <xdr:col>7</xdr:col>
      <xdr:colOff>262890</xdr:colOff>
      <xdr:row>216</xdr:row>
      <xdr:rowOff>152400</xdr:rowOff>
    </xdr:to>
    <xdr:cxnSp macro="">
      <xdr:nvCxnSpPr>
        <xdr:cNvPr id="224675" name="Gerade Verbindung mit Pfeil 26">
          <a:extLst>
            <a:ext uri="{FF2B5EF4-FFF2-40B4-BE49-F238E27FC236}">
              <a16:creationId xmlns:a16="http://schemas.microsoft.com/office/drawing/2014/main" id="{00000000-0008-0000-0100-0000A36D0300}"/>
            </a:ext>
          </a:extLst>
        </xdr:cNvPr>
        <xdr:cNvCxnSpPr>
          <a:cxnSpLocks noChangeShapeType="1"/>
          <a:endCxn id="45" idx="0"/>
        </xdr:cNvCxnSpPr>
      </xdr:nvCxnSpPr>
      <xdr:spPr bwMode="auto">
        <a:xfrm>
          <a:off x="3147060" y="43327320"/>
          <a:ext cx="1527810" cy="54864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6</xdr:col>
          <xdr:colOff>0</xdr:colOff>
          <xdr:row>12</xdr:row>
          <xdr:rowOff>9525</xdr:rowOff>
        </xdr:from>
        <xdr:to>
          <xdr:col>8</xdr:col>
          <xdr:colOff>0</xdr:colOff>
          <xdr:row>13</xdr:row>
          <xdr:rowOff>0</xdr:rowOff>
        </xdr:to>
        <xdr:sp macro="" textlink="">
          <xdr:nvSpPr>
            <xdr:cNvPr id="57789" name="Drop Down 2493" hidden="1">
              <a:extLst>
                <a:ext uri="{63B3BB69-23CF-44E3-9099-C40C66FF867C}">
                  <a14:compatExt spid="_x0000_s57789"/>
                </a:ext>
                <a:ext uri="{FF2B5EF4-FFF2-40B4-BE49-F238E27FC236}">
                  <a16:creationId xmlns:a16="http://schemas.microsoft.com/office/drawing/2014/main" id="{00000000-0008-0000-0100-0000BDE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8866</xdr:colOff>
      <xdr:row>16</xdr:row>
      <xdr:rowOff>30324</xdr:rowOff>
    </xdr:from>
    <xdr:to>
      <xdr:col>6</xdr:col>
      <xdr:colOff>84667</xdr:colOff>
      <xdr:row>18</xdr:row>
      <xdr:rowOff>50549</xdr:rowOff>
    </xdr:to>
    <xdr:sp macro="" textlink="">
      <xdr:nvSpPr>
        <xdr:cNvPr id="61" name="Textfeld 18">
          <a:extLst>
            <a:ext uri="{FF2B5EF4-FFF2-40B4-BE49-F238E27FC236}">
              <a16:creationId xmlns:a16="http://schemas.microsoft.com/office/drawing/2014/main" id="{00000000-0008-0000-0100-00003D000000}"/>
            </a:ext>
          </a:extLst>
        </xdr:cNvPr>
        <xdr:cNvSpPr txBox="1"/>
      </xdr:nvSpPr>
      <xdr:spPr>
        <a:xfrm>
          <a:off x="8866" y="3607491"/>
          <a:ext cx="3875218" cy="327141"/>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de-DE" sz="1500" b="1">
              <a:solidFill>
                <a:sysClr val="windowText" lastClr="000000"/>
              </a:solidFill>
            </a:rPr>
            <a:t>Stoffflüsse in der Biogasanlage</a:t>
          </a:r>
        </a:p>
      </xdr:txBody>
    </xdr:sp>
    <xdr:clientData/>
  </xdr:twoCellAnchor>
  <xdr:twoCellAnchor>
    <xdr:from>
      <xdr:col>0</xdr:col>
      <xdr:colOff>140663</xdr:colOff>
      <xdr:row>18</xdr:row>
      <xdr:rowOff>23361</xdr:rowOff>
    </xdr:from>
    <xdr:to>
      <xdr:col>0</xdr:col>
      <xdr:colOff>640296</xdr:colOff>
      <xdr:row>20</xdr:row>
      <xdr:rowOff>43008</xdr:rowOff>
    </xdr:to>
    <xdr:sp macro="" textlink="">
      <xdr:nvSpPr>
        <xdr:cNvPr id="62" name="Ellipse 61">
          <a:extLst>
            <a:ext uri="{FF2B5EF4-FFF2-40B4-BE49-F238E27FC236}">
              <a16:creationId xmlns:a16="http://schemas.microsoft.com/office/drawing/2014/main" id="{00000000-0008-0000-0100-00003E000000}"/>
            </a:ext>
          </a:extLst>
        </xdr:cNvPr>
        <xdr:cNvSpPr/>
      </xdr:nvSpPr>
      <xdr:spPr>
        <a:xfrm>
          <a:off x="140663" y="3976236"/>
          <a:ext cx="499633" cy="329210"/>
        </a:xfrm>
        <a:prstGeom prst="ellipse">
          <a:avLst/>
        </a:prstGeom>
        <a:solidFill>
          <a:srgbClr val="FFC0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DE" sz="1200">
              <a:solidFill>
                <a:sysClr val="windowText" lastClr="000000"/>
              </a:solidFill>
              <a:latin typeface="Arial" panose="020B0604020202020204" pitchFamily="34" charset="0"/>
              <a:cs typeface="Arial" panose="020B0604020202020204" pitchFamily="34" charset="0"/>
            </a:rPr>
            <a:t>1</a:t>
          </a:r>
        </a:p>
      </xdr:txBody>
    </xdr:sp>
    <xdr:clientData/>
  </xdr:twoCellAnchor>
  <xdr:twoCellAnchor>
    <xdr:from>
      <xdr:col>0</xdr:col>
      <xdr:colOff>428625</xdr:colOff>
      <xdr:row>23</xdr:row>
      <xdr:rowOff>35718</xdr:rowOff>
    </xdr:from>
    <xdr:to>
      <xdr:col>1</xdr:col>
      <xdr:colOff>592675</xdr:colOff>
      <xdr:row>27</xdr:row>
      <xdr:rowOff>84666</xdr:rowOff>
    </xdr:to>
    <xdr:sp macro="" textlink="">
      <xdr:nvSpPr>
        <xdr:cNvPr id="72" name="Zylinder 71">
          <a:extLst>
            <a:ext uri="{FF2B5EF4-FFF2-40B4-BE49-F238E27FC236}">
              <a16:creationId xmlns:a16="http://schemas.microsoft.com/office/drawing/2014/main" id="{00000000-0008-0000-0100-000048000000}"/>
            </a:ext>
          </a:extLst>
        </xdr:cNvPr>
        <xdr:cNvSpPr/>
      </xdr:nvSpPr>
      <xdr:spPr>
        <a:xfrm>
          <a:off x="428625" y="4762499"/>
          <a:ext cx="1140363" cy="668073"/>
        </a:xfrm>
        <a:prstGeom prst="can">
          <a:avLst/>
        </a:prstGeom>
        <a:ln/>
      </xdr:spPr>
      <xdr:style>
        <a:lnRef idx="2">
          <a:schemeClr val="accent6">
            <a:shade val="50000"/>
          </a:schemeClr>
        </a:lnRef>
        <a:fillRef idx="1">
          <a:schemeClr val="accent6"/>
        </a:fillRef>
        <a:effectRef idx="0">
          <a:schemeClr val="accent6"/>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DE" sz="1300" b="1"/>
            <a:t>Fermenter</a:t>
          </a:r>
        </a:p>
      </xdr:txBody>
    </xdr:sp>
    <xdr:clientData/>
  </xdr:twoCellAnchor>
  <xdr:twoCellAnchor>
    <xdr:from>
      <xdr:col>0</xdr:col>
      <xdr:colOff>937949</xdr:colOff>
      <xdr:row>18</xdr:row>
      <xdr:rowOff>152737</xdr:rowOff>
    </xdr:from>
    <xdr:to>
      <xdr:col>1</xdr:col>
      <xdr:colOff>463192</xdr:colOff>
      <xdr:row>21</xdr:row>
      <xdr:rowOff>28184</xdr:rowOff>
    </xdr:to>
    <xdr:sp macro="" textlink="">
      <xdr:nvSpPr>
        <xdr:cNvPr id="77" name="Ellipse 76">
          <a:extLst>
            <a:ext uri="{FF2B5EF4-FFF2-40B4-BE49-F238E27FC236}">
              <a16:creationId xmlns:a16="http://schemas.microsoft.com/office/drawing/2014/main" id="{00000000-0008-0000-0100-00004D000000}"/>
            </a:ext>
          </a:extLst>
        </xdr:cNvPr>
        <xdr:cNvSpPr/>
      </xdr:nvSpPr>
      <xdr:spPr>
        <a:xfrm>
          <a:off x="937949" y="4105612"/>
          <a:ext cx="501556" cy="339791"/>
        </a:xfrm>
        <a:prstGeom prst="ellipse">
          <a:avLst/>
        </a:prstGeom>
        <a:solidFill>
          <a:srgbClr val="FFC0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DE" sz="1200">
              <a:solidFill>
                <a:sysClr val="windowText" lastClr="000000"/>
              </a:solidFill>
              <a:latin typeface="Arial" panose="020B0604020202020204" pitchFamily="34" charset="0"/>
              <a:cs typeface="Arial" panose="020B0604020202020204" pitchFamily="34" charset="0"/>
            </a:rPr>
            <a:t>2</a:t>
          </a:r>
        </a:p>
      </xdr:txBody>
    </xdr:sp>
    <xdr:clientData/>
  </xdr:twoCellAnchor>
  <xdr:twoCellAnchor>
    <xdr:from>
      <xdr:col>5</xdr:col>
      <xdr:colOff>262369</xdr:colOff>
      <xdr:row>16</xdr:row>
      <xdr:rowOff>109344</xdr:rowOff>
    </xdr:from>
    <xdr:to>
      <xdr:col>6</xdr:col>
      <xdr:colOff>254002</xdr:colOff>
      <xdr:row>18</xdr:row>
      <xdr:rowOff>128991</xdr:rowOff>
    </xdr:to>
    <xdr:sp macro="" textlink="">
      <xdr:nvSpPr>
        <xdr:cNvPr id="78" name="Ellipse 77">
          <a:extLst>
            <a:ext uri="{FF2B5EF4-FFF2-40B4-BE49-F238E27FC236}">
              <a16:creationId xmlns:a16="http://schemas.microsoft.com/office/drawing/2014/main" id="{00000000-0008-0000-0100-00004E000000}"/>
            </a:ext>
          </a:extLst>
        </xdr:cNvPr>
        <xdr:cNvSpPr/>
      </xdr:nvSpPr>
      <xdr:spPr>
        <a:xfrm>
          <a:off x="3543202" y="3686511"/>
          <a:ext cx="499633" cy="326563"/>
        </a:xfrm>
        <a:prstGeom prst="ellipse">
          <a:avLst/>
        </a:prstGeom>
        <a:solidFill>
          <a:srgbClr val="FFC0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DE" sz="1200">
              <a:solidFill>
                <a:sysClr val="windowText" lastClr="000000"/>
              </a:solidFill>
              <a:latin typeface="Arial" panose="020B0604020202020204" pitchFamily="34" charset="0"/>
              <a:cs typeface="Arial" panose="020B0604020202020204" pitchFamily="34" charset="0"/>
            </a:rPr>
            <a:t>3</a:t>
          </a:r>
        </a:p>
      </xdr:txBody>
    </xdr:sp>
    <xdr:clientData/>
  </xdr:twoCellAnchor>
  <xdr:twoCellAnchor>
    <xdr:from>
      <xdr:col>0</xdr:col>
      <xdr:colOff>567126</xdr:colOff>
      <xdr:row>19</xdr:row>
      <xdr:rowOff>149578</xdr:rowOff>
    </xdr:from>
    <xdr:to>
      <xdr:col>0</xdr:col>
      <xdr:colOff>869156</xdr:colOff>
      <xdr:row>23</xdr:row>
      <xdr:rowOff>130969</xdr:rowOff>
    </xdr:to>
    <xdr:cxnSp macro="">
      <xdr:nvCxnSpPr>
        <xdr:cNvPr id="82" name="Gerade Verbindung mit Pfeil 81">
          <a:extLst>
            <a:ext uri="{FF2B5EF4-FFF2-40B4-BE49-F238E27FC236}">
              <a16:creationId xmlns:a16="http://schemas.microsoft.com/office/drawing/2014/main" id="{00000000-0008-0000-0100-000052000000}"/>
            </a:ext>
          </a:extLst>
        </xdr:cNvPr>
        <xdr:cNvCxnSpPr>
          <a:stCxn id="62" idx="5"/>
        </xdr:cNvCxnSpPr>
      </xdr:nvCxnSpPr>
      <xdr:spPr>
        <a:xfrm>
          <a:off x="567126" y="4257234"/>
          <a:ext cx="302030" cy="600516"/>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154781</xdr:colOff>
      <xdr:row>21</xdr:row>
      <xdr:rowOff>28184</xdr:rowOff>
    </xdr:from>
    <xdr:to>
      <xdr:col>1</xdr:col>
      <xdr:colOff>212414</xdr:colOff>
      <xdr:row>23</xdr:row>
      <xdr:rowOff>119064</xdr:rowOff>
    </xdr:to>
    <xdr:cxnSp macro="">
      <xdr:nvCxnSpPr>
        <xdr:cNvPr id="86" name="Gerade Verbindung mit Pfeil 85">
          <a:extLst>
            <a:ext uri="{FF2B5EF4-FFF2-40B4-BE49-F238E27FC236}">
              <a16:creationId xmlns:a16="http://schemas.microsoft.com/office/drawing/2014/main" id="{00000000-0008-0000-0100-000056000000}"/>
            </a:ext>
          </a:extLst>
        </xdr:cNvPr>
        <xdr:cNvCxnSpPr>
          <a:endCxn id="77" idx="4"/>
        </xdr:cNvCxnSpPr>
      </xdr:nvCxnSpPr>
      <xdr:spPr>
        <a:xfrm flipV="1">
          <a:off x="1131094" y="4445403"/>
          <a:ext cx="57633" cy="400442"/>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5</xdr:col>
      <xdr:colOff>84667</xdr:colOff>
      <xdr:row>18</xdr:row>
      <xdr:rowOff>81167</xdr:rowOff>
    </xdr:from>
    <xdr:to>
      <xdr:col>5</xdr:col>
      <xdr:colOff>335539</xdr:colOff>
      <xdr:row>19</xdr:row>
      <xdr:rowOff>137583</xdr:rowOff>
    </xdr:to>
    <xdr:cxnSp macro="">
      <xdr:nvCxnSpPr>
        <xdr:cNvPr id="88" name="Gerade Verbindung mit Pfeil 87">
          <a:extLst>
            <a:ext uri="{FF2B5EF4-FFF2-40B4-BE49-F238E27FC236}">
              <a16:creationId xmlns:a16="http://schemas.microsoft.com/office/drawing/2014/main" id="{00000000-0008-0000-0100-000058000000}"/>
            </a:ext>
          </a:extLst>
        </xdr:cNvPr>
        <xdr:cNvCxnSpPr>
          <a:endCxn id="78" idx="3"/>
        </xdr:cNvCxnSpPr>
      </xdr:nvCxnSpPr>
      <xdr:spPr>
        <a:xfrm flipV="1">
          <a:off x="3365500" y="3965250"/>
          <a:ext cx="250872" cy="204583"/>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261937</xdr:colOff>
      <xdr:row>22</xdr:row>
      <xdr:rowOff>146182</xdr:rowOff>
    </xdr:from>
    <xdr:to>
      <xdr:col>2</xdr:col>
      <xdr:colOff>1</xdr:colOff>
      <xdr:row>23</xdr:row>
      <xdr:rowOff>119063</xdr:rowOff>
    </xdr:to>
    <xdr:cxnSp macro="">
      <xdr:nvCxnSpPr>
        <xdr:cNvPr id="92" name="Gerade Verbindung mit Pfeil 91">
          <a:extLst>
            <a:ext uri="{FF2B5EF4-FFF2-40B4-BE49-F238E27FC236}">
              <a16:creationId xmlns:a16="http://schemas.microsoft.com/office/drawing/2014/main" id="{00000000-0008-0000-0100-00005C000000}"/>
            </a:ext>
          </a:extLst>
        </xdr:cNvPr>
        <xdr:cNvCxnSpPr>
          <a:endCxn id="73" idx="2"/>
        </xdr:cNvCxnSpPr>
      </xdr:nvCxnSpPr>
      <xdr:spPr>
        <a:xfrm flipV="1">
          <a:off x="1238250" y="4718182"/>
          <a:ext cx="666751" cy="127662"/>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xdr:col>
      <xdr:colOff>9525</xdr:colOff>
      <xdr:row>26</xdr:row>
      <xdr:rowOff>142875</xdr:rowOff>
    </xdr:from>
    <xdr:to>
      <xdr:col>5</xdr:col>
      <xdr:colOff>495300</xdr:colOff>
      <xdr:row>27</xdr:row>
      <xdr:rowOff>95250</xdr:rowOff>
    </xdr:to>
    <xdr:sp macro="" textlink="">
      <xdr:nvSpPr>
        <xdr:cNvPr id="224685" name="Mond 18">
          <a:extLst>
            <a:ext uri="{FF2B5EF4-FFF2-40B4-BE49-F238E27FC236}">
              <a16:creationId xmlns:a16="http://schemas.microsoft.com/office/drawing/2014/main" id="{00000000-0008-0000-0100-0000AD6D0300}"/>
            </a:ext>
          </a:extLst>
        </xdr:cNvPr>
        <xdr:cNvSpPr>
          <a:spLocks noChangeArrowheads="1"/>
        </xdr:cNvSpPr>
      </xdr:nvSpPr>
      <xdr:spPr bwMode="auto">
        <a:xfrm rot="-5400000">
          <a:off x="2800350" y="4391025"/>
          <a:ext cx="104775" cy="1857375"/>
        </a:xfrm>
        <a:prstGeom prst="moon">
          <a:avLst>
            <a:gd name="adj" fmla="val 87500"/>
          </a:avLst>
        </a:prstGeom>
        <a:solidFill>
          <a:srgbClr val="F79646"/>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6</xdr:col>
      <xdr:colOff>47625</xdr:colOff>
      <xdr:row>25</xdr:row>
      <xdr:rowOff>128696</xdr:rowOff>
    </xdr:from>
    <xdr:to>
      <xdr:col>7</xdr:col>
      <xdr:colOff>330102</xdr:colOff>
      <xdr:row>25</xdr:row>
      <xdr:rowOff>130969</xdr:rowOff>
    </xdr:to>
    <xdr:cxnSp macro="">
      <xdr:nvCxnSpPr>
        <xdr:cNvPr id="104" name="Gerade Verbindung mit Pfeil 103">
          <a:extLst>
            <a:ext uri="{FF2B5EF4-FFF2-40B4-BE49-F238E27FC236}">
              <a16:creationId xmlns:a16="http://schemas.microsoft.com/office/drawing/2014/main" id="{00000000-0008-0000-0100-000068000000}"/>
            </a:ext>
          </a:extLst>
        </xdr:cNvPr>
        <xdr:cNvCxnSpPr>
          <a:endCxn id="117" idx="2"/>
        </xdr:cNvCxnSpPr>
      </xdr:nvCxnSpPr>
      <xdr:spPr>
        <a:xfrm flipV="1">
          <a:off x="3810000" y="5165040"/>
          <a:ext cx="782540" cy="2273"/>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0</xdr:col>
          <xdr:colOff>9525</xdr:colOff>
          <xdr:row>112</xdr:row>
          <xdr:rowOff>9525</xdr:rowOff>
        </xdr:from>
        <xdr:to>
          <xdr:col>2</xdr:col>
          <xdr:colOff>352425</xdr:colOff>
          <xdr:row>113</xdr:row>
          <xdr:rowOff>0</xdr:rowOff>
        </xdr:to>
        <xdr:sp macro="" textlink="">
          <xdr:nvSpPr>
            <xdr:cNvPr id="120435" name="Drop Down 8819" hidden="1">
              <a:extLst>
                <a:ext uri="{63B3BB69-23CF-44E3-9099-C40C66FF867C}">
                  <a14:compatExt spid="_x0000_s120435"/>
                </a:ext>
                <a:ext uri="{FF2B5EF4-FFF2-40B4-BE49-F238E27FC236}">
                  <a16:creationId xmlns:a16="http://schemas.microsoft.com/office/drawing/2014/main" id="{00000000-0008-0000-0100-000073D6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330102</xdr:colOff>
      <xdr:row>24</xdr:row>
      <xdr:rowOff>113581</xdr:rowOff>
    </xdr:from>
    <xdr:to>
      <xdr:col>9</xdr:col>
      <xdr:colOff>4235</xdr:colOff>
      <xdr:row>26</xdr:row>
      <xdr:rowOff>143811</xdr:rowOff>
    </xdr:to>
    <xdr:sp macro="" textlink="">
      <xdr:nvSpPr>
        <xdr:cNvPr id="117" name="Ellipse 116">
          <a:extLst>
            <a:ext uri="{FF2B5EF4-FFF2-40B4-BE49-F238E27FC236}">
              <a16:creationId xmlns:a16="http://schemas.microsoft.com/office/drawing/2014/main" id="{00000000-0008-0000-0100-000075000000}"/>
            </a:ext>
          </a:extLst>
        </xdr:cNvPr>
        <xdr:cNvSpPr/>
      </xdr:nvSpPr>
      <xdr:spPr>
        <a:xfrm>
          <a:off x="4626935" y="4780831"/>
          <a:ext cx="499633" cy="326563"/>
        </a:xfrm>
        <a:prstGeom prst="ellipse">
          <a:avLst/>
        </a:prstGeom>
        <a:solidFill>
          <a:srgbClr val="FFC0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DE" sz="1200">
              <a:solidFill>
                <a:sysClr val="windowText" lastClr="000000"/>
              </a:solidFill>
              <a:latin typeface="Arial" panose="020B0604020202020204" pitchFamily="34" charset="0"/>
              <a:cs typeface="Arial" panose="020B0604020202020204" pitchFamily="34" charset="0"/>
            </a:rPr>
            <a:t>5</a:t>
          </a:r>
        </a:p>
      </xdr:txBody>
    </xdr:sp>
    <xdr:clientData/>
  </xdr:twoCellAnchor>
  <xdr:twoCellAnchor>
    <xdr:from>
      <xdr:col>10</xdr:col>
      <xdr:colOff>0</xdr:colOff>
      <xdr:row>18</xdr:row>
      <xdr:rowOff>76200</xdr:rowOff>
    </xdr:from>
    <xdr:to>
      <xdr:col>12</xdr:col>
      <xdr:colOff>323850</xdr:colOff>
      <xdr:row>23</xdr:row>
      <xdr:rowOff>28575</xdr:rowOff>
    </xdr:to>
    <xdr:grpSp>
      <xdr:nvGrpSpPr>
        <xdr:cNvPr id="224688" name="Gruppieren 6">
          <a:extLst>
            <a:ext uri="{FF2B5EF4-FFF2-40B4-BE49-F238E27FC236}">
              <a16:creationId xmlns:a16="http://schemas.microsoft.com/office/drawing/2014/main" id="{00000000-0008-0000-0100-0000B06D0300}"/>
            </a:ext>
          </a:extLst>
        </xdr:cNvPr>
        <xdr:cNvGrpSpPr>
          <a:grpSpLocks/>
        </xdr:cNvGrpSpPr>
      </xdr:nvGrpSpPr>
      <xdr:grpSpPr bwMode="auto">
        <a:xfrm>
          <a:off x="5695950" y="3905250"/>
          <a:ext cx="815340" cy="712470"/>
          <a:chOff x="5566833" y="3705565"/>
          <a:chExt cx="814916" cy="697101"/>
        </a:xfrm>
      </xdr:grpSpPr>
      <xdr:sp macro="" textlink="">
        <xdr:nvSpPr>
          <xdr:cNvPr id="118" name="Ellipse 117">
            <a:extLst>
              <a:ext uri="{FF2B5EF4-FFF2-40B4-BE49-F238E27FC236}">
                <a16:creationId xmlns:a16="http://schemas.microsoft.com/office/drawing/2014/main" id="{00000000-0008-0000-0100-000076000000}"/>
              </a:ext>
            </a:extLst>
          </xdr:cNvPr>
          <xdr:cNvSpPr/>
        </xdr:nvSpPr>
        <xdr:spPr>
          <a:xfrm>
            <a:off x="5633163" y="3705565"/>
            <a:ext cx="691731" cy="641333"/>
          </a:xfrm>
          <a:prstGeom prst="ellipse">
            <a:avLst/>
          </a:prstGeom>
          <a:solidFill>
            <a:srgbClr val="00B05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sz="1200">
              <a:latin typeface="Arial" panose="020B0604020202020204" pitchFamily="34" charset="0"/>
              <a:cs typeface="Arial" panose="020B0604020202020204" pitchFamily="34" charset="0"/>
            </a:endParaRPr>
          </a:p>
        </xdr:txBody>
      </xdr:sp>
      <xdr:sp macro="" textlink="">
        <xdr:nvSpPr>
          <xdr:cNvPr id="32" name="Textfeld 31">
            <a:extLst>
              <a:ext uri="{FF2B5EF4-FFF2-40B4-BE49-F238E27FC236}">
                <a16:creationId xmlns:a16="http://schemas.microsoft.com/office/drawing/2014/main" id="{00000000-0008-0000-0100-000020000000}"/>
              </a:ext>
            </a:extLst>
          </xdr:cNvPr>
          <xdr:cNvSpPr txBox="1"/>
        </xdr:nvSpPr>
        <xdr:spPr>
          <a:xfrm>
            <a:off x="5566833" y="3789217"/>
            <a:ext cx="814916" cy="6134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900">
                <a:solidFill>
                  <a:schemeClr val="bg1"/>
                </a:solidFill>
                <a:latin typeface="Arial" panose="020B0604020202020204" pitchFamily="34" charset="0"/>
                <a:cs typeface="Arial" panose="020B0604020202020204" pitchFamily="34" charset="0"/>
              </a:rPr>
              <a:t>Nährstoff- flüsse:</a:t>
            </a:r>
            <a:br>
              <a:rPr lang="de-DE" sz="900">
                <a:solidFill>
                  <a:schemeClr val="bg1"/>
                </a:solidFill>
                <a:latin typeface="Arial" panose="020B0604020202020204" pitchFamily="34" charset="0"/>
                <a:cs typeface="Arial" panose="020B0604020202020204" pitchFamily="34" charset="0"/>
              </a:rPr>
            </a:br>
            <a:r>
              <a:rPr lang="de-DE" sz="1100" b="1">
                <a:solidFill>
                  <a:schemeClr val="bg1"/>
                </a:solidFill>
                <a:latin typeface="Arial" panose="020B0604020202020204" pitchFamily="34" charset="0"/>
                <a:cs typeface="Arial" panose="020B0604020202020204" pitchFamily="34" charset="0"/>
              </a:rPr>
              <a:t>WDüngV</a:t>
            </a:r>
          </a:p>
        </xdr:txBody>
      </xdr:sp>
    </xdr:grpSp>
    <xdr:clientData/>
  </xdr:twoCellAnchor>
  <xdr:twoCellAnchor>
    <xdr:from>
      <xdr:col>11</xdr:col>
      <xdr:colOff>172461</xdr:colOff>
      <xdr:row>22</xdr:row>
      <xdr:rowOff>126992</xdr:rowOff>
    </xdr:from>
    <xdr:to>
      <xdr:col>11</xdr:col>
      <xdr:colOff>180927</xdr:colOff>
      <xdr:row>24</xdr:row>
      <xdr:rowOff>113581</xdr:rowOff>
    </xdr:to>
    <xdr:cxnSp macro="">
      <xdr:nvCxnSpPr>
        <xdr:cNvPr id="125" name="Gerade Verbindung mit Pfeil 124">
          <a:extLst>
            <a:ext uri="{FF2B5EF4-FFF2-40B4-BE49-F238E27FC236}">
              <a16:creationId xmlns:a16="http://schemas.microsoft.com/office/drawing/2014/main" id="{00000000-0008-0000-0100-00007D000000}"/>
            </a:ext>
          </a:extLst>
        </xdr:cNvPr>
        <xdr:cNvCxnSpPr>
          <a:stCxn id="118" idx="4"/>
          <a:endCxn id="141" idx="0"/>
        </xdr:cNvCxnSpPr>
      </xdr:nvCxnSpPr>
      <xdr:spPr>
        <a:xfrm>
          <a:off x="5982711" y="4603742"/>
          <a:ext cx="8466" cy="282922"/>
        </a:xfrm>
        <a:prstGeom prst="straightConnector1">
          <a:avLst/>
        </a:prstGeom>
        <a:ln>
          <a:solidFill>
            <a:srgbClr val="00B050"/>
          </a:solidFill>
          <a:prstDash val="sysDash"/>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10</xdr:col>
      <xdr:colOff>181936</xdr:colOff>
      <xdr:row>24</xdr:row>
      <xdr:rowOff>113581</xdr:rowOff>
    </xdr:from>
    <xdr:to>
      <xdr:col>12</xdr:col>
      <xdr:colOff>179918</xdr:colOff>
      <xdr:row>26</xdr:row>
      <xdr:rowOff>143811</xdr:rowOff>
    </xdr:to>
    <xdr:sp macro="" textlink="">
      <xdr:nvSpPr>
        <xdr:cNvPr id="141" name="Ellipse 140">
          <a:extLst>
            <a:ext uri="{FF2B5EF4-FFF2-40B4-BE49-F238E27FC236}">
              <a16:creationId xmlns:a16="http://schemas.microsoft.com/office/drawing/2014/main" id="{00000000-0008-0000-0100-00008D000000}"/>
            </a:ext>
          </a:extLst>
        </xdr:cNvPr>
        <xdr:cNvSpPr/>
      </xdr:nvSpPr>
      <xdr:spPr>
        <a:xfrm>
          <a:off x="5748769" y="4981914"/>
          <a:ext cx="484816" cy="326564"/>
        </a:xfrm>
        <a:prstGeom prst="ellipse">
          <a:avLst/>
        </a:prstGeom>
        <a:solidFill>
          <a:srgbClr val="FFC0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sz="1200">
            <a:latin typeface="Arial" panose="020B0604020202020204" pitchFamily="34" charset="0"/>
            <a:cs typeface="Arial" panose="020B0604020202020204" pitchFamily="34" charset="0"/>
          </a:endParaRPr>
        </a:p>
      </xdr:txBody>
    </xdr:sp>
    <xdr:clientData/>
  </xdr:twoCellAnchor>
  <xdr:twoCellAnchor>
    <xdr:from>
      <xdr:col>9</xdr:col>
      <xdr:colOff>4235</xdr:colOff>
      <xdr:row>25</xdr:row>
      <xdr:rowOff>128696</xdr:rowOff>
    </xdr:from>
    <xdr:to>
      <xdr:col>10</xdr:col>
      <xdr:colOff>181936</xdr:colOff>
      <xdr:row>25</xdr:row>
      <xdr:rowOff>128696</xdr:rowOff>
    </xdr:to>
    <xdr:cxnSp macro="">
      <xdr:nvCxnSpPr>
        <xdr:cNvPr id="150" name="Gerade Verbindung mit Pfeil 149">
          <a:extLst>
            <a:ext uri="{FF2B5EF4-FFF2-40B4-BE49-F238E27FC236}">
              <a16:creationId xmlns:a16="http://schemas.microsoft.com/office/drawing/2014/main" id="{00000000-0008-0000-0100-000096000000}"/>
            </a:ext>
          </a:extLst>
        </xdr:cNvPr>
        <xdr:cNvCxnSpPr>
          <a:stCxn id="117" idx="6"/>
          <a:endCxn id="141" idx="2"/>
        </xdr:cNvCxnSpPr>
      </xdr:nvCxnSpPr>
      <xdr:spPr>
        <a:xfrm>
          <a:off x="5126568" y="4944113"/>
          <a:ext cx="622201"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166111</xdr:colOff>
      <xdr:row>22</xdr:row>
      <xdr:rowOff>25401</xdr:rowOff>
    </xdr:from>
    <xdr:to>
      <xdr:col>8</xdr:col>
      <xdr:colOff>167169</xdr:colOff>
      <xdr:row>24</xdr:row>
      <xdr:rowOff>113581</xdr:rowOff>
    </xdr:to>
    <xdr:cxnSp macro="">
      <xdr:nvCxnSpPr>
        <xdr:cNvPr id="159" name="Gerade Verbindung mit Pfeil 158">
          <a:extLst>
            <a:ext uri="{FF2B5EF4-FFF2-40B4-BE49-F238E27FC236}">
              <a16:creationId xmlns:a16="http://schemas.microsoft.com/office/drawing/2014/main" id="{00000000-0008-0000-0100-00009F000000}"/>
            </a:ext>
          </a:extLst>
        </xdr:cNvPr>
        <xdr:cNvCxnSpPr>
          <a:endCxn id="117" idx="0"/>
        </xdr:cNvCxnSpPr>
      </xdr:nvCxnSpPr>
      <xdr:spPr>
        <a:xfrm>
          <a:off x="4875694" y="4396318"/>
          <a:ext cx="1058" cy="384513"/>
        </a:xfrm>
        <a:prstGeom prst="straightConnector1">
          <a:avLst/>
        </a:prstGeom>
        <a:ln>
          <a:solidFill>
            <a:srgbClr val="00B050"/>
          </a:solidFill>
          <a:prstDash val="sysDash"/>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7</xdr:col>
      <xdr:colOff>66675</xdr:colOff>
      <xdr:row>18</xdr:row>
      <xdr:rowOff>66675</xdr:rowOff>
    </xdr:from>
    <xdr:to>
      <xdr:col>9</xdr:col>
      <xdr:colOff>266700</xdr:colOff>
      <xdr:row>22</xdr:row>
      <xdr:rowOff>133350</xdr:rowOff>
    </xdr:to>
    <xdr:grpSp>
      <xdr:nvGrpSpPr>
        <xdr:cNvPr id="224693" name="Gruppieren 7">
          <a:extLst>
            <a:ext uri="{FF2B5EF4-FFF2-40B4-BE49-F238E27FC236}">
              <a16:creationId xmlns:a16="http://schemas.microsoft.com/office/drawing/2014/main" id="{00000000-0008-0000-0100-0000B56D0300}"/>
            </a:ext>
          </a:extLst>
        </xdr:cNvPr>
        <xdr:cNvGrpSpPr>
          <a:grpSpLocks/>
        </xdr:cNvGrpSpPr>
      </xdr:nvGrpSpPr>
      <xdr:grpSpPr bwMode="auto">
        <a:xfrm>
          <a:off x="4465320" y="3893820"/>
          <a:ext cx="1040130" cy="674370"/>
          <a:chOff x="4360333" y="3953213"/>
          <a:chExt cx="1026583" cy="661117"/>
        </a:xfrm>
      </xdr:grpSpPr>
      <xdr:sp macro="" textlink="">
        <xdr:nvSpPr>
          <xdr:cNvPr id="152" name="Ellipse 151">
            <a:extLst>
              <a:ext uri="{FF2B5EF4-FFF2-40B4-BE49-F238E27FC236}">
                <a16:creationId xmlns:a16="http://schemas.microsoft.com/office/drawing/2014/main" id="{00000000-0008-0000-0100-000098000000}"/>
              </a:ext>
            </a:extLst>
          </xdr:cNvPr>
          <xdr:cNvSpPr/>
        </xdr:nvSpPr>
        <xdr:spPr>
          <a:xfrm>
            <a:off x="4494652" y="3953213"/>
            <a:ext cx="719568" cy="642494"/>
          </a:xfrm>
          <a:prstGeom prst="ellipse">
            <a:avLst/>
          </a:prstGeom>
          <a:solidFill>
            <a:srgbClr val="00B05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sz="1200">
              <a:latin typeface="Arial" panose="020B0604020202020204" pitchFamily="34" charset="0"/>
              <a:cs typeface="Arial" panose="020B0604020202020204" pitchFamily="34" charset="0"/>
            </a:endParaRPr>
          </a:p>
          <a:p>
            <a:pPr algn="ctr"/>
            <a:endParaRPr lang="de-DE" sz="1200">
              <a:latin typeface="Arial" panose="020B0604020202020204" pitchFamily="34" charset="0"/>
              <a:cs typeface="Arial" panose="020B0604020202020204" pitchFamily="34" charset="0"/>
            </a:endParaRPr>
          </a:p>
        </xdr:txBody>
      </xdr:sp>
      <xdr:sp macro="" textlink="">
        <xdr:nvSpPr>
          <xdr:cNvPr id="161" name="Textfeld 160">
            <a:extLst>
              <a:ext uri="{FF2B5EF4-FFF2-40B4-BE49-F238E27FC236}">
                <a16:creationId xmlns:a16="http://schemas.microsoft.com/office/drawing/2014/main" id="{00000000-0008-0000-0100-0000A1000000}"/>
              </a:ext>
            </a:extLst>
          </xdr:cNvPr>
          <xdr:cNvSpPr txBox="1"/>
        </xdr:nvSpPr>
        <xdr:spPr>
          <a:xfrm>
            <a:off x="4360333" y="4111509"/>
            <a:ext cx="1026583" cy="50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900">
                <a:solidFill>
                  <a:schemeClr val="bg1"/>
                </a:solidFill>
                <a:latin typeface="Arial" panose="020B0604020202020204" pitchFamily="34" charset="0"/>
                <a:cs typeface="Arial" panose="020B0604020202020204" pitchFamily="34" charset="0"/>
              </a:rPr>
              <a:t>Lagerraum:</a:t>
            </a:r>
            <a:br>
              <a:rPr lang="de-DE" sz="900">
                <a:solidFill>
                  <a:schemeClr val="bg1"/>
                </a:solidFill>
                <a:latin typeface="Arial" panose="020B0604020202020204" pitchFamily="34" charset="0"/>
                <a:cs typeface="Arial" panose="020B0604020202020204" pitchFamily="34" charset="0"/>
              </a:rPr>
            </a:br>
            <a:r>
              <a:rPr lang="de-DE" sz="1100" b="1">
                <a:solidFill>
                  <a:schemeClr val="bg1"/>
                </a:solidFill>
                <a:latin typeface="Arial" panose="020B0604020202020204" pitchFamily="34" charset="0"/>
                <a:cs typeface="Arial" panose="020B0604020202020204" pitchFamily="34" charset="0"/>
              </a:rPr>
              <a:t>DüV</a:t>
            </a:r>
          </a:p>
        </xdr:txBody>
      </xdr:sp>
    </xdr:grpSp>
    <xdr:clientData/>
  </xdr:twoCellAnchor>
  <xdr:twoCellAnchor>
    <xdr:from>
      <xdr:col>10</xdr:col>
      <xdr:colOff>84667</xdr:colOff>
      <xdr:row>25</xdr:row>
      <xdr:rowOff>10582</xdr:rowOff>
    </xdr:from>
    <xdr:to>
      <xdr:col>12</xdr:col>
      <xdr:colOff>306916</xdr:colOff>
      <xdr:row>26</xdr:row>
      <xdr:rowOff>137582</xdr:rowOff>
    </xdr:to>
    <xdr:sp macro="" textlink="">
      <xdr:nvSpPr>
        <xdr:cNvPr id="83" name="Textfeld 82">
          <a:extLst>
            <a:ext uri="{FF2B5EF4-FFF2-40B4-BE49-F238E27FC236}">
              <a16:creationId xmlns:a16="http://schemas.microsoft.com/office/drawing/2014/main" id="{00000000-0008-0000-0100-000053000000}"/>
            </a:ext>
          </a:extLst>
        </xdr:cNvPr>
        <xdr:cNvSpPr txBox="1"/>
      </xdr:nvSpPr>
      <xdr:spPr>
        <a:xfrm>
          <a:off x="5662084" y="4931832"/>
          <a:ext cx="709082" cy="275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200">
              <a:solidFill>
                <a:sysClr val="windowText" lastClr="000000"/>
              </a:solidFill>
              <a:latin typeface="Arial" panose="020B0604020202020204" pitchFamily="34" charset="0"/>
              <a:cs typeface="Arial" panose="020B0604020202020204" pitchFamily="34" charset="0"/>
            </a:rPr>
            <a:t>6/7</a:t>
          </a:r>
          <a:endParaRPr lang="de-DE" sz="12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2</xdr:col>
      <xdr:colOff>233627</xdr:colOff>
      <xdr:row>18</xdr:row>
      <xdr:rowOff>114300</xdr:rowOff>
    </xdr:from>
    <xdr:to>
      <xdr:col>5</xdr:col>
      <xdr:colOff>47626</xdr:colOff>
      <xdr:row>20</xdr:row>
      <xdr:rowOff>83342</xdr:rowOff>
    </xdr:to>
    <xdr:sp macro="" textlink="">
      <xdr:nvSpPr>
        <xdr:cNvPr id="85" name="Textfeld 84">
          <a:extLst>
            <a:ext uri="{FF2B5EF4-FFF2-40B4-BE49-F238E27FC236}">
              <a16:creationId xmlns:a16="http://schemas.microsoft.com/office/drawing/2014/main" id="{00000000-0008-0000-0100-000055000000}"/>
            </a:ext>
          </a:extLst>
        </xdr:cNvPr>
        <xdr:cNvSpPr txBox="1"/>
      </xdr:nvSpPr>
      <xdr:spPr>
        <a:xfrm>
          <a:off x="2138627" y="4067175"/>
          <a:ext cx="1171312" cy="2786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300" b="1" u="sng">
              <a:solidFill>
                <a:sysClr val="windowText" lastClr="000000"/>
              </a:solidFill>
              <a:latin typeface="Arial" panose="020B0604020202020204" pitchFamily="34" charset="0"/>
              <a:cs typeface="Arial" panose="020B0604020202020204" pitchFamily="34" charset="0"/>
            </a:rPr>
            <a:t>Jahresanfall</a:t>
          </a:r>
        </a:p>
      </xdr:txBody>
    </xdr:sp>
    <xdr:clientData/>
  </xdr:twoCellAnchor>
  <xdr:twoCellAnchor>
    <xdr:from>
      <xdr:col>6</xdr:col>
      <xdr:colOff>296334</xdr:colOff>
      <xdr:row>16</xdr:row>
      <xdr:rowOff>55724</xdr:rowOff>
    </xdr:from>
    <xdr:to>
      <xdr:col>12</xdr:col>
      <xdr:colOff>423334</xdr:colOff>
      <xdr:row>18</xdr:row>
      <xdr:rowOff>75949</xdr:rowOff>
    </xdr:to>
    <xdr:sp macro="" textlink="">
      <xdr:nvSpPr>
        <xdr:cNvPr id="89" name="Textfeld 18">
          <a:extLst>
            <a:ext uri="{FF2B5EF4-FFF2-40B4-BE49-F238E27FC236}">
              <a16:creationId xmlns:a16="http://schemas.microsoft.com/office/drawing/2014/main" id="{00000000-0008-0000-0100-000059000000}"/>
            </a:ext>
          </a:extLst>
        </xdr:cNvPr>
        <xdr:cNvSpPr txBox="1"/>
      </xdr:nvSpPr>
      <xdr:spPr>
        <a:xfrm>
          <a:off x="4095751" y="3632891"/>
          <a:ext cx="2391833" cy="327141"/>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de-DE" sz="1500" b="1">
              <a:solidFill>
                <a:sysClr val="windowText" lastClr="000000"/>
              </a:solidFill>
            </a:rPr>
            <a:t>Vorgaben Verordnungen</a:t>
          </a:r>
        </a:p>
      </xdr:txBody>
    </xdr:sp>
    <xdr:clientData/>
  </xdr:twoCellAnchor>
  <xdr:twoCellAnchor>
    <xdr:from>
      <xdr:col>6</xdr:col>
      <xdr:colOff>332740</xdr:colOff>
      <xdr:row>16</xdr:row>
      <xdr:rowOff>58385</xdr:rowOff>
    </xdr:from>
    <xdr:to>
      <xdr:col>12</xdr:col>
      <xdr:colOff>409575</xdr:colOff>
      <xdr:row>28</xdr:row>
      <xdr:rowOff>9525</xdr:rowOff>
    </xdr:to>
    <xdr:sp macro="" textlink="">
      <xdr:nvSpPr>
        <xdr:cNvPr id="90" name="Rechteck 89">
          <a:extLst>
            <a:ext uri="{FF2B5EF4-FFF2-40B4-BE49-F238E27FC236}">
              <a16:creationId xmlns:a16="http://schemas.microsoft.com/office/drawing/2014/main" id="{00000000-0008-0000-0100-00005A000000}"/>
            </a:ext>
          </a:extLst>
        </xdr:cNvPr>
        <xdr:cNvSpPr/>
      </xdr:nvSpPr>
      <xdr:spPr>
        <a:xfrm>
          <a:off x="4218940" y="3573110"/>
          <a:ext cx="2381885" cy="1751365"/>
        </a:xfrm>
        <a:prstGeom prst="rect">
          <a:avLst/>
        </a:pr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clientData/>
  </xdr:twoCellAnchor>
  <xdr:twoCellAnchor>
    <xdr:from>
      <xdr:col>1</xdr:col>
      <xdr:colOff>704850</xdr:colOff>
      <xdr:row>205</xdr:row>
      <xdr:rowOff>0</xdr:rowOff>
    </xdr:from>
    <xdr:to>
      <xdr:col>4</xdr:col>
      <xdr:colOff>0</xdr:colOff>
      <xdr:row>211</xdr:row>
      <xdr:rowOff>19050</xdr:rowOff>
    </xdr:to>
    <xdr:cxnSp macro="">
      <xdr:nvCxnSpPr>
        <xdr:cNvPr id="224698" name="Gerade Verbindung mit Pfeil 28">
          <a:extLst>
            <a:ext uri="{FF2B5EF4-FFF2-40B4-BE49-F238E27FC236}">
              <a16:creationId xmlns:a16="http://schemas.microsoft.com/office/drawing/2014/main" id="{00000000-0008-0000-0100-0000BA6D0300}"/>
            </a:ext>
          </a:extLst>
        </xdr:cNvPr>
        <xdr:cNvCxnSpPr>
          <a:cxnSpLocks noChangeShapeType="1"/>
          <a:endCxn id="8" idx="0"/>
        </xdr:cNvCxnSpPr>
      </xdr:nvCxnSpPr>
      <xdr:spPr bwMode="auto">
        <a:xfrm>
          <a:off x="1685925" y="41986200"/>
          <a:ext cx="1095375" cy="1257300"/>
        </a:xfrm>
        <a:prstGeom prst="straightConnector1">
          <a:avLst/>
        </a:prstGeom>
        <a:noFill/>
        <a:ln w="9525" algn="ctr">
          <a:solidFill>
            <a:srgbClr val="000000"/>
          </a:solidFill>
          <a:prstDash val="dash"/>
          <a:round/>
          <a:headEnd/>
          <a:tailEnd type="arrow" w="med" len="me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4</xdr:col>
          <xdr:colOff>142875</xdr:colOff>
          <xdr:row>307</xdr:row>
          <xdr:rowOff>9525</xdr:rowOff>
        </xdr:from>
        <xdr:to>
          <xdr:col>4</xdr:col>
          <xdr:colOff>381000</xdr:colOff>
          <xdr:row>308</xdr:row>
          <xdr:rowOff>9525</xdr:rowOff>
        </xdr:to>
        <xdr:sp macro="" textlink="">
          <xdr:nvSpPr>
            <xdr:cNvPr id="129542" name="Check Box 11782" hidden="1">
              <a:extLst>
                <a:ext uri="{63B3BB69-23CF-44E3-9099-C40C66FF867C}">
                  <a14:compatExt spid="_x0000_s129542"/>
                </a:ext>
                <a:ext uri="{FF2B5EF4-FFF2-40B4-BE49-F238E27FC236}">
                  <a16:creationId xmlns:a16="http://schemas.microsoft.com/office/drawing/2014/main" id="{00000000-0008-0000-0100-000006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67</xdr:row>
          <xdr:rowOff>0</xdr:rowOff>
        </xdr:from>
        <xdr:to>
          <xdr:col>12</xdr:col>
          <xdr:colOff>342900</xdr:colOff>
          <xdr:row>67</xdr:row>
          <xdr:rowOff>200025</xdr:rowOff>
        </xdr:to>
        <xdr:sp macro="" textlink="">
          <xdr:nvSpPr>
            <xdr:cNvPr id="131405" name="Check Box 12621" hidden="1">
              <a:extLst>
                <a:ext uri="{63B3BB69-23CF-44E3-9099-C40C66FF867C}">
                  <a14:compatExt spid="_x0000_s131405"/>
                </a:ext>
                <a:ext uri="{FF2B5EF4-FFF2-40B4-BE49-F238E27FC236}">
                  <a16:creationId xmlns:a16="http://schemas.microsoft.com/office/drawing/2014/main" id="{00000000-0008-0000-0100-00004D0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70</xdr:row>
          <xdr:rowOff>9525</xdr:rowOff>
        </xdr:from>
        <xdr:to>
          <xdr:col>12</xdr:col>
          <xdr:colOff>342900</xdr:colOff>
          <xdr:row>70</xdr:row>
          <xdr:rowOff>209550</xdr:rowOff>
        </xdr:to>
        <xdr:sp macro="" textlink="">
          <xdr:nvSpPr>
            <xdr:cNvPr id="131702" name="Check Box 12918" hidden="1">
              <a:extLst>
                <a:ext uri="{63B3BB69-23CF-44E3-9099-C40C66FF867C}">
                  <a14:compatExt spid="_x0000_s131702"/>
                </a:ext>
                <a:ext uri="{FF2B5EF4-FFF2-40B4-BE49-F238E27FC236}">
                  <a16:creationId xmlns:a16="http://schemas.microsoft.com/office/drawing/2014/main" id="{00000000-0008-0000-0100-000076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73</xdr:row>
          <xdr:rowOff>0</xdr:rowOff>
        </xdr:from>
        <xdr:to>
          <xdr:col>12</xdr:col>
          <xdr:colOff>361950</xdr:colOff>
          <xdr:row>73</xdr:row>
          <xdr:rowOff>209550</xdr:rowOff>
        </xdr:to>
        <xdr:sp macro="" textlink="">
          <xdr:nvSpPr>
            <xdr:cNvPr id="131703" name="Check Box 12919" hidden="1">
              <a:extLst>
                <a:ext uri="{63B3BB69-23CF-44E3-9099-C40C66FF867C}">
                  <a14:compatExt spid="_x0000_s131703"/>
                </a:ext>
                <a:ext uri="{FF2B5EF4-FFF2-40B4-BE49-F238E27FC236}">
                  <a16:creationId xmlns:a16="http://schemas.microsoft.com/office/drawing/2014/main" id="{00000000-0008-0000-0100-000077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70</xdr:row>
          <xdr:rowOff>228600</xdr:rowOff>
        </xdr:from>
        <xdr:to>
          <xdr:col>12</xdr:col>
          <xdr:colOff>352425</xdr:colOff>
          <xdr:row>71</xdr:row>
          <xdr:rowOff>209550</xdr:rowOff>
        </xdr:to>
        <xdr:sp macro="" textlink="">
          <xdr:nvSpPr>
            <xdr:cNvPr id="131705" name="Check Box 12921" hidden="1">
              <a:extLst>
                <a:ext uri="{63B3BB69-23CF-44E3-9099-C40C66FF867C}">
                  <a14:compatExt spid="_x0000_s131705"/>
                </a:ext>
                <a:ext uri="{FF2B5EF4-FFF2-40B4-BE49-F238E27FC236}">
                  <a16:creationId xmlns:a16="http://schemas.microsoft.com/office/drawing/2014/main" id="{00000000-0008-0000-0100-000079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72</xdr:row>
          <xdr:rowOff>0</xdr:rowOff>
        </xdr:from>
        <xdr:to>
          <xdr:col>12</xdr:col>
          <xdr:colOff>361950</xdr:colOff>
          <xdr:row>72</xdr:row>
          <xdr:rowOff>209550</xdr:rowOff>
        </xdr:to>
        <xdr:sp macro="" textlink="">
          <xdr:nvSpPr>
            <xdr:cNvPr id="131706" name="Check Box 12922" hidden="1">
              <a:extLst>
                <a:ext uri="{63B3BB69-23CF-44E3-9099-C40C66FF867C}">
                  <a14:compatExt spid="_x0000_s131706"/>
                </a:ext>
                <a:ext uri="{FF2B5EF4-FFF2-40B4-BE49-F238E27FC236}">
                  <a16:creationId xmlns:a16="http://schemas.microsoft.com/office/drawing/2014/main" id="{00000000-0008-0000-0100-00007A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74</xdr:row>
          <xdr:rowOff>0</xdr:rowOff>
        </xdr:from>
        <xdr:to>
          <xdr:col>12</xdr:col>
          <xdr:colOff>361950</xdr:colOff>
          <xdr:row>74</xdr:row>
          <xdr:rowOff>209550</xdr:rowOff>
        </xdr:to>
        <xdr:sp macro="" textlink="">
          <xdr:nvSpPr>
            <xdr:cNvPr id="131707" name="Check Box 12923" hidden="1">
              <a:extLst>
                <a:ext uri="{63B3BB69-23CF-44E3-9099-C40C66FF867C}">
                  <a14:compatExt spid="_x0000_s131707"/>
                </a:ext>
                <a:ext uri="{FF2B5EF4-FFF2-40B4-BE49-F238E27FC236}">
                  <a16:creationId xmlns:a16="http://schemas.microsoft.com/office/drawing/2014/main" id="{00000000-0008-0000-0100-00007B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74</xdr:row>
          <xdr:rowOff>228600</xdr:rowOff>
        </xdr:from>
        <xdr:to>
          <xdr:col>12</xdr:col>
          <xdr:colOff>361950</xdr:colOff>
          <xdr:row>75</xdr:row>
          <xdr:rowOff>209550</xdr:rowOff>
        </xdr:to>
        <xdr:sp macro="" textlink="">
          <xdr:nvSpPr>
            <xdr:cNvPr id="131708" name="Check Box 12924" hidden="1">
              <a:extLst>
                <a:ext uri="{63B3BB69-23CF-44E3-9099-C40C66FF867C}">
                  <a14:compatExt spid="_x0000_s131708"/>
                </a:ext>
                <a:ext uri="{FF2B5EF4-FFF2-40B4-BE49-F238E27FC236}">
                  <a16:creationId xmlns:a16="http://schemas.microsoft.com/office/drawing/2014/main" id="{00000000-0008-0000-0100-00007C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78</xdr:row>
          <xdr:rowOff>0</xdr:rowOff>
        </xdr:from>
        <xdr:to>
          <xdr:col>12</xdr:col>
          <xdr:colOff>352425</xdr:colOff>
          <xdr:row>78</xdr:row>
          <xdr:rowOff>200025</xdr:rowOff>
        </xdr:to>
        <xdr:sp macro="" textlink="">
          <xdr:nvSpPr>
            <xdr:cNvPr id="131709" name="Check Box 12925" hidden="1">
              <a:extLst>
                <a:ext uri="{63B3BB69-23CF-44E3-9099-C40C66FF867C}">
                  <a14:compatExt spid="_x0000_s131709"/>
                </a:ext>
                <a:ext uri="{FF2B5EF4-FFF2-40B4-BE49-F238E27FC236}">
                  <a16:creationId xmlns:a16="http://schemas.microsoft.com/office/drawing/2014/main" id="{00000000-0008-0000-0100-00007D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78</xdr:row>
          <xdr:rowOff>228600</xdr:rowOff>
        </xdr:from>
        <xdr:to>
          <xdr:col>12</xdr:col>
          <xdr:colOff>352425</xdr:colOff>
          <xdr:row>79</xdr:row>
          <xdr:rowOff>209550</xdr:rowOff>
        </xdr:to>
        <xdr:sp macro="" textlink="">
          <xdr:nvSpPr>
            <xdr:cNvPr id="131710" name="Check Box 12926" hidden="1">
              <a:extLst>
                <a:ext uri="{63B3BB69-23CF-44E3-9099-C40C66FF867C}">
                  <a14:compatExt spid="_x0000_s131710"/>
                </a:ext>
                <a:ext uri="{FF2B5EF4-FFF2-40B4-BE49-F238E27FC236}">
                  <a16:creationId xmlns:a16="http://schemas.microsoft.com/office/drawing/2014/main" id="{00000000-0008-0000-0100-00007E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80</xdr:row>
          <xdr:rowOff>0</xdr:rowOff>
        </xdr:from>
        <xdr:to>
          <xdr:col>12</xdr:col>
          <xdr:colOff>352425</xdr:colOff>
          <xdr:row>80</xdr:row>
          <xdr:rowOff>209550</xdr:rowOff>
        </xdr:to>
        <xdr:sp macro="" textlink="">
          <xdr:nvSpPr>
            <xdr:cNvPr id="131711" name="Check Box 12927" hidden="1">
              <a:extLst>
                <a:ext uri="{63B3BB69-23CF-44E3-9099-C40C66FF867C}">
                  <a14:compatExt spid="_x0000_s131711"/>
                </a:ext>
                <a:ext uri="{FF2B5EF4-FFF2-40B4-BE49-F238E27FC236}">
                  <a16:creationId xmlns:a16="http://schemas.microsoft.com/office/drawing/2014/main" id="{00000000-0008-0000-0100-00007F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82</xdr:row>
          <xdr:rowOff>0</xdr:rowOff>
        </xdr:from>
        <xdr:to>
          <xdr:col>12</xdr:col>
          <xdr:colOff>361950</xdr:colOff>
          <xdr:row>82</xdr:row>
          <xdr:rowOff>209550</xdr:rowOff>
        </xdr:to>
        <xdr:sp macro="" textlink="">
          <xdr:nvSpPr>
            <xdr:cNvPr id="131712" name="Check Box 12928" hidden="1">
              <a:extLst>
                <a:ext uri="{63B3BB69-23CF-44E3-9099-C40C66FF867C}">
                  <a14:compatExt spid="_x0000_s131712"/>
                </a:ext>
                <a:ext uri="{FF2B5EF4-FFF2-40B4-BE49-F238E27FC236}">
                  <a16:creationId xmlns:a16="http://schemas.microsoft.com/office/drawing/2014/main" id="{00000000-0008-0000-0100-000080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85</xdr:row>
          <xdr:rowOff>0</xdr:rowOff>
        </xdr:from>
        <xdr:to>
          <xdr:col>12</xdr:col>
          <xdr:colOff>361950</xdr:colOff>
          <xdr:row>85</xdr:row>
          <xdr:rowOff>209550</xdr:rowOff>
        </xdr:to>
        <xdr:sp macro="" textlink="">
          <xdr:nvSpPr>
            <xdr:cNvPr id="131713" name="Check Box 12929" hidden="1">
              <a:extLst>
                <a:ext uri="{63B3BB69-23CF-44E3-9099-C40C66FF867C}">
                  <a14:compatExt spid="_x0000_s131713"/>
                </a:ext>
                <a:ext uri="{FF2B5EF4-FFF2-40B4-BE49-F238E27FC236}">
                  <a16:creationId xmlns:a16="http://schemas.microsoft.com/office/drawing/2014/main" id="{00000000-0008-0000-0100-000081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85</xdr:row>
          <xdr:rowOff>228600</xdr:rowOff>
        </xdr:from>
        <xdr:to>
          <xdr:col>12</xdr:col>
          <xdr:colOff>361950</xdr:colOff>
          <xdr:row>86</xdr:row>
          <xdr:rowOff>209550</xdr:rowOff>
        </xdr:to>
        <xdr:sp macro="" textlink="">
          <xdr:nvSpPr>
            <xdr:cNvPr id="131714" name="Check Box 12930" hidden="1">
              <a:extLst>
                <a:ext uri="{63B3BB69-23CF-44E3-9099-C40C66FF867C}">
                  <a14:compatExt spid="_x0000_s131714"/>
                </a:ext>
                <a:ext uri="{FF2B5EF4-FFF2-40B4-BE49-F238E27FC236}">
                  <a16:creationId xmlns:a16="http://schemas.microsoft.com/office/drawing/2014/main" id="{00000000-0008-0000-0100-000082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68</xdr:row>
          <xdr:rowOff>0</xdr:rowOff>
        </xdr:from>
        <xdr:to>
          <xdr:col>12</xdr:col>
          <xdr:colOff>342900</xdr:colOff>
          <xdr:row>68</xdr:row>
          <xdr:rowOff>200025</xdr:rowOff>
        </xdr:to>
        <xdr:sp macro="" textlink="">
          <xdr:nvSpPr>
            <xdr:cNvPr id="131848" name="Check Box 13064" hidden="1">
              <a:extLst>
                <a:ext uri="{63B3BB69-23CF-44E3-9099-C40C66FF867C}">
                  <a14:compatExt spid="_x0000_s131848"/>
                </a:ext>
                <a:ext uri="{FF2B5EF4-FFF2-40B4-BE49-F238E27FC236}">
                  <a16:creationId xmlns:a16="http://schemas.microsoft.com/office/drawing/2014/main" id="{00000000-0008-0000-0100-00000803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69</xdr:row>
          <xdr:rowOff>0</xdr:rowOff>
        </xdr:from>
        <xdr:to>
          <xdr:col>12</xdr:col>
          <xdr:colOff>342900</xdr:colOff>
          <xdr:row>69</xdr:row>
          <xdr:rowOff>200025</xdr:rowOff>
        </xdr:to>
        <xdr:sp macro="" textlink="">
          <xdr:nvSpPr>
            <xdr:cNvPr id="131849" name="Check Box 13065" hidden="1">
              <a:extLst>
                <a:ext uri="{63B3BB69-23CF-44E3-9099-C40C66FF867C}">
                  <a14:compatExt spid="_x0000_s131849"/>
                </a:ext>
                <a:ext uri="{FF2B5EF4-FFF2-40B4-BE49-F238E27FC236}">
                  <a16:creationId xmlns:a16="http://schemas.microsoft.com/office/drawing/2014/main" id="{00000000-0008-0000-0100-00000903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163</xdr:row>
          <xdr:rowOff>9525</xdr:rowOff>
        </xdr:from>
        <xdr:to>
          <xdr:col>12</xdr:col>
          <xdr:colOff>428625</xdr:colOff>
          <xdr:row>164</xdr:row>
          <xdr:rowOff>0</xdr:rowOff>
        </xdr:to>
        <xdr:sp macro="" textlink="">
          <xdr:nvSpPr>
            <xdr:cNvPr id="136820" name="Drop Down 14964" hidden="1">
              <a:extLst>
                <a:ext uri="{63B3BB69-23CF-44E3-9099-C40C66FF867C}">
                  <a14:compatExt spid="_x0000_s136820"/>
                </a:ext>
                <a:ext uri="{FF2B5EF4-FFF2-40B4-BE49-F238E27FC236}">
                  <a16:creationId xmlns:a16="http://schemas.microsoft.com/office/drawing/2014/main" id="{00000000-0008-0000-0100-00007416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308</xdr:row>
          <xdr:rowOff>9525</xdr:rowOff>
        </xdr:from>
        <xdr:to>
          <xdr:col>4</xdr:col>
          <xdr:colOff>381000</xdr:colOff>
          <xdr:row>309</xdr:row>
          <xdr:rowOff>0</xdr:rowOff>
        </xdr:to>
        <xdr:sp macro="" textlink="">
          <xdr:nvSpPr>
            <xdr:cNvPr id="139226" name="Check Box 16346" hidden="1">
              <a:extLst>
                <a:ext uri="{63B3BB69-23CF-44E3-9099-C40C66FF867C}">
                  <a14:compatExt spid="_x0000_s139226"/>
                </a:ext>
                <a:ext uri="{FF2B5EF4-FFF2-40B4-BE49-F238E27FC236}">
                  <a16:creationId xmlns:a16="http://schemas.microsoft.com/office/drawing/2014/main" id="{00000000-0008-0000-0100-0000DA1F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309</xdr:row>
          <xdr:rowOff>9525</xdr:rowOff>
        </xdr:from>
        <xdr:to>
          <xdr:col>4</xdr:col>
          <xdr:colOff>381000</xdr:colOff>
          <xdr:row>310</xdr:row>
          <xdr:rowOff>0</xdr:rowOff>
        </xdr:to>
        <xdr:sp macro="" textlink="">
          <xdr:nvSpPr>
            <xdr:cNvPr id="139227" name="Check Box 16347" hidden="1">
              <a:extLst>
                <a:ext uri="{63B3BB69-23CF-44E3-9099-C40C66FF867C}">
                  <a14:compatExt spid="_x0000_s139227"/>
                </a:ext>
                <a:ext uri="{FF2B5EF4-FFF2-40B4-BE49-F238E27FC236}">
                  <a16:creationId xmlns:a16="http://schemas.microsoft.com/office/drawing/2014/main" id="{00000000-0008-0000-0100-0000DB1F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113</xdr:row>
          <xdr:rowOff>9525</xdr:rowOff>
        </xdr:from>
        <xdr:to>
          <xdr:col>2</xdr:col>
          <xdr:colOff>352425</xdr:colOff>
          <xdr:row>114</xdr:row>
          <xdr:rowOff>0</xdr:rowOff>
        </xdr:to>
        <xdr:sp macro="" textlink="">
          <xdr:nvSpPr>
            <xdr:cNvPr id="150357" name="Drop Down 21333" hidden="1">
              <a:extLst>
                <a:ext uri="{63B3BB69-23CF-44E3-9099-C40C66FF867C}">
                  <a14:compatExt spid="_x0000_s150357"/>
                </a:ext>
                <a:ext uri="{FF2B5EF4-FFF2-40B4-BE49-F238E27FC236}">
                  <a16:creationId xmlns:a16="http://schemas.microsoft.com/office/drawing/2014/main" id="{00000000-0008-0000-0100-0000554B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114</xdr:row>
          <xdr:rowOff>9525</xdr:rowOff>
        </xdr:from>
        <xdr:to>
          <xdr:col>2</xdr:col>
          <xdr:colOff>352425</xdr:colOff>
          <xdr:row>115</xdr:row>
          <xdr:rowOff>0</xdr:rowOff>
        </xdr:to>
        <xdr:sp macro="" textlink="">
          <xdr:nvSpPr>
            <xdr:cNvPr id="150359" name="Drop Down 21335" hidden="1">
              <a:extLst>
                <a:ext uri="{63B3BB69-23CF-44E3-9099-C40C66FF867C}">
                  <a14:compatExt spid="_x0000_s150359"/>
                </a:ext>
                <a:ext uri="{FF2B5EF4-FFF2-40B4-BE49-F238E27FC236}">
                  <a16:creationId xmlns:a16="http://schemas.microsoft.com/office/drawing/2014/main" id="{00000000-0008-0000-0100-0000574B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164</xdr:row>
          <xdr:rowOff>0</xdr:rowOff>
        </xdr:from>
        <xdr:to>
          <xdr:col>12</xdr:col>
          <xdr:colOff>428625</xdr:colOff>
          <xdr:row>164</xdr:row>
          <xdr:rowOff>228600</xdr:rowOff>
        </xdr:to>
        <xdr:sp macro="" textlink="">
          <xdr:nvSpPr>
            <xdr:cNvPr id="153375" name="Drop Down 22303" hidden="1">
              <a:extLst>
                <a:ext uri="{63B3BB69-23CF-44E3-9099-C40C66FF867C}">
                  <a14:compatExt spid="_x0000_s153375"/>
                </a:ext>
                <a:ext uri="{FF2B5EF4-FFF2-40B4-BE49-F238E27FC236}">
                  <a16:creationId xmlns:a16="http://schemas.microsoft.com/office/drawing/2014/main" id="{00000000-0008-0000-0100-00001F57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165</xdr:row>
          <xdr:rowOff>0</xdr:rowOff>
        </xdr:from>
        <xdr:to>
          <xdr:col>12</xdr:col>
          <xdr:colOff>428625</xdr:colOff>
          <xdr:row>165</xdr:row>
          <xdr:rowOff>228600</xdr:rowOff>
        </xdr:to>
        <xdr:sp macro="" textlink="">
          <xdr:nvSpPr>
            <xdr:cNvPr id="153376" name="Drop Down 22304" hidden="1">
              <a:extLst>
                <a:ext uri="{63B3BB69-23CF-44E3-9099-C40C66FF867C}">
                  <a14:compatExt spid="_x0000_s153376"/>
                </a:ext>
                <a:ext uri="{FF2B5EF4-FFF2-40B4-BE49-F238E27FC236}">
                  <a16:creationId xmlns:a16="http://schemas.microsoft.com/office/drawing/2014/main" id="{00000000-0008-0000-0100-00002057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166</xdr:row>
          <xdr:rowOff>0</xdr:rowOff>
        </xdr:from>
        <xdr:to>
          <xdr:col>12</xdr:col>
          <xdr:colOff>428625</xdr:colOff>
          <xdr:row>166</xdr:row>
          <xdr:rowOff>228600</xdr:rowOff>
        </xdr:to>
        <xdr:sp macro="" textlink="">
          <xdr:nvSpPr>
            <xdr:cNvPr id="153378" name="Drop Down 22306" hidden="1">
              <a:extLst>
                <a:ext uri="{63B3BB69-23CF-44E3-9099-C40C66FF867C}">
                  <a14:compatExt spid="_x0000_s153378"/>
                </a:ext>
                <a:ext uri="{FF2B5EF4-FFF2-40B4-BE49-F238E27FC236}">
                  <a16:creationId xmlns:a16="http://schemas.microsoft.com/office/drawing/2014/main" id="{00000000-0008-0000-0100-00002257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167</xdr:row>
          <xdr:rowOff>0</xdr:rowOff>
        </xdr:from>
        <xdr:to>
          <xdr:col>12</xdr:col>
          <xdr:colOff>428625</xdr:colOff>
          <xdr:row>167</xdr:row>
          <xdr:rowOff>228600</xdr:rowOff>
        </xdr:to>
        <xdr:sp macro="" textlink="">
          <xdr:nvSpPr>
            <xdr:cNvPr id="153379" name="Drop Down 22307" hidden="1">
              <a:extLst>
                <a:ext uri="{63B3BB69-23CF-44E3-9099-C40C66FF867C}">
                  <a14:compatExt spid="_x0000_s153379"/>
                </a:ext>
                <a:ext uri="{FF2B5EF4-FFF2-40B4-BE49-F238E27FC236}">
                  <a16:creationId xmlns:a16="http://schemas.microsoft.com/office/drawing/2014/main" id="{00000000-0008-0000-0100-00002357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278</xdr:row>
          <xdr:rowOff>0</xdr:rowOff>
        </xdr:from>
        <xdr:to>
          <xdr:col>0</xdr:col>
          <xdr:colOff>962025</xdr:colOff>
          <xdr:row>279</xdr:row>
          <xdr:rowOff>0</xdr:rowOff>
        </xdr:to>
        <xdr:sp macro="" textlink="">
          <xdr:nvSpPr>
            <xdr:cNvPr id="154668" name="Drop Down 22572" hidden="1">
              <a:extLst>
                <a:ext uri="{63B3BB69-23CF-44E3-9099-C40C66FF867C}">
                  <a14:compatExt spid="_x0000_s154668"/>
                </a:ext>
                <a:ext uri="{FF2B5EF4-FFF2-40B4-BE49-F238E27FC236}">
                  <a16:creationId xmlns:a16="http://schemas.microsoft.com/office/drawing/2014/main" id="{00000000-0008-0000-0100-00002C5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279</xdr:row>
          <xdr:rowOff>0</xdr:rowOff>
        </xdr:from>
        <xdr:to>
          <xdr:col>0</xdr:col>
          <xdr:colOff>962025</xdr:colOff>
          <xdr:row>280</xdr:row>
          <xdr:rowOff>0</xdr:rowOff>
        </xdr:to>
        <xdr:sp macro="" textlink="">
          <xdr:nvSpPr>
            <xdr:cNvPr id="154669" name="Drop Down 22573" hidden="1">
              <a:extLst>
                <a:ext uri="{63B3BB69-23CF-44E3-9099-C40C66FF867C}">
                  <a14:compatExt spid="_x0000_s154669"/>
                </a:ext>
                <a:ext uri="{FF2B5EF4-FFF2-40B4-BE49-F238E27FC236}">
                  <a16:creationId xmlns:a16="http://schemas.microsoft.com/office/drawing/2014/main" id="{00000000-0008-0000-0100-00002D5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256</xdr:row>
          <xdr:rowOff>9525</xdr:rowOff>
        </xdr:from>
        <xdr:to>
          <xdr:col>2</xdr:col>
          <xdr:colOff>295275</xdr:colOff>
          <xdr:row>256</xdr:row>
          <xdr:rowOff>209550</xdr:rowOff>
        </xdr:to>
        <xdr:sp macro="" textlink="">
          <xdr:nvSpPr>
            <xdr:cNvPr id="154760" name="Check Box 22664" hidden="1">
              <a:extLst>
                <a:ext uri="{63B3BB69-23CF-44E3-9099-C40C66FF867C}">
                  <a14:compatExt spid="_x0000_s154760"/>
                </a:ext>
                <a:ext uri="{FF2B5EF4-FFF2-40B4-BE49-F238E27FC236}">
                  <a16:creationId xmlns:a16="http://schemas.microsoft.com/office/drawing/2014/main" id="{00000000-0008-0000-0100-00008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257</xdr:row>
          <xdr:rowOff>9525</xdr:rowOff>
        </xdr:from>
        <xdr:to>
          <xdr:col>2</xdr:col>
          <xdr:colOff>295275</xdr:colOff>
          <xdr:row>257</xdr:row>
          <xdr:rowOff>209550</xdr:rowOff>
        </xdr:to>
        <xdr:sp macro="" textlink="">
          <xdr:nvSpPr>
            <xdr:cNvPr id="154806" name="Check Box 22710" hidden="1">
              <a:extLst>
                <a:ext uri="{63B3BB69-23CF-44E3-9099-C40C66FF867C}">
                  <a14:compatExt spid="_x0000_s154806"/>
                </a:ext>
                <a:ext uri="{FF2B5EF4-FFF2-40B4-BE49-F238E27FC236}">
                  <a16:creationId xmlns:a16="http://schemas.microsoft.com/office/drawing/2014/main" id="{00000000-0008-0000-0100-0000B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258</xdr:row>
          <xdr:rowOff>9525</xdr:rowOff>
        </xdr:from>
        <xdr:to>
          <xdr:col>2</xdr:col>
          <xdr:colOff>295275</xdr:colOff>
          <xdr:row>258</xdr:row>
          <xdr:rowOff>209550</xdr:rowOff>
        </xdr:to>
        <xdr:sp macro="" textlink="">
          <xdr:nvSpPr>
            <xdr:cNvPr id="154807" name="Check Box 22711" hidden="1">
              <a:extLst>
                <a:ext uri="{63B3BB69-23CF-44E3-9099-C40C66FF867C}">
                  <a14:compatExt spid="_x0000_s154807"/>
                </a:ext>
                <a:ext uri="{FF2B5EF4-FFF2-40B4-BE49-F238E27FC236}">
                  <a16:creationId xmlns:a16="http://schemas.microsoft.com/office/drawing/2014/main" id="{00000000-0008-0000-0100-0000B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259</xdr:row>
          <xdr:rowOff>9525</xdr:rowOff>
        </xdr:from>
        <xdr:to>
          <xdr:col>2</xdr:col>
          <xdr:colOff>295275</xdr:colOff>
          <xdr:row>259</xdr:row>
          <xdr:rowOff>209550</xdr:rowOff>
        </xdr:to>
        <xdr:sp macro="" textlink="">
          <xdr:nvSpPr>
            <xdr:cNvPr id="154808" name="Check Box 22712" hidden="1">
              <a:extLst>
                <a:ext uri="{63B3BB69-23CF-44E3-9099-C40C66FF867C}">
                  <a14:compatExt spid="_x0000_s154808"/>
                </a:ext>
                <a:ext uri="{FF2B5EF4-FFF2-40B4-BE49-F238E27FC236}">
                  <a16:creationId xmlns:a16="http://schemas.microsoft.com/office/drawing/2014/main" id="{00000000-0008-0000-0100-0000B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260</xdr:row>
          <xdr:rowOff>9525</xdr:rowOff>
        </xdr:from>
        <xdr:to>
          <xdr:col>2</xdr:col>
          <xdr:colOff>295275</xdr:colOff>
          <xdr:row>260</xdr:row>
          <xdr:rowOff>209550</xdr:rowOff>
        </xdr:to>
        <xdr:sp macro="" textlink="">
          <xdr:nvSpPr>
            <xdr:cNvPr id="154809" name="Check Box 22713" hidden="1">
              <a:extLst>
                <a:ext uri="{63B3BB69-23CF-44E3-9099-C40C66FF867C}">
                  <a14:compatExt spid="_x0000_s154809"/>
                </a:ext>
                <a:ext uri="{FF2B5EF4-FFF2-40B4-BE49-F238E27FC236}">
                  <a16:creationId xmlns:a16="http://schemas.microsoft.com/office/drawing/2014/main" id="{00000000-0008-0000-0100-0000B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261</xdr:row>
          <xdr:rowOff>9525</xdr:rowOff>
        </xdr:from>
        <xdr:to>
          <xdr:col>2</xdr:col>
          <xdr:colOff>295275</xdr:colOff>
          <xdr:row>261</xdr:row>
          <xdr:rowOff>209550</xdr:rowOff>
        </xdr:to>
        <xdr:sp macro="" textlink="">
          <xdr:nvSpPr>
            <xdr:cNvPr id="154810" name="Check Box 22714" hidden="1">
              <a:extLst>
                <a:ext uri="{63B3BB69-23CF-44E3-9099-C40C66FF867C}">
                  <a14:compatExt spid="_x0000_s154810"/>
                </a:ext>
                <a:ext uri="{FF2B5EF4-FFF2-40B4-BE49-F238E27FC236}">
                  <a16:creationId xmlns:a16="http://schemas.microsoft.com/office/drawing/2014/main" id="{00000000-0008-0000-0100-0000B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262</xdr:row>
          <xdr:rowOff>9525</xdr:rowOff>
        </xdr:from>
        <xdr:to>
          <xdr:col>2</xdr:col>
          <xdr:colOff>295275</xdr:colOff>
          <xdr:row>262</xdr:row>
          <xdr:rowOff>209550</xdr:rowOff>
        </xdr:to>
        <xdr:sp macro="" textlink="">
          <xdr:nvSpPr>
            <xdr:cNvPr id="154811" name="Check Box 22715" hidden="1">
              <a:extLst>
                <a:ext uri="{63B3BB69-23CF-44E3-9099-C40C66FF867C}">
                  <a14:compatExt spid="_x0000_s154811"/>
                </a:ext>
                <a:ext uri="{FF2B5EF4-FFF2-40B4-BE49-F238E27FC236}">
                  <a16:creationId xmlns:a16="http://schemas.microsoft.com/office/drawing/2014/main" id="{00000000-0008-0000-0100-0000B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265</xdr:row>
          <xdr:rowOff>9525</xdr:rowOff>
        </xdr:from>
        <xdr:to>
          <xdr:col>2</xdr:col>
          <xdr:colOff>295275</xdr:colOff>
          <xdr:row>265</xdr:row>
          <xdr:rowOff>209550</xdr:rowOff>
        </xdr:to>
        <xdr:sp macro="" textlink="">
          <xdr:nvSpPr>
            <xdr:cNvPr id="154812" name="Check Box 22716" hidden="1">
              <a:extLst>
                <a:ext uri="{63B3BB69-23CF-44E3-9099-C40C66FF867C}">
                  <a14:compatExt spid="_x0000_s154812"/>
                </a:ext>
                <a:ext uri="{FF2B5EF4-FFF2-40B4-BE49-F238E27FC236}">
                  <a16:creationId xmlns:a16="http://schemas.microsoft.com/office/drawing/2014/main" id="{00000000-0008-0000-0100-0000B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266</xdr:row>
          <xdr:rowOff>9525</xdr:rowOff>
        </xdr:from>
        <xdr:to>
          <xdr:col>2</xdr:col>
          <xdr:colOff>295275</xdr:colOff>
          <xdr:row>266</xdr:row>
          <xdr:rowOff>209550</xdr:rowOff>
        </xdr:to>
        <xdr:sp macro="" textlink="">
          <xdr:nvSpPr>
            <xdr:cNvPr id="154813" name="Check Box 22717" hidden="1">
              <a:extLst>
                <a:ext uri="{63B3BB69-23CF-44E3-9099-C40C66FF867C}">
                  <a14:compatExt spid="_x0000_s154813"/>
                </a:ext>
                <a:ext uri="{FF2B5EF4-FFF2-40B4-BE49-F238E27FC236}">
                  <a16:creationId xmlns:a16="http://schemas.microsoft.com/office/drawing/2014/main" id="{00000000-0008-0000-0100-0000B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267</xdr:row>
          <xdr:rowOff>9525</xdr:rowOff>
        </xdr:from>
        <xdr:to>
          <xdr:col>2</xdr:col>
          <xdr:colOff>295275</xdr:colOff>
          <xdr:row>267</xdr:row>
          <xdr:rowOff>209550</xdr:rowOff>
        </xdr:to>
        <xdr:sp macro="" textlink="">
          <xdr:nvSpPr>
            <xdr:cNvPr id="154814" name="Check Box 22718" hidden="1">
              <a:extLst>
                <a:ext uri="{63B3BB69-23CF-44E3-9099-C40C66FF867C}">
                  <a14:compatExt spid="_x0000_s154814"/>
                </a:ext>
                <a:ext uri="{FF2B5EF4-FFF2-40B4-BE49-F238E27FC236}">
                  <a16:creationId xmlns:a16="http://schemas.microsoft.com/office/drawing/2014/main" id="{00000000-0008-0000-0100-0000B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268</xdr:row>
          <xdr:rowOff>9525</xdr:rowOff>
        </xdr:from>
        <xdr:to>
          <xdr:col>2</xdr:col>
          <xdr:colOff>295275</xdr:colOff>
          <xdr:row>268</xdr:row>
          <xdr:rowOff>209550</xdr:rowOff>
        </xdr:to>
        <xdr:sp macro="" textlink="">
          <xdr:nvSpPr>
            <xdr:cNvPr id="154815" name="Check Box 22719" hidden="1">
              <a:extLst>
                <a:ext uri="{63B3BB69-23CF-44E3-9099-C40C66FF867C}">
                  <a14:compatExt spid="_x0000_s154815"/>
                </a:ext>
                <a:ext uri="{FF2B5EF4-FFF2-40B4-BE49-F238E27FC236}">
                  <a16:creationId xmlns:a16="http://schemas.microsoft.com/office/drawing/2014/main" id="{00000000-0008-0000-0100-0000B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3</xdr:col>
      <xdr:colOff>0</xdr:colOff>
      <xdr:row>211</xdr:row>
      <xdr:rowOff>21167</xdr:rowOff>
    </xdr:from>
    <xdr:to>
      <xdr:col>5</xdr:col>
      <xdr:colOff>0</xdr:colOff>
      <xdr:row>213</xdr:row>
      <xdr:rowOff>0</xdr:rowOff>
    </xdr:to>
    <xdr:sp macro="" textlink="">
      <xdr:nvSpPr>
        <xdr:cNvPr id="8" name="Rechteck 7">
          <a:extLst>
            <a:ext uri="{FF2B5EF4-FFF2-40B4-BE49-F238E27FC236}">
              <a16:creationId xmlns:a16="http://schemas.microsoft.com/office/drawing/2014/main" id="{00000000-0008-0000-0100-000008000000}"/>
            </a:ext>
          </a:extLst>
        </xdr:cNvPr>
        <xdr:cNvSpPr/>
      </xdr:nvSpPr>
      <xdr:spPr bwMode="auto">
        <a:xfrm>
          <a:off x="2276475" y="43245617"/>
          <a:ext cx="1009650" cy="378883"/>
        </a:xfrm>
        <a:prstGeom prst="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marL="0" indent="0" algn="ctr"/>
          <a:r>
            <a:rPr lang="de-DE" sz="1000" b="1">
              <a:latin typeface="Arial" panose="020B0604020202020204" pitchFamily="34" charset="0"/>
              <a:ea typeface="+mn-ea"/>
              <a:cs typeface="Arial" panose="020B0604020202020204" pitchFamily="34" charset="0"/>
            </a:rPr>
            <a:t>flüssig</a:t>
          </a:r>
        </a:p>
      </xdr:txBody>
    </xdr:sp>
    <xdr:clientData/>
  </xdr:twoCellAnchor>
  <mc:AlternateContent xmlns:mc="http://schemas.openxmlformats.org/markup-compatibility/2006">
    <mc:Choice xmlns:a14="http://schemas.microsoft.com/office/drawing/2010/main" Requires="a14">
      <xdr:twoCellAnchor editAs="oneCell">
        <xdr:from>
          <xdr:col>6</xdr:col>
          <xdr:colOff>19050</xdr:colOff>
          <xdr:row>83</xdr:row>
          <xdr:rowOff>28575</xdr:rowOff>
        </xdr:from>
        <xdr:to>
          <xdr:col>6</xdr:col>
          <xdr:colOff>495300</xdr:colOff>
          <xdr:row>83</xdr:row>
          <xdr:rowOff>209550</xdr:rowOff>
        </xdr:to>
        <xdr:sp macro="" textlink="">
          <xdr:nvSpPr>
            <xdr:cNvPr id="157041" name="Drop Down 23921" hidden="1">
              <a:extLst>
                <a:ext uri="{63B3BB69-23CF-44E3-9099-C40C66FF867C}">
                  <a14:compatExt spid="_x0000_s157041"/>
                </a:ext>
                <a:ext uri="{FF2B5EF4-FFF2-40B4-BE49-F238E27FC236}">
                  <a16:creationId xmlns:a16="http://schemas.microsoft.com/office/drawing/2014/main" id="{00000000-0008-0000-0100-000071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84</xdr:row>
          <xdr:rowOff>19050</xdr:rowOff>
        </xdr:from>
        <xdr:to>
          <xdr:col>6</xdr:col>
          <xdr:colOff>495300</xdr:colOff>
          <xdr:row>84</xdr:row>
          <xdr:rowOff>209550</xdr:rowOff>
        </xdr:to>
        <xdr:sp macro="" textlink="">
          <xdr:nvSpPr>
            <xdr:cNvPr id="157043" name="Drop Down 23923" hidden="1">
              <a:extLst>
                <a:ext uri="{63B3BB69-23CF-44E3-9099-C40C66FF867C}">
                  <a14:compatExt spid="_x0000_s157043"/>
                </a:ext>
                <a:ext uri="{FF2B5EF4-FFF2-40B4-BE49-F238E27FC236}">
                  <a16:creationId xmlns:a16="http://schemas.microsoft.com/office/drawing/2014/main" id="{00000000-0008-0000-0100-000073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84</xdr:row>
          <xdr:rowOff>0</xdr:rowOff>
        </xdr:from>
        <xdr:to>
          <xdr:col>12</xdr:col>
          <xdr:colOff>361950</xdr:colOff>
          <xdr:row>84</xdr:row>
          <xdr:rowOff>209550</xdr:rowOff>
        </xdr:to>
        <xdr:sp macro="" textlink="">
          <xdr:nvSpPr>
            <xdr:cNvPr id="157044" name="Check Box 23924" hidden="1">
              <a:extLst>
                <a:ext uri="{63B3BB69-23CF-44E3-9099-C40C66FF867C}">
                  <a14:compatExt spid="_x0000_s157044"/>
                </a:ext>
                <a:ext uri="{FF2B5EF4-FFF2-40B4-BE49-F238E27FC236}">
                  <a16:creationId xmlns:a16="http://schemas.microsoft.com/office/drawing/2014/main" id="{00000000-0008-0000-0100-0000746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75</xdr:row>
          <xdr:rowOff>228600</xdr:rowOff>
        </xdr:from>
        <xdr:to>
          <xdr:col>3</xdr:col>
          <xdr:colOff>485775</xdr:colOff>
          <xdr:row>76</xdr:row>
          <xdr:rowOff>219075</xdr:rowOff>
        </xdr:to>
        <xdr:sp macro="" textlink="">
          <xdr:nvSpPr>
            <xdr:cNvPr id="157045" name="Drop Down 23925" hidden="1">
              <a:extLst>
                <a:ext uri="{63B3BB69-23CF-44E3-9099-C40C66FF867C}">
                  <a14:compatExt spid="_x0000_s157045"/>
                </a:ext>
                <a:ext uri="{FF2B5EF4-FFF2-40B4-BE49-F238E27FC236}">
                  <a16:creationId xmlns:a16="http://schemas.microsoft.com/office/drawing/2014/main" id="{00000000-0008-0000-0100-000075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76</xdr:row>
          <xdr:rowOff>19050</xdr:rowOff>
        </xdr:from>
        <xdr:to>
          <xdr:col>6</xdr:col>
          <xdr:colOff>495300</xdr:colOff>
          <xdr:row>76</xdr:row>
          <xdr:rowOff>219075</xdr:rowOff>
        </xdr:to>
        <xdr:sp macro="" textlink="">
          <xdr:nvSpPr>
            <xdr:cNvPr id="157046" name="Drop Down 23926" hidden="1">
              <a:extLst>
                <a:ext uri="{63B3BB69-23CF-44E3-9099-C40C66FF867C}">
                  <a14:compatExt spid="_x0000_s157046"/>
                </a:ext>
                <a:ext uri="{FF2B5EF4-FFF2-40B4-BE49-F238E27FC236}">
                  <a16:creationId xmlns:a16="http://schemas.microsoft.com/office/drawing/2014/main" id="{00000000-0008-0000-0100-000076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76</xdr:row>
          <xdr:rowOff>0</xdr:rowOff>
        </xdr:from>
        <xdr:to>
          <xdr:col>12</xdr:col>
          <xdr:colOff>361950</xdr:colOff>
          <xdr:row>76</xdr:row>
          <xdr:rowOff>209550</xdr:rowOff>
        </xdr:to>
        <xdr:sp macro="" textlink="">
          <xdr:nvSpPr>
            <xdr:cNvPr id="157047" name="Check Box 23927" hidden="1">
              <a:extLst>
                <a:ext uri="{63B3BB69-23CF-44E3-9099-C40C66FF867C}">
                  <a14:compatExt spid="_x0000_s157047"/>
                </a:ext>
                <a:ext uri="{FF2B5EF4-FFF2-40B4-BE49-F238E27FC236}">
                  <a16:creationId xmlns:a16="http://schemas.microsoft.com/office/drawing/2014/main" id="{00000000-0008-0000-0100-0000776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77</xdr:row>
          <xdr:rowOff>9525</xdr:rowOff>
        </xdr:from>
        <xdr:to>
          <xdr:col>3</xdr:col>
          <xdr:colOff>485775</xdr:colOff>
          <xdr:row>77</xdr:row>
          <xdr:rowOff>219075</xdr:rowOff>
        </xdr:to>
        <xdr:sp macro="" textlink="">
          <xdr:nvSpPr>
            <xdr:cNvPr id="157048" name="Drop Down 23928" hidden="1">
              <a:extLst>
                <a:ext uri="{63B3BB69-23CF-44E3-9099-C40C66FF867C}">
                  <a14:compatExt spid="_x0000_s157048"/>
                </a:ext>
                <a:ext uri="{FF2B5EF4-FFF2-40B4-BE49-F238E27FC236}">
                  <a16:creationId xmlns:a16="http://schemas.microsoft.com/office/drawing/2014/main" id="{00000000-0008-0000-0100-000078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77</xdr:row>
          <xdr:rowOff>19050</xdr:rowOff>
        </xdr:from>
        <xdr:to>
          <xdr:col>6</xdr:col>
          <xdr:colOff>495300</xdr:colOff>
          <xdr:row>77</xdr:row>
          <xdr:rowOff>219075</xdr:rowOff>
        </xdr:to>
        <xdr:sp macro="" textlink="">
          <xdr:nvSpPr>
            <xdr:cNvPr id="157049" name="Drop Down 23929" hidden="1">
              <a:extLst>
                <a:ext uri="{63B3BB69-23CF-44E3-9099-C40C66FF867C}">
                  <a14:compatExt spid="_x0000_s157049"/>
                </a:ext>
                <a:ext uri="{FF2B5EF4-FFF2-40B4-BE49-F238E27FC236}">
                  <a16:creationId xmlns:a16="http://schemas.microsoft.com/office/drawing/2014/main" id="{00000000-0008-0000-0100-000079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77</xdr:row>
          <xdr:rowOff>0</xdr:rowOff>
        </xdr:from>
        <xdr:to>
          <xdr:col>12</xdr:col>
          <xdr:colOff>361950</xdr:colOff>
          <xdr:row>77</xdr:row>
          <xdr:rowOff>209550</xdr:rowOff>
        </xdr:to>
        <xdr:sp macro="" textlink="">
          <xdr:nvSpPr>
            <xdr:cNvPr id="157050" name="Check Box 23930" hidden="1">
              <a:extLst>
                <a:ext uri="{63B3BB69-23CF-44E3-9099-C40C66FF867C}">
                  <a14:compatExt spid="_x0000_s157050"/>
                </a:ext>
                <a:ext uri="{FF2B5EF4-FFF2-40B4-BE49-F238E27FC236}">
                  <a16:creationId xmlns:a16="http://schemas.microsoft.com/office/drawing/2014/main" id="{00000000-0008-0000-0100-00007A6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83</xdr:row>
          <xdr:rowOff>19050</xdr:rowOff>
        </xdr:from>
        <xdr:to>
          <xdr:col>6</xdr:col>
          <xdr:colOff>495300</xdr:colOff>
          <xdr:row>83</xdr:row>
          <xdr:rowOff>209550</xdr:rowOff>
        </xdr:to>
        <xdr:sp macro="" textlink="">
          <xdr:nvSpPr>
            <xdr:cNvPr id="157096" name="Drop Down 23976" hidden="1">
              <a:extLst>
                <a:ext uri="{63B3BB69-23CF-44E3-9099-C40C66FF867C}">
                  <a14:compatExt spid="_x0000_s157096"/>
                </a:ext>
                <a:ext uri="{FF2B5EF4-FFF2-40B4-BE49-F238E27FC236}">
                  <a16:creationId xmlns:a16="http://schemas.microsoft.com/office/drawing/2014/main" id="{00000000-0008-0000-0100-0000A8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82</xdr:row>
          <xdr:rowOff>228600</xdr:rowOff>
        </xdr:from>
        <xdr:to>
          <xdr:col>12</xdr:col>
          <xdr:colOff>381000</xdr:colOff>
          <xdr:row>83</xdr:row>
          <xdr:rowOff>209550</xdr:rowOff>
        </xdr:to>
        <xdr:sp macro="" textlink="">
          <xdr:nvSpPr>
            <xdr:cNvPr id="157097" name="Check Box 23977" hidden="1">
              <a:extLst>
                <a:ext uri="{63B3BB69-23CF-44E3-9099-C40C66FF867C}">
                  <a14:compatExt spid="_x0000_s157097"/>
                </a:ext>
                <a:ext uri="{FF2B5EF4-FFF2-40B4-BE49-F238E27FC236}">
                  <a16:creationId xmlns:a16="http://schemas.microsoft.com/office/drawing/2014/main" id="{00000000-0008-0000-0100-0000A96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115</xdr:row>
          <xdr:rowOff>9525</xdr:rowOff>
        </xdr:from>
        <xdr:to>
          <xdr:col>2</xdr:col>
          <xdr:colOff>352425</xdr:colOff>
          <xdr:row>116</xdr:row>
          <xdr:rowOff>0</xdr:rowOff>
        </xdr:to>
        <xdr:sp macro="" textlink="">
          <xdr:nvSpPr>
            <xdr:cNvPr id="157098" name="Drop Down 23978" hidden="1">
              <a:extLst>
                <a:ext uri="{63B3BB69-23CF-44E3-9099-C40C66FF867C}">
                  <a14:compatExt spid="_x0000_s157098"/>
                </a:ext>
                <a:ext uri="{FF2B5EF4-FFF2-40B4-BE49-F238E27FC236}">
                  <a16:creationId xmlns:a16="http://schemas.microsoft.com/office/drawing/2014/main" id="{00000000-0008-0000-0100-0000AA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116</xdr:row>
          <xdr:rowOff>9525</xdr:rowOff>
        </xdr:from>
        <xdr:to>
          <xdr:col>2</xdr:col>
          <xdr:colOff>352425</xdr:colOff>
          <xdr:row>117</xdr:row>
          <xdr:rowOff>0</xdr:rowOff>
        </xdr:to>
        <xdr:sp macro="" textlink="">
          <xdr:nvSpPr>
            <xdr:cNvPr id="157100" name="Drop Down 23980" hidden="1">
              <a:extLst>
                <a:ext uri="{63B3BB69-23CF-44E3-9099-C40C66FF867C}">
                  <a14:compatExt spid="_x0000_s157100"/>
                </a:ext>
                <a:ext uri="{FF2B5EF4-FFF2-40B4-BE49-F238E27FC236}">
                  <a16:creationId xmlns:a16="http://schemas.microsoft.com/office/drawing/2014/main" id="{00000000-0008-0000-0100-0000AC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117</xdr:row>
          <xdr:rowOff>9525</xdr:rowOff>
        </xdr:from>
        <xdr:to>
          <xdr:col>2</xdr:col>
          <xdr:colOff>352425</xdr:colOff>
          <xdr:row>118</xdr:row>
          <xdr:rowOff>0</xdr:rowOff>
        </xdr:to>
        <xdr:sp macro="" textlink="">
          <xdr:nvSpPr>
            <xdr:cNvPr id="157103" name="Drop Down 23983" hidden="1">
              <a:extLst>
                <a:ext uri="{63B3BB69-23CF-44E3-9099-C40C66FF867C}">
                  <a14:compatExt spid="_x0000_s157103"/>
                </a:ext>
                <a:ext uri="{FF2B5EF4-FFF2-40B4-BE49-F238E27FC236}">
                  <a16:creationId xmlns:a16="http://schemas.microsoft.com/office/drawing/2014/main" id="{00000000-0008-0000-0100-0000AF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118</xdr:row>
          <xdr:rowOff>9525</xdr:rowOff>
        </xdr:from>
        <xdr:to>
          <xdr:col>2</xdr:col>
          <xdr:colOff>352425</xdr:colOff>
          <xdr:row>119</xdr:row>
          <xdr:rowOff>0</xdr:rowOff>
        </xdr:to>
        <xdr:sp macro="" textlink="">
          <xdr:nvSpPr>
            <xdr:cNvPr id="157106" name="Drop Down 23986" hidden="1">
              <a:extLst>
                <a:ext uri="{63B3BB69-23CF-44E3-9099-C40C66FF867C}">
                  <a14:compatExt spid="_x0000_s157106"/>
                </a:ext>
                <a:ext uri="{FF2B5EF4-FFF2-40B4-BE49-F238E27FC236}">
                  <a16:creationId xmlns:a16="http://schemas.microsoft.com/office/drawing/2014/main" id="{00000000-0008-0000-0100-0000B2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119</xdr:row>
          <xdr:rowOff>9525</xdr:rowOff>
        </xdr:from>
        <xdr:to>
          <xdr:col>2</xdr:col>
          <xdr:colOff>352425</xdr:colOff>
          <xdr:row>120</xdr:row>
          <xdr:rowOff>0</xdr:rowOff>
        </xdr:to>
        <xdr:sp macro="" textlink="">
          <xdr:nvSpPr>
            <xdr:cNvPr id="157109" name="Drop Down 23989" hidden="1">
              <a:extLst>
                <a:ext uri="{63B3BB69-23CF-44E3-9099-C40C66FF867C}">
                  <a14:compatExt spid="_x0000_s157109"/>
                </a:ext>
                <a:ext uri="{FF2B5EF4-FFF2-40B4-BE49-F238E27FC236}">
                  <a16:creationId xmlns:a16="http://schemas.microsoft.com/office/drawing/2014/main" id="{00000000-0008-0000-0100-0000B5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120</xdr:row>
          <xdr:rowOff>9525</xdr:rowOff>
        </xdr:from>
        <xdr:to>
          <xdr:col>2</xdr:col>
          <xdr:colOff>352425</xdr:colOff>
          <xdr:row>121</xdr:row>
          <xdr:rowOff>0</xdr:rowOff>
        </xdr:to>
        <xdr:sp macro="" textlink="">
          <xdr:nvSpPr>
            <xdr:cNvPr id="157112" name="Drop Down 23992" hidden="1">
              <a:extLst>
                <a:ext uri="{63B3BB69-23CF-44E3-9099-C40C66FF867C}">
                  <a14:compatExt spid="_x0000_s157112"/>
                </a:ext>
                <a:ext uri="{FF2B5EF4-FFF2-40B4-BE49-F238E27FC236}">
                  <a16:creationId xmlns:a16="http://schemas.microsoft.com/office/drawing/2014/main" id="{00000000-0008-0000-0100-0000B8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121</xdr:row>
          <xdr:rowOff>9525</xdr:rowOff>
        </xdr:from>
        <xdr:to>
          <xdr:col>2</xdr:col>
          <xdr:colOff>352425</xdr:colOff>
          <xdr:row>122</xdr:row>
          <xdr:rowOff>0</xdr:rowOff>
        </xdr:to>
        <xdr:sp macro="" textlink="">
          <xdr:nvSpPr>
            <xdr:cNvPr id="157115" name="Drop Down 23995" hidden="1">
              <a:extLst>
                <a:ext uri="{63B3BB69-23CF-44E3-9099-C40C66FF867C}">
                  <a14:compatExt spid="_x0000_s157115"/>
                </a:ext>
                <a:ext uri="{FF2B5EF4-FFF2-40B4-BE49-F238E27FC236}">
                  <a16:creationId xmlns:a16="http://schemas.microsoft.com/office/drawing/2014/main" id="{00000000-0008-0000-0100-0000BB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122</xdr:row>
          <xdr:rowOff>9525</xdr:rowOff>
        </xdr:from>
        <xdr:to>
          <xdr:col>2</xdr:col>
          <xdr:colOff>352425</xdr:colOff>
          <xdr:row>123</xdr:row>
          <xdr:rowOff>0</xdr:rowOff>
        </xdr:to>
        <xdr:sp macro="" textlink="">
          <xdr:nvSpPr>
            <xdr:cNvPr id="157118" name="Drop Down 23998" hidden="1">
              <a:extLst>
                <a:ext uri="{63B3BB69-23CF-44E3-9099-C40C66FF867C}">
                  <a14:compatExt spid="_x0000_s157118"/>
                </a:ext>
                <a:ext uri="{FF2B5EF4-FFF2-40B4-BE49-F238E27FC236}">
                  <a16:creationId xmlns:a16="http://schemas.microsoft.com/office/drawing/2014/main" id="{00000000-0008-0000-0100-0000BE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123</xdr:row>
          <xdr:rowOff>9525</xdr:rowOff>
        </xdr:from>
        <xdr:to>
          <xdr:col>2</xdr:col>
          <xdr:colOff>352425</xdr:colOff>
          <xdr:row>124</xdr:row>
          <xdr:rowOff>0</xdr:rowOff>
        </xdr:to>
        <xdr:sp macro="" textlink="">
          <xdr:nvSpPr>
            <xdr:cNvPr id="157121" name="Drop Down 24001" hidden="1">
              <a:extLst>
                <a:ext uri="{63B3BB69-23CF-44E3-9099-C40C66FF867C}">
                  <a14:compatExt spid="_x0000_s157121"/>
                </a:ext>
                <a:ext uri="{FF2B5EF4-FFF2-40B4-BE49-F238E27FC236}">
                  <a16:creationId xmlns:a16="http://schemas.microsoft.com/office/drawing/2014/main" id="{00000000-0008-0000-0100-0000C1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124</xdr:row>
          <xdr:rowOff>9525</xdr:rowOff>
        </xdr:from>
        <xdr:to>
          <xdr:col>2</xdr:col>
          <xdr:colOff>352425</xdr:colOff>
          <xdr:row>125</xdr:row>
          <xdr:rowOff>0</xdr:rowOff>
        </xdr:to>
        <xdr:sp macro="" textlink="">
          <xdr:nvSpPr>
            <xdr:cNvPr id="157124" name="Drop Down 24004" hidden="1">
              <a:extLst>
                <a:ext uri="{63B3BB69-23CF-44E3-9099-C40C66FF867C}">
                  <a14:compatExt spid="_x0000_s157124"/>
                </a:ext>
                <a:ext uri="{FF2B5EF4-FFF2-40B4-BE49-F238E27FC236}">
                  <a16:creationId xmlns:a16="http://schemas.microsoft.com/office/drawing/2014/main" id="{00000000-0008-0000-0100-0000C4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125</xdr:row>
          <xdr:rowOff>9525</xdr:rowOff>
        </xdr:from>
        <xdr:to>
          <xdr:col>2</xdr:col>
          <xdr:colOff>352425</xdr:colOff>
          <xdr:row>126</xdr:row>
          <xdr:rowOff>0</xdr:rowOff>
        </xdr:to>
        <xdr:sp macro="" textlink="">
          <xdr:nvSpPr>
            <xdr:cNvPr id="157127" name="Drop Down 24007" hidden="1">
              <a:extLst>
                <a:ext uri="{63B3BB69-23CF-44E3-9099-C40C66FF867C}">
                  <a14:compatExt spid="_x0000_s157127"/>
                </a:ext>
                <a:ext uri="{FF2B5EF4-FFF2-40B4-BE49-F238E27FC236}">
                  <a16:creationId xmlns:a16="http://schemas.microsoft.com/office/drawing/2014/main" id="{00000000-0008-0000-0100-0000C7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126</xdr:row>
          <xdr:rowOff>9525</xdr:rowOff>
        </xdr:from>
        <xdr:to>
          <xdr:col>2</xdr:col>
          <xdr:colOff>352425</xdr:colOff>
          <xdr:row>127</xdr:row>
          <xdr:rowOff>0</xdr:rowOff>
        </xdr:to>
        <xdr:sp macro="" textlink="">
          <xdr:nvSpPr>
            <xdr:cNvPr id="157130" name="Drop Down 24010" hidden="1">
              <a:extLst>
                <a:ext uri="{63B3BB69-23CF-44E3-9099-C40C66FF867C}">
                  <a14:compatExt spid="_x0000_s157130"/>
                </a:ext>
                <a:ext uri="{FF2B5EF4-FFF2-40B4-BE49-F238E27FC236}">
                  <a16:creationId xmlns:a16="http://schemas.microsoft.com/office/drawing/2014/main" id="{00000000-0008-0000-0100-0000CA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127</xdr:row>
          <xdr:rowOff>9525</xdr:rowOff>
        </xdr:from>
        <xdr:to>
          <xdr:col>2</xdr:col>
          <xdr:colOff>352425</xdr:colOff>
          <xdr:row>128</xdr:row>
          <xdr:rowOff>0</xdr:rowOff>
        </xdr:to>
        <xdr:sp macro="" textlink="">
          <xdr:nvSpPr>
            <xdr:cNvPr id="157133" name="Drop Down 24013" hidden="1">
              <a:extLst>
                <a:ext uri="{63B3BB69-23CF-44E3-9099-C40C66FF867C}">
                  <a14:compatExt spid="_x0000_s157133"/>
                </a:ext>
                <a:ext uri="{FF2B5EF4-FFF2-40B4-BE49-F238E27FC236}">
                  <a16:creationId xmlns:a16="http://schemas.microsoft.com/office/drawing/2014/main" id="{00000000-0008-0000-0100-0000CD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128</xdr:row>
          <xdr:rowOff>9525</xdr:rowOff>
        </xdr:from>
        <xdr:to>
          <xdr:col>2</xdr:col>
          <xdr:colOff>352425</xdr:colOff>
          <xdr:row>129</xdr:row>
          <xdr:rowOff>0</xdr:rowOff>
        </xdr:to>
        <xdr:sp macro="" textlink="">
          <xdr:nvSpPr>
            <xdr:cNvPr id="157136" name="Drop Down 24016" hidden="1">
              <a:extLst>
                <a:ext uri="{63B3BB69-23CF-44E3-9099-C40C66FF867C}">
                  <a14:compatExt spid="_x0000_s157136"/>
                </a:ext>
                <a:ext uri="{FF2B5EF4-FFF2-40B4-BE49-F238E27FC236}">
                  <a16:creationId xmlns:a16="http://schemas.microsoft.com/office/drawing/2014/main" id="{00000000-0008-0000-0100-0000D0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129</xdr:row>
          <xdr:rowOff>9525</xdr:rowOff>
        </xdr:from>
        <xdr:to>
          <xdr:col>2</xdr:col>
          <xdr:colOff>352425</xdr:colOff>
          <xdr:row>130</xdr:row>
          <xdr:rowOff>0</xdr:rowOff>
        </xdr:to>
        <xdr:sp macro="" textlink="">
          <xdr:nvSpPr>
            <xdr:cNvPr id="157139" name="Drop Down 24019" hidden="1">
              <a:extLst>
                <a:ext uri="{63B3BB69-23CF-44E3-9099-C40C66FF867C}">
                  <a14:compatExt spid="_x0000_s157139"/>
                </a:ext>
                <a:ext uri="{FF2B5EF4-FFF2-40B4-BE49-F238E27FC236}">
                  <a16:creationId xmlns:a16="http://schemas.microsoft.com/office/drawing/2014/main" id="{00000000-0008-0000-0100-0000D3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309</xdr:row>
          <xdr:rowOff>9525</xdr:rowOff>
        </xdr:from>
        <xdr:to>
          <xdr:col>4</xdr:col>
          <xdr:colOff>381000</xdr:colOff>
          <xdr:row>310</xdr:row>
          <xdr:rowOff>0</xdr:rowOff>
        </xdr:to>
        <xdr:sp macro="" textlink="">
          <xdr:nvSpPr>
            <xdr:cNvPr id="157272" name="Check Box 24152" hidden="1">
              <a:extLst>
                <a:ext uri="{63B3BB69-23CF-44E3-9099-C40C66FF867C}">
                  <a14:compatExt spid="_x0000_s157272"/>
                </a:ext>
                <a:ext uri="{FF2B5EF4-FFF2-40B4-BE49-F238E27FC236}">
                  <a16:creationId xmlns:a16="http://schemas.microsoft.com/office/drawing/2014/main" id="{00000000-0008-0000-0100-000058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310</xdr:row>
          <xdr:rowOff>9525</xdr:rowOff>
        </xdr:from>
        <xdr:to>
          <xdr:col>4</xdr:col>
          <xdr:colOff>381000</xdr:colOff>
          <xdr:row>311</xdr:row>
          <xdr:rowOff>0</xdr:rowOff>
        </xdr:to>
        <xdr:sp macro="" textlink="">
          <xdr:nvSpPr>
            <xdr:cNvPr id="157273" name="Check Box 24153" hidden="1">
              <a:extLst>
                <a:ext uri="{63B3BB69-23CF-44E3-9099-C40C66FF867C}">
                  <a14:compatExt spid="_x0000_s157273"/>
                </a:ext>
                <a:ext uri="{FF2B5EF4-FFF2-40B4-BE49-F238E27FC236}">
                  <a16:creationId xmlns:a16="http://schemas.microsoft.com/office/drawing/2014/main" id="{00000000-0008-0000-0100-000059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310</xdr:row>
          <xdr:rowOff>9525</xdr:rowOff>
        </xdr:from>
        <xdr:to>
          <xdr:col>4</xdr:col>
          <xdr:colOff>381000</xdr:colOff>
          <xdr:row>311</xdr:row>
          <xdr:rowOff>0</xdr:rowOff>
        </xdr:to>
        <xdr:sp macro="" textlink="">
          <xdr:nvSpPr>
            <xdr:cNvPr id="157274" name="Check Box 24154" hidden="1">
              <a:extLst>
                <a:ext uri="{63B3BB69-23CF-44E3-9099-C40C66FF867C}">
                  <a14:compatExt spid="_x0000_s157274"/>
                </a:ext>
                <a:ext uri="{FF2B5EF4-FFF2-40B4-BE49-F238E27FC236}">
                  <a16:creationId xmlns:a16="http://schemas.microsoft.com/office/drawing/2014/main" id="{00000000-0008-0000-0100-00005A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311</xdr:row>
          <xdr:rowOff>9525</xdr:rowOff>
        </xdr:from>
        <xdr:to>
          <xdr:col>4</xdr:col>
          <xdr:colOff>381000</xdr:colOff>
          <xdr:row>312</xdr:row>
          <xdr:rowOff>0</xdr:rowOff>
        </xdr:to>
        <xdr:sp macro="" textlink="">
          <xdr:nvSpPr>
            <xdr:cNvPr id="157275" name="Check Box 24155" hidden="1">
              <a:extLst>
                <a:ext uri="{63B3BB69-23CF-44E3-9099-C40C66FF867C}">
                  <a14:compatExt spid="_x0000_s157275"/>
                </a:ext>
                <a:ext uri="{FF2B5EF4-FFF2-40B4-BE49-F238E27FC236}">
                  <a16:creationId xmlns:a16="http://schemas.microsoft.com/office/drawing/2014/main" id="{00000000-0008-0000-0100-00005B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311</xdr:row>
          <xdr:rowOff>9525</xdr:rowOff>
        </xdr:from>
        <xdr:to>
          <xdr:col>4</xdr:col>
          <xdr:colOff>381000</xdr:colOff>
          <xdr:row>312</xdr:row>
          <xdr:rowOff>0</xdr:rowOff>
        </xdr:to>
        <xdr:sp macro="" textlink="">
          <xdr:nvSpPr>
            <xdr:cNvPr id="157276" name="Check Box 24156" hidden="1">
              <a:extLst>
                <a:ext uri="{63B3BB69-23CF-44E3-9099-C40C66FF867C}">
                  <a14:compatExt spid="_x0000_s157276"/>
                </a:ext>
                <a:ext uri="{FF2B5EF4-FFF2-40B4-BE49-F238E27FC236}">
                  <a16:creationId xmlns:a16="http://schemas.microsoft.com/office/drawing/2014/main" id="{00000000-0008-0000-0100-00005C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311</xdr:row>
          <xdr:rowOff>9525</xdr:rowOff>
        </xdr:from>
        <xdr:to>
          <xdr:col>4</xdr:col>
          <xdr:colOff>381000</xdr:colOff>
          <xdr:row>312</xdr:row>
          <xdr:rowOff>0</xdr:rowOff>
        </xdr:to>
        <xdr:sp macro="" textlink="">
          <xdr:nvSpPr>
            <xdr:cNvPr id="157277" name="Check Box 24157" hidden="1">
              <a:extLst>
                <a:ext uri="{63B3BB69-23CF-44E3-9099-C40C66FF867C}">
                  <a14:compatExt spid="_x0000_s157277"/>
                </a:ext>
                <a:ext uri="{FF2B5EF4-FFF2-40B4-BE49-F238E27FC236}">
                  <a16:creationId xmlns:a16="http://schemas.microsoft.com/office/drawing/2014/main" id="{00000000-0008-0000-0100-00005D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312</xdr:row>
          <xdr:rowOff>9525</xdr:rowOff>
        </xdr:from>
        <xdr:to>
          <xdr:col>4</xdr:col>
          <xdr:colOff>381000</xdr:colOff>
          <xdr:row>313</xdr:row>
          <xdr:rowOff>0</xdr:rowOff>
        </xdr:to>
        <xdr:sp macro="" textlink="">
          <xdr:nvSpPr>
            <xdr:cNvPr id="157278" name="Check Box 24158" hidden="1">
              <a:extLst>
                <a:ext uri="{63B3BB69-23CF-44E3-9099-C40C66FF867C}">
                  <a14:compatExt spid="_x0000_s157278"/>
                </a:ext>
                <a:ext uri="{FF2B5EF4-FFF2-40B4-BE49-F238E27FC236}">
                  <a16:creationId xmlns:a16="http://schemas.microsoft.com/office/drawing/2014/main" id="{00000000-0008-0000-0100-00005E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312</xdr:row>
          <xdr:rowOff>9525</xdr:rowOff>
        </xdr:from>
        <xdr:to>
          <xdr:col>4</xdr:col>
          <xdr:colOff>381000</xdr:colOff>
          <xdr:row>313</xdr:row>
          <xdr:rowOff>0</xdr:rowOff>
        </xdr:to>
        <xdr:sp macro="" textlink="">
          <xdr:nvSpPr>
            <xdr:cNvPr id="157279" name="Check Box 24159" hidden="1">
              <a:extLst>
                <a:ext uri="{63B3BB69-23CF-44E3-9099-C40C66FF867C}">
                  <a14:compatExt spid="_x0000_s157279"/>
                </a:ext>
                <a:ext uri="{FF2B5EF4-FFF2-40B4-BE49-F238E27FC236}">
                  <a16:creationId xmlns:a16="http://schemas.microsoft.com/office/drawing/2014/main" id="{00000000-0008-0000-0100-00005F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312</xdr:row>
          <xdr:rowOff>9525</xdr:rowOff>
        </xdr:from>
        <xdr:to>
          <xdr:col>4</xdr:col>
          <xdr:colOff>381000</xdr:colOff>
          <xdr:row>313</xdr:row>
          <xdr:rowOff>0</xdr:rowOff>
        </xdr:to>
        <xdr:sp macro="" textlink="">
          <xdr:nvSpPr>
            <xdr:cNvPr id="157280" name="Check Box 24160" hidden="1">
              <a:extLst>
                <a:ext uri="{63B3BB69-23CF-44E3-9099-C40C66FF867C}">
                  <a14:compatExt spid="_x0000_s157280"/>
                </a:ext>
                <a:ext uri="{FF2B5EF4-FFF2-40B4-BE49-F238E27FC236}">
                  <a16:creationId xmlns:a16="http://schemas.microsoft.com/office/drawing/2014/main" id="{00000000-0008-0000-0100-000060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313</xdr:row>
          <xdr:rowOff>9525</xdr:rowOff>
        </xdr:from>
        <xdr:to>
          <xdr:col>4</xdr:col>
          <xdr:colOff>381000</xdr:colOff>
          <xdr:row>314</xdr:row>
          <xdr:rowOff>0</xdr:rowOff>
        </xdr:to>
        <xdr:sp macro="" textlink="">
          <xdr:nvSpPr>
            <xdr:cNvPr id="157281" name="Check Box 24161" hidden="1">
              <a:extLst>
                <a:ext uri="{63B3BB69-23CF-44E3-9099-C40C66FF867C}">
                  <a14:compatExt spid="_x0000_s157281"/>
                </a:ext>
                <a:ext uri="{FF2B5EF4-FFF2-40B4-BE49-F238E27FC236}">
                  <a16:creationId xmlns:a16="http://schemas.microsoft.com/office/drawing/2014/main" id="{00000000-0008-0000-0100-000061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313</xdr:row>
          <xdr:rowOff>9525</xdr:rowOff>
        </xdr:from>
        <xdr:to>
          <xdr:col>4</xdr:col>
          <xdr:colOff>381000</xdr:colOff>
          <xdr:row>314</xdr:row>
          <xdr:rowOff>0</xdr:rowOff>
        </xdr:to>
        <xdr:sp macro="" textlink="">
          <xdr:nvSpPr>
            <xdr:cNvPr id="157282" name="Check Box 24162" hidden="1">
              <a:extLst>
                <a:ext uri="{63B3BB69-23CF-44E3-9099-C40C66FF867C}">
                  <a14:compatExt spid="_x0000_s157282"/>
                </a:ext>
                <a:ext uri="{FF2B5EF4-FFF2-40B4-BE49-F238E27FC236}">
                  <a16:creationId xmlns:a16="http://schemas.microsoft.com/office/drawing/2014/main" id="{00000000-0008-0000-0100-000062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313</xdr:row>
          <xdr:rowOff>9525</xdr:rowOff>
        </xdr:from>
        <xdr:to>
          <xdr:col>4</xdr:col>
          <xdr:colOff>381000</xdr:colOff>
          <xdr:row>314</xdr:row>
          <xdr:rowOff>0</xdr:rowOff>
        </xdr:to>
        <xdr:sp macro="" textlink="">
          <xdr:nvSpPr>
            <xdr:cNvPr id="157283" name="Check Box 24163" hidden="1">
              <a:extLst>
                <a:ext uri="{63B3BB69-23CF-44E3-9099-C40C66FF867C}">
                  <a14:compatExt spid="_x0000_s157283"/>
                </a:ext>
                <a:ext uri="{FF2B5EF4-FFF2-40B4-BE49-F238E27FC236}">
                  <a16:creationId xmlns:a16="http://schemas.microsoft.com/office/drawing/2014/main" id="{00000000-0008-0000-0100-000063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314</xdr:row>
          <xdr:rowOff>9525</xdr:rowOff>
        </xdr:from>
        <xdr:to>
          <xdr:col>4</xdr:col>
          <xdr:colOff>381000</xdr:colOff>
          <xdr:row>315</xdr:row>
          <xdr:rowOff>0</xdr:rowOff>
        </xdr:to>
        <xdr:sp macro="" textlink="">
          <xdr:nvSpPr>
            <xdr:cNvPr id="157284" name="Check Box 24164" hidden="1">
              <a:extLst>
                <a:ext uri="{63B3BB69-23CF-44E3-9099-C40C66FF867C}">
                  <a14:compatExt spid="_x0000_s157284"/>
                </a:ext>
                <a:ext uri="{FF2B5EF4-FFF2-40B4-BE49-F238E27FC236}">
                  <a16:creationId xmlns:a16="http://schemas.microsoft.com/office/drawing/2014/main" id="{00000000-0008-0000-0100-000064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314</xdr:row>
          <xdr:rowOff>9525</xdr:rowOff>
        </xdr:from>
        <xdr:to>
          <xdr:col>4</xdr:col>
          <xdr:colOff>381000</xdr:colOff>
          <xdr:row>315</xdr:row>
          <xdr:rowOff>0</xdr:rowOff>
        </xdr:to>
        <xdr:sp macro="" textlink="">
          <xdr:nvSpPr>
            <xdr:cNvPr id="157285" name="Check Box 24165" hidden="1">
              <a:extLst>
                <a:ext uri="{63B3BB69-23CF-44E3-9099-C40C66FF867C}">
                  <a14:compatExt spid="_x0000_s157285"/>
                </a:ext>
                <a:ext uri="{FF2B5EF4-FFF2-40B4-BE49-F238E27FC236}">
                  <a16:creationId xmlns:a16="http://schemas.microsoft.com/office/drawing/2014/main" id="{00000000-0008-0000-0100-000065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314</xdr:row>
          <xdr:rowOff>9525</xdr:rowOff>
        </xdr:from>
        <xdr:to>
          <xdr:col>4</xdr:col>
          <xdr:colOff>381000</xdr:colOff>
          <xdr:row>315</xdr:row>
          <xdr:rowOff>0</xdr:rowOff>
        </xdr:to>
        <xdr:sp macro="" textlink="">
          <xdr:nvSpPr>
            <xdr:cNvPr id="157286" name="Check Box 24166" hidden="1">
              <a:extLst>
                <a:ext uri="{63B3BB69-23CF-44E3-9099-C40C66FF867C}">
                  <a14:compatExt spid="_x0000_s157286"/>
                </a:ext>
                <a:ext uri="{FF2B5EF4-FFF2-40B4-BE49-F238E27FC236}">
                  <a16:creationId xmlns:a16="http://schemas.microsoft.com/office/drawing/2014/main" id="{00000000-0008-0000-0100-000066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315</xdr:row>
          <xdr:rowOff>9525</xdr:rowOff>
        </xdr:from>
        <xdr:to>
          <xdr:col>4</xdr:col>
          <xdr:colOff>381000</xdr:colOff>
          <xdr:row>316</xdr:row>
          <xdr:rowOff>0</xdr:rowOff>
        </xdr:to>
        <xdr:sp macro="" textlink="">
          <xdr:nvSpPr>
            <xdr:cNvPr id="157287" name="Check Box 24167" hidden="1">
              <a:extLst>
                <a:ext uri="{63B3BB69-23CF-44E3-9099-C40C66FF867C}">
                  <a14:compatExt spid="_x0000_s157287"/>
                </a:ext>
                <a:ext uri="{FF2B5EF4-FFF2-40B4-BE49-F238E27FC236}">
                  <a16:creationId xmlns:a16="http://schemas.microsoft.com/office/drawing/2014/main" id="{00000000-0008-0000-0100-000067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315</xdr:row>
          <xdr:rowOff>9525</xdr:rowOff>
        </xdr:from>
        <xdr:to>
          <xdr:col>4</xdr:col>
          <xdr:colOff>381000</xdr:colOff>
          <xdr:row>316</xdr:row>
          <xdr:rowOff>0</xdr:rowOff>
        </xdr:to>
        <xdr:sp macro="" textlink="">
          <xdr:nvSpPr>
            <xdr:cNvPr id="157288" name="Check Box 24168" hidden="1">
              <a:extLst>
                <a:ext uri="{63B3BB69-23CF-44E3-9099-C40C66FF867C}">
                  <a14:compatExt spid="_x0000_s157288"/>
                </a:ext>
                <a:ext uri="{FF2B5EF4-FFF2-40B4-BE49-F238E27FC236}">
                  <a16:creationId xmlns:a16="http://schemas.microsoft.com/office/drawing/2014/main" id="{00000000-0008-0000-0100-000068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315</xdr:row>
          <xdr:rowOff>9525</xdr:rowOff>
        </xdr:from>
        <xdr:to>
          <xdr:col>4</xdr:col>
          <xdr:colOff>381000</xdr:colOff>
          <xdr:row>316</xdr:row>
          <xdr:rowOff>0</xdr:rowOff>
        </xdr:to>
        <xdr:sp macro="" textlink="">
          <xdr:nvSpPr>
            <xdr:cNvPr id="157289" name="Check Box 24169" hidden="1">
              <a:extLst>
                <a:ext uri="{63B3BB69-23CF-44E3-9099-C40C66FF867C}">
                  <a14:compatExt spid="_x0000_s157289"/>
                </a:ext>
                <a:ext uri="{FF2B5EF4-FFF2-40B4-BE49-F238E27FC236}">
                  <a16:creationId xmlns:a16="http://schemas.microsoft.com/office/drawing/2014/main" id="{00000000-0008-0000-0100-000069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316</xdr:row>
          <xdr:rowOff>9525</xdr:rowOff>
        </xdr:from>
        <xdr:to>
          <xdr:col>4</xdr:col>
          <xdr:colOff>381000</xdr:colOff>
          <xdr:row>317</xdr:row>
          <xdr:rowOff>0</xdr:rowOff>
        </xdr:to>
        <xdr:sp macro="" textlink="">
          <xdr:nvSpPr>
            <xdr:cNvPr id="157290" name="Check Box 24170" hidden="1">
              <a:extLst>
                <a:ext uri="{63B3BB69-23CF-44E3-9099-C40C66FF867C}">
                  <a14:compatExt spid="_x0000_s157290"/>
                </a:ext>
                <a:ext uri="{FF2B5EF4-FFF2-40B4-BE49-F238E27FC236}">
                  <a16:creationId xmlns:a16="http://schemas.microsoft.com/office/drawing/2014/main" id="{00000000-0008-0000-0100-00006A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316</xdr:row>
          <xdr:rowOff>9525</xdr:rowOff>
        </xdr:from>
        <xdr:to>
          <xdr:col>4</xdr:col>
          <xdr:colOff>381000</xdr:colOff>
          <xdr:row>317</xdr:row>
          <xdr:rowOff>0</xdr:rowOff>
        </xdr:to>
        <xdr:sp macro="" textlink="">
          <xdr:nvSpPr>
            <xdr:cNvPr id="157291" name="Check Box 24171" hidden="1">
              <a:extLst>
                <a:ext uri="{63B3BB69-23CF-44E3-9099-C40C66FF867C}">
                  <a14:compatExt spid="_x0000_s157291"/>
                </a:ext>
                <a:ext uri="{FF2B5EF4-FFF2-40B4-BE49-F238E27FC236}">
                  <a16:creationId xmlns:a16="http://schemas.microsoft.com/office/drawing/2014/main" id="{00000000-0008-0000-0100-00006B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316</xdr:row>
          <xdr:rowOff>9525</xdr:rowOff>
        </xdr:from>
        <xdr:to>
          <xdr:col>4</xdr:col>
          <xdr:colOff>381000</xdr:colOff>
          <xdr:row>317</xdr:row>
          <xdr:rowOff>0</xdr:rowOff>
        </xdr:to>
        <xdr:sp macro="" textlink="">
          <xdr:nvSpPr>
            <xdr:cNvPr id="157292" name="Check Box 24172" hidden="1">
              <a:extLst>
                <a:ext uri="{63B3BB69-23CF-44E3-9099-C40C66FF867C}">
                  <a14:compatExt spid="_x0000_s157292"/>
                </a:ext>
                <a:ext uri="{FF2B5EF4-FFF2-40B4-BE49-F238E27FC236}">
                  <a16:creationId xmlns:a16="http://schemas.microsoft.com/office/drawing/2014/main" id="{00000000-0008-0000-0100-00006C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317</xdr:row>
          <xdr:rowOff>9525</xdr:rowOff>
        </xdr:from>
        <xdr:to>
          <xdr:col>4</xdr:col>
          <xdr:colOff>381000</xdr:colOff>
          <xdr:row>318</xdr:row>
          <xdr:rowOff>0</xdr:rowOff>
        </xdr:to>
        <xdr:sp macro="" textlink="">
          <xdr:nvSpPr>
            <xdr:cNvPr id="157293" name="Check Box 24173" hidden="1">
              <a:extLst>
                <a:ext uri="{63B3BB69-23CF-44E3-9099-C40C66FF867C}">
                  <a14:compatExt spid="_x0000_s157293"/>
                </a:ext>
                <a:ext uri="{FF2B5EF4-FFF2-40B4-BE49-F238E27FC236}">
                  <a16:creationId xmlns:a16="http://schemas.microsoft.com/office/drawing/2014/main" id="{00000000-0008-0000-0100-00006D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317</xdr:row>
          <xdr:rowOff>9525</xdr:rowOff>
        </xdr:from>
        <xdr:to>
          <xdr:col>4</xdr:col>
          <xdr:colOff>381000</xdr:colOff>
          <xdr:row>318</xdr:row>
          <xdr:rowOff>0</xdr:rowOff>
        </xdr:to>
        <xdr:sp macro="" textlink="">
          <xdr:nvSpPr>
            <xdr:cNvPr id="157294" name="Check Box 24174" hidden="1">
              <a:extLst>
                <a:ext uri="{63B3BB69-23CF-44E3-9099-C40C66FF867C}">
                  <a14:compatExt spid="_x0000_s157294"/>
                </a:ext>
                <a:ext uri="{FF2B5EF4-FFF2-40B4-BE49-F238E27FC236}">
                  <a16:creationId xmlns:a16="http://schemas.microsoft.com/office/drawing/2014/main" id="{00000000-0008-0000-0100-00006E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317</xdr:row>
          <xdr:rowOff>9525</xdr:rowOff>
        </xdr:from>
        <xdr:to>
          <xdr:col>4</xdr:col>
          <xdr:colOff>381000</xdr:colOff>
          <xdr:row>318</xdr:row>
          <xdr:rowOff>0</xdr:rowOff>
        </xdr:to>
        <xdr:sp macro="" textlink="">
          <xdr:nvSpPr>
            <xdr:cNvPr id="157295" name="Check Box 24175" hidden="1">
              <a:extLst>
                <a:ext uri="{63B3BB69-23CF-44E3-9099-C40C66FF867C}">
                  <a14:compatExt spid="_x0000_s157295"/>
                </a:ext>
                <a:ext uri="{FF2B5EF4-FFF2-40B4-BE49-F238E27FC236}">
                  <a16:creationId xmlns:a16="http://schemas.microsoft.com/office/drawing/2014/main" id="{00000000-0008-0000-0100-00006F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318</xdr:row>
          <xdr:rowOff>9525</xdr:rowOff>
        </xdr:from>
        <xdr:to>
          <xdr:col>4</xdr:col>
          <xdr:colOff>381000</xdr:colOff>
          <xdr:row>319</xdr:row>
          <xdr:rowOff>0</xdr:rowOff>
        </xdr:to>
        <xdr:sp macro="" textlink="">
          <xdr:nvSpPr>
            <xdr:cNvPr id="157296" name="Check Box 24176" hidden="1">
              <a:extLst>
                <a:ext uri="{63B3BB69-23CF-44E3-9099-C40C66FF867C}">
                  <a14:compatExt spid="_x0000_s157296"/>
                </a:ext>
                <a:ext uri="{FF2B5EF4-FFF2-40B4-BE49-F238E27FC236}">
                  <a16:creationId xmlns:a16="http://schemas.microsoft.com/office/drawing/2014/main" id="{00000000-0008-0000-0100-000070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318</xdr:row>
          <xdr:rowOff>9525</xdr:rowOff>
        </xdr:from>
        <xdr:to>
          <xdr:col>4</xdr:col>
          <xdr:colOff>381000</xdr:colOff>
          <xdr:row>319</xdr:row>
          <xdr:rowOff>0</xdr:rowOff>
        </xdr:to>
        <xdr:sp macro="" textlink="">
          <xdr:nvSpPr>
            <xdr:cNvPr id="157297" name="Check Box 24177" hidden="1">
              <a:extLst>
                <a:ext uri="{63B3BB69-23CF-44E3-9099-C40C66FF867C}">
                  <a14:compatExt spid="_x0000_s157297"/>
                </a:ext>
                <a:ext uri="{FF2B5EF4-FFF2-40B4-BE49-F238E27FC236}">
                  <a16:creationId xmlns:a16="http://schemas.microsoft.com/office/drawing/2014/main" id="{00000000-0008-0000-0100-000071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318</xdr:row>
          <xdr:rowOff>9525</xdr:rowOff>
        </xdr:from>
        <xdr:to>
          <xdr:col>4</xdr:col>
          <xdr:colOff>381000</xdr:colOff>
          <xdr:row>319</xdr:row>
          <xdr:rowOff>0</xdr:rowOff>
        </xdr:to>
        <xdr:sp macro="" textlink="">
          <xdr:nvSpPr>
            <xdr:cNvPr id="157298" name="Check Box 24178" hidden="1">
              <a:extLst>
                <a:ext uri="{63B3BB69-23CF-44E3-9099-C40C66FF867C}">
                  <a14:compatExt spid="_x0000_s157298"/>
                </a:ext>
                <a:ext uri="{FF2B5EF4-FFF2-40B4-BE49-F238E27FC236}">
                  <a16:creationId xmlns:a16="http://schemas.microsoft.com/office/drawing/2014/main" id="{00000000-0008-0000-0100-000072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319</xdr:row>
          <xdr:rowOff>9525</xdr:rowOff>
        </xdr:from>
        <xdr:to>
          <xdr:col>4</xdr:col>
          <xdr:colOff>381000</xdr:colOff>
          <xdr:row>320</xdr:row>
          <xdr:rowOff>0</xdr:rowOff>
        </xdr:to>
        <xdr:sp macro="" textlink="">
          <xdr:nvSpPr>
            <xdr:cNvPr id="157299" name="Check Box 24179" hidden="1">
              <a:extLst>
                <a:ext uri="{63B3BB69-23CF-44E3-9099-C40C66FF867C}">
                  <a14:compatExt spid="_x0000_s157299"/>
                </a:ext>
                <a:ext uri="{FF2B5EF4-FFF2-40B4-BE49-F238E27FC236}">
                  <a16:creationId xmlns:a16="http://schemas.microsoft.com/office/drawing/2014/main" id="{00000000-0008-0000-0100-000073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319</xdr:row>
          <xdr:rowOff>9525</xdr:rowOff>
        </xdr:from>
        <xdr:to>
          <xdr:col>4</xdr:col>
          <xdr:colOff>381000</xdr:colOff>
          <xdr:row>320</xdr:row>
          <xdr:rowOff>0</xdr:rowOff>
        </xdr:to>
        <xdr:sp macro="" textlink="">
          <xdr:nvSpPr>
            <xdr:cNvPr id="157300" name="Check Box 24180" hidden="1">
              <a:extLst>
                <a:ext uri="{63B3BB69-23CF-44E3-9099-C40C66FF867C}">
                  <a14:compatExt spid="_x0000_s157300"/>
                </a:ext>
                <a:ext uri="{FF2B5EF4-FFF2-40B4-BE49-F238E27FC236}">
                  <a16:creationId xmlns:a16="http://schemas.microsoft.com/office/drawing/2014/main" id="{00000000-0008-0000-0100-000074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319</xdr:row>
          <xdr:rowOff>9525</xdr:rowOff>
        </xdr:from>
        <xdr:to>
          <xdr:col>4</xdr:col>
          <xdr:colOff>381000</xdr:colOff>
          <xdr:row>320</xdr:row>
          <xdr:rowOff>0</xdr:rowOff>
        </xdr:to>
        <xdr:sp macro="" textlink="">
          <xdr:nvSpPr>
            <xdr:cNvPr id="157301" name="Check Box 24181" hidden="1">
              <a:extLst>
                <a:ext uri="{63B3BB69-23CF-44E3-9099-C40C66FF867C}">
                  <a14:compatExt spid="_x0000_s157301"/>
                </a:ext>
                <a:ext uri="{FF2B5EF4-FFF2-40B4-BE49-F238E27FC236}">
                  <a16:creationId xmlns:a16="http://schemas.microsoft.com/office/drawing/2014/main" id="{00000000-0008-0000-0100-000075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320</xdr:row>
          <xdr:rowOff>9525</xdr:rowOff>
        </xdr:from>
        <xdr:to>
          <xdr:col>4</xdr:col>
          <xdr:colOff>381000</xdr:colOff>
          <xdr:row>321</xdr:row>
          <xdr:rowOff>0</xdr:rowOff>
        </xdr:to>
        <xdr:sp macro="" textlink="">
          <xdr:nvSpPr>
            <xdr:cNvPr id="157302" name="Check Box 24182" hidden="1">
              <a:extLst>
                <a:ext uri="{63B3BB69-23CF-44E3-9099-C40C66FF867C}">
                  <a14:compatExt spid="_x0000_s157302"/>
                </a:ext>
                <a:ext uri="{FF2B5EF4-FFF2-40B4-BE49-F238E27FC236}">
                  <a16:creationId xmlns:a16="http://schemas.microsoft.com/office/drawing/2014/main" id="{00000000-0008-0000-0100-000076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320</xdr:row>
          <xdr:rowOff>9525</xdr:rowOff>
        </xdr:from>
        <xdr:to>
          <xdr:col>4</xdr:col>
          <xdr:colOff>381000</xdr:colOff>
          <xdr:row>321</xdr:row>
          <xdr:rowOff>0</xdr:rowOff>
        </xdr:to>
        <xdr:sp macro="" textlink="">
          <xdr:nvSpPr>
            <xdr:cNvPr id="157303" name="Check Box 24183" hidden="1">
              <a:extLst>
                <a:ext uri="{63B3BB69-23CF-44E3-9099-C40C66FF867C}">
                  <a14:compatExt spid="_x0000_s157303"/>
                </a:ext>
                <a:ext uri="{FF2B5EF4-FFF2-40B4-BE49-F238E27FC236}">
                  <a16:creationId xmlns:a16="http://schemas.microsoft.com/office/drawing/2014/main" id="{00000000-0008-0000-0100-000077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320</xdr:row>
          <xdr:rowOff>9525</xdr:rowOff>
        </xdr:from>
        <xdr:to>
          <xdr:col>4</xdr:col>
          <xdr:colOff>381000</xdr:colOff>
          <xdr:row>321</xdr:row>
          <xdr:rowOff>0</xdr:rowOff>
        </xdr:to>
        <xdr:sp macro="" textlink="">
          <xdr:nvSpPr>
            <xdr:cNvPr id="157304" name="Check Box 24184" hidden="1">
              <a:extLst>
                <a:ext uri="{63B3BB69-23CF-44E3-9099-C40C66FF867C}">
                  <a14:compatExt spid="_x0000_s157304"/>
                </a:ext>
                <a:ext uri="{FF2B5EF4-FFF2-40B4-BE49-F238E27FC236}">
                  <a16:creationId xmlns:a16="http://schemas.microsoft.com/office/drawing/2014/main" id="{00000000-0008-0000-0100-000078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321</xdr:row>
          <xdr:rowOff>9525</xdr:rowOff>
        </xdr:from>
        <xdr:to>
          <xdr:col>4</xdr:col>
          <xdr:colOff>381000</xdr:colOff>
          <xdr:row>322</xdr:row>
          <xdr:rowOff>0</xdr:rowOff>
        </xdr:to>
        <xdr:sp macro="" textlink="">
          <xdr:nvSpPr>
            <xdr:cNvPr id="157305" name="Check Box 24185" hidden="1">
              <a:extLst>
                <a:ext uri="{63B3BB69-23CF-44E3-9099-C40C66FF867C}">
                  <a14:compatExt spid="_x0000_s157305"/>
                </a:ext>
                <a:ext uri="{FF2B5EF4-FFF2-40B4-BE49-F238E27FC236}">
                  <a16:creationId xmlns:a16="http://schemas.microsoft.com/office/drawing/2014/main" id="{00000000-0008-0000-0100-000079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321</xdr:row>
          <xdr:rowOff>9525</xdr:rowOff>
        </xdr:from>
        <xdr:to>
          <xdr:col>4</xdr:col>
          <xdr:colOff>381000</xdr:colOff>
          <xdr:row>322</xdr:row>
          <xdr:rowOff>0</xdr:rowOff>
        </xdr:to>
        <xdr:sp macro="" textlink="">
          <xdr:nvSpPr>
            <xdr:cNvPr id="157306" name="Check Box 24186" hidden="1">
              <a:extLst>
                <a:ext uri="{63B3BB69-23CF-44E3-9099-C40C66FF867C}">
                  <a14:compatExt spid="_x0000_s157306"/>
                </a:ext>
                <a:ext uri="{FF2B5EF4-FFF2-40B4-BE49-F238E27FC236}">
                  <a16:creationId xmlns:a16="http://schemas.microsoft.com/office/drawing/2014/main" id="{00000000-0008-0000-0100-00007A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321</xdr:row>
          <xdr:rowOff>9525</xdr:rowOff>
        </xdr:from>
        <xdr:to>
          <xdr:col>4</xdr:col>
          <xdr:colOff>381000</xdr:colOff>
          <xdr:row>322</xdr:row>
          <xdr:rowOff>0</xdr:rowOff>
        </xdr:to>
        <xdr:sp macro="" textlink="">
          <xdr:nvSpPr>
            <xdr:cNvPr id="157307" name="Check Box 24187" hidden="1">
              <a:extLst>
                <a:ext uri="{63B3BB69-23CF-44E3-9099-C40C66FF867C}">
                  <a14:compatExt spid="_x0000_s157307"/>
                </a:ext>
                <a:ext uri="{FF2B5EF4-FFF2-40B4-BE49-F238E27FC236}">
                  <a16:creationId xmlns:a16="http://schemas.microsoft.com/office/drawing/2014/main" id="{00000000-0008-0000-0100-00007B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322</xdr:row>
          <xdr:rowOff>9525</xdr:rowOff>
        </xdr:from>
        <xdr:to>
          <xdr:col>4</xdr:col>
          <xdr:colOff>381000</xdr:colOff>
          <xdr:row>323</xdr:row>
          <xdr:rowOff>0</xdr:rowOff>
        </xdr:to>
        <xdr:sp macro="" textlink="">
          <xdr:nvSpPr>
            <xdr:cNvPr id="157308" name="Check Box 24188" hidden="1">
              <a:extLst>
                <a:ext uri="{63B3BB69-23CF-44E3-9099-C40C66FF867C}">
                  <a14:compatExt spid="_x0000_s157308"/>
                </a:ext>
                <a:ext uri="{FF2B5EF4-FFF2-40B4-BE49-F238E27FC236}">
                  <a16:creationId xmlns:a16="http://schemas.microsoft.com/office/drawing/2014/main" id="{00000000-0008-0000-0100-00007C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322</xdr:row>
          <xdr:rowOff>9525</xdr:rowOff>
        </xdr:from>
        <xdr:to>
          <xdr:col>4</xdr:col>
          <xdr:colOff>381000</xdr:colOff>
          <xdr:row>323</xdr:row>
          <xdr:rowOff>0</xdr:rowOff>
        </xdr:to>
        <xdr:sp macro="" textlink="">
          <xdr:nvSpPr>
            <xdr:cNvPr id="157309" name="Check Box 24189" hidden="1">
              <a:extLst>
                <a:ext uri="{63B3BB69-23CF-44E3-9099-C40C66FF867C}">
                  <a14:compatExt spid="_x0000_s157309"/>
                </a:ext>
                <a:ext uri="{FF2B5EF4-FFF2-40B4-BE49-F238E27FC236}">
                  <a16:creationId xmlns:a16="http://schemas.microsoft.com/office/drawing/2014/main" id="{00000000-0008-0000-0100-00007D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322</xdr:row>
          <xdr:rowOff>9525</xdr:rowOff>
        </xdr:from>
        <xdr:to>
          <xdr:col>4</xdr:col>
          <xdr:colOff>381000</xdr:colOff>
          <xdr:row>323</xdr:row>
          <xdr:rowOff>0</xdr:rowOff>
        </xdr:to>
        <xdr:sp macro="" textlink="">
          <xdr:nvSpPr>
            <xdr:cNvPr id="157310" name="Check Box 24190" hidden="1">
              <a:extLst>
                <a:ext uri="{63B3BB69-23CF-44E3-9099-C40C66FF867C}">
                  <a14:compatExt spid="_x0000_s157310"/>
                </a:ext>
                <a:ext uri="{FF2B5EF4-FFF2-40B4-BE49-F238E27FC236}">
                  <a16:creationId xmlns:a16="http://schemas.microsoft.com/office/drawing/2014/main" id="{00000000-0008-0000-0100-00007E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323</xdr:row>
          <xdr:rowOff>9525</xdr:rowOff>
        </xdr:from>
        <xdr:to>
          <xdr:col>4</xdr:col>
          <xdr:colOff>381000</xdr:colOff>
          <xdr:row>324</xdr:row>
          <xdr:rowOff>0</xdr:rowOff>
        </xdr:to>
        <xdr:sp macro="" textlink="">
          <xdr:nvSpPr>
            <xdr:cNvPr id="157311" name="Check Box 24191" hidden="1">
              <a:extLst>
                <a:ext uri="{63B3BB69-23CF-44E3-9099-C40C66FF867C}">
                  <a14:compatExt spid="_x0000_s157311"/>
                </a:ext>
                <a:ext uri="{FF2B5EF4-FFF2-40B4-BE49-F238E27FC236}">
                  <a16:creationId xmlns:a16="http://schemas.microsoft.com/office/drawing/2014/main" id="{00000000-0008-0000-0100-00007F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323</xdr:row>
          <xdr:rowOff>9525</xdr:rowOff>
        </xdr:from>
        <xdr:to>
          <xdr:col>4</xdr:col>
          <xdr:colOff>381000</xdr:colOff>
          <xdr:row>324</xdr:row>
          <xdr:rowOff>0</xdr:rowOff>
        </xdr:to>
        <xdr:sp macro="" textlink="">
          <xdr:nvSpPr>
            <xdr:cNvPr id="157312" name="Check Box 24192" hidden="1">
              <a:extLst>
                <a:ext uri="{63B3BB69-23CF-44E3-9099-C40C66FF867C}">
                  <a14:compatExt spid="_x0000_s157312"/>
                </a:ext>
                <a:ext uri="{FF2B5EF4-FFF2-40B4-BE49-F238E27FC236}">
                  <a16:creationId xmlns:a16="http://schemas.microsoft.com/office/drawing/2014/main" id="{00000000-0008-0000-0100-000080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323</xdr:row>
          <xdr:rowOff>9525</xdr:rowOff>
        </xdr:from>
        <xdr:to>
          <xdr:col>4</xdr:col>
          <xdr:colOff>381000</xdr:colOff>
          <xdr:row>324</xdr:row>
          <xdr:rowOff>0</xdr:rowOff>
        </xdr:to>
        <xdr:sp macro="" textlink="">
          <xdr:nvSpPr>
            <xdr:cNvPr id="157313" name="Check Box 24193" hidden="1">
              <a:extLst>
                <a:ext uri="{63B3BB69-23CF-44E3-9099-C40C66FF867C}">
                  <a14:compatExt spid="_x0000_s157313"/>
                </a:ext>
                <a:ext uri="{FF2B5EF4-FFF2-40B4-BE49-F238E27FC236}">
                  <a16:creationId xmlns:a16="http://schemas.microsoft.com/office/drawing/2014/main" id="{00000000-0008-0000-0100-000081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324</xdr:row>
          <xdr:rowOff>9525</xdr:rowOff>
        </xdr:from>
        <xdr:to>
          <xdr:col>4</xdr:col>
          <xdr:colOff>381000</xdr:colOff>
          <xdr:row>325</xdr:row>
          <xdr:rowOff>0</xdr:rowOff>
        </xdr:to>
        <xdr:sp macro="" textlink="">
          <xdr:nvSpPr>
            <xdr:cNvPr id="157314" name="Check Box 24194" hidden="1">
              <a:extLst>
                <a:ext uri="{63B3BB69-23CF-44E3-9099-C40C66FF867C}">
                  <a14:compatExt spid="_x0000_s157314"/>
                </a:ext>
                <a:ext uri="{FF2B5EF4-FFF2-40B4-BE49-F238E27FC236}">
                  <a16:creationId xmlns:a16="http://schemas.microsoft.com/office/drawing/2014/main" id="{00000000-0008-0000-0100-000082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324</xdr:row>
          <xdr:rowOff>9525</xdr:rowOff>
        </xdr:from>
        <xdr:to>
          <xdr:col>4</xdr:col>
          <xdr:colOff>381000</xdr:colOff>
          <xdr:row>325</xdr:row>
          <xdr:rowOff>0</xdr:rowOff>
        </xdr:to>
        <xdr:sp macro="" textlink="">
          <xdr:nvSpPr>
            <xdr:cNvPr id="157315" name="Check Box 24195" hidden="1">
              <a:extLst>
                <a:ext uri="{63B3BB69-23CF-44E3-9099-C40C66FF867C}">
                  <a14:compatExt spid="_x0000_s157315"/>
                </a:ext>
                <a:ext uri="{FF2B5EF4-FFF2-40B4-BE49-F238E27FC236}">
                  <a16:creationId xmlns:a16="http://schemas.microsoft.com/office/drawing/2014/main" id="{00000000-0008-0000-0100-000083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324</xdr:row>
          <xdr:rowOff>9525</xdr:rowOff>
        </xdr:from>
        <xdr:to>
          <xdr:col>4</xdr:col>
          <xdr:colOff>381000</xdr:colOff>
          <xdr:row>325</xdr:row>
          <xdr:rowOff>0</xdr:rowOff>
        </xdr:to>
        <xdr:sp macro="" textlink="">
          <xdr:nvSpPr>
            <xdr:cNvPr id="157316" name="Check Box 24196" hidden="1">
              <a:extLst>
                <a:ext uri="{63B3BB69-23CF-44E3-9099-C40C66FF867C}">
                  <a14:compatExt spid="_x0000_s157316"/>
                </a:ext>
                <a:ext uri="{FF2B5EF4-FFF2-40B4-BE49-F238E27FC236}">
                  <a16:creationId xmlns:a16="http://schemas.microsoft.com/office/drawing/2014/main" id="{00000000-0008-0000-0100-000084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325</xdr:row>
          <xdr:rowOff>9525</xdr:rowOff>
        </xdr:from>
        <xdr:to>
          <xdr:col>4</xdr:col>
          <xdr:colOff>381000</xdr:colOff>
          <xdr:row>326</xdr:row>
          <xdr:rowOff>0</xdr:rowOff>
        </xdr:to>
        <xdr:sp macro="" textlink="">
          <xdr:nvSpPr>
            <xdr:cNvPr id="157317" name="Check Box 24197" hidden="1">
              <a:extLst>
                <a:ext uri="{63B3BB69-23CF-44E3-9099-C40C66FF867C}">
                  <a14:compatExt spid="_x0000_s157317"/>
                </a:ext>
                <a:ext uri="{FF2B5EF4-FFF2-40B4-BE49-F238E27FC236}">
                  <a16:creationId xmlns:a16="http://schemas.microsoft.com/office/drawing/2014/main" id="{00000000-0008-0000-0100-000085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325</xdr:row>
          <xdr:rowOff>9525</xdr:rowOff>
        </xdr:from>
        <xdr:to>
          <xdr:col>4</xdr:col>
          <xdr:colOff>381000</xdr:colOff>
          <xdr:row>326</xdr:row>
          <xdr:rowOff>0</xdr:rowOff>
        </xdr:to>
        <xdr:sp macro="" textlink="">
          <xdr:nvSpPr>
            <xdr:cNvPr id="157318" name="Check Box 24198" hidden="1">
              <a:extLst>
                <a:ext uri="{63B3BB69-23CF-44E3-9099-C40C66FF867C}">
                  <a14:compatExt spid="_x0000_s157318"/>
                </a:ext>
                <a:ext uri="{FF2B5EF4-FFF2-40B4-BE49-F238E27FC236}">
                  <a16:creationId xmlns:a16="http://schemas.microsoft.com/office/drawing/2014/main" id="{00000000-0008-0000-0100-000086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325</xdr:row>
          <xdr:rowOff>9525</xdr:rowOff>
        </xdr:from>
        <xdr:to>
          <xdr:col>4</xdr:col>
          <xdr:colOff>381000</xdr:colOff>
          <xdr:row>326</xdr:row>
          <xdr:rowOff>0</xdr:rowOff>
        </xdr:to>
        <xdr:sp macro="" textlink="">
          <xdr:nvSpPr>
            <xdr:cNvPr id="157319" name="Check Box 24199" hidden="1">
              <a:extLst>
                <a:ext uri="{63B3BB69-23CF-44E3-9099-C40C66FF867C}">
                  <a14:compatExt spid="_x0000_s157319"/>
                </a:ext>
                <a:ext uri="{FF2B5EF4-FFF2-40B4-BE49-F238E27FC236}">
                  <a16:creationId xmlns:a16="http://schemas.microsoft.com/office/drawing/2014/main" id="{00000000-0008-0000-0100-000087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326</xdr:row>
          <xdr:rowOff>9525</xdr:rowOff>
        </xdr:from>
        <xdr:to>
          <xdr:col>4</xdr:col>
          <xdr:colOff>381000</xdr:colOff>
          <xdr:row>327</xdr:row>
          <xdr:rowOff>0</xdr:rowOff>
        </xdr:to>
        <xdr:sp macro="" textlink="">
          <xdr:nvSpPr>
            <xdr:cNvPr id="157320" name="Check Box 24200" hidden="1">
              <a:extLst>
                <a:ext uri="{63B3BB69-23CF-44E3-9099-C40C66FF867C}">
                  <a14:compatExt spid="_x0000_s157320"/>
                </a:ext>
                <a:ext uri="{FF2B5EF4-FFF2-40B4-BE49-F238E27FC236}">
                  <a16:creationId xmlns:a16="http://schemas.microsoft.com/office/drawing/2014/main" id="{00000000-0008-0000-0100-000088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326</xdr:row>
          <xdr:rowOff>9525</xdr:rowOff>
        </xdr:from>
        <xdr:to>
          <xdr:col>4</xdr:col>
          <xdr:colOff>381000</xdr:colOff>
          <xdr:row>327</xdr:row>
          <xdr:rowOff>0</xdr:rowOff>
        </xdr:to>
        <xdr:sp macro="" textlink="">
          <xdr:nvSpPr>
            <xdr:cNvPr id="157321" name="Check Box 24201" hidden="1">
              <a:extLst>
                <a:ext uri="{63B3BB69-23CF-44E3-9099-C40C66FF867C}">
                  <a14:compatExt spid="_x0000_s157321"/>
                </a:ext>
                <a:ext uri="{FF2B5EF4-FFF2-40B4-BE49-F238E27FC236}">
                  <a16:creationId xmlns:a16="http://schemas.microsoft.com/office/drawing/2014/main" id="{00000000-0008-0000-0100-000089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326</xdr:row>
          <xdr:rowOff>9525</xdr:rowOff>
        </xdr:from>
        <xdr:to>
          <xdr:col>4</xdr:col>
          <xdr:colOff>381000</xdr:colOff>
          <xdr:row>327</xdr:row>
          <xdr:rowOff>0</xdr:rowOff>
        </xdr:to>
        <xdr:sp macro="" textlink="">
          <xdr:nvSpPr>
            <xdr:cNvPr id="157322" name="Check Box 24202" hidden="1">
              <a:extLst>
                <a:ext uri="{63B3BB69-23CF-44E3-9099-C40C66FF867C}">
                  <a14:compatExt spid="_x0000_s157322"/>
                </a:ext>
                <a:ext uri="{FF2B5EF4-FFF2-40B4-BE49-F238E27FC236}">
                  <a16:creationId xmlns:a16="http://schemas.microsoft.com/office/drawing/2014/main" id="{00000000-0008-0000-0100-00008A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327</xdr:row>
          <xdr:rowOff>9525</xdr:rowOff>
        </xdr:from>
        <xdr:to>
          <xdr:col>4</xdr:col>
          <xdr:colOff>381000</xdr:colOff>
          <xdr:row>328</xdr:row>
          <xdr:rowOff>0</xdr:rowOff>
        </xdr:to>
        <xdr:sp macro="" textlink="">
          <xdr:nvSpPr>
            <xdr:cNvPr id="157323" name="Check Box 24203" hidden="1">
              <a:extLst>
                <a:ext uri="{63B3BB69-23CF-44E3-9099-C40C66FF867C}">
                  <a14:compatExt spid="_x0000_s157323"/>
                </a:ext>
                <a:ext uri="{FF2B5EF4-FFF2-40B4-BE49-F238E27FC236}">
                  <a16:creationId xmlns:a16="http://schemas.microsoft.com/office/drawing/2014/main" id="{00000000-0008-0000-0100-00008B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327</xdr:row>
          <xdr:rowOff>9525</xdr:rowOff>
        </xdr:from>
        <xdr:to>
          <xdr:col>4</xdr:col>
          <xdr:colOff>381000</xdr:colOff>
          <xdr:row>328</xdr:row>
          <xdr:rowOff>0</xdr:rowOff>
        </xdr:to>
        <xdr:sp macro="" textlink="">
          <xdr:nvSpPr>
            <xdr:cNvPr id="157324" name="Check Box 24204" hidden="1">
              <a:extLst>
                <a:ext uri="{63B3BB69-23CF-44E3-9099-C40C66FF867C}">
                  <a14:compatExt spid="_x0000_s157324"/>
                </a:ext>
                <a:ext uri="{FF2B5EF4-FFF2-40B4-BE49-F238E27FC236}">
                  <a16:creationId xmlns:a16="http://schemas.microsoft.com/office/drawing/2014/main" id="{00000000-0008-0000-0100-00008C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327</xdr:row>
          <xdr:rowOff>9525</xdr:rowOff>
        </xdr:from>
        <xdr:to>
          <xdr:col>4</xdr:col>
          <xdr:colOff>381000</xdr:colOff>
          <xdr:row>328</xdr:row>
          <xdr:rowOff>0</xdr:rowOff>
        </xdr:to>
        <xdr:sp macro="" textlink="">
          <xdr:nvSpPr>
            <xdr:cNvPr id="157325" name="Check Box 24205" hidden="1">
              <a:extLst>
                <a:ext uri="{63B3BB69-23CF-44E3-9099-C40C66FF867C}">
                  <a14:compatExt spid="_x0000_s157325"/>
                </a:ext>
                <a:ext uri="{FF2B5EF4-FFF2-40B4-BE49-F238E27FC236}">
                  <a16:creationId xmlns:a16="http://schemas.microsoft.com/office/drawing/2014/main" id="{00000000-0008-0000-0100-00008D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328</xdr:row>
          <xdr:rowOff>9525</xdr:rowOff>
        </xdr:from>
        <xdr:to>
          <xdr:col>4</xdr:col>
          <xdr:colOff>381000</xdr:colOff>
          <xdr:row>329</xdr:row>
          <xdr:rowOff>0</xdr:rowOff>
        </xdr:to>
        <xdr:sp macro="" textlink="">
          <xdr:nvSpPr>
            <xdr:cNvPr id="157326" name="Check Box 24206" hidden="1">
              <a:extLst>
                <a:ext uri="{63B3BB69-23CF-44E3-9099-C40C66FF867C}">
                  <a14:compatExt spid="_x0000_s157326"/>
                </a:ext>
                <a:ext uri="{FF2B5EF4-FFF2-40B4-BE49-F238E27FC236}">
                  <a16:creationId xmlns:a16="http://schemas.microsoft.com/office/drawing/2014/main" id="{00000000-0008-0000-0100-00008E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328</xdr:row>
          <xdr:rowOff>9525</xdr:rowOff>
        </xdr:from>
        <xdr:to>
          <xdr:col>4</xdr:col>
          <xdr:colOff>381000</xdr:colOff>
          <xdr:row>329</xdr:row>
          <xdr:rowOff>0</xdr:rowOff>
        </xdr:to>
        <xdr:sp macro="" textlink="">
          <xdr:nvSpPr>
            <xdr:cNvPr id="157327" name="Check Box 24207" hidden="1">
              <a:extLst>
                <a:ext uri="{63B3BB69-23CF-44E3-9099-C40C66FF867C}">
                  <a14:compatExt spid="_x0000_s157327"/>
                </a:ext>
                <a:ext uri="{FF2B5EF4-FFF2-40B4-BE49-F238E27FC236}">
                  <a16:creationId xmlns:a16="http://schemas.microsoft.com/office/drawing/2014/main" id="{00000000-0008-0000-0100-00008F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328</xdr:row>
          <xdr:rowOff>9525</xdr:rowOff>
        </xdr:from>
        <xdr:to>
          <xdr:col>4</xdr:col>
          <xdr:colOff>381000</xdr:colOff>
          <xdr:row>329</xdr:row>
          <xdr:rowOff>0</xdr:rowOff>
        </xdr:to>
        <xdr:sp macro="" textlink="">
          <xdr:nvSpPr>
            <xdr:cNvPr id="157328" name="Check Box 24208" hidden="1">
              <a:extLst>
                <a:ext uri="{63B3BB69-23CF-44E3-9099-C40C66FF867C}">
                  <a14:compatExt spid="_x0000_s157328"/>
                </a:ext>
                <a:ext uri="{FF2B5EF4-FFF2-40B4-BE49-F238E27FC236}">
                  <a16:creationId xmlns:a16="http://schemas.microsoft.com/office/drawing/2014/main" id="{00000000-0008-0000-0100-000090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329</xdr:row>
          <xdr:rowOff>9525</xdr:rowOff>
        </xdr:from>
        <xdr:to>
          <xdr:col>4</xdr:col>
          <xdr:colOff>381000</xdr:colOff>
          <xdr:row>330</xdr:row>
          <xdr:rowOff>0</xdr:rowOff>
        </xdr:to>
        <xdr:sp macro="" textlink="">
          <xdr:nvSpPr>
            <xdr:cNvPr id="157329" name="Check Box 24209" hidden="1">
              <a:extLst>
                <a:ext uri="{63B3BB69-23CF-44E3-9099-C40C66FF867C}">
                  <a14:compatExt spid="_x0000_s157329"/>
                </a:ext>
                <a:ext uri="{FF2B5EF4-FFF2-40B4-BE49-F238E27FC236}">
                  <a16:creationId xmlns:a16="http://schemas.microsoft.com/office/drawing/2014/main" id="{00000000-0008-0000-0100-000091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329</xdr:row>
          <xdr:rowOff>9525</xdr:rowOff>
        </xdr:from>
        <xdr:to>
          <xdr:col>4</xdr:col>
          <xdr:colOff>381000</xdr:colOff>
          <xdr:row>330</xdr:row>
          <xdr:rowOff>0</xdr:rowOff>
        </xdr:to>
        <xdr:sp macro="" textlink="">
          <xdr:nvSpPr>
            <xdr:cNvPr id="157330" name="Check Box 24210" hidden="1">
              <a:extLst>
                <a:ext uri="{63B3BB69-23CF-44E3-9099-C40C66FF867C}">
                  <a14:compatExt spid="_x0000_s157330"/>
                </a:ext>
                <a:ext uri="{FF2B5EF4-FFF2-40B4-BE49-F238E27FC236}">
                  <a16:creationId xmlns:a16="http://schemas.microsoft.com/office/drawing/2014/main" id="{00000000-0008-0000-0100-000092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329</xdr:row>
          <xdr:rowOff>9525</xdr:rowOff>
        </xdr:from>
        <xdr:to>
          <xdr:col>4</xdr:col>
          <xdr:colOff>381000</xdr:colOff>
          <xdr:row>330</xdr:row>
          <xdr:rowOff>0</xdr:rowOff>
        </xdr:to>
        <xdr:sp macro="" textlink="">
          <xdr:nvSpPr>
            <xdr:cNvPr id="157331" name="Check Box 24211" hidden="1">
              <a:extLst>
                <a:ext uri="{63B3BB69-23CF-44E3-9099-C40C66FF867C}">
                  <a14:compatExt spid="_x0000_s157331"/>
                </a:ext>
                <a:ext uri="{FF2B5EF4-FFF2-40B4-BE49-F238E27FC236}">
                  <a16:creationId xmlns:a16="http://schemas.microsoft.com/office/drawing/2014/main" id="{00000000-0008-0000-0100-000093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330</xdr:row>
          <xdr:rowOff>9525</xdr:rowOff>
        </xdr:from>
        <xdr:to>
          <xdr:col>4</xdr:col>
          <xdr:colOff>381000</xdr:colOff>
          <xdr:row>331</xdr:row>
          <xdr:rowOff>0</xdr:rowOff>
        </xdr:to>
        <xdr:sp macro="" textlink="">
          <xdr:nvSpPr>
            <xdr:cNvPr id="157332" name="Check Box 24212" hidden="1">
              <a:extLst>
                <a:ext uri="{63B3BB69-23CF-44E3-9099-C40C66FF867C}">
                  <a14:compatExt spid="_x0000_s157332"/>
                </a:ext>
                <a:ext uri="{FF2B5EF4-FFF2-40B4-BE49-F238E27FC236}">
                  <a16:creationId xmlns:a16="http://schemas.microsoft.com/office/drawing/2014/main" id="{00000000-0008-0000-0100-000094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330</xdr:row>
          <xdr:rowOff>9525</xdr:rowOff>
        </xdr:from>
        <xdr:to>
          <xdr:col>4</xdr:col>
          <xdr:colOff>381000</xdr:colOff>
          <xdr:row>331</xdr:row>
          <xdr:rowOff>0</xdr:rowOff>
        </xdr:to>
        <xdr:sp macro="" textlink="">
          <xdr:nvSpPr>
            <xdr:cNvPr id="157333" name="Check Box 24213" hidden="1">
              <a:extLst>
                <a:ext uri="{63B3BB69-23CF-44E3-9099-C40C66FF867C}">
                  <a14:compatExt spid="_x0000_s157333"/>
                </a:ext>
                <a:ext uri="{FF2B5EF4-FFF2-40B4-BE49-F238E27FC236}">
                  <a16:creationId xmlns:a16="http://schemas.microsoft.com/office/drawing/2014/main" id="{00000000-0008-0000-0100-000095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330</xdr:row>
          <xdr:rowOff>9525</xdr:rowOff>
        </xdr:from>
        <xdr:to>
          <xdr:col>4</xdr:col>
          <xdr:colOff>381000</xdr:colOff>
          <xdr:row>331</xdr:row>
          <xdr:rowOff>0</xdr:rowOff>
        </xdr:to>
        <xdr:sp macro="" textlink="">
          <xdr:nvSpPr>
            <xdr:cNvPr id="157334" name="Check Box 24214" hidden="1">
              <a:extLst>
                <a:ext uri="{63B3BB69-23CF-44E3-9099-C40C66FF867C}">
                  <a14:compatExt spid="_x0000_s157334"/>
                </a:ext>
                <a:ext uri="{FF2B5EF4-FFF2-40B4-BE49-F238E27FC236}">
                  <a16:creationId xmlns:a16="http://schemas.microsoft.com/office/drawing/2014/main" id="{00000000-0008-0000-0100-000096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331</xdr:row>
          <xdr:rowOff>9525</xdr:rowOff>
        </xdr:from>
        <xdr:to>
          <xdr:col>4</xdr:col>
          <xdr:colOff>381000</xdr:colOff>
          <xdr:row>332</xdr:row>
          <xdr:rowOff>0</xdr:rowOff>
        </xdr:to>
        <xdr:sp macro="" textlink="">
          <xdr:nvSpPr>
            <xdr:cNvPr id="157335" name="Check Box 24215" hidden="1">
              <a:extLst>
                <a:ext uri="{63B3BB69-23CF-44E3-9099-C40C66FF867C}">
                  <a14:compatExt spid="_x0000_s157335"/>
                </a:ext>
                <a:ext uri="{FF2B5EF4-FFF2-40B4-BE49-F238E27FC236}">
                  <a16:creationId xmlns:a16="http://schemas.microsoft.com/office/drawing/2014/main" id="{00000000-0008-0000-0100-000097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331</xdr:row>
          <xdr:rowOff>9525</xdr:rowOff>
        </xdr:from>
        <xdr:to>
          <xdr:col>4</xdr:col>
          <xdr:colOff>381000</xdr:colOff>
          <xdr:row>332</xdr:row>
          <xdr:rowOff>0</xdr:rowOff>
        </xdr:to>
        <xdr:sp macro="" textlink="">
          <xdr:nvSpPr>
            <xdr:cNvPr id="157336" name="Check Box 24216" hidden="1">
              <a:extLst>
                <a:ext uri="{63B3BB69-23CF-44E3-9099-C40C66FF867C}">
                  <a14:compatExt spid="_x0000_s157336"/>
                </a:ext>
                <a:ext uri="{FF2B5EF4-FFF2-40B4-BE49-F238E27FC236}">
                  <a16:creationId xmlns:a16="http://schemas.microsoft.com/office/drawing/2014/main" id="{00000000-0008-0000-0100-000098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331</xdr:row>
          <xdr:rowOff>9525</xdr:rowOff>
        </xdr:from>
        <xdr:to>
          <xdr:col>4</xdr:col>
          <xdr:colOff>381000</xdr:colOff>
          <xdr:row>332</xdr:row>
          <xdr:rowOff>0</xdr:rowOff>
        </xdr:to>
        <xdr:sp macro="" textlink="">
          <xdr:nvSpPr>
            <xdr:cNvPr id="157337" name="Check Box 24217" hidden="1">
              <a:extLst>
                <a:ext uri="{63B3BB69-23CF-44E3-9099-C40C66FF867C}">
                  <a14:compatExt spid="_x0000_s157337"/>
                </a:ext>
                <a:ext uri="{FF2B5EF4-FFF2-40B4-BE49-F238E27FC236}">
                  <a16:creationId xmlns:a16="http://schemas.microsoft.com/office/drawing/2014/main" id="{00000000-0008-0000-0100-000099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332</xdr:row>
          <xdr:rowOff>9525</xdr:rowOff>
        </xdr:from>
        <xdr:to>
          <xdr:col>4</xdr:col>
          <xdr:colOff>381000</xdr:colOff>
          <xdr:row>333</xdr:row>
          <xdr:rowOff>0</xdr:rowOff>
        </xdr:to>
        <xdr:sp macro="" textlink="">
          <xdr:nvSpPr>
            <xdr:cNvPr id="157338" name="Check Box 24218" hidden="1">
              <a:extLst>
                <a:ext uri="{63B3BB69-23CF-44E3-9099-C40C66FF867C}">
                  <a14:compatExt spid="_x0000_s157338"/>
                </a:ext>
                <a:ext uri="{FF2B5EF4-FFF2-40B4-BE49-F238E27FC236}">
                  <a16:creationId xmlns:a16="http://schemas.microsoft.com/office/drawing/2014/main" id="{00000000-0008-0000-0100-00009A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332</xdr:row>
          <xdr:rowOff>9525</xdr:rowOff>
        </xdr:from>
        <xdr:to>
          <xdr:col>4</xdr:col>
          <xdr:colOff>381000</xdr:colOff>
          <xdr:row>333</xdr:row>
          <xdr:rowOff>0</xdr:rowOff>
        </xdr:to>
        <xdr:sp macro="" textlink="">
          <xdr:nvSpPr>
            <xdr:cNvPr id="157339" name="Check Box 24219" hidden="1">
              <a:extLst>
                <a:ext uri="{63B3BB69-23CF-44E3-9099-C40C66FF867C}">
                  <a14:compatExt spid="_x0000_s157339"/>
                </a:ext>
                <a:ext uri="{FF2B5EF4-FFF2-40B4-BE49-F238E27FC236}">
                  <a16:creationId xmlns:a16="http://schemas.microsoft.com/office/drawing/2014/main" id="{00000000-0008-0000-0100-00009B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332</xdr:row>
          <xdr:rowOff>9525</xdr:rowOff>
        </xdr:from>
        <xdr:to>
          <xdr:col>4</xdr:col>
          <xdr:colOff>381000</xdr:colOff>
          <xdr:row>333</xdr:row>
          <xdr:rowOff>0</xdr:rowOff>
        </xdr:to>
        <xdr:sp macro="" textlink="">
          <xdr:nvSpPr>
            <xdr:cNvPr id="157340" name="Check Box 24220" hidden="1">
              <a:extLst>
                <a:ext uri="{63B3BB69-23CF-44E3-9099-C40C66FF867C}">
                  <a14:compatExt spid="_x0000_s157340"/>
                </a:ext>
                <a:ext uri="{FF2B5EF4-FFF2-40B4-BE49-F238E27FC236}">
                  <a16:creationId xmlns:a16="http://schemas.microsoft.com/office/drawing/2014/main" id="{00000000-0008-0000-0100-00009C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333</xdr:row>
          <xdr:rowOff>9525</xdr:rowOff>
        </xdr:from>
        <xdr:to>
          <xdr:col>4</xdr:col>
          <xdr:colOff>381000</xdr:colOff>
          <xdr:row>334</xdr:row>
          <xdr:rowOff>0</xdr:rowOff>
        </xdr:to>
        <xdr:sp macro="" textlink="">
          <xdr:nvSpPr>
            <xdr:cNvPr id="157341" name="Check Box 24221" hidden="1">
              <a:extLst>
                <a:ext uri="{63B3BB69-23CF-44E3-9099-C40C66FF867C}">
                  <a14:compatExt spid="_x0000_s157341"/>
                </a:ext>
                <a:ext uri="{FF2B5EF4-FFF2-40B4-BE49-F238E27FC236}">
                  <a16:creationId xmlns:a16="http://schemas.microsoft.com/office/drawing/2014/main" id="{00000000-0008-0000-0100-00009D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333</xdr:row>
          <xdr:rowOff>9525</xdr:rowOff>
        </xdr:from>
        <xdr:to>
          <xdr:col>4</xdr:col>
          <xdr:colOff>381000</xdr:colOff>
          <xdr:row>334</xdr:row>
          <xdr:rowOff>0</xdr:rowOff>
        </xdr:to>
        <xdr:sp macro="" textlink="">
          <xdr:nvSpPr>
            <xdr:cNvPr id="157342" name="Check Box 24222" hidden="1">
              <a:extLst>
                <a:ext uri="{63B3BB69-23CF-44E3-9099-C40C66FF867C}">
                  <a14:compatExt spid="_x0000_s157342"/>
                </a:ext>
                <a:ext uri="{FF2B5EF4-FFF2-40B4-BE49-F238E27FC236}">
                  <a16:creationId xmlns:a16="http://schemas.microsoft.com/office/drawing/2014/main" id="{00000000-0008-0000-0100-00009E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333</xdr:row>
          <xdr:rowOff>9525</xdr:rowOff>
        </xdr:from>
        <xdr:to>
          <xdr:col>4</xdr:col>
          <xdr:colOff>381000</xdr:colOff>
          <xdr:row>334</xdr:row>
          <xdr:rowOff>0</xdr:rowOff>
        </xdr:to>
        <xdr:sp macro="" textlink="">
          <xdr:nvSpPr>
            <xdr:cNvPr id="157343" name="Check Box 24223" hidden="1">
              <a:extLst>
                <a:ext uri="{63B3BB69-23CF-44E3-9099-C40C66FF867C}">
                  <a14:compatExt spid="_x0000_s157343"/>
                </a:ext>
                <a:ext uri="{FF2B5EF4-FFF2-40B4-BE49-F238E27FC236}">
                  <a16:creationId xmlns:a16="http://schemas.microsoft.com/office/drawing/2014/main" id="{00000000-0008-0000-0100-00009F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334</xdr:row>
          <xdr:rowOff>9525</xdr:rowOff>
        </xdr:from>
        <xdr:to>
          <xdr:col>4</xdr:col>
          <xdr:colOff>381000</xdr:colOff>
          <xdr:row>335</xdr:row>
          <xdr:rowOff>0</xdr:rowOff>
        </xdr:to>
        <xdr:sp macro="" textlink="">
          <xdr:nvSpPr>
            <xdr:cNvPr id="157344" name="Check Box 24224" hidden="1">
              <a:extLst>
                <a:ext uri="{63B3BB69-23CF-44E3-9099-C40C66FF867C}">
                  <a14:compatExt spid="_x0000_s157344"/>
                </a:ext>
                <a:ext uri="{FF2B5EF4-FFF2-40B4-BE49-F238E27FC236}">
                  <a16:creationId xmlns:a16="http://schemas.microsoft.com/office/drawing/2014/main" id="{00000000-0008-0000-0100-0000A0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334</xdr:row>
          <xdr:rowOff>9525</xdr:rowOff>
        </xdr:from>
        <xdr:to>
          <xdr:col>4</xdr:col>
          <xdr:colOff>381000</xdr:colOff>
          <xdr:row>335</xdr:row>
          <xdr:rowOff>0</xdr:rowOff>
        </xdr:to>
        <xdr:sp macro="" textlink="">
          <xdr:nvSpPr>
            <xdr:cNvPr id="157345" name="Check Box 24225" hidden="1">
              <a:extLst>
                <a:ext uri="{63B3BB69-23CF-44E3-9099-C40C66FF867C}">
                  <a14:compatExt spid="_x0000_s157345"/>
                </a:ext>
                <a:ext uri="{FF2B5EF4-FFF2-40B4-BE49-F238E27FC236}">
                  <a16:creationId xmlns:a16="http://schemas.microsoft.com/office/drawing/2014/main" id="{00000000-0008-0000-0100-0000A1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334</xdr:row>
          <xdr:rowOff>9525</xdr:rowOff>
        </xdr:from>
        <xdr:to>
          <xdr:col>4</xdr:col>
          <xdr:colOff>381000</xdr:colOff>
          <xdr:row>335</xdr:row>
          <xdr:rowOff>0</xdr:rowOff>
        </xdr:to>
        <xdr:sp macro="" textlink="">
          <xdr:nvSpPr>
            <xdr:cNvPr id="157346" name="Check Box 24226" hidden="1">
              <a:extLst>
                <a:ext uri="{63B3BB69-23CF-44E3-9099-C40C66FF867C}">
                  <a14:compatExt spid="_x0000_s157346"/>
                </a:ext>
                <a:ext uri="{FF2B5EF4-FFF2-40B4-BE49-F238E27FC236}">
                  <a16:creationId xmlns:a16="http://schemas.microsoft.com/office/drawing/2014/main" id="{00000000-0008-0000-0100-0000A2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335</xdr:row>
          <xdr:rowOff>9525</xdr:rowOff>
        </xdr:from>
        <xdr:to>
          <xdr:col>4</xdr:col>
          <xdr:colOff>381000</xdr:colOff>
          <xdr:row>336</xdr:row>
          <xdr:rowOff>0</xdr:rowOff>
        </xdr:to>
        <xdr:sp macro="" textlink="">
          <xdr:nvSpPr>
            <xdr:cNvPr id="157347" name="Check Box 24227" hidden="1">
              <a:extLst>
                <a:ext uri="{63B3BB69-23CF-44E3-9099-C40C66FF867C}">
                  <a14:compatExt spid="_x0000_s157347"/>
                </a:ext>
                <a:ext uri="{FF2B5EF4-FFF2-40B4-BE49-F238E27FC236}">
                  <a16:creationId xmlns:a16="http://schemas.microsoft.com/office/drawing/2014/main" id="{00000000-0008-0000-0100-0000A3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335</xdr:row>
          <xdr:rowOff>9525</xdr:rowOff>
        </xdr:from>
        <xdr:to>
          <xdr:col>4</xdr:col>
          <xdr:colOff>381000</xdr:colOff>
          <xdr:row>336</xdr:row>
          <xdr:rowOff>0</xdr:rowOff>
        </xdr:to>
        <xdr:sp macro="" textlink="">
          <xdr:nvSpPr>
            <xdr:cNvPr id="157348" name="Check Box 24228" hidden="1">
              <a:extLst>
                <a:ext uri="{63B3BB69-23CF-44E3-9099-C40C66FF867C}">
                  <a14:compatExt spid="_x0000_s157348"/>
                </a:ext>
                <a:ext uri="{FF2B5EF4-FFF2-40B4-BE49-F238E27FC236}">
                  <a16:creationId xmlns:a16="http://schemas.microsoft.com/office/drawing/2014/main" id="{00000000-0008-0000-0100-0000A4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335</xdr:row>
          <xdr:rowOff>9525</xdr:rowOff>
        </xdr:from>
        <xdr:to>
          <xdr:col>4</xdr:col>
          <xdr:colOff>381000</xdr:colOff>
          <xdr:row>336</xdr:row>
          <xdr:rowOff>0</xdr:rowOff>
        </xdr:to>
        <xdr:sp macro="" textlink="">
          <xdr:nvSpPr>
            <xdr:cNvPr id="157349" name="Check Box 24229" hidden="1">
              <a:extLst>
                <a:ext uri="{63B3BB69-23CF-44E3-9099-C40C66FF867C}">
                  <a14:compatExt spid="_x0000_s157349"/>
                </a:ext>
                <a:ext uri="{FF2B5EF4-FFF2-40B4-BE49-F238E27FC236}">
                  <a16:creationId xmlns:a16="http://schemas.microsoft.com/office/drawing/2014/main" id="{00000000-0008-0000-0100-0000A5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336</xdr:row>
          <xdr:rowOff>9525</xdr:rowOff>
        </xdr:from>
        <xdr:to>
          <xdr:col>4</xdr:col>
          <xdr:colOff>381000</xdr:colOff>
          <xdr:row>337</xdr:row>
          <xdr:rowOff>0</xdr:rowOff>
        </xdr:to>
        <xdr:sp macro="" textlink="">
          <xdr:nvSpPr>
            <xdr:cNvPr id="157350" name="Check Box 24230" hidden="1">
              <a:extLst>
                <a:ext uri="{63B3BB69-23CF-44E3-9099-C40C66FF867C}">
                  <a14:compatExt spid="_x0000_s157350"/>
                </a:ext>
                <a:ext uri="{FF2B5EF4-FFF2-40B4-BE49-F238E27FC236}">
                  <a16:creationId xmlns:a16="http://schemas.microsoft.com/office/drawing/2014/main" id="{00000000-0008-0000-0100-0000A6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336</xdr:row>
          <xdr:rowOff>9525</xdr:rowOff>
        </xdr:from>
        <xdr:to>
          <xdr:col>4</xdr:col>
          <xdr:colOff>381000</xdr:colOff>
          <xdr:row>337</xdr:row>
          <xdr:rowOff>0</xdr:rowOff>
        </xdr:to>
        <xdr:sp macro="" textlink="">
          <xdr:nvSpPr>
            <xdr:cNvPr id="157351" name="Check Box 24231" hidden="1">
              <a:extLst>
                <a:ext uri="{63B3BB69-23CF-44E3-9099-C40C66FF867C}">
                  <a14:compatExt spid="_x0000_s157351"/>
                </a:ext>
                <a:ext uri="{FF2B5EF4-FFF2-40B4-BE49-F238E27FC236}">
                  <a16:creationId xmlns:a16="http://schemas.microsoft.com/office/drawing/2014/main" id="{00000000-0008-0000-0100-0000A7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xdr:col>
      <xdr:colOff>6880</xdr:colOff>
      <xdr:row>21</xdr:row>
      <xdr:rowOff>138449</xdr:rowOff>
    </xdr:from>
    <xdr:to>
      <xdr:col>3</xdr:col>
      <xdr:colOff>151248</xdr:colOff>
      <xdr:row>24</xdr:row>
      <xdr:rowOff>13896</xdr:rowOff>
    </xdr:to>
    <xdr:sp macro="" textlink="">
      <xdr:nvSpPr>
        <xdr:cNvPr id="301" name="Ellipse 300">
          <a:extLst>
            <a:ext uri="{FF2B5EF4-FFF2-40B4-BE49-F238E27FC236}">
              <a16:creationId xmlns:a16="http://schemas.microsoft.com/office/drawing/2014/main" id="{00000000-0008-0000-0100-00002D010000}"/>
            </a:ext>
          </a:extLst>
        </xdr:cNvPr>
        <xdr:cNvSpPr/>
      </xdr:nvSpPr>
      <xdr:spPr>
        <a:xfrm>
          <a:off x="1911880" y="4555668"/>
          <a:ext cx="501556" cy="339791"/>
        </a:xfrm>
        <a:prstGeom prst="ellipse">
          <a:avLst/>
        </a:prstGeom>
        <a:solidFill>
          <a:srgbClr val="FFC0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DE" sz="1200">
              <a:solidFill>
                <a:sysClr val="windowText" lastClr="000000"/>
              </a:solidFill>
              <a:latin typeface="Arial" panose="020B0604020202020204" pitchFamily="34" charset="0"/>
              <a:cs typeface="Arial" panose="020B0604020202020204" pitchFamily="34" charset="0"/>
            </a:rPr>
            <a:t>4</a:t>
          </a:r>
        </a:p>
      </xdr:txBody>
    </xdr:sp>
    <xdr:clientData/>
  </xdr:twoCellAnchor>
  <mc:AlternateContent xmlns:mc="http://schemas.openxmlformats.org/markup-compatibility/2006">
    <mc:Choice xmlns:a14="http://schemas.microsoft.com/office/drawing/2010/main" Requires="a14">
      <xdr:twoCellAnchor editAs="oneCell">
        <xdr:from>
          <xdr:col>3</xdr:col>
          <xdr:colOff>19050</xdr:colOff>
          <xdr:row>307</xdr:row>
          <xdr:rowOff>19050</xdr:rowOff>
        </xdr:from>
        <xdr:to>
          <xdr:col>4</xdr:col>
          <xdr:colOff>0</xdr:colOff>
          <xdr:row>308</xdr:row>
          <xdr:rowOff>0</xdr:rowOff>
        </xdr:to>
        <xdr:sp macro="" textlink="">
          <xdr:nvSpPr>
            <xdr:cNvPr id="183268" name="Drop Down 35812" hidden="1">
              <a:extLst>
                <a:ext uri="{63B3BB69-23CF-44E3-9099-C40C66FF867C}">
                  <a14:compatExt spid="_x0000_s183268"/>
                </a:ext>
                <a:ext uri="{FF2B5EF4-FFF2-40B4-BE49-F238E27FC236}">
                  <a16:creationId xmlns:a16="http://schemas.microsoft.com/office/drawing/2014/main" id="{00000000-0008-0000-0100-0000E4CB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308</xdr:row>
          <xdr:rowOff>19050</xdr:rowOff>
        </xdr:from>
        <xdr:to>
          <xdr:col>4</xdr:col>
          <xdr:colOff>0</xdr:colOff>
          <xdr:row>309</xdr:row>
          <xdr:rowOff>0</xdr:rowOff>
        </xdr:to>
        <xdr:sp macro="" textlink="">
          <xdr:nvSpPr>
            <xdr:cNvPr id="186470" name="Drop Down 35942" hidden="1">
              <a:extLst>
                <a:ext uri="{63B3BB69-23CF-44E3-9099-C40C66FF867C}">
                  <a14:compatExt spid="_x0000_s186470"/>
                </a:ext>
                <a:ext uri="{FF2B5EF4-FFF2-40B4-BE49-F238E27FC236}">
                  <a16:creationId xmlns:a16="http://schemas.microsoft.com/office/drawing/2014/main" id="{00000000-0008-0000-0100-000066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309</xdr:row>
          <xdr:rowOff>19050</xdr:rowOff>
        </xdr:from>
        <xdr:to>
          <xdr:col>4</xdr:col>
          <xdr:colOff>0</xdr:colOff>
          <xdr:row>310</xdr:row>
          <xdr:rowOff>0</xdr:rowOff>
        </xdr:to>
        <xdr:sp macro="" textlink="">
          <xdr:nvSpPr>
            <xdr:cNvPr id="186471" name="Drop Down 35943" hidden="1">
              <a:extLst>
                <a:ext uri="{63B3BB69-23CF-44E3-9099-C40C66FF867C}">
                  <a14:compatExt spid="_x0000_s186471"/>
                </a:ext>
                <a:ext uri="{FF2B5EF4-FFF2-40B4-BE49-F238E27FC236}">
                  <a16:creationId xmlns:a16="http://schemas.microsoft.com/office/drawing/2014/main" id="{00000000-0008-0000-0100-000067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310</xdr:row>
          <xdr:rowOff>19050</xdr:rowOff>
        </xdr:from>
        <xdr:to>
          <xdr:col>4</xdr:col>
          <xdr:colOff>0</xdr:colOff>
          <xdr:row>311</xdr:row>
          <xdr:rowOff>0</xdr:rowOff>
        </xdr:to>
        <xdr:sp macro="" textlink="">
          <xdr:nvSpPr>
            <xdr:cNvPr id="186472" name="Drop Down 35944" hidden="1">
              <a:extLst>
                <a:ext uri="{63B3BB69-23CF-44E3-9099-C40C66FF867C}">
                  <a14:compatExt spid="_x0000_s186472"/>
                </a:ext>
                <a:ext uri="{FF2B5EF4-FFF2-40B4-BE49-F238E27FC236}">
                  <a16:creationId xmlns:a16="http://schemas.microsoft.com/office/drawing/2014/main" id="{00000000-0008-0000-0100-000068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311</xdr:row>
          <xdr:rowOff>19050</xdr:rowOff>
        </xdr:from>
        <xdr:to>
          <xdr:col>4</xdr:col>
          <xdr:colOff>0</xdr:colOff>
          <xdr:row>312</xdr:row>
          <xdr:rowOff>0</xdr:rowOff>
        </xdr:to>
        <xdr:sp macro="" textlink="">
          <xdr:nvSpPr>
            <xdr:cNvPr id="186473" name="Drop Down 35945" hidden="1">
              <a:extLst>
                <a:ext uri="{63B3BB69-23CF-44E3-9099-C40C66FF867C}">
                  <a14:compatExt spid="_x0000_s186473"/>
                </a:ext>
                <a:ext uri="{FF2B5EF4-FFF2-40B4-BE49-F238E27FC236}">
                  <a16:creationId xmlns:a16="http://schemas.microsoft.com/office/drawing/2014/main" id="{00000000-0008-0000-0100-000069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312</xdr:row>
          <xdr:rowOff>19050</xdr:rowOff>
        </xdr:from>
        <xdr:to>
          <xdr:col>4</xdr:col>
          <xdr:colOff>0</xdr:colOff>
          <xdr:row>313</xdr:row>
          <xdr:rowOff>0</xdr:rowOff>
        </xdr:to>
        <xdr:sp macro="" textlink="">
          <xdr:nvSpPr>
            <xdr:cNvPr id="186474" name="Drop Down 35946" hidden="1">
              <a:extLst>
                <a:ext uri="{63B3BB69-23CF-44E3-9099-C40C66FF867C}">
                  <a14:compatExt spid="_x0000_s186474"/>
                </a:ext>
                <a:ext uri="{FF2B5EF4-FFF2-40B4-BE49-F238E27FC236}">
                  <a16:creationId xmlns:a16="http://schemas.microsoft.com/office/drawing/2014/main" id="{00000000-0008-0000-0100-00006A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313</xdr:row>
          <xdr:rowOff>19050</xdr:rowOff>
        </xdr:from>
        <xdr:to>
          <xdr:col>4</xdr:col>
          <xdr:colOff>0</xdr:colOff>
          <xdr:row>314</xdr:row>
          <xdr:rowOff>0</xdr:rowOff>
        </xdr:to>
        <xdr:sp macro="" textlink="">
          <xdr:nvSpPr>
            <xdr:cNvPr id="186475" name="Drop Down 35947" hidden="1">
              <a:extLst>
                <a:ext uri="{63B3BB69-23CF-44E3-9099-C40C66FF867C}">
                  <a14:compatExt spid="_x0000_s186475"/>
                </a:ext>
                <a:ext uri="{FF2B5EF4-FFF2-40B4-BE49-F238E27FC236}">
                  <a16:creationId xmlns:a16="http://schemas.microsoft.com/office/drawing/2014/main" id="{00000000-0008-0000-0100-00006B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314</xdr:row>
          <xdr:rowOff>19050</xdr:rowOff>
        </xdr:from>
        <xdr:to>
          <xdr:col>4</xdr:col>
          <xdr:colOff>0</xdr:colOff>
          <xdr:row>315</xdr:row>
          <xdr:rowOff>0</xdr:rowOff>
        </xdr:to>
        <xdr:sp macro="" textlink="">
          <xdr:nvSpPr>
            <xdr:cNvPr id="186476" name="Drop Down 35948" hidden="1">
              <a:extLst>
                <a:ext uri="{63B3BB69-23CF-44E3-9099-C40C66FF867C}">
                  <a14:compatExt spid="_x0000_s186476"/>
                </a:ext>
                <a:ext uri="{FF2B5EF4-FFF2-40B4-BE49-F238E27FC236}">
                  <a16:creationId xmlns:a16="http://schemas.microsoft.com/office/drawing/2014/main" id="{00000000-0008-0000-0100-00006C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315</xdr:row>
          <xdr:rowOff>19050</xdr:rowOff>
        </xdr:from>
        <xdr:to>
          <xdr:col>4</xdr:col>
          <xdr:colOff>0</xdr:colOff>
          <xdr:row>316</xdr:row>
          <xdr:rowOff>0</xdr:rowOff>
        </xdr:to>
        <xdr:sp macro="" textlink="">
          <xdr:nvSpPr>
            <xdr:cNvPr id="186477" name="Drop Down 35949" hidden="1">
              <a:extLst>
                <a:ext uri="{63B3BB69-23CF-44E3-9099-C40C66FF867C}">
                  <a14:compatExt spid="_x0000_s186477"/>
                </a:ext>
                <a:ext uri="{FF2B5EF4-FFF2-40B4-BE49-F238E27FC236}">
                  <a16:creationId xmlns:a16="http://schemas.microsoft.com/office/drawing/2014/main" id="{00000000-0008-0000-0100-00006D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316</xdr:row>
          <xdr:rowOff>19050</xdr:rowOff>
        </xdr:from>
        <xdr:to>
          <xdr:col>4</xdr:col>
          <xdr:colOff>0</xdr:colOff>
          <xdr:row>317</xdr:row>
          <xdr:rowOff>0</xdr:rowOff>
        </xdr:to>
        <xdr:sp macro="" textlink="">
          <xdr:nvSpPr>
            <xdr:cNvPr id="186478" name="Drop Down 35950" hidden="1">
              <a:extLst>
                <a:ext uri="{63B3BB69-23CF-44E3-9099-C40C66FF867C}">
                  <a14:compatExt spid="_x0000_s186478"/>
                </a:ext>
                <a:ext uri="{FF2B5EF4-FFF2-40B4-BE49-F238E27FC236}">
                  <a16:creationId xmlns:a16="http://schemas.microsoft.com/office/drawing/2014/main" id="{00000000-0008-0000-0100-00006E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317</xdr:row>
          <xdr:rowOff>19050</xdr:rowOff>
        </xdr:from>
        <xdr:to>
          <xdr:col>4</xdr:col>
          <xdr:colOff>0</xdr:colOff>
          <xdr:row>318</xdr:row>
          <xdr:rowOff>0</xdr:rowOff>
        </xdr:to>
        <xdr:sp macro="" textlink="">
          <xdr:nvSpPr>
            <xdr:cNvPr id="186479" name="Drop Down 35951" hidden="1">
              <a:extLst>
                <a:ext uri="{63B3BB69-23CF-44E3-9099-C40C66FF867C}">
                  <a14:compatExt spid="_x0000_s186479"/>
                </a:ext>
                <a:ext uri="{FF2B5EF4-FFF2-40B4-BE49-F238E27FC236}">
                  <a16:creationId xmlns:a16="http://schemas.microsoft.com/office/drawing/2014/main" id="{00000000-0008-0000-0100-00006F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318</xdr:row>
          <xdr:rowOff>19050</xdr:rowOff>
        </xdr:from>
        <xdr:to>
          <xdr:col>4</xdr:col>
          <xdr:colOff>0</xdr:colOff>
          <xdr:row>319</xdr:row>
          <xdr:rowOff>0</xdr:rowOff>
        </xdr:to>
        <xdr:sp macro="" textlink="">
          <xdr:nvSpPr>
            <xdr:cNvPr id="186480" name="Drop Down 35952" hidden="1">
              <a:extLst>
                <a:ext uri="{63B3BB69-23CF-44E3-9099-C40C66FF867C}">
                  <a14:compatExt spid="_x0000_s186480"/>
                </a:ext>
                <a:ext uri="{FF2B5EF4-FFF2-40B4-BE49-F238E27FC236}">
                  <a16:creationId xmlns:a16="http://schemas.microsoft.com/office/drawing/2014/main" id="{00000000-0008-0000-0100-000070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319</xdr:row>
          <xdr:rowOff>19050</xdr:rowOff>
        </xdr:from>
        <xdr:to>
          <xdr:col>4</xdr:col>
          <xdr:colOff>0</xdr:colOff>
          <xdr:row>320</xdr:row>
          <xdr:rowOff>0</xdr:rowOff>
        </xdr:to>
        <xdr:sp macro="" textlink="">
          <xdr:nvSpPr>
            <xdr:cNvPr id="186481" name="Drop Down 35953" hidden="1">
              <a:extLst>
                <a:ext uri="{63B3BB69-23CF-44E3-9099-C40C66FF867C}">
                  <a14:compatExt spid="_x0000_s186481"/>
                </a:ext>
                <a:ext uri="{FF2B5EF4-FFF2-40B4-BE49-F238E27FC236}">
                  <a16:creationId xmlns:a16="http://schemas.microsoft.com/office/drawing/2014/main" id="{00000000-0008-0000-0100-000071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320</xdr:row>
          <xdr:rowOff>19050</xdr:rowOff>
        </xdr:from>
        <xdr:to>
          <xdr:col>4</xdr:col>
          <xdr:colOff>0</xdr:colOff>
          <xdr:row>321</xdr:row>
          <xdr:rowOff>0</xdr:rowOff>
        </xdr:to>
        <xdr:sp macro="" textlink="">
          <xdr:nvSpPr>
            <xdr:cNvPr id="186482" name="Drop Down 35954" hidden="1">
              <a:extLst>
                <a:ext uri="{63B3BB69-23CF-44E3-9099-C40C66FF867C}">
                  <a14:compatExt spid="_x0000_s186482"/>
                </a:ext>
                <a:ext uri="{FF2B5EF4-FFF2-40B4-BE49-F238E27FC236}">
                  <a16:creationId xmlns:a16="http://schemas.microsoft.com/office/drawing/2014/main" id="{00000000-0008-0000-0100-000072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321</xdr:row>
          <xdr:rowOff>19050</xdr:rowOff>
        </xdr:from>
        <xdr:to>
          <xdr:col>4</xdr:col>
          <xdr:colOff>0</xdr:colOff>
          <xdr:row>322</xdr:row>
          <xdr:rowOff>0</xdr:rowOff>
        </xdr:to>
        <xdr:sp macro="" textlink="">
          <xdr:nvSpPr>
            <xdr:cNvPr id="186483" name="Drop Down 35955" hidden="1">
              <a:extLst>
                <a:ext uri="{63B3BB69-23CF-44E3-9099-C40C66FF867C}">
                  <a14:compatExt spid="_x0000_s186483"/>
                </a:ext>
                <a:ext uri="{FF2B5EF4-FFF2-40B4-BE49-F238E27FC236}">
                  <a16:creationId xmlns:a16="http://schemas.microsoft.com/office/drawing/2014/main" id="{00000000-0008-0000-0100-000073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322</xdr:row>
          <xdr:rowOff>19050</xdr:rowOff>
        </xdr:from>
        <xdr:to>
          <xdr:col>4</xdr:col>
          <xdr:colOff>0</xdr:colOff>
          <xdr:row>323</xdr:row>
          <xdr:rowOff>0</xdr:rowOff>
        </xdr:to>
        <xdr:sp macro="" textlink="">
          <xdr:nvSpPr>
            <xdr:cNvPr id="186484" name="Drop Down 35956" hidden="1">
              <a:extLst>
                <a:ext uri="{63B3BB69-23CF-44E3-9099-C40C66FF867C}">
                  <a14:compatExt spid="_x0000_s186484"/>
                </a:ext>
                <a:ext uri="{FF2B5EF4-FFF2-40B4-BE49-F238E27FC236}">
                  <a16:creationId xmlns:a16="http://schemas.microsoft.com/office/drawing/2014/main" id="{00000000-0008-0000-0100-000074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323</xdr:row>
          <xdr:rowOff>19050</xdr:rowOff>
        </xdr:from>
        <xdr:to>
          <xdr:col>4</xdr:col>
          <xdr:colOff>0</xdr:colOff>
          <xdr:row>324</xdr:row>
          <xdr:rowOff>0</xdr:rowOff>
        </xdr:to>
        <xdr:sp macro="" textlink="">
          <xdr:nvSpPr>
            <xdr:cNvPr id="186485" name="Drop Down 35957" hidden="1">
              <a:extLst>
                <a:ext uri="{63B3BB69-23CF-44E3-9099-C40C66FF867C}">
                  <a14:compatExt spid="_x0000_s186485"/>
                </a:ext>
                <a:ext uri="{FF2B5EF4-FFF2-40B4-BE49-F238E27FC236}">
                  <a16:creationId xmlns:a16="http://schemas.microsoft.com/office/drawing/2014/main" id="{00000000-0008-0000-0100-000075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324</xdr:row>
          <xdr:rowOff>19050</xdr:rowOff>
        </xdr:from>
        <xdr:to>
          <xdr:col>4</xdr:col>
          <xdr:colOff>0</xdr:colOff>
          <xdr:row>325</xdr:row>
          <xdr:rowOff>0</xdr:rowOff>
        </xdr:to>
        <xdr:sp macro="" textlink="">
          <xdr:nvSpPr>
            <xdr:cNvPr id="186486" name="Drop Down 35958" hidden="1">
              <a:extLst>
                <a:ext uri="{63B3BB69-23CF-44E3-9099-C40C66FF867C}">
                  <a14:compatExt spid="_x0000_s186486"/>
                </a:ext>
                <a:ext uri="{FF2B5EF4-FFF2-40B4-BE49-F238E27FC236}">
                  <a16:creationId xmlns:a16="http://schemas.microsoft.com/office/drawing/2014/main" id="{00000000-0008-0000-0100-000076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325</xdr:row>
          <xdr:rowOff>19050</xdr:rowOff>
        </xdr:from>
        <xdr:to>
          <xdr:col>4</xdr:col>
          <xdr:colOff>0</xdr:colOff>
          <xdr:row>326</xdr:row>
          <xdr:rowOff>0</xdr:rowOff>
        </xdr:to>
        <xdr:sp macro="" textlink="">
          <xdr:nvSpPr>
            <xdr:cNvPr id="186487" name="Drop Down 35959" hidden="1">
              <a:extLst>
                <a:ext uri="{63B3BB69-23CF-44E3-9099-C40C66FF867C}">
                  <a14:compatExt spid="_x0000_s186487"/>
                </a:ext>
                <a:ext uri="{FF2B5EF4-FFF2-40B4-BE49-F238E27FC236}">
                  <a16:creationId xmlns:a16="http://schemas.microsoft.com/office/drawing/2014/main" id="{00000000-0008-0000-0100-000077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326</xdr:row>
          <xdr:rowOff>19050</xdr:rowOff>
        </xdr:from>
        <xdr:to>
          <xdr:col>4</xdr:col>
          <xdr:colOff>0</xdr:colOff>
          <xdr:row>327</xdr:row>
          <xdr:rowOff>0</xdr:rowOff>
        </xdr:to>
        <xdr:sp macro="" textlink="">
          <xdr:nvSpPr>
            <xdr:cNvPr id="186488" name="Drop Down 35960" hidden="1">
              <a:extLst>
                <a:ext uri="{63B3BB69-23CF-44E3-9099-C40C66FF867C}">
                  <a14:compatExt spid="_x0000_s186488"/>
                </a:ext>
                <a:ext uri="{FF2B5EF4-FFF2-40B4-BE49-F238E27FC236}">
                  <a16:creationId xmlns:a16="http://schemas.microsoft.com/office/drawing/2014/main" id="{00000000-0008-0000-0100-000078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327</xdr:row>
          <xdr:rowOff>19050</xdr:rowOff>
        </xdr:from>
        <xdr:to>
          <xdr:col>4</xdr:col>
          <xdr:colOff>0</xdr:colOff>
          <xdr:row>328</xdr:row>
          <xdr:rowOff>0</xdr:rowOff>
        </xdr:to>
        <xdr:sp macro="" textlink="">
          <xdr:nvSpPr>
            <xdr:cNvPr id="186489" name="Drop Down 35961" hidden="1">
              <a:extLst>
                <a:ext uri="{63B3BB69-23CF-44E3-9099-C40C66FF867C}">
                  <a14:compatExt spid="_x0000_s186489"/>
                </a:ext>
                <a:ext uri="{FF2B5EF4-FFF2-40B4-BE49-F238E27FC236}">
                  <a16:creationId xmlns:a16="http://schemas.microsoft.com/office/drawing/2014/main" id="{00000000-0008-0000-0100-000079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328</xdr:row>
          <xdr:rowOff>19050</xdr:rowOff>
        </xdr:from>
        <xdr:to>
          <xdr:col>4</xdr:col>
          <xdr:colOff>0</xdr:colOff>
          <xdr:row>329</xdr:row>
          <xdr:rowOff>0</xdr:rowOff>
        </xdr:to>
        <xdr:sp macro="" textlink="">
          <xdr:nvSpPr>
            <xdr:cNvPr id="186490" name="Drop Down 35962" hidden="1">
              <a:extLst>
                <a:ext uri="{63B3BB69-23CF-44E3-9099-C40C66FF867C}">
                  <a14:compatExt spid="_x0000_s186490"/>
                </a:ext>
                <a:ext uri="{FF2B5EF4-FFF2-40B4-BE49-F238E27FC236}">
                  <a16:creationId xmlns:a16="http://schemas.microsoft.com/office/drawing/2014/main" id="{00000000-0008-0000-0100-00007A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329</xdr:row>
          <xdr:rowOff>19050</xdr:rowOff>
        </xdr:from>
        <xdr:to>
          <xdr:col>4</xdr:col>
          <xdr:colOff>0</xdr:colOff>
          <xdr:row>330</xdr:row>
          <xdr:rowOff>0</xdr:rowOff>
        </xdr:to>
        <xdr:sp macro="" textlink="">
          <xdr:nvSpPr>
            <xdr:cNvPr id="186491" name="Drop Down 35963" hidden="1">
              <a:extLst>
                <a:ext uri="{63B3BB69-23CF-44E3-9099-C40C66FF867C}">
                  <a14:compatExt spid="_x0000_s186491"/>
                </a:ext>
                <a:ext uri="{FF2B5EF4-FFF2-40B4-BE49-F238E27FC236}">
                  <a16:creationId xmlns:a16="http://schemas.microsoft.com/office/drawing/2014/main" id="{00000000-0008-0000-0100-00007B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330</xdr:row>
          <xdr:rowOff>19050</xdr:rowOff>
        </xdr:from>
        <xdr:to>
          <xdr:col>4</xdr:col>
          <xdr:colOff>0</xdr:colOff>
          <xdr:row>331</xdr:row>
          <xdr:rowOff>0</xdr:rowOff>
        </xdr:to>
        <xdr:sp macro="" textlink="">
          <xdr:nvSpPr>
            <xdr:cNvPr id="186492" name="Drop Down 35964" hidden="1">
              <a:extLst>
                <a:ext uri="{63B3BB69-23CF-44E3-9099-C40C66FF867C}">
                  <a14:compatExt spid="_x0000_s186492"/>
                </a:ext>
                <a:ext uri="{FF2B5EF4-FFF2-40B4-BE49-F238E27FC236}">
                  <a16:creationId xmlns:a16="http://schemas.microsoft.com/office/drawing/2014/main" id="{00000000-0008-0000-0100-00007C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331</xdr:row>
          <xdr:rowOff>19050</xdr:rowOff>
        </xdr:from>
        <xdr:to>
          <xdr:col>4</xdr:col>
          <xdr:colOff>0</xdr:colOff>
          <xdr:row>332</xdr:row>
          <xdr:rowOff>0</xdr:rowOff>
        </xdr:to>
        <xdr:sp macro="" textlink="">
          <xdr:nvSpPr>
            <xdr:cNvPr id="186493" name="Drop Down 35965" hidden="1">
              <a:extLst>
                <a:ext uri="{63B3BB69-23CF-44E3-9099-C40C66FF867C}">
                  <a14:compatExt spid="_x0000_s186493"/>
                </a:ext>
                <a:ext uri="{FF2B5EF4-FFF2-40B4-BE49-F238E27FC236}">
                  <a16:creationId xmlns:a16="http://schemas.microsoft.com/office/drawing/2014/main" id="{00000000-0008-0000-0100-00007D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332</xdr:row>
          <xdr:rowOff>19050</xdr:rowOff>
        </xdr:from>
        <xdr:to>
          <xdr:col>4</xdr:col>
          <xdr:colOff>0</xdr:colOff>
          <xdr:row>333</xdr:row>
          <xdr:rowOff>0</xdr:rowOff>
        </xdr:to>
        <xdr:sp macro="" textlink="">
          <xdr:nvSpPr>
            <xdr:cNvPr id="186494" name="Drop Down 35966" hidden="1">
              <a:extLst>
                <a:ext uri="{63B3BB69-23CF-44E3-9099-C40C66FF867C}">
                  <a14:compatExt spid="_x0000_s186494"/>
                </a:ext>
                <a:ext uri="{FF2B5EF4-FFF2-40B4-BE49-F238E27FC236}">
                  <a16:creationId xmlns:a16="http://schemas.microsoft.com/office/drawing/2014/main" id="{00000000-0008-0000-0100-00007E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333</xdr:row>
          <xdr:rowOff>19050</xdr:rowOff>
        </xdr:from>
        <xdr:to>
          <xdr:col>4</xdr:col>
          <xdr:colOff>0</xdr:colOff>
          <xdr:row>334</xdr:row>
          <xdr:rowOff>0</xdr:rowOff>
        </xdr:to>
        <xdr:sp macro="" textlink="">
          <xdr:nvSpPr>
            <xdr:cNvPr id="186495" name="Drop Down 35967" hidden="1">
              <a:extLst>
                <a:ext uri="{63B3BB69-23CF-44E3-9099-C40C66FF867C}">
                  <a14:compatExt spid="_x0000_s186495"/>
                </a:ext>
                <a:ext uri="{FF2B5EF4-FFF2-40B4-BE49-F238E27FC236}">
                  <a16:creationId xmlns:a16="http://schemas.microsoft.com/office/drawing/2014/main" id="{00000000-0008-0000-0100-00007F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334</xdr:row>
          <xdr:rowOff>19050</xdr:rowOff>
        </xdr:from>
        <xdr:to>
          <xdr:col>4</xdr:col>
          <xdr:colOff>0</xdr:colOff>
          <xdr:row>335</xdr:row>
          <xdr:rowOff>0</xdr:rowOff>
        </xdr:to>
        <xdr:sp macro="" textlink="">
          <xdr:nvSpPr>
            <xdr:cNvPr id="186496" name="Drop Down 35968" hidden="1">
              <a:extLst>
                <a:ext uri="{63B3BB69-23CF-44E3-9099-C40C66FF867C}">
                  <a14:compatExt spid="_x0000_s186496"/>
                </a:ext>
                <a:ext uri="{FF2B5EF4-FFF2-40B4-BE49-F238E27FC236}">
                  <a16:creationId xmlns:a16="http://schemas.microsoft.com/office/drawing/2014/main" id="{00000000-0008-0000-0100-000080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335</xdr:row>
          <xdr:rowOff>19050</xdr:rowOff>
        </xdr:from>
        <xdr:to>
          <xdr:col>4</xdr:col>
          <xdr:colOff>0</xdr:colOff>
          <xdr:row>336</xdr:row>
          <xdr:rowOff>0</xdr:rowOff>
        </xdr:to>
        <xdr:sp macro="" textlink="">
          <xdr:nvSpPr>
            <xdr:cNvPr id="186497" name="Drop Down 35969" hidden="1">
              <a:extLst>
                <a:ext uri="{63B3BB69-23CF-44E3-9099-C40C66FF867C}">
                  <a14:compatExt spid="_x0000_s186497"/>
                </a:ext>
                <a:ext uri="{FF2B5EF4-FFF2-40B4-BE49-F238E27FC236}">
                  <a16:creationId xmlns:a16="http://schemas.microsoft.com/office/drawing/2014/main" id="{00000000-0008-0000-0100-000081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336</xdr:row>
          <xdr:rowOff>19050</xdr:rowOff>
        </xdr:from>
        <xdr:to>
          <xdr:col>4</xdr:col>
          <xdr:colOff>0</xdr:colOff>
          <xdr:row>337</xdr:row>
          <xdr:rowOff>0</xdr:rowOff>
        </xdr:to>
        <xdr:sp macro="" textlink="">
          <xdr:nvSpPr>
            <xdr:cNvPr id="186498" name="Drop Down 35970" hidden="1">
              <a:extLst>
                <a:ext uri="{63B3BB69-23CF-44E3-9099-C40C66FF867C}">
                  <a14:compatExt spid="_x0000_s186498"/>
                </a:ext>
                <a:ext uri="{FF2B5EF4-FFF2-40B4-BE49-F238E27FC236}">
                  <a16:creationId xmlns:a16="http://schemas.microsoft.com/office/drawing/2014/main" id="{00000000-0008-0000-0100-000082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9525</xdr:colOff>
      <xdr:row>234</xdr:row>
      <xdr:rowOff>0</xdr:rowOff>
    </xdr:from>
    <xdr:to>
      <xdr:col>3</xdr:col>
      <xdr:colOff>23232</xdr:colOff>
      <xdr:row>234</xdr:row>
      <xdr:rowOff>181208</xdr:rowOff>
    </xdr:to>
    <xdr:cxnSp macro="">
      <xdr:nvCxnSpPr>
        <xdr:cNvPr id="3" name="Gerader Verbinder 2">
          <a:extLst>
            <a:ext uri="{FF2B5EF4-FFF2-40B4-BE49-F238E27FC236}">
              <a16:creationId xmlns:a16="http://schemas.microsoft.com/office/drawing/2014/main" id="{00000000-0008-0000-0100-000003000000}"/>
            </a:ext>
          </a:extLst>
        </xdr:cNvPr>
        <xdr:cNvCxnSpPr/>
      </xdr:nvCxnSpPr>
      <xdr:spPr bwMode="auto">
        <a:xfrm>
          <a:off x="989903" y="47369451"/>
          <a:ext cx="1310036" cy="181208"/>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3</xdr:col>
      <xdr:colOff>27878</xdr:colOff>
      <xdr:row>234</xdr:row>
      <xdr:rowOff>0</xdr:rowOff>
    </xdr:from>
    <xdr:to>
      <xdr:col>5</xdr:col>
      <xdr:colOff>0</xdr:colOff>
      <xdr:row>234</xdr:row>
      <xdr:rowOff>181208</xdr:rowOff>
    </xdr:to>
    <xdr:cxnSp macro="">
      <xdr:nvCxnSpPr>
        <xdr:cNvPr id="5" name="Gerader Verbinder 4">
          <a:extLst>
            <a:ext uri="{FF2B5EF4-FFF2-40B4-BE49-F238E27FC236}">
              <a16:creationId xmlns:a16="http://schemas.microsoft.com/office/drawing/2014/main" id="{00000000-0008-0000-0100-000005000000}"/>
            </a:ext>
          </a:extLst>
        </xdr:cNvPr>
        <xdr:cNvCxnSpPr/>
      </xdr:nvCxnSpPr>
      <xdr:spPr bwMode="auto">
        <a:xfrm flipV="1">
          <a:off x="2303852" y="47609961"/>
          <a:ext cx="984780" cy="181208"/>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3</xdr:col>
      <xdr:colOff>28576</xdr:colOff>
      <xdr:row>234</xdr:row>
      <xdr:rowOff>180975</xdr:rowOff>
    </xdr:from>
    <xdr:to>
      <xdr:col>3</xdr:col>
      <xdr:colOff>34018</xdr:colOff>
      <xdr:row>236</xdr:row>
      <xdr:rowOff>170089</xdr:rowOff>
    </xdr:to>
    <xdr:cxnSp macro="">
      <xdr:nvCxnSpPr>
        <xdr:cNvPr id="7" name="Gerade Verbindung mit Pfeil 6">
          <a:extLst>
            <a:ext uri="{FF2B5EF4-FFF2-40B4-BE49-F238E27FC236}">
              <a16:creationId xmlns:a16="http://schemas.microsoft.com/office/drawing/2014/main" id="{00000000-0008-0000-0100-000007000000}"/>
            </a:ext>
          </a:extLst>
        </xdr:cNvPr>
        <xdr:cNvCxnSpPr/>
      </xdr:nvCxnSpPr>
      <xdr:spPr bwMode="auto">
        <a:xfrm>
          <a:off x="2307772" y="48018587"/>
          <a:ext cx="5442" cy="397328"/>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mc:AlternateContent xmlns:mc="http://schemas.openxmlformats.org/markup-compatibility/2006">
    <mc:Choice xmlns:a14="http://schemas.microsoft.com/office/drawing/2010/main" Requires="a14">
      <xdr:twoCellAnchor editAs="oneCell">
        <xdr:from>
          <xdr:col>0</xdr:col>
          <xdr:colOff>9525</xdr:colOff>
          <xdr:row>136</xdr:row>
          <xdr:rowOff>9525</xdr:rowOff>
        </xdr:from>
        <xdr:to>
          <xdr:col>2</xdr:col>
          <xdr:colOff>0</xdr:colOff>
          <xdr:row>137</xdr:row>
          <xdr:rowOff>0</xdr:rowOff>
        </xdr:to>
        <xdr:sp macro="" textlink="">
          <xdr:nvSpPr>
            <xdr:cNvPr id="217918" name="Drop Down 45886" hidden="1">
              <a:extLst>
                <a:ext uri="{63B3BB69-23CF-44E3-9099-C40C66FF867C}">
                  <a14:compatExt spid="_x0000_s217918"/>
                </a:ext>
                <a:ext uri="{FF2B5EF4-FFF2-40B4-BE49-F238E27FC236}">
                  <a16:creationId xmlns:a16="http://schemas.microsoft.com/office/drawing/2014/main" id="{00000000-0008-0000-0100-00003E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137</xdr:row>
          <xdr:rowOff>9525</xdr:rowOff>
        </xdr:from>
        <xdr:to>
          <xdr:col>2</xdr:col>
          <xdr:colOff>0</xdr:colOff>
          <xdr:row>138</xdr:row>
          <xdr:rowOff>0</xdr:rowOff>
        </xdr:to>
        <xdr:sp macro="" textlink="">
          <xdr:nvSpPr>
            <xdr:cNvPr id="217919" name="Drop Down 45887" hidden="1">
              <a:extLst>
                <a:ext uri="{63B3BB69-23CF-44E3-9099-C40C66FF867C}">
                  <a14:compatExt spid="_x0000_s217919"/>
                </a:ext>
                <a:ext uri="{FF2B5EF4-FFF2-40B4-BE49-F238E27FC236}">
                  <a16:creationId xmlns:a16="http://schemas.microsoft.com/office/drawing/2014/main" id="{00000000-0008-0000-0100-00003F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138</xdr:row>
          <xdr:rowOff>9525</xdr:rowOff>
        </xdr:from>
        <xdr:to>
          <xdr:col>2</xdr:col>
          <xdr:colOff>0</xdr:colOff>
          <xdr:row>139</xdr:row>
          <xdr:rowOff>0</xdr:rowOff>
        </xdr:to>
        <xdr:sp macro="" textlink="">
          <xdr:nvSpPr>
            <xdr:cNvPr id="217920" name="Drop Down 45888" hidden="1">
              <a:extLst>
                <a:ext uri="{63B3BB69-23CF-44E3-9099-C40C66FF867C}">
                  <a14:compatExt spid="_x0000_s217920"/>
                </a:ext>
                <a:ext uri="{FF2B5EF4-FFF2-40B4-BE49-F238E27FC236}">
                  <a16:creationId xmlns:a16="http://schemas.microsoft.com/office/drawing/2014/main" id="{00000000-0008-0000-0100-000040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139</xdr:row>
          <xdr:rowOff>9525</xdr:rowOff>
        </xdr:from>
        <xdr:to>
          <xdr:col>2</xdr:col>
          <xdr:colOff>0</xdr:colOff>
          <xdr:row>140</xdr:row>
          <xdr:rowOff>0</xdr:rowOff>
        </xdr:to>
        <xdr:sp macro="" textlink="">
          <xdr:nvSpPr>
            <xdr:cNvPr id="217921" name="Drop Down 45889" hidden="1">
              <a:extLst>
                <a:ext uri="{63B3BB69-23CF-44E3-9099-C40C66FF867C}">
                  <a14:compatExt spid="_x0000_s217921"/>
                </a:ext>
                <a:ext uri="{FF2B5EF4-FFF2-40B4-BE49-F238E27FC236}">
                  <a16:creationId xmlns:a16="http://schemas.microsoft.com/office/drawing/2014/main" id="{00000000-0008-0000-0100-000041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140</xdr:row>
          <xdr:rowOff>9525</xdr:rowOff>
        </xdr:from>
        <xdr:to>
          <xdr:col>2</xdr:col>
          <xdr:colOff>0</xdr:colOff>
          <xdr:row>141</xdr:row>
          <xdr:rowOff>0</xdr:rowOff>
        </xdr:to>
        <xdr:sp macro="" textlink="">
          <xdr:nvSpPr>
            <xdr:cNvPr id="217922" name="Drop Down 45890" hidden="1">
              <a:extLst>
                <a:ext uri="{63B3BB69-23CF-44E3-9099-C40C66FF867C}">
                  <a14:compatExt spid="_x0000_s217922"/>
                </a:ext>
                <a:ext uri="{FF2B5EF4-FFF2-40B4-BE49-F238E27FC236}">
                  <a16:creationId xmlns:a16="http://schemas.microsoft.com/office/drawing/2014/main" id="{00000000-0008-0000-0100-000042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141</xdr:row>
          <xdr:rowOff>9525</xdr:rowOff>
        </xdr:from>
        <xdr:to>
          <xdr:col>2</xdr:col>
          <xdr:colOff>0</xdr:colOff>
          <xdr:row>142</xdr:row>
          <xdr:rowOff>0</xdr:rowOff>
        </xdr:to>
        <xdr:sp macro="" textlink="">
          <xdr:nvSpPr>
            <xdr:cNvPr id="217923" name="Drop Down 45891" hidden="1">
              <a:extLst>
                <a:ext uri="{63B3BB69-23CF-44E3-9099-C40C66FF867C}">
                  <a14:compatExt spid="_x0000_s217923"/>
                </a:ext>
                <a:ext uri="{FF2B5EF4-FFF2-40B4-BE49-F238E27FC236}">
                  <a16:creationId xmlns:a16="http://schemas.microsoft.com/office/drawing/2014/main" id="{00000000-0008-0000-0100-000043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142</xdr:row>
          <xdr:rowOff>9525</xdr:rowOff>
        </xdr:from>
        <xdr:to>
          <xdr:col>2</xdr:col>
          <xdr:colOff>0</xdr:colOff>
          <xdr:row>143</xdr:row>
          <xdr:rowOff>0</xdr:rowOff>
        </xdr:to>
        <xdr:sp macro="" textlink="">
          <xdr:nvSpPr>
            <xdr:cNvPr id="217924" name="Drop Down 45892" hidden="1">
              <a:extLst>
                <a:ext uri="{63B3BB69-23CF-44E3-9099-C40C66FF867C}">
                  <a14:compatExt spid="_x0000_s217924"/>
                </a:ext>
                <a:ext uri="{FF2B5EF4-FFF2-40B4-BE49-F238E27FC236}">
                  <a16:creationId xmlns:a16="http://schemas.microsoft.com/office/drawing/2014/main" id="{00000000-0008-0000-0100-000044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143</xdr:row>
          <xdr:rowOff>9525</xdr:rowOff>
        </xdr:from>
        <xdr:to>
          <xdr:col>2</xdr:col>
          <xdr:colOff>0</xdr:colOff>
          <xdr:row>144</xdr:row>
          <xdr:rowOff>0</xdr:rowOff>
        </xdr:to>
        <xdr:sp macro="" textlink="">
          <xdr:nvSpPr>
            <xdr:cNvPr id="217925" name="Drop Down 45893" hidden="1">
              <a:extLst>
                <a:ext uri="{63B3BB69-23CF-44E3-9099-C40C66FF867C}">
                  <a14:compatExt spid="_x0000_s217925"/>
                </a:ext>
                <a:ext uri="{FF2B5EF4-FFF2-40B4-BE49-F238E27FC236}">
                  <a16:creationId xmlns:a16="http://schemas.microsoft.com/office/drawing/2014/main" id="{00000000-0008-0000-0100-000045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144</xdr:row>
          <xdr:rowOff>9525</xdr:rowOff>
        </xdr:from>
        <xdr:to>
          <xdr:col>2</xdr:col>
          <xdr:colOff>0</xdr:colOff>
          <xdr:row>145</xdr:row>
          <xdr:rowOff>0</xdr:rowOff>
        </xdr:to>
        <xdr:sp macro="" textlink="">
          <xdr:nvSpPr>
            <xdr:cNvPr id="217926" name="Drop Down 45894" hidden="1">
              <a:extLst>
                <a:ext uri="{63B3BB69-23CF-44E3-9099-C40C66FF867C}">
                  <a14:compatExt spid="_x0000_s217926"/>
                </a:ext>
                <a:ext uri="{FF2B5EF4-FFF2-40B4-BE49-F238E27FC236}">
                  <a16:creationId xmlns:a16="http://schemas.microsoft.com/office/drawing/2014/main" id="{00000000-0008-0000-0100-000046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145</xdr:row>
          <xdr:rowOff>9525</xdr:rowOff>
        </xdr:from>
        <xdr:to>
          <xdr:col>2</xdr:col>
          <xdr:colOff>0</xdr:colOff>
          <xdr:row>146</xdr:row>
          <xdr:rowOff>0</xdr:rowOff>
        </xdr:to>
        <xdr:sp macro="" textlink="">
          <xdr:nvSpPr>
            <xdr:cNvPr id="217927" name="Drop Down 45895" hidden="1">
              <a:extLst>
                <a:ext uri="{63B3BB69-23CF-44E3-9099-C40C66FF867C}">
                  <a14:compatExt spid="_x0000_s217927"/>
                </a:ext>
                <a:ext uri="{FF2B5EF4-FFF2-40B4-BE49-F238E27FC236}">
                  <a16:creationId xmlns:a16="http://schemas.microsoft.com/office/drawing/2014/main" id="{00000000-0008-0000-0100-000047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146</xdr:row>
          <xdr:rowOff>9525</xdr:rowOff>
        </xdr:from>
        <xdr:to>
          <xdr:col>2</xdr:col>
          <xdr:colOff>0</xdr:colOff>
          <xdr:row>147</xdr:row>
          <xdr:rowOff>0</xdr:rowOff>
        </xdr:to>
        <xdr:sp macro="" textlink="">
          <xdr:nvSpPr>
            <xdr:cNvPr id="217928" name="Drop Down 45896" hidden="1">
              <a:extLst>
                <a:ext uri="{63B3BB69-23CF-44E3-9099-C40C66FF867C}">
                  <a14:compatExt spid="_x0000_s217928"/>
                </a:ext>
                <a:ext uri="{FF2B5EF4-FFF2-40B4-BE49-F238E27FC236}">
                  <a16:creationId xmlns:a16="http://schemas.microsoft.com/office/drawing/2014/main" id="{00000000-0008-0000-0100-000048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147</xdr:row>
          <xdr:rowOff>9525</xdr:rowOff>
        </xdr:from>
        <xdr:to>
          <xdr:col>2</xdr:col>
          <xdr:colOff>0</xdr:colOff>
          <xdr:row>148</xdr:row>
          <xdr:rowOff>0</xdr:rowOff>
        </xdr:to>
        <xdr:sp macro="" textlink="">
          <xdr:nvSpPr>
            <xdr:cNvPr id="217929" name="Drop Down 45897" hidden="1">
              <a:extLst>
                <a:ext uri="{63B3BB69-23CF-44E3-9099-C40C66FF867C}">
                  <a14:compatExt spid="_x0000_s217929"/>
                </a:ext>
                <a:ext uri="{FF2B5EF4-FFF2-40B4-BE49-F238E27FC236}">
                  <a16:creationId xmlns:a16="http://schemas.microsoft.com/office/drawing/2014/main" id="{00000000-0008-0000-0100-000049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148</xdr:row>
          <xdr:rowOff>9525</xdr:rowOff>
        </xdr:from>
        <xdr:to>
          <xdr:col>2</xdr:col>
          <xdr:colOff>0</xdr:colOff>
          <xdr:row>149</xdr:row>
          <xdr:rowOff>0</xdr:rowOff>
        </xdr:to>
        <xdr:sp macro="" textlink="">
          <xdr:nvSpPr>
            <xdr:cNvPr id="217930" name="Drop Down 45898" hidden="1">
              <a:extLst>
                <a:ext uri="{63B3BB69-23CF-44E3-9099-C40C66FF867C}">
                  <a14:compatExt spid="_x0000_s217930"/>
                </a:ext>
                <a:ext uri="{FF2B5EF4-FFF2-40B4-BE49-F238E27FC236}">
                  <a16:creationId xmlns:a16="http://schemas.microsoft.com/office/drawing/2014/main" id="{00000000-0008-0000-0100-00004A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149</xdr:row>
          <xdr:rowOff>9525</xdr:rowOff>
        </xdr:from>
        <xdr:to>
          <xdr:col>2</xdr:col>
          <xdr:colOff>0</xdr:colOff>
          <xdr:row>150</xdr:row>
          <xdr:rowOff>0</xdr:rowOff>
        </xdr:to>
        <xdr:sp macro="" textlink="">
          <xdr:nvSpPr>
            <xdr:cNvPr id="217931" name="Drop Down 45899" hidden="1">
              <a:extLst>
                <a:ext uri="{63B3BB69-23CF-44E3-9099-C40C66FF867C}">
                  <a14:compatExt spid="_x0000_s217931"/>
                </a:ext>
                <a:ext uri="{FF2B5EF4-FFF2-40B4-BE49-F238E27FC236}">
                  <a16:creationId xmlns:a16="http://schemas.microsoft.com/office/drawing/2014/main" id="{00000000-0008-0000-0100-00004B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150</xdr:row>
          <xdr:rowOff>9525</xdr:rowOff>
        </xdr:from>
        <xdr:to>
          <xdr:col>2</xdr:col>
          <xdr:colOff>0</xdr:colOff>
          <xdr:row>151</xdr:row>
          <xdr:rowOff>0</xdr:rowOff>
        </xdr:to>
        <xdr:sp macro="" textlink="">
          <xdr:nvSpPr>
            <xdr:cNvPr id="217932" name="Drop Down 45900" hidden="1">
              <a:extLst>
                <a:ext uri="{63B3BB69-23CF-44E3-9099-C40C66FF867C}">
                  <a14:compatExt spid="_x0000_s217932"/>
                </a:ext>
                <a:ext uri="{FF2B5EF4-FFF2-40B4-BE49-F238E27FC236}">
                  <a16:creationId xmlns:a16="http://schemas.microsoft.com/office/drawing/2014/main" id="{00000000-0008-0000-0100-00004C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151</xdr:row>
          <xdr:rowOff>9525</xdr:rowOff>
        </xdr:from>
        <xdr:to>
          <xdr:col>2</xdr:col>
          <xdr:colOff>0</xdr:colOff>
          <xdr:row>152</xdr:row>
          <xdr:rowOff>0</xdr:rowOff>
        </xdr:to>
        <xdr:sp macro="" textlink="">
          <xdr:nvSpPr>
            <xdr:cNvPr id="217933" name="Drop Down 45901" hidden="1">
              <a:extLst>
                <a:ext uri="{63B3BB69-23CF-44E3-9099-C40C66FF867C}">
                  <a14:compatExt spid="_x0000_s217933"/>
                </a:ext>
                <a:ext uri="{FF2B5EF4-FFF2-40B4-BE49-F238E27FC236}">
                  <a16:creationId xmlns:a16="http://schemas.microsoft.com/office/drawing/2014/main" id="{00000000-0008-0000-0100-00004D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152</xdr:row>
          <xdr:rowOff>9525</xdr:rowOff>
        </xdr:from>
        <xdr:to>
          <xdr:col>2</xdr:col>
          <xdr:colOff>0</xdr:colOff>
          <xdr:row>153</xdr:row>
          <xdr:rowOff>0</xdr:rowOff>
        </xdr:to>
        <xdr:sp macro="" textlink="">
          <xdr:nvSpPr>
            <xdr:cNvPr id="217934" name="Drop Down 45902" hidden="1">
              <a:extLst>
                <a:ext uri="{63B3BB69-23CF-44E3-9099-C40C66FF867C}">
                  <a14:compatExt spid="_x0000_s217934"/>
                </a:ext>
                <a:ext uri="{FF2B5EF4-FFF2-40B4-BE49-F238E27FC236}">
                  <a16:creationId xmlns:a16="http://schemas.microsoft.com/office/drawing/2014/main" id="{00000000-0008-0000-0100-00004E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153</xdr:row>
          <xdr:rowOff>0</xdr:rowOff>
        </xdr:from>
        <xdr:to>
          <xdr:col>2</xdr:col>
          <xdr:colOff>0</xdr:colOff>
          <xdr:row>153</xdr:row>
          <xdr:rowOff>190500</xdr:rowOff>
        </xdr:to>
        <xdr:sp macro="" textlink="">
          <xdr:nvSpPr>
            <xdr:cNvPr id="217935" name="Drop Down 45903" hidden="1">
              <a:extLst>
                <a:ext uri="{63B3BB69-23CF-44E3-9099-C40C66FF867C}">
                  <a14:compatExt spid="_x0000_s217935"/>
                </a:ext>
                <a:ext uri="{FF2B5EF4-FFF2-40B4-BE49-F238E27FC236}">
                  <a16:creationId xmlns:a16="http://schemas.microsoft.com/office/drawing/2014/main" id="{00000000-0008-0000-0100-00004F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136</xdr:row>
          <xdr:rowOff>9525</xdr:rowOff>
        </xdr:from>
        <xdr:to>
          <xdr:col>2</xdr:col>
          <xdr:colOff>0</xdr:colOff>
          <xdr:row>137</xdr:row>
          <xdr:rowOff>0</xdr:rowOff>
        </xdr:to>
        <xdr:sp macro="" textlink="">
          <xdr:nvSpPr>
            <xdr:cNvPr id="217936" name="Drop Down 45904" hidden="1">
              <a:extLst>
                <a:ext uri="{63B3BB69-23CF-44E3-9099-C40C66FF867C}">
                  <a14:compatExt spid="_x0000_s217936"/>
                </a:ext>
                <a:ext uri="{FF2B5EF4-FFF2-40B4-BE49-F238E27FC236}">
                  <a16:creationId xmlns:a16="http://schemas.microsoft.com/office/drawing/2014/main" id="{00000000-0008-0000-0100-000050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137</xdr:row>
          <xdr:rowOff>9525</xdr:rowOff>
        </xdr:from>
        <xdr:to>
          <xdr:col>2</xdr:col>
          <xdr:colOff>0</xdr:colOff>
          <xdr:row>138</xdr:row>
          <xdr:rowOff>0</xdr:rowOff>
        </xdr:to>
        <xdr:sp macro="" textlink="">
          <xdr:nvSpPr>
            <xdr:cNvPr id="217937" name="Drop Down 45905" hidden="1">
              <a:extLst>
                <a:ext uri="{63B3BB69-23CF-44E3-9099-C40C66FF867C}">
                  <a14:compatExt spid="_x0000_s217937"/>
                </a:ext>
                <a:ext uri="{FF2B5EF4-FFF2-40B4-BE49-F238E27FC236}">
                  <a16:creationId xmlns:a16="http://schemas.microsoft.com/office/drawing/2014/main" id="{00000000-0008-0000-0100-000051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138</xdr:row>
          <xdr:rowOff>9525</xdr:rowOff>
        </xdr:from>
        <xdr:to>
          <xdr:col>2</xdr:col>
          <xdr:colOff>0</xdr:colOff>
          <xdr:row>139</xdr:row>
          <xdr:rowOff>0</xdr:rowOff>
        </xdr:to>
        <xdr:sp macro="" textlink="">
          <xdr:nvSpPr>
            <xdr:cNvPr id="217938" name="Drop Down 45906" hidden="1">
              <a:extLst>
                <a:ext uri="{63B3BB69-23CF-44E3-9099-C40C66FF867C}">
                  <a14:compatExt spid="_x0000_s217938"/>
                </a:ext>
                <a:ext uri="{FF2B5EF4-FFF2-40B4-BE49-F238E27FC236}">
                  <a16:creationId xmlns:a16="http://schemas.microsoft.com/office/drawing/2014/main" id="{00000000-0008-0000-0100-000052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139</xdr:row>
          <xdr:rowOff>9525</xdr:rowOff>
        </xdr:from>
        <xdr:to>
          <xdr:col>2</xdr:col>
          <xdr:colOff>0</xdr:colOff>
          <xdr:row>140</xdr:row>
          <xdr:rowOff>0</xdr:rowOff>
        </xdr:to>
        <xdr:sp macro="" textlink="">
          <xdr:nvSpPr>
            <xdr:cNvPr id="217939" name="Drop Down 45907" hidden="1">
              <a:extLst>
                <a:ext uri="{63B3BB69-23CF-44E3-9099-C40C66FF867C}">
                  <a14:compatExt spid="_x0000_s217939"/>
                </a:ext>
                <a:ext uri="{FF2B5EF4-FFF2-40B4-BE49-F238E27FC236}">
                  <a16:creationId xmlns:a16="http://schemas.microsoft.com/office/drawing/2014/main" id="{00000000-0008-0000-0100-000053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140</xdr:row>
          <xdr:rowOff>9525</xdr:rowOff>
        </xdr:from>
        <xdr:to>
          <xdr:col>2</xdr:col>
          <xdr:colOff>0</xdr:colOff>
          <xdr:row>141</xdr:row>
          <xdr:rowOff>0</xdr:rowOff>
        </xdr:to>
        <xdr:sp macro="" textlink="">
          <xdr:nvSpPr>
            <xdr:cNvPr id="217940" name="Drop Down 45908" hidden="1">
              <a:extLst>
                <a:ext uri="{63B3BB69-23CF-44E3-9099-C40C66FF867C}">
                  <a14:compatExt spid="_x0000_s217940"/>
                </a:ext>
                <a:ext uri="{FF2B5EF4-FFF2-40B4-BE49-F238E27FC236}">
                  <a16:creationId xmlns:a16="http://schemas.microsoft.com/office/drawing/2014/main" id="{00000000-0008-0000-0100-000054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141</xdr:row>
          <xdr:rowOff>9525</xdr:rowOff>
        </xdr:from>
        <xdr:to>
          <xdr:col>2</xdr:col>
          <xdr:colOff>0</xdr:colOff>
          <xdr:row>142</xdr:row>
          <xdr:rowOff>0</xdr:rowOff>
        </xdr:to>
        <xdr:sp macro="" textlink="">
          <xdr:nvSpPr>
            <xdr:cNvPr id="217941" name="Drop Down 45909" hidden="1">
              <a:extLst>
                <a:ext uri="{63B3BB69-23CF-44E3-9099-C40C66FF867C}">
                  <a14:compatExt spid="_x0000_s217941"/>
                </a:ext>
                <a:ext uri="{FF2B5EF4-FFF2-40B4-BE49-F238E27FC236}">
                  <a16:creationId xmlns:a16="http://schemas.microsoft.com/office/drawing/2014/main" id="{00000000-0008-0000-0100-000055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142</xdr:row>
          <xdr:rowOff>9525</xdr:rowOff>
        </xdr:from>
        <xdr:to>
          <xdr:col>2</xdr:col>
          <xdr:colOff>0</xdr:colOff>
          <xdr:row>143</xdr:row>
          <xdr:rowOff>0</xdr:rowOff>
        </xdr:to>
        <xdr:sp macro="" textlink="">
          <xdr:nvSpPr>
            <xdr:cNvPr id="217942" name="Drop Down 45910" hidden="1">
              <a:extLst>
                <a:ext uri="{63B3BB69-23CF-44E3-9099-C40C66FF867C}">
                  <a14:compatExt spid="_x0000_s217942"/>
                </a:ext>
                <a:ext uri="{FF2B5EF4-FFF2-40B4-BE49-F238E27FC236}">
                  <a16:creationId xmlns:a16="http://schemas.microsoft.com/office/drawing/2014/main" id="{00000000-0008-0000-0100-000056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143</xdr:row>
          <xdr:rowOff>9525</xdr:rowOff>
        </xdr:from>
        <xdr:to>
          <xdr:col>2</xdr:col>
          <xdr:colOff>0</xdr:colOff>
          <xdr:row>144</xdr:row>
          <xdr:rowOff>0</xdr:rowOff>
        </xdr:to>
        <xdr:sp macro="" textlink="">
          <xdr:nvSpPr>
            <xdr:cNvPr id="217943" name="Drop Down 45911" hidden="1">
              <a:extLst>
                <a:ext uri="{63B3BB69-23CF-44E3-9099-C40C66FF867C}">
                  <a14:compatExt spid="_x0000_s217943"/>
                </a:ext>
                <a:ext uri="{FF2B5EF4-FFF2-40B4-BE49-F238E27FC236}">
                  <a16:creationId xmlns:a16="http://schemas.microsoft.com/office/drawing/2014/main" id="{00000000-0008-0000-0100-000057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144</xdr:row>
          <xdr:rowOff>9525</xdr:rowOff>
        </xdr:from>
        <xdr:to>
          <xdr:col>2</xdr:col>
          <xdr:colOff>0</xdr:colOff>
          <xdr:row>145</xdr:row>
          <xdr:rowOff>0</xdr:rowOff>
        </xdr:to>
        <xdr:sp macro="" textlink="">
          <xdr:nvSpPr>
            <xdr:cNvPr id="217944" name="Drop Down 45912" hidden="1">
              <a:extLst>
                <a:ext uri="{63B3BB69-23CF-44E3-9099-C40C66FF867C}">
                  <a14:compatExt spid="_x0000_s217944"/>
                </a:ext>
                <a:ext uri="{FF2B5EF4-FFF2-40B4-BE49-F238E27FC236}">
                  <a16:creationId xmlns:a16="http://schemas.microsoft.com/office/drawing/2014/main" id="{00000000-0008-0000-0100-000058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145</xdr:row>
          <xdr:rowOff>9525</xdr:rowOff>
        </xdr:from>
        <xdr:to>
          <xdr:col>2</xdr:col>
          <xdr:colOff>0</xdr:colOff>
          <xdr:row>146</xdr:row>
          <xdr:rowOff>0</xdr:rowOff>
        </xdr:to>
        <xdr:sp macro="" textlink="">
          <xdr:nvSpPr>
            <xdr:cNvPr id="217945" name="Drop Down 45913" hidden="1">
              <a:extLst>
                <a:ext uri="{63B3BB69-23CF-44E3-9099-C40C66FF867C}">
                  <a14:compatExt spid="_x0000_s217945"/>
                </a:ext>
                <a:ext uri="{FF2B5EF4-FFF2-40B4-BE49-F238E27FC236}">
                  <a16:creationId xmlns:a16="http://schemas.microsoft.com/office/drawing/2014/main" id="{00000000-0008-0000-0100-000059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146</xdr:row>
          <xdr:rowOff>9525</xdr:rowOff>
        </xdr:from>
        <xdr:to>
          <xdr:col>2</xdr:col>
          <xdr:colOff>0</xdr:colOff>
          <xdr:row>147</xdr:row>
          <xdr:rowOff>0</xdr:rowOff>
        </xdr:to>
        <xdr:sp macro="" textlink="">
          <xdr:nvSpPr>
            <xdr:cNvPr id="217946" name="Drop Down 45914" hidden="1">
              <a:extLst>
                <a:ext uri="{63B3BB69-23CF-44E3-9099-C40C66FF867C}">
                  <a14:compatExt spid="_x0000_s217946"/>
                </a:ext>
                <a:ext uri="{FF2B5EF4-FFF2-40B4-BE49-F238E27FC236}">
                  <a16:creationId xmlns:a16="http://schemas.microsoft.com/office/drawing/2014/main" id="{00000000-0008-0000-0100-00005A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147</xdr:row>
          <xdr:rowOff>9525</xdr:rowOff>
        </xdr:from>
        <xdr:to>
          <xdr:col>2</xdr:col>
          <xdr:colOff>0</xdr:colOff>
          <xdr:row>148</xdr:row>
          <xdr:rowOff>0</xdr:rowOff>
        </xdr:to>
        <xdr:sp macro="" textlink="">
          <xdr:nvSpPr>
            <xdr:cNvPr id="217947" name="Drop Down 45915" hidden="1">
              <a:extLst>
                <a:ext uri="{63B3BB69-23CF-44E3-9099-C40C66FF867C}">
                  <a14:compatExt spid="_x0000_s217947"/>
                </a:ext>
                <a:ext uri="{FF2B5EF4-FFF2-40B4-BE49-F238E27FC236}">
                  <a16:creationId xmlns:a16="http://schemas.microsoft.com/office/drawing/2014/main" id="{00000000-0008-0000-0100-00005B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148</xdr:row>
          <xdr:rowOff>9525</xdr:rowOff>
        </xdr:from>
        <xdr:to>
          <xdr:col>2</xdr:col>
          <xdr:colOff>0</xdr:colOff>
          <xdr:row>149</xdr:row>
          <xdr:rowOff>0</xdr:rowOff>
        </xdr:to>
        <xdr:sp macro="" textlink="">
          <xdr:nvSpPr>
            <xdr:cNvPr id="217948" name="Drop Down 45916" hidden="1">
              <a:extLst>
                <a:ext uri="{63B3BB69-23CF-44E3-9099-C40C66FF867C}">
                  <a14:compatExt spid="_x0000_s217948"/>
                </a:ext>
                <a:ext uri="{FF2B5EF4-FFF2-40B4-BE49-F238E27FC236}">
                  <a16:creationId xmlns:a16="http://schemas.microsoft.com/office/drawing/2014/main" id="{00000000-0008-0000-0100-00005C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149</xdr:row>
          <xdr:rowOff>9525</xdr:rowOff>
        </xdr:from>
        <xdr:to>
          <xdr:col>2</xdr:col>
          <xdr:colOff>0</xdr:colOff>
          <xdr:row>150</xdr:row>
          <xdr:rowOff>0</xdr:rowOff>
        </xdr:to>
        <xdr:sp macro="" textlink="">
          <xdr:nvSpPr>
            <xdr:cNvPr id="217949" name="Drop Down 45917" hidden="1">
              <a:extLst>
                <a:ext uri="{63B3BB69-23CF-44E3-9099-C40C66FF867C}">
                  <a14:compatExt spid="_x0000_s217949"/>
                </a:ext>
                <a:ext uri="{FF2B5EF4-FFF2-40B4-BE49-F238E27FC236}">
                  <a16:creationId xmlns:a16="http://schemas.microsoft.com/office/drawing/2014/main" id="{00000000-0008-0000-0100-00005D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150</xdr:row>
          <xdr:rowOff>9525</xdr:rowOff>
        </xdr:from>
        <xdr:to>
          <xdr:col>2</xdr:col>
          <xdr:colOff>0</xdr:colOff>
          <xdr:row>151</xdr:row>
          <xdr:rowOff>0</xdr:rowOff>
        </xdr:to>
        <xdr:sp macro="" textlink="">
          <xdr:nvSpPr>
            <xdr:cNvPr id="217950" name="Drop Down 45918" hidden="1">
              <a:extLst>
                <a:ext uri="{63B3BB69-23CF-44E3-9099-C40C66FF867C}">
                  <a14:compatExt spid="_x0000_s217950"/>
                </a:ext>
                <a:ext uri="{FF2B5EF4-FFF2-40B4-BE49-F238E27FC236}">
                  <a16:creationId xmlns:a16="http://schemas.microsoft.com/office/drawing/2014/main" id="{00000000-0008-0000-0100-00005E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151</xdr:row>
          <xdr:rowOff>9525</xdr:rowOff>
        </xdr:from>
        <xdr:to>
          <xdr:col>2</xdr:col>
          <xdr:colOff>0</xdr:colOff>
          <xdr:row>152</xdr:row>
          <xdr:rowOff>0</xdr:rowOff>
        </xdr:to>
        <xdr:sp macro="" textlink="">
          <xdr:nvSpPr>
            <xdr:cNvPr id="217951" name="Drop Down 45919" hidden="1">
              <a:extLst>
                <a:ext uri="{63B3BB69-23CF-44E3-9099-C40C66FF867C}">
                  <a14:compatExt spid="_x0000_s217951"/>
                </a:ext>
                <a:ext uri="{FF2B5EF4-FFF2-40B4-BE49-F238E27FC236}">
                  <a16:creationId xmlns:a16="http://schemas.microsoft.com/office/drawing/2014/main" id="{00000000-0008-0000-0100-00005F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152</xdr:row>
          <xdr:rowOff>9525</xdr:rowOff>
        </xdr:from>
        <xdr:to>
          <xdr:col>2</xdr:col>
          <xdr:colOff>0</xdr:colOff>
          <xdr:row>153</xdr:row>
          <xdr:rowOff>0</xdr:rowOff>
        </xdr:to>
        <xdr:sp macro="" textlink="">
          <xdr:nvSpPr>
            <xdr:cNvPr id="217952" name="Drop Down 45920" hidden="1">
              <a:extLst>
                <a:ext uri="{63B3BB69-23CF-44E3-9099-C40C66FF867C}">
                  <a14:compatExt spid="_x0000_s217952"/>
                </a:ext>
                <a:ext uri="{FF2B5EF4-FFF2-40B4-BE49-F238E27FC236}">
                  <a16:creationId xmlns:a16="http://schemas.microsoft.com/office/drawing/2014/main" id="{00000000-0008-0000-0100-000060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153</xdr:row>
          <xdr:rowOff>9525</xdr:rowOff>
        </xdr:from>
        <xdr:to>
          <xdr:col>2</xdr:col>
          <xdr:colOff>0</xdr:colOff>
          <xdr:row>154</xdr:row>
          <xdr:rowOff>0</xdr:rowOff>
        </xdr:to>
        <xdr:sp macro="" textlink="">
          <xdr:nvSpPr>
            <xdr:cNvPr id="217953" name="Drop Down 45921" hidden="1">
              <a:extLst>
                <a:ext uri="{63B3BB69-23CF-44E3-9099-C40C66FF867C}">
                  <a14:compatExt spid="_x0000_s217953"/>
                </a:ext>
                <a:ext uri="{FF2B5EF4-FFF2-40B4-BE49-F238E27FC236}">
                  <a16:creationId xmlns:a16="http://schemas.microsoft.com/office/drawing/2014/main" id="{00000000-0008-0000-0100-000061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154</xdr:row>
          <xdr:rowOff>0</xdr:rowOff>
        </xdr:from>
        <xdr:to>
          <xdr:col>2</xdr:col>
          <xdr:colOff>0</xdr:colOff>
          <xdr:row>154</xdr:row>
          <xdr:rowOff>190500</xdr:rowOff>
        </xdr:to>
        <xdr:sp macro="" textlink="">
          <xdr:nvSpPr>
            <xdr:cNvPr id="217954" name="Drop Down 45922" hidden="1">
              <a:extLst>
                <a:ext uri="{63B3BB69-23CF-44E3-9099-C40C66FF867C}">
                  <a14:compatExt spid="_x0000_s217954"/>
                </a:ext>
                <a:ext uri="{FF2B5EF4-FFF2-40B4-BE49-F238E27FC236}">
                  <a16:creationId xmlns:a16="http://schemas.microsoft.com/office/drawing/2014/main" id="{00000000-0008-0000-0100-000062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154</xdr:row>
          <xdr:rowOff>9525</xdr:rowOff>
        </xdr:from>
        <xdr:to>
          <xdr:col>2</xdr:col>
          <xdr:colOff>0</xdr:colOff>
          <xdr:row>155</xdr:row>
          <xdr:rowOff>0</xdr:rowOff>
        </xdr:to>
        <xdr:sp macro="" textlink="">
          <xdr:nvSpPr>
            <xdr:cNvPr id="217955" name="Drop Down 45923" hidden="1">
              <a:extLst>
                <a:ext uri="{63B3BB69-23CF-44E3-9099-C40C66FF867C}">
                  <a14:compatExt spid="_x0000_s217955"/>
                </a:ext>
                <a:ext uri="{FF2B5EF4-FFF2-40B4-BE49-F238E27FC236}">
                  <a16:creationId xmlns:a16="http://schemas.microsoft.com/office/drawing/2014/main" id="{00000000-0008-0000-0100-000063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9</xdr:col>
      <xdr:colOff>112059</xdr:colOff>
      <xdr:row>0</xdr:row>
      <xdr:rowOff>112059</xdr:rowOff>
    </xdr:from>
    <xdr:to>
      <xdr:col>12</xdr:col>
      <xdr:colOff>245185</xdr:colOff>
      <xdr:row>3</xdr:row>
      <xdr:rowOff>18777</xdr:rowOff>
    </xdr:to>
    <xdr:pic>
      <xdr:nvPicPr>
        <xdr:cNvPr id="296" name="Picture 3">
          <a:extLst>
            <a:ext uri="{FF2B5EF4-FFF2-40B4-BE49-F238E27FC236}">
              <a16:creationId xmlns:a16="http://schemas.microsoft.com/office/drawing/2014/main" id="{00000000-0008-0000-0100-00002801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a:off x="5233147" y="112059"/>
          <a:ext cx="1082040" cy="567865"/>
        </a:xfrm>
        <a:prstGeom prst="rect">
          <a:avLst/>
        </a:prstGeom>
        <a:noFill/>
        <a:ln w="9525">
          <a:noFill/>
          <a:miter lim="800000"/>
          <a:headEnd/>
          <a:tailEnd/>
        </a:ln>
        <a:effectLst/>
      </xdr:spPr>
    </xdr:pic>
    <xdr:clientData/>
  </xdr:twoCellAnchor>
  <mc:AlternateContent xmlns:mc="http://schemas.openxmlformats.org/markup-compatibility/2006">
    <mc:Choice xmlns:a14="http://schemas.microsoft.com/office/drawing/2010/main" Requires="a14">
      <xdr:twoCellAnchor editAs="oneCell">
        <xdr:from>
          <xdr:col>0</xdr:col>
          <xdr:colOff>9525</xdr:colOff>
          <xdr:row>81</xdr:row>
          <xdr:rowOff>9525</xdr:rowOff>
        </xdr:from>
        <xdr:to>
          <xdr:col>3</xdr:col>
          <xdr:colOff>476250</xdr:colOff>
          <xdr:row>81</xdr:row>
          <xdr:rowOff>209550</xdr:rowOff>
        </xdr:to>
        <xdr:sp macro="" textlink="">
          <xdr:nvSpPr>
            <xdr:cNvPr id="218031" name="Drop Down 45999" hidden="1">
              <a:extLst>
                <a:ext uri="{63B3BB69-23CF-44E3-9099-C40C66FF867C}">
                  <a14:compatExt spid="_x0000_s218031"/>
                </a:ext>
                <a:ext uri="{FF2B5EF4-FFF2-40B4-BE49-F238E27FC236}">
                  <a16:creationId xmlns:a16="http://schemas.microsoft.com/office/drawing/2014/main" id="{00000000-0008-0000-0100-0000AF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81</xdr:row>
          <xdr:rowOff>19050</xdr:rowOff>
        </xdr:from>
        <xdr:to>
          <xdr:col>6</xdr:col>
          <xdr:colOff>495300</xdr:colOff>
          <xdr:row>81</xdr:row>
          <xdr:rowOff>209550</xdr:rowOff>
        </xdr:to>
        <xdr:sp macro="" textlink="">
          <xdr:nvSpPr>
            <xdr:cNvPr id="218033" name="Drop Down 46001" hidden="1">
              <a:extLst>
                <a:ext uri="{63B3BB69-23CF-44E3-9099-C40C66FF867C}">
                  <a14:compatExt spid="_x0000_s218033"/>
                </a:ext>
                <a:ext uri="{FF2B5EF4-FFF2-40B4-BE49-F238E27FC236}">
                  <a16:creationId xmlns:a16="http://schemas.microsoft.com/office/drawing/2014/main" id="{00000000-0008-0000-0100-0000B1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81</xdr:row>
          <xdr:rowOff>0</xdr:rowOff>
        </xdr:from>
        <xdr:to>
          <xdr:col>12</xdr:col>
          <xdr:colOff>361950</xdr:colOff>
          <xdr:row>81</xdr:row>
          <xdr:rowOff>209550</xdr:rowOff>
        </xdr:to>
        <xdr:sp macro="" textlink="">
          <xdr:nvSpPr>
            <xdr:cNvPr id="218034" name="Check Box 46002" hidden="1">
              <a:extLst>
                <a:ext uri="{63B3BB69-23CF-44E3-9099-C40C66FF867C}">
                  <a14:compatExt spid="_x0000_s218034"/>
                </a:ext>
                <a:ext uri="{FF2B5EF4-FFF2-40B4-BE49-F238E27FC236}">
                  <a16:creationId xmlns:a16="http://schemas.microsoft.com/office/drawing/2014/main" id="{00000000-0008-0000-0100-0000B25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82</xdr:row>
          <xdr:rowOff>9525</xdr:rowOff>
        </xdr:from>
        <xdr:to>
          <xdr:col>3</xdr:col>
          <xdr:colOff>476250</xdr:colOff>
          <xdr:row>82</xdr:row>
          <xdr:rowOff>209550</xdr:rowOff>
        </xdr:to>
        <xdr:sp macro="" textlink="">
          <xdr:nvSpPr>
            <xdr:cNvPr id="218035" name="Drop Down 46003" hidden="1">
              <a:extLst>
                <a:ext uri="{63B3BB69-23CF-44E3-9099-C40C66FF867C}">
                  <a14:compatExt spid="_x0000_s218035"/>
                </a:ext>
                <a:ext uri="{FF2B5EF4-FFF2-40B4-BE49-F238E27FC236}">
                  <a16:creationId xmlns:a16="http://schemas.microsoft.com/office/drawing/2014/main" id="{00000000-0008-0000-0100-0000B3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83</xdr:row>
          <xdr:rowOff>9525</xdr:rowOff>
        </xdr:from>
        <xdr:to>
          <xdr:col>3</xdr:col>
          <xdr:colOff>476250</xdr:colOff>
          <xdr:row>83</xdr:row>
          <xdr:rowOff>209550</xdr:rowOff>
        </xdr:to>
        <xdr:sp macro="" textlink="">
          <xdr:nvSpPr>
            <xdr:cNvPr id="218036" name="Drop Down 46004" hidden="1">
              <a:extLst>
                <a:ext uri="{63B3BB69-23CF-44E3-9099-C40C66FF867C}">
                  <a14:compatExt spid="_x0000_s218036"/>
                </a:ext>
                <a:ext uri="{FF2B5EF4-FFF2-40B4-BE49-F238E27FC236}">
                  <a16:creationId xmlns:a16="http://schemas.microsoft.com/office/drawing/2014/main" id="{00000000-0008-0000-0100-0000B4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84</xdr:row>
          <xdr:rowOff>9525</xdr:rowOff>
        </xdr:from>
        <xdr:to>
          <xdr:col>3</xdr:col>
          <xdr:colOff>476250</xdr:colOff>
          <xdr:row>84</xdr:row>
          <xdr:rowOff>209550</xdr:rowOff>
        </xdr:to>
        <xdr:sp macro="" textlink="">
          <xdr:nvSpPr>
            <xdr:cNvPr id="218037" name="Drop Down 46005" hidden="1">
              <a:extLst>
                <a:ext uri="{63B3BB69-23CF-44E3-9099-C40C66FF867C}">
                  <a14:compatExt spid="_x0000_s218037"/>
                </a:ext>
                <a:ext uri="{FF2B5EF4-FFF2-40B4-BE49-F238E27FC236}">
                  <a16:creationId xmlns:a16="http://schemas.microsoft.com/office/drawing/2014/main" id="{00000000-0008-0000-0100-0000B5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85</xdr:row>
          <xdr:rowOff>9525</xdr:rowOff>
        </xdr:from>
        <xdr:to>
          <xdr:col>3</xdr:col>
          <xdr:colOff>476250</xdr:colOff>
          <xdr:row>85</xdr:row>
          <xdr:rowOff>209550</xdr:rowOff>
        </xdr:to>
        <xdr:sp macro="" textlink="">
          <xdr:nvSpPr>
            <xdr:cNvPr id="218038" name="Drop Down 46006" hidden="1">
              <a:extLst>
                <a:ext uri="{63B3BB69-23CF-44E3-9099-C40C66FF867C}">
                  <a14:compatExt spid="_x0000_s218038"/>
                </a:ext>
                <a:ext uri="{FF2B5EF4-FFF2-40B4-BE49-F238E27FC236}">
                  <a16:creationId xmlns:a16="http://schemas.microsoft.com/office/drawing/2014/main" id="{00000000-0008-0000-0100-0000B6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86</xdr:row>
          <xdr:rowOff>9525</xdr:rowOff>
        </xdr:from>
        <xdr:to>
          <xdr:col>3</xdr:col>
          <xdr:colOff>476250</xdr:colOff>
          <xdr:row>86</xdr:row>
          <xdr:rowOff>209550</xdr:rowOff>
        </xdr:to>
        <xdr:sp macro="" textlink="">
          <xdr:nvSpPr>
            <xdr:cNvPr id="218039" name="Drop Down 46007" hidden="1">
              <a:extLst>
                <a:ext uri="{63B3BB69-23CF-44E3-9099-C40C66FF867C}">
                  <a14:compatExt spid="_x0000_s218039"/>
                </a:ext>
                <a:ext uri="{FF2B5EF4-FFF2-40B4-BE49-F238E27FC236}">
                  <a16:creationId xmlns:a16="http://schemas.microsoft.com/office/drawing/2014/main" id="{00000000-0008-0000-0100-0000B7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27</xdr:row>
          <xdr:rowOff>19050</xdr:rowOff>
        </xdr:from>
        <xdr:to>
          <xdr:col>0</xdr:col>
          <xdr:colOff>971550</xdr:colOff>
          <xdr:row>27</xdr:row>
          <xdr:rowOff>190500</xdr:rowOff>
        </xdr:to>
        <xdr:sp macro="" textlink="">
          <xdr:nvSpPr>
            <xdr:cNvPr id="14361" name="Drop Down 25" hidden="1">
              <a:extLst>
                <a:ext uri="{63B3BB69-23CF-44E3-9099-C40C66FF867C}">
                  <a14:compatExt spid="_x0000_s14361"/>
                </a:ext>
                <a:ext uri="{FF2B5EF4-FFF2-40B4-BE49-F238E27FC236}">
                  <a16:creationId xmlns:a16="http://schemas.microsoft.com/office/drawing/2014/main" id="{00000000-0008-0000-0200-00001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xdr:row>
          <xdr:rowOff>19050</xdr:rowOff>
        </xdr:from>
        <xdr:to>
          <xdr:col>0</xdr:col>
          <xdr:colOff>971550</xdr:colOff>
          <xdr:row>28</xdr:row>
          <xdr:rowOff>190500</xdr:rowOff>
        </xdr:to>
        <xdr:sp macro="" textlink="">
          <xdr:nvSpPr>
            <xdr:cNvPr id="14362" name="Drop Down 26" hidden="1">
              <a:extLst>
                <a:ext uri="{63B3BB69-23CF-44E3-9099-C40C66FF867C}">
                  <a14:compatExt spid="_x0000_s14362"/>
                </a:ext>
                <a:ext uri="{FF2B5EF4-FFF2-40B4-BE49-F238E27FC236}">
                  <a16:creationId xmlns:a16="http://schemas.microsoft.com/office/drawing/2014/main" id="{00000000-0008-0000-0200-00001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29</xdr:row>
          <xdr:rowOff>19050</xdr:rowOff>
        </xdr:from>
        <xdr:to>
          <xdr:col>0</xdr:col>
          <xdr:colOff>962025</xdr:colOff>
          <xdr:row>29</xdr:row>
          <xdr:rowOff>190500</xdr:rowOff>
        </xdr:to>
        <xdr:sp macro="" textlink="">
          <xdr:nvSpPr>
            <xdr:cNvPr id="14364" name="Drop Down 28" hidden="1">
              <a:extLst>
                <a:ext uri="{63B3BB69-23CF-44E3-9099-C40C66FF867C}">
                  <a14:compatExt spid="_x0000_s14364"/>
                </a:ext>
                <a:ext uri="{FF2B5EF4-FFF2-40B4-BE49-F238E27FC236}">
                  <a16:creationId xmlns:a16="http://schemas.microsoft.com/office/drawing/2014/main" id="{00000000-0008-0000-0200-00001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30</xdr:row>
          <xdr:rowOff>19050</xdr:rowOff>
        </xdr:from>
        <xdr:to>
          <xdr:col>0</xdr:col>
          <xdr:colOff>962025</xdr:colOff>
          <xdr:row>30</xdr:row>
          <xdr:rowOff>190500</xdr:rowOff>
        </xdr:to>
        <xdr:sp macro="" textlink="">
          <xdr:nvSpPr>
            <xdr:cNvPr id="15172" name="Drop Down 836" hidden="1">
              <a:extLst>
                <a:ext uri="{63B3BB69-23CF-44E3-9099-C40C66FF867C}">
                  <a14:compatExt spid="_x0000_s15172"/>
                </a:ext>
                <a:ext uri="{FF2B5EF4-FFF2-40B4-BE49-F238E27FC236}">
                  <a16:creationId xmlns:a16="http://schemas.microsoft.com/office/drawing/2014/main" id="{00000000-0008-0000-0200-0000443B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31</xdr:row>
          <xdr:rowOff>19050</xdr:rowOff>
        </xdr:from>
        <xdr:to>
          <xdr:col>0</xdr:col>
          <xdr:colOff>962025</xdr:colOff>
          <xdr:row>31</xdr:row>
          <xdr:rowOff>190500</xdr:rowOff>
        </xdr:to>
        <xdr:sp macro="" textlink="">
          <xdr:nvSpPr>
            <xdr:cNvPr id="15173" name="Drop Down 837" hidden="1">
              <a:extLst>
                <a:ext uri="{63B3BB69-23CF-44E3-9099-C40C66FF867C}">
                  <a14:compatExt spid="_x0000_s15173"/>
                </a:ext>
                <a:ext uri="{FF2B5EF4-FFF2-40B4-BE49-F238E27FC236}">
                  <a16:creationId xmlns:a16="http://schemas.microsoft.com/office/drawing/2014/main" id="{00000000-0008-0000-0200-0000453B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16</xdr:col>
      <xdr:colOff>19050</xdr:colOff>
      <xdr:row>0</xdr:row>
      <xdr:rowOff>50129</xdr:rowOff>
    </xdr:from>
    <xdr:to>
      <xdr:col>17</xdr:col>
      <xdr:colOff>441902</xdr:colOff>
      <xdr:row>1</xdr:row>
      <xdr:rowOff>361172</xdr:rowOff>
    </xdr:to>
    <xdr:pic>
      <xdr:nvPicPr>
        <xdr:cNvPr id="9" name="Picture 3">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a:off x="8410575" y="50129"/>
          <a:ext cx="895292" cy="522498"/>
        </a:xfrm>
        <a:prstGeom prst="rect">
          <a:avLst/>
        </a:prstGeom>
        <a:noFill/>
        <a:ln w="9525">
          <a:noFill/>
          <a:miter lim="800000"/>
          <a:headEnd/>
          <a:tailEnd/>
        </a:ln>
        <a:effec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12</xdr:row>
          <xdr:rowOff>161925</xdr:rowOff>
        </xdr:from>
        <xdr:to>
          <xdr:col>5</xdr:col>
          <xdr:colOff>0</xdr:colOff>
          <xdr:row>14</xdr:row>
          <xdr:rowOff>9525</xdr:rowOff>
        </xdr:to>
        <xdr:sp macro="" textlink="">
          <xdr:nvSpPr>
            <xdr:cNvPr id="245779" name="Drop Down 19" hidden="1">
              <a:extLst>
                <a:ext uri="{63B3BB69-23CF-44E3-9099-C40C66FF867C}">
                  <a14:compatExt spid="_x0000_s245779"/>
                </a:ext>
                <a:ext uri="{FF2B5EF4-FFF2-40B4-BE49-F238E27FC236}">
                  <a16:creationId xmlns:a16="http://schemas.microsoft.com/office/drawing/2014/main" id="{00000000-0008-0000-0300-000013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190500</xdr:rowOff>
        </xdr:from>
        <xdr:to>
          <xdr:col>5</xdr:col>
          <xdr:colOff>0</xdr:colOff>
          <xdr:row>15</xdr:row>
          <xdr:rowOff>9525</xdr:rowOff>
        </xdr:to>
        <xdr:sp macro="" textlink="">
          <xdr:nvSpPr>
            <xdr:cNvPr id="245780" name="Drop Down 20" hidden="1">
              <a:extLst>
                <a:ext uri="{63B3BB69-23CF-44E3-9099-C40C66FF867C}">
                  <a14:compatExt spid="_x0000_s245780"/>
                </a:ext>
                <a:ext uri="{FF2B5EF4-FFF2-40B4-BE49-F238E27FC236}">
                  <a16:creationId xmlns:a16="http://schemas.microsoft.com/office/drawing/2014/main" id="{00000000-0008-0000-0300-000014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xdr:row>
          <xdr:rowOff>190500</xdr:rowOff>
        </xdr:from>
        <xdr:to>
          <xdr:col>5</xdr:col>
          <xdr:colOff>0</xdr:colOff>
          <xdr:row>16</xdr:row>
          <xdr:rowOff>9525</xdr:rowOff>
        </xdr:to>
        <xdr:sp macro="" textlink="">
          <xdr:nvSpPr>
            <xdr:cNvPr id="245781" name="Drop Down 21" hidden="1">
              <a:extLst>
                <a:ext uri="{63B3BB69-23CF-44E3-9099-C40C66FF867C}">
                  <a14:compatExt spid="_x0000_s245781"/>
                </a:ext>
                <a:ext uri="{FF2B5EF4-FFF2-40B4-BE49-F238E27FC236}">
                  <a16:creationId xmlns:a16="http://schemas.microsoft.com/office/drawing/2014/main" id="{00000000-0008-0000-0300-000015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xdr:row>
          <xdr:rowOff>190500</xdr:rowOff>
        </xdr:from>
        <xdr:to>
          <xdr:col>5</xdr:col>
          <xdr:colOff>0</xdr:colOff>
          <xdr:row>17</xdr:row>
          <xdr:rowOff>9525</xdr:rowOff>
        </xdr:to>
        <xdr:sp macro="" textlink="">
          <xdr:nvSpPr>
            <xdr:cNvPr id="245782" name="Drop Down 22" hidden="1">
              <a:extLst>
                <a:ext uri="{63B3BB69-23CF-44E3-9099-C40C66FF867C}">
                  <a14:compatExt spid="_x0000_s245782"/>
                </a:ext>
                <a:ext uri="{FF2B5EF4-FFF2-40B4-BE49-F238E27FC236}">
                  <a16:creationId xmlns:a16="http://schemas.microsoft.com/office/drawing/2014/main" id="{00000000-0008-0000-0300-000016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xdr:row>
          <xdr:rowOff>190500</xdr:rowOff>
        </xdr:from>
        <xdr:to>
          <xdr:col>5</xdr:col>
          <xdr:colOff>0</xdr:colOff>
          <xdr:row>18</xdr:row>
          <xdr:rowOff>9525</xdr:rowOff>
        </xdr:to>
        <xdr:sp macro="" textlink="">
          <xdr:nvSpPr>
            <xdr:cNvPr id="245783" name="Drop Down 23" hidden="1">
              <a:extLst>
                <a:ext uri="{63B3BB69-23CF-44E3-9099-C40C66FF867C}">
                  <a14:compatExt spid="_x0000_s245783"/>
                </a:ext>
                <a:ext uri="{FF2B5EF4-FFF2-40B4-BE49-F238E27FC236}">
                  <a16:creationId xmlns:a16="http://schemas.microsoft.com/office/drawing/2014/main" id="{00000000-0008-0000-0300-000017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xdr:row>
          <xdr:rowOff>190500</xdr:rowOff>
        </xdr:from>
        <xdr:to>
          <xdr:col>5</xdr:col>
          <xdr:colOff>0</xdr:colOff>
          <xdr:row>19</xdr:row>
          <xdr:rowOff>9525</xdr:rowOff>
        </xdr:to>
        <xdr:sp macro="" textlink="">
          <xdr:nvSpPr>
            <xdr:cNvPr id="245784" name="Drop Down 24" hidden="1">
              <a:extLst>
                <a:ext uri="{63B3BB69-23CF-44E3-9099-C40C66FF867C}">
                  <a14:compatExt spid="_x0000_s245784"/>
                </a:ext>
                <a:ext uri="{FF2B5EF4-FFF2-40B4-BE49-F238E27FC236}">
                  <a16:creationId xmlns:a16="http://schemas.microsoft.com/office/drawing/2014/main" id="{00000000-0008-0000-0300-000018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xdr:row>
          <xdr:rowOff>190500</xdr:rowOff>
        </xdr:from>
        <xdr:to>
          <xdr:col>5</xdr:col>
          <xdr:colOff>0</xdr:colOff>
          <xdr:row>20</xdr:row>
          <xdr:rowOff>9525</xdr:rowOff>
        </xdr:to>
        <xdr:sp macro="" textlink="">
          <xdr:nvSpPr>
            <xdr:cNvPr id="245785" name="Drop Down 25" hidden="1">
              <a:extLst>
                <a:ext uri="{63B3BB69-23CF-44E3-9099-C40C66FF867C}">
                  <a14:compatExt spid="_x0000_s245785"/>
                </a:ext>
                <a:ext uri="{FF2B5EF4-FFF2-40B4-BE49-F238E27FC236}">
                  <a16:creationId xmlns:a16="http://schemas.microsoft.com/office/drawing/2014/main" id="{00000000-0008-0000-0300-000019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xdr:row>
          <xdr:rowOff>190500</xdr:rowOff>
        </xdr:from>
        <xdr:to>
          <xdr:col>5</xdr:col>
          <xdr:colOff>0</xdr:colOff>
          <xdr:row>21</xdr:row>
          <xdr:rowOff>9525</xdr:rowOff>
        </xdr:to>
        <xdr:sp macro="" textlink="">
          <xdr:nvSpPr>
            <xdr:cNvPr id="245786" name="Drop Down 26" hidden="1">
              <a:extLst>
                <a:ext uri="{63B3BB69-23CF-44E3-9099-C40C66FF867C}">
                  <a14:compatExt spid="_x0000_s245786"/>
                </a:ext>
                <a:ext uri="{FF2B5EF4-FFF2-40B4-BE49-F238E27FC236}">
                  <a16:creationId xmlns:a16="http://schemas.microsoft.com/office/drawing/2014/main" id="{00000000-0008-0000-0300-00001A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xdr:row>
          <xdr:rowOff>190500</xdr:rowOff>
        </xdr:from>
        <xdr:to>
          <xdr:col>5</xdr:col>
          <xdr:colOff>0</xdr:colOff>
          <xdr:row>22</xdr:row>
          <xdr:rowOff>9525</xdr:rowOff>
        </xdr:to>
        <xdr:sp macro="" textlink="">
          <xdr:nvSpPr>
            <xdr:cNvPr id="245787" name="Drop Down 27" hidden="1">
              <a:extLst>
                <a:ext uri="{63B3BB69-23CF-44E3-9099-C40C66FF867C}">
                  <a14:compatExt spid="_x0000_s245787"/>
                </a:ext>
                <a:ext uri="{FF2B5EF4-FFF2-40B4-BE49-F238E27FC236}">
                  <a16:creationId xmlns:a16="http://schemas.microsoft.com/office/drawing/2014/main" id="{00000000-0008-0000-0300-00001B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xdr:row>
          <xdr:rowOff>190500</xdr:rowOff>
        </xdr:from>
        <xdr:to>
          <xdr:col>5</xdr:col>
          <xdr:colOff>0</xdr:colOff>
          <xdr:row>23</xdr:row>
          <xdr:rowOff>9525</xdr:rowOff>
        </xdr:to>
        <xdr:sp macro="" textlink="">
          <xdr:nvSpPr>
            <xdr:cNvPr id="245789" name="Drop Down 29" hidden="1">
              <a:extLst>
                <a:ext uri="{63B3BB69-23CF-44E3-9099-C40C66FF867C}">
                  <a14:compatExt spid="_x0000_s245789"/>
                </a:ext>
                <a:ext uri="{FF2B5EF4-FFF2-40B4-BE49-F238E27FC236}">
                  <a16:creationId xmlns:a16="http://schemas.microsoft.com/office/drawing/2014/main" id="{00000000-0008-0000-0300-00001D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xdr:row>
          <xdr:rowOff>190500</xdr:rowOff>
        </xdr:from>
        <xdr:to>
          <xdr:col>5</xdr:col>
          <xdr:colOff>0</xdr:colOff>
          <xdr:row>24</xdr:row>
          <xdr:rowOff>9525</xdr:rowOff>
        </xdr:to>
        <xdr:sp macro="" textlink="">
          <xdr:nvSpPr>
            <xdr:cNvPr id="245790" name="Drop Down 30" hidden="1">
              <a:extLst>
                <a:ext uri="{63B3BB69-23CF-44E3-9099-C40C66FF867C}">
                  <a14:compatExt spid="_x0000_s245790"/>
                </a:ext>
                <a:ext uri="{FF2B5EF4-FFF2-40B4-BE49-F238E27FC236}">
                  <a16:creationId xmlns:a16="http://schemas.microsoft.com/office/drawing/2014/main" id="{00000000-0008-0000-0300-00001E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190500</xdr:rowOff>
        </xdr:from>
        <xdr:to>
          <xdr:col>5</xdr:col>
          <xdr:colOff>0</xdr:colOff>
          <xdr:row>25</xdr:row>
          <xdr:rowOff>9525</xdr:rowOff>
        </xdr:to>
        <xdr:sp macro="" textlink="">
          <xdr:nvSpPr>
            <xdr:cNvPr id="245791" name="Drop Down 31" hidden="1">
              <a:extLst>
                <a:ext uri="{63B3BB69-23CF-44E3-9099-C40C66FF867C}">
                  <a14:compatExt spid="_x0000_s245791"/>
                </a:ext>
                <a:ext uri="{FF2B5EF4-FFF2-40B4-BE49-F238E27FC236}">
                  <a16:creationId xmlns:a16="http://schemas.microsoft.com/office/drawing/2014/main" id="{00000000-0008-0000-0300-00001F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190500</xdr:rowOff>
        </xdr:from>
        <xdr:to>
          <xdr:col>5</xdr:col>
          <xdr:colOff>0</xdr:colOff>
          <xdr:row>26</xdr:row>
          <xdr:rowOff>9525</xdr:rowOff>
        </xdr:to>
        <xdr:sp macro="" textlink="">
          <xdr:nvSpPr>
            <xdr:cNvPr id="245792" name="Drop Down 32" hidden="1">
              <a:extLst>
                <a:ext uri="{63B3BB69-23CF-44E3-9099-C40C66FF867C}">
                  <a14:compatExt spid="_x0000_s245792"/>
                </a:ext>
                <a:ext uri="{FF2B5EF4-FFF2-40B4-BE49-F238E27FC236}">
                  <a16:creationId xmlns:a16="http://schemas.microsoft.com/office/drawing/2014/main" id="{00000000-0008-0000-0300-000020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190500</xdr:rowOff>
        </xdr:from>
        <xdr:to>
          <xdr:col>5</xdr:col>
          <xdr:colOff>0</xdr:colOff>
          <xdr:row>27</xdr:row>
          <xdr:rowOff>9525</xdr:rowOff>
        </xdr:to>
        <xdr:sp macro="" textlink="">
          <xdr:nvSpPr>
            <xdr:cNvPr id="245793" name="Drop Down 33" hidden="1">
              <a:extLst>
                <a:ext uri="{63B3BB69-23CF-44E3-9099-C40C66FF867C}">
                  <a14:compatExt spid="_x0000_s245793"/>
                </a:ext>
                <a:ext uri="{FF2B5EF4-FFF2-40B4-BE49-F238E27FC236}">
                  <a16:creationId xmlns:a16="http://schemas.microsoft.com/office/drawing/2014/main" id="{00000000-0008-0000-0300-000021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26</xdr:row>
          <xdr:rowOff>190500</xdr:rowOff>
        </xdr:from>
        <xdr:to>
          <xdr:col>5</xdr:col>
          <xdr:colOff>0</xdr:colOff>
          <xdr:row>28</xdr:row>
          <xdr:rowOff>9525</xdr:rowOff>
        </xdr:to>
        <xdr:sp macro="" textlink="">
          <xdr:nvSpPr>
            <xdr:cNvPr id="245794" name="Drop Down 34" hidden="1">
              <a:extLst>
                <a:ext uri="{63B3BB69-23CF-44E3-9099-C40C66FF867C}">
                  <a14:compatExt spid="_x0000_s245794"/>
                </a:ext>
                <a:ext uri="{FF2B5EF4-FFF2-40B4-BE49-F238E27FC236}">
                  <a16:creationId xmlns:a16="http://schemas.microsoft.com/office/drawing/2014/main" id="{00000000-0008-0000-0300-000022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190500</xdr:rowOff>
        </xdr:from>
        <xdr:to>
          <xdr:col>5</xdr:col>
          <xdr:colOff>0</xdr:colOff>
          <xdr:row>29</xdr:row>
          <xdr:rowOff>9525</xdr:rowOff>
        </xdr:to>
        <xdr:sp macro="" textlink="">
          <xdr:nvSpPr>
            <xdr:cNvPr id="245795" name="Drop Down 35" hidden="1">
              <a:extLst>
                <a:ext uri="{63B3BB69-23CF-44E3-9099-C40C66FF867C}">
                  <a14:compatExt spid="_x0000_s245795"/>
                </a:ext>
                <a:ext uri="{FF2B5EF4-FFF2-40B4-BE49-F238E27FC236}">
                  <a16:creationId xmlns:a16="http://schemas.microsoft.com/office/drawing/2014/main" id="{00000000-0008-0000-0300-000023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28</xdr:row>
          <xdr:rowOff>190500</xdr:rowOff>
        </xdr:from>
        <xdr:to>
          <xdr:col>5</xdr:col>
          <xdr:colOff>0</xdr:colOff>
          <xdr:row>30</xdr:row>
          <xdr:rowOff>9525</xdr:rowOff>
        </xdr:to>
        <xdr:sp macro="" textlink="">
          <xdr:nvSpPr>
            <xdr:cNvPr id="245796" name="Drop Down 36" hidden="1">
              <a:extLst>
                <a:ext uri="{63B3BB69-23CF-44E3-9099-C40C66FF867C}">
                  <a14:compatExt spid="_x0000_s245796"/>
                </a:ext>
                <a:ext uri="{FF2B5EF4-FFF2-40B4-BE49-F238E27FC236}">
                  <a16:creationId xmlns:a16="http://schemas.microsoft.com/office/drawing/2014/main" id="{00000000-0008-0000-0300-000024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0</xdr:rowOff>
        </xdr:from>
        <xdr:to>
          <xdr:col>5</xdr:col>
          <xdr:colOff>0</xdr:colOff>
          <xdr:row>44</xdr:row>
          <xdr:rowOff>9525</xdr:rowOff>
        </xdr:to>
        <xdr:sp macro="" textlink="">
          <xdr:nvSpPr>
            <xdr:cNvPr id="245986" name="Drop Down 226" hidden="1">
              <a:extLst>
                <a:ext uri="{63B3BB69-23CF-44E3-9099-C40C66FF867C}">
                  <a14:compatExt spid="_x0000_s245986"/>
                </a:ext>
                <a:ext uri="{FF2B5EF4-FFF2-40B4-BE49-F238E27FC236}">
                  <a16:creationId xmlns:a16="http://schemas.microsoft.com/office/drawing/2014/main" id="{00000000-0008-0000-0300-0000E2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190500</xdr:rowOff>
        </xdr:from>
        <xdr:to>
          <xdr:col>5</xdr:col>
          <xdr:colOff>0</xdr:colOff>
          <xdr:row>45</xdr:row>
          <xdr:rowOff>9525</xdr:rowOff>
        </xdr:to>
        <xdr:sp macro="" textlink="">
          <xdr:nvSpPr>
            <xdr:cNvPr id="245987" name="Drop Down 227" hidden="1">
              <a:extLst>
                <a:ext uri="{63B3BB69-23CF-44E3-9099-C40C66FF867C}">
                  <a14:compatExt spid="_x0000_s245987"/>
                </a:ext>
                <a:ext uri="{FF2B5EF4-FFF2-40B4-BE49-F238E27FC236}">
                  <a16:creationId xmlns:a16="http://schemas.microsoft.com/office/drawing/2014/main" id="{00000000-0008-0000-0300-0000E3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xdr:row>
          <xdr:rowOff>190500</xdr:rowOff>
        </xdr:from>
        <xdr:to>
          <xdr:col>5</xdr:col>
          <xdr:colOff>0</xdr:colOff>
          <xdr:row>46</xdr:row>
          <xdr:rowOff>9525</xdr:rowOff>
        </xdr:to>
        <xdr:sp macro="" textlink="">
          <xdr:nvSpPr>
            <xdr:cNvPr id="245988" name="Drop Down 228" hidden="1">
              <a:extLst>
                <a:ext uri="{63B3BB69-23CF-44E3-9099-C40C66FF867C}">
                  <a14:compatExt spid="_x0000_s245988"/>
                </a:ext>
                <a:ext uri="{FF2B5EF4-FFF2-40B4-BE49-F238E27FC236}">
                  <a16:creationId xmlns:a16="http://schemas.microsoft.com/office/drawing/2014/main" id="{00000000-0008-0000-0300-0000E4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45</xdr:row>
          <xdr:rowOff>190500</xdr:rowOff>
        </xdr:from>
        <xdr:to>
          <xdr:col>5</xdr:col>
          <xdr:colOff>0</xdr:colOff>
          <xdr:row>47</xdr:row>
          <xdr:rowOff>9525</xdr:rowOff>
        </xdr:to>
        <xdr:sp macro="" textlink="">
          <xdr:nvSpPr>
            <xdr:cNvPr id="245989" name="Drop Down 229" hidden="1">
              <a:extLst>
                <a:ext uri="{63B3BB69-23CF-44E3-9099-C40C66FF867C}">
                  <a14:compatExt spid="_x0000_s245989"/>
                </a:ext>
                <a:ext uri="{FF2B5EF4-FFF2-40B4-BE49-F238E27FC236}">
                  <a16:creationId xmlns:a16="http://schemas.microsoft.com/office/drawing/2014/main" id="{00000000-0008-0000-0300-0000E5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46</xdr:row>
          <xdr:rowOff>190500</xdr:rowOff>
        </xdr:from>
        <xdr:to>
          <xdr:col>5</xdr:col>
          <xdr:colOff>0</xdr:colOff>
          <xdr:row>48</xdr:row>
          <xdr:rowOff>9525</xdr:rowOff>
        </xdr:to>
        <xdr:sp macro="" textlink="">
          <xdr:nvSpPr>
            <xdr:cNvPr id="245990" name="Drop Down 230" hidden="1">
              <a:extLst>
                <a:ext uri="{63B3BB69-23CF-44E3-9099-C40C66FF867C}">
                  <a14:compatExt spid="_x0000_s245990"/>
                </a:ext>
                <a:ext uri="{FF2B5EF4-FFF2-40B4-BE49-F238E27FC236}">
                  <a16:creationId xmlns:a16="http://schemas.microsoft.com/office/drawing/2014/main" id="{00000000-0008-0000-0300-0000E6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xdr:row>
          <xdr:rowOff>190500</xdr:rowOff>
        </xdr:from>
        <xdr:to>
          <xdr:col>5</xdr:col>
          <xdr:colOff>0</xdr:colOff>
          <xdr:row>49</xdr:row>
          <xdr:rowOff>9525</xdr:rowOff>
        </xdr:to>
        <xdr:sp macro="" textlink="">
          <xdr:nvSpPr>
            <xdr:cNvPr id="245991" name="Drop Down 231" hidden="1">
              <a:extLst>
                <a:ext uri="{63B3BB69-23CF-44E3-9099-C40C66FF867C}">
                  <a14:compatExt spid="_x0000_s245991"/>
                </a:ext>
                <a:ext uri="{FF2B5EF4-FFF2-40B4-BE49-F238E27FC236}">
                  <a16:creationId xmlns:a16="http://schemas.microsoft.com/office/drawing/2014/main" id="{00000000-0008-0000-0300-0000E7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48</xdr:row>
          <xdr:rowOff>190500</xdr:rowOff>
        </xdr:from>
        <xdr:to>
          <xdr:col>5</xdr:col>
          <xdr:colOff>0</xdr:colOff>
          <xdr:row>50</xdr:row>
          <xdr:rowOff>9525</xdr:rowOff>
        </xdr:to>
        <xdr:sp macro="" textlink="">
          <xdr:nvSpPr>
            <xdr:cNvPr id="245992" name="Drop Down 232" hidden="1">
              <a:extLst>
                <a:ext uri="{63B3BB69-23CF-44E3-9099-C40C66FF867C}">
                  <a14:compatExt spid="_x0000_s245992"/>
                </a:ext>
                <a:ext uri="{FF2B5EF4-FFF2-40B4-BE49-F238E27FC236}">
                  <a16:creationId xmlns:a16="http://schemas.microsoft.com/office/drawing/2014/main" id="{00000000-0008-0000-0300-0000E8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xdr:row>
          <xdr:rowOff>190500</xdr:rowOff>
        </xdr:from>
        <xdr:to>
          <xdr:col>5</xdr:col>
          <xdr:colOff>0</xdr:colOff>
          <xdr:row>51</xdr:row>
          <xdr:rowOff>9525</xdr:rowOff>
        </xdr:to>
        <xdr:sp macro="" textlink="">
          <xdr:nvSpPr>
            <xdr:cNvPr id="245993" name="Drop Down 233" hidden="1">
              <a:extLst>
                <a:ext uri="{63B3BB69-23CF-44E3-9099-C40C66FF867C}">
                  <a14:compatExt spid="_x0000_s245993"/>
                </a:ext>
                <a:ext uri="{FF2B5EF4-FFF2-40B4-BE49-F238E27FC236}">
                  <a16:creationId xmlns:a16="http://schemas.microsoft.com/office/drawing/2014/main" id="{00000000-0008-0000-0300-0000E9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50</xdr:row>
          <xdr:rowOff>190500</xdr:rowOff>
        </xdr:from>
        <xdr:to>
          <xdr:col>5</xdr:col>
          <xdr:colOff>0</xdr:colOff>
          <xdr:row>52</xdr:row>
          <xdr:rowOff>9525</xdr:rowOff>
        </xdr:to>
        <xdr:sp macro="" textlink="">
          <xdr:nvSpPr>
            <xdr:cNvPr id="245994" name="Drop Down 234" hidden="1">
              <a:extLst>
                <a:ext uri="{63B3BB69-23CF-44E3-9099-C40C66FF867C}">
                  <a14:compatExt spid="_x0000_s245994"/>
                </a:ext>
                <a:ext uri="{FF2B5EF4-FFF2-40B4-BE49-F238E27FC236}">
                  <a16:creationId xmlns:a16="http://schemas.microsoft.com/office/drawing/2014/main" id="{00000000-0008-0000-0300-0000EA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xdr:row>
          <xdr:rowOff>190500</xdr:rowOff>
        </xdr:from>
        <xdr:to>
          <xdr:col>5</xdr:col>
          <xdr:colOff>0</xdr:colOff>
          <xdr:row>53</xdr:row>
          <xdr:rowOff>9525</xdr:rowOff>
        </xdr:to>
        <xdr:sp macro="" textlink="">
          <xdr:nvSpPr>
            <xdr:cNvPr id="245996" name="Drop Down 236" hidden="1">
              <a:extLst>
                <a:ext uri="{63B3BB69-23CF-44E3-9099-C40C66FF867C}">
                  <a14:compatExt spid="_x0000_s245996"/>
                </a:ext>
                <a:ext uri="{FF2B5EF4-FFF2-40B4-BE49-F238E27FC236}">
                  <a16:creationId xmlns:a16="http://schemas.microsoft.com/office/drawing/2014/main" id="{00000000-0008-0000-0300-0000EC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52</xdr:row>
          <xdr:rowOff>190500</xdr:rowOff>
        </xdr:from>
        <xdr:to>
          <xdr:col>5</xdr:col>
          <xdr:colOff>0</xdr:colOff>
          <xdr:row>54</xdr:row>
          <xdr:rowOff>9525</xdr:rowOff>
        </xdr:to>
        <xdr:sp macro="" textlink="">
          <xdr:nvSpPr>
            <xdr:cNvPr id="245997" name="Drop Down 237" hidden="1">
              <a:extLst>
                <a:ext uri="{63B3BB69-23CF-44E3-9099-C40C66FF867C}">
                  <a14:compatExt spid="_x0000_s245997"/>
                </a:ext>
                <a:ext uri="{FF2B5EF4-FFF2-40B4-BE49-F238E27FC236}">
                  <a16:creationId xmlns:a16="http://schemas.microsoft.com/office/drawing/2014/main" id="{00000000-0008-0000-0300-0000ED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53</xdr:row>
          <xdr:rowOff>190500</xdr:rowOff>
        </xdr:from>
        <xdr:to>
          <xdr:col>5</xdr:col>
          <xdr:colOff>0</xdr:colOff>
          <xdr:row>55</xdr:row>
          <xdr:rowOff>9525</xdr:rowOff>
        </xdr:to>
        <xdr:sp macro="" textlink="">
          <xdr:nvSpPr>
            <xdr:cNvPr id="245998" name="Drop Down 238" hidden="1">
              <a:extLst>
                <a:ext uri="{63B3BB69-23CF-44E3-9099-C40C66FF867C}">
                  <a14:compatExt spid="_x0000_s245998"/>
                </a:ext>
                <a:ext uri="{FF2B5EF4-FFF2-40B4-BE49-F238E27FC236}">
                  <a16:creationId xmlns:a16="http://schemas.microsoft.com/office/drawing/2014/main" id="{00000000-0008-0000-0300-0000EE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54</xdr:row>
          <xdr:rowOff>190500</xdr:rowOff>
        </xdr:from>
        <xdr:to>
          <xdr:col>5</xdr:col>
          <xdr:colOff>0</xdr:colOff>
          <xdr:row>56</xdr:row>
          <xdr:rowOff>9525</xdr:rowOff>
        </xdr:to>
        <xdr:sp macro="" textlink="">
          <xdr:nvSpPr>
            <xdr:cNvPr id="245999" name="Drop Down 239" hidden="1">
              <a:extLst>
                <a:ext uri="{63B3BB69-23CF-44E3-9099-C40C66FF867C}">
                  <a14:compatExt spid="_x0000_s245999"/>
                </a:ext>
                <a:ext uri="{FF2B5EF4-FFF2-40B4-BE49-F238E27FC236}">
                  <a16:creationId xmlns:a16="http://schemas.microsoft.com/office/drawing/2014/main" id="{00000000-0008-0000-0300-0000EF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55</xdr:row>
          <xdr:rowOff>190500</xdr:rowOff>
        </xdr:from>
        <xdr:to>
          <xdr:col>5</xdr:col>
          <xdr:colOff>0</xdr:colOff>
          <xdr:row>57</xdr:row>
          <xdr:rowOff>9525</xdr:rowOff>
        </xdr:to>
        <xdr:sp macro="" textlink="">
          <xdr:nvSpPr>
            <xdr:cNvPr id="246000" name="Drop Down 240" hidden="1">
              <a:extLst>
                <a:ext uri="{63B3BB69-23CF-44E3-9099-C40C66FF867C}">
                  <a14:compatExt spid="_x0000_s246000"/>
                </a:ext>
                <a:ext uri="{FF2B5EF4-FFF2-40B4-BE49-F238E27FC236}">
                  <a16:creationId xmlns:a16="http://schemas.microsoft.com/office/drawing/2014/main" id="{00000000-0008-0000-0300-0000F0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56</xdr:row>
          <xdr:rowOff>190500</xdr:rowOff>
        </xdr:from>
        <xdr:to>
          <xdr:col>5</xdr:col>
          <xdr:colOff>0</xdr:colOff>
          <xdr:row>58</xdr:row>
          <xdr:rowOff>9525</xdr:rowOff>
        </xdr:to>
        <xdr:sp macro="" textlink="">
          <xdr:nvSpPr>
            <xdr:cNvPr id="246001" name="Drop Down 241" hidden="1">
              <a:extLst>
                <a:ext uri="{63B3BB69-23CF-44E3-9099-C40C66FF867C}">
                  <a14:compatExt spid="_x0000_s246001"/>
                </a:ext>
                <a:ext uri="{FF2B5EF4-FFF2-40B4-BE49-F238E27FC236}">
                  <a16:creationId xmlns:a16="http://schemas.microsoft.com/office/drawing/2014/main" id="{00000000-0008-0000-0300-0000F1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57</xdr:row>
          <xdr:rowOff>190500</xdr:rowOff>
        </xdr:from>
        <xdr:to>
          <xdr:col>5</xdr:col>
          <xdr:colOff>0</xdr:colOff>
          <xdr:row>59</xdr:row>
          <xdr:rowOff>9525</xdr:rowOff>
        </xdr:to>
        <xdr:sp macro="" textlink="">
          <xdr:nvSpPr>
            <xdr:cNvPr id="246002" name="Drop Down 242" hidden="1">
              <a:extLst>
                <a:ext uri="{63B3BB69-23CF-44E3-9099-C40C66FF867C}">
                  <a14:compatExt spid="_x0000_s246002"/>
                </a:ext>
                <a:ext uri="{FF2B5EF4-FFF2-40B4-BE49-F238E27FC236}">
                  <a16:creationId xmlns:a16="http://schemas.microsoft.com/office/drawing/2014/main" id="{00000000-0008-0000-0300-0000F2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58</xdr:row>
          <xdr:rowOff>190500</xdr:rowOff>
        </xdr:from>
        <xdr:to>
          <xdr:col>5</xdr:col>
          <xdr:colOff>0</xdr:colOff>
          <xdr:row>60</xdr:row>
          <xdr:rowOff>9525</xdr:rowOff>
        </xdr:to>
        <xdr:sp macro="" textlink="">
          <xdr:nvSpPr>
            <xdr:cNvPr id="246003" name="Drop Down 243" hidden="1">
              <a:extLst>
                <a:ext uri="{63B3BB69-23CF-44E3-9099-C40C66FF867C}">
                  <a14:compatExt spid="_x0000_s246003"/>
                </a:ext>
                <a:ext uri="{FF2B5EF4-FFF2-40B4-BE49-F238E27FC236}">
                  <a16:creationId xmlns:a16="http://schemas.microsoft.com/office/drawing/2014/main" id="{00000000-0008-0000-0300-0000F3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97</xdr:row>
          <xdr:rowOff>0</xdr:rowOff>
        </xdr:from>
        <xdr:to>
          <xdr:col>5</xdr:col>
          <xdr:colOff>0</xdr:colOff>
          <xdr:row>98</xdr:row>
          <xdr:rowOff>9525</xdr:rowOff>
        </xdr:to>
        <xdr:sp macro="" textlink="">
          <xdr:nvSpPr>
            <xdr:cNvPr id="246374" name="Drop Down 614" hidden="1">
              <a:extLst>
                <a:ext uri="{63B3BB69-23CF-44E3-9099-C40C66FF867C}">
                  <a14:compatExt spid="_x0000_s246374"/>
                </a:ext>
                <a:ext uri="{FF2B5EF4-FFF2-40B4-BE49-F238E27FC236}">
                  <a16:creationId xmlns:a16="http://schemas.microsoft.com/office/drawing/2014/main" id="{00000000-0008-0000-0300-000066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98</xdr:row>
          <xdr:rowOff>0</xdr:rowOff>
        </xdr:from>
        <xdr:to>
          <xdr:col>5</xdr:col>
          <xdr:colOff>0</xdr:colOff>
          <xdr:row>99</xdr:row>
          <xdr:rowOff>9525</xdr:rowOff>
        </xdr:to>
        <xdr:sp macro="" textlink="">
          <xdr:nvSpPr>
            <xdr:cNvPr id="246377" name="Drop Down 617" hidden="1">
              <a:extLst>
                <a:ext uri="{63B3BB69-23CF-44E3-9099-C40C66FF867C}">
                  <a14:compatExt spid="_x0000_s246377"/>
                </a:ext>
                <a:ext uri="{FF2B5EF4-FFF2-40B4-BE49-F238E27FC236}">
                  <a16:creationId xmlns:a16="http://schemas.microsoft.com/office/drawing/2014/main" id="{00000000-0008-0000-0300-000069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99</xdr:row>
          <xdr:rowOff>0</xdr:rowOff>
        </xdr:from>
        <xdr:to>
          <xdr:col>5</xdr:col>
          <xdr:colOff>0</xdr:colOff>
          <xdr:row>100</xdr:row>
          <xdr:rowOff>9525</xdr:rowOff>
        </xdr:to>
        <xdr:sp macro="" textlink="">
          <xdr:nvSpPr>
            <xdr:cNvPr id="246379" name="Drop Down 619" hidden="1">
              <a:extLst>
                <a:ext uri="{63B3BB69-23CF-44E3-9099-C40C66FF867C}">
                  <a14:compatExt spid="_x0000_s246379"/>
                </a:ext>
                <a:ext uri="{FF2B5EF4-FFF2-40B4-BE49-F238E27FC236}">
                  <a16:creationId xmlns:a16="http://schemas.microsoft.com/office/drawing/2014/main" id="{00000000-0008-0000-0300-00006B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56</xdr:col>
      <xdr:colOff>92709</xdr:colOff>
      <xdr:row>2</xdr:row>
      <xdr:rowOff>31408</xdr:rowOff>
    </xdr:from>
    <xdr:to>
      <xdr:col>64</xdr:col>
      <xdr:colOff>102870</xdr:colOff>
      <xdr:row>21</xdr:row>
      <xdr:rowOff>161925</xdr:rowOff>
    </xdr:to>
    <xdr:graphicFrame macro="">
      <xdr:nvGraphicFramePr>
        <xdr:cNvPr id="3" name="Diagramm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56</xdr:col>
      <xdr:colOff>80008</xdr:colOff>
      <xdr:row>22</xdr:row>
      <xdr:rowOff>34290</xdr:rowOff>
    </xdr:from>
    <xdr:to>
      <xdr:col>64</xdr:col>
      <xdr:colOff>95250</xdr:colOff>
      <xdr:row>36</xdr:row>
      <xdr:rowOff>0</xdr:rowOff>
    </xdr:to>
    <xdr:graphicFrame macro="">
      <xdr:nvGraphicFramePr>
        <xdr:cNvPr id="7" name="Diagramm 6">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56</xdr:col>
      <xdr:colOff>57150</xdr:colOff>
      <xdr:row>38</xdr:row>
      <xdr:rowOff>1905</xdr:rowOff>
    </xdr:from>
    <xdr:to>
      <xdr:col>64</xdr:col>
      <xdr:colOff>123826</xdr:colOff>
      <xdr:row>53</xdr:row>
      <xdr:rowOff>171450</xdr:rowOff>
    </xdr:to>
    <xdr:graphicFrame macro="">
      <xdr:nvGraphicFramePr>
        <xdr:cNvPr id="2" name="Diagramm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0</xdr:colOff>
          <xdr:row>30</xdr:row>
          <xdr:rowOff>0</xdr:rowOff>
        </xdr:from>
        <xdr:to>
          <xdr:col>5</xdr:col>
          <xdr:colOff>0</xdr:colOff>
          <xdr:row>31</xdr:row>
          <xdr:rowOff>9525</xdr:rowOff>
        </xdr:to>
        <xdr:sp macro="" textlink="">
          <xdr:nvSpPr>
            <xdr:cNvPr id="246455" name="Drop Down 695" hidden="1">
              <a:extLst>
                <a:ext uri="{63B3BB69-23CF-44E3-9099-C40C66FF867C}">
                  <a14:compatExt spid="_x0000_s246455"/>
                </a:ext>
                <a:ext uri="{FF2B5EF4-FFF2-40B4-BE49-F238E27FC236}">
                  <a16:creationId xmlns:a16="http://schemas.microsoft.com/office/drawing/2014/main" id="{00000000-0008-0000-0300-0000B7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74</xdr:row>
          <xdr:rowOff>0</xdr:rowOff>
        </xdr:from>
        <xdr:to>
          <xdr:col>5</xdr:col>
          <xdr:colOff>0</xdr:colOff>
          <xdr:row>75</xdr:row>
          <xdr:rowOff>9525</xdr:rowOff>
        </xdr:to>
        <xdr:sp macro="" textlink="">
          <xdr:nvSpPr>
            <xdr:cNvPr id="246488" name="Drop Down 728" hidden="1">
              <a:extLst>
                <a:ext uri="{63B3BB69-23CF-44E3-9099-C40C66FF867C}">
                  <a14:compatExt spid="_x0000_s246488"/>
                </a:ext>
                <a:ext uri="{FF2B5EF4-FFF2-40B4-BE49-F238E27FC236}">
                  <a16:creationId xmlns:a16="http://schemas.microsoft.com/office/drawing/2014/main" id="{00000000-0008-0000-0300-0000D8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75</xdr:row>
          <xdr:rowOff>0</xdr:rowOff>
        </xdr:from>
        <xdr:to>
          <xdr:col>5</xdr:col>
          <xdr:colOff>0</xdr:colOff>
          <xdr:row>76</xdr:row>
          <xdr:rowOff>9525</xdr:rowOff>
        </xdr:to>
        <xdr:sp macro="" textlink="">
          <xdr:nvSpPr>
            <xdr:cNvPr id="246490" name="Drop Down 730" hidden="1">
              <a:extLst>
                <a:ext uri="{63B3BB69-23CF-44E3-9099-C40C66FF867C}">
                  <a14:compatExt spid="_x0000_s246490"/>
                </a:ext>
                <a:ext uri="{FF2B5EF4-FFF2-40B4-BE49-F238E27FC236}">
                  <a16:creationId xmlns:a16="http://schemas.microsoft.com/office/drawing/2014/main" id="{00000000-0008-0000-0300-0000DA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76</xdr:row>
          <xdr:rowOff>0</xdr:rowOff>
        </xdr:from>
        <xdr:to>
          <xdr:col>5</xdr:col>
          <xdr:colOff>0</xdr:colOff>
          <xdr:row>77</xdr:row>
          <xdr:rowOff>9525</xdr:rowOff>
        </xdr:to>
        <xdr:sp macro="" textlink="">
          <xdr:nvSpPr>
            <xdr:cNvPr id="246491" name="Drop Down 731" hidden="1">
              <a:extLst>
                <a:ext uri="{63B3BB69-23CF-44E3-9099-C40C66FF867C}">
                  <a14:compatExt spid="_x0000_s246491"/>
                </a:ext>
                <a:ext uri="{FF2B5EF4-FFF2-40B4-BE49-F238E27FC236}">
                  <a16:creationId xmlns:a16="http://schemas.microsoft.com/office/drawing/2014/main" id="{00000000-0008-0000-0300-0000DB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77</xdr:row>
          <xdr:rowOff>0</xdr:rowOff>
        </xdr:from>
        <xdr:to>
          <xdr:col>5</xdr:col>
          <xdr:colOff>0</xdr:colOff>
          <xdr:row>78</xdr:row>
          <xdr:rowOff>9525</xdr:rowOff>
        </xdr:to>
        <xdr:sp macro="" textlink="">
          <xdr:nvSpPr>
            <xdr:cNvPr id="246492" name="Drop Down 732" hidden="1">
              <a:extLst>
                <a:ext uri="{63B3BB69-23CF-44E3-9099-C40C66FF867C}">
                  <a14:compatExt spid="_x0000_s246492"/>
                </a:ext>
                <a:ext uri="{FF2B5EF4-FFF2-40B4-BE49-F238E27FC236}">
                  <a16:creationId xmlns:a16="http://schemas.microsoft.com/office/drawing/2014/main" id="{00000000-0008-0000-0300-0000DC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78</xdr:row>
          <xdr:rowOff>0</xdr:rowOff>
        </xdr:from>
        <xdr:to>
          <xdr:col>5</xdr:col>
          <xdr:colOff>0</xdr:colOff>
          <xdr:row>79</xdr:row>
          <xdr:rowOff>9525</xdr:rowOff>
        </xdr:to>
        <xdr:sp macro="" textlink="">
          <xdr:nvSpPr>
            <xdr:cNvPr id="246493" name="Drop Down 733" hidden="1">
              <a:extLst>
                <a:ext uri="{63B3BB69-23CF-44E3-9099-C40C66FF867C}">
                  <a14:compatExt spid="_x0000_s246493"/>
                </a:ext>
                <a:ext uri="{FF2B5EF4-FFF2-40B4-BE49-F238E27FC236}">
                  <a16:creationId xmlns:a16="http://schemas.microsoft.com/office/drawing/2014/main" id="{00000000-0008-0000-0300-0000DD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98</xdr:row>
          <xdr:rowOff>0</xdr:rowOff>
        </xdr:from>
        <xdr:to>
          <xdr:col>10</xdr:col>
          <xdr:colOff>228600</xdr:colOff>
          <xdr:row>99</xdr:row>
          <xdr:rowOff>0</xdr:rowOff>
        </xdr:to>
        <xdr:sp macro="" textlink="">
          <xdr:nvSpPr>
            <xdr:cNvPr id="246519" name="Drop Down 759" hidden="1">
              <a:extLst>
                <a:ext uri="{63B3BB69-23CF-44E3-9099-C40C66FF867C}">
                  <a14:compatExt spid="_x0000_s246519"/>
                </a:ext>
                <a:ext uri="{FF2B5EF4-FFF2-40B4-BE49-F238E27FC236}">
                  <a16:creationId xmlns:a16="http://schemas.microsoft.com/office/drawing/2014/main" id="{00000000-0008-0000-0300-0000F7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13</xdr:row>
          <xdr:rowOff>19050</xdr:rowOff>
        </xdr:from>
        <xdr:to>
          <xdr:col>15</xdr:col>
          <xdr:colOff>266700</xdr:colOff>
          <xdr:row>13</xdr:row>
          <xdr:rowOff>180975</xdr:rowOff>
        </xdr:to>
        <xdr:sp macro="" textlink="">
          <xdr:nvSpPr>
            <xdr:cNvPr id="246652" name="Check Box 892" hidden="1">
              <a:extLst>
                <a:ext uri="{63B3BB69-23CF-44E3-9099-C40C66FF867C}">
                  <a14:compatExt spid="_x0000_s246652"/>
                </a:ext>
                <a:ext uri="{FF2B5EF4-FFF2-40B4-BE49-F238E27FC236}">
                  <a16:creationId xmlns:a16="http://schemas.microsoft.com/office/drawing/2014/main" id="{00000000-0008-0000-0300-00007C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14</xdr:row>
          <xdr:rowOff>19050</xdr:rowOff>
        </xdr:from>
        <xdr:to>
          <xdr:col>15</xdr:col>
          <xdr:colOff>266700</xdr:colOff>
          <xdr:row>14</xdr:row>
          <xdr:rowOff>180975</xdr:rowOff>
        </xdr:to>
        <xdr:sp macro="" textlink="">
          <xdr:nvSpPr>
            <xdr:cNvPr id="246653" name="Check Box 893" hidden="1">
              <a:extLst>
                <a:ext uri="{63B3BB69-23CF-44E3-9099-C40C66FF867C}">
                  <a14:compatExt spid="_x0000_s246653"/>
                </a:ext>
                <a:ext uri="{FF2B5EF4-FFF2-40B4-BE49-F238E27FC236}">
                  <a16:creationId xmlns:a16="http://schemas.microsoft.com/office/drawing/2014/main" id="{00000000-0008-0000-0300-00007D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15</xdr:row>
          <xdr:rowOff>28575</xdr:rowOff>
        </xdr:from>
        <xdr:to>
          <xdr:col>15</xdr:col>
          <xdr:colOff>266700</xdr:colOff>
          <xdr:row>16</xdr:row>
          <xdr:rowOff>0</xdr:rowOff>
        </xdr:to>
        <xdr:sp macro="" textlink="">
          <xdr:nvSpPr>
            <xdr:cNvPr id="246654" name="Check Box 894" hidden="1">
              <a:extLst>
                <a:ext uri="{63B3BB69-23CF-44E3-9099-C40C66FF867C}">
                  <a14:compatExt spid="_x0000_s246654"/>
                </a:ext>
                <a:ext uri="{FF2B5EF4-FFF2-40B4-BE49-F238E27FC236}">
                  <a16:creationId xmlns:a16="http://schemas.microsoft.com/office/drawing/2014/main" id="{00000000-0008-0000-0300-00007E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17</xdr:row>
          <xdr:rowOff>19050</xdr:rowOff>
        </xdr:from>
        <xdr:to>
          <xdr:col>15</xdr:col>
          <xdr:colOff>266700</xdr:colOff>
          <xdr:row>17</xdr:row>
          <xdr:rowOff>180975</xdr:rowOff>
        </xdr:to>
        <xdr:sp macro="" textlink="">
          <xdr:nvSpPr>
            <xdr:cNvPr id="246656" name="Check Box 896" hidden="1">
              <a:extLst>
                <a:ext uri="{63B3BB69-23CF-44E3-9099-C40C66FF867C}">
                  <a14:compatExt spid="_x0000_s246656"/>
                </a:ext>
                <a:ext uri="{FF2B5EF4-FFF2-40B4-BE49-F238E27FC236}">
                  <a16:creationId xmlns:a16="http://schemas.microsoft.com/office/drawing/2014/main" id="{00000000-0008-0000-0300-000080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18</xdr:row>
          <xdr:rowOff>19050</xdr:rowOff>
        </xdr:from>
        <xdr:to>
          <xdr:col>15</xdr:col>
          <xdr:colOff>266700</xdr:colOff>
          <xdr:row>18</xdr:row>
          <xdr:rowOff>180975</xdr:rowOff>
        </xdr:to>
        <xdr:sp macro="" textlink="">
          <xdr:nvSpPr>
            <xdr:cNvPr id="246657" name="Check Box 897" hidden="1">
              <a:extLst>
                <a:ext uri="{63B3BB69-23CF-44E3-9099-C40C66FF867C}">
                  <a14:compatExt spid="_x0000_s246657"/>
                </a:ext>
                <a:ext uri="{FF2B5EF4-FFF2-40B4-BE49-F238E27FC236}">
                  <a16:creationId xmlns:a16="http://schemas.microsoft.com/office/drawing/2014/main" id="{00000000-0008-0000-0300-000081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19</xdr:row>
          <xdr:rowOff>19050</xdr:rowOff>
        </xdr:from>
        <xdr:to>
          <xdr:col>15</xdr:col>
          <xdr:colOff>266700</xdr:colOff>
          <xdr:row>19</xdr:row>
          <xdr:rowOff>180975</xdr:rowOff>
        </xdr:to>
        <xdr:sp macro="" textlink="">
          <xdr:nvSpPr>
            <xdr:cNvPr id="246658" name="Check Box 898" hidden="1">
              <a:extLst>
                <a:ext uri="{63B3BB69-23CF-44E3-9099-C40C66FF867C}">
                  <a14:compatExt spid="_x0000_s246658"/>
                </a:ext>
                <a:ext uri="{FF2B5EF4-FFF2-40B4-BE49-F238E27FC236}">
                  <a16:creationId xmlns:a16="http://schemas.microsoft.com/office/drawing/2014/main" id="{00000000-0008-0000-0300-000082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20</xdr:row>
          <xdr:rowOff>19050</xdr:rowOff>
        </xdr:from>
        <xdr:to>
          <xdr:col>15</xdr:col>
          <xdr:colOff>266700</xdr:colOff>
          <xdr:row>20</xdr:row>
          <xdr:rowOff>180975</xdr:rowOff>
        </xdr:to>
        <xdr:sp macro="" textlink="">
          <xdr:nvSpPr>
            <xdr:cNvPr id="246659" name="Check Box 899" hidden="1">
              <a:extLst>
                <a:ext uri="{63B3BB69-23CF-44E3-9099-C40C66FF867C}">
                  <a14:compatExt spid="_x0000_s246659"/>
                </a:ext>
                <a:ext uri="{FF2B5EF4-FFF2-40B4-BE49-F238E27FC236}">
                  <a16:creationId xmlns:a16="http://schemas.microsoft.com/office/drawing/2014/main" id="{00000000-0008-0000-0300-000083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21</xdr:row>
          <xdr:rowOff>19050</xdr:rowOff>
        </xdr:from>
        <xdr:to>
          <xdr:col>15</xdr:col>
          <xdr:colOff>266700</xdr:colOff>
          <xdr:row>21</xdr:row>
          <xdr:rowOff>180975</xdr:rowOff>
        </xdr:to>
        <xdr:sp macro="" textlink="">
          <xdr:nvSpPr>
            <xdr:cNvPr id="246660" name="Check Box 900" hidden="1">
              <a:extLst>
                <a:ext uri="{63B3BB69-23CF-44E3-9099-C40C66FF867C}">
                  <a14:compatExt spid="_x0000_s246660"/>
                </a:ext>
                <a:ext uri="{FF2B5EF4-FFF2-40B4-BE49-F238E27FC236}">
                  <a16:creationId xmlns:a16="http://schemas.microsoft.com/office/drawing/2014/main" id="{00000000-0008-0000-0300-000084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22</xdr:row>
          <xdr:rowOff>19050</xdr:rowOff>
        </xdr:from>
        <xdr:to>
          <xdr:col>15</xdr:col>
          <xdr:colOff>266700</xdr:colOff>
          <xdr:row>22</xdr:row>
          <xdr:rowOff>180975</xdr:rowOff>
        </xdr:to>
        <xdr:sp macro="" textlink="">
          <xdr:nvSpPr>
            <xdr:cNvPr id="246661" name="Check Box 901" hidden="1">
              <a:extLst>
                <a:ext uri="{63B3BB69-23CF-44E3-9099-C40C66FF867C}">
                  <a14:compatExt spid="_x0000_s246661"/>
                </a:ext>
                <a:ext uri="{FF2B5EF4-FFF2-40B4-BE49-F238E27FC236}">
                  <a16:creationId xmlns:a16="http://schemas.microsoft.com/office/drawing/2014/main" id="{00000000-0008-0000-0300-000085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23</xdr:row>
          <xdr:rowOff>19050</xdr:rowOff>
        </xdr:from>
        <xdr:to>
          <xdr:col>15</xdr:col>
          <xdr:colOff>266700</xdr:colOff>
          <xdr:row>23</xdr:row>
          <xdr:rowOff>180975</xdr:rowOff>
        </xdr:to>
        <xdr:sp macro="" textlink="">
          <xdr:nvSpPr>
            <xdr:cNvPr id="246662" name="Check Box 902" hidden="1">
              <a:extLst>
                <a:ext uri="{63B3BB69-23CF-44E3-9099-C40C66FF867C}">
                  <a14:compatExt spid="_x0000_s246662"/>
                </a:ext>
                <a:ext uri="{FF2B5EF4-FFF2-40B4-BE49-F238E27FC236}">
                  <a16:creationId xmlns:a16="http://schemas.microsoft.com/office/drawing/2014/main" id="{00000000-0008-0000-0300-000086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24</xdr:row>
          <xdr:rowOff>19050</xdr:rowOff>
        </xdr:from>
        <xdr:to>
          <xdr:col>15</xdr:col>
          <xdr:colOff>266700</xdr:colOff>
          <xdr:row>24</xdr:row>
          <xdr:rowOff>180975</xdr:rowOff>
        </xdr:to>
        <xdr:sp macro="" textlink="">
          <xdr:nvSpPr>
            <xdr:cNvPr id="246663" name="Check Box 903" hidden="1">
              <a:extLst>
                <a:ext uri="{63B3BB69-23CF-44E3-9099-C40C66FF867C}">
                  <a14:compatExt spid="_x0000_s246663"/>
                </a:ext>
                <a:ext uri="{FF2B5EF4-FFF2-40B4-BE49-F238E27FC236}">
                  <a16:creationId xmlns:a16="http://schemas.microsoft.com/office/drawing/2014/main" id="{00000000-0008-0000-0300-000087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25</xdr:row>
          <xdr:rowOff>19050</xdr:rowOff>
        </xdr:from>
        <xdr:to>
          <xdr:col>15</xdr:col>
          <xdr:colOff>266700</xdr:colOff>
          <xdr:row>25</xdr:row>
          <xdr:rowOff>180975</xdr:rowOff>
        </xdr:to>
        <xdr:sp macro="" textlink="">
          <xdr:nvSpPr>
            <xdr:cNvPr id="246664" name="Check Box 904" hidden="1">
              <a:extLst>
                <a:ext uri="{63B3BB69-23CF-44E3-9099-C40C66FF867C}">
                  <a14:compatExt spid="_x0000_s246664"/>
                </a:ext>
                <a:ext uri="{FF2B5EF4-FFF2-40B4-BE49-F238E27FC236}">
                  <a16:creationId xmlns:a16="http://schemas.microsoft.com/office/drawing/2014/main" id="{00000000-0008-0000-0300-000088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26</xdr:row>
          <xdr:rowOff>19050</xdr:rowOff>
        </xdr:from>
        <xdr:to>
          <xdr:col>15</xdr:col>
          <xdr:colOff>266700</xdr:colOff>
          <xdr:row>26</xdr:row>
          <xdr:rowOff>180975</xdr:rowOff>
        </xdr:to>
        <xdr:sp macro="" textlink="">
          <xdr:nvSpPr>
            <xdr:cNvPr id="246665" name="Check Box 905" hidden="1">
              <a:extLst>
                <a:ext uri="{63B3BB69-23CF-44E3-9099-C40C66FF867C}">
                  <a14:compatExt spid="_x0000_s246665"/>
                </a:ext>
                <a:ext uri="{FF2B5EF4-FFF2-40B4-BE49-F238E27FC236}">
                  <a16:creationId xmlns:a16="http://schemas.microsoft.com/office/drawing/2014/main" id="{00000000-0008-0000-0300-000089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27</xdr:row>
          <xdr:rowOff>19050</xdr:rowOff>
        </xdr:from>
        <xdr:to>
          <xdr:col>15</xdr:col>
          <xdr:colOff>266700</xdr:colOff>
          <xdr:row>27</xdr:row>
          <xdr:rowOff>180975</xdr:rowOff>
        </xdr:to>
        <xdr:sp macro="" textlink="">
          <xdr:nvSpPr>
            <xdr:cNvPr id="246666" name="Check Box 906" hidden="1">
              <a:extLst>
                <a:ext uri="{63B3BB69-23CF-44E3-9099-C40C66FF867C}">
                  <a14:compatExt spid="_x0000_s246666"/>
                </a:ext>
                <a:ext uri="{FF2B5EF4-FFF2-40B4-BE49-F238E27FC236}">
                  <a16:creationId xmlns:a16="http://schemas.microsoft.com/office/drawing/2014/main" id="{00000000-0008-0000-0300-00008A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28</xdr:row>
          <xdr:rowOff>19050</xdr:rowOff>
        </xdr:from>
        <xdr:to>
          <xdr:col>15</xdr:col>
          <xdr:colOff>266700</xdr:colOff>
          <xdr:row>28</xdr:row>
          <xdr:rowOff>180975</xdr:rowOff>
        </xdr:to>
        <xdr:sp macro="" textlink="">
          <xdr:nvSpPr>
            <xdr:cNvPr id="246667" name="Check Box 907" hidden="1">
              <a:extLst>
                <a:ext uri="{63B3BB69-23CF-44E3-9099-C40C66FF867C}">
                  <a14:compatExt spid="_x0000_s246667"/>
                </a:ext>
                <a:ext uri="{FF2B5EF4-FFF2-40B4-BE49-F238E27FC236}">
                  <a16:creationId xmlns:a16="http://schemas.microsoft.com/office/drawing/2014/main" id="{00000000-0008-0000-0300-00008B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29</xdr:row>
          <xdr:rowOff>19050</xdr:rowOff>
        </xdr:from>
        <xdr:to>
          <xdr:col>15</xdr:col>
          <xdr:colOff>266700</xdr:colOff>
          <xdr:row>29</xdr:row>
          <xdr:rowOff>180975</xdr:rowOff>
        </xdr:to>
        <xdr:sp macro="" textlink="">
          <xdr:nvSpPr>
            <xdr:cNvPr id="246668" name="Check Box 908" hidden="1">
              <a:extLst>
                <a:ext uri="{63B3BB69-23CF-44E3-9099-C40C66FF867C}">
                  <a14:compatExt spid="_x0000_s246668"/>
                </a:ext>
                <a:ext uri="{FF2B5EF4-FFF2-40B4-BE49-F238E27FC236}">
                  <a16:creationId xmlns:a16="http://schemas.microsoft.com/office/drawing/2014/main" id="{00000000-0008-0000-0300-00008C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30</xdr:row>
          <xdr:rowOff>19050</xdr:rowOff>
        </xdr:from>
        <xdr:to>
          <xdr:col>15</xdr:col>
          <xdr:colOff>266700</xdr:colOff>
          <xdr:row>30</xdr:row>
          <xdr:rowOff>180975</xdr:rowOff>
        </xdr:to>
        <xdr:sp macro="" textlink="">
          <xdr:nvSpPr>
            <xdr:cNvPr id="246669" name="Check Box 909" hidden="1">
              <a:extLst>
                <a:ext uri="{63B3BB69-23CF-44E3-9099-C40C66FF867C}">
                  <a14:compatExt spid="_x0000_s246669"/>
                </a:ext>
                <a:ext uri="{FF2B5EF4-FFF2-40B4-BE49-F238E27FC236}">
                  <a16:creationId xmlns:a16="http://schemas.microsoft.com/office/drawing/2014/main" id="{00000000-0008-0000-0300-00008D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31</xdr:row>
          <xdr:rowOff>19050</xdr:rowOff>
        </xdr:from>
        <xdr:to>
          <xdr:col>15</xdr:col>
          <xdr:colOff>266700</xdr:colOff>
          <xdr:row>31</xdr:row>
          <xdr:rowOff>180975</xdr:rowOff>
        </xdr:to>
        <xdr:sp macro="" textlink="">
          <xdr:nvSpPr>
            <xdr:cNvPr id="246670" name="Check Box 910" hidden="1">
              <a:extLst>
                <a:ext uri="{63B3BB69-23CF-44E3-9099-C40C66FF867C}">
                  <a14:compatExt spid="_x0000_s246670"/>
                </a:ext>
                <a:ext uri="{FF2B5EF4-FFF2-40B4-BE49-F238E27FC236}">
                  <a16:creationId xmlns:a16="http://schemas.microsoft.com/office/drawing/2014/main" id="{00000000-0008-0000-0300-00008E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32</xdr:row>
          <xdr:rowOff>19050</xdr:rowOff>
        </xdr:from>
        <xdr:to>
          <xdr:col>15</xdr:col>
          <xdr:colOff>266700</xdr:colOff>
          <xdr:row>32</xdr:row>
          <xdr:rowOff>180975</xdr:rowOff>
        </xdr:to>
        <xdr:sp macro="" textlink="">
          <xdr:nvSpPr>
            <xdr:cNvPr id="246671" name="Check Box 911" hidden="1">
              <a:extLst>
                <a:ext uri="{63B3BB69-23CF-44E3-9099-C40C66FF867C}">
                  <a14:compatExt spid="_x0000_s246671"/>
                </a:ext>
                <a:ext uri="{FF2B5EF4-FFF2-40B4-BE49-F238E27FC236}">
                  <a16:creationId xmlns:a16="http://schemas.microsoft.com/office/drawing/2014/main" id="{00000000-0008-0000-0300-00008F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33</xdr:row>
          <xdr:rowOff>19050</xdr:rowOff>
        </xdr:from>
        <xdr:to>
          <xdr:col>15</xdr:col>
          <xdr:colOff>266700</xdr:colOff>
          <xdr:row>33</xdr:row>
          <xdr:rowOff>180975</xdr:rowOff>
        </xdr:to>
        <xdr:sp macro="" textlink="">
          <xdr:nvSpPr>
            <xdr:cNvPr id="246672" name="Check Box 912" hidden="1">
              <a:extLst>
                <a:ext uri="{63B3BB69-23CF-44E3-9099-C40C66FF867C}">
                  <a14:compatExt spid="_x0000_s246672"/>
                </a:ext>
                <a:ext uri="{FF2B5EF4-FFF2-40B4-BE49-F238E27FC236}">
                  <a16:creationId xmlns:a16="http://schemas.microsoft.com/office/drawing/2014/main" id="{00000000-0008-0000-0300-000090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34</xdr:row>
          <xdr:rowOff>19050</xdr:rowOff>
        </xdr:from>
        <xdr:to>
          <xdr:col>15</xdr:col>
          <xdr:colOff>266700</xdr:colOff>
          <xdr:row>34</xdr:row>
          <xdr:rowOff>180975</xdr:rowOff>
        </xdr:to>
        <xdr:sp macro="" textlink="">
          <xdr:nvSpPr>
            <xdr:cNvPr id="246673" name="Check Box 913" hidden="1">
              <a:extLst>
                <a:ext uri="{63B3BB69-23CF-44E3-9099-C40C66FF867C}">
                  <a14:compatExt spid="_x0000_s246673"/>
                </a:ext>
                <a:ext uri="{FF2B5EF4-FFF2-40B4-BE49-F238E27FC236}">
                  <a16:creationId xmlns:a16="http://schemas.microsoft.com/office/drawing/2014/main" id="{00000000-0008-0000-0300-000091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35</xdr:row>
          <xdr:rowOff>19050</xdr:rowOff>
        </xdr:from>
        <xdr:to>
          <xdr:col>15</xdr:col>
          <xdr:colOff>266700</xdr:colOff>
          <xdr:row>35</xdr:row>
          <xdr:rowOff>180975</xdr:rowOff>
        </xdr:to>
        <xdr:sp macro="" textlink="">
          <xdr:nvSpPr>
            <xdr:cNvPr id="246674" name="Check Box 914" hidden="1">
              <a:extLst>
                <a:ext uri="{63B3BB69-23CF-44E3-9099-C40C66FF867C}">
                  <a14:compatExt spid="_x0000_s246674"/>
                </a:ext>
                <a:ext uri="{FF2B5EF4-FFF2-40B4-BE49-F238E27FC236}">
                  <a16:creationId xmlns:a16="http://schemas.microsoft.com/office/drawing/2014/main" id="{00000000-0008-0000-0300-000092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16</xdr:row>
          <xdr:rowOff>28575</xdr:rowOff>
        </xdr:from>
        <xdr:to>
          <xdr:col>15</xdr:col>
          <xdr:colOff>266700</xdr:colOff>
          <xdr:row>17</xdr:row>
          <xdr:rowOff>0</xdr:rowOff>
        </xdr:to>
        <xdr:sp macro="" textlink="">
          <xdr:nvSpPr>
            <xdr:cNvPr id="246700" name="Check Box 940" hidden="1">
              <a:extLst>
                <a:ext uri="{63B3BB69-23CF-44E3-9099-C40C66FF867C}">
                  <a14:compatExt spid="_x0000_s246700"/>
                </a:ext>
                <a:ext uri="{FF2B5EF4-FFF2-40B4-BE49-F238E27FC236}">
                  <a16:creationId xmlns:a16="http://schemas.microsoft.com/office/drawing/2014/main" id="{00000000-0008-0000-0300-0000AC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43</xdr:row>
          <xdr:rowOff>19050</xdr:rowOff>
        </xdr:from>
        <xdr:to>
          <xdr:col>15</xdr:col>
          <xdr:colOff>266700</xdr:colOff>
          <xdr:row>43</xdr:row>
          <xdr:rowOff>180975</xdr:rowOff>
        </xdr:to>
        <xdr:sp macro="" textlink="">
          <xdr:nvSpPr>
            <xdr:cNvPr id="246701" name="Check Box 941" hidden="1">
              <a:extLst>
                <a:ext uri="{63B3BB69-23CF-44E3-9099-C40C66FF867C}">
                  <a14:compatExt spid="_x0000_s246701"/>
                </a:ext>
                <a:ext uri="{FF2B5EF4-FFF2-40B4-BE49-F238E27FC236}">
                  <a16:creationId xmlns:a16="http://schemas.microsoft.com/office/drawing/2014/main" id="{00000000-0008-0000-0300-0000AD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44</xdr:row>
          <xdr:rowOff>19050</xdr:rowOff>
        </xdr:from>
        <xdr:to>
          <xdr:col>15</xdr:col>
          <xdr:colOff>266700</xdr:colOff>
          <xdr:row>44</xdr:row>
          <xdr:rowOff>180975</xdr:rowOff>
        </xdr:to>
        <xdr:sp macro="" textlink="">
          <xdr:nvSpPr>
            <xdr:cNvPr id="246702" name="Check Box 942" hidden="1">
              <a:extLst>
                <a:ext uri="{63B3BB69-23CF-44E3-9099-C40C66FF867C}">
                  <a14:compatExt spid="_x0000_s246702"/>
                </a:ext>
                <a:ext uri="{FF2B5EF4-FFF2-40B4-BE49-F238E27FC236}">
                  <a16:creationId xmlns:a16="http://schemas.microsoft.com/office/drawing/2014/main" id="{00000000-0008-0000-0300-0000AE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45</xdr:row>
          <xdr:rowOff>19050</xdr:rowOff>
        </xdr:from>
        <xdr:to>
          <xdr:col>15</xdr:col>
          <xdr:colOff>266700</xdr:colOff>
          <xdr:row>45</xdr:row>
          <xdr:rowOff>180975</xdr:rowOff>
        </xdr:to>
        <xdr:sp macro="" textlink="">
          <xdr:nvSpPr>
            <xdr:cNvPr id="246703" name="Check Box 943" hidden="1">
              <a:extLst>
                <a:ext uri="{63B3BB69-23CF-44E3-9099-C40C66FF867C}">
                  <a14:compatExt spid="_x0000_s246703"/>
                </a:ext>
                <a:ext uri="{FF2B5EF4-FFF2-40B4-BE49-F238E27FC236}">
                  <a16:creationId xmlns:a16="http://schemas.microsoft.com/office/drawing/2014/main" id="{00000000-0008-0000-0300-0000AF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46</xdr:row>
          <xdr:rowOff>19050</xdr:rowOff>
        </xdr:from>
        <xdr:to>
          <xdr:col>15</xdr:col>
          <xdr:colOff>266700</xdr:colOff>
          <xdr:row>46</xdr:row>
          <xdr:rowOff>180975</xdr:rowOff>
        </xdr:to>
        <xdr:sp macro="" textlink="">
          <xdr:nvSpPr>
            <xdr:cNvPr id="246704" name="Check Box 944" hidden="1">
              <a:extLst>
                <a:ext uri="{63B3BB69-23CF-44E3-9099-C40C66FF867C}">
                  <a14:compatExt spid="_x0000_s246704"/>
                </a:ext>
                <a:ext uri="{FF2B5EF4-FFF2-40B4-BE49-F238E27FC236}">
                  <a16:creationId xmlns:a16="http://schemas.microsoft.com/office/drawing/2014/main" id="{00000000-0008-0000-0300-0000B0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47</xdr:row>
          <xdr:rowOff>19050</xdr:rowOff>
        </xdr:from>
        <xdr:to>
          <xdr:col>15</xdr:col>
          <xdr:colOff>266700</xdr:colOff>
          <xdr:row>47</xdr:row>
          <xdr:rowOff>180975</xdr:rowOff>
        </xdr:to>
        <xdr:sp macro="" textlink="">
          <xdr:nvSpPr>
            <xdr:cNvPr id="246705" name="Check Box 945" hidden="1">
              <a:extLst>
                <a:ext uri="{63B3BB69-23CF-44E3-9099-C40C66FF867C}">
                  <a14:compatExt spid="_x0000_s246705"/>
                </a:ext>
                <a:ext uri="{FF2B5EF4-FFF2-40B4-BE49-F238E27FC236}">
                  <a16:creationId xmlns:a16="http://schemas.microsoft.com/office/drawing/2014/main" id="{00000000-0008-0000-0300-0000B1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47</xdr:row>
          <xdr:rowOff>19050</xdr:rowOff>
        </xdr:from>
        <xdr:to>
          <xdr:col>15</xdr:col>
          <xdr:colOff>266700</xdr:colOff>
          <xdr:row>47</xdr:row>
          <xdr:rowOff>180975</xdr:rowOff>
        </xdr:to>
        <xdr:sp macro="" textlink="">
          <xdr:nvSpPr>
            <xdr:cNvPr id="246706" name="Check Box 946" hidden="1">
              <a:extLst>
                <a:ext uri="{63B3BB69-23CF-44E3-9099-C40C66FF867C}">
                  <a14:compatExt spid="_x0000_s246706"/>
                </a:ext>
                <a:ext uri="{FF2B5EF4-FFF2-40B4-BE49-F238E27FC236}">
                  <a16:creationId xmlns:a16="http://schemas.microsoft.com/office/drawing/2014/main" id="{00000000-0008-0000-0300-0000B2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48</xdr:row>
          <xdr:rowOff>19050</xdr:rowOff>
        </xdr:from>
        <xdr:to>
          <xdr:col>15</xdr:col>
          <xdr:colOff>266700</xdr:colOff>
          <xdr:row>48</xdr:row>
          <xdr:rowOff>180975</xdr:rowOff>
        </xdr:to>
        <xdr:sp macro="" textlink="">
          <xdr:nvSpPr>
            <xdr:cNvPr id="246707" name="Check Box 947" hidden="1">
              <a:extLst>
                <a:ext uri="{63B3BB69-23CF-44E3-9099-C40C66FF867C}">
                  <a14:compatExt spid="_x0000_s246707"/>
                </a:ext>
                <a:ext uri="{FF2B5EF4-FFF2-40B4-BE49-F238E27FC236}">
                  <a16:creationId xmlns:a16="http://schemas.microsoft.com/office/drawing/2014/main" id="{00000000-0008-0000-0300-0000B3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49</xdr:row>
          <xdr:rowOff>19050</xdr:rowOff>
        </xdr:from>
        <xdr:to>
          <xdr:col>15</xdr:col>
          <xdr:colOff>266700</xdr:colOff>
          <xdr:row>49</xdr:row>
          <xdr:rowOff>180975</xdr:rowOff>
        </xdr:to>
        <xdr:sp macro="" textlink="">
          <xdr:nvSpPr>
            <xdr:cNvPr id="246708" name="Check Box 948" hidden="1">
              <a:extLst>
                <a:ext uri="{63B3BB69-23CF-44E3-9099-C40C66FF867C}">
                  <a14:compatExt spid="_x0000_s246708"/>
                </a:ext>
                <a:ext uri="{FF2B5EF4-FFF2-40B4-BE49-F238E27FC236}">
                  <a16:creationId xmlns:a16="http://schemas.microsoft.com/office/drawing/2014/main" id="{00000000-0008-0000-0300-0000B4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50</xdr:row>
          <xdr:rowOff>19050</xdr:rowOff>
        </xdr:from>
        <xdr:to>
          <xdr:col>15</xdr:col>
          <xdr:colOff>266700</xdr:colOff>
          <xdr:row>50</xdr:row>
          <xdr:rowOff>180975</xdr:rowOff>
        </xdr:to>
        <xdr:sp macro="" textlink="">
          <xdr:nvSpPr>
            <xdr:cNvPr id="246709" name="Check Box 949" hidden="1">
              <a:extLst>
                <a:ext uri="{63B3BB69-23CF-44E3-9099-C40C66FF867C}">
                  <a14:compatExt spid="_x0000_s246709"/>
                </a:ext>
                <a:ext uri="{FF2B5EF4-FFF2-40B4-BE49-F238E27FC236}">
                  <a16:creationId xmlns:a16="http://schemas.microsoft.com/office/drawing/2014/main" id="{00000000-0008-0000-0300-0000B5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51</xdr:row>
          <xdr:rowOff>19050</xdr:rowOff>
        </xdr:from>
        <xdr:to>
          <xdr:col>15</xdr:col>
          <xdr:colOff>266700</xdr:colOff>
          <xdr:row>51</xdr:row>
          <xdr:rowOff>180975</xdr:rowOff>
        </xdr:to>
        <xdr:sp macro="" textlink="">
          <xdr:nvSpPr>
            <xdr:cNvPr id="246710" name="Check Box 950" hidden="1">
              <a:extLst>
                <a:ext uri="{63B3BB69-23CF-44E3-9099-C40C66FF867C}">
                  <a14:compatExt spid="_x0000_s246710"/>
                </a:ext>
                <a:ext uri="{FF2B5EF4-FFF2-40B4-BE49-F238E27FC236}">
                  <a16:creationId xmlns:a16="http://schemas.microsoft.com/office/drawing/2014/main" id="{00000000-0008-0000-0300-0000B6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52</xdr:row>
          <xdr:rowOff>19050</xdr:rowOff>
        </xdr:from>
        <xdr:to>
          <xdr:col>15</xdr:col>
          <xdr:colOff>266700</xdr:colOff>
          <xdr:row>52</xdr:row>
          <xdr:rowOff>180975</xdr:rowOff>
        </xdr:to>
        <xdr:sp macro="" textlink="">
          <xdr:nvSpPr>
            <xdr:cNvPr id="246711" name="Check Box 951" hidden="1">
              <a:extLst>
                <a:ext uri="{63B3BB69-23CF-44E3-9099-C40C66FF867C}">
                  <a14:compatExt spid="_x0000_s246711"/>
                </a:ext>
                <a:ext uri="{FF2B5EF4-FFF2-40B4-BE49-F238E27FC236}">
                  <a16:creationId xmlns:a16="http://schemas.microsoft.com/office/drawing/2014/main" id="{00000000-0008-0000-0300-0000B7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53</xdr:row>
          <xdr:rowOff>19050</xdr:rowOff>
        </xdr:from>
        <xdr:to>
          <xdr:col>15</xdr:col>
          <xdr:colOff>266700</xdr:colOff>
          <xdr:row>53</xdr:row>
          <xdr:rowOff>180975</xdr:rowOff>
        </xdr:to>
        <xdr:sp macro="" textlink="">
          <xdr:nvSpPr>
            <xdr:cNvPr id="246712" name="Check Box 952" hidden="1">
              <a:extLst>
                <a:ext uri="{63B3BB69-23CF-44E3-9099-C40C66FF867C}">
                  <a14:compatExt spid="_x0000_s246712"/>
                </a:ext>
                <a:ext uri="{FF2B5EF4-FFF2-40B4-BE49-F238E27FC236}">
                  <a16:creationId xmlns:a16="http://schemas.microsoft.com/office/drawing/2014/main" id="{00000000-0008-0000-0300-0000B8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54</xdr:row>
          <xdr:rowOff>19050</xdr:rowOff>
        </xdr:from>
        <xdr:to>
          <xdr:col>15</xdr:col>
          <xdr:colOff>266700</xdr:colOff>
          <xdr:row>54</xdr:row>
          <xdr:rowOff>180975</xdr:rowOff>
        </xdr:to>
        <xdr:sp macro="" textlink="">
          <xdr:nvSpPr>
            <xdr:cNvPr id="246713" name="Check Box 953" hidden="1">
              <a:extLst>
                <a:ext uri="{63B3BB69-23CF-44E3-9099-C40C66FF867C}">
                  <a14:compatExt spid="_x0000_s246713"/>
                </a:ext>
                <a:ext uri="{FF2B5EF4-FFF2-40B4-BE49-F238E27FC236}">
                  <a16:creationId xmlns:a16="http://schemas.microsoft.com/office/drawing/2014/main" id="{00000000-0008-0000-0300-0000B9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55</xdr:row>
          <xdr:rowOff>19050</xdr:rowOff>
        </xdr:from>
        <xdr:to>
          <xdr:col>15</xdr:col>
          <xdr:colOff>266700</xdr:colOff>
          <xdr:row>55</xdr:row>
          <xdr:rowOff>180975</xdr:rowOff>
        </xdr:to>
        <xdr:sp macro="" textlink="">
          <xdr:nvSpPr>
            <xdr:cNvPr id="246714" name="Check Box 954" hidden="1">
              <a:extLst>
                <a:ext uri="{63B3BB69-23CF-44E3-9099-C40C66FF867C}">
                  <a14:compatExt spid="_x0000_s246714"/>
                </a:ext>
                <a:ext uri="{FF2B5EF4-FFF2-40B4-BE49-F238E27FC236}">
                  <a16:creationId xmlns:a16="http://schemas.microsoft.com/office/drawing/2014/main" id="{00000000-0008-0000-0300-0000BA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56</xdr:row>
          <xdr:rowOff>19050</xdr:rowOff>
        </xdr:from>
        <xdr:to>
          <xdr:col>15</xdr:col>
          <xdr:colOff>266700</xdr:colOff>
          <xdr:row>56</xdr:row>
          <xdr:rowOff>180975</xdr:rowOff>
        </xdr:to>
        <xdr:sp macro="" textlink="">
          <xdr:nvSpPr>
            <xdr:cNvPr id="246715" name="Check Box 955" hidden="1">
              <a:extLst>
                <a:ext uri="{63B3BB69-23CF-44E3-9099-C40C66FF867C}">
                  <a14:compatExt spid="_x0000_s246715"/>
                </a:ext>
                <a:ext uri="{FF2B5EF4-FFF2-40B4-BE49-F238E27FC236}">
                  <a16:creationId xmlns:a16="http://schemas.microsoft.com/office/drawing/2014/main" id="{00000000-0008-0000-0300-0000BB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57</xdr:row>
          <xdr:rowOff>19050</xdr:rowOff>
        </xdr:from>
        <xdr:to>
          <xdr:col>15</xdr:col>
          <xdr:colOff>266700</xdr:colOff>
          <xdr:row>57</xdr:row>
          <xdr:rowOff>180975</xdr:rowOff>
        </xdr:to>
        <xdr:sp macro="" textlink="">
          <xdr:nvSpPr>
            <xdr:cNvPr id="246716" name="Check Box 956" hidden="1">
              <a:extLst>
                <a:ext uri="{63B3BB69-23CF-44E3-9099-C40C66FF867C}">
                  <a14:compatExt spid="_x0000_s246716"/>
                </a:ext>
                <a:ext uri="{FF2B5EF4-FFF2-40B4-BE49-F238E27FC236}">
                  <a16:creationId xmlns:a16="http://schemas.microsoft.com/office/drawing/2014/main" id="{00000000-0008-0000-0300-0000BC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58</xdr:row>
          <xdr:rowOff>19050</xdr:rowOff>
        </xdr:from>
        <xdr:to>
          <xdr:col>15</xdr:col>
          <xdr:colOff>266700</xdr:colOff>
          <xdr:row>58</xdr:row>
          <xdr:rowOff>180975</xdr:rowOff>
        </xdr:to>
        <xdr:sp macro="" textlink="">
          <xdr:nvSpPr>
            <xdr:cNvPr id="246717" name="Check Box 957" hidden="1">
              <a:extLst>
                <a:ext uri="{63B3BB69-23CF-44E3-9099-C40C66FF867C}">
                  <a14:compatExt spid="_x0000_s246717"/>
                </a:ext>
                <a:ext uri="{FF2B5EF4-FFF2-40B4-BE49-F238E27FC236}">
                  <a16:creationId xmlns:a16="http://schemas.microsoft.com/office/drawing/2014/main" id="{00000000-0008-0000-0300-0000BD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59</xdr:row>
          <xdr:rowOff>19050</xdr:rowOff>
        </xdr:from>
        <xdr:to>
          <xdr:col>15</xdr:col>
          <xdr:colOff>266700</xdr:colOff>
          <xdr:row>59</xdr:row>
          <xdr:rowOff>180975</xdr:rowOff>
        </xdr:to>
        <xdr:sp macro="" textlink="">
          <xdr:nvSpPr>
            <xdr:cNvPr id="246718" name="Check Box 958" hidden="1">
              <a:extLst>
                <a:ext uri="{63B3BB69-23CF-44E3-9099-C40C66FF867C}">
                  <a14:compatExt spid="_x0000_s246718"/>
                </a:ext>
                <a:ext uri="{FF2B5EF4-FFF2-40B4-BE49-F238E27FC236}">
                  <a16:creationId xmlns:a16="http://schemas.microsoft.com/office/drawing/2014/main" id="{00000000-0008-0000-0300-0000BE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60</xdr:row>
          <xdr:rowOff>19050</xdr:rowOff>
        </xdr:from>
        <xdr:to>
          <xdr:col>15</xdr:col>
          <xdr:colOff>266700</xdr:colOff>
          <xdr:row>60</xdr:row>
          <xdr:rowOff>180975</xdr:rowOff>
        </xdr:to>
        <xdr:sp macro="" textlink="">
          <xdr:nvSpPr>
            <xdr:cNvPr id="246719" name="Check Box 959" hidden="1">
              <a:extLst>
                <a:ext uri="{63B3BB69-23CF-44E3-9099-C40C66FF867C}">
                  <a14:compatExt spid="_x0000_s246719"/>
                </a:ext>
                <a:ext uri="{FF2B5EF4-FFF2-40B4-BE49-F238E27FC236}">
                  <a16:creationId xmlns:a16="http://schemas.microsoft.com/office/drawing/2014/main" id="{00000000-0008-0000-0300-0000BF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61</xdr:row>
          <xdr:rowOff>19050</xdr:rowOff>
        </xdr:from>
        <xdr:to>
          <xdr:col>15</xdr:col>
          <xdr:colOff>266700</xdr:colOff>
          <xdr:row>61</xdr:row>
          <xdr:rowOff>180975</xdr:rowOff>
        </xdr:to>
        <xdr:sp macro="" textlink="">
          <xdr:nvSpPr>
            <xdr:cNvPr id="246720" name="Check Box 960" hidden="1">
              <a:extLst>
                <a:ext uri="{63B3BB69-23CF-44E3-9099-C40C66FF867C}">
                  <a14:compatExt spid="_x0000_s246720"/>
                </a:ext>
                <a:ext uri="{FF2B5EF4-FFF2-40B4-BE49-F238E27FC236}">
                  <a16:creationId xmlns:a16="http://schemas.microsoft.com/office/drawing/2014/main" id="{00000000-0008-0000-0300-0000C0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62</xdr:row>
          <xdr:rowOff>19050</xdr:rowOff>
        </xdr:from>
        <xdr:to>
          <xdr:col>15</xdr:col>
          <xdr:colOff>266700</xdr:colOff>
          <xdr:row>62</xdr:row>
          <xdr:rowOff>180975</xdr:rowOff>
        </xdr:to>
        <xdr:sp macro="" textlink="">
          <xdr:nvSpPr>
            <xdr:cNvPr id="246721" name="Check Box 961" hidden="1">
              <a:extLst>
                <a:ext uri="{63B3BB69-23CF-44E3-9099-C40C66FF867C}">
                  <a14:compatExt spid="_x0000_s246721"/>
                </a:ext>
                <a:ext uri="{FF2B5EF4-FFF2-40B4-BE49-F238E27FC236}">
                  <a16:creationId xmlns:a16="http://schemas.microsoft.com/office/drawing/2014/main" id="{00000000-0008-0000-0300-0000C1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63</xdr:row>
          <xdr:rowOff>19050</xdr:rowOff>
        </xdr:from>
        <xdr:to>
          <xdr:col>15</xdr:col>
          <xdr:colOff>266700</xdr:colOff>
          <xdr:row>63</xdr:row>
          <xdr:rowOff>180975</xdr:rowOff>
        </xdr:to>
        <xdr:sp macro="" textlink="">
          <xdr:nvSpPr>
            <xdr:cNvPr id="246722" name="Check Box 962" hidden="1">
              <a:extLst>
                <a:ext uri="{63B3BB69-23CF-44E3-9099-C40C66FF867C}">
                  <a14:compatExt spid="_x0000_s246722"/>
                </a:ext>
                <a:ext uri="{FF2B5EF4-FFF2-40B4-BE49-F238E27FC236}">
                  <a16:creationId xmlns:a16="http://schemas.microsoft.com/office/drawing/2014/main" id="{00000000-0008-0000-0300-0000C2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64</xdr:row>
          <xdr:rowOff>19050</xdr:rowOff>
        </xdr:from>
        <xdr:to>
          <xdr:col>15</xdr:col>
          <xdr:colOff>266700</xdr:colOff>
          <xdr:row>64</xdr:row>
          <xdr:rowOff>180975</xdr:rowOff>
        </xdr:to>
        <xdr:sp macro="" textlink="">
          <xdr:nvSpPr>
            <xdr:cNvPr id="246723" name="Check Box 963" hidden="1">
              <a:extLst>
                <a:ext uri="{63B3BB69-23CF-44E3-9099-C40C66FF867C}">
                  <a14:compatExt spid="_x0000_s246723"/>
                </a:ext>
                <a:ext uri="{FF2B5EF4-FFF2-40B4-BE49-F238E27FC236}">
                  <a16:creationId xmlns:a16="http://schemas.microsoft.com/office/drawing/2014/main" id="{00000000-0008-0000-0300-0000C3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65</xdr:row>
          <xdr:rowOff>19050</xdr:rowOff>
        </xdr:from>
        <xdr:to>
          <xdr:col>15</xdr:col>
          <xdr:colOff>266700</xdr:colOff>
          <xdr:row>65</xdr:row>
          <xdr:rowOff>180975</xdr:rowOff>
        </xdr:to>
        <xdr:sp macro="" textlink="">
          <xdr:nvSpPr>
            <xdr:cNvPr id="246724" name="Check Box 964" hidden="1">
              <a:extLst>
                <a:ext uri="{63B3BB69-23CF-44E3-9099-C40C66FF867C}">
                  <a14:compatExt spid="_x0000_s246724"/>
                </a:ext>
                <a:ext uri="{FF2B5EF4-FFF2-40B4-BE49-F238E27FC236}">
                  <a16:creationId xmlns:a16="http://schemas.microsoft.com/office/drawing/2014/main" id="{00000000-0008-0000-0300-0000C4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66</xdr:row>
          <xdr:rowOff>19050</xdr:rowOff>
        </xdr:from>
        <xdr:to>
          <xdr:col>15</xdr:col>
          <xdr:colOff>266700</xdr:colOff>
          <xdr:row>66</xdr:row>
          <xdr:rowOff>180975</xdr:rowOff>
        </xdr:to>
        <xdr:sp macro="" textlink="">
          <xdr:nvSpPr>
            <xdr:cNvPr id="246725" name="Check Box 965" hidden="1">
              <a:extLst>
                <a:ext uri="{63B3BB69-23CF-44E3-9099-C40C66FF867C}">
                  <a14:compatExt spid="_x0000_s246725"/>
                </a:ext>
                <a:ext uri="{FF2B5EF4-FFF2-40B4-BE49-F238E27FC236}">
                  <a16:creationId xmlns:a16="http://schemas.microsoft.com/office/drawing/2014/main" id="{00000000-0008-0000-0300-0000C5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67</xdr:row>
          <xdr:rowOff>19050</xdr:rowOff>
        </xdr:from>
        <xdr:to>
          <xdr:col>15</xdr:col>
          <xdr:colOff>266700</xdr:colOff>
          <xdr:row>67</xdr:row>
          <xdr:rowOff>180975</xdr:rowOff>
        </xdr:to>
        <xdr:sp macro="" textlink="">
          <xdr:nvSpPr>
            <xdr:cNvPr id="246726" name="Check Box 966" hidden="1">
              <a:extLst>
                <a:ext uri="{63B3BB69-23CF-44E3-9099-C40C66FF867C}">
                  <a14:compatExt spid="_x0000_s246726"/>
                </a:ext>
                <a:ext uri="{FF2B5EF4-FFF2-40B4-BE49-F238E27FC236}">
                  <a16:creationId xmlns:a16="http://schemas.microsoft.com/office/drawing/2014/main" id="{00000000-0008-0000-0300-0000C6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56</xdr:col>
      <xdr:colOff>59056</xdr:colOff>
      <xdr:row>54</xdr:row>
      <xdr:rowOff>47625</xdr:rowOff>
    </xdr:from>
    <xdr:to>
      <xdr:col>64</xdr:col>
      <xdr:colOff>133350</xdr:colOff>
      <xdr:row>68</xdr:row>
      <xdr:rowOff>167640</xdr:rowOff>
    </xdr:to>
    <xdr:graphicFrame macro="">
      <xdr:nvGraphicFramePr>
        <xdr:cNvPr id="119" name="Diagramm 118">
          <a:extLst>
            <a:ext uri="{FF2B5EF4-FFF2-40B4-BE49-F238E27FC236}">
              <a16:creationId xmlns:a16="http://schemas.microsoft.com/office/drawing/2014/main" id="{00000000-0008-0000-03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0</xdr:colOff>
          <xdr:row>31</xdr:row>
          <xdr:rowOff>0</xdr:rowOff>
        </xdr:from>
        <xdr:to>
          <xdr:col>5</xdr:col>
          <xdr:colOff>0</xdr:colOff>
          <xdr:row>32</xdr:row>
          <xdr:rowOff>9525</xdr:rowOff>
        </xdr:to>
        <xdr:sp macro="" textlink="">
          <xdr:nvSpPr>
            <xdr:cNvPr id="246257" name="Drop Down 497" hidden="1">
              <a:extLst>
                <a:ext uri="{63B3BB69-23CF-44E3-9099-C40C66FF867C}">
                  <a14:compatExt spid="_x0000_s246257"/>
                </a:ext>
                <a:ext uri="{FF2B5EF4-FFF2-40B4-BE49-F238E27FC236}">
                  <a16:creationId xmlns:a16="http://schemas.microsoft.com/office/drawing/2014/main" id="{00000000-0008-0000-0300-0000F1C1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xdr:row>
          <xdr:rowOff>0</xdr:rowOff>
        </xdr:from>
        <xdr:to>
          <xdr:col>5</xdr:col>
          <xdr:colOff>0</xdr:colOff>
          <xdr:row>33</xdr:row>
          <xdr:rowOff>9525</xdr:rowOff>
        </xdr:to>
        <xdr:sp macro="" textlink="">
          <xdr:nvSpPr>
            <xdr:cNvPr id="246258" name="Drop Down 498" hidden="1">
              <a:extLst>
                <a:ext uri="{63B3BB69-23CF-44E3-9099-C40C66FF867C}">
                  <a14:compatExt spid="_x0000_s246258"/>
                </a:ext>
                <a:ext uri="{FF2B5EF4-FFF2-40B4-BE49-F238E27FC236}">
                  <a16:creationId xmlns:a16="http://schemas.microsoft.com/office/drawing/2014/main" id="{00000000-0008-0000-0300-0000F2C1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33</xdr:row>
          <xdr:rowOff>0</xdr:rowOff>
        </xdr:from>
        <xdr:to>
          <xdr:col>5</xdr:col>
          <xdr:colOff>0</xdr:colOff>
          <xdr:row>34</xdr:row>
          <xdr:rowOff>9525</xdr:rowOff>
        </xdr:to>
        <xdr:sp macro="" textlink="">
          <xdr:nvSpPr>
            <xdr:cNvPr id="246259" name="Drop Down 499" hidden="1">
              <a:extLst>
                <a:ext uri="{63B3BB69-23CF-44E3-9099-C40C66FF867C}">
                  <a14:compatExt spid="_x0000_s246259"/>
                </a:ext>
                <a:ext uri="{FF2B5EF4-FFF2-40B4-BE49-F238E27FC236}">
                  <a16:creationId xmlns:a16="http://schemas.microsoft.com/office/drawing/2014/main" id="{00000000-0008-0000-0300-0000F3C1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xdr:row>
          <xdr:rowOff>0</xdr:rowOff>
        </xdr:from>
        <xdr:to>
          <xdr:col>5</xdr:col>
          <xdr:colOff>0</xdr:colOff>
          <xdr:row>35</xdr:row>
          <xdr:rowOff>9525</xdr:rowOff>
        </xdr:to>
        <xdr:sp macro="" textlink="">
          <xdr:nvSpPr>
            <xdr:cNvPr id="246260" name="Drop Down 500" hidden="1">
              <a:extLst>
                <a:ext uri="{63B3BB69-23CF-44E3-9099-C40C66FF867C}">
                  <a14:compatExt spid="_x0000_s246260"/>
                </a:ext>
                <a:ext uri="{FF2B5EF4-FFF2-40B4-BE49-F238E27FC236}">
                  <a16:creationId xmlns:a16="http://schemas.microsoft.com/office/drawing/2014/main" id="{00000000-0008-0000-0300-0000F4C1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xdr:row>
          <xdr:rowOff>190500</xdr:rowOff>
        </xdr:from>
        <xdr:to>
          <xdr:col>5</xdr:col>
          <xdr:colOff>0</xdr:colOff>
          <xdr:row>36</xdr:row>
          <xdr:rowOff>9525</xdr:rowOff>
        </xdr:to>
        <xdr:sp macro="" textlink="">
          <xdr:nvSpPr>
            <xdr:cNvPr id="246272" name="Drop Down 512" hidden="1">
              <a:extLst>
                <a:ext uri="{63B3BB69-23CF-44E3-9099-C40C66FF867C}">
                  <a14:compatExt spid="_x0000_s246272"/>
                </a:ext>
                <a:ext uri="{FF2B5EF4-FFF2-40B4-BE49-F238E27FC236}">
                  <a16:creationId xmlns:a16="http://schemas.microsoft.com/office/drawing/2014/main" id="{00000000-0008-0000-0300-000000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59</xdr:row>
          <xdr:rowOff>190500</xdr:rowOff>
        </xdr:from>
        <xdr:to>
          <xdr:col>5</xdr:col>
          <xdr:colOff>0</xdr:colOff>
          <xdr:row>61</xdr:row>
          <xdr:rowOff>9525</xdr:rowOff>
        </xdr:to>
        <xdr:sp macro="" textlink="">
          <xdr:nvSpPr>
            <xdr:cNvPr id="245995" name="Drop Down 235" hidden="1">
              <a:extLst>
                <a:ext uri="{63B3BB69-23CF-44E3-9099-C40C66FF867C}">
                  <a14:compatExt spid="_x0000_s245995"/>
                </a:ext>
                <a:ext uri="{FF2B5EF4-FFF2-40B4-BE49-F238E27FC236}">
                  <a16:creationId xmlns:a16="http://schemas.microsoft.com/office/drawing/2014/main" id="{00000000-0008-0000-0300-0000EB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61</xdr:row>
          <xdr:rowOff>0</xdr:rowOff>
        </xdr:from>
        <xdr:to>
          <xdr:col>5</xdr:col>
          <xdr:colOff>0</xdr:colOff>
          <xdr:row>62</xdr:row>
          <xdr:rowOff>9525</xdr:rowOff>
        </xdr:to>
        <xdr:sp macro="" textlink="">
          <xdr:nvSpPr>
            <xdr:cNvPr id="246480" name="Drop Down 720" hidden="1">
              <a:extLst>
                <a:ext uri="{63B3BB69-23CF-44E3-9099-C40C66FF867C}">
                  <a14:compatExt spid="_x0000_s246480"/>
                </a:ext>
                <a:ext uri="{FF2B5EF4-FFF2-40B4-BE49-F238E27FC236}">
                  <a16:creationId xmlns:a16="http://schemas.microsoft.com/office/drawing/2014/main" id="{00000000-0008-0000-0300-0000D0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62</xdr:row>
          <xdr:rowOff>0</xdr:rowOff>
        </xdr:from>
        <xdr:to>
          <xdr:col>5</xdr:col>
          <xdr:colOff>0</xdr:colOff>
          <xdr:row>63</xdr:row>
          <xdr:rowOff>9525</xdr:rowOff>
        </xdr:to>
        <xdr:sp macro="" textlink="">
          <xdr:nvSpPr>
            <xdr:cNvPr id="246293" name="Drop Down 533" hidden="1">
              <a:extLst>
                <a:ext uri="{63B3BB69-23CF-44E3-9099-C40C66FF867C}">
                  <a14:compatExt spid="_x0000_s246293"/>
                </a:ext>
                <a:ext uri="{FF2B5EF4-FFF2-40B4-BE49-F238E27FC236}">
                  <a16:creationId xmlns:a16="http://schemas.microsoft.com/office/drawing/2014/main" id="{00000000-0008-0000-0300-000015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63</xdr:row>
          <xdr:rowOff>0</xdr:rowOff>
        </xdr:from>
        <xdr:to>
          <xdr:col>5</xdr:col>
          <xdr:colOff>0</xdr:colOff>
          <xdr:row>64</xdr:row>
          <xdr:rowOff>9525</xdr:rowOff>
        </xdr:to>
        <xdr:sp macro="" textlink="">
          <xdr:nvSpPr>
            <xdr:cNvPr id="246294" name="Drop Down 534" hidden="1">
              <a:extLst>
                <a:ext uri="{63B3BB69-23CF-44E3-9099-C40C66FF867C}">
                  <a14:compatExt spid="_x0000_s246294"/>
                </a:ext>
                <a:ext uri="{FF2B5EF4-FFF2-40B4-BE49-F238E27FC236}">
                  <a16:creationId xmlns:a16="http://schemas.microsoft.com/office/drawing/2014/main" id="{00000000-0008-0000-0300-000016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64</xdr:row>
          <xdr:rowOff>0</xdr:rowOff>
        </xdr:from>
        <xdr:to>
          <xdr:col>5</xdr:col>
          <xdr:colOff>0</xdr:colOff>
          <xdr:row>65</xdr:row>
          <xdr:rowOff>9525</xdr:rowOff>
        </xdr:to>
        <xdr:sp macro="" textlink="">
          <xdr:nvSpPr>
            <xdr:cNvPr id="246295" name="Drop Down 535" hidden="1">
              <a:extLst>
                <a:ext uri="{63B3BB69-23CF-44E3-9099-C40C66FF867C}">
                  <a14:compatExt spid="_x0000_s246295"/>
                </a:ext>
                <a:ext uri="{FF2B5EF4-FFF2-40B4-BE49-F238E27FC236}">
                  <a16:creationId xmlns:a16="http://schemas.microsoft.com/office/drawing/2014/main" id="{00000000-0008-0000-0300-000017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xdr:row>
          <xdr:rowOff>0</xdr:rowOff>
        </xdr:from>
        <xdr:to>
          <xdr:col>5</xdr:col>
          <xdr:colOff>0</xdr:colOff>
          <xdr:row>66</xdr:row>
          <xdr:rowOff>9525</xdr:rowOff>
        </xdr:to>
        <xdr:sp macro="" textlink="">
          <xdr:nvSpPr>
            <xdr:cNvPr id="246296" name="Drop Down 536" hidden="1">
              <a:extLst>
                <a:ext uri="{63B3BB69-23CF-44E3-9099-C40C66FF867C}">
                  <a14:compatExt spid="_x0000_s246296"/>
                </a:ext>
                <a:ext uri="{FF2B5EF4-FFF2-40B4-BE49-F238E27FC236}">
                  <a16:creationId xmlns:a16="http://schemas.microsoft.com/office/drawing/2014/main" id="{00000000-0008-0000-0300-000018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xdr:row>
          <xdr:rowOff>200025</xdr:rowOff>
        </xdr:from>
        <xdr:to>
          <xdr:col>5</xdr:col>
          <xdr:colOff>0</xdr:colOff>
          <xdr:row>67</xdr:row>
          <xdr:rowOff>9525</xdr:rowOff>
        </xdr:to>
        <xdr:sp macro="" textlink="">
          <xdr:nvSpPr>
            <xdr:cNvPr id="246308" name="Drop Down 548" hidden="1">
              <a:extLst>
                <a:ext uri="{63B3BB69-23CF-44E3-9099-C40C66FF867C}">
                  <a14:compatExt spid="_x0000_s246308"/>
                </a:ext>
                <a:ext uri="{FF2B5EF4-FFF2-40B4-BE49-F238E27FC236}">
                  <a16:creationId xmlns:a16="http://schemas.microsoft.com/office/drawing/2014/main" id="{00000000-0008-0000-0300-000024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66</xdr:row>
          <xdr:rowOff>190500</xdr:rowOff>
        </xdr:from>
        <xdr:to>
          <xdr:col>5</xdr:col>
          <xdr:colOff>0</xdr:colOff>
          <xdr:row>68</xdr:row>
          <xdr:rowOff>9525</xdr:rowOff>
        </xdr:to>
        <xdr:sp macro="" textlink="">
          <xdr:nvSpPr>
            <xdr:cNvPr id="246307" name="Drop Down 547" hidden="1">
              <a:extLst>
                <a:ext uri="{63B3BB69-23CF-44E3-9099-C40C66FF867C}">
                  <a14:compatExt spid="_x0000_s246307"/>
                </a:ext>
                <a:ext uri="{FF2B5EF4-FFF2-40B4-BE49-F238E27FC236}">
                  <a16:creationId xmlns:a16="http://schemas.microsoft.com/office/drawing/2014/main" id="{00000000-0008-0000-0300-000023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100</xdr:row>
          <xdr:rowOff>0</xdr:rowOff>
        </xdr:from>
        <xdr:to>
          <xdr:col>5</xdr:col>
          <xdr:colOff>0</xdr:colOff>
          <xdr:row>101</xdr:row>
          <xdr:rowOff>9525</xdr:rowOff>
        </xdr:to>
        <xdr:sp macro="" textlink="">
          <xdr:nvSpPr>
            <xdr:cNvPr id="246378" name="Drop Down 618" hidden="1">
              <a:extLst>
                <a:ext uri="{63B3BB69-23CF-44E3-9099-C40C66FF867C}">
                  <a14:compatExt spid="_x0000_s246378"/>
                </a:ext>
                <a:ext uri="{FF2B5EF4-FFF2-40B4-BE49-F238E27FC236}">
                  <a16:creationId xmlns:a16="http://schemas.microsoft.com/office/drawing/2014/main" id="{00000000-0008-0000-0300-00006A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101</xdr:row>
          <xdr:rowOff>0</xdr:rowOff>
        </xdr:from>
        <xdr:to>
          <xdr:col>5</xdr:col>
          <xdr:colOff>0</xdr:colOff>
          <xdr:row>102</xdr:row>
          <xdr:rowOff>9525</xdr:rowOff>
        </xdr:to>
        <xdr:sp macro="" textlink="">
          <xdr:nvSpPr>
            <xdr:cNvPr id="246375" name="Drop Down 615" hidden="1">
              <a:extLst>
                <a:ext uri="{63B3BB69-23CF-44E3-9099-C40C66FF867C}">
                  <a14:compatExt spid="_x0000_s246375"/>
                </a:ext>
                <a:ext uri="{FF2B5EF4-FFF2-40B4-BE49-F238E27FC236}">
                  <a16:creationId xmlns:a16="http://schemas.microsoft.com/office/drawing/2014/main" id="{00000000-0008-0000-0300-000067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101</xdr:row>
          <xdr:rowOff>190500</xdr:rowOff>
        </xdr:from>
        <xdr:to>
          <xdr:col>5</xdr:col>
          <xdr:colOff>0</xdr:colOff>
          <xdr:row>103</xdr:row>
          <xdr:rowOff>9525</xdr:rowOff>
        </xdr:to>
        <xdr:sp macro="" textlink="">
          <xdr:nvSpPr>
            <xdr:cNvPr id="246376" name="Drop Down 616" hidden="1">
              <a:extLst>
                <a:ext uri="{63B3BB69-23CF-44E3-9099-C40C66FF867C}">
                  <a14:compatExt spid="_x0000_s246376"/>
                </a:ext>
                <a:ext uri="{FF2B5EF4-FFF2-40B4-BE49-F238E27FC236}">
                  <a16:creationId xmlns:a16="http://schemas.microsoft.com/office/drawing/2014/main" id="{00000000-0008-0000-0300-000068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98</xdr:row>
          <xdr:rowOff>190500</xdr:rowOff>
        </xdr:from>
        <xdr:to>
          <xdr:col>10</xdr:col>
          <xdr:colOff>228600</xdr:colOff>
          <xdr:row>100</xdr:row>
          <xdr:rowOff>0</xdr:rowOff>
        </xdr:to>
        <xdr:sp macro="" textlink="">
          <xdr:nvSpPr>
            <xdr:cNvPr id="246521" name="Drop Down 761" hidden="1">
              <a:extLst>
                <a:ext uri="{63B3BB69-23CF-44E3-9099-C40C66FF867C}">
                  <a14:compatExt spid="_x0000_s246521"/>
                </a:ext>
                <a:ext uri="{FF2B5EF4-FFF2-40B4-BE49-F238E27FC236}">
                  <a16:creationId xmlns:a16="http://schemas.microsoft.com/office/drawing/2014/main" id="{00000000-0008-0000-0300-0000F9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99</xdr:row>
          <xdr:rowOff>190500</xdr:rowOff>
        </xdr:from>
        <xdr:to>
          <xdr:col>10</xdr:col>
          <xdr:colOff>228600</xdr:colOff>
          <xdr:row>101</xdr:row>
          <xdr:rowOff>0</xdr:rowOff>
        </xdr:to>
        <xdr:sp macro="" textlink="">
          <xdr:nvSpPr>
            <xdr:cNvPr id="246520" name="Drop Down 760" hidden="1">
              <a:extLst>
                <a:ext uri="{63B3BB69-23CF-44E3-9099-C40C66FF867C}">
                  <a14:compatExt spid="_x0000_s246520"/>
                </a:ext>
                <a:ext uri="{FF2B5EF4-FFF2-40B4-BE49-F238E27FC236}">
                  <a16:creationId xmlns:a16="http://schemas.microsoft.com/office/drawing/2014/main" id="{00000000-0008-0000-0300-0000F8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17</xdr:col>
      <xdr:colOff>19050</xdr:colOff>
      <xdr:row>0</xdr:row>
      <xdr:rowOff>95250</xdr:rowOff>
    </xdr:from>
    <xdr:to>
      <xdr:col>19</xdr:col>
      <xdr:colOff>243840</xdr:colOff>
      <xdr:row>4</xdr:row>
      <xdr:rowOff>17320</xdr:rowOff>
    </xdr:to>
    <xdr:pic>
      <xdr:nvPicPr>
        <xdr:cNvPr id="120" name="Picture 3">
          <a:extLst>
            <a:ext uri="{FF2B5EF4-FFF2-40B4-BE49-F238E27FC236}">
              <a16:creationId xmlns:a16="http://schemas.microsoft.com/office/drawing/2014/main" id="{00000000-0008-0000-0300-000078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7381875" y="95250"/>
          <a:ext cx="1082040" cy="567865"/>
        </a:xfrm>
        <a:prstGeom prst="rect">
          <a:avLst/>
        </a:prstGeom>
        <a:noFill/>
        <a:ln w="9525">
          <a:noFill/>
          <a:miter lim="800000"/>
          <a:headEnd/>
          <a:tailEnd/>
        </a:ln>
        <a:effectLst/>
      </xdr:spPr>
    </xdr:pic>
    <xdr:clientData/>
  </xdr:twoCellAnchor>
  <xdr:twoCellAnchor editAs="oneCell">
    <xdr:from>
      <xdr:col>45</xdr:col>
      <xdr:colOff>19050</xdr:colOff>
      <xdr:row>0</xdr:row>
      <xdr:rowOff>28575</xdr:rowOff>
    </xdr:from>
    <xdr:to>
      <xdr:col>56</xdr:col>
      <xdr:colOff>53340</xdr:colOff>
      <xdr:row>3</xdr:row>
      <xdr:rowOff>110665</xdr:rowOff>
    </xdr:to>
    <xdr:pic>
      <xdr:nvPicPr>
        <xdr:cNvPr id="121" name="Picture 3">
          <a:extLst>
            <a:ext uri="{FF2B5EF4-FFF2-40B4-BE49-F238E27FC236}">
              <a16:creationId xmlns:a16="http://schemas.microsoft.com/office/drawing/2014/main" id="{00000000-0008-0000-0300-000079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17011650" y="28575"/>
          <a:ext cx="1082040" cy="567865"/>
        </a:xfrm>
        <a:prstGeom prst="rect">
          <a:avLst/>
        </a:prstGeom>
        <a:noFill/>
        <a:ln w="9525">
          <a:noFill/>
          <a:miter lim="800000"/>
          <a:headEnd/>
          <a:tailEnd/>
        </a:ln>
        <a:effec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76200</xdr:colOff>
          <xdr:row>25</xdr:row>
          <xdr:rowOff>190500</xdr:rowOff>
        </xdr:from>
        <xdr:to>
          <xdr:col>13</xdr:col>
          <xdr:colOff>57150</xdr:colOff>
          <xdr:row>27</xdr:row>
          <xdr:rowOff>9525</xdr:rowOff>
        </xdr:to>
        <xdr:sp macro="" textlink="">
          <xdr:nvSpPr>
            <xdr:cNvPr id="302082" name="Check Box 2" hidden="1">
              <a:extLst>
                <a:ext uri="{63B3BB69-23CF-44E3-9099-C40C66FF867C}">
                  <a14:compatExt spid="_x0000_s302082"/>
                </a:ext>
                <a:ext uri="{FF2B5EF4-FFF2-40B4-BE49-F238E27FC236}">
                  <a16:creationId xmlns:a16="http://schemas.microsoft.com/office/drawing/2014/main" id="{00000000-0008-0000-0A00-0000029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30</xdr:row>
          <xdr:rowOff>180975</xdr:rowOff>
        </xdr:from>
        <xdr:to>
          <xdr:col>13</xdr:col>
          <xdr:colOff>57150</xdr:colOff>
          <xdr:row>32</xdr:row>
          <xdr:rowOff>0</xdr:rowOff>
        </xdr:to>
        <xdr:sp macro="" textlink="">
          <xdr:nvSpPr>
            <xdr:cNvPr id="302083" name="Check Box 3" hidden="1">
              <a:extLst>
                <a:ext uri="{63B3BB69-23CF-44E3-9099-C40C66FF867C}">
                  <a14:compatExt spid="_x0000_s302083"/>
                </a:ext>
                <a:ext uri="{FF2B5EF4-FFF2-40B4-BE49-F238E27FC236}">
                  <a16:creationId xmlns:a16="http://schemas.microsoft.com/office/drawing/2014/main" id="{00000000-0008-0000-0A00-0000039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26</xdr:row>
          <xdr:rowOff>190500</xdr:rowOff>
        </xdr:from>
        <xdr:to>
          <xdr:col>13</xdr:col>
          <xdr:colOff>57150</xdr:colOff>
          <xdr:row>28</xdr:row>
          <xdr:rowOff>9525</xdr:rowOff>
        </xdr:to>
        <xdr:sp macro="" textlink="">
          <xdr:nvSpPr>
            <xdr:cNvPr id="302084" name="Check Box 4" hidden="1">
              <a:extLst>
                <a:ext uri="{63B3BB69-23CF-44E3-9099-C40C66FF867C}">
                  <a14:compatExt spid="_x0000_s302084"/>
                </a:ext>
                <a:ext uri="{FF2B5EF4-FFF2-40B4-BE49-F238E27FC236}">
                  <a16:creationId xmlns:a16="http://schemas.microsoft.com/office/drawing/2014/main" id="{00000000-0008-0000-0A00-0000049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27</xdr:row>
          <xdr:rowOff>190500</xdr:rowOff>
        </xdr:from>
        <xdr:to>
          <xdr:col>13</xdr:col>
          <xdr:colOff>57150</xdr:colOff>
          <xdr:row>29</xdr:row>
          <xdr:rowOff>9525</xdr:rowOff>
        </xdr:to>
        <xdr:sp macro="" textlink="">
          <xdr:nvSpPr>
            <xdr:cNvPr id="302085" name="Check Box 5" hidden="1">
              <a:extLst>
                <a:ext uri="{63B3BB69-23CF-44E3-9099-C40C66FF867C}">
                  <a14:compatExt spid="_x0000_s302085"/>
                </a:ext>
                <a:ext uri="{FF2B5EF4-FFF2-40B4-BE49-F238E27FC236}">
                  <a16:creationId xmlns:a16="http://schemas.microsoft.com/office/drawing/2014/main" id="{00000000-0008-0000-0A00-0000059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28</xdr:row>
          <xdr:rowOff>190500</xdr:rowOff>
        </xdr:from>
        <xdr:to>
          <xdr:col>13</xdr:col>
          <xdr:colOff>57150</xdr:colOff>
          <xdr:row>30</xdr:row>
          <xdr:rowOff>9525</xdr:rowOff>
        </xdr:to>
        <xdr:sp macro="" textlink="">
          <xdr:nvSpPr>
            <xdr:cNvPr id="302086" name="Check Box 6" hidden="1">
              <a:extLst>
                <a:ext uri="{63B3BB69-23CF-44E3-9099-C40C66FF867C}">
                  <a14:compatExt spid="_x0000_s302086"/>
                </a:ext>
                <a:ext uri="{FF2B5EF4-FFF2-40B4-BE49-F238E27FC236}">
                  <a16:creationId xmlns:a16="http://schemas.microsoft.com/office/drawing/2014/main" id="{00000000-0008-0000-0A00-0000069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8</xdr:col>
      <xdr:colOff>152400</xdr:colOff>
      <xdr:row>0</xdr:row>
      <xdr:rowOff>47625</xdr:rowOff>
    </xdr:from>
    <xdr:ext cx="1082040" cy="564055"/>
    <xdr:pic>
      <xdr:nvPicPr>
        <xdr:cNvPr id="7" name="Picture 3">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a:off x="3048000" y="47625"/>
          <a:ext cx="1082040" cy="564055"/>
        </a:xfrm>
        <a:prstGeom prst="rect">
          <a:avLst/>
        </a:prstGeom>
        <a:noFill/>
        <a:ln w="9525">
          <a:noFill/>
          <a:miter lim="800000"/>
          <a:headEnd/>
          <a:tailEnd/>
        </a:ln>
        <a:effectLst/>
      </xdr:spPr>
    </xdr:pic>
    <xdr:clientData/>
  </xdr:oneCellAnchor>
  <mc:AlternateContent xmlns:mc="http://schemas.openxmlformats.org/markup-compatibility/2006">
    <mc:Choice xmlns:a14="http://schemas.microsoft.com/office/drawing/2010/main" Requires="a14">
      <xdr:twoCellAnchor editAs="oneCell">
        <xdr:from>
          <xdr:col>12</xdr:col>
          <xdr:colOff>76200</xdr:colOff>
          <xdr:row>29</xdr:row>
          <xdr:rowOff>180975</xdr:rowOff>
        </xdr:from>
        <xdr:to>
          <xdr:col>13</xdr:col>
          <xdr:colOff>57150</xdr:colOff>
          <xdr:row>31</xdr:row>
          <xdr:rowOff>0</xdr:rowOff>
        </xdr:to>
        <xdr:sp macro="" textlink="">
          <xdr:nvSpPr>
            <xdr:cNvPr id="302087" name="Check Box 7" hidden="1">
              <a:extLst>
                <a:ext uri="{63B3BB69-23CF-44E3-9099-C40C66FF867C}">
                  <a14:compatExt spid="_x0000_s302087"/>
                </a:ext>
                <a:ext uri="{FF2B5EF4-FFF2-40B4-BE49-F238E27FC236}">
                  <a16:creationId xmlns:a16="http://schemas.microsoft.com/office/drawing/2014/main" id="{00000000-0008-0000-0A00-0000079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7</xdr:col>
      <xdr:colOff>180975</xdr:colOff>
      <xdr:row>0</xdr:row>
      <xdr:rowOff>0</xdr:rowOff>
    </xdr:from>
    <xdr:ext cx="1091565" cy="560245"/>
    <xdr:pic>
      <xdr:nvPicPr>
        <xdr:cNvPr id="2" name="Picture 3">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a:off x="5514975" y="0"/>
          <a:ext cx="1091565" cy="560245"/>
        </a:xfrm>
        <a:prstGeom prst="rect">
          <a:avLst/>
        </a:prstGeom>
        <a:noFill/>
        <a:ln w="9525">
          <a:noFill/>
          <a:miter lim="800000"/>
          <a:headEnd/>
          <a:tailEnd/>
        </a:ln>
        <a:effectLst/>
      </xdr:spPr>
    </xdr:pic>
    <xdr:clientData/>
  </xdr:oneCellAnchor>
  <mc:AlternateContent xmlns:mc="http://schemas.openxmlformats.org/markup-compatibility/2006">
    <mc:Choice xmlns:a14="http://schemas.microsoft.com/office/drawing/2010/main" Requires="a14">
      <xdr:twoCellAnchor editAs="oneCell">
        <xdr:from>
          <xdr:col>3</xdr:col>
          <xdr:colOff>19050</xdr:colOff>
          <xdr:row>8</xdr:row>
          <xdr:rowOff>19050</xdr:rowOff>
        </xdr:from>
        <xdr:to>
          <xdr:col>3</xdr:col>
          <xdr:colOff>552450</xdr:colOff>
          <xdr:row>8</xdr:row>
          <xdr:rowOff>171450</xdr:rowOff>
        </xdr:to>
        <xdr:sp macro="" textlink="">
          <xdr:nvSpPr>
            <xdr:cNvPr id="301062" name="Drop Down 6" hidden="1">
              <a:extLst>
                <a:ext uri="{63B3BB69-23CF-44E3-9099-C40C66FF867C}">
                  <a14:compatExt spid="_x0000_s301062"/>
                </a:ext>
                <a:ext uri="{FF2B5EF4-FFF2-40B4-BE49-F238E27FC236}">
                  <a16:creationId xmlns:a16="http://schemas.microsoft.com/office/drawing/2014/main" id="{00000000-0008-0000-0C00-000006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9</xdr:row>
          <xdr:rowOff>19050</xdr:rowOff>
        </xdr:from>
        <xdr:to>
          <xdr:col>3</xdr:col>
          <xdr:colOff>552450</xdr:colOff>
          <xdr:row>10</xdr:row>
          <xdr:rowOff>0</xdr:rowOff>
        </xdr:to>
        <xdr:sp macro="" textlink="">
          <xdr:nvSpPr>
            <xdr:cNvPr id="301063" name="Drop Down 7" hidden="1">
              <a:extLst>
                <a:ext uri="{63B3BB69-23CF-44E3-9099-C40C66FF867C}">
                  <a14:compatExt spid="_x0000_s301063"/>
                </a:ext>
                <a:ext uri="{FF2B5EF4-FFF2-40B4-BE49-F238E27FC236}">
                  <a16:creationId xmlns:a16="http://schemas.microsoft.com/office/drawing/2014/main" id="{00000000-0008-0000-0C00-000007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10</xdr:row>
          <xdr:rowOff>19050</xdr:rowOff>
        </xdr:from>
        <xdr:to>
          <xdr:col>3</xdr:col>
          <xdr:colOff>552450</xdr:colOff>
          <xdr:row>11</xdr:row>
          <xdr:rowOff>0</xdr:rowOff>
        </xdr:to>
        <xdr:sp macro="" textlink="">
          <xdr:nvSpPr>
            <xdr:cNvPr id="301064" name="Drop Down 8" hidden="1">
              <a:extLst>
                <a:ext uri="{63B3BB69-23CF-44E3-9099-C40C66FF867C}">
                  <a14:compatExt spid="_x0000_s301064"/>
                </a:ext>
                <a:ext uri="{FF2B5EF4-FFF2-40B4-BE49-F238E27FC236}">
                  <a16:creationId xmlns:a16="http://schemas.microsoft.com/office/drawing/2014/main" id="{00000000-0008-0000-0C00-000008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11</xdr:row>
          <xdr:rowOff>19050</xdr:rowOff>
        </xdr:from>
        <xdr:to>
          <xdr:col>3</xdr:col>
          <xdr:colOff>552450</xdr:colOff>
          <xdr:row>12</xdr:row>
          <xdr:rowOff>0</xdr:rowOff>
        </xdr:to>
        <xdr:sp macro="" textlink="">
          <xdr:nvSpPr>
            <xdr:cNvPr id="301065" name="Drop Down 9" hidden="1">
              <a:extLst>
                <a:ext uri="{63B3BB69-23CF-44E3-9099-C40C66FF867C}">
                  <a14:compatExt spid="_x0000_s301065"/>
                </a:ext>
                <a:ext uri="{FF2B5EF4-FFF2-40B4-BE49-F238E27FC236}">
                  <a16:creationId xmlns:a16="http://schemas.microsoft.com/office/drawing/2014/main" id="{00000000-0008-0000-0C00-000009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12</xdr:row>
          <xdr:rowOff>9525</xdr:rowOff>
        </xdr:from>
        <xdr:to>
          <xdr:col>3</xdr:col>
          <xdr:colOff>552450</xdr:colOff>
          <xdr:row>12</xdr:row>
          <xdr:rowOff>161925</xdr:rowOff>
        </xdr:to>
        <xdr:sp macro="" textlink="">
          <xdr:nvSpPr>
            <xdr:cNvPr id="301066" name="Drop Down 10" hidden="1">
              <a:extLst>
                <a:ext uri="{63B3BB69-23CF-44E3-9099-C40C66FF867C}">
                  <a14:compatExt spid="_x0000_s301066"/>
                </a:ext>
                <a:ext uri="{FF2B5EF4-FFF2-40B4-BE49-F238E27FC236}">
                  <a16:creationId xmlns:a16="http://schemas.microsoft.com/office/drawing/2014/main" id="{00000000-0008-0000-0C00-00000A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13</xdr:row>
          <xdr:rowOff>9525</xdr:rowOff>
        </xdr:from>
        <xdr:to>
          <xdr:col>3</xdr:col>
          <xdr:colOff>552450</xdr:colOff>
          <xdr:row>14</xdr:row>
          <xdr:rowOff>0</xdr:rowOff>
        </xdr:to>
        <xdr:sp macro="" textlink="">
          <xdr:nvSpPr>
            <xdr:cNvPr id="301067" name="Drop Down 11" hidden="1">
              <a:extLst>
                <a:ext uri="{63B3BB69-23CF-44E3-9099-C40C66FF867C}">
                  <a14:compatExt spid="_x0000_s301067"/>
                </a:ext>
                <a:ext uri="{FF2B5EF4-FFF2-40B4-BE49-F238E27FC236}">
                  <a16:creationId xmlns:a16="http://schemas.microsoft.com/office/drawing/2014/main" id="{00000000-0008-0000-0C00-00000B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14</xdr:row>
          <xdr:rowOff>9525</xdr:rowOff>
        </xdr:from>
        <xdr:to>
          <xdr:col>3</xdr:col>
          <xdr:colOff>552450</xdr:colOff>
          <xdr:row>14</xdr:row>
          <xdr:rowOff>161925</xdr:rowOff>
        </xdr:to>
        <xdr:sp macro="" textlink="">
          <xdr:nvSpPr>
            <xdr:cNvPr id="301068" name="Drop Down 12" hidden="1">
              <a:extLst>
                <a:ext uri="{63B3BB69-23CF-44E3-9099-C40C66FF867C}">
                  <a14:compatExt spid="_x0000_s301068"/>
                </a:ext>
                <a:ext uri="{FF2B5EF4-FFF2-40B4-BE49-F238E27FC236}">
                  <a16:creationId xmlns:a16="http://schemas.microsoft.com/office/drawing/2014/main" id="{00000000-0008-0000-0C00-00000C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15</xdr:row>
          <xdr:rowOff>9525</xdr:rowOff>
        </xdr:from>
        <xdr:to>
          <xdr:col>3</xdr:col>
          <xdr:colOff>552450</xdr:colOff>
          <xdr:row>16</xdr:row>
          <xdr:rowOff>0</xdr:rowOff>
        </xdr:to>
        <xdr:sp macro="" textlink="">
          <xdr:nvSpPr>
            <xdr:cNvPr id="301069" name="Drop Down 13" hidden="1">
              <a:extLst>
                <a:ext uri="{63B3BB69-23CF-44E3-9099-C40C66FF867C}">
                  <a14:compatExt spid="_x0000_s301069"/>
                </a:ext>
                <a:ext uri="{FF2B5EF4-FFF2-40B4-BE49-F238E27FC236}">
                  <a16:creationId xmlns:a16="http://schemas.microsoft.com/office/drawing/2014/main" id="{00000000-0008-0000-0C00-00000D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16</xdr:row>
          <xdr:rowOff>9525</xdr:rowOff>
        </xdr:from>
        <xdr:to>
          <xdr:col>3</xdr:col>
          <xdr:colOff>552450</xdr:colOff>
          <xdr:row>16</xdr:row>
          <xdr:rowOff>161925</xdr:rowOff>
        </xdr:to>
        <xdr:sp macro="" textlink="">
          <xdr:nvSpPr>
            <xdr:cNvPr id="301070" name="Drop Down 14" hidden="1">
              <a:extLst>
                <a:ext uri="{63B3BB69-23CF-44E3-9099-C40C66FF867C}">
                  <a14:compatExt spid="_x0000_s301070"/>
                </a:ext>
                <a:ext uri="{FF2B5EF4-FFF2-40B4-BE49-F238E27FC236}">
                  <a16:creationId xmlns:a16="http://schemas.microsoft.com/office/drawing/2014/main" id="{00000000-0008-0000-0C00-00000E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17</xdr:row>
          <xdr:rowOff>9525</xdr:rowOff>
        </xdr:from>
        <xdr:to>
          <xdr:col>3</xdr:col>
          <xdr:colOff>552450</xdr:colOff>
          <xdr:row>18</xdr:row>
          <xdr:rowOff>0</xdr:rowOff>
        </xdr:to>
        <xdr:sp macro="" textlink="">
          <xdr:nvSpPr>
            <xdr:cNvPr id="301071" name="Drop Down 15" hidden="1">
              <a:extLst>
                <a:ext uri="{63B3BB69-23CF-44E3-9099-C40C66FF867C}">
                  <a14:compatExt spid="_x0000_s301071"/>
                </a:ext>
                <a:ext uri="{FF2B5EF4-FFF2-40B4-BE49-F238E27FC236}">
                  <a16:creationId xmlns:a16="http://schemas.microsoft.com/office/drawing/2014/main" id="{00000000-0008-0000-0C00-00000F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9525</xdr:rowOff>
        </xdr:from>
        <xdr:to>
          <xdr:col>3</xdr:col>
          <xdr:colOff>552450</xdr:colOff>
          <xdr:row>18</xdr:row>
          <xdr:rowOff>161925</xdr:rowOff>
        </xdr:to>
        <xdr:sp macro="" textlink="">
          <xdr:nvSpPr>
            <xdr:cNvPr id="301072" name="Drop Down 16" hidden="1">
              <a:extLst>
                <a:ext uri="{63B3BB69-23CF-44E3-9099-C40C66FF867C}">
                  <a14:compatExt spid="_x0000_s301072"/>
                </a:ext>
                <a:ext uri="{FF2B5EF4-FFF2-40B4-BE49-F238E27FC236}">
                  <a16:creationId xmlns:a16="http://schemas.microsoft.com/office/drawing/2014/main" id="{00000000-0008-0000-0C00-000010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19</xdr:row>
          <xdr:rowOff>9525</xdr:rowOff>
        </xdr:from>
        <xdr:to>
          <xdr:col>3</xdr:col>
          <xdr:colOff>552450</xdr:colOff>
          <xdr:row>20</xdr:row>
          <xdr:rowOff>0</xdr:rowOff>
        </xdr:to>
        <xdr:sp macro="" textlink="">
          <xdr:nvSpPr>
            <xdr:cNvPr id="301073" name="Drop Down 17" hidden="1">
              <a:extLst>
                <a:ext uri="{63B3BB69-23CF-44E3-9099-C40C66FF867C}">
                  <a14:compatExt spid="_x0000_s301073"/>
                </a:ext>
                <a:ext uri="{FF2B5EF4-FFF2-40B4-BE49-F238E27FC236}">
                  <a16:creationId xmlns:a16="http://schemas.microsoft.com/office/drawing/2014/main" id="{00000000-0008-0000-0C00-000011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xdr:row>
          <xdr:rowOff>9525</xdr:rowOff>
        </xdr:from>
        <xdr:to>
          <xdr:col>3</xdr:col>
          <xdr:colOff>552450</xdr:colOff>
          <xdr:row>20</xdr:row>
          <xdr:rowOff>161925</xdr:rowOff>
        </xdr:to>
        <xdr:sp macro="" textlink="">
          <xdr:nvSpPr>
            <xdr:cNvPr id="301074" name="Drop Down 18" hidden="1">
              <a:extLst>
                <a:ext uri="{63B3BB69-23CF-44E3-9099-C40C66FF867C}">
                  <a14:compatExt spid="_x0000_s301074"/>
                </a:ext>
                <a:ext uri="{FF2B5EF4-FFF2-40B4-BE49-F238E27FC236}">
                  <a16:creationId xmlns:a16="http://schemas.microsoft.com/office/drawing/2014/main" id="{00000000-0008-0000-0C00-000012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21</xdr:row>
          <xdr:rowOff>9525</xdr:rowOff>
        </xdr:from>
        <xdr:to>
          <xdr:col>3</xdr:col>
          <xdr:colOff>552450</xdr:colOff>
          <xdr:row>22</xdr:row>
          <xdr:rowOff>0</xdr:rowOff>
        </xdr:to>
        <xdr:sp macro="" textlink="">
          <xdr:nvSpPr>
            <xdr:cNvPr id="301075" name="Drop Down 19" hidden="1">
              <a:extLst>
                <a:ext uri="{63B3BB69-23CF-44E3-9099-C40C66FF867C}">
                  <a14:compatExt spid="_x0000_s301075"/>
                </a:ext>
                <a:ext uri="{FF2B5EF4-FFF2-40B4-BE49-F238E27FC236}">
                  <a16:creationId xmlns:a16="http://schemas.microsoft.com/office/drawing/2014/main" id="{00000000-0008-0000-0C00-000013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22</xdr:row>
          <xdr:rowOff>9525</xdr:rowOff>
        </xdr:from>
        <xdr:to>
          <xdr:col>3</xdr:col>
          <xdr:colOff>552450</xdr:colOff>
          <xdr:row>22</xdr:row>
          <xdr:rowOff>161925</xdr:rowOff>
        </xdr:to>
        <xdr:sp macro="" textlink="">
          <xdr:nvSpPr>
            <xdr:cNvPr id="301076" name="Drop Down 20" hidden="1">
              <a:extLst>
                <a:ext uri="{63B3BB69-23CF-44E3-9099-C40C66FF867C}">
                  <a14:compatExt spid="_x0000_s301076"/>
                </a:ext>
                <a:ext uri="{FF2B5EF4-FFF2-40B4-BE49-F238E27FC236}">
                  <a16:creationId xmlns:a16="http://schemas.microsoft.com/office/drawing/2014/main" id="{00000000-0008-0000-0C00-000014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23</xdr:row>
          <xdr:rowOff>9525</xdr:rowOff>
        </xdr:from>
        <xdr:to>
          <xdr:col>3</xdr:col>
          <xdr:colOff>552450</xdr:colOff>
          <xdr:row>24</xdr:row>
          <xdr:rowOff>0</xdr:rowOff>
        </xdr:to>
        <xdr:sp macro="" textlink="">
          <xdr:nvSpPr>
            <xdr:cNvPr id="301077" name="Drop Down 21" hidden="1">
              <a:extLst>
                <a:ext uri="{63B3BB69-23CF-44E3-9099-C40C66FF867C}">
                  <a14:compatExt spid="_x0000_s301077"/>
                </a:ext>
                <a:ext uri="{FF2B5EF4-FFF2-40B4-BE49-F238E27FC236}">
                  <a16:creationId xmlns:a16="http://schemas.microsoft.com/office/drawing/2014/main" id="{00000000-0008-0000-0C00-000015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24</xdr:row>
          <xdr:rowOff>9525</xdr:rowOff>
        </xdr:from>
        <xdr:to>
          <xdr:col>3</xdr:col>
          <xdr:colOff>552450</xdr:colOff>
          <xdr:row>24</xdr:row>
          <xdr:rowOff>161925</xdr:rowOff>
        </xdr:to>
        <xdr:sp macro="" textlink="">
          <xdr:nvSpPr>
            <xdr:cNvPr id="301078" name="Drop Down 22" hidden="1">
              <a:extLst>
                <a:ext uri="{63B3BB69-23CF-44E3-9099-C40C66FF867C}">
                  <a14:compatExt spid="_x0000_s301078"/>
                </a:ext>
                <a:ext uri="{FF2B5EF4-FFF2-40B4-BE49-F238E27FC236}">
                  <a16:creationId xmlns:a16="http://schemas.microsoft.com/office/drawing/2014/main" id="{00000000-0008-0000-0C00-000016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25</xdr:row>
          <xdr:rowOff>9525</xdr:rowOff>
        </xdr:from>
        <xdr:to>
          <xdr:col>3</xdr:col>
          <xdr:colOff>552450</xdr:colOff>
          <xdr:row>26</xdr:row>
          <xdr:rowOff>0</xdr:rowOff>
        </xdr:to>
        <xdr:sp macro="" textlink="">
          <xdr:nvSpPr>
            <xdr:cNvPr id="301079" name="Drop Down 23" hidden="1">
              <a:extLst>
                <a:ext uri="{63B3BB69-23CF-44E3-9099-C40C66FF867C}">
                  <a14:compatExt spid="_x0000_s301079"/>
                </a:ext>
                <a:ext uri="{FF2B5EF4-FFF2-40B4-BE49-F238E27FC236}">
                  <a16:creationId xmlns:a16="http://schemas.microsoft.com/office/drawing/2014/main" id="{00000000-0008-0000-0C00-000017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26</xdr:row>
          <xdr:rowOff>9525</xdr:rowOff>
        </xdr:from>
        <xdr:to>
          <xdr:col>3</xdr:col>
          <xdr:colOff>552450</xdr:colOff>
          <xdr:row>26</xdr:row>
          <xdr:rowOff>161925</xdr:rowOff>
        </xdr:to>
        <xdr:sp macro="" textlink="">
          <xdr:nvSpPr>
            <xdr:cNvPr id="301080" name="Drop Down 24" hidden="1">
              <a:extLst>
                <a:ext uri="{63B3BB69-23CF-44E3-9099-C40C66FF867C}">
                  <a14:compatExt spid="_x0000_s301080"/>
                </a:ext>
                <a:ext uri="{FF2B5EF4-FFF2-40B4-BE49-F238E27FC236}">
                  <a16:creationId xmlns:a16="http://schemas.microsoft.com/office/drawing/2014/main" id="{00000000-0008-0000-0C00-000018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27</xdr:row>
          <xdr:rowOff>9525</xdr:rowOff>
        </xdr:from>
        <xdr:to>
          <xdr:col>3</xdr:col>
          <xdr:colOff>552450</xdr:colOff>
          <xdr:row>28</xdr:row>
          <xdr:rowOff>0</xdr:rowOff>
        </xdr:to>
        <xdr:sp macro="" textlink="">
          <xdr:nvSpPr>
            <xdr:cNvPr id="301081" name="Drop Down 25" hidden="1">
              <a:extLst>
                <a:ext uri="{63B3BB69-23CF-44E3-9099-C40C66FF867C}">
                  <a14:compatExt spid="_x0000_s301081"/>
                </a:ext>
                <a:ext uri="{FF2B5EF4-FFF2-40B4-BE49-F238E27FC236}">
                  <a16:creationId xmlns:a16="http://schemas.microsoft.com/office/drawing/2014/main" id="{00000000-0008-0000-0C00-000019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28</xdr:row>
          <xdr:rowOff>9525</xdr:rowOff>
        </xdr:from>
        <xdr:to>
          <xdr:col>3</xdr:col>
          <xdr:colOff>552450</xdr:colOff>
          <xdr:row>28</xdr:row>
          <xdr:rowOff>161925</xdr:rowOff>
        </xdr:to>
        <xdr:sp macro="" textlink="">
          <xdr:nvSpPr>
            <xdr:cNvPr id="301082" name="Drop Down 26" hidden="1">
              <a:extLst>
                <a:ext uri="{63B3BB69-23CF-44E3-9099-C40C66FF867C}">
                  <a14:compatExt spid="_x0000_s301082"/>
                </a:ext>
                <a:ext uri="{FF2B5EF4-FFF2-40B4-BE49-F238E27FC236}">
                  <a16:creationId xmlns:a16="http://schemas.microsoft.com/office/drawing/2014/main" id="{00000000-0008-0000-0C00-00001A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29</xdr:row>
          <xdr:rowOff>9525</xdr:rowOff>
        </xdr:from>
        <xdr:to>
          <xdr:col>3</xdr:col>
          <xdr:colOff>552450</xdr:colOff>
          <xdr:row>30</xdr:row>
          <xdr:rowOff>0</xdr:rowOff>
        </xdr:to>
        <xdr:sp macro="" textlink="">
          <xdr:nvSpPr>
            <xdr:cNvPr id="301083" name="Drop Down 27" hidden="1">
              <a:extLst>
                <a:ext uri="{63B3BB69-23CF-44E3-9099-C40C66FF867C}">
                  <a14:compatExt spid="_x0000_s301083"/>
                </a:ext>
                <a:ext uri="{FF2B5EF4-FFF2-40B4-BE49-F238E27FC236}">
                  <a16:creationId xmlns:a16="http://schemas.microsoft.com/office/drawing/2014/main" id="{00000000-0008-0000-0C00-00001B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30</xdr:row>
          <xdr:rowOff>9525</xdr:rowOff>
        </xdr:from>
        <xdr:to>
          <xdr:col>3</xdr:col>
          <xdr:colOff>552450</xdr:colOff>
          <xdr:row>30</xdr:row>
          <xdr:rowOff>161925</xdr:rowOff>
        </xdr:to>
        <xdr:sp macro="" textlink="">
          <xdr:nvSpPr>
            <xdr:cNvPr id="301084" name="Drop Down 28" hidden="1">
              <a:extLst>
                <a:ext uri="{63B3BB69-23CF-44E3-9099-C40C66FF867C}">
                  <a14:compatExt spid="_x0000_s301084"/>
                </a:ext>
                <a:ext uri="{FF2B5EF4-FFF2-40B4-BE49-F238E27FC236}">
                  <a16:creationId xmlns:a16="http://schemas.microsoft.com/office/drawing/2014/main" id="{00000000-0008-0000-0C00-00001C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31</xdr:row>
          <xdr:rowOff>9525</xdr:rowOff>
        </xdr:from>
        <xdr:to>
          <xdr:col>3</xdr:col>
          <xdr:colOff>552450</xdr:colOff>
          <xdr:row>32</xdr:row>
          <xdr:rowOff>0</xdr:rowOff>
        </xdr:to>
        <xdr:sp macro="" textlink="">
          <xdr:nvSpPr>
            <xdr:cNvPr id="301085" name="Drop Down 29" hidden="1">
              <a:extLst>
                <a:ext uri="{63B3BB69-23CF-44E3-9099-C40C66FF867C}">
                  <a14:compatExt spid="_x0000_s301085"/>
                </a:ext>
                <a:ext uri="{FF2B5EF4-FFF2-40B4-BE49-F238E27FC236}">
                  <a16:creationId xmlns:a16="http://schemas.microsoft.com/office/drawing/2014/main" id="{00000000-0008-0000-0C00-00001D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xdr:row>
          <xdr:rowOff>9525</xdr:rowOff>
        </xdr:from>
        <xdr:to>
          <xdr:col>3</xdr:col>
          <xdr:colOff>552450</xdr:colOff>
          <xdr:row>32</xdr:row>
          <xdr:rowOff>161925</xdr:rowOff>
        </xdr:to>
        <xdr:sp macro="" textlink="">
          <xdr:nvSpPr>
            <xdr:cNvPr id="301086" name="Drop Down 30" hidden="1">
              <a:extLst>
                <a:ext uri="{63B3BB69-23CF-44E3-9099-C40C66FF867C}">
                  <a14:compatExt spid="_x0000_s301086"/>
                </a:ext>
                <a:ext uri="{FF2B5EF4-FFF2-40B4-BE49-F238E27FC236}">
                  <a16:creationId xmlns:a16="http://schemas.microsoft.com/office/drawing/2014/main" id="{00000000-0008-0000-0C00-00001E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33</xdr:row>
          <xdr:rowOff>9525</xdr:rowOff>
        </xdr:from>
        <xdr:to>
          <xdr:col>3</xdr:col>
          <xdr:colOff>552450</xdr:colOff>
          <xdr:row>34</xdr:row>
          <xdr:rowOff>0</xdr:rowOff>
        </xdr:to>
        <xdr:sp macro="" textlink="">
          <xdr:nvSpPr>
            <xdr:cNvPr id="301087" name="Drop Down 31" hidden="1">
              <a:extLst>
                <a:ext uri="{63B3BB69-23CF-44E3-9099-C40C66FF867C}">
                  <a14:compatExt spid="_x0000_s301087"/>
                </a:ext>
                <a:ext uri="{FF2B5EF4-FFF2-40B4-BE49-F238E27FC236}">
                  <a16:creationId xmlns:a16="http://schemas.microsoft.com/office/drawing/2014/main" id="{00000000-0008-0000-0C00-00001F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34</xdr:row>
          <xdr:rowOff>9525</xdr:rowOff>
        </xdr:from>
        <xdr:to>
          <xdr:col>3</xdr:col>
          <xdr:colOff>552450</xdr:colOff>
          <xdr:row>34</xdr:row>
          <xdr:rowOff>161925</xdr:rowOff>
        </xdr:to>
        <xdr:sp macro="" textlink="">
          <xdr:nvSpPr>
            <xdr:cNvPr id="301088" name="Drop Down 32" hidden="1">
              <a:extLst>
                <a:ext uri="{63B3BB69-23CF-44E3-9099-C40C66FF867C}">
                  <a14:compatExt spid="_x0000_s301088"/>
                </a:ext>
                <a:ext uri="{FF2B5EF4-FFF2-40B4-BE49-F238E27FC236}">
                  <a16:creationId xmlns:a16="http://schemas.microsoft.com/office/drawing/2014/main" id="{00000000-0008-0000-0C00-000020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35</xdr:row>
          <xdr:rowOff>9525</xdr:rowOff>
        </xdr:from>
        <xdr:to>
          <xdr:col>3</xdr:col>
          <xdr:colOff>552450</xdr:colOff>
          <xdr:row>36</xdr:row>
          <xdr:rowOff>0</xdr:rowOff>
        </xdr:to>
        <xdr:sp macro="" textlink="">
          <xdr:nvSpPr>
            <xdr:cNvPr id="301089" name="Drop Down 33" hidden="1">
              <a:extLst>
                <a:ext uri="{63B3BB69-23CF-44E3-9099-C40C66FF867C}">
                  <a14:compatExt spid="_x0000_s301089"/>
                </a:ext>
                <a:ext uri="{FF2B5EF4-FFF2-40B4-BE49-F238E27FC236}">
                  <a16:creationId xmlns:a16="http://schemas.microsoft.com/office/drawing/2014/main" id="{00000000-0008-0000-0C00-000021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36</xdr:row>
          <xdr:rowOff>9525</xdr:rowOff>
        </xdr:from>
        <xdr:to>
          <xdr:col>3</xdr:col>
          <xdr:colOff>552450</xdr:colOff>
          <xdr:row>36</xdr:row>
          <xdr:rowOff>161925</xdr:rowOff>
        </xdr:to>
        <xdr:sp macro="" textlink="">
          <xdr:nvSpPr>
            <xdr:cNvPr id="301090" name="Drop Down 34" hidden="1">
              <a:extLst>
                <a:ext uri="{63B3BB69-23CF-44E3-9099-C40C66FF867C}">
                  <a14:compatExt spid="_x0000_s301090"/>
                </a:ext>
                <a:ext uri="{FF2B5EF4-FFF2-40B4-BE49-F238E27FC236}">
                  <a16:creationId xmlns:a16="http://schemas.microsoft.com/office/drawing/2014/main" id="{00000000-0008-0000-0C00-000022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37</xdr:row>
          <xdr:rowOff>9525</xdr:rowOff>
        </xdr:from>
        <xdr:to>
          <xdr:col>3</xdr:col>
          <xdr:colOff>552450</xdr:colOff>
          <xdr:row>38</xdr:row>
          <xdr:rowOff>0</xdr:rowOff>
        </xdr:to>
        <xdr:sp macro="" textlink="">
          <xdr:nvSpPr>
            <xdr:cNvPr id="301091" name="Drop Down 35" hidden="1">
              <a:extLst>
                <a:ext uri="{63B3BB69-23CF-44E3-9099-C40C66FF867C}">
                  <a14:compatExt spid="_x0000_s301091"/>
                </a:ext>
                <a:ext uri="{FF2B5EF4-FFF2-40B4-BE49-F238E27FC236}">
                  <a16:creationId xmlns:a16="http://schemas.microsoft.com/office/drawing/2014/main" id="{00000000-0008-0000-0C00-000023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38</xdr:row>
          <xdr:rowOff>9525</xdr:rowOff>
        </xdr:from>
        <xdr:to>
          <xdr:col>3</xdr:col>
          <xdr:colOff>552450</xdr:colOff>
          <xdr:row>38</xdr:row>
          <xdr:rowOff>161925</xdr:rowOff>
        </xdr:to>
        <xdr:sp macro="" textlink="">
          <xdr:nvSpPr>
            <xdr:cNvPr id="301092" name="Drop Down 36" hidden="1">
              <a:extLst>
                <a:ext uri="{63B3BB69-23CF-44E3-9099-C40C66FF867C}">
                  <a14:compatExt spid="_x0000_s301092"/>
                </a:ext>
                <a:ext uri="{FF2B5EF4-FFF2-40B4-BE49-F238E27FC236}">
                  <a16:creationId xmlns:a16="http://schemas.microsoft.com/office/drawing/2014/main" id="{00000000-0008-0000-0C00-000024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39</xdr:row>
          <xdr:rowOff>9525</xdr:rowOff>
        </xdr:from>
        <xdr:to>
          <xdr:col>3</xdr:col>
          <xdr:colOff>552450</xdr:colOff>
          <xdr:row>40</xdr:row>
          <xdr:rowOff>0</xdr:rowOff>
        </xdr:to>
        <xdr:sp macro="" textlink="">
          <xdr:nvSpPr>
            <xdr:cNvPr id="301093" name="Drop Down 37" hidden="1">
              <a:extLst>
                <a:ext uri="{63B3BB69-23CF-44E3-9099-C40C66FF867C}">
                  <a14:compatExt spid="_x0000_s301093"/>
                </a:ext>
                <a:ext uri="{FF2B5EF4-FFF2-40B4-BE49-F238E27FC236}">
                  <a16:creationId xmlns:a16="http://schemas.microsoft.com/office/drawing/2014/main" id="{00000000-0008-0000-0C00-000025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40</xdr:row>
          <xdr:rowOff>9525</xdr:rowOff>
        </xdr:from>
        <xdr:to>
          <xdr:col>3</xdr:col>
          <xdr:colOff>552450</xdr:colOff>
          <xdr:row>40</xdr:row>
          <xdr:rowOff>161925</xdr:rowOff>
        </xdr:to>
        <xdr:sp macro="" textlink="">
          <xdr:nvSpPr>
            <xdr:cNvPr id="301094" name="Drop Down 38" hidden="1">
              <a:extLst>
                <a:ext uri="{63B3BB69-23CF-44E3-9099-C40C66FF867C}">
                  <a14:compatExt spid="_x0000_s301094"/>
                </a:ext>
                <a:ext uri="{FF2B5EF4-FFF2-40B4-BE49-F238E27FC236}">
                  <a16:creationId xmlns:a16="http://schemas.microsoft.com/office/drawing/2014/main" id="{00000000-0008-0000-0C00-000026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41</xdr:row>
          <xdr:rowOff>9525</xdr:rowOff>
        </xdr:from>
        <xdr:to>
          <xdr:col>3</xdr:col>
          <xdr:colOff>552450</xdr:colOff>
          <xdr:row>42</xdr:row>
          <xdr:rowOff>0</xdr:rowOff>
        </xdr:to>
        <xdr:sp macro="" textlink="">
          <xdr:nvSpPr>
            <xdr:cNvPr id="301095" name="Drop Down 39" hidden="1">
              <a:extLst>
                <a:ext uri="{63B3BB69-23CF-44E3-9099-C40C66FF867C}">
                  <a14:compatExt spid="_x0000_s301095"/>
                </a:ext>
                <a:ext uri="{FF2B5EF4-FFF2-40B4-BE49-F238E27FC236}">
                  <a16:creationId xmlns:a16="http://schemas.microsoft.com/office/drawing/2014/main" id="{00000000-0008-0000-0C00-000027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42</xdr:row>
          <xdr:rowOff>9525</xdr:rowOff>
        </xdr:from>
        <xdr:to>
          <xdr:col>3</xdr:col>
          <xdr:colOff>552450</xdr:colOff>
          <xdr:row>42</xdr:row>
          <xdr:rowOff>161925</xdr:rowOff>
        </xdr:to>
        <xdr:sp macro="" textlink="">
          <xdr:nvSpPr>
            <xdr:cNvPr id="301096" name="Drop Down 40" hidden="1">
              <a:extLst>
                <a:ext uri="{63B3BB69-23CF-44E3-9099-C40C66FF867C}">
                  <a14:compatExt spid="_x0000_s301096"/>
                </a:ext>
                <a:ext uri="{FF2B5EF4-FFF2-40B4-BE49-F238E27FC236}">
                  <a16:creationId xmlns:a16="http://schemas.microsoft.com/office/drawing/2014/main" id="{00000000-0008-0000-0C00-000028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43</xdr:row>
          <xdr:rowOff>9525</xdr:rowOff>
        </xdr:from>
        <xdr:to>
          <xdr:col>3</xdr:col>
          <xdr:colOff>552450</xdr:colOff>
          <xdr:row>44</xdr:row>
          <xdr:rowOff>0</xdr:rowOff>
        </xdr:to>
        <xdr:sp macro="" textlink="">
          <xdr:nvSpPr>
            <xdr:cNvPr id="301097" name="Drop Down 41" hidden="1">
              <a:extLst>
                <a:ext uri="{63B3BB69-23CF-44E3-9099-C40C66FF867C}">
                  <a14:compatExt spid="_x0000_s301097"/>
                </a:ext>
                <a:ext uri="{FF2B5EF4-FFF2-40B4-BE49-F238E27FC236}">
                  <a16:creationId xmlns:a16="http://schemas.microsoft.com/office/drawing/2014/main" id="{00000000-0008-0000-0C00-000029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44</xdr:row>
          <xdr:rowOff>9525</xdr:rowOff>
        </xdr:from>
        <xdr:to>
          <xdr:col>3</xdr:col>
          <xdr:colOff>552450</xdr:colOff>
          <xdr:row>44</xdr:row>
          <xdr:rowOff>161925</xdr:rowOff>
        </xdr:to>
        <xdr:sp macro="" textlink="">
          <xdr:nvSpPr>
            <xdr:cNvPr id="301098" name="Drop Down 42" hidden="1">
              <a:extLst>
                <a:ext uri="{63B3BB69-23CF-44E3-9099-C40C66FF867C}">
                  <a14:compatExt spid="_x0000_s301098"/>
                </a:ext>
                <a:ext uri="{FF2B5EF4-FFF2-40B4-BE49-F238E27FC236}">
                  <a16:creationId xmlns:a16="http://schemas.microsoft.com/office/drawing/2014/main" id="{00000000-0008-0000-0C00-00002A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45</xdr:row>
          <xdr:rowOff>9525</xdr:rowOff>
        </xdr:from>
        <xdr:to>
          <xdr:col>3</xdr:col>
          <xdr:colOff>552450</xdr:colOff>
          <xdr:row>46</xdr:row>
          <xdr:rowOff>0</xdr:rowOff>
        </xdr:to>
        <xdr:sp macro="" textlink="">
          <xdr:nvSpPr>
            <xdr:cNvPr id="301099" name="Drop Down 43" hidden="1">
              <a:extLst>
                <a:ext uri="{63B3BB69-23CF-44E3-9099-C40C66FF867C}">
                  <a14:compatExt spid="_x0000_s301099"/>
                </a:ext>
                <a:ext uri="{FF2B5EF4-FFF2-40B4-BE49-F238E27FC236}">
                  <a16:creationId xmlns:a16="http://schemas.microsoft.com/office/drawing/2014/main" id="{00000000-0008-0000-0C00-00002B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46</xdr:row>
          <xdr:rowOff>9525</xdr:rowOff>
        </xdr:from>
        <xdr:to>
          <xdr:col>3</xdr:col>
          <xdr:colOff>552450</xdr:colOff>
          <xdr:row>46</xdr:row>
          <xdr:rowOff>161925</xdr:rowOff>
        </xdr:to>
        <xdr:sp macro="" textlink="">
          <xdr:nvSpPr>
            <xdr:cNvPr id="301100" name="Drop Down 44" hidden="1">
              <a:extLst>
                <a:ext uri="{63B3BB69-23CF-44E3-9099-C40C66FF867C}">
                  <a14:compatExt spid="_x0000_s301100"/>
                </a:ext>
                <a:ext uri="{FF2B5EF4-FFF2-40B4-BE49-F238E27FC236}">
                  <a16:creationId xmlns:a16="http://schemas.microsoft.com/office/drawing/2014/main" id="{00000000-0008-0000-0C00-00002C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47</xdr:row>
          <xdr:rowOff>9525</xdr:rowOff>
        </xdr:from>
        <xdr:to>
          <xdr:col>3</xdr:col>
          <xdr:colOff>552450</xdr:colOff>
          <xdr:row>48</xdr:row>
          <xdr:rowOff>0</xdr:rowOff>
        </xdr:to>
        <xdr:sp macro="" textlink="">
          <xdr:nvSpPr>
            <xdr:cNvPr id="301101" name="Drop Down 45" hidden="1">
              <a:extLst>
                <a:ext uri="{63B3BB69-23CF-44E3-9099-C40C66FF867C}">
                  <a14:compatExt spid="_x0000_s301101"/>
                </a:ext>
                <a:ext uri="{FF2B5EF4-FFF2-40B4-BE49-F238E27FC236}">
                  <a16:creationId xmlns:a16="http://schemas.microsoft.com/office/drawing/2014/main" id="{00000000-0008-0000-0C00-00002D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48</xdr:row>
          <xdr:rowOff>9525</xdr:rowOff>
        </xdr:from>
        <xdr:to>
          <xdr:col>3</xdr:col>
          <xdr:colOff>552450</xdr:colOff>
          <xdr:row>48</xdr:row>
          <xdr:rowOff>161925</xdr:rowOff>
        </xdr:to>
        <xdr:sp macro="" textlink="">
          <xdr:nvSpPr>
            <xdr:cNvPr id="301102" name="Drop Down 46" hidden="1">
              <a:extLst>
                <a:ext uri="{63B3BB69-23CF-44E3-9099-C40C66FF867C}">
                  <a14:compatExt spid="_x0000_s301102"/>
                </a:ext>
                <a:ext uri="{FF2B5EF4-FFF2-40B4-BE49-F238E27FC236}">
                  <a16:creationId xmlns:a16="http://schemas.microsoft.com/office/drawing/2014/main" id="{00000000-0008-0000-0C00-00002E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49</xdr:row>
          <xdr:rowOff>9525</xdr:rowOff>
        </xdr:from>
        <xdr:to>
          <xdr:col>3</xdr:col>
          <xdr:colOff>552450</xdr:colOff>
          <xdr:row>50</xdr:row>
          <xdr:rowOff>0</xdr:rowOff>
        </xdr:to>
        <xdr:sp macro="" textlink="">
          <xdr:nvSpPr>
            <xdr:cNvPr id="301103" name="Drop Down 47" hidden="1">
              <a:extLst>
                <a:ext uri="{63B3BB69-23CF-44E3-9099-C40C66FF867C}">
                  <a14:compatExt spid="_x0000_s301103"/>
                </a:ext>
                <a:ext uri="{FF2B5EF4-FFF2-40B4-BE49-F238E27FC236}">
                  <a16:creationId xmlns:a16="http://schemas.microsoft.com/office/drawing/2014/main" id="{00000000-0008-0000-0C00-00002F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50</xdr:row>
          <xdr:rowOff>9525</xdr:rowOff>
        </xdr:from>
        <xdr:to>
          <xdr:col>3</xdr:col>
          <xdr:colOff>552450</xdr:colOff>
          <xdr:row>50</xdr:row>
          <xdr:rowOff>161925</xdr:rowOff>
        </xdr:to>
        <xdr:sp macro="" textlink="">
          <xdr:nvSpPr>
            <xdr:cNvPr id="301104" name="Drop Down 48" hidden="1">
              <a:extLst>
                <a:ext uri="{63B3BB69-23CF-44E3-9099-C40C66FF867C}">
                  <a14:compatExt spid="_x0000_s301104"/>
                </a:ext>
                <a:ext uri="{FF2B5EF4-FFF2-40B4-BE49-F238E27FC236}">
                  <a16:creationId xmlns:a16="http://schemas.microsoft.com/office/drawing/2014/main" id="{00000000-0008-0000-0C00-000030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51</xdr:row>
          <xdr:rowOff>9525</xdr:rowOff>
        </xdr:from>
        <xdr:to>
          <xdr:col>3</xdr:col>
          <xdr:colOff>552450</xdr:colOff>
          <xdr:row>52</xdr:row>
          <xdr:rowOff>0</xdr:rowOff>
        </xdr:to>
        <xdr:sp macro="" textlink="">
          <xdr:nvSpPr>
            <xdr:cNvPr id="301105" name="Drop Down 49" hidden="1">
              <a:extLst>
                <a:ext uri="{63B3BB69-23CF-44E3-9099-C40C66FF867C}">
                  <a14:compatExt spid="_x0000_s301105"/>
                </a:ext>
                <a:ext uri="{FF2B5EF4-FFF2-40B4-BE49-F238E27FC236}">
                  <a16:creationId xmlns:a16="http://schemas.microsoft.com/office/drawing/2014/main" id="{00000000-0008-0000-0C00-000031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52</xdr:row>
          <xdr:rowOff>9525</xdr:rowOff>
        </xdr:from>
        <xdr:to>
          <xdr:col>3</xdr:col>
          <xdr:colOff>552450</xdr:colOff>
          <xdr:row>52</xdr:row>
          <xdr:rowOff>161925</xdr:rowOff>
        </xdr:to>
        <xdr:sp macro="" textlink="">
          <xdr:nvSpPr>
            <xdr:cNvPr id="301106" name="Drop Down 50" hidden="1">
              <a:extLst>
                <a:ext uri="{63B3BB69-23CF-44E3-9099-C40C66FF867C}">
                  <a14:compatExt spid="_x0000_s301106"/>
                </a:ext>
                <a:ext uri="{FF2B5EF4-FFF2-40B4-BE49-F238E27FC236}">
                  <a16:creationId xmlns:a16="http://schemas.microsoft.com/office/drawing/2014/main" id="{00000000-0008-0000-0C00-000032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53</xdr:row>
          <xdr:rowOff>9525</xdr:rowOff>
        </xdr:from>
        <xdr:to>
          <xdr:col>3</xdr:col>
          <xdr:colOff>552450</xdr:colOff>
          <xdr:row>54</xdr:row>
          <xdr:rowOff>0</xdr:rowOff>
        </xdr:to>
        <xdr:sp macro="" textlink="">
          <xdr:nvSpPr>
            <xdr:cNvPr id="301107" name="Drop Down 51" hidden="1">
              <a:extLst>
                <a:ext uri="{63B3BB69-23CF-44E3-9099-C40C66FF867C}">
                  <a14:compatExt spid="_x0000_s301107"/>
                </a:ext>
                <a:ext uri="{FF2B5EF4-FFF2-40B4-BE49-F238E27FC236}">
                  <a16:creationId xmlns:a16="http://schemas.microsoft.com/office/drawing/2014/main" id="{00000000-0008-0000-0C00-000033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54</xdr:row>
          <xdr:rowOff>9525</xdr:rowOff>
        </xdr:from>
        <xdr:to>
          <xdr:col>3</xdr:col>
          <xdr:colOff>552450</xdr:colOff>
          <xdr:row>54</xdr:row>
          <xdr:rowOff>161925</xdr:rowOff>
        </xdr:to>
        <xdr:sp macro="" textlink="">
          <xdr:nvSpPr>
            <xdr:cNvPr id="301108" name="Drop Down 52" hidden="1">
              <a:extLst>
                <a:ext uri="{63B3BB69-23CF-44E3-9099-C40C66FF867C}">
                  <a14:compatExt spid="_x0000_s301108"/>
                </a:ext>
                <a:ext uri="{FF2B5EF4-FFF2-40B4-BE49-F238E27FC236}">
                  <a16:creationId xmlns:a16="http://schemas.microsoft.com/office/drawing/2014/main" id="{00000000-0008-0000-0C00-000034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55</xdr:row>
          <xdr:rowOff>9525</xdr:rowOff>
        </xdr:from>
        <xdr:to>
          <xdr:col>3</xdr:col>
          <xdr:colOff>552450</xdr:colOff>
          <xdr:row>56</xdr:row>
          <xdr:rowOff>0</xdr:rowOff>
        </xdr:to>
        <xdr:sp macro="" textlink="">
          <xdr:nvSpPr>
            <xdr:cNvPr id="301109" name="Drop Down 53" hidden="1">
              <a:extLst>
                <a:ext uri="{63B3BB69-23CF-44E3-9099-C40C66FF867C}">
                  <a14:compatExt spid="_x0000_s301109"/>
                </a:ext>
                <a:ext uri="{FF2B5EF4-FFF2-40B4-BE49-F238E27FC236}">
                  <a16:creationId xmlns:a16="http://schemas.microsoft.com/office/drawing/2014/main" id="{00000000-0008-0000-0C00-000035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56</xdr:row>
          <xdr:rowOff>9525</xdr:rowOff>
        </xdr:from>
        <xdr:to>
          <xdr:col>3</xdr:col>
          <xdr:colOff>552450</xdr:colOff>
          <xdr:row>56</xdr:row>
          <xdr:rowOff>161925</xdr:rowOff>
        </xdr:to>
        <xdr:sp macro="" textlink="">
          <xdr:nvSpPr>
            <xdr:cNvPr id="301110" name="Drop Down 54" hidden="1">
              <a:extLst>
                <a:ext uri="{63B3BB69-23CF-44E3-9099-C40C66FF867C}">
                  <a14:compatExt spid="_x0000_s301110"/>
                </a:ext>
                <a:ext uri="{FF2B5EF4-FFF2-40B4-BE49-F238E27FC236}">
                  <a16:creationId xmlns:a16="http://schemas.microsoft.com/office/drawing/2014/main" id="{00000000-0008-0000-0C00-000036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57</xdr:row>
          <xdr:rowOff>9525</xdr:rowOff>
        </xdr:from>
        <xdr:to>
          <xdr:col>3</xdr:col>
          <xdr:colOff>552450</xdr:colOff>
          <xdr:row>58</xdr:row>
          <xdr:rowOff>0</xdr:rowOff>
        </xdr:to>
        <xdr:sp macro="" textlink="">
          <xdr:nvSpPr>
            <xdr:cNvPr id="301111" name="Drop Down 55" hidden="1">
              <a:extLst>
                <a:ext uri="{63B3BB69-23CF-44E3-9099-C40C66FF867C}">
                  <a14:compatExt spid="_x0000_s301111"/>
                </a:ext>
                <a:ext uri="{FF2B5EF4-FFF2-40B4-BE49-F238E27FC236}">
                  <a16:creationId xmlns:a16="http://schemas.microsoft.com/office/drawing/2014/main" id="{00000000-0008-0000-0C00-000037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58</xdr:row>
          <xdr:rowOff>9525</xdr:rowOff>
        </xdr:from>
        <xdr:to>
          <xdr:col>3</xdr:col>
          <xdr:colOff>552450</xdr:colOff>
          <xdr:row>58</xdr:row>
          <xdr:rowOff>161925</xdr:rowOff>
        </xdr:to>
        <xdr:sp macro="" textlink="">
          <xdr:nvSpPr>
            <xdr:cNvPr id="301112" name="Drop Down 56" hidden="1">
              <a:extLst>
                <a:ext uri="{63B3BB69-23CF-44E3-9099-C40C66FF867C}">
                  <a14:compatExt spid="_x0000_s301112"/>
                </a:ext>
                <a:ext uri="{FF2B5EF4-FFF2-40B4-BE49-F238E27FC236}">
                  <a16:creationId xmlns:a16="http://schemas.microsoft.com/office/drawing/2014/main" id="{00000000-0008-0000-0C00-000038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59</xdr:row>
          <xdr:rowOff>9525</xdr:rowOff>
        </xdr:from>
        <xdr:to>
          <xdr:col>3</xdr:col>
          <xdr:colOff>552450</xdr:colOff>
          <xdr:row>60</xdr:row>
          <xdr:rowOff>0</xdr:rowOff>
        </xdr:to>
        <xdr:sp macro="" textlink="">
          <xdr:nvSpPr>
            <xdr:cNvPr id="301113" name="Drop Down 57" hidden="1">
              <a:extLst>
                <a:ext uri="{63B3BB69-23CF-44E3-9099-C40C66FF867C}">
                  <a14:compatExt spid="_x0000_s301113"/>
                </a:ext>
                <a:ext uri="{FF2B5EF4-FFF2-40B4-BE49-F238E27FC236}">
                  <a16:creationId xmlns:a16="http://schemas.microsoft.com/office/drawing/2014/main" id="{00000000-0008-0000-0C00-000039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60</xdr:row>
          <xdr:rowOff>9525</xdr:rowOff>
        </xdr:from>
        <xdr:to>
          <xdr:col>3</xdr:col>
          <xdr:colOff>552450</xdr:colOff>
          <xdr:row>61</xdr:row>
          <xdr:rowOff>0</xdr:rowOff>
        </xdr:to>
        <xdr:sp macro="" textlink="">
          <xdr:nvSpPr>
            <xdr:cNvPr id="301114" name="Drop Down 58" hidden="1">
              <a:extLst>
                <a:ext uri="{63B3BB69-23CF-44E3-9099-C40C66FF867C}">
                  <a14:compatExt spid="_x0000_s301114"/>
                </a:ext>
                <a:ext uri="{FF2B5EF4-FFF2-40B4-BE49-F238E27FC236}">
                  <a16:creationId xmlns:a16="http://schemas.microsoft.com/office/drawing/2014/main" id="{00000000-0008-0000-0C00-00003A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61</xdr:row>
          <xdr:rowOff>9525</xdr:rowOff>
        </xdr:from>
        <xdr:to>
          <xdr:col>3</xdr:col>
          <xdr:colOff>552450</xdr:colOff>
          <xdr:row>62</xdr:row>
          <xdr:rowOff>0</xdr:rowOff>
        </xdr:to>
        <xdr:sp macro="" textlink="">
          <xdr:nvSpPr>
            <xdr:cNvPr id="301115" name="Drop Down 59" hidden="1">
              <a:extLst>
                <a:ext uri="{63B3BB69-23CF-44E3-9099-C40C66FF867C}">
                  <a14:compatExt spid="_x0000_s301115"/>
                </a:ext>
                <a:ext uri="{FF2B5EF4-FFF2-40B4-BE49-F238E27FC236}">
                  <a16:creationId xmlns:a16="http://schemas.microsoft.com/office/drawing/2014/main" id="{00000000-0008-0000-0C00-00003B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14</xdr:col>
      <xdr:colOff>0</xdr:colOff>
      <xdr:row>4</xdr:row>
      <xdr:rowOff>51434</xdr:rowOff>
    </xdr:from>
    <xdr:to>
      <xdr:col>14</xdr:col>
      <xdr:colOff>0</xdr:colOff>
      <xdr:row>41</xdr:row>
      <xdr:rowOff>156209</xdr:rowOff>
    </xdr:to>
    <xdr:grpSp>
      <xdr:nvGrpSpPr>
        <xdr:cNvPr id="2" name="Gruppieren 1">
          <a:extLst>
            <a:ext uri="{FF2B5EF4-FFF2-40B4-BE49-F238E27FC236}">
              <a16:creationId xmlns:a16="http://schemas.microsoft.com/office/drawing/2014/main" id="{00000000-0008-0000-0E00-000002000000}"/>
            </a:ext>
          </a:extLst>
        </xdr:cNvPr>
        <xdr:cNvGrpSpPr/>
      </xdr:nvGrpSpPr>
      <xdr:grpSpPr>
        <a:xfrm>
          <a:off x="11991975" y="1560194"/>
          <a:ext cx="0" cy="6854190"/>
          <a:chOff x="10906125" y="2326003"/>
          <a:chExt cx="3764280" cy="6854045"/>
        </a:xfrm>
      </xdr:grpSpPr>
      <xdr:sp macro="" textlink="">
        <xdr:nvSpPr>
          <xdr:cNvPr id="3" name="Textfeld 2">
            <a:extLst>
              <a:ext uri="{FF2B5EF4-FFF2-40B4-BE49-F238E27FC236}">
                <a16:creationId xmlns:a16="http://schemas.microsoft.com/office/drawing/2014/main" id="{00000000-0008-0000-0E00-000003000000}"/>
              </a:ext>
            </a:extLst>
          </xdr:cNvPr>
          <xdr:cNvSpPr txBox="1"/>
        </xdr:nvSpPr>
        <xdr:spPr>
          <a:xfrm>
            <a:off x="10906125" y="2326003"/>
            <a:ext cx="3764280" cy="6854045"/>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e-DE" sz="1100" b="1"/>
              <a:t>Hinweis:</a:t>
            </a:r>
            <a:r>
              <a:rPr lang="de-DE" sz="1100" b="1" baseline="0"/>
              <a:t> Zum schnelleren Auffinden Ihrer Gemarkung nutzen Sie die Filterfunktion von Excel:</a:t>
            </a:r>
          </a:p>
          <a:p>
            <a:endParaRPr lang="de-DE" sz="1100" b="1" baseline="0"/>
          </a:p>
          <a:p>
            <a:r>
              <a:rPr lang="de-DE" sz="1100" b="0" baseline="0"/>
              <a:t>1. Wählen Sie aus, ob Sie den Gemarkungsnamen oder die Gemarkungsnummer suchen möchten.</a:t>
            </a:r>
          </a:p>
          <a:p>
            <a:endParaRPr lang="de-DE" sz="1100" b="0" baseline="0"/>
          </a:p>
          <a:p>
            <a:endParaRPr lang="de-DE" sz="1100" b="0" baseline="0"/>
          </a:p>
          <a:p>
            <a:endParaRPr lang="de-DE" sz="1100" b="0" baseline="0"/>
          </a:p>
          <a:p>
            <a:endParaRPr lang="de-DE" sz="1100" b="0" baseline="0"/>
          </a:p>
          <a:p>
            <a:r>
              <a:rPr lang="de-DE" sz="1100" b="0" baseline="0"/>
              <a:t>2. In der Suchleiste können Sie den gesuchten Namen, die gesuchte Nummer oder Teile davon eingeben.</a:t>
            </a:r>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r>
              <a:rPr lang="de-DE" sz="1100" b="0" baseline="0"/>
              <a:t>3. Über "Filter löschen aus..." setzen Sie Ihre Suche zurück.</a:t>
            </a:r>
            <a:endParaRPr lang="de-DE" sz="1100" b="0"/>
          </a:p>
        </xdr:txBody>
      </xdr:sp>
      <xdr:grpSp>
        <xdr:nvGrpSpPr>
          <xdr:cNvPr id="4" name="Gruppieren 3">
            <a:extLst>
              <a:ext uri="{FF2B5EF4-FFF2-40B4-BE49-F238E27FC236}">
                <a16:creationId xmlns:a16="http://schemas.microsoft.com/office/drawing/2014/main" id="{00000000-0008-0000-0E00-000004000000}"/>
              </a:ext>
            </a:extLst>
          </xdr:cNvPr>
          <xdr:cNvGrpSpPr/>
        </xdr:nvGrpSpPr>
        <xdr:grpSpPr>
          <a:xfrm>
            <a:off x="11193781" y="4324348"/>
            <a:ext cx="2275162" cy="4267199"/>
            <a:chOff x="7909560" y="2446020"/>
            <a:chExt cx="2282782" cy="4183380"/>
          </a:xfrm>
        </xdr:grpSpPr>
        <xdr:pic>
          <xdr:nvPicPr>
            <xdr:cNvPr id="9" name="Grafik 8">
              <a:extLst>
                <a:ext uri="{FF2B5EF4-FFF2-40B4-BE49-F238E27FC236}">
                  <a16:creationId xmlns:a16="http://schemas.microsoft.com/office/drawing/2014/main" id="{00000000-0008-0000-0E00-000009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7909560" y="2446020"/>
              <a:ext cx="2282782" cy="4183380"/>
            </a:xfrm>
            <a:prstGeom prst="rect">
              <a:avLst/>
            </a:prstGeom>
          </xdr:spPr>
        </xdr:pic>
        <xdr:sp macro="" textlink="">
          <xdr:nvSpPr>
            <xdr:cNvPr id="10" name="Ellipse 9">
              <a:extLst>
                <a:ext uri="{FF2B5EF4-FFF2-40B4-BE49-F238E27FC236}">
                  <a16:creationId xmlns:a16="http://schemas.microsoft.com/office/drawing/2014/main" id="{00000000-0008-0000-0E00-00000A000000}"/>
                </a:ext>
              </a:extLst>
            </xdr:cNvPr>
            <xdr:cNvSpPr/>
          </xdr:nvSpPr>
          <xdr:spPr bwMode="auto">
            <a:xfrm>
              <a:off x="8016240" y="4526280"/>
              <a:ext cx="2110740" cy="304800"/>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lang="de-DE" sz="1100">
                <a:noFill/>
              </a:endParaRPr>
            </a:p>
          </xdr:txBody>
        </xdr:sp>
      </xdr:grpSp>
      <xdr:grpSp>
        <xdr:nvGrpSpPr>
          <xdr:cNvPr id="5" name="Gruppieren 4">
            <a:extLst>
              <a:ext uri="{FF2B5EF4-FFF2-40B4-BE49-F238E27FC236}">
                <a16:creationId xmlns:a16="http://schemas.microsoft.com/office/drawing/2014/main" id="{00000000-0008-0000-0E00-000005000000}"/>
              </a:ext>
            </a:extLst>
          </xdr:cNvPr>
          <xdr:cNvGrpSpPr/>
        </xdr:nvGrpSpPr>
        <xdr:grpSpPr>
          <a:xfrm>
            <a:off x="11114514" y="3291841"/>
            <a:ext cx="2016652" cy="520799"/>
            <a:chOff x="5572869" y="2491741"/>
            <a:chExt cx="2018557" cy="530324"/>
          </a:xfrm>
        </xdr:grpSpPr>
        <xdr:pic>
          <xdr:nvPicPr>
            <xdr:cNvPr id="6" name="Grafik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2"/>
            <a:stretch>
              <a:fillRect/>
            </a:stretch>
          </xdr:blipFill>
          <xdr:spPr>
            <a:xfrm>
              <a:off x="5572869" y="2491741"/>
              <a:ext cx="2018557" cy="514350"/>
            </a:xfrm>
            <a:prstGeom prst="rect">
              <a:avLst/>
            </a:prstGeom>
          </xdr:spPr>
        </xdr:pic>
        <xdr:sp macro="" textlink="">
          <xdr:nvSpPr>
            <xdr:cNvPr id="7" name="Ellipse 6">
              <a:extLst>
                <a:ext uri="{FF2B5EF4-FFF2-40B4-BE49-F238E27FC236}">
                  <a16:creationId xmlns:a16="http://schemas.microsoft.com/office/drawing/2014/main" id="{00000000-0008-0000-0E00-000007000000}"/>
                </a:ext>
              </a:extLst>
            </xdr:cNvPr>
            <xdr:cNvSpPr/>
          </xdr:nvSpPr>
          <xdr:spPr bwMode="auto">
            <a:xfrm>
              <a:off x="6134100" y="2790825"/>
              <a:ext cx="212190" cy="221715"/>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lang="de-DE" sz="1100">
                <a:noFill/>
              </a:endParaRPr>
            </a:p>
          </xdr:txBody>
        </xdr:sp>
        <xdr:sp macro="" textlink="">
          <xdr:nvSpPr>
            <xdr:cNvPr id="8" name="Ellipse 7">
              <a:extLst>
                <a:ext uri="{FF2B5EF4-FFF2-40B4-BE49-F238E27FC236}">
                  <a16:creationId xmlns:a16="http://schemas.microsoft.com/office/drawing/2014/main" id="{00000000-0008-0000-0E00-000008000000}"/>
                </a:ext>
              </a:extLst>
            </xdr:cNvPr>
            <xdr:cNvSpPr/>
          </xdr:nvSpPr>
          <xdr:spPr bwMode="auto">
            <a:xfrm>
              <a:off x="7286625" y="2800350"/>
              <a:ext cx="212190" cy="221715"/>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lang="de-DE" sz="1100">
                <a:noFill/>
              </a:endParaRPr>
            </a:p>
          </xdr:txBody>
        </xdr:sp>
      </xdr:grpSp>
    </xdr:grpSp>
    <xdr:clientData/>
  </xdr:twoCellAnchor>
  <xdr:twoCellAnchor editAs="oneCell">
    <xdr:from>
      <xdr:col>6</xdr:col>
      <xdr:colOff>24765</xdr:colOff>
      <xdr:row>4</xdr:row>
      <xdr:rowOff>5715</xdr:rowOff>
    </xdr:from>
    <xdr:to>
      <xdr:col>10</xdr:col>
      <xdr:colOff>588181</xdr:colOff>
      <xdr:row>41</xdr:row>
      <xdr:rowOff>60109</xdr:rowOff>
    </xdr:to>
    <xdr:pic>
      <xdr:nvPicPr>
        <xdr:cNvPr id="11" name="Grafik 10">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688330" y="1769745"/>
          <a:ext cx="3729526" cy="6805714"/>
        </a:xfrm>
        <a:prstGeom prst="rect">
          <a:avLst/>
        </a:prstGeom>
        <a:ln w="12700">
          <a:solidFill>
            <a:sysClr val="windowText" lastClr="000000"/>
          </a:solidFill>
        </a:ln>
      </xdr:spPr>
    </xdr:pic>
    <xdr:clientData/>
  </xdr:twoCellAnchor>
</xdr:wsDr>
</file>

<file path=xl/drawings/drawing8.xml><?xml version="1.0" encoding="utf-8"?>
<xdr:wsDr xmlns:xdr="http://schemas.openxmlformats.org/drawingml/2006/spreadsheetDrawing" xmlns:a="http://schemas.openxmlformats.org/drawingml/2006/main">
  <xdr:oneCellAnchor>
    <xdr:from>
      <xdr:col>2</xdr:col>
      <xdr:colOff>71268</xdr:colOff>
      <xdr:row>30</xdr:row>
      <xdr:rowOff>98436</xdr:rowOff>
    </xdr:from>
    <xdr:ext cx="412491" cy="765163"/>
    <xdr:sp macro="" textlink="">
      <xdr:nvSpPr>
        <xdr:cNvPr id="2" name="Textfeld 1">
          <a:extLst>
            <a:ext uri="{FF2B5EF4-FFF2-40B4-BE49-F238E27FC236}">
              <a16:creationId xmlns:a16="http://schemas.microsoft.com/office/drawing/2014/main" id="{00000000-0008-0000-0F00-000002000000}"/>
            </a:ext>
          </a:extLst>
        </xdr:cNvPr>
        <xdr:cNvSpPr txBox="1">
          <a:spLocks/>
        </xdr:cNvSpPr>
      </xdr:nvSpPr>
      <xdr:spPr>
        <a:xfrm>
          <a:off x="3214518" y="4213236"/>
          <a:ext cx="412491" cy="765163"/>
        </a:xfrm>
        <a:prstGeom prst="rect">
          <a:avLst/>
        </a:prstGeom>
        <a:pattFill prst="pct50">
          <a:fgClr>
            <a:srgbClr val="FFFF99"/>
          </a:fgClr>
          <a:bgClr>
            <a:sysClr val="window" lastClr="FFFFFF">
              <a:lumMod val="75000"/>
            </a:sysClr>
          </a:bgClr>
        </a:pattFill>
        <a:ln w="6350" cmpd="sng">
          <a:solidFill>
            <a:sysClr val="windowText" lastClr="000000"/>
          </a:solidFill>
        </a:ln>
        <a:effectLst/>
      </xdr:spPr>
      <xdr:txBody>
        <a:bodyPr vertOverflow="clip" horzOverflow="clip" wrap="square" lIns="10800" tIns="0" rIns="10800" bIns="0" rtlCol="0" anchor="ctr" anchorCtr="0">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Nicht </a:t>
          </a: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wenn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Zuchtsau</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mit Ferkel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bis 28 kg</a:t>
          </a:r>
        </a:p>
      </xdr:txBody>
    </xdr:sp>
    <xdr:clientData/>
  </xdr:oneCellAnchor>
  <xdr:twoCellAnchor>
    <xdr:from>
      <xdr:col>1</xdr:col>
      <xdr:colOff>2543175</xdr:colOff>
      <xdr:row>32</xdr:row>
      <xdr:rowOff>85725</xdr:rowOff>
    </xdr:from>
    <xdr:to>
      <xdr:col>2</xdr:col>
      <xdr:colOff>76200</xdr:colOff>
      <xdr:row>32</xdr:row>
      <xdr:rowOff>85725</xdr:rowOff>
    </xdr:to>
    <xdr:cxnSp macro="">
      <xdr:nvCxnSpPr>
        <xdr:cNvPr id="3" name="Gerade Verbindung mit Pfeil 200">
          <a:extLst>
            <a:ext uri="{FF2B5EF4-FFF2-40B4-BE49-F238E27FC236}">
              <a16:creationId xmlns:a16="http://schemas.microsoft.com/office/drawing/2014/main" id="{00000000-0008-0000-0F00-000003000000}"/>
            </a:ext>
          </a:extLst>
        </xdr:cNvPr>
        <xdr:cNvCxnSpPr>
          <a:cxnSpLocks noChangeShapeType="1"/>
        </xdr:cNvCxnSpPr>
      </xdr:nvCxnSpPr>
      <xdr:spPr bwMode="auto">
        <a:xfrm flipH="1">
          <a:off x="2828925" y="4457700"/>
          <a:ext cx="390525" cy="0"/>
        </a:xfrm>
        <a:prstGeom prst="straightConnector1">
          <a:avLst/>
        </a:prstGeom>
        <a:noFill/>
        <a:ln w="19050" algn="ctr">
          <a:solidFill>
            <a:srgbClr val="FF0000"/>
          </a:solidFill>
          <a:prstDash val="sysDash"/>
          <a:round/>
          <a:headEnd type="triangle" w="med" len="med"/>
          <a:tailEnd/>
        </a:ln>
        <a:extLst>
          <a:ext uri="{909E8E84-426E-40DD-AFC4-6F175D3DCCD1}">
            <a14:hiddenFill xmlns:a14="http://schemas.microsoft.com/office/drawing/2010/main">
              <a:noFill/>
            </a14:hiddenFill>
          </a:ext>
        </a:extLst>
      </xdr:spPr>
    </xdr:cxnSp>
    <xdr:clientData/>
  </xdr:twoCellAnchor>
  <xdr:twoCellAnchor>
    <xdr:from>
      <xdr:col>2</xdr:col>
      <xdr:colOff>93345</xdr:colOff>
      <xdr:row>6</xdr:row>
      <xdr:rowOff>81915</xdr:rowOff>
    </xdr:from>
    <xdr:to>
      <xdr:col>3</xdr:col>
      <xdr:colOff>283845</xdr:colOff>
      <xdr:row>6</xdr:row>
      <xdr:rowOff>120015</xdr:rowOff>
    </xdr:to>
    <xdr:sp macro="" textlink="">
      <xdr:nvSpPr>
        <xdr:cNvPr id="4" name="Eingekerbter Pfeil nach rechts 201">
          <a:extLst>
            <a:ext uri="{FF2B5EF4-FFF2-40B4-BE49-F238E27FC236}">
              <a16:creationId xmlns:a16="http://schemas.microsoft.com/office/drawing/2014/main" id="{00000000-0008-0000-0F00-000004000000}"/>
            </a:ext>
          </a:extLst>
        </xdr:cNvPr>
        <xdr:cNvSpPr>
          <a:spLocks noChangeArrowheads="1"/>
        </xdr:cNvSpPr>
      </xdr:nvSpPr>
      <xdr:spPr bwMode="auto">
        <a:xfrm>
          <a:off x="3236595" y="948690"/>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10</xdr:row>
      <xdr:rowOff>66675</xdr:rowOff>
    </xdr:from>
    <xdr:to>
      <xdr:col>3</xdr:col>
      <xdr:colOff>285750</xdr:colOff>
      <xdr:row>10</xdr:row>
      <xdr:rowOff>104775</xdr:rowOff>
    </xdr:to>
    <xdr:sp macro="" textlink="">
      <xdr:nvSpPr>
        <xdr:cNvPr id="5" name="Eingekerbter Pfeil nach rechts 202">
          <a:extLst>
            <a:ext uri="{FF2B5EF4-FFF2-40B4-BE49-F238E27FC236}">
              <a16:creationId xmlns:a16="http://schemas.microsoft.com/office/drawing/2014/main" id="{00000000-0008-0000-0F00-000005000000}"/>
            </a:ext>
          </a:extLst>
        </xdr:cNvPr>
        <xdr:cNvSpPr>
          <a:spLocks noChangeArrowheads="1"/>
        </xdr:cNvSpPr>
      </xdr:nvSpPr>
      <xdr:spPr bwMode="auto">
        <a:xfrm>
          <a:off x="3238500" y="1476375"/>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47625</xdr:colOff>
      <xdr:row>17</xdr:row>
      <xdr:rowOff>95250</xdr:rowOff>
    </xdr:from>
    <xdr:to>
      <xdr:col>3</xdr:col>
      <xdr:colOff>342900</xdr:colOff>
      <xdr:row>17</xdr:row>
      <xdr:rowOff>133350</xdr:rowOff>
    </xdr:to>
    <xdr:sp macro="" textlink="">
      <xdr:nvSpPr>
        <xdr:cNvPr id="6" name="Eingekerbter Pfeil nach rechts 203">
          <a:extLst>
            <a:ext uri="{FF2B5EF4-FFF2-40B4-BE49-F238E27FC236}">
              <a16:creationId xmlns:a16="http://schemas.microsoft.com/office/drawing/2014/main" id="{00000000-0008-0000-0F00-000006000000}"/>
            </a:ext>
          </a:extLst>
        </xdr:cNvPr>
        <xdr:cNvSpPr>
          <a:spLocks noChangeArrowheads="1"/>
        </xdr:cNvSpPr>
      </xdr:nvSpPr>
      <xdr:spPr bwMode="auto">
        <a:xfrm rot="-300000">
          <a:off x="3190875" y="2428875"/>
          <a:ext cx="447675" cy="38100"/>
        </a:xfrm>
        <a:prstGeom prst="notchedRightArrow">
          <a:avLst>
            <a:gd name="adj1" fmla="val 50000"/>
            <a:gd name="adj2" fmla="val 42104"/>
          </a:avLst>
        </a:prstGeom>
        <a:solidFill>
          <a:srgbClr val="FF0000"/>
        </a:solidFill>
        <a:ln w="6350" algn="ctr">
          <a:solidFill>
            <a:srgbClr val="000000"/>
          </a:solidFill>
          <a:miter lim="800000"/>
          <a:headEnd/>
          <a:tailEnd/>
        </a:ln>
      </xdr:spPr>
    </xdr:sp>
    <xdr:clientData/>
  </xdr:twoCellAnchor>
  <xdr:twoCellAnchor>
    <xdr:from>
      <xdr:col>2</xdr:col>
      <xdr:colOff>95250</xdr:colOff>
      <xdr:row>14</xdr:row>
      <xdr:rowOff>66675</xdr:rowOff>
    </xdr:from>
    <xdr:to>
      <xdr:col>3</xdr:col>
      <xdr:colOff>285750</xdr:colOff>
      <xdr:row>14</xdr:row>
      <xdr:rowOff>104775</xdr:rowOff>
    </xdr:to>
    <xdr:sp macro="" textlink="">
      <xdr:nvSpPr>
        <xdr:cNvPr id="7" name="Eingekerbter Pfeil nach rechts 204">
          <a:extLst>
            <a:ext uri="{FF2B5EF4-FFF2-40B4-BE49-F238E27FC236}">
              <a16:creationId xmlns:a16="http://schemas.microsoft.com/office/drawing/2014/main" id="{00000000-0008-0000-0F00-000007000000}"/>
            </a:ext>
          </a:extLst>
        </xdr:cNvPr>
        <xdr:cNvSpPr>
          <a:spLocks noChangeArrowheads="1"/>
        </xdr:cNvSpPr>
      </xdr:nvSpPr>
      <xdr:spPr bwMode="auto">
        <a:xfrm>
          <a:off x="3238500" y="2019300"/>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91440</xdr:colOff>
      <xdr:row>97</xdr:row>
      <xdr:rowOff>36195</xdr:rowOff>
    </xdr:from>
    <xdr:to>
      <xdr:col>3</xdr:col>
      <xdr:colOff>287655</xdr:colOff>
      <xdr:row>97</xdr:row>
      <xdr:rowOff>66675</xdr:rowOff>
    </xdr:to>
    <xdr:sp macro="" textlink="">
      <xdr:nvSpPr>
        <xdr:cNvPr id="8" name="Eingekerbter Pfeil nach rechts 205">
          <a:extLst>
            <a:ext uri="{FF2B5EF4-FFF2-40B4-BE49-F238E27FC236}">
              <a16:creationId xmlns:a16="http://schemas.microsoft.com/office/drawing/2014/main" id="{00000000-0008-0000-0F00-000008000000}"/>
            </a:ext>
          </a:extLst>
        </xdr:cNvPr>
        <xdr:cNvSpPr>
          <a:spLocks noChangeArrowheads="1"/>
        </xdr:cNvSpPr>
      </xdr:nvSpPr>
      <xdr:spPr bwMode="auto">
        <a:xfrm rot="628996">
          <a:off x="3234690" y="13780770"/>
          <a:ext cx="348615" cy="30480"/>
        </a:xfrm>
        <a:prstGeom prst="notchedRightArrow">
          <a:avLst>
            <a:gd name="adj1" fmla="val 50000"/>
            <a:gd name="adj2" fmla="val 56299"/>
          </a:avLst>
        </a:prstGeom>
        <a:solidFill>
          <a:srgbClr val="FF0000"/>
        </a:solidFill>
        <a:ln w="6350" algn="ctr">
          <a:solidFill>
            <a:srgbClr val="000000"/>
          </a:solidFill>
          <a:miter lim="800000"/>
          <a:headEnd/>
          <a:tailEnd/>
        </a:ln>
      </xdr:spPr>
    </xdr:sp>
    <xdr:clientData/>
  </xdr:twoCellAnchor>
  <xdr:twoCellAnchor>
    <xdr:from>
      <xdr:col>2</xdr:col>
      <xdr:colOff>133350</xdr:colOff>
      <xdr:row>25</xdr:row>
      <xdr:rowOff>152400</xdr:rowOff>
    </xdr:from>
    <xdr:to>
      <xdr:col>3</xdr:col>
      <xdr:colOff>295275</xdr:colOff>
      <xdr:row>26</xdr:row>
      <xdr:rowOff>28575</xdr:rowOff>
    </xdr:to>
    <xdr:sp macro="" textlink="">
      <xdr:nvSpPr>
        <xdr:cNvPr id="9" name="Eingekerbter Pfeil nach rechts 206">
          <a:extLst>
            <a:ext uri="{FF2B5EF4-FFF2-40B4-BE49-F238E27FC236}">
              <a16:creationId xmlns:a16="http://schemas.microsoft.com/office/drawing/2014/main" id="{00000000-0008-0000-0F00-000009000000}"/>
            </a:ext>
          </a:extLst>
        </xdr:cNvPr>
        <xdr:cNvSpPr>
          <a:spLocks noChangeArrowheads="1"/>
        </xdr:cNvSpPr>
      </xdr:nvSpPr>
      <xdr:spPr bwMode="auto">
        <a:xfrm>
          <a:off x="3276600" y="3562350"/>
          <a:ext cx="314325" cy="38100"/>
        </a:xfrm>
        <a:prstGeom prst="notchedRightArrow">
          <a:avLst>
            <a:gd name="adj1" fmla="val 50000"/>
            <a:gd name="adj2" fmla="val 40983"/>
          </a:avLst>
        </a:prstGeom>
        <a:solidFill>
          <a:srgbClr val="FF0000"/>
        </a:solidFill>
        <a:ln w="6350" algn="ctr">
          <a:solidFill>
            <a:srgbClr val="000000"/>
          </a:solidFill>
          <a:miter lim="800000"/>
          <a:headEnd/>
          <a:tailEnd/>
        </a:ln>
      </xdr:spPr>
    </xdr:sp>
    <xdr:clientData/>
  </xdr:twoCellAnchor>
  <xdr:twoCellAnchor>
    <xdr:from>
      <xdr:col>2</xdr:col>
      <xdr:colOff>123825</xdr:colOff>
      <xdr:row>22</xdr:row>
      <xdr:rowOff>57150</xdr:rowOff>
    </xdr:from>
    <xdr:to>
      <xdr:col>3</xdr:col>
      <xdr:colOff>285750</xdr:colOff>
      <xdr:row>22</xdr:row>
      <xdr:rowOff>95250</xdr:rowOff>
    </xdr:to>
    <xdr:sp macro="" textlink="">
      <xdr:nvSpPr>
        <xdr:cNvPr id="10" name="Eingekerbter Pfeil nach rechts 207">
          <a:extLst>
            <a:ext uri="{FF2B5EF4-FFF2-40B4-BE49-F238E27FC236}">
              <a16:creationId xmlns:a16="http://schemas.microsoft.com/office/drawing/2014/main" id="{00000000-0008-0000-0F00-00000A000000}"/>
            </a:ext>
          </a:extLst>
        </xdr:cNvPr>
        <xdr:cNvSpPr>
          <a:spLocks noChangeArrowheads="1"/>
        </xdr:cNvSpPr>
      </xdr:nvSpPr>
      <xdr:spPr bwMode="auto">
        <a:xfrm>
          <a:off x="3267075" y="3095625"/>
          <a:ext cx="314325" cy="38100"/>
        </a:xfrm>
        <a:prstGeom prst="notchedRightArrow">
          <a:avLst>
            <a:gd name="adj1" fmla="val 50000"/>
            <a:gd name="adj2" fmla="val 40983"/>
          </a:avLst>
        </a:prstGeom>
        <a:solidFill>
          <a:srgbClr val="FF0000"/>
        </a:solidFill>
        <a:ln w="6350" algn="ctr">
          <a:solidFill>
            <a:srgbClr val="000000"/>
          </a:solidFill>
          <a:miter lim="800000"/>
          <a:headEnd/>
          <a:tailEnd/>
        </a:ln>
      </xdr:spPr>
    </xdr:sp>
    <xdr:clientData/>
  </xdr:twoCellAnchor>
  <xdr:twoCellAnchor>
    <xdr:from>
      <xdr:col>2</xdr:col>
      <xdr:colOff>28576</xdr:colOff>
      <xdr:row>39</xdr:row>
      <xdr:rowOff>57150</xdr:rowOff>
    </xdr:from>
    <xdr:to>
      <xdr:col>3</xdr:col>
      <xdr:colOff>381001</xdr:colOff>
      <xdr:row>39</xdr:row>
      <xdr:rowOff>95250</xdr:rowOff>
    </xdr:to>
    <xdr:sp macro="" textlink="">
      <xdr:nvSpPr>
        <xdr:cNvPr id="11" name="Eingekerbter Pfeil nach rechts 208">
          <a:extLst>
            <a:ext uri="{FF2B5EF4-FFF2-40B4-BE49-F238E27FC236}">
              <a16:creationId xmlns:a16="http://schemas.microsoft.com/office/drawing/2014/main" id="{00000000-0008-0000-0F00-00000B000000}"/>
            </a:ext>
          </a:extLst>
        </xdr:cNvPr>
        <xdr:cNvSpPr>
          <a:spLocks noChangeArrowheads="1"/>
        </xdr:cNvSpPr>
      </xdr:nvSpPr>
      <xdr:spPr bwMode="auto">
        <a:xfrm rot="-1560000">
          <a:off x="3171826" y="5524500"/>
          <a:ext cx="504825" cy="38100"/>
        </a:xfrm>
        <a:prstGeom prst="notchedRightArrow">
          <a:avLst>
            <a:gd name="adj1" fmla="val 50000"/>
            <a:gd name="adj2" fmla="val 43124"/>
          </a:avLst>
        </a:prstGeom>
        <a:solidFill>
          <a:srgbClr val="FF0000"/>
        </a:solidFill>
        <a:ln w="6350" algn="ctr">
          <a:solidFill>
            <a:srgbClr val="000000"/>
          </a:solidFill>
          <a:miter lim="800000"/>
          <a:headEnd/>
          <a:tailEnd/>
        </a:ln>
      </xdr:spPr>
    </xdr:sp>
    <xdr:clientData/>
  </xdr:twoCellAnchor>
  <xdr:twoCellAnchor>
    <xdr:from>
      <xdr:col>2</xdr:col>
      <xdr:colOff>95250</xdr:colOff>
      <xdr:row>28</xdr:row>
      <xdr:rowOff>66675</xdr:rowOff>
    </xdr:from>
    <xdr:to>
      <xdr:col>3</xdr:col>
      <xdr:colOff>285750</xdr:colOff>
      <xdr:row>28</xdr:row>
      <xdr:rowOff>104775</xdr:rowOff>
    </xdr:to>
    <xdr:sp macro="" textlink="">
      <xdr:nvSpPr>
        <xdr:cNvPr id="12" name="Eingekerbter Pfeil nach rechts 209">
          <a:extLst>
            <a:ext uri="{FF2B5EF4-FFF2-40B4-BE49-F238E27FC236}">
              <a16:creationId xmlns:a16="http://schemas.microsoft.com/office/drawing/2014/main" id="{00000000-0008-0000-0F00-00000C000000}"/>
            </a:ext>
          </a:extLst>
        </xdr:cNvPr>
        <xdr:cNvSpPr>
          <a:spLocks noChangeArrowheads="1"/>
        </xdr:cNvSpPr>
      </xdr:nvSpPr>
      <xdr:spPr bwMode="auto">
        <a:xfrm>
          <a:off x="3238500" y="3857625"/>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xdr:colOff>
      <xdr:row>25</xdr:row>
      <xdr:rowOff>9525</xdr:rowOff>
    </xdr:from>
    <xdr:to>
      <xdr:col>2</xdr:col>
      <xdr:colOff>85725</xdr:colOff>
      <xdr:row>26</xdr:row>
      <xdr:rowOff>161925</xdr:rowOff>
    </xdr:to>
    <xdr:sp macro="" textlink="">
      <xdr:nvSpPr>
        <xdr:cNvPr id="13" name="Geschweifte Klammer rechts 210">
          <a:extLst>
            <a:ext uri="{FF2B5EF4-FFF2-40B4-BE49-F238E27FC236}">
              <a16:creationId xmlns:a16="http://schemas.microsoft.com/office/drawing/2014/main" id="{00000000-0008-0000-0F00-00000D000000}"/>
            </a:ext>
          </a:extLst>
        </xdr:cNvPr>
        <xdr:cNvSpPr>
          <a:spLocks/>
        </xdr:cNvSpPr>
      </xdr:nvSpPr>
      <xdr:spPr bwMode="auto">
        <a:xfrm>
          <a:off x="3152775" y="3419475"/>
          <a:ext cx="76200" cy="314325"/>
        </a:xfrm>
        <a:prstGeom prst="rightBrace">
          <a:avLst>
            <a:gd name="adj1" fmla="val 8326"/>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47625</xdr:colOff>
      <xdr:row>79</xdr:row>
      <xdr:rowOff>28575</xdr:rowOff>
    </xdr:from>
    <xdr:to>
      <xdr:col>3</xdr:col>
      <xdr:colOff>352425</xdr:colOff>
      <xdr:row>79</xdr:row>
      <xdr:rowOff>66675</xdr:rowOff>
    </xdr:to>
    <xdr:sp macro="" textlink="">
      <xdr:nvSpPr>
        <xdr:cNvPr id="14" name="Eingekerbter Pfeil nach rechts 211">
          <a:extLst>
            <a:ext uri="{FF2B5EF4-FFF2-40B4-BE49-F238E27FC236}">
              <a16:creationId xmlns:a16="http://schemas.microsoft.com/office/drawing/2014/main" id="{00000000-0008-0000-0F00-00000E000000}"/>
            </a:ext>
          </a:extLst>
        </xdr:cNvPr>
        <xdr:cNvSpPr>
          <a:spLocks noChangeArrowheads="1"/>
        </xdr:cNvSpPr>
      </xdr:nvSpPr>
      <xdr:spPr bwMode="auto">
        <a:xfrm rot="300000">
          <a:off x="3190875" y="11487150"/>
          <a:ext cx="457200" cy="38100"/>
        </a:xfrm>
        <a:prstGeom prst="notchedRightArrow">
          <a:avLst>
            <a:gd name="adj1" fmla="val 50000"/>
            <a:gd name="adj2" fmla="val 43056"/>
          </a:avLst>
        </a:prstGeom>
        <a:solidFill>
          <a:srgbClr val="FF0000"/>
        </a:solidFill>
        <a:ln w="6350" algn="ctr">
          <a:solidFill>
            <a:srgbClr val="000000"/>
          </a:solidFill>
          <a:miter lim="800000"/>
          <a:headEnd/>
          <a:tailEnd/>
        </a:ln>
      </xdr:spPr>
    </xdr:sp>
    <xdr:clientData/>
  </xdr:twoCellAnchor>
  <xdr:twoCellAnchor>
    <xdr:from>
      <xdr:col>2</xdr:col>
      <xdr:colOff>95250</xdr:colOff>
      <xdr:row>81</xdr:row>
      <xdr:rowOff>66675</xdr:rowOff>
    </xdr:from>
    <xdr:to>
      <xdr:col>3</xdr:col>
      <xdr:colOff>295275</xdr:colOff>
      <xdr:row>81</xdr:row>
      <xdr:rowOff>104775</xdr:rowOff>
    </xdr:to>
    <xdr:sp macro="" textlink="">
      <xdr:nvSpPr>
        <xdr:cNvPr id="15" name="Eingekerbter Pfeil nach rechts 212">
          <a:extLst>
            <a:ext uri="{FF2B5EF4-FFF2-40B4-BE49-F238E27FC236}">
              <a16:creationId xmlns:a16="http://schemas.microsoft.com/office/drawing/2014/main" id="{00000000-0008-0000-0F00-00000F000000}"/>
            </a:ext>
          </a:extLst>
        </xdr:cNvPr>
        <xdr:cNvSpPr>
          <a:spLocks noChangeArrowheads="1"/>
        </xdr:cNvSpPr>
      </xdr:nvSpPr>
      <xdr:spPr bwMode="auto">
        <a:xfrm>
          <a:off x="3238500" y="11744325"/>
          <a:ext cx="352425" cy="38100"/>
        </a:xfrm>
        <a:prstGeom prst="notchedRightArrow">
          <a:avLst>
            <a:gd name="adj1" fmla="val 50000"/>
            <a:gd name="adj2" fmla="val 42225"/>
          </a:avLst>
        </a:prstGeom>
        <a:solidFill>
          <a:srgbClr val="FF0000"/>
        </a:solidFill>
        <a:ln w="6350" algn="ctr">
          <a:solidFill>
            <a:srgbClr val="000000"/>
          </a:solidFill>
          <a:miter lim="800000"/>
          <a:headEnd/>
          <a:tailEnd/>
        </a:ln>
      </xdr:spPr>
    </xdr:sp>
    <xdr:clientData/>
  </xdr:twoCellAnchor>
  <xdr:twoCellAnchor>
    <xdr:from>
      <xdr:col>2</xdr:col>
      <xdr:colOff>95250</xdr:colOff>
      <xdr:row>88</xdr:row>
      <xdr:rowOff>66675</xdr:rowOff>
    </xdr:from>
    <xdr:to>
      <xdr:col>3</xdr:col>
      <xdr:colOff>285750</xdr:colOff>
      <xdr:row>88</xdr:row>
      <xdr:rowOff>95250</xdr:rowOff>
    </xdr:to>
    <xdr:sp macro="" textlink="">
      <xdr:nvSpPr>
        <xdr:cNvPr id="16" name="Eingekerbter Pfeil nach rechts 213">
          <a:extLst>
            <a:ext uri="{FF2B5EF4-FFF2-40B4-BE49-F238E27FC236}">
              <a16:creationId xmlns:a16="http://schemas.microsoft.com/office/drawing/2014/main" id="{00000000-0008-0000-0F00-000010000000}"/>
            </a:ext>
          </a:extLst>
        </xdr:cNvPr>
        <xdr:cNvSpPr>
          <a:spLocks noChangeArrowheads="1"/>
        </xdr:cNvSpPr>
      </xdr:nvSpPr>
      <xdr:spPr bwMode="auto">
        <a:xfrm>
          <a:off x="3238500" y="12668250"/>
          <a:ext cx="342900" cy="28575"/>
        </a:xfrm>
        <a:prstGeom prst="notchedRightArrow">
          <a:avLst>
            <a:gd name="adj1" fmla="val 50000"/>
            <a:gd name="adj2" fmla="val 54778"/>
          </a:avLst>
        </a:prstGeom>
        <a:solidFill>
          <a:srgbClr val="FF0000"/>
        </a:solidFill>
        <a:ln w="6350" algn="ctr">
          <a:solidFill>
            <a:srgbClr val="000000"/>
          </a:solidFill>
          <a:miter lim="800000"/>
          <a:headEnd/>
          <a:tailEnd/>
        </a:ln>
      </xdr:spPr>
    </xdr:sp>
    <xdr:clientData/>
  </xdr:twoCellAnchor>
  <xdr:twoCellAnchor>
    <xdr:from>
      <xdr:col>2</xdr:col>
      <xdr:colOff>57150</xdr:colOff>
      <xdr:row>90</xdr:row>
      <xdr:rowOff>95250</xdr:rowOff>
    </xdr:from>
    <xdr:to>
      <xdr:col>3</xdr:col>
      <xdr:colOff>352425</xdr:colOff>
      <xdr:row>90</xdr:row>
      <xdr:rowOff>133350</xdr:rowOff>
    </xdr:to>
    <xdr:sp macro="" textlink="">
      <xdr:nvSpPr>
        <xdr:cNvPr id="17" name="Eingekerbter Pfeil nach rechts 214">
          <a:extLst>
            <a:ext uri="{FF2B5EF4-FFF2-40B4-BE49-F238E27FC236}">
              <a16:creationId xmlns:a16="http://schemas.microsoft.com/office/drawing/2014/main" id="{00000000-0008-0000-0F00-000011000000}"/>
            </a:ext>
          </a:extLst>
        </xdr:cNvPr>
        <xdr:cNvSpPr>
          <a:spLocks noChangeArrowheads="1"/>
        </xdr:cNvSpPr>
      </xdr:nvSpPr>
      <xdr:spPr bwMode="auto">
        <a:xfrm rot="-300000">
          <a:off x="3200400" y="12915900"/>
          <a:ext cx="447675" cy="38100"/>
        </a:xfrm>
        <a:prstGeom prst="notchedRightArrow">
          <a:avLst>
            <a:gd name="adj1" fmla="val 50000"/>
            <a:gd name="adj2" fmla="val 42159"/>
          </a:avLst>
        </a:prstGeom>
        <a:solidFill>
          <a:srgbClr val="FF0000"/>
        </a:solidFill>
        <a:ln w="6350" algn="ctr">
          <a:solidFill>
            <a:srgbClr val="000000"/>
          </a:solidFill>
          <a:miter lim="800000"/>
          <a:headEnd/>
          <a:tailEnd/>
        </a:ln>
      </xdr:spPr>
    </xdr:sp>
    <xdr:clientData/>
  </xdr:twoCellAnchor>
  <xdr:twoCellAnchor>
    <xdr:from>
      <xdr:col>2</xdr:col>
      <xdr:colOff>47625</xdr:colOff>
      <xdr:row>94</xdr:row>
      <xdr:rowOff>28575</xdr:rowOff>
    </xdr:from>
    <xdr:to>
      <xdr:col>3</xdr:col>
      <xdr:colOff>352425</xdr:colOff>
      <xdr:row>94</xdr:row>
      <xdr:rowOff>66675</xdr:rowOff>
    </xdr:to>
    <xdr:sp macro="" textlink="">
      <xdr:nvSpPr>
        <xdr:cNvPr id="18" name="Eingekerbter Pfeil nach rechts 215">
          <a:extLst>
            <a:ext uri="{FF2B5EF4-FFF2-40B4-BE49-F238E27FC236}">
              <a16:creationId xmlns:a16="http://schemas.microsoft.com/office/drawing/2014/main" id="{00000000-0008-0000-0F00-000012000000}"/>
            </a:ext>
          </a:extLst>
        </xdr:cNvPr>
        <xdr:cNvSpPr>
          <a:spLocks noChangeArrowheads="1"/>
        </xdr:cNvSpPr>
      </xdr:nvSpPr>
      <xdr:spPr bwMode="auto">
        <a:xfrm rot="300000">
          <a:off x="3190875" y="13392150"/>
          <a:ext cx="457200" cy="38100"/>
        </a:xfrm>
        <a:prstGeom prst="notchedRightArrow">
          <a:avLst>
            <a:gd name="adj1" fmla="val 50000"/>
            <a:gd name="adj2" fmla="val 43056"/>
          </a:avLst>
        </a:prstGeom>
        <a:solidFill>
          <a:srgbClr val="FF0000"/>
        </a:solidFill>
        <a:ln w="6350" algn="ctr">
          <a:solidFill>
            <a:srgbClr val="000000"/>
          </a:solidFill>
          <a:miter lim="800000"/>
          <a:headEnd/>
          <a:tailEnd/>
        </a:ln>
      </xdr:spPr>
    </xdr:sp>
    <xdr:clientData/>
  </xdr:twoCellAnchor>
  <xdr:twoCellAnchor>
    <xdr:from>
      <xdr:col>2</xdr:col>
      <xdr:colOff>95250</xdr:colOff>
      <xdr:row>9</xdr:row>
      <xdr:rowOff>66675</xdr:rowOff>
    </xdr:from>
    <xdr:to>
      <xdr:col>3</xdr:col>
      <xdr:colOff>285750</xdr:colOff>
      <xdr:row>9</xdr:row>
      <xdr:rowOff>104775</xdr:rowOff>
    </xdr:to>
    <xdr:sp macro="" textlink="">
      <xdr:nvSpPr>
        <xdr:cNvPr id="19" name="Eingekerbter Pfeil nach rechts 216">
          <a:extLst>
            <a:ext uri="{FF2B5EF4-FFF2-40B4-BE49-F238E27FC236}">
              <a16:creationId xmlns:a16="http://schemas.microsoft.com/office/drawing/2014/main" id="{00000000-0008-0000-0F00-000013000000}"/>
            </a:ext>
          </a:extLst>
        </xdr:cNvPr>
        <xdr:cNvSpPr>
          <a:spLocks noChangeArrowheads="1"/>
        </xdr:cNvSpPr>
      </xdr:nvSpPr>
      <xdr:spPr bwMode="auto">
        <a:xfrm>
          <a:off x="3238500" y="1314450"/>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11</xdr:row>
      <xdr:rowOff>66675</xdr:rowOff>
    </xdr:from>
    <xdr:to>
      <xdr:col>3</xdr:col>
      <xdr:colOff>285750</xdr:colOff>
      <xdr:row>11</xdr:row>
      <xdr:rowOff>104775</xdr:rowOff>
    </xdr:to>
    <xdr:sp macro="" textlink="">
      <xdr:nvSpPr>
        <xdr:cNvPr id="20" name="Eingekerbter Pfeil nach rechts 217">
          <a:extLst>
            <a:ext uri="{FF2B5EF4-FFF2-40B4-BE49-F238E27FC236}">
              <a16:creationId xmlns:a16="http://schemas.microsoft.com/office/drawing/2014/main" id="{00000000-0008-0000-0F00-000014000000}"/>
            </a:ext>
          </a:extLst>
        </xdr:cNvPr>
        <xdr:cNvSpPr>
          <a:spLocks noChangeArrowheads="1"/>
        </xdr:cNvSpPr>
      </xdr:nvSpPr>
      <xdr:spPr bwMode="auto">
        <a:xfrm>
          <a:off x="3238500" y="1638300"/>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13</xdr:row>
      <xdr:rowOff>76200</xdr:rowOff>
    </xdr:from>
    <xdr:to>
      <xdr:col>3</xdr:col>
      <xdr:colOff>285750</xdr:colOff>
      <xdr:row>13</xdr:row>
      <xdr:rowOff>104775</xdr:rowOff>
    </xdr:to>
    <xdr:sp macro="" textlink="">
      <xdr:nvSpPr>
        <xdr:cNvPr id="21" name="Eingekerbter Pfeil nach rechts 218">
          <a:extLst>
            <a:ext uri="{FF2B5EF4-FFF2-40B4-BE49-F238E27FC236}">
              <a16:creationId xmlns:a16="http://schemas.microsoft.com/office/drawing/2014/main" id="{00000000-0008-0000-0F00-000015000000}"/>
            </a:ext>
          </a:extLst>
        </xdr:cNvPr>
        <xdr:cNvSpPr>
          <a:spLocks/>
        </xdr:cNvSpPr>
      </xdr:nvSpPr>
      <xdr:spPr bwMode="auto">
        <a:xfrm>
          <a:off x="3238500" y="1866900"/>
          <a:ext cx="342900" cy="28575"/>
        </a:xfrm>
        <a:prstGeom prst="notchedRightArrow">
          <a:avLst>
            <a:gd name="adj1" fmla="val 50000"/>
            <a:gd name="adj2" fmla="val 54778"/>
          </a:avLst>
        </a:prstGeom>
        <a:solidFill>
          <a:srgbClr val="FF0000"/>
        </a:solidFill>
        <a:ln w="6350" algn="ctr">
          <a:solidFill>
            <a:srgbClr val="000000"/>
          </a:solidFill>
          <a:miter lim="800000"/>
          <a:headEnd/>
          <a:tailEnd/>
        </a:ln>
      </xdr:spPr>
    </xdr:sp>
    <xdr:clientData/>
  </xdr:twoCellAnchor>
  <xdr:twoCellAnchor>
    <xdr:from>
      <xdr:col>2</xdr:col>
      <xdr:colOff>95250</xdr:colOff>
      <xdr:row>15</xdr:row>
      <xdr:rowOff>66675</xdr:rowOff>
    </xdr:from>
    <xdr:to>
      <xdr:col>3</xdr:col>
      <xdr:colOff>285750</xdr:colOff>
      <xdr:row>15</xdr:row>
      <xdr:rowOff>95250</xdr:rowOff>
    </xdr:to>
    <xdr:sp macro="" textlink="">
      <xdr:nvSpPr>
        <xdr:cNvPr id="22" name="Eingekerbter Pfeil nach rechts 219">
          <a:extLst>
            <a:ext uri="{FF2B5EF4-FFF2-40B4-BE49-F238E27FC236}">
              <a16:creationId xmlns:a16="http://schemas.microsoft.com/office/drawing/2014/main" id="{00000000-0008-0000-0F00-000016000000}"/>
            </a:ext>
          </a:extLst>
        </xdr:cNvPr>
        <xdr:cNvSpPr>
          <a:spLocks noChangeArrowheads="1"/>
        </xdr:cNvSpPr>
      </xdr:nvSpPr>
      <xdr:spPr bwMode="auto">
        <a:xfrm>
          <a:off x="3238500" y="2181225"/>
          <a:ext cx="342900" cy="28575"/>
        </a:xfrm>
        <a:prstGeom prst="notchedRightArrow">
          <a:avLst>
            <a:gd name="adj1" fmla="val 50000"/>
            <a:gd name="adj2" fmla="val 54778"/>
          </a:avLst>
        </a:prstGeom>
        <a:solidFill>
          <a:srgbClr val="FF0000"/>
        </a:solidFill>
        <a:ln w="6350" algn="ctr">
          <a:solidFill>
            <a:srgbClr val="000000"/>
          </a:solidFill>
          <a:miter lim="800000"/>
          <a:headEnd/>
          <a:tailEnd/>
        </a:ln>
      </xdr:spPr>
    </xdr:sp>
    <xdr:clientData/>
  </xdr:twoCellAnchor>
  <xdr:twoCellAnchor>
    <xdr:from>
      <xdr:col>2</xdr:col>
      <xdr:colOff>47625</xdr:colOff>
      <xdr:row>18</xdr:row>
      <xdr:rowOff>28575</xdr:rowOff>
    </xdr:from>
    <xdr:to>
      <xdr:col>3</xdr:col>
      <xdr:colOff>352425</xdr:colOff>
      <xdr:row>18</xdr:row>
      <xdr:rowOff>66675</xdr:rowOff>
    </xdr:to>
    <xdr:sp macro="" textlink="">
      <xdr:nvSpPr>
        <xdr:cNvPr id="23" name="Eingekerbter Pfeil nach rechts 220">
          <a:extLst>
            <a:ext uri="{FF2B5EF4-FFF2-40B4-BE49-F238E27FC236}">
              <a16:creationId xmlns:a16="http://schemas.microsoft.com/office/drawing/2014/main" id="{00000000-0008-0000-0F00-000017000000}"/>
            </a:ext>
          </a:extLst>
        </xdr:cNvPr>
        <xdr:cNvSpPr>
          <a:spLocks noChangeArrowheads="1"/>
        </xdr:cNvSpPr>
      </xdr:nvSpPr>
      <xdr:spPr bwMode="auto">
        <a:xfrm rot="300000">
          <a:off x="3190875" y="2524125"/>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95250</xdr:colOff>
      <xdr:row>20</xdr:row>
      <xdr:rowOff>57150</xdr:rowOff>
    </xdr:from>
    <xdr:to>
      <xdr:col>3</xdr:col>
      <xdr:colOff>285750</xdr:colOff>
      <xdr:row>20</xdr:row>
      <xdr:rowOff>95250</xdr:rowOff>
    </xdr:to>
    <xdr:sp macro="" textlink="">
      <xdr:nvSpPr>
        <xdr:cNvPr id="24" name="Eingekerbter Pfeil nach rechts 221">
          <a:extLst>
            <a:ext uri="{FF2B5EF4-FFF2-40B4-BE49-F238E27FC236}">
              <a16:creationId xmlns:a16="http://schemas.microsoft.com/office/drawing/2014/main" id="{00000000-0008-0000-0F00-000018000000}"/>
            </a:ext>
          </a:extLst>
        </xdr:cNvPr>
        <xdr:cNvSpPr>
          <a:spLocks noChangeArrowheads="1"/>
        </xdr:cNvSpPr>
      </xdr:nvSpPr>
      <xdr:spPr bwMode="auto">
        <a:xfrm>
          <a:off x="3238500" y="2771775"/>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29</xdr:row>
      <xdr:rowOff>57150</xdr:rowOff>
    </xdr:from>
    <xdr:to>
      <xdr:col>3</xdr:col>
      <xdr:colOff>285750</xdr:colOff>
      <xdr:row>29</xdr:row>
      <xdr:rowOff>95250</xdr:rowOff>
    </xdr:to>
    <xdr:sp macro="" textlink="">
      <xdr:nvSpPr>
        <xdr:cNvPr id="25" name="Eingekerbter Pfeil nach rechts 222">
          <a:extLst>
            <a:ext uri="{FF2B5EF4-FFF2-40B4-BE49-F238E27FC236}">
              <a16:creationId xmlns:a16="http://schemas.microsoft.com/office/drawing/2014/main" id="{00000000-0008-0000-0F00-000019000000}"/>
            </a:ext>
          </a:extLst>
        </xdr:cNvPr>
        <xdr:cNvSpPr>
          <a:spLocks noChangeArrowheads="1"/>
        </xdr:cNvSpPr>
      </xdr:nvSpPr>
      <xdr:spPr bwMode="auto">
        <a:xfrm>
          <a:off x="3238500" y="4010025"/>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1</xdr:col>
      <xdr:colOff>2751244</xdr:colOff>
      <xdr:row>38</xdr:row>
      <xdr:rowOff>53582</xdr:rowOff>
    </xdr:from>
    <xdr:to>
      <xdr:col>4</xdr:col>
      <xdr:colOff>46144</xdr:colOff>
      <xdr:row>38</xdr:row>
      <xdr:rowOff>82382</xdr:rowOff>
    </xdr:to>
    <xdr:sp macro="" textlink="">
      <xdr:nvSpPr>
        <xdr:cNvPr id="26" name="Eingekerbter Pfeil nach rechts 223">
          <a:extLst>
            <a:ext uri="{FF2B5EF4-FFF2-40B4-BE49-F238E27FC236}">
              <a16:creationId xmlns:a16="http://schemas.microsoft.com/office/drawing/2014/main" id="{00000000-0008-0000-0F00-00001A000000}"/>
            </a:ext>
          </a:extLst>
        </xdr:cNvPr>
        <xdr:cNvSpPr>
          <a:spLocks noChangeArrowheads="1"/>
        </xdr:cNvSpPr>
      </xdr:nvSpPr>
      <xdr:spPr bwMode="auto">
        <a:xfrm rot="19377272">
          <a:off x="3036994" y="5359007"/>
          <a:ext cx="762000" cy="28800"/>
        </a:xfrm>
        <a:prstGeom prst="notchedRightArrow">
          <a:avLst>
            <a:gd name="adj1" fmla="val 50000"/>
            <a:gd name="adj2" fmla="val 51606"/>
          </a:avLst>
        </a:prstGeom>
        <a:solidFill>
          <a:srgbClr val="FF0000"/>
        </a:solidFill>
        <a:ln w="6350" algn="ctr">
          <a:solidFill>
            <a:srgbClr val="000000"/>
          </a:solidFill>
          <a:miter lim="800000"/>
          <a:headEnd/>
          <a:tailEnd/>
        </a:ln>
      </xdr:spPr>
    </xdr:sp>
    <xdr:clientData/>
  </xdr:twoCellAnchor>
  <xdr:twoCellAnchor>
    <xdr:from>
      <xdr:col>2</xdr:col>
      <xdr:colOff>47625</xdr:colOff>
      <xdr:row>41</xdr:row>
      <xdr:rowOff>9525</xdr:rowOff>
    </xdr:from>
    <xdr:to>
      <xdr:col>3</xdr:col>
      <xdr:colOff>352425</xdr:colOff>
      <xdr:row>41</xdr:row>
      <xdr:rowOff>47625</xdr:rowOff>
    </xdr:to>
    <xdr:sp macro="" textlink="">
      <xdr:nvSpPr>
        <xdr:cNvPr id="27" name="Eingekerbter Pfeil nach rechts 224">
          <a:extLst>
            <a:ext uri="{FF2B5EF4-FFF2-40B4-BE49-F238E27FC236}">
              <a16:creationId xmlns:a16="http://schemas.microsoft.com/office/drawing/2014/main" id="{00000000-0008-0000-0F00-00001B000000}"/>
            </a:ext>
          </a:extLst>
        </xdr:cNvPr>
        <xdr:cNvSpPr>
          <a:spLocks noChangeArrowheads="1"/>
        </xdr:cNvSpPr>
      </xdr:nvSpPr>
      <xdr:spPr bwMode="auto">
        <a:xfrm rot="-240000">
          <a:off x="3190875" y="5800725"/>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42</xdr:row>
      <xdr:rowOff>123825</xdr:rowOff>
    </xdr:from>
    <xdr:to>
      <xdr:col>3</xdr:col>
      <xdr:colOff>361950</xdr:colOff>
      <xdr:row>42</xdr:row>
      <xdr:rowOff>161925</xdr:rowOff>
    </xdr:to>
    <xdr:sp macro="" textlink="">
      <xdr:nvSpPr>
        <xdr:cNvPr id="28" name="Eingekerbter Pfeil nach rechts 225">
          <a:extLst>
            <a:ext uri="{FF2B5EF4-FFF2-40B4-BE49-F238E27FC236}">
              <a16:creationId xmlns:a16="http://schemas.microsoft.com/office/drawing/2014/main" id="{00000000-0008-0000-0F00-00001C000000}"/>
            </a:ext>
          </a:extLst>
        </xdr:cNvPr>
        <xdr:cNvSpPr>
          <a:spLocks noChangeArrowheads="1"/>
        </xdr:cNvSpPr>
      </xdr:nvSpPr>
      <xdr:spPr bwMode="auto">
        <a:xfrm rot="1080000">
          <a:off x="3190875" y="6076950"/>
          <a:ext cx="466725" cy="38100"/>
        </a:xfrm>
        <a:prstGeom prst="notchedRightArrow">
          <a:avLst>
            <a:gd name="adj1" fmla="val 50000"/>
            <a:gd name="adj2" fmla="val 42365"/>
          </a:avLst>
        </a:prstGeom>
        <a:solidFill>
          <a:srgbClr val="FF0000"/>
        </a:solidFill>
        <a:ln w="6350" algn="ctr">
          <a:solidFill>
            <a:srgbClr val="000000"/>
          </a:solidFill>
          <a:miter lim="800000"/>
          <a:headEnd/>
          <a:tailEnd/>
        </a:ln>
      </xdr:spPr>
    </xdr:sp>
    <xdr:clientData/>
  </xdr:twoCellAnchor>
  <xdr:twoCellAnchor>
    <xdr:from>
      <xdr:col>2</xdr:col>
      <xdr:colOff>57150</xdr:colOff>
      <xdr:row>42</xdr:row>
      <xdr:rowOff>9525</xdr:rowOff>
    </xdr:from>
    <xdr:to>
      <xdr:col>3</xdr:col>
      <xdr:colOff>352425</xdr:colOff>
      <xdr:row>42</xdr:row>
      <xdr:rowOff>47625</xdr:rowOff>
    </xdr:to>
    <xdr:sp macro="" textlink="">
      <xdr:nvSpPr>
        <xdr:cNvPr id="29" name="Eingekerbter Pfeil nach rechts 226">
          <a:extLst>
            <a:ext uri="{FF2B5EF4-FFF2-40B4-BE49-F238E27FC236}">
              <a16:creationId xmlns:a16="http://schemas.microsoft.com/office/drawing/2014/main" id="{00000000-0008-0000-0F00-00001D000000}"/>
            </a:ext>
          </a:extLst>
        </xdr:cNvPr>
        <xdr:cNvSpPr>
          <a:spLocks noChangeArrowheads="1"/>
        </xdr:cNvSpPr>
      </xdr:nvSpPr>
      <xdr:spPr bwMode="auto">
        <a:xfrm rot="420000">
          <a:off x="3200400" y="5962650"/>
          <a:ext cx="447675" cy="38100"/>
        </a:xfrm>
        <a:prstGeom prst="notchedRightArrow">
          <a:avLst>
            <a:gd name="adj1" fmla="val 50000"/>
            <a:gd name="adj2" fmla="val 42104"/>
          </a:avLst>
        </a:prstGeom>
        <a:solidFill>
          <a:srgbClr val="FF0000"/>
        </a:solidFill>
        <a:ln w="6350" algn="ctr">
          <a:solidFill>
            <a:srgbClr val="000000"/>
          </a:solidFill>
          <a:miter lim="800000"/>
          <a:headEnd/>
          <a:tailEnd/>
        </a:ln>
      </xdr:spPr>
    </xdr:sp>
    <xdr:clientData/>
  </xdr:twoCellAnchor>
  <xdr:twoCellAnchor>
    <xdr:from>
      <xdr:col>2</xdr:col>
      <xdr:colOff>28575</xdr:colOff>
      <xdr:row>43</xdr:row>
      <xdr:rowOff>47625</xdr:rowOff>
    </xdr:from>
    <xdr:to>
      <xdr:col>3</xdr:col>
      <xdr:colOff>381000</xdr:colOff>
      <xdr:row>43</xdr:row>
      <xdr:rowOff>85725</xdr:rowOff>
    </xdr:to>
    <xdr:sp macro="" textlink="">
      <xdr:nvSpPr>
        <xdr:cNvPr id="30" name="Eingekerbter Pfeil nach rechts 227">
          <a:extLst>
            <a:ext uri="{FF2B5EF4-FFF2-40B4-BE49-F238E27FC236}">
              <a16:creationId xmlns:a16="http://schemas.microsoft.com/office/drawing/2014/main" id="{00000000-0008-0000-0F00-00001E000000}"/>
            </a:ext>
          </a:extLst>
        </xdr:cNvPr>
        <xdr:cNvSpPr>
          <a:spLocks noChangeArrowheads="1"/>
        </xdr:cNvSpPr>
      </xdr:nvSpPr>
      <xdr:spPr bwMode="auto">
        <a:xfrm rot="1740000">
          <a:off x="3171825" y="6162675"/>
          <a:ext cx="504825" cy="38100"/>
        </a:xfrm>
        <a:prstGeom prst="notchedRightArrow">
          <a:avLst>
            <a:gd name="adj1" fmla="val 50000"/>
            <a:gd name="adj2" fmla="val 42572"/>
          </a:avLst>
        </a:prstGeom>
        <a:solidFill>
          <a:srgbClr val="FF0000"/>
        </a:solidFill>
        <a:ln w="6350" algn="ctr">
          <a:solidFill>
            <a:srgbClr val="000000"/>
          </a:solidFill>
          <a:miter lim="800000"/>
          <a:headEnd/>
          <a:tailEnd/>
        </a:ln>
      </xdr:spPr>
    </xdr:sp>
    <xdr:clientData/>
  </xdr:twoCellAnchor>
  <xdr:twoCellAnchor>
    <xdr:from>
      <xdr:col>1</xdr:col>
      <xdr:colOff>2719709</xdr:colOff>
      <xdr:row>44</xdr:row>
      <xdr:rowOff>75300</xdr:rowOff>
    </xdr:from>
    <xdr:to>
      <xdr:col>4</xdr:col>
      <xdr:colOff>24134</xdr:colOff>
      <xdr:row>44</xdr:row>
      <xdr:rowOff>104100</xdr:rowOff>
    </xdr:to>
    <xdr:sp macro="" textlink="">
      <xdr:nvSpPr>
        <xdr:cNvPr id="31" name="Eingekerbter Pfeil nach rechts 228">
          <a:extLst>
            <a:ext uri="{FF2B5EF4-FFF2-40B4-BE49-F238E27FC236}">
              <a16:creationId xmlns:a16="http://schemas.microsoft.com/office/drawing/2014/main" id="{00000000-0008-0000-0F00-00001F000000}"/>
            </a:ext>
          </a:extLst>
        </xdr:cNvPr>
        <xdr:cNvSpPr>
          <a:spLocks noChangeArrowheads="1"/>
        </xdr:cNvSpPr>
      </xdr:nvSpPr>
      <xdr:spPr bwMode="auto">
        <a:xfrm rot="2567144">
          <a:off x="3005459" y="6352275"/>
          <a:ext cx="771525" cy="28800"/>
        </a:xfrm>
        <a:prstGeom prst="notchedRightArrow">
          <a:avLst>
            <a:gd name="adj1" fmla="val 50000"/>
            <a:gd name="adj2" fmla="val 49167"/>
          </a:avLst>
        </a:prstGeom>
        <a:solidFill>
          <a:srgbClr val="FF0000"/>
        </a:solidFill>
        <a:ln w="6350" algn="ctr">
          <a:solidFill>
            <a:srgbClr val="000000"/>
          </a:solidFill>
          <a:miter lim="800000"/>
          <a:headEnd/>
          <a:tailEnd/>
        </a:ln>
      </xdr:spPr>
    </xdr:sp>
    <xdr:clientData/>
  </xdr:twoCellAnchor>
  <xdr:twoCellAnchor>
    <xdr:from>
      <xdr:col>2</xdr:col>
      <xdr:colOff>47625</xdr:colOff>
      <xdr:row>40</xdr:row>
      <xdr:rowOff>19050</xdr:rowOff>
    </xdr:from>
    <xdr:to>
      <xdr:col>3</xdr:col>
      <xdr:colOff>361950</xdr:colOff>
      <xdr:row>40</xdr:row>
      <xdr:rowOff>57150</xdr:rowOff>
    </xdr:to>
    <xdr:sp macro="" textlink="">
      <xdr:nvSpPr>
        <xdr:cNvPr id="32" name="Eingekerbter Pfeil nach rechts 229">
          <a:extLst>
            <a:ext uri="{FF2B5EF4-FFF2-40B4-BE49-F238E27FC236}">
              <a16:creationId xmlns:a16="http://schemas.microsoft.com/office/drawing/2014/main" id="{00000000-0008-0000-0F00-000020000000}"/>
            </a:ext>
          </a:extLst>
        </xdr:cNvPr>
        <xdr:cNvSpPr>
          <a:spLocks noChangeArrowheads="1"/>
        </xdr:cNvSpPr>
      </xdr:nvSpPr>
      <xdr:spPr bwMode="auto">
        <a:xfrm rot="-900000">
          <a:off x="3190875" y="5648325"/>
          <a:ext cx="466725" cy="38100"/>
        </a:xfrm>
        <a:prstGeom prst="notchedRightArrow">
          <a:avLst>
            <a:gd name="adj1" fmla="val 50000"/>
            <a:gd name="adj2" fmla="val 42818"/>
          </a:avLst>
        </a:prstGeom>
        <a:solidFill>
          <a:srgbClr val="FF0000"/>
        </a:solidFill>
        <a:ln w="6350" algn="ctr">
          <a:solidFill>
            <a:srgbClr val="000000"/>
          </a:solidFill>
          <a:miter lim="800000"/>
          <a:headEnd/>
          <a:tailEnd/>
        </a:ln>
      </xdr:spPr>
    </xdr:sp>
    <xdr:clientData/>
  </xdr:twoCellAnchor>
  <xdr:twoCellAnchor>
    <xdr:from>
      <xdr:col>2</xdr:col>
      <xdr:colOff>9525</xdr:colOff>
      <xdr:row>21</xdr:row>
      <xdr:rowOff>9525</xdr:rowOff>
    </xdr:from>
    <xdr:to>
      <xdr:col>2</xdr:col>
      <xdr:colOff>85725</xdr:colOff>
      <xdr:row>23</xdr:row>
      <xdr:rowOff>152400</xdr:rowOff>
    </xdr:to>
    <xdr:sp macro="" textlink="">
      <xdr:nvSpPr>
        <xdr:cNvPr id="33" name="Geschweifte Klammer rechts 230">
          <a:extLst>
            <a:ext uri="{FF2B5EF4-FFF2-40B4-BE49-F238E27FC236}">
              <a16:creationId xmlns:a16="http://schemas.microsoft.com/office/drawing/2014/main" id="{00000000-0008-0000-0F00-000021000000}"/>
            </a:ext>
          </a:extLst>
        </xdr:cNvPr>
        <xdr:cNvSpPr>
          <a:spLocks/>
        </xdr:cNvSpPr>
      </xdr:nvSpPr>
      <xdr:spPr bwMode="auto">
        <a:xfrm>
          <a:off x="3152775" y="2886075"/>
          <a:ext cx="76200" cy="466725"/>
        </a:xfrm>
        <a:prstGeom prst="rightBrace">
          <a:avLst>
            <a:gd name="adj1" fmla="val 7883"/>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57150</xdr:colOff>
      <xdr:row>91</xdr:row>
      <xdr:rowOff>28575</xdr:rowOff>
    </xdr:from>
    <xdr:to>
      <xdr:col>3</xdr:col>
      <xdr:colOff>352425</xdr:colOff>
      <xdr:row>91</xdr:row>
      <xdr:rowOff>66675</xdr:rowOff>
    </xdr:to>
    <xdr:sp macro="" textlink="">
      <xdr:nvSpPr>
        <xdr:cNvPr id="34" name="Eingekerbter Pfeil nach rechts 231">
          <a:extLst>
            <a:ext uri="{FF2B5EF4-FFF2-40B4-BE49-F238E27FC236}">
              <a16:creationId xmlns:a16="http://schemas.microsoft.com/office/drawing/2014/main" id="{00000000-0008-0000-0F00-000022000000}"/>
            </a:ext>
          </a:extLst>
        </xdr:cNvPr>
        <xdr:cNvSpPr>
          <a:spLocks noChangeArrowheads="1"/>
        </xdr:cNvSpPr>
      </xdr:nvSpPr>
      <xdr:spPr bwMode="auto">
        <a:xfrm rot="300000">
          <a:off x="3200400" y="13011150"/>
          <a:ext cx="447675" cy="38100"/>
        </a:xfrm>
        <a:prstGeom prst="notchedRightArrow">
          <a:avLst>
            <a:gd name="adj1" fmla="val 50000"/>
            <a:gd name="adj2" fmla="val 42159"/>
          </a:avLst>
        </a:prstGeom>
        <a:solidFill>
          <a:srgbClr val="FF0000"/>
        </a:solidFill>
        <a:ln w="6350" algn="ctr">
          <a:solidFill>
            <a:srgbClr val="000000"/>
          </a:solidFill>
          <a:miter lim="800000"/>
          <a:headEnd/>
          <a:tailEnd/>
        </a:ln>
      </xdr:spPr>
    </xdr:sp>
    <xdr:clientData/>
  </xdr:twoCellAnchor>
  <xdr:twoCellAnchor>
    <xdr:from>
      <xdr:col>2</xdr:col>
      <xdr:colOff>47625</xdr:colOff>
      <xdr:row>93</xdr:row>
      <xdr:rowOff>104775</xdr:rowOff>
    </xdr:from>
    <xdr:to>
      <xdr:col>3</xdr:col>
      <xdr:colOff>352425</xdr:colOff>
      <xdr:row>93</xdr:row>
      <xdr:rowOff>133350</xdr:rowOff>
    </xdr:to>
    <xdr:sp macro="" textlink="">
      <xdr:nvSpPr>
        <xdr:cNvPr id="35" name="Eingekerbter Pfeil nach rechts 232">
          <a:extLst>
            <a:ext uri="{FF2B5EF4-FFF2-40B4-BE49-F238E27FC236}">
              <a16:creationId xmlns:a16="http://schemas.microsoft.com/office/drawing/2014/main" id="{00000000-0008-0000-0F00-000023000000}"/>
            </a:ext>
          </a:extLst>
        </xdr:cNvPr>
        <xdr:cNvSpPr>
          <a:spLocks noChangeArrowheads="1"/>
        </xdr:cNvSpPr>
      </xdr:nvSpPr>
      <xdr:spPr bwMode="auto">
        <a:xfrm rot="-300000">
          <a:off x="3190875" y="13306425"/>
          <a:ext cx="457200" cy="28575"/>
        </a:xfrm>
        <a:prstGeom prst="notchedRightArrow">
          <a:avLst>
            <a:gd name="adj1" fmla="val 50000"/>
            <a:gd name="adj2" fmla="val 57407"/>
          </a:avLst>
        </a:prstGeom>
        <a:solidFill>
          <a:srgbClr val="FF0000"/>
        </a:solidFill>
        <a:ln w="6350" algn="ctr">
          <a:solidFill>
            <a:srgbClr val="000000"/>
          </a:solidFill>
          <a:miter lim="800000"/>
          <a:headEnd/>
          <a:tailEnd/>
        </a:ln>
      </xdr:spPr>
    </xdr:sp>
    <xdr:clientData/>
  </xdr:twoCellAnchor>
  <xdr:twoCellAnchor>
    <xdr:from>
      <xdr:col>2</xdr:col>
      <xdr:colOff>57150</xdr:colOff>
      <xdr:row>84</xdr:row>
      <xdr:rowOff>104775</xdr:rowOff>
    </xdr:from>
    <xdr:to>
      <xdr:col>3</xdr:col>
      <xdr:colOff>352425</xdr:colOff>
      <xdr:row>84</xdr:row>
      <xdr:rowOff>133350</xdr:rowOff>
    </xdr:to>
    <xdr:sp macro="" textlink="">
      <xdr:nvSpPr>
        <xdr:cNvPr id="36" name="Eingekerbter Pfeil nach rechts 233">
          <a:extLst>
            <a:ext uri="{FF2B5EF4-FFF2-40B4-BE49-F238E27FC236}">
              <a16:creationId xmlns:a16="http://schemas.microsoft.com/office/drawing/2014/main" id="{00000000-0008-0000-0F00-000024000000}"/>
            </a:ext>
          </a:extLst>
        </xdr:cNvPr>
        <xdr:cNvSpPr>
          <a:spLocks noChangeArrowheads="1"/>
        </xdr:cNvSpPr>
      </xdr:nvSpPr>
      <xdr:spPr bwMode="auto">
        <a:xfrm rot="-300000">
          <a:off x="3200400" y="12163425"/>
          <a:ext cx="447675" cy="28575"/>
        </a:xfrm>
        <a:prstGeom prst="notchedRightArrow">
          <a:avLst>
            <a:gd name="adj1" fmla="val 50000"/>
            <a:gd name="adj2" fmla="val 56574"/>
          </a:avLst>
        </a:prstGeom>
        <a:solidFill>
          <a:srgbClr val="FF0000"/>
        </a:solidFill>
        <a:ln w="6350" algn="ctr">
          <a:solidFill>
            <a:srgbClr val="000000"/>
          </a:solidFill>
          <a:miter lim="800000"/>
          <a:headEnd/>
          <a:tailEnd/>
        </a:ln>
      </xdr:spPr>
    </xdr:sp>
    <xdr:clientData/>
  </xdr:twoCellAnchor>
  <xdr:twoCellAnchor>
    <xdr:from>
      <xdr:col>2</xdr:col>
      <xdr:colOff>57150</xdr:colOff>
      <xdr:row>85</xdr:row>
      <xdr:rowOff>38100</xdr:rowOff>
    </xdr:from>
    <xdr:to>
      <xdr:col>3</xdr:col>
      <xdr:colOff>352425</xdr:colOff>
      <xdr:row>85</xdr:row>
      <xdr:rowOff>76200</xdr:rowOff>
    </xdr:to>
    <xdr:sp macro="" textlink="">
      <xdr:nvSpPr>
        <xdr:cNvPr id="37" name="Eingekerbter Pfeil nach rechts 234">
          <a:extLst>
            <a:ext uri="{FF2B5EF4-FFF2-40B4-BE49-F238E27FC236}">
              <a16:creationId xmlns:a16="http://schemas.microsoft.com/office/drawing/2014/main" id="{00000000-0008-0000-0F00-000025000000}"/>
            </a:ext>
          </a:extLst>
        </xdr:cNvPr>
        <xdr:cNvSpPr>
          <a:spLocks noChangeArrowheads="1"/>
        </xdr:cNvSpPr>
      </xdr:nvSpPr>
      <xdr:spPr bwMode="auto">
        <a:xfrm rot="300000">
          <a:off x="3200400" y="12258675"/>
          <a:ext cx="447675" cy="38100"/>
        </a:xfrm>
        <a:prstGeom prst="notchedRightArrow">
          <a:avLst>
            <a:gd name="adj1" fmla="val 50000"/>
            <a:gd name="adj2" fmla="val 42431"/>
          </a:avLst>
        </a:prstGeom>
        <a:solidFill>
          <a:srgbClr val="FF0000"/>
        </a:solidFill>
        <a:ln w="6350" algn="ctr">
          <a:solidFill>
            <a:srgbClr val="000000"/>
          </a:solidFill>
          <a:miter lim="800000"/>
          <a:headEnd/>
          <a:tailEnd/>
        </a:ln>
      </xdr:spPr>
    </xdr:sp>
    <xdr:clientData/>
  </xdr:twoCellAnchor>
  <xdr:twoCellAnchor>
    <xdr:from>
      <xdr:col>2</xdr:col>
      <xdr:colOff>38100</xdr:colOff>
      <xdr:row>84</xdr:row>
      <xdr:rowOff>19050</xdr:rowOff>
    </xdr:from>
    <xdr:to>
      <xdr:col>3</xdr:col>
      <xdr:colOff>361950</xdr:colOff>
      <xdr:row>84</xdr:row>
      <xdr:rowOff>57150</xdr:rowOff>
    </xdr:to>
    <xdr:sp macro="" textlink="">
      <xdr:nvSpPr>
        <xdr:cNvPr id="38" name="Eingekerbter Pfeil nach rechts 235">
          <a:extLst>
            <a:ext uri="{FF2B5EF4-FFF2-40B4-BE49-F238E27FC236}">
              <a16:creationId xmlns:a16="http://schemas.microsoft.com/office/drawing/2014/main" id="{00000000-0008-0000-0F00-000026000000}"/>
            </a:ext>
          </a:extLst>
        </xdr:cNvPr>
        <xdr:cNvSpPr>
          <a:spLocks noChangeArrowheads="1"/>
        </xdr:cNvSpPr>
      </xdr:nvSpPr>
      <xdr:spPr bwMode="auto">
        <a:xfrm rot="-900000">
          <a:off x="3181350" y="12077700"/>
          <a:ext cx="476250" cy="38100"/>
        </a:xfrm>
        <a:prstGeom prst="notchedRightArrow">
          <a:avLst>
            <a:gd name="adj1" fmla="val 50000"/>
            <a:gd name="adj2" fmla="val 43345"/>
          </a:avLst>
        </a:prstGeom>
        <a:solidFill>
          <a:srgbClr val="FF0000"/>
        </a:solidFill>
        <a:ln w="6350" algn="ctr">
          <a:solidFill>
            <a:srgbClr val="000000"/>
          </a:solidFill>
          <a:miter lim="800000"/>
          <a:headEnd/>
          <a:tailEnd/>
        </a:ln>
      </xdr:spPr>
    </xdr:sp>
    <xdr:clientData/>
  </xdr:twoCellAnchor>
  <xdr:twoCellAnchor>
    <xdr:from>
      <xdr:col>2</xdr:col>
      <xdr:colOff>38100</xdr:colOff>
      <xdr:row>85</xdr:row>
      <xdr:rowOff>133350</xdr:rowOff>
    </xdr:from>
    <xdr:to>
      <xdr:col>3</xdr:col>
      <xdr:colOff>361950</xdr:colOff>
      <xdr:row>86</xdr:row>
      <xdr:rowOff>0</xdr:rowOff>
    </xdr:to>
    <xdr:sp macro="" textlink="">
      <xdr:nvSpPr>
        <xdr:cNvPr id="39" name="Eingekerbter Pfeil nach rechts 236">
          <a:extLst>
            <a:ext uri="{FF2B5EF4-FFF2-40B4-BE49-F238E27FC236}">
              <a16:creationId xmlns:a16="http://schemas.microsoft.com/office/drawing/2014/main" id="{00000000-0008-0000-0F00-000027000000}"/>
            </a:ext>
          </a:extLst>
        </xdr:cNvPr>
        <xdr:cNvSpPr>
          <a:spLocks noChangeArrowheads="1"/>
        </xdr:cNvSpPr>
      </xdr:nvSpPr>
      <xdr:spPr bwMode="auto">
        <a:xfrm rot="960000">
          <a:off x="3181350" y="12353925"/>
          <a:ext cx="476250" cy="28575"/>
        </a:xfrm>
        <a:prstGeom prst="notchedRightArrow">
          <a:avLst>
            <a:gd name="adj1" fmla="val 50000"/>
            <a:gd name="adj2" fmla="val 54244"/>
          </a:avLst>
        </a:prstGeom>
        <a:solidFill>
          <a:srgbClr val="FF0000"/>
        </a:solidFill>
        <a:ln w="6350" algn="ctr">
          <a:solidFill>
            <a:srgbClr val="000000"/>
          </a:solidFill>
          <a:miter lim="800000"/>
          <a:headEnd/>
          <a:tailEnd/>
        </a:ln>
      </xdr:spPr>
    </xdr:sp>
    <xdr:clientData/>
  </xdr:twoCellAnchor>
  <xdr:twoCellAnchor>
    <xdr:from>
      <xdr:col>2</xdr:col>
      <xdr:colOff>47625</xdr:colOff>
      <xdr:row>78</xdr:row>
      <xdr:rowOff>95250</xdr:rowOff>
    </xdr:from>
    <xdr:to>
      <xdr:col>3</xdr:col>
      <xdr:colOff>352425</xdr:colOff>
      <xdr:row>78</xdr:row>
      <xdr:rowOff>133350</xdr:rowOff>
    </xdr:to>
    <xdr:sp macro="" textlink="">
      <xdr:nvSpPr>
        <xdr:cNvPr id="40" name="Eingekerbter Pfeil nach rechts 237">
          <a:extLst>
            <a:ext uri="{FF2B5EF4-FFF2-40B4-BE49-F238E27FC236}">
              <a16:creationId xmlns:a16="http://schemas.microsoft.com/office/drawing/2014/main" id="{00000000-0008-0000-0F00-000028000000}"/>
            </a:ext>
          </a:extLst>
        </xdr:cNvPr>
        <xdr:cNvSpPr>
          <a:spLocks noChangeArrowheads="1"/>
        </xdr:cNvSpPr>
      </xdr:nvSpPr>
      <xdr:spPr bwMode="auto">
        <a:xfrm rot="-300000">
          <a:off x="3190875" y="11391900"/>
          <a:ext cx="457200" cy="38100"/>
        </a:xfrm>
        <a:prstGeom prst="notchedRightArrow">
          <a:avLst>
            <a:gd name="adj1" fmla="val 50000"/>
            <a:gd name="adj2" fmla="val 40944"/>
          </a:avLst>
        </a:prstGeom>
        <a:solidFill>
          <a:srgbClr val="FF0000"/>
        </a:solidFill>
        <a:ln w="6350" algn="ctr">
          <a:solidFill>
            <a:srgbClr val="000000"/>
          </a:solidFill>
          <a:miter lim="800000"/>
          <a:headEnd/>
          <a:tailEnd/>
        </a:ln>
      </xdr:spPr>
    </xdr:sp>
    <xdr:clientData/>
  </xdr:twoCellAnchor>
  <xdr:twoCellAnchor>
    <xdr:from>
      <xdr:col>3</xdr:col>
      <xdr:colOff>9525</xdr:colOff>
      <xdr:row>56</xdr:row>
      <xdr:rowOff>139065</xdr:rowOff>
    </xdr:from>
    <xdr:to>
      <xdr:col>3</xdr:col>
      <xdr:colOff>371475</xdr:colOff>
      <xdr:row>57</xdr:row>
      <xdr:rowOff>7620</xdr:rowOff>
    </xdr:to>
    <xdr:sp macro="" textlink="">
      <xdr:nvSpPr>
        <xdr:cNvPr id="41" name="Eingekerbter Pfeil nach rechts 238">
          <a:extLst>
            <a:ext uri="{FF2B5EF4-FFF2-40B4-BE49-F238E27FC236}">
              <a16:creationId xmlns:a16="http://schemas.microsoft.com/office/drawing/2014/main" id="{00000000-0008-0000-0F00-000029000000}"/>
            </a:ext>
          </a:extLst>
        </xdr:cNvPr>
        <xdr:cNvSpPr>
          <a:spLocks noChangeArrowheads="1"/>
        </xdr:cNvSpPr>
      </xdr:nvSpPr>
      <xdr:spPr bwMode="auto">
        <a:xfrm>
          <a:off x="3305175" y="8254365"/>
          <a:ext cx="361950" cy="30480"/>
        </a:xfrm>
        <a:prstGeom prst="notchedRightArrow">
          <a:avLst>
            <a:gd name="adj1" fmla="val 50000"/>
            <a:gd name="adj2" fmla="val 41122"/>
          </a:avLst>
        </a:prstGeom>
        <a:solidFill>
          <a:srgbClr val="FF0000"/>
        </a:solidFill>
        <a:ln w="6350" algn="ctr">
          <a:solidFill>
            <a:srgbClr val="000000"/>
          </a:solidFill>
          <a:miter lim="800000"/>
          <a:headEnd/>
          <a:tailEnd/>
        </a:ln>
      </xdr:spPr>
    </xdr:sp>
    <xdr:clientData/>
  </xdr:twoCellAnchor>
  <xdr:twoCellAnchor>
    <xdr:from>
      <xdr:col>2</xdr:col>
      <xdr:colOff>125730</xdr:colOff>
      <xdr:row>56</xdr:row>
      <xdr:rowOff>34290</xdr:rowOff>
    </xdr:from>
    <xdr:to>
      <xdr:col>3</xdr:col>
      <xdr:colOff>386715</xdr:colOff>
      <xdr:row>56</xdr:row>
      <xdr:rowOff>74295</xdr:rowOff>
    </xdr:to>
    <xdr:sp macro="" textlink="">
      <xdr:nvSpPr>
        <xdr:cNvPr id="42" name="Eingekerbter Pfeil nach rechts 239">
          <a:extLst>
            <a:ext uri="{FF2B5EF4-FFF2-40B4-BE49-F238E27FC236}">
              <a16:creationId xmlns:a16="http://schemas.microsoft.com/office/drawing/2014/main" id="{00000000-0008-0000-0F00-00002A000000}"/>
            </a:ext>
          </a:extLst>
        </xdr:cNvPr>
        <xdr:cNvSpPr>
          <a:spLocks noChangeArrowheads="1"/>
        </xdr:cNvSpPr>
      </xdr:nvSpPr>
      <xdr:spPr bwMode="auto">
        <a:xfrm rot="-780000">
          <a:off x="3268980" y="8149590"/>
          <a:ext cx="413385" cy="40005"/>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3</xdr:col>
      <xdr:colOff>11416</xdr:colOff>
      <xdr:row>57</xdr:row>
      <xdr:rowOff>122586</xdr:rowOff>
    </xdr:from>
    <xdr:to>
      <xdr:col>3</xdr:col>
      <xdr:colOff>407656</xdr:colOff>
      <xdr:row>57</xdr:row>
      <xdr:rowOff>151386</xdr:rowOff>
    </xdr:to>
    <xdr:sp macro="" textlink="">
      <xdr:nvSpPr>
        <xdr:cNvPr id="43" name="Eingekerbter Pfeil nach rechts 240">
          <a:extLst>
            <a:ext uri="{FF2B5EF4-FFF2-40B4-BE49-F238E27FC236}">
              <a16:creationId xmlns:a16="http://schemas.microsoft.com/office/drawing/2014/main" id="{00000000-0008-0000-0F00-00002B000000}"/>
            </a:ext>
          </a:extLst>
        </xdr:cNvPr>
        <xdr:cNvSpPr>
          <a:spLocks noChangeArrowheads="1"/>
        </xdr:cNvSpPr>
      </xdr:nvSpPr>
      <xdr:spPr bwMode="auto">
        <a:xfrm rot="840000">
          <a:off x="3307066" y="8399811"/>
          <a:ext cx="396240" cy="28800"/>
        </a:xfrm>
        <a:prstGeom prst="notchedRightArrow">
          <a:avLst>
            <a:gd name="adj1" fmla="val 50000"/>
            <a:gd name="adj2" fmla="val 42000"/>
          </a:avLst>
        </a:prstGeom>
        <a:solidFill>
          <a:srgbClr val="FF0000"/>
        </a:solidFill>
        <a:ln w="6350" algn="ctr">
          <a:solidFill>
            <a:srgbClr val="000000"/>
          </a:solidFill>
          <a:miter lim="800000"/>
          <a:headEnd/>
          <a:tailEnd/>
        </a:ln>
      </xdr:spPr>
    </xdr:sp>
    <xdr:clientData/>
  </xdr:twoCellAnchor>
  <xdr:twoCellAnchor>
    <xdr:from>
      <xdr:col>2</xdr:col>
      <xdr:colOff>95250</xdr:colOff>
      <xdr:row>58</xdr:row>
      <xdr:rowOff>72390</xdr:rowOff>
    </xdr:from>
    <xdr:to>
      <xdr:col>3</xdr:col>
      <xdr:colOff>363855</xdr:colOff>
      <xdr:row>58</xdr:row>
      <xdr:rowOff>102870</xdr:rowOff>
    </xdr:to>
    <xdr:sp macro="" textlink="">
      <xdr:nvSpPr>
        <xdr:cNvPr id="44" name="Eingekerbter Pfeil nach rechts 241">
          <a:extLst>
            <a:ext uri="{FF2B5EF4-FFF2-40B4-BE49-F238E27FC236}">
              <a16:creationId xmlns:a16="http://schemas.microsoft.com/office/drawing/2014/main" id="{00000000-0008-0000-0F00-00002C000000}"/>
            </a:ext>
          </a:extLst>
        </xdr:cNvPr>
        <xdr:cNvSpPr>
          <a:spLocks noChangeArrowheads="1"/>
        </xdr:cNvSpPr>
      </xdr:nvSpPr>
      <xdr:spPr bwMode="auto">
        <a:xfrm rot="1560000">
          <a:off x="3238500" y="8511540"/>
          <a:ext cx="421005" cy="30480"/>
        </a:xfrm>
        <a:prstGeom prst="notchedRightArrow">
          <a:avLst>
            <a:gd name="adj1" fmla="val 50000"/>
            <a:gd name="adj2" fmla="val 42113"/>
          </a:avLst>
        </a:prstGeom>
        <a:solidFill>
          <a:srgbClr val="FF0000"/>
        </a:solidFill>
        <a:ln w="6350" algn="ctr">
          <a:solidFill>
            <a:srgbClr val="000000"/>
          </a:solidFill>
          <a:miter lim="800000"/>
          <a:headEnd/>
          <a:tailEnd/>
        </a:ln>
      </xdr:spPr>
    </xdr:sp>
    <xdr:clientData/>
  </xdr:twoCellAnchor>
  <xdr:twoCellAnchor>
    <xdr:from>
      <xdr:col>2</xdr:col>
      <xdr:colOff>123825</xdr:colOff>
      <xdr:row>55</xdr:row>
      <xdr:rowOff>72391</xdr:rowOff>
    </xdr:from>
    <xdr:to>
      <xdr:col>3</xdr:col>
      <xdr:colOff>411480</xdr:colOff>
      <xdr:row>55</xdr:row>
      <xdr:rowOff>114301</xdr:rowOff>
    </xdr:to>
    <xdr:sp macro="" textlink="">
      <xdr:nvSpPr>
        <xdr:cNvPr id="45" name="Eingekerbter Pfeil nach rechts 242">
          <a:extLst>
            <a:ext uri="{FF2B5EF4-FFF2-40B4-BE49-F238E27FC236}">
              <a16:creationId xmlns:a16="http://schemas.microsoft.com/office/drawing/2014/main" id="{00000000-0008-0000-0F00-00002D000000}"/>
            </a:ext>
          </a:extLst>
        </xdr:cNvPr>
        <xdr:cNvSpPr>
          <a:spLocks noChangeArrowheads="1"/>
        </xdr:cNvSpPr>
      </xdr:nvSpPr>
      <xdr:spPr bwMode="auto">
        <a:xfrm rot="-1560000">
          <a:off x="3267075" y="8025766"/>
          <a:ext cx="440055" cy="41910"/>
        </a:xfrm>
        <a:prstGeom prst="notchedRightArrow">
          <a:avLst>
            <a:gd name="adj1" fmla="val 50000"/>
            <a:gd name="adj2" fmla="val 42703"/>
          </a:avLst>
        </a:prstGeom>
        <a:solidFill>
          <a:srgbClr val="FF0000"/>
        </a:solidFill>
        <a:ln w="6350" algn="ctr">
          <a:solidFill>
            <a:srgbClr val="000000"/>
          </a:solidFill>
          <a:miter lim="800000"/>
          <a:headEnd/>
          <a:tailEnd/>
        </a:ln>
      </xdr:spPr>
    </xdr:sp>
    <xdr:clientData/>
  </xdr:twoCellAnchor>
  <xdr:twoCellAnchor>
    <xdr:from>
      <xdr:col>3</xdr:col>
      <xdr:colOff>295275</xdr:colOff>
      <xdr:row>35</xdr:row>
      <xdr:rowOff>47625</xdr:rowOff>
    </xdr:from>
    <xdr:to>
      <xdr:col>5</xdr:col>
      <xdr:colOff>85725</xdr:colOff>
      <xdr:row>35</xdr:row>
      <xdr:rowOff>47625</xdr:rowOff>
    </xdr:to>
    <xdr:cxnSp macro="">
      <xdr:nvCxnSpPr>
        <xdr:cNvPr id="46" name="Gerade Verbindung mit Pfeil 243">
          <a:extLst>
            <a:ext uri="{FF2B5EF4-FFF2-40B4-BE49-F238E27FC236}">
              <a16:creationId xmlns:a16="http://schemas.microsoft.com/office/drawing/2014/main" id="{00000000-0008-0000-0F00-00002E000000}"/>
            </a:ext>
          </a:extLst>
        </xdr:cNvPr>
        <xdr:cNvCxnSpPr>
          <a:cxnSpLocks noChangeShapeType="1"/>
        </xdr:cNvCxnSpPr>
      </xdr:nvCxnSpPr>
      <xdr:spPr bwMode="auto">
        <a:xfrm>
          <a:off x="3590925" y="4905375"/>
          <a:ext cx="3219450" cy="0"/>
        </a:xfrm>
        <a:prstGeom prst="straightConnector1">
          <a:avLst/>
        </a:prstGeom>
        <a:noFill/>
        <a:ln w="19050" algn="ctr">
          <a:solidFill>
            <a:srgbClr val="FF0000"/>
          </a:solidFill>
          <a:prstDash val="sysDash"/>
          <a:round/>
          <a:headEnd type="triangle" w="med" len="med"/>
          <a:tailEnd/>
        </a:ln>
        <a:extLst>
          <a:ext uri="{909E8E84-426E-40DD-AFC4-6F175D3DCCD1}">
            <a14:hiddenFill xmlns:a14="http://schemas.microsoft.com/office/drawing/2010/main">
              <a:noFill/>
            </a14:hiddenFill>
          </a:ext>
        </a:extLst>
      </xdr:spPr>
    </xdr:cxnSp>
    <xdr:clientData/>
  </xdr:twoCellAnchor>
  <xdr:twoCellAnchor>
    <xdr:from>
      <xdr:col>4</xdr:col>
      <xdr:colOff>2847975</xdr:colOff>
      <xdr:row>42</xdr:row>
      <xdr:rowOff>3809</xdr:rowOff>
    </xdr:from>
    <xdr:to>
      <xdr:col>4</xdr:col>
      <xdr:colOff>2939415</xdr:colOff>
      <xdr:row>49</xdr:row>
      <xdr:rowOff>4259</xdr:rowOff>
    </xdr:to>
    <xdr:sp macro="" textlink="">
      <xdr:nvSpPr>
        <xdr:cNvPr id="47" name="Geschweifte Klammer rechts 244">
          <a:extLst>
            <a:ext uri="{FF2B5EF4-FFF2-40B4-BE49-F238E27FC236}">
              <a16:creationId xmlns:a16="http://schemas.microsoft.com/office/drawing/2014/main" id="{00000000-0008-0000-0F00-00002F000000}"/>
            </a:ext>
          </a:extLst>
        </xdr:cNvPr>
        <xdr:cNvSpPr>
          <a:spLocks/>
        </xdr:cNvSpPr>
      </xdr:nvSpPr>
      <xdr:spPr bwMode="auto">
        <a:xfrm>
          <a:off x="6600825" y="5956934"/>
          <a:ext cx="91440" cy="1133925"/>
        </a:xfrm>
        <a:prstGeom prst="rightBrace">
          <a:avLst>
            <a:gd name="adj1" fmla="val 7944"/>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93345</xdr:colOff>
      <xdr:row>35</xdr:row>
      <xdr:rowOff>72390</xdr:rowOff>
    </xdr:from>
    <xdr:to>
      <xdr:col>5</xdr:col>
      <xdr:colOff>93345</xdr:colOff>
      <xdr:row>45</xdr:row>
      <xdr:rowOff>69885</xdr:rowOff>
    </xdr:to>
    <xdr:cxnSp macro="">
      <xdr:nvCxnSpPr>
        <xdr:cNvPr id="48" name="Gerade Verbindung 245">
          <a:extLst>
            <a:ext uri="{FF2B5EF4-FFF2-40B4-BE49-F238E27FC236}">
              <a16:creationId xmlns:a16="http://schemas.microsoft.com/office/drawing/2014/main" id="{00000000-0008-0000-0F00-000030000000}"/>
            </a:ext>
          </a:extLst>
        </xdr:cNvPr>
        <xdr:cNvCxnSpPr>
          <a:cxnSpLocks noChangeShapeType="1"/>
        </xdr:cNvCxnSpPr>
      </xdr:nvCxnSpPr>
      <xdr:spPr bwMode="auto">
        <a:xfrm>
          <a:off x="6817995" y="4930140"/>
          <a:ext cx="0" cy="1578645"/>
        </a:xfrm>
        <a:prstGeom prst="line">
          <a:avLst/>
        </a:prstGeom>
        <a:noFill/>
        <a:ln w="19050" algn="ctr">
          <a:solidFill>
            <a:srgbClr val="FF0000"/>
          </a:solidFill>
          <a:prstDash val="sysDash"/>
          <a:round/>
          <a:headEnd/>
          <a:tailEnd/>
        </a:ln>
        <a:extLst>
          <a:ext uri="{909E8E84-426E-40DD-AFC4-6F175D3DCCD1}">
            <a14:hiddenFill xmlns:a14="http://schemas.microsoft.com/office/drawing/2010/main">
              <a:noFill/>
            </a14:hiddenFill>
          </a:ext>
        </a:extLst>
      </xdr:spPr>
    </xdr:cxnSp>
    <xdr:clientData/>
  </xdr:twoCellAnchor>
  <xdr:twoCellAnchor>
    <xdr:from>
      <xdr:col>2</xdr:col>
      <xdr:colOff>19050</xdr:colOff>
      <xdr:row>55</xdr:row>
      <xdr:rowOff>9525</xdr:rowOff>
    </xdr:from>
    <xdr:to>
      <xdr:col>2</xdr:col>
      <xdr:colOff>95250</xdr:colOff>
      <xdr:row>57</xdr:row>
      <xdr:rowOff>153675</xdr:rowOff>
    </xdr:to>
    <xdr:sp macro="" textlink="">
      <xdr:nvSpPr>
        <xdr:cNvPr id="49" name="Geschweifte Klammer rechts 246">
          <a:extLst>
            <a:ext uri="{FF2B5EF4-FFF2-40B4-BE49-F238E27FC236}">
              <a16:creationId xmlns:a16="http://schemas.microsoft.com/office/drawing/2014/main" id="{00000000-0008-0000-0F00-000031000000}"/>
            </a:ext>
          </a:extLst>
        </xdr:cNvPr>
        <xdr:cNvSpPr>
          <a:spLocks/>
        </xdr:cNvSpPr>
      </xdr:nvSpPr>
      <xdr:spPr bwMode="auto">
        <a:xfrm>
          <a:off x="3162300" y="7962900"/>
          <a:ext cx="76200" cy="468000"/>
        </a:xfrm>
        <a:prstGeom prst="rightBrace">
          <a:avLst>
            <a:gd name="adj1" fmla="val 7883"/>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47625</xdr:colOff>
      <xdr:row>69</xdr:row>
      <xdr:rowOff>95250</xdr:rowOff>
    </xdr:from>
    <xdr:to>
      <xdr:col>3</xdr:col>
      <xdr:colOff>352425</xdr:colOff>
      <xdr:row>69</xdr:row>
      <xdr:rowOff>133350</xdr:rowOff>
    </xdr:to>
    <xdr:sp macro="" textlink="">
      <xdr:nvSpPr>
        <xdr:cNvPr id="50" name="Eingekerbter Pfeil nach rechts 247">
          <a:extLst>
            <a:ext uri="{FF2B5EF4-FFF2-40B4-BE49-F238E27FC236}">
              <a16:creationId xmlns:a16="http://schemas.microsoft.com/office/drawing/2014/main" id="{00000000-0008-0000-0F00-000032000000}"/>
            </a:ext>
          </a:extLst>
        </xdr:cNvPr>
        <xdr:cNvSpPr>
          <a:spLocks noChangeArrowheads="1"/>
        </xdr:cNvSpPr>
      </xdr:nvSpPr>
      <xdr:spPr bwMode="auto">
        <a:xfrm rot="-300000">
          <a:off x="3190875" y="10248900"/>
          <a:ext cx="457200" cy="38100"/>
        </a:xfrm>
        <a:prstGeom prst="notchedRightArrow">
          <a:avLst>
            <a:gd name="adj1" fmla="val 50000"/>
            <a:gd name="adj2" fmla="val 42833"/>
          </a:avLst>
        </a:prstGeom>
        <a:solidFill>
          <a:srgbClr val="FF0000"/>
        </a:solidFill>
        <a:ln w="6350" algn="ctr">
          <a:solidFill>
            <a:srgbClr val="000000"/>
          </a:solidFill>
          <a:miter lim="800000"/>
          <a:headEnd/>
          <a:tailEnd/>
        </a:ln>
      </xdr:spPr>
    </xdr:sp>
    <xdr:clientData/>
  </xdr:twoCellAnchor>
  <xdr:twoCellAnchor>
    <xdr:from>
      <xdr:col>2</xdr:col>
      <xdr:colOff>47625</xdr:colOff>
      <xdr:row>70</xdr:row>
      <xdr:rowOff>38100</xdr:rowOff>
    </xdr:from>
    <xdr:to>
      <xdr:col>3</xdr:col>
      <xdr:colOff>352425</xdr:colOff>
      <xdr:row>70</xdr:row>
      <xdr:rowOff>76200</xdr:rowOff>
    </xdr:to>
    <xdr:sp macro="" textlink="">
      <xdr:nvSpPr>
        <xdr:cNvPr id="51" name="Eingekerbter Pfeil nach rechts 248">
          <a:extLst>
            <a:ext uri="{FF2B5EF4-FFF2-40B4-BE49-F238E27FC236}">
              <a16:creationId xmlns:a16="http://schemas.microsoft.com/office/drawing/2014/main" id="{00000000-0008-0000-0F00-000033000000}"/>
            </a:ext>
          </a:extLst>
        </xdr:cNvPr>
        <xdr:cNvSpPr>
          <a:spLocks noChangeArrowheads="1"/>
        </xdr:cNvSpPr>
      </xdr:nvSpPr>
      <xdr:spPr bwMode="auto">
        <a:xfrm rot="300000">
          <a:off x="3190875" y="10353675"/>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73</xdr:row>
      <xdr:rowOff>28575</xdr:rowOff>
    </xdr:from>
    <xdr:to>
      <xdr:col>3</xdr:col>
      <xdr:colOff>352425</xdr:colOff>
      <xdr:row>73</xdr:row>
      <xdr:rowOff>66675</xdr:rowOff>
    </xdr:to>
    <xdr:sp macro="" textlink="">
      <xdr:nvSpPr>
        <xdr:cNvPr id="52" name="Eingekerbter Pfeil nach rechts 249">
          <a:extLst>
            <a:ext uri="{FF2B5EF4-FFF2-40B4-BE49-F238E27FC236}">
              <a16:creationId xmlns:a16="http://schemas.microsoft.com/office/drawing/2014/main" id="{00000000-0008-0000-0F00-000034000000}"/>
            </a:ext>
          </a:extLst>
        </xdr:cNvPr>
        <xdr:cNvSpPr>
          <a:spLocks noChangeArrowheads="1"/>
        </xdr:cNvSpPr>
      </xdr:nvSpPr>
      <xdr:spPr bwMode="auto">
        <a:xfrm rot="300000">
          <a:off x="3190875" y="10725150"/>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76</xdr:row>
      <xdr:rowOff>28575</xdr:rowOff>
    </xdr:from>
    <xdr:to>
      <xdr:col>3</xdr:col>
      <xdr:colOff>352425</xdr:colOff>
      <xdr:row>76</xdr:row>
      <xdr:rowOff>66675</xdr:rowOff>
    </xdr:to>
    <xdr:sp macro="" textlink="">
      <xdr:nvSpPr>
        <xdr:cNvPr id="53" name="Eingekerbter Pfeil nach rechts 250">
          <a:extLst>
            <a:ext uri="{FF2B5EF4-FFF2-40B4-BE49-F238E27FC236}">
              <a16:creationId xmlns:a16="http://schemas.microsoft.com/office/drawing/2014/main" id="{00000000-0008-0000-0F00-000035000000}"/>
            </a:ext>
          </a:extLst>
        </xdr:cNvPr>
        <xdr:cNvSpPr>
          <a:spLocks noChangeArrowheads="1"/>
        </xdr:cNvSpPr>
      </xdr:nvSpPr>
      <xdr:spPr bwMode="auto">
        <a:xfrm rot="300000">
          <a:off x="3190875" y="11106150"/>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72</xdr:row>
      <xdr:rowOff>95250</xdr:rowOff>
    </xdr:from>
    <xdr:to>
      <xdr:col>3</xdr:col>
      <xdr:colOff>352425</xdr:colOff>
      <xdr:row>72</xdr:row>
      <xdr:rowOff>133350</xdr:rowOff>
    </xdr:to>
    <xdr:sp macro="" textlink="">
      <xdr:nvSpPr>
        <xdr:cNvPr id="54" name="Eingekerbter Pfeil nach rechts 251">
          <a:extLst>
            <a:ext uri="{FF2B5EF4-FFF2-40B4-BE49-F238E27FC236}">
              <a16:creationId xmlns:a16="http://schemas.microsoft.com/office/drawing/2014/main" id="{00000000-0008-0000-0F00-000036000000}"/>
            </a:ext>
          </a:extLst>
        </xdr:cNvPr>
        <xdr:cNvSpPr>
          <a:spLocks noChangeArrowheads="1"/>
        </xdr:cNvSpPr>
      </xdr:nvSpPr>
      <xdr:spPr bwMode="auto">
        <a:xfrm rot="-300000">
          <a:off x="3190875" y="10629900"/>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75</xdr:row>
      <xdr:rowOff>104775</xdr:rowOff>
    </xdr:from>
    <xdr:to>
      <xdr:col>3</xdr:col>
      <xdr:colOff>352425</xdr:colOff>
      <xdr:row>75</xdr:row>
      <xdr:rowOff>133350</xdr:rowOff>
    </xdr:to>
    <xdr:sp macro="" textlink="">
      <xdr:nvSpPr>
        <xdr:cNvPr id="55" name="Eingekerbter Pfeil nach rechts 252">
          <a:extLst>
            <a:ext uri="{FF2B5EF4-FFF2-40B4-BE49-F238E27FC236}">
              <a16:creationId xmlns:a16="http://schemas.microsoft.com/office/drawing/2014/main" id="{00000000-0008-0000-0F00-000037000000}"/>
            </a:ext>
          </a:extLst>
        </xdr:cNvPr>
        <xdr:cNvSpPr>
          <a:spLocks noChangeArrowheads="1"/>
        </xdr:cNvSpPr>
      </xdr:nvSpPr>
      <xdr:spPr bwMode="auto">
        <a:xfrm rot="-300000">
          <a:off x="3190875" y="11020425"/>
          <a:ext cx="457200" cy="28575"/>
        </a:xfrm>
        <a:prstGeom prst="notchedRightArrow">
          <a:avLst>
            <a:gd name="adj1" fmla="val 50000"/>
            <a:gd name="adj2" fmla="val 57333"/>
          </a:avLst>
        </a:prstGeom>
        <a:solidFill>
          <a:srgbClr val="FF0000"/>
        </a:solidFill>
        <a:ln w="6350" algn="ctr">
          <a:solidFill>
            <a:srgbClr val="000000"/>
          </a:solidFill>
          <a:miter lim="800000"/>
          <a:headEnd/>
          <a:tailEnd/>
        </a:ln>
      </xdr:spPr>
    </xdr:sp>
    <xdr:clientData/>
  </xdr:twoCellAnchor>
  <xdr:twoCellAnchor>
    <xdr:from>
      <xdr:col>3</xdr:col>
      <xdr:colOff>323850</xdr:colOff>
      <xdr:row>32</xdr:row>
      <xdr:rowOff>57150</xdr:rowOff>
    </xdr:from>
    <xdr:to>
      <xdr:col>4</xdr:col>
      <xdr:colOff>57150</xdr:colOff>
      <xdr:row>32</xdr:row>
      <xdr:rowOff>85725</xdr:rowOff>
    </xdr:to>
    <xdr:sp macro="" textlink="">
      <xdr:nvSpPr>
        <xdr:cNvPr id="56" name="Eingekerbter Pfeil nach rechts 253">
          <a:extLst>
            <a:ext uri="{FF2B5EF4-FFF2-40B4-BE49-F238E27FC236}">
              <a16:creationId xmlns:a16="http://schemas.microsoft.com/office/drawing/2014/main" id="{00000000-0008-0000-0F00-000038000000}"/>
            </a:ext>
          </a:extLst>
        </xdr:cNvPr>
        <xdr:cNvSpPr>
          <a:spLocks noChangeArrowheads="1"/>
        </xdr:cNvSpPr>
      </xdr:nvSpPr>
      <xdr:spPr bwMode="auto">
        <a:xfrm>
          <a:off x="3619500" y="4429125"/>
          <a:ext cx="190500" cy="28575"/>
        </a:xfrm>
        <a:prstGeom prst="notchedRightArrow">
          <a:avLst>
            <a:gd name="adj1" fmla="val 50000"/>
            <a:gd name="adj2" fmla="val 96512"/>
          </a:avLst>
        </a:prstGeom>
        <a:solidFill>
          <a:srgbClr val="FF0000"/>
        </a:solidFill>
        <a:ln w="6350" algn="ctr">
          <a:solidFill>
            <a:srgbClr val="000000"/>
          </a:solidFill>
          <a:miter lim="800000"/>
          <a:headEnd/>
          <a:tailEnd/>
        </a:ln>
      </xdr:spPr>
    </xdr:sp>
    <xdr:clientData/>
  </xdr:twoCellAnchor>
  <xdr:twoCellAnchor>
    <xdr:from>
      <xdr:col>3</xdr:col>
      <xdr:colOff>276225</xdr:colOff>
      <xdr:row>31</xdr:row>
      <xdr:rowOff>104775</xdr:rowOff>
    </xdr:from>
    <xdr:to>
      <xdr:col>4</xdr:col>
      <xdr:colOff>9525</xdr:colOff>
      <xdr:row>31</xdr:row>
      <xdr:rowOff>133350</xdr:rowOff>
    </xdr:to>
    <xdr:sp macro="" textlink="">
      <xdr:nvSpPr>
        <xdr:cNvPr id="57" name="Eingekerbter Pfeil nach rechts 254">
          <a:extLst>
            <a:ext uri="{FF2B5EF4-FFF2-40B4-BE49-F238E27FC236}">
              <a16:creationId xmlns:a16="http://schemas.microsoft.com/office/drawing/2014/main" id="{00000000-0008-0000-0F00-000039000000}"/>
            </a:ext>
          </a:extLst>
        </xdr:cNvPr>
        <xdr:cNvSpPr>
          <a:spLocks noChangeArrowheads="1"/>
        </xdr:cNvSpPr>
      </xdr:nvSpPr>
      <xdr:spPr bwMode="auto">
        <a:xfrm rot="-1680000">
          <a:off x="3571875" y="4314825"/>
          <a:ext cx="190500" cy="28575"/>
        </a:xfrm>
        <a:prstGeom prst="notchedRightArrow">
          <a:avLst>
            <a:gd name="adj1" fmla="val 50000"/>
            <a:gd name="adj2" fmla="val 96512"/>
          </a:avLst>
        </a:prstGeom>
        <a:solidFill>
          <a:srgbClr val="FF0000"/>
        </a:solidFill>
        <a:ln w="6350" algn="ctr">
          <a:solidFill>
            <a:srgbClr val="000000"/>
          </a:solidFill>
          <a:miter lim="800000"/>
          <a:headEnd/>
          <a:tailEnd/>
        </a:ln>
      </xdr:spPr>
    </xdr:sp>
    <xdr:clientData/>
  </xdr:twoCellAnchor>
  <xdr:twoCellAnchor>
    <xdr:from>
      <xdr:col>4</xdr:col>
      <xdr:colOff>2929890</xdr:colOff>
      <xdr:row>45</xdr:row>
      <xdr:rowOff>71975</xdr:rowOff>
    </xdr:from>
    <xdr:to>
      <xdr:col>5</xdr:col>
      <xdr:colOff>110490</xdr:colOff>
      <xdr:row>45</xdr:row>
      <xdr:rowOff>71976</xdr:rowOff>
    </xdr:to>
    <xdr:cxnSp macro="">
      <xdr:nvCxnSpPr>
        <xdr:cNvPr id="58" name="Gerade Verbindung mit Pfeil 255">
          <a:extLst>
            <a:ext uri="{FF2B5EF4-FFF2-40B4-BE49-F238E27FC236}">
              <a16:creationId xmlns:a16="http://schemas.microsoft.com/office/drawing/2014/main" id="{00000000-0008-0000-0F00-00003A000000}"/>
            </a:ext>
          </a:extLst>
        </xdr:cNvPr>
        <xdr:cNvCxnSpPr>
          <a:cxnSpLocks noChangeShapeType="1"/>
        </xdr:cNvCxnSpPr>
      </xdr:nvCxnSpPr>
      <xdr:spPr bwMode="auto">
        <a:xfrm flipV="1">
          <a:off x="6682740" y="6510875"/>
          <a:ext cx="152400" cy="1"/>
        </a:xfrm>
        <a:prstGeom prst="straightConnector1">
          <a:avLst/>
        </a:prstGeom>
        <a:noFill/>
        <a:ln w="19050" algn="ctr">
          <a:solidFill>
            <a:srgbClr val="FF0000"/>
          </a:solidFill>
          <a:prstDash val="sysDash"/>
          <a:round/>
          <a:headEnd type="triangle" w="med" len="med"/>
          <a:tailEnd/>
        </a:ln>
        <a:extLst>
          <a:ext uri="{909E8E84-426E-40DD-AFC4-6F175D3DCCD1}">
            <a14:hiddenFill xmlns:a14="http://schemas.microsoft.com/office/drawing/2010/main">
              <a:noFill/>
            </a14:hiddenFill>
          </a:ext>
        </a:extLst>
      </xdr:spPr>
    </xdr:cxnSp>
    <xdr:clientData/>
  </xdr:twoCellAnchor>
  <xdr:twoCellAnchor>
    <xdr:from>
      <xdr:col>2</xdr:col>
      <xdr:colOff>85726</xdr:colOff>
      <xdr:row>96</xdr:row>
      <xdr:rowOff>85724</xdr:rowOff>
    </xdr:from>
    <xdr:to>
      <xdr:col>3</xdr:col>
      <xdr:colOff>287656</xdr:colOff>
      <xdr:row>96</xdr:row>
      <xdr:rowOff>123824</xdr:rowOff>
    </xdr:to>
    <xdr:sp macro="" textlink="">
      <xdr:nvSpPr>
        <xdr:cNvPr id="59" name="Eingekerbter Pfeil nach rechts 256">
          <a:extLst>
            <a:ext uri="{FF2B5EF4-FFF2-40B4-BE49-F238E27FC236}">
              <a16:creationId xmlns:a16="http://schemas.microsoft.com/office/drawing/2014/main" id="{00000000-0008-0000-0F00-00003B000000}"/>
            </a:ext>
          </a:extLst>
        </xdr:cNvPr>
        <xdr:cNvSpPr>
          <a:spLocks noChangeArrowheads="1"/>
        </xdr:cNvSpPr>
      </xdr:nvSpPr>
      <xdr:spPr bwMode="auto">
        <a:xfrm rot="21213754">
          <a:off x="3228976" y="13668374"/>
          <a:ext cx="354330" cy="38100"/>
        </a:xfrm>
        <a:prstGeom prst="notchedRightArrow">
          <a:avLst>
            <a:gd name="adj1" fmla="val 50000"/>
            <a:gd name="adj2" fmla="val 42225"/>
          </a:avLst>
        </a:prstGeom>
        <a:solidFill>
          <a:srgbClr val="FF0000"/>
        </a:solidFill>
        <a:ln w="6350" algn="ctr">
          <a:solidFill>
            <a:srgbClr val="000000"/>
          </a:solidFill>
          <a:miter lim="800000"/>
          <a:headEnd/>
          <a:tailEnd/>
        </a:ln>
      </xdr:spPr>
    </xdr:sp>
    <xdr:clientData/>
  </xdr:twoCellAnchor>
  <xdr:twoCellAnchor>
    <xdr:from>
      <xdr:col>2</xdr:col>
      <xdr:colOff>78105</xdr:colOff>
      <xdr:row>58</xdr:row>
      <xdr:rowOff>148590</xdr:rowOff>
    </xdr:from>
    <xdr:to>
      <xdr:col>3</xdr:col>
      <xdr:colOff>339090</xdr:colOff>
      <xdr:row>59</xdr:row>
      <xdr:rowOff>19050</xdr:rowOff>
    </xdr:to>
    <xdr:sp macro="" textlink="">
      <xdr:nvSpPr>
        <xdr:cNvPr id="60" name="Eingekerbter Pfeil nach rechts 239">
          <a:extLst>
            <a:ext uri="{FF2B5EF4-FFF2-40B4-BE49-F238E27FC236}">
              <a16:creationId xmlns:a16="http://schemas.microsoft.com/office/drawing/2014/main" id="{00000000-0008-0000-0F00-00003C000000}"/>
            </a:ext>
          </a:extLst>
        </xdr:cNvPr>
        <xdr:cNvSpPr>
          <a:spLocks noChangeArrowheads="1"/>
        </xdr:cNvSpPr>
      </xdr:nvSpPr>
      <xdr:spPr bwMode="auto">
        <a:xfrm rot="2333155">
          <a:off x="3221355" y="8587740"/>
          <a:ext cx="413385" cy="32385"/>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2</xdr:col>
      <xdr:colOff>85031</xdr:colOff>
      <xdr:row>55</xdr:row>
      <xdr:rowOff>1575</xdr:rowOff>
    </xdr:from>
    <xdr:to>
      <xdr:col>3</xdr:col>
      <xdr:colOff>353636</xdr:colOff>
      <xdr:row>55</xdr:row>
      <xdr:rowOff>37769</xdr:rowOff>
    </xdr:to>
    <xdr:sp macro="" textlink="">
      <xdr:nvSpPr>
        <xdr:cNvPr id="61" name="Eingekerbter Pfeil nach rechts 239">
          <a:extLst>
            <a:ext uri="{FF2B5EF4-FFF2-40B4-BE49-F238E27FC236}">
              <a16:creationId xmlns:a16="http://schemas.microsoft.com/office/drawing/2014/main" id="{00000000-0008-0000-0F00-00003D000000}"/>
            </a:ext>
          </a:extLst>
        </xdr:cNvPr>
        <xdr:cNvSpPr>
          <a:spLocks noChangeArrowheads="1"/>
        </xdr:cNvSpPr>
      </xdr:nvSpPr>
      <xdr:spPr bwMode="auto">
        <a:xfrm rot="19452879" flipV="1">
          <a:off x="3228281" y="7954950"/>
          <a:ext cx="421005" cy="36194"/>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2</xdr:col>
      <xdr:colOff>55246</xdr:colOff>
      <xdr:row>54</xdr:row>
      <xdr:rowOff>89531</xdr:rowOff>
    </xdr:from>
    <xdr:to>
      <xdr:col>3</xdr:col>
      <xdr:colOff>333376</xdr:colOff>
      <xdr:row>54</xdr:row>
      <xdr:rowOff>125726</xdr:rowOff>
    </xdr:to>
    <xdr:sp macro="" textlink="">
      <xdr:nvSpPr>
        <xdr:cNvPr id="62" name="Eingekerbter Pfeil nach rechts 239">
          <a:extLst>
            <a:ext uri="{FF2B5EF4-FFF2-40B4-BE49-F238E27FC236}">
              <a16:creationId xmlns:a16="http://schemas.microsoft.com/office/drawing/2014/main" id="{00000000-0008-0000-0F00-00003E000000}"/>
            </a:ext>
          </a:extLst>
        </xdr:cNvPr>
        <xdr:cNvSpPr>
          <a:spLocks noChangeArrowheads="1"/>
        </xdr:cNvSpPr>
      </xdr:nvSpPr>
      <xdr:spPr bwMode="auto">
        <a:xfrm rot="19080305">
          <a:off x="3198496" y="7880981"/>
          <a:ext cx="430530" cy="36195"/>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3</xdr:col>
      <xdr:colOff>55247</xdr:colOff>
      <xdr:row>58</xdr:row>
      <xdr:rowOff>11428</xdr:rowOff>
    </xdr:from>
    <xdr:to>
      <xdr:col>3</xdr:col>
      <xdr:colOff>95252</xdr:colOff>
      <xdr:row>60</xdr:row>
      <xdr:rowOff>114298</xdr:rowOff>
    </xdr:to>
    <xdr:sp macro="" textlink="">
      <xdr:nvSpPr>
        <xdr:cNvPr id="63" name="Eingekerbter Pfeil nach rechts 239">
          <a:extLst>
            <a:ext uri="{FF2B5EF4-FFF2-40B4-BE49-F238E27FC236}">
              <a16:creationId xmlns:a16="http://schemas.microsoft.com/office/drawing/2014/main" id="{00000000-0008-0000-0F00-00003F000000}"/>
            </a:ext>
          </a:extLst>
        </xdr:cNvPr>
        <xdr:cNvSpPr>
          <a:spLocks noChangeArrowheads="1"/>
        </xdr:cNvSpPr>
      </xdr:nvSpPr>
      <xdr:spPr bwMode="auto">
        <a:xfrm rot="2849474">
          <a:off x="3157540" y="8643935"/>
          <a:ext cx="426720" cy="40005"/>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2</xdr:col>
      <xdr:colOff>95250</xdr:colOff>
      <xdr:row>7</xdr:row>
      <xdr:rowOff>26670</xdr:rowOff>
    </xdr:from>
    <xdr:to>
      <xdr:col>3</xdr:col>
      <xdr:colOff>285750</xdr:colOff>
      <xdr:row>7</xdr:row>
      <xdr:rowOff>64770</xdr:rowOff>
    </xdr:to>
    <xdr:sp macro="" textlink="">
      <xdr:nvSpPr>
        <xdr:cNvPr id="64" name="Eingekerbter Pfeil nach rechts 201">
          <a:extLst>
            <a:ext uri="{FF2B5EF4-FFF2-40B4-BE49-F238E27FC236}">
              <a16:creationId xmlns:a16="http://schemas.microsoft.com/office/drawing/2014/main" id="{00000000-0008-0000-0F00-000040000000}"/>
            </a:ext>
          </a:extLst>
        </xdr:cNvPr>
        <xdr:cNvSpPr>
          <a:spLocks noChangeArrowheads="1"/>
        </xdr:cNvSpPr>
      </xdr:nvSpPr>
      <xdr:spPr bwMode="auto">
        <a:xfrm rot="499911">
          <a:off x="3238500" y="1055370"/>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87630</xdr:colOff>
      <xdr:row>5</xdr:row>
      <xdr:rowOff>148590</xdr:rowOff>
    </xdr:from>
    <xdr:to>
      <xdr:col>3</xdr:col>
      <xdr:colOff>281940</xdr:colOff>
      <xdr:row>6</xdr:row>
      <xdr:rowOff>20955</xdr:rowOff>
    </xdr:to>
    <xdr:sp macro="" textlink="">
      <xdr:nvSpPr>
        <xdr:cNvPr id="65" name="Eingekerbter Pfeil nach rechts 201">
          <a:extLst>
            <a:ext uri="{FF2B5EF4-FFF2-40B4-BE49-F238E27FC236}">
              <a16:creationId xmlns:a16="http://schemas.microsoft.com/office/drawing/2014/main" id="{00000000-0008-0000-0F00-000041000000}"/>
            </a:ext>
          </a:extLst>
        </xdr:cNvPr>
        <xdr:cNvSpPr>
          <a:spLocks noChangeArrowheads="1"/>
        </xdr:cNvSpPr>
      </xdr:nvSpPr>
      <xdr:spPr bwMode="auto">
        <a:xfrm rot="21060269">
          <a:off x="3230880" y="853440"/>
          <a:ext cx="346710" cy="3429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3</xdr:col>
      <xdr:colOff>255383</xdr:colOff>
      <xdr:row>32</xdr:row>
      <xdr:rowOff>158606</xdr:rowOff>
    </xdr:from>
    <xdr:to>
      <xdr:col>4</xdr:col>
      <xdr:colOff>14183</xdr:colOff>
      <xdr:row>33</xdr:row>
      <xdr:rowOff>25481</xdr:rowOff>
    </xdr:to>
    <xdr:sp macro="" textlink="">
      <xdr:nvSpPr>
        <xdr:cNvPr id="66" name="Eingekerbter Pfeil nach rechts 253">
          <a:extLst>
            <a:ext uri="{FF2B5EF4-FFF2-40B4-BE49-F238E27FC236}">
              <a16:creationId xmlns:a16="http://schemas.microsoft.com/office/drawing/2014/main" id="{00000000-0008-0000-0F00-000042000000}"/>
            </a:ext>
          </a:extLst>
        </xdr:cNvPr>
        <xdr:cNvSpPr>
          <a:spLocks noChangeArrowheads="1"/>
        </xdr:cNvSpPr>
      </xdr:nvSpPr>
      <xdr:spPr bwMode="auto">
        <a:xfrm rot="1898123">
          <a:off x="3551033" y="4530581"/>
          <a:ext cx="216000" cy="28800"/>
        </a:xfrm>
        <a:prstGeom prst="notchedRightArrow">
          <a:avLst>
            <a:gd name="adj1" fmla="val 50000"/>
            <a:gd name="adj2" fmla="val 96512"/>
          </a:avLst>
        </a:prstGeom>
        <a:solidFill>
          <a:srgbClr val="FF0000"/>
        </a:solidFill>
        <a:ln w="6350" algn="ctr">
          <a:solidFill>
            <a:srgbClr val="000000"/>
          </a:solidFill>
          <a:miter lim="800000"/>
          <a:headEnd/>
          <a:tailEnd/>
        </a:ln>
      </xdr:spPr>
    </xdr:sp>
    <xdr:clientData/>
  </xdr:twoCellAnchor>
  <xdr:twoCellAnchor>
    <xdr:from>
      <xdr:col>3</xdr:col>
      <xdr:colOff>319519</xdr:colOff>
      <xdr:row>33</xdr:row>
      <xdr:rowOff>150986</xdr:rowOff>
    </xdr:from>
    <xdr:to>
      <xdr:col>4</xdr:col>
      <xdr:colOff>78319</xdr:colOff>
      <xdr:row>34</xdr:row>
      <xdr:rowOff>15956</xdr:rowOff>
    </xdr:to>
    <xdr:sp macro="" textlink="">
      <xdr:nvSpPr>
        <xdr:cNvPr id="67" name="Eingekerbter Pfeil nach rechts 253">
          <a:extLst>
            <a:ext uri="{FF2B5EF4-FFF2-40B4-BE49-F238E27FC236}">
              <a16:creationId xmlns:a16="http://schemas.microsoft.com/office/drawing/2014/main" id="{00000000-0008-0000-0F00-000043000000}"/>
            </a:ext>
          </a:extLst>
        </xdr:cNvPr>
        <xdr:cNvSpPr>
          <a:spLocks noChangeArrowheads="1"/>
        </xdr:cNvSpPr>
      </xdr:nvSpPr>
      <xdr:spPr bwMode="auto">
        <a:xfrm rot="2253640">
          <a:off x="3615169" y="4684886"/>
          <a:ext cx="216000" cy="26895"/>
        </a:xfrm>
        <a:prstGeom prst="notchedRightArrow">
          <a:avLst>
            <a:gd name="adj1" fmla="val 50000"/>
            <a:gd name="adj2" fmla="val 96512"/>
          </a:avLst>
        </a:prstGeom>
        <a:solidFill>
          <a:srgbClr val="FF0000"/>
        </a:solidFill>
        <a:ln w="6350" algn="ctr">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47625</xdr:colOff>
      <xdr:row>20</xdr:row>
      <xdr:rowOff>0</xdr:rowOff>
    </xdr:from>
    <xdr:to>
      <xdr:col>7</xdr:col>
      <xdr:colOff>647700</xdr:colOff>
      <xdr:row>31</xdr:row>
      <xdr:rowOff>47625</xdr:rowOff>
    </xdr:to>
    <xdr:pic>
      <xdr:nvPicPr>
        <xdr:cNvPr id="183598" name="Grafik 2">
          <a:extLst>
            <a:ext uri="{FF2B5EF4-FFF2-40B4-BE49-F238E27FC236}">
              <a16:creationId xmlns:a16="http://schemas.microsoft.com/office/drawing/2014/main" id="{00000000-0008-0000-1000-00002ECD02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7625" y="4686300"/>
          <a:ext cx="518160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378.xml"/><Relationship Id="rId3" Type="http://schemas.openxmlformats.org/officeDocument/2006/relationships/vmlDrawing" Target="../drawings/vmlDrawing6.vml"/><Relationship Id="rId7" Type="http://schemas.openxmlformats.org/officeDocument/2006/relationships/ctrlProp" Target="../ctrlProps/ctrlProp377.xml"/><Relationship Id="rId2" Type="http://schemas.openxmlformats.org/officeDocument/2006/relationships/drawing" Target="../drawings/drawing5.xml"/><Relationship Id="rId1" Type="http://schemas.openxmlformats.org/officeDocument/2006/relationships/printerSettings" Target="../printerSettings/printerSettings12.bin"/><Relationship Id="rId6" Type="http://schemas.openxmlformats.org/officeDocument/2006/relationships/ctrlProp" Target="../ctrlProps/ctrlProp376.xml"/><Relationship Id="rId5" Type="http://schemas.openxmlformats.org/officeDocument/2006/relationships/ctrlProp" Target="../ctrlProps/ctrlProp375.xml"/><Relationship Id="rId10" Type="http://schemas.openxmlformats.org/officeDocument/2006/relationships/comments" Target="../comments6.xml"/><Relationship Id="rId4" Type="http://schemas.openxmlformats.org/officeDocument/2006/relationships/ctrlProp" Target="../ctrlProps/ctrlProp374.xml"/><Relationship Id="rId9" Type="http://schemas.openxmlformats.org/officeDocument/2006/relationships/ctrlProp" Target="../ctrlProps/ctrlProp379.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389.xml"/><Relationship Id="rId18" Type="http://schemas.openxmlformats.org/officeDocument/2006/relationships/ctrlProp" Target="../ctrlProps/ctrlProp394.xml"/><Relationship Id="rId26" Type="http://schemas.openxmlformats.org/officeDocument/2006/relationships/ctrlProp" Target="../ctrlProps/ctrlProp402.xml"/><Relationship Id="rId39" Type="http://schemas.openxmlformats.org/officeDocument/2006/relationships/ctrlProp" Target="../ctrlProps/ctrlProp415.xml"/><Relationship Id="rId21" Type="http://schemas.openxmlformats.org/officeDocument/2006/relationships/ctrlProp" Target="../ctrlProps/ctrlProp397.xml"/><Relationship Id="rId34" Type="http://schemas.openxmlformats.org/officeDocument/2006/relationships/ctrlProp" Target="../ctrlProps/ctrlProp410.xml"/><Relationship Id="rId42" Type="http://schemas.openxmlformats.org/officeDocument/2006/relationships/ctrlProp" Target="../ctrlProps/ctrlProp418.xml"/><Relationship Id="rId47" Type="http://schemas.openxmlformats.org/officeDocument/2006/relationships/ctrlProp" Target="../ctrlProps/ctrlProp423.xml"/><Relationship Id="rId50" Type="http://schemas.openxmlformats.org/officeDocument/2006/relationships/ctrlProp" Target="../ctrlProps/ctrlProp426.xml"/><Relationship Id="rId55" Type="http://schemas.openxmlformats.org/officeDocument/2006/relationships/ctrlProp" Target="../ctrlProps/ctrlProp431.xml"/><Relationship Id="rId7" Type="http://schemas.openxmlformats.org/officeDocument/2006/relationships/ctrlProp" Target="../ctrlProps/ctrlProp383.xml"/><Relationship Id="rId2" Type="http://schemas.openxmlformats.org/officeDocument/2006/relationships/drawing" Target="../drawings/drawing6.xml"/><Relationship Id="rId16" Type="http://schemas.openxmlformats.org/officeDocument/2006/relationships/ctrlProp" Target="../ctrlProps/ctrlProp392.xml"/><Relationship Id="rId29" Type="http://schemas.openxmlformats.org/officeDocument/2006/relationships/ctrlProp" Target="../ctrlProps/ctrlProp405.xml"/><Relationship Id="rId11" Type="http://schemas.openxmlformats.org/officeDocument/2006/relationships/ctrlProp" Target="../ctrlProps/ctrlProp387.xml"/><Relationship Id="rId24" Type="http://schemas.openxmlformats.org/officeDocument/2006/relationships/ctrlProp" Target="../ctrlProps/ctrlProp400.xml"/><Relationship Id="rId32" Type="http://schemas.openxmlformats.org/officeDocument/2006/relationships/ctrlProp" Target="../ctrlProps/ctrlProp408.xml"/><Relationship Id="rId37" Type="http://schemas.openxmlformats.org/officeDocument/2006/relationships/ctrlProp" Target="../ctrlProps/ctrlProp413.xml"/><Relationship Id="rId40" Type="http://schemas.openxmlformats.org/officeDocument/2006/relationships/ctrlProp" Target="../ctrlProps/ctrlProp416.xml"/><Relationship Id="rId45" Type="http://schemas.openxmlformats.org/officeDocument/2006/relationships/ctrlProp" Target="../ctrlProps/ctrlProp421.xml"/><Relationship Id="rId53" Type="http://schemas.openxmlformats.org/officeDocument/2006/relationships/ctrlProp" Target="../ctrlProps/ctrlProp429.xml"/><Relationship Id="rId58" Type="http://schemas.openxmlformats.org/officeDocument/2006/relationships/comments" Target="../comments8.xml"/><Relationship Id="rId5" Type="http://schemas.openxmlformats.org/officeDocument/2006/relationships/ctrlProp" Target="../ctrlProps/ctrlProp381.xml"/><Relationship Id="rId19" Type="http://schemas.openxmlformats.org/officeDocument/2006/relationships/ctrlProp" Target="../ctrlProps/ctrlProp395.xml"/><Relationship Id="rId4" Type="http://schemas.openxmlformats.org/officeDocument/2006/relationships/ctrlProp" Target="../ctrlProps/ctrlProp380.xml"/><Relationship Id="rId9" Type="http://schemas.openxmlformats.org/officeDocument/2006/relationships/ctrlProp" Target="../ctrlProps/ctrlProp385.xml"/><Relationship Id="rId14" Type="http://schemas.openxmlformats.org/officeDocument/2006/relationships/ctrlProp" Target="../ctrlProps/ctrlProp390.xml"/><Relationship Id="rId22" Type="http://schemas.openxmlformats.org/officeDocument/2006/relationships/ctrlProp" Target="../ctrlProps/ctrlProp398.xml"/><Relationship Id="rId27" Type="http://schemas.openxmlformats.org/officeDocument/2006/relationships/ctrlProp" Target="../ctrlProps/ctrlProp403.xml"/><Relationship Id="rId30" Type="http://schemas.openxmlformats.org/officeDocument/2006/relationships/ctrlProp" Target="../ctrlProps/ctrlProp406.xml"/><Relationship Id="rId35" Type="http://schemas.openxmlformats.org/officeDocument/2006/relationships/ctrlProp" Target="../ctrlProps/ctrlProp411.xml"/><Relationship Id="rId43" Type="http://schemas.openxmlformats.org/officeDocument/2006/relationships/ctrlProp" Target="../ctrlProps/ctrlProp419.xml"/><Relationship Id="rId48" Type="http://schemas.openxmlformats.org/officeDocument/2006/relationships/ctrlProp" Target="../ctrlProps/ctrlProp424.xml"/><Relationship Id="rId56" Type="http://schemas.openxmlformats.org/officeDocument/2006/relationships/ctrlProp" Target="../ctrlProps/ctrlProp432.xml"/><Relationship Id="rId8" Type="http://schemas.openxmlformats.org/officeDocument/2006/relationships/ctrlProp" Target="../ctrlProps/ctrlProp384.xml"/><Relationship Id="rId51" Type="http://schemas.openxmlformats.org/officeDocument/2006/relationships/ctrlProp" Target="../ctrlProps/ctrlProp427.xml"/><Relationship Id="rId3" Type="http://schemas.openxmlformats.org/officeDocument/2006/relationships/vmlDrawing" Target="../drawings/vmlDrawing8.vml"/><Relationship Id="rId12" Type="http://schemas.openxmlformats.org/officeDocument/2006/relationships/ctrlProp" Target="../ctrlProps/ctrlProp388.xml"/><Relationship Id="rId17" Type="http://schemas.openxmlformats.org/officeDocument/2006/relationships/ctrlProp" Target="../ctrlProps/ctrlProp393.xml"/><Relationship Id="rId25" Type="http://schemas.openxmlformats.org/officeDocument/2006/relationships/ctrlProp" Target="../ctrlProps/ctrlProp401.xml"/><Relationship Id="rId33" Type="http://schemas.openxmlformats.org/officeDocument/2006/relationships/ctrlProp" Target="../ctrlProps/ctrlProp409.xml"/><Relationship Id="rId38" Type="http://schemas.openxmlformats.org/officeDocument/2006/relationships/ctrlProp" Target="../ctrlProps/ctrlProp414.xml"/><Relationship Id="rId46" Type="http://schemas.openxmlformats.org/officeDocument/2006/relationships/ctrlProp" Target="../ctrlProps/ctrlProp422.xml"/><Relationship Id="rId20" Type="http://schemas.openxmlformats.org/officeDocument/2006/relationships/ctrlProp" Target="../ctrlProps/ctrlProp396.xml"/><Relationship Id="rId41" Type="http://schemas.openxmlformats.org/officeDocument/2006/relationships/ctrlProp" Target="../ctrlProps/ctrlProp417.xml"/><Relationship Id="rId54" Type="http://schemas.openxmlformats.org/officeDocument/2006/relationships/ctrlProp" Target="../ctrlProps/ctrlProp430.xml"/><Relationship Id="rId1" Type="http://schemas.openxmlformats.org/officeDocument/2006/relationships/printerSettings" Target="../printerSettings/printerSettings14.bin"/><Relationship Id="rId6" Type="http://schemas.openxmlformats.org/officeDocument/2006/relationships/ctrlProp" Target="../ctrlProps/ctrlProp382.xml"/><Relationship Id="rId15" Type="http://schemas.openxmlformats.org/officeDocument/2006/relationships/ctrlProp" Target="../ctrlProps/ctrlProp391.xml"/><Relationship Id="rId23" Type="http://schemas.openxmlformats.org/officeDocument/2006/relationships/ctrlProp" Target="../ctrlProps/ctrlProp399.xml"/><Relationship Id="rId28" Type="http://schemas.openxmlformats.org/officeDocument/2006/relationships/ctrlProp" Target="../ctrlProps/ctrlProp404.xml"/><Relationship Id="rId36" Type="http://schemas.openxmlformats.org/officeDocument/2006/relationships/ctrlProp" Target="../ctrlProps/ctrlProp412.xml"/><Relationship Id="rId49" Type="http://schemas.openxmlformats.org/officeDocument/2006/relationships/ctrlProp" Target="../ctrlProps/ctrlProp425.xml"/><Relationship Id="rId57" Type="http://schemas.openxmlformats.org/officeDocument/2006/relationships/ctrlProp" Target="../ctrlProps/ctrlProp433.xml"/><Relationship Id="rId10" Type="http://schemas.openxmlformats.org/officeDocument/2006/relationships/ctrlProp" Target="../ctrlProps/ctrlProp386.xml"/><Relationship Id="rId31" Type="http://schemas.openxmlformats.org/officeDocument/2006/relationships/ctrlProp" Target="../ctrlProps/ctrlProp407.xml"/><Relationship Id="rId44" Type="http://schemas.openxmlformats.org/officeDocument/2006/relationships/ctrlProp" Target="../ctrlProps/ctrlProp420.xml"/><Relationship Id="rId52" Type="http://schemas.openxmlformats.org/officeDocument/2006/relationships/ctrlProp" Target="../ctrlProps/ctrlProp428.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2.xml"/><Relationship Id="rId21" Type="http://schemas.openxmlformats.org/officeDocument/2006/relationships/ctrlProp" Target="../ctrlProps/ctrlProp16.xml"/><Relationship Id="rId63" Type="http://schemas.openxmlformats.org/officeDocument/2006/relationships/ctrlProp" Target="../ctrlProps/ctrlProp58.xml"/><Relationship Id="rId159" Type="http://schemas.openxmlformats.org/officeDocument/2006/relationships/ctrlProp" Target="../ctrlProps/ctrlProp154.xml"/><Relationship Id="rId170" Type="http://schemas.openxmlformats.org/officeDocument/2006/relationships/ctrlProp" Target="../ctrlProps/ctrlProp165.xml"/><Relationship Id="rId191" Type="http://schemas.openxmlformats.org/officeDocument/2006/relationships/ctrlProp" Target="../ctrlProps/ctrlProp186.xml"/><Relationship Id="rId205" Type="http://schemas.openxmlformats.org/officeDocument/2006/relationships/ctrlProp" Target="../ctrlProps/ctrlProp200.xml"/><Relationship Id="rId226" Type="http://schemas.openxmlformats.org/officeDocument/2006/relationships/ctrlProp" Target="../ctrlProps/ctrlProp221.xml"/><Relationship Id="rId247" Type="http://schemas.openxmlformats.org/officeDocument/2006/relationships/ctrlProp" Target="../ctrlProps/ctrlProp242.xml"/><Relationship Id="rId107" Type="http://schemas.openxmlformats.org/officeDocument/2006/relationships/ctrlProp" Target="../ctrlProps/ctrlProp102.xml"/><Relationship Id="rId11" Type="http://schemas.openxmlformats.org/officeDocument/2006/relationships/ctrlProp" Target="../ctrlProps/ctrlProp6.xml"/><Relationship Id="rId32" Type="http://schemas.openxmlformats.org/officeDocument/2006/relationships/ctrlProp" Target="../ctrlProps/ctrlProp27.xml"/><Relationship Id="rId53" Type="http://schemas.openxmlformats.org/officeDocument/2006/relationships/ctrlProp" Target="../ctrlProps/ctrlProp48.xml"/><Relationship Id="rId74" Type="http://schemas.openxmlformats.org/officeDocument/2006/relationships/ctrlProp" Target="../ctrlProps/ctrlProp69.xml"/><Relationship Id="rId128" Type="http://schemas.openxmlformats.org/officeDocument/2006/relationships/ctrlProp" Target="../ctrlProps/ctrlProp123.xml"/><Relationship Id="rId149" Type="http://schemas.openxmlformats.org/officeDocument/2006/relationships/ctrlProp" Target="../ctrlProps/ctrlProp144.xml"/><Relationship Id="rId5" Type="http://schemas.openxmlformats.org/officeDocument/2006/relationships/vmlDrawing" Target="../drawings/vmlDrawing1.vml"/><Relationship Id="rId95" Type="http://schemas.openxmlformats.org/officeDocument/2006/relationships/ctrlProp" Target="../ctrlProps/ctrlProp90.xml"/><Relationship Id="rId160" Type="http://schemas.openxmlformats.org/officeDocument/2006/relationships/ctrlProp" Target="../ctrlProps/ctrlProp155.xml"/><Relationship Id="rId181" Type="http://schemas.openxmlformats.org/officeDocument/2006/relationships/ctrlProp" Target="../ctrlProps/ctrlProp176.xml"/><Relationship Id="rId216" Type="http://schemas.openxmlformats.org/officeDocument/2006/relationships/ctrlProp" Target="../ctrlProps/ctrlProp211.xml"/><Relationship Id="rId237" Type="http://schemas.openxmlformats.org/officeDocument/2006/relationships/ctrlProp" Target="../ctrlProps/ctrlProp232.xml"/><Relationship Id="rId258" Type="http://schemas.openxmlformats.org/officeDocument/2006/relationships/ctrlProp" Target="../ctrlProps/ctrlProp253.xml"/><Relationship Id="rId22" Type="http://schemas.openxmlformats.org/officeDocument/2006/relationships/ctrlProp" Target="../ctrlProps/ctrlProp17.xml"/><Relationship Id="rId43" Type="http://schemas.openxmlformats.org/officeDocument/2006/relationships/ctrlProp" Target="../ctrlProps/ctrlProp38.xml"/><Relationship Id="rId64" Type="http://schemas.openxmlformats.org/officeDocument/2006/relationships/ctrlProp" Target="../ctrlProps/ctrlProp59.xml"/><Relationship Id="rId118" Type="http://schemas.openxmlformats.org/officeDocument/2006/relationships/ctrlProp" Target="../ctrlProps/ctrlProp113.xml"/><Relationship Id="rId139" Type="http://schemas.openxmlformats.org/officeDocument/2006/relationships/ctrlProp" Target="../ctrlProps/ctrlProp134.xml"/><Relationship Id="rId85" Type="http://schemas.openxmlformats.org/officeDocument/2006/relationships/ctrlProp" Target="../ctrlProps/ctrlProp80.xml"/><Relationship Id="rId150" Type="http://schemas.openxmlformats.org/officeDocument/2006/relationships/ctrlProp" Target="../ctrlProps/ctrlProp145.xml"/><Relationship Id="rId171" Type="http://schemas.openxmlformats.org/officeDocument/2006/relationships/ctrlProp" Target="../ctrlProps/ctrlProp166.xml"/><Relationship Id="rId192" Type="http://schemas.openxmlformats.org/officeDocument/2006/relationships/ctrlProp" Target="../ctrlProps/ctrlProp187.xml"/><Relationship Id="rId206" Type="http://schemas.openxmlformats.org/officeDocument/2006/relationships/ctrlProp" Target="../ctrlProps/ctrlProp201.xml"/><Relationship Id="rId227" Type="http://schemas.openxmlformats.org/officeDocument/2006/relationships/ctrlProp" Target="../ctrlProps/ctrlProp222.xml"/><Relationship Id="rId248" Type="http://schemas.openxmlformats.org/officeDocument/2006/relationships/ctrlProp" Target="../ctrlProps/ctrlProp243.xml"/><Relationship Id="rId12" Type="http://schemas.openxmlformats.org/officeDocument/2006/relationships/ctrlProp" Target="../ctrlProps/ctrlProp7.xml"/><Relationship Id="rId33" Type="http://schemas.openxmlformats.org/officeDocument/2006/relationships/ctrlProp" Target="../ctrlProps/ctrlProp28.xml"/><Relationship Id="rId108" Type="http://schemas.openxmlformats.org/officeDocument/2006/relationships/ctrlProp" Target="../ctrlProps/ctrlProp103.xml"/><Relationship Id="rId129" Type="http://schemas.openxmlformats.org/officeDocument/2006/relationships/ctrlProp" Target="../ctrlProps/ctrlProp124.xml"/><Relationship Id="rId54" Type="http://schemas.openxmlformats.org/officeDocument/2006/relationships/ctrlProp" Target="../ctrlProps/ctrlProp49.xml"/><Relationship Id="rId75" Type="http://schemas.openxmlformats.org/officeDocument/2006/relationships/ctrlProp" Target="../ctrlProps/ctrlProp70.xml"/><Relationship Id="rId96" Type="http://schemas.openxmlformats.org/officeDocument/2006/relationships/ctrlProp" Target="../ctrlProps/ctrlProp91.xml"/><Relationship Id="rId140" Type="http://schemas.openxmlformats.org/officeDocument/2006/relationships/ctrlProp" Target="../ctrlProps/ctrlProp135.xml"/><Relationship Id="rId161" Type="http://schemas.openxmlformats.org/officeDocument/2006/relationships/ctrlProp" Target="../ctrlProps/ctrlProp156.xml"/><Relationship Id="rId182" Type="http://schemas.openxmlformats.org/officeDocument/2006/relationships/ctrlProp" Target="../ctrlProps/ctrlProp177.xml"/><Relationship Id="rId217" Type="http://schemas.openxmlformats.org/officeDocument/2006/relationships/ctrlProp" Target="../ctrlProps/ctrlProp212.xml"/><Relationship Id="rId6" Type="http://schemas.openxmlformats.org/officeDocument/2006/relationships/ctrlProp" Target="../ctrlProps/ctrlProp1.xml"/><Relationship Id="rId238" Type="http://schemas.openxmlformats.org/officeDocument/2006/relationships/ctrlProp" Target="../ctrlProps/ctrlProp233.xml"/><Relationship Id="rId259" Type="http://schemas.openxmlformats.org/officeDocument/2006/relationships/ctrlProp" Target="../ctrlProps/ctrlProp254.xml"/><Relationship Id="rId23" Type="http://schemas.openxmlformats.org/officeDocument/2006/relationships/ctrlProp" Target="../ctrlProps/ctrlProp18.xml"/><Relationship Id="rId119" Type="http://schemas.openxmlformats.org/officeDocument/2006/relationships/ctrlProp" Target="../ctrlProps/ctrlProp114.xml"/><Relationship Id="rId44" Type="http://schemas.openxmlformats.org/officeDocument/2006/relationships/ctrlProp" Target="../ctrlProps/ctrlProp39.xml"/><Relationship Id="rId65" Type="http://schemas.openxmlformats.org/officeDocument/2006/relationships/ctrlProp" Target="../ctrlProps/ctrlProp60.xml"/><Relationship Id="rId86" Type="http://schemas.openxmlformats.org/officeDocument/2006/relationships/ctrlProp" Target="../ctrlProps/ctrlProp81.xml"/><Relationship Id="rId130" Type="http://schemas.openxmlformats.org/officeDocument/2006/relationships/ctrlProp" Target="../ctrlProps/ctrlProp125.xml"/><Relationship Id="rId151" Type="http://schemas.openxmlformats.org/officeDocument/2006/relationships/ctrlProp" Target="../ctrlProps/ctrlProp146.xml"/><Relationship Id="rId172" Type="http://schemas.openxmlformats.org/officeDocument/2006/relationships/ctrlProp" Target="../ctrlProps/ctrlProp167.xml"/><Relationship Id="rId193" Type="http://schemas.openxmlformats.org/officeDocument/2006/relationships/ctrlProp" Target="../ctrlProps/ctrlProp188.xml"/><Relationship Id="rId207" Type="http://schemas.openxmlformats.org/officeDocument/2006/relationships/ctrlProp" Target="../ctrlProps/ctrlProp202.xml"/><Relationship Id="rId228" Type="http://schemas.openxmlformats.org/officeDocument/2006/relationships/ctrlProp" Target="../ctrlProps/ctrlProp223.xml"/><Relationship Id="rId249" Type="http://schemas.openxmlformats.org/officeDocument/2006/relationships/ctrlProp" Target="../ctrlProps/ctrlProp244.xml"/><Relationship Id="rId13" Type="http://schemas.openxmlformats.org/officeDocument/2006/relationships/ctrlProp" Target="../ctrlProps/ctrlProp8.xml"/><Relationship Id="rId109" Type="http://schemas.openxmlformats.org/officeDocument/2006/relationships/ctrlProp" Target="../ctrlProps/ctrlProp104.xml"/><Relationship Id="rId260" Type="http://schemas.openxmlformats.org/officeDocument/2006/relationships/ctrlProp" Target="../ctrlProps/ctrlProp255.xml"/><Relationship Id="rId34" Type="http://schemas.openxmlformats.org/officeDocument/2006/relationships/ctrlProp" Target="../ctrlProps/ctrlProp29.xml"/><Relationship Id="rId55" Type="http://schemas.openxmlformats.org/officeDocument/2006/relationships/ctrlProp" Target="../ctrlProps/ctrlProp50.xml"/><Relationship Id="rId76" Type="http://schemas.openxmlformats.org/officeDocument/2006/relationships/ctrlProp" Target="../ctrlProps/ctrlProp71.xml"/><Relationship Id="rId97" Type="http://schemas.openxmlformats.org/officeDocument/2006/relationships/ctrlProp" Target="../ctrlProps/ctrlProp92.xml"/><Relationship Id="rId120" Type="http://schemas.openxmlformats.org/officeDocument/2006/relationships/ctrlProp" Target="../ctrlProps/ctrlProp115.xml"/><Relationship Id="rId141" Type="http://schemas.openxmlformats.org/officeDocument/2006/relationships/ctrlProp" Target="../ctrlProps/ctrlProp136.xml"/><Relationship Id="rId7" Type="http://schemas.openxmlformats.org/officeDocument/2006/relationships/ctrlProp" Target="../ctrlProps/ctrlProp2.xml"/><Relationship Id="rId162" Type="http://schemas.openxmlformats.org/officeDocument/2006/relationships/ctrlProp" Target="../ctrlProps/ctrlProp157.xml"/><Relationship Id="rId183" Type="http://schemas.openxmlformats.org/officeDocument/2006/relationships/ctrlProp" Target="../ctrlProps/ctrlProp178.xml"/><Relationship Id="rId218" Type="http://schemas.openxmlformats.org/officeDocument/2006/relationships/ctrlProp" Target="../ctrlProps/ctrlProp213.xml"/><Relationship Id="rId239" Type="http://schemas.openxmlformats.org/officeDocument/2006/relationships/ctrlProp" Target="../ctrlProps/ctrlProp234.xml"/><Relationship Id="rId250" Type="http://schemas.openxmlformats.org/officeDocument/2006/relationships/ctrlProp" Target="../ctrlProps/ctrlProp245.xml"/><Relationship Id="rId24" Type="http://schemas.openxmlformats.org/officeDocument/2006/relationships/ctrlProp" Target="../ctrlProps/ctrlProp19.xml"/><Relationship Id="rId45" Type="http://schemas.openxmlformats.org/officeDocument/2006/relationships/ctrlProp" Target="../ctrlProps/ctrlProp40.xml"/><Relationship Id="rId66" Type="http://schemas.openxmlformats.org/officeDocument/2006/relationships/ctrlProp" Target="../ctrlProps/ctrlProp61.xml"/><Relationship Id="rId87" Type="http://schemas.openxmlformats.org/officeDocument/2006/relationships/ctrlProp" Target="../ctrlProps/ctrlProp82.xml"/><Relationship Id="rId110" Type="http://schemas.openxmlformats.org/officeDocument/2006/relationships/ctrlProp" Target="../ctrlProps/ctrlProp105.xml"/><Relationship Id="rId131" Type="http://schemas.openxmlformats.org/officeDocument/2006/relationships/ctrlProp" Target="../ctrlProps/ctrlProp126.xml"/><Relationship Id="rId152" Type="http://schemas.openxmlformats.org/officeDocument/2006/relationships/ctrlProp" Target="../ctrlProps/ctrlProp147.xml"/><Relationship Id="rId173" Type="http://schemas.openxmlformats.org/officeDocument/2006/relationships/ctrlProp" Target="../ctrlProps/ctrlProp168.xml"/><Relationship Id="rId194" Type="http://schemas.openxmlformats.org/officeDocument/2006/relationships/ctrlProp" Target="../ctrlProps/ctrlProp189.xml"/><Relationship Id="rId208" Type="http://schemas.openxmlformats.org/officeDocument/2006/relationships/ctrlProp" Target="../ctrlProps/ctrlProp203.xml"/><Relationship Id="rId229" Type="http://schemas.openxmlformats.org/officeDocument/2006/relationships/ctrlProp" Target="../ctrlProps/ctrlProp224.xml"/><Relationship Id="rId240" Type="http://schemas.openxmlformats.org/officeDocument/2006/relationships/ctrlProp" Target="../ctrlProps/ctrlProp235.xml"/><Relationship Id="rId261" Type="http://schemas.openxmlformats.org/officeDocument/2006/relationships/ctrlProp" Target="../ctrlProps/ctrlProp256.xml"/><Relationship Id="rId14" Type="http://schemas.openxmlformats.org/officeDocument/2006/relationships/ctrlProp" Target="../ctrlProps/ctrlProp9.xml"/><Relationship Id="rId35" Type="http://schemas.openxmlformats.org/officeDocument/2006/relationships/ctrlProp" Target="../ctrlProps/ctrlProp30.xml"/><Relationship Id="rId56" Type="http://schemas.openxmlformats.org/officeDocument/2006/relationships/ctrlProp" Target="../ctrlProps/ctrlProp51.xml"/><Relationship Id="rId77" Type="http://schemas.openxmlformats.org/officeDocument/2006/relationships/ctrlProp" Target="../ctrlProps/ctrlProp72.xml"/><Relationship Id="rId100" Type="http://schemas.openxmlformats.org/officeDocument/2006/relationships/ctrlProp" Target="../ctrlProps/ctrlProp95.xml"/><Relationship Id="rId8" Type="http://schemas.openxmlformats.org/officeDocument/2006/relationships/ctrlProp" Target="../ctrlProps/ctrlProp3.xml"/><Relationship Id="rId98" Type="http://schemas.openxmlformats.org/officeDocument/2006/relationships/ctrlProp" Target="../ctrlProps/ctrlProp93.xml"/><Relationship Id="rId121" Type="http://schemas.openxmlformats.org/officeDocument/2006/relationships/ctrlProp" Target="../ctrlProps/ctrlProp116.xml"/><Relationship Id="rId142" Type="http://schemas.openxmlformats.org/officeDocument/2006/relationships/ctrlProp" Target="../ctrlProps/ctrlProp137.xml"/><Relationship Id="rId163" Type="http://schemas.openxmlformats.org/officeDocument/2006/relationships/ctrlProp" Target="../ctrlProps/ctrlProp158.xml"/><Relationship Id="rId184" Type="http://schemas.openxmlformats.org/officeDocument/2006/relationships/ctrlProp" Target="../ctrlProps/ctrlProp179.xml"/><Relationship Id="rId219" Type="http://schemas.openxmlformats.org/officeDocument/2006/relationships/ctrlProp" Target="../ctrlProps/ctrlProp214.xml"/><Relationship Id="rId230" Type="http://schemas.openxmlformats.org/officeDocument/2006/relationships/ctrlProp" Target="../ctrlProps/ctrlProp225.xml"/><Relationship Id="rId251" Type="http://schemas.openxmlformats.org/officeDocument/2006/relationships/ctrlProp" Target="../ctrlProps/ctrlProp246.xml"/><Relationship Id="rId25" Type="http://schemas.openxmlformats.org/officeDocument/2006/relationships/ctrlProp" Target="../ctrlProps/ctrlProp20.xml"/><Relationship Id="rId46" Type="http://schemas.openxmlformats.org/officeDocument/2006/relationships/ctrlProp" Target="../ctrlProps/ctrlProp41.xml"/><Relationship Id="rId67" Type="http://schemas.openxmlformats.org/officeDocument/2006/relationships/ctrlProp" Target="../ctrlProps/ctrlProp62.xml"/><Relationship Id="rId88" Type="http://schemas.openxmlformats.org/officeDocument/2006/relationships/ctrlProp" Target="../ctrlProps/ctrlProp83.xml"/><Relationship Id="rId111" Type="http://schemas.openxmlformats.org/officeDocument/2006/relationships/ctrlProp" Target="../ctrlProps/ctrlProp106.xml"/><Relationship Id="rId132" Type="http://schemas.openxmlformats.org/officeDocument/2006/relationships/ctrlProp" Target="../ctrlProps/ctrlProp127.xml"/><Relationship Id="rId153" Type="http://schemas.openxmlformats.org/officeDocument/2006/relationships/ctrlProp" Target="../ctrlProps/ctrlProp148.xml"/><Relationship Id="rId174" Type="http://schemas.openxmlformats.org/officeDocument/2006/relationships/ctrlProp" Target="../ctrlProps/ctrlProp169.xml"/><Relationship Id="rId195" Type="http://schemas.openxmlformats.org/officeDocument/2006/relationships/ctrlProp" Target="../ctrlProps/ctrlProp190.xml"/><Relationship Id="rId209" Type="http://schemas.openxmlformats.org/officeDocument/2006/relationships/ctrlProp" Target="../ctrlProps/ctrlProp204.xml"/><Relationship Id="rId220" Type="http://schemas.openxmlformats.org/officeDocument/2006/relationships/ctrlProp" Target="../ctrlProps/ctrlProp215.xml"/><Relationship Id="rId241" Type="http://schemas.openxmlformats.org/officeDocument/2006/relationships/ctrlProp" Target="../ctrlProps/ctrlProp236.xml"/><Relationship Id="rId15" Type="http://schemas.openxmlformats.org/officeDocument/2006/relationships/ctrlProp" Target="../ctrlProps/ctrlProp10.xml"/><Relationship Id="rId36" Type="http://schemas.openxmlformats.org/officeDocument/2006/relationships/ctrlProp" Target="../ctrlProps/ctrlProp31.xml"/><Relationship Id="rId57" Type="http://schemas.openxmlformats.org/officeDocument/2006/relationships/ctrlProp" Target="../ctrlProps/ctrlProp52.xml"/><Relationship Id="rId262" Type="http://schemas.openxmlformats.org/officeDocument/2006/relationships/ctrlProp" Target="../ctrlProps/ctrlProp257.xml"/><Relationship Id="rId78" Type="http://schemas.openxmlformats.org/officeDocument/2006/relationships/ctrlProp" Target="../ctrlProps/ctrlProp73.xml"/><Relationship Id="rId99" Type="http://schemas.openxmlformats.org/officeDocument/2006/relationships/ctrlProp" Target="../ctrlProps/ctrlProp94.xml"/><Relationship Id="rId101" Type="http://schemas.openxmlformats.org/officeDocument/2006/relationships/ctrlProp" Target="../ctrlProps/ctrlProp96.xml"/><Relationship Id="rId122" Type="http://schemas.openxmlformats.org/officeDocument/2006/relationships/ctrlProp" Target="../ctrlProps/ctrlProp117.xml"/><Relationship Id="rId143" Type="http://schemas.openxmlformats.org/officeDocument/2006/relationships/ctrlProp" Target="../ctrlProps/ctrlProp138.xml"/><Relationship Id="rId164" Type="http://schemas.openxmlformats.org/officeDocument/2006/relationships/ctrlProp" Target="../ctrlProps/ctrlProp159.xml"/><Relationship Id="rId185" Type="http://schemas.openxmlformats.org/officeDocument/2006/relationships/ctrlProp" Target="../ctrlProps/ctrlProp180.xml"/><Relationship Id="rId9" Type="http://schemas.openxmlformats.org/officeDocument/2006/relationships/ctrlProp" Target="../ctrlProps/ctrlProp4.xml"/><Relationship Id="rId210" Type="http://schemas.openxmlformats.org/officeDocument/2006/relationships/ctrlProp" Target="../ctrlProps/ctrlProp205.xml"/><Relationship Id="rId26" Type="http://schemas.openxmlformats.org/officeDocument/2006/relationships/ctrlProp" Target="../ctrlProps/ctrlProp21.xml"/><Relationship Id="rId231" Type="http://schemas.openxmlformats.org/officeDocument/2006/relationships/ctrlProp" Target="../ctrlProps/ctrlProp226.xml"/><Relationship Id="rId252" Type="http://schemas.openxmlformats.org/officeDocument/2006/relationships/ctrlProp" Target="../ctrlProps/ctrlProp247.xml"/><Relationship Id="rId47" Type="http://schemas.openxmlformats.org/officeDocument/2006/relationships/ctrlProp" Target="../ctrlProps/ctrlProp42.xml"/><Relationship Id="rId68" Type="http://schemas.openxmlformats.org/officeDocument/2006/relationships/ctrlProp" Target="../ctrlProps/ctrlProp63.xml"/><Relationship Id="rId89" Type="http://schemas.openxmlformats.org/officeDocument/2006/relationships/ctrlProp" Target="../ctrlProps/ctrlProp84.xml"/><Relationship Id="rId112" Type="http://schemas.openxmlformats.org/officeDocument/2006/relationships/ctrlProp" Target="../ctrlProps/ctrlProp107.xml"/><Relationship Id="rId133" Type="http://schemas.openxmlformats.org/officeDocument/2006/relationships/ctrlProp" Target="../ctrlProps/ctrlProp128.xml"/><Relationship Id="rId154" Type="http://schemas.openxmlformats.org/officeDocument/2006/relationships/ctrlProp" Target="../ctrlProps/ctrlProp149.xml"/><Relationship Id="rId175" Type="http://schemas.openxmlformats.org/officeDocument/2006/relationships/ctrlProp" Target="../ctrlProps/ctrlProp170.xml"/><Relationship Id="rId196" Type="http://schemas.openxmlformats.org/officeDocument/2006/relationships/ctrlProp" Target="../ctrlProps/ctrlProp191.xml"/><Relationship Id="rId200" Type="http://schemas.openxmlformats.org/officeDocument/2006/relationships/ctrlProp" Target="../ctrlProps/ctrlProp195.xml"/><Relationship Id="rId16" Type="http://schemas.openxmlformats.org/officeDocument/2006/relationships/ctrlProp" Target="../ctrlProps/ctrlProp11.xml"/><Relationship Id="rId221" Type="http://schemas.openxmlformats.org/officeDocument/2006/relationships/ctrlProp" Target="../ctrlProps/ctrlProp216.xml"/><Relationship Id="rId242" Type="http://schemas.openxmlformats.org/officeDocument/2006/relationships/ctrlProp" Target="../ctrlProps/ctrlProp237.xml"/><Relationship Id="rId263" Type="http://schemas.openxmlformats.org/officeDocument/2006/relationships/comments" Target="../comments1.xml"/><Relationship Id="rId37" Type="http://schemas.openxmlformats.org/officeDocument/2006/relationships/ctrlProp" Target="../ctrlProps/ctrlProp32.xml"/><Relationship Id="rId58" Type="http://schemas.openxmlformats.org/officeDocument/2006/relationships/ctrlProp" Target="../ctrlProps/ctrlProp53.xml"/><Relationship Id="rId79" Type="http://schemas.openxmlformats.org/officeDocument/2006/relationships/ctrlProp" Target="../ctrlProps/ctrlProp74.xml"/><Relationship Id="rId102" Type="http://schemas.openxmlformats.org/officeDocument/2006/relationships/ctrlProp" Target="../ctrlProps/ctrlProp97.xml"/><Relationship Id="rId123" Type="http://schemas.openxmlformats.org/officeDocument/2006/relationships/ctrlProp" Target="../ctrlProps/ctrlProp118.xml"/><Relationship Id="rId144" Type="http://schemas.openxmlformats.org/officeDocument/2006/relationships/ctrlProp" Target="../ctrlProps/ctrlProp139.xml"/><Relationship Id="rId90" Type="http://schemas.openxmlformats.org/officeDocument/2006/relationships/ctrlProp" Target="../ctrlProps/ctrlProp85.xml"/><Relationship Id="rId165" Type="http://schemas.openxmlformats.org/officeDocument/2006/relationships/ctrlProp" Target="../ctrlProps/ctrlProp160.xml"/><Relationship Id="rId186" Type="http://schemas.openxmlformats.org/officeDocument/2006/relationships/ctrlProp" Target="../ctrlProps/ctrlProp181.xml"/><Relationship Id="rId211" Type="http://schemas.openxmlformats.org/officeDocument/2006/relationships/ctrlProp" Target="../ctrlProps/ctrlProp206.xml"/><Relationship Id="rId232" Type="http://schemas.openxmlformats.org/officeDocument/2006/relationships/ctrlProp" Target="../ctrlProps/ctrlProp227.xml"/><Relationship Id="rId253" Type="http://schemas.openxmlformats.org/officeDocument/2006/relationships/ctrlProp" Target="../ctrlProps/ctrlProp248.xml"/><Relationship Id="rId27" Type="http://schemas.openxmlformats.org/officeDocument/2006/relationships/ctrlProp" Target="../ctrlProps/ctrlProp22.xml"/><Relationship Id="rId48" Type="http://schemas.openxmlformats.org/officeDocument/2006/relationships/ctrlProp" Target="../ctrlProps/ctrlProp43.xml"/><Relationship Id="rId69" Type="http://schemas.openxmlformats.org/officeDocument/2006/relationships/ctrlProp" Target="../ctrlProps/ctrlProp64.xml"/><Relationship Id="rId113" Type="http://schemas.openxmlformats.org/officeDocument/2006/relationships/ctrlProp" Target="../ctrlProps/ctrlProp108.xml"/><Relationship Id="rId134" Type="http://schemas.openxmlformats.org/officeDocument/2006/relationships/ctrlProp" Target="../ctrlProps/ctrlProp129.xml"/><Relationship Id="rId80" Type="http://schemas.openxmlformats.org/officeDocument/2006/relationships/ctrlProp" Target="../ctrlProps/ctrlProp75.xml"/><Relationship Id="rId155" Type="http://schemas.openxmlformats.org/officeDocument/2006/relationships/ctrlProp" Target="../ctrlProps/ctrlProp150.xml"/><Relationship Id="rId176" Type="http://schemas.openxmlformats.org/officeDocument/2006/relationships/ctrlProp" Target="../ctrlProps/ctrlProp171.xml"/><Relationship Id="rId197" Type="http://schemas.openxmlformats.org/officeDocument/2006/relationships/ctrlProp" Target="../ctrlProps/ctrlProp192.xml"/><Relationship Id="rId201" Type="http://schemas.openxmlformats.org/officeDocument/2006/relationships/ctrlProp" Target="../ctrlProps/ctrlProp196.xml"/><Relationship Id="rId222" Type="http://schemas.openxmlformats.org/officeDocument/2006/relationships/ctrlProp" Target="../ctrlProps/ctrlProp217.xml"/><Relationship Id="rId243" Type="http://schemas.openxmlformats.org/officeDocument/2006/relationships/ctrlProp" Target="../ctrlProps/ctrlProp238.xml"/><Relationship Id="rId17" Type="http://schemas.openxmlformats.org/officeDocument/2006/relationships/ctrlProp" Target="../ctrlProps/ctrlProp12.xml"/><Relationship Id="rId38" Type="http://schemas.openxmlformats.org/officeDocument/2006/relationships/ctrlProp" Target="../ctrlProps/ctrlProp33.xml"/><Relationship Id="rId59" Type="http://schemas.openxmlformats.org/officeDocument/2006/relationships/ctrlProp" Target="../ctrlProps/ctrlProp54.xml"/><Relationship Id="rId103" Type="http://schemas.openxmlformats.org/officeDocument/2006/relationships/ctrlProp" Target="../ctrlProps/ctrlProp98.xml"/><Relationship Id="rId124" Type="http://schemas.openxmlformats.org/officeDocument/2006/relationships/ctrlProp" Target="../ctrlProps/ctrlProp119.xml"/><Relationship Id="rId70" Type="http://schemas.openxmlformats.org/officeDocument/2006/relationships/ctrlProp" Target="../ctrlProps/ctrlProp65.xml"/><Relationship Id="rId91" Type="http://schemas.openxmlformats.org/officeDocument/2006/relationships/ctrlProp" Target="../ctrlProps/ctrlProp86.xml"/><Relationship Id="rId145" Type="http://schemas.openxmlformats.org/officeDocument/2006/relationships/ctrlProp" Target="../ctrlProps/ctrlProp140.xml"/><Relationship Id="rId166" Type="http://schemas.openxmlformats.org/officeDocument/2006/relationships/ctrlProp" Target="../ctrlProps/ctrlProp161.xml"/><Relationship Id="rId187" Type="http://schemas.openxmlformats.org/officeDocument/2006/relationships/ctrlProp" Target="../ctrlProps/ctrlProp182.xml"/><Relationship Id="rId1" Type="http://schemas.openxmlformats.org/officeDocument/2006/relationships/printerSettings" Target="../printerSettings/printerSettings2.bin"/><Relationship Id="rId212" Type="http://schemas.openxmlformats.org/officeDocument/2006/relationships/ctrlProp" Target="../ctrlProps/ctrlProp207.xml"/><Relationship Id="rId233" Type="http://schemas.openxmlformats.org/officeDocument/2006/relationships/ctrlProp" Target="../ctrlProps/ctrlProp228.xml"/><Relationship Id="rId254" Type="http://schemas.openxmlformats.org/officeDocument/2006/relationships/ctrlProp" Target="../ctrlProps/ctrlProp249.xml"/><Relationship Id="rId28" Type="http://schemas.openxmlformats.org/officeDocument/2006/relationships/ctrlProp" Target="../ctrlProps/ctrlProp23.xml"/><Relationship Id="rId49" Type="http://schemas.openxmlformats.org/officeDocument/2006/relationships/ctrlProp" Target="../ctrlProps/ctrlProp44.xml"/><Relationship Id="rId114" Type="http://schemas.openxmlformats.org/officeDocument/2006/relationships/ctrlProp" Target="../ctrlProps/ctrlProp109.xml"/><Relationship Id="rId60" Type="http://schemas.openxmlformats.org/officeDocument/2006/relationships/ctrlProp" Target="../ctrlProps/ctrlProp55.xml"/><Relationship Id="rId81" Type="http://schemas.openxmlformats.org/officeDocument/2006/relationships/ctrlProp" Target="../ctrlProps/ctrlProp76.xml"/><Relationship Id="rId135" Type="http://schemas.openxmlformats.org/officeDocument/2006/relationships/ctrlProp" Target="../ctrlProps/ctrlProp130.xml"/><Relationship Id="rId156" Type="http://schemas.openxmlformats.org/officeDocument/2006/relationships/ctrlProp" Target="../ctrlProps/ctrlProp151.xml"/><Relationship Id="rId177" Type="http://schemas.openxmlformats.org/officeDocument/2006/relationships/ctrlProp" Target="../ctrlProps/ctrlProp172.xml"/><Relationship Id="rId198" Type="http://schemas.openxmlformats.org/officeDocument/2006/relationships/ctrlProp" Target="../ctrlProps/ctrlProp193.xml"/><Relationship Id="rId202" Type="http://schemas.openxmlformats.org/officeDocument/2006/relationships/ctrlProp" Target="../ctrlProps/ctrlProp197.xml"/><Relationship Id="rId223" Type="http://schemas.openxmlformats.org/officeDocument/2006/relationships/ctrlProp" Target="../ctrlProps/ctrlProp218.xml"/><Relationship Id="rId244" Type="http://schemas.openxmlformats.org/officeDocument/2006/relationships/ctrlProp" Target="../ctrlProps/ctrlProp239.xml"/><Relationship Id="rId18" Type="http://schemas.openxmlformats.org/officeDocument/2006/relationships/ctrlProp" Target="../ctrlProps/ctrlProp13.xml"/><Relationship Id="rId39" Type="http://schemas.openxmlformats.org/officeDocument/2006/relationships/ctrlProp" Target="../ctrlProps/ctrlProp34.xml"/><Relationship Id="rId50" Type="http://schemas.openxmlformats.org/officeDocument/2006/relationships/ctrlProp" Target="../ctrlProps/ctrlProp45.xml"/><Relationship Id="rId104" Type="http://schemas.openxmlformats.org/officeDocument/2006/relationships/ctrlProp" Target="../ctrlProps/ctrlProp99.xml"/><Relationship Id="rId125" Type="http://schemas.openxmlformats.org/officeDocument/2006/relationships/ctrlProp" Target="../ctrlProps/ctrlProp120.xml"/><Relationship Id="rId146" Type="http://schemas.openxmlformats.org/officeDocument/2006/relationships/ctrlProp" Target="../ctrlProps/ctrlProp141.xml"/><Relationship Id="rId167" Type="http://schemas.openxmlformats.org/officeDocument/2006/relationships/ctrlProp" Target="../ctrlProps/ctrlProp162.xml"/><Relationship Id="rId188" Type="http://schemas.openxmlformats.org/officeDocument/2006/relationships/ctrlProp" Target="../ctrlProps/ctrlProp183.xml"/><Relationship Id="rId71" Type="http://schemas.openxmlformats.org/officeDocument/2006/relationships/ctrlProp" Target="../ctrlProps/ctrlProp66.xml"/><Relationship Id="rId92" Type="http://schemas.openxmlformats.org/officeDocument/2006/relationships/ctrlProp" Target="../ctrlProps/ctrlProp87.xml"/><Relationship Id="rId213" Type="http://schemas.openxmlformats.org/officeDocument/2006/relationships/ctrlProp" Target="../ctrlProps/ctrlProp208.xml"/><Relationship Id="rId234" Type="http://schemas.openxmlformats.org/officeDocument/2006/relationships/ctrlProp" Target="../ctrlProps/ctrlProp229.xml"/><Relationship Id="rId2" Type="http://schemas.openxmlformats.org/officeDocument/2006/relationships/hyperlink" Target="https://lfl.bayern.de/mam/cms07/iab/dateien/vertrag_zus%C3%A4tzliche_ausbringfl%C3%A4chen_lagerkapazit%C3%A4t_20190919.pdf" TargetMode="External"/><Relationship Id="rId29" Type="http://schemas.openxmlformats.org/officeDocument/2006/relationships/ctrlProp" Target="../ctrlProps/ctrlProp24.xml"/><Relationship Id="rId255" Type="http://schemas.openxmlformats.org/officeDocument/2006/relationships/ctrlProp" Target="../ctrlProps/ctrlProp250.xml"/><Relationship Id="rId40" Type="http://schemas.openxmlformats.org/officeDocument/2006/relationships/ctrlProp" Target="../ctrlProps/ctrlProp35.xml"/><Relationship Id="rId115" Type="http://schemas.openxmlformats.org/officeDocument/2006/relationships/ctrlProp" Target="../ctrlProps/ctrlProp110.xml"/><Relationship Id="rId136" Type="http://schemas.openxmlformats.org/officeDocument/2006/relationships/ctrlProp" Target="../ctrlProps/ctrlProp131.xml"/><Relationship Id="rId157" Type="http://schemas.openxmlformats.org/officeDocument/2006/relationships/ctrlProp" Target="../ctrlProps/ctrlProp152.xml"/><Relationship Id="rId178" Type="http://schemas.openxmlformats.org/officeDocument/2006/relationships/ctrlProp" Target="../ctrlProps/ctrlProp173.xml"/><Relationship Id="rId61" Type="http://schemas.openxmlformats.org/officeDocument/2006/relationships/ctrlProp" Target="../ctrlProps/ctrlProp56.xml"/><Relationship Id="rId82" Type="http://schemas.openxmlformats.org/officeDocument/2006/relationships/ctrlProp" Target="../ctrlProps/ctrlProp77.xml"/><Relationship Id="rId199" Type="http://schemas.openxmlformats.org/officeDocument/2006/relationships/ctrlProp" Target="../ctrlProps/ctrlProp194.xml"/><Relationship Id="rId203" Type="http://schemas.openxmlformats.org/officeDocument/2006/relationships/ctrlProp" Target="../ctrlProps/ctrlProp198.xml"/><Relationship Id="rId19" Type="http://schemas.openxmlformats.org/officeDocument/2006/relationships/ctrlProp" Target="../ctrlProps/ctrlProp14.xml"/><Relationship Id="rId224" Type="http://schemas.openxmlformats.org/officeDocument/2006/relationships/ctrlProp" Target="../ctrlProps/ctrlProp219.xml"/><Relationship Id="rId245" Type="http://schemas.openxmlformats.org/officeDocument/2006/relationships/ctrlProp" Target="../ctrlProps/ctrlProp240.xml"/><Relationship Id="rId30" Type="http://schemas.openxmlformats.org/officeDocument/2006/relationships/ctrlProp" Target="../ctrlProps/ctrlProp25.xml"/><Relationship Id="rId105" Type="http://schemas.openxmlformats.org/officeDocument/2006/relationships/ctrlProp" Target="../ctrlProps/ctrlProp100.xml"/><Relationship Id="rId126" Type="http://schemas.openxmlformats.org/officeDocument/2006/relationships/ctrlProp" Target="../ctrlProps/ctrlProp121.xml"/><Relationship Id="rId147" Type="http://schemas.openxmlformats.org/officeDocument/2006/relationships/ctrlProp" Target="../ctrlProps/ctrlProp142.xml"/><Relationship Id="rId168" Type="http://schemas.openxmlformats.org/officeDocument/2006/relationships/ctrlProp" Target="../ctrlProps/ctrlProp163.xml"/><Relationship Id="rId51" Type="http://schemas.openxmlformats.org/officeDocument/2006/relationships/ctrlProp" Target="../ctrlProps/ctrlProp46.xml"/><Relationship Id="rId72" Type="http://schemas.openxmlformats.org/officeDocument/2006/relationships/ctrlProp" Target="../ctrlProps/ctrlProp67.xml"/><Relationship Id="rId93" Type="http://schemas.openxmlformats.org/officeDocument/2006/relationships/ctrlProp" Target="../ctrlProps/ctrlProp88.xml"/><Relationship Id="rId189" Type="http://schemas.openxmlformats.org/officeDocument/2006/relationships/ctrlProp" Target="../ctrlProps/ctrlProp184.xml"/><Relationship Id="rId3" Type="http://schemas.openxmlformats.org/officeDocument/2006/relationships/printerSettings" Target="../printerSettings/printerSettings3.bin"/><Relationship Id="rId214" Type="http://schemas.openxmlformats.org/officeDocument/2006/relationships/ctrlProp" Target="../ctrlProps/ctrlProp209.xml"/><Relationship Id="rId235" Type="http://schemas.openxmlformats.org/officeDocument/2006/relationships/ctrlProp" Target="../ctrlProps/ctrlProp230.xml"/><Relationship Id="rId256" Type="http://schemas.openxmlformats.org/officeDocument/2006/relationships/ctrlProp" Target="../ctrlProps/ctrlProp251.xml"/><Relationship Id="rId116" Type="http://schemas.openxmlformats.org/officeDocument/2006/relationships/ctrlProp" Target="../ctrlProps/ctrlProp111.xml"/><Relationship Id="rId137" Type="http://schemas.openxmlformats.org/officeDocument/2006/relationships/ctrlProp" Target="../ctrlProps/ctrlProp132.xml"/><Relationship Id="rId158" Type="http://schemas.openxmlformats.org/officeDocument/2006/relationships/ctrlProp" Target="../ctrlProps/ctrlProp153.xml"/><Relationship Id="rId20" Type="http://schemas.openxmlformats.org/officeDocument/2006/relationships/ctrlProp" Target="../ctrlProps/ctrlProp15.xml"/><Relationship Id="rId41" Type="http://schemas.openxmlformats.org/officeDocument/2006/relationships/ctrlProp" Target="../ctrlProps/ctrlProp36.xml"/><Relationship Id="rId62" Type="http://schemas.openxmlformats.org/officeDocument/2006/relationships/ctrlProp" Target="../ctrlProps/ctrlProp57.xml"/><Relationship Id="rId83" Type="http://schemas.openxmlformats.org/officeDocument/2006/relationships/ctrlProp" Target="../ctrlProps/ctrlProp78.xml"/><Relationship Id="rId179" Type="http://schemas.openxmlformats.org/officeDocument/2006/relationships/ctrlProp" Target="../ctrlProps/ctrlProp174.xml"/><Relationship Id="rId190" Type="http://schemas.openxmlformats.org/officeDocument/2006/relationships/ctrlProp" Target="../ctrlProps/ctrlProp185.xml"/><Relationship Id="rId204" Type="http://schemas.openxmlformats.org/officeDocument/2006/relationships/ctrlProp" Target="../ctrlProps/ctrlProp199.xml"/><Relationship Id="rId225" Type="http://schemas.openxmlformats.org/officeDocument/2006/relationships/ctrlProp" Target="../ctrlProps/ctrlProp220.xml"/><Relationship Id="rId246" Type="http://schemas.openxmlformats.org/officeDocument/2006/relationships/ctrlProp" Target="../ctrlProps/ctrlProp241.xml"/><Relationship Id="rId106" Type="http://schemas.openxmlformats.org/officeDocument/2006/relationships/ctrlProp" Target="../ctrlProps/ctrlProp101.xml"/><Relationship Id="rId127" Type="http://schemas.openxmlformats.org/officeDocument/2006/relationships/ctrlProp" Target="../ctrlProps/ctrlProp122.xml"/><Relationship Id="rId10" Type="http://schemas.openxmlformats.org/officeDocument/2006/relationships/ctrlProp" Target="../ctrlProps/ctrlProp5.xml"/><Relationship Id="rId31" Type="http://schemas.openxmlformats.org/officeDocument/2006/relationships/ctrlProp" Target="../ctrlProps/ctrlProp26.xml"/><Relationship Id="rId52" Type="http://schemas.openxmlformats.org/officeDocument/2006/relationships/ctrlProp" Target="../ctrlProps/ctrlProp47.xml"/><Relationship Id="rId73" Type="http://schemas.openxmlformats.org/officeDocument/2006/relationships/ctrlProp" Target="../ctrlProps/ctrlProp68.xml"/><Relationship Id="rId94" Type="http://schemas.openxmlformats.org/officeDocument/2006/relationships/ctrlProp" Target="../ctrlProps/ctrlProp89.xml"/><Relationship Id="rId148" Type="http://schemas.openxmlformats.org/officeDocument/2006/relationships/ctrlProp" Target="../ctrlProps/ctrlProp143.xml"/><Relationship Id="rId169" Type="http://schemas.openxmlformats.org/officeDocument/2006/relationships/ctrlProp" Target="../ctrlProps/ctrlProp164.xml"/><Relationship Id="rId4" Type="http://schemas.openxmlformats.org/officeDocument/2006/relationships/drawing" Target="../drawings/drawing2.xml"/><Relationship Id="rId180" Type="http://schemas.openxmlformats.org/officeDocument/2006/relationships/ctrlProp" Target="../ctrlProps/ctrlProp175.xml"/><Relationship Id="rId215" Type="http://schemas.openxmlformats.org/officeDocument/2006/relationships/ctrlProp" Target="../ctrlProps/ctrlProp210.xml"/><Relationship Id="rId236" Type="http://schemas.openxmlformats.org/officeDocument/2006/relationships/ctrlProp" Target="../ctrlProps/ctrlProp231.xml"/><Relationship Id="rId257" Type="http://schemas.openxmlformats.org/officeDocument/2006/relationships/ctrlProp" Target="../ctrlProps/ctrlProp252.xml"/><Relationship Id="rId42" Type="http://schemas.openxmlformats.org/officeDocument/2006/relationships/ctrlProp" Target="../ctrlProps/ctrlProp37.xml"/><Relationship Id="rId84" Type="http://schemas.openxmlformats.org/officeDocument/2006/relationships/ctrlProp" Target="../ctrlProps/ctrlProp79.xml"/><Relationship Id="rId138" Type="http://schemas.openxmlformats.org/officeDocument/2006/relationships/ctrlProp" Target="../ctrlProps/ctrlProp133.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261.xml"/><Relationship Id="rId3" Type="http://schemas.openxmlformats.org/officeDocument/2006/relationships/drawing" Target="../drawings/drawing3.xml"/><Relationship Id="rId7" Type="http://schemas.openxmlformats.org/officeDocument/2006/relationships/ctrlProp" Target="../ctrlProps/ctrlProp260.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ctrlProp" Target="../ctrlProps/ctrlProp259.xml"/><Relationship Id="rId5" Type="http://schemas.openxmlformats.org/officeDocument/2006/relationships/ctrlProp" Target="../ctrlProps/ctrlProp258.xml"/><Relationship Id="rId10" Type="http://schemas.openxmlformats.org/officeDocument/2006/relationships/comments" Target="../comments2.xml"/><Relationship Id="rId4" Type="http://schemas.openxmlformats.org/officeDocument/2006/relationships/vmlDrawing" Target="../drawings/vmlDrawing2.vml"/><Relationship Id="rId9" Type="http://schemas.openxmlformats.org/officeDocument/2006/relationships/ctrlProp" Target="../ctrlProps/ctrlProp262.xml"/></Relationships>
</file>

<file path=xl/worksheets/_rels/sheet4.xml.rels><?xml version="1.0" encoding="UTF-8" standalone="yes"?>
<Relationships xmlns="http://schemas.openxmlformats.org/package/2006/relationships"><Relationship Id="rId26" Type="http://schemas.openxmlformats.org/officeDocument/2006/relationships/ctrlProp" Target="../ctrlProps/ctrlProp285.xml"/><Relationship Id="rId21" Type="http://schemas.openxmlformats.org/officeDocument/2006/relationships/ctrlProp" Target="../ctrlProps/ctrlProp280.xml"/><Relationship Id="rId42" Type="http://schemas.openxmlformats.org/officeDocument/2006/relationships/ctrlProp" Target="../ctrlProps/ctrlProp301.xml"/><Relationship Id="rId47" Type="http://schemas.openxmlformats.org/officeDocument/2006/relationships/ctrlProp" Target="../ctrlProps/ctrlProp306.xml"/><Relationship Id="rId63" Type="http://schemas.openxmlformats.org/officeDocument/2006/relationships/ctrlProp" Target="../ctrlProps/ctrlProp322.xml"/><Relationship Id="rId68" Type="http://schemas.openxmlformats.org/officeDocument/2006/relationships/ctrlProp" Target="../ctrlProps/ctrlProp327.xml"/><Relationship Id="rId84" Type="http://schemas.openxmlformats.org/officeDocument/2006/relationships/ctrlProp" Target="../ctrlProps/ctrlProp343.xml"/><Relationship Id="rId89" Type="http://schemas.openxmlformats.org/officeDocument/2006/relationships/ctrlProp" Target="../ctrlProps/ctrlProp348.xml"/><Relationship Id="rId112" Type="http://schemas.openxmlformats.org/officeDocument/2006/relationships/ctrlProp" Target="../ctrlProps/ctrlProp371.xml"/><Relationship Id="rId16" Type="http://schemas.openxmlformats.org/officeDocument/2006/relationships/ctrlProp" Target="../ctrlProps/ctrlProp275.xml"/><Relationship Id="rId107" Type="http://schemas.openxmlformats.org/officeDocument/2006/relationships/ctrlProp" Target="../ctrlProps/ctrlProp366.xml"/><Relationship Id="rId11" Type="http://schemas.openxmlformats.org/officeDocument/2006/relationships/ctrlProp" Target="../ctrlProps/ctrlProp270.xml"/><Relationship Id="rId32" Type="http://schemas.openxmlformats.org/officeDocument/2006/relationships/ctrlProp" Target="../ctrlProps/ctrlProp291.xml"/><Relationship Id="rId37" Type="http://schemas.openxmlformats.org/officeDocument/2006/relationships/ctrlProp" Target="../ctrlProps/ctrlProp296.xml"/><Relationship Id="rId53" Type="http://schemas.openxmlformats.org/officeDocument/2006/relationships/ctrlProp" Target="../ctrlProps/ctrlProp312.xml"/><Relationship Id="rId58" Type="http://schemas.openxmlformats.org/officeDocument/2006/relationships/ctrlProp" Target="../ctrlProps/ctrlProp317.xml"/><Relationship Id="rId74" Type="http://schemas.openxmlformats.org/officeDocument/2006/relationships/ctrlProp" Target="../ctrlProps/ctrlProp333.xml"/><Relationship Id="rId79" Type="http://schemas.openxmlformats.org/officeDocument/2006/relationships/ctrlProp" Target="../ctrlProps/ctrlProp338.xml"/><Relationship Id="rId102" Type="http://schemas.openxmlformats.org/officeDocument/2006/relationships/ctrlProp" Target="../ctrlProps/ctrlProp361.xml"/><Relationship Id="rId5" Type="http://schemas.openxmlformats.org/officeDocument/2006/relationships/ctrlProp" Target="../ctrlProps/ctrlProp264.xml"/><Relationship Id="rId90" Type="http://schemas.openxmlformats.org/officeDocument/2006/relationships/ctrlProp" Target="../ctrlProps/ctrlProp349.xml"/><Relationship Id="rId95" Type="http://schemas.openxmlformats.org/officeDocument/2006/relationships/ctrlProp" Target="../ctrlProps/ctrlProp354.xml"/><Relationship Id="rId22" Type="http://schemas.openxmlformats.org/officeDocument/2006/relationships/ctrlProp" Target="../ctrlProps/ctrlProp281.xml"/><Relationship Id="rId27" Type="http://schemas.openxmlformats.org/officeDocument/2006/relationships/ctrlProp" Target="../ctrlProps/ctrlProp286.xml"/><Relationship Id="rId43" Type="http://schemas.openxmlformats.org/officeDocument/2006/relationships/ctrlProp" Target="../ctrlProps/ctrlProp302.xml"/><Relationship Id="rId48" Type="http://schemas.openxmlformats.org/officeDocument/2006/relationships/ctrlProp" Target="../ctrlProps/ctrlProp307.xml"/><Relationship Id="rId64" Type="http://schemas.openxmlformats.org/officeDocument/2006/relationships/ctrlProp" Target="../ctrlProps/ctrlProp323.xml"/><Relationship Id="rId69" Type="http://schemas.openxmlformats.org/officeDocument/2006/relationships/ctrlProp" Target="../ctrlProps/ctrlProp328.xml"/><Relationship Id="rId113" Type="http://schemas.openxmlformats.org/officeDocument/2006/relationships/ctrlProp" Target="../ctrlProps/ctrlProp372.xml"/><Relationship Id="rId80" Type="http://schemas.openxmlformats.org/officeDocument/2006/relationships/ctrlProp" Target="../ctrlProps/ctrlProp339.xml"/><Relationship Id="rId85" Type="http://schemas.openxmlformats.org/officeDocument/2006/relationships/ctrlProp" Target="../ctrlProps/ctrlProp344.xml"/><Relationship Id="rId12" Type="http://schemas.openxmlformats.org/officeDocument/2006/relationships/ctrlProp" Target="../ctrlProps/ctrlProp271.xml"/><Relationship Id="rId17" Type="http://schemas.openxmlformats.org/officeDocument/2006/relationships/ctrlProp" Target="../ctrlProps/ctrlProp276.xml"/><Relationship Id="rId33" Type="http://schemas.openxmlformats.org/officeDocument/2006/relationships/ctrlProp" Target="../ctrlProps/ctrlProp292.xml"/><Relationship Id="rId38" Type="http://schemas.openxmlformats.org/officeDocument/2006/relationships/ctrlProp" Target="../ctrlProps/ctrlProp297.xml"/><Relationship Id="rId59" Type="http://schemas.openxmlformats.org/officeDocument/2006/relationships/ctrlProp" Target="../ctrlProps/ctrlProp318.xml"/><Relationship Id="rId103" Type="http://schemas.openxmlformats.org/officeDocument/2006/relationships/ctrlProp" Target="../ctrlProps/ctrlProp362.xml"/><Relationship Id="rId108" Type="http://schemas.openxmlformats.org/officeDocument/2006/relationships/ctrlProp" Target="../ctrlProps/ctrlProp367.xml"/><Relationship Id="rId54" Type="http://schemas.openxmlformats.org/officeDocument/2006/relationships/ctrlProp" Target="../ctrlProps/ctrlProp313.xml"/><Relationship Id="rId70" Type="http://schemas.openxmlformats.org/officeDocument/2006/relationships/ctrlProp" Target="../ctrlProps/ctrlProp329.xml"/><Relationship Id="rId75" Type="http://schemas.openxmlformats.org/officeDocument/2006/relationships/ctrlProp" Target="../ctrlProps/ctrlProp334.xml"/><Relationship Id="rId91" Type="http://schemas.openxmlformats.org/officeDocument/2006/relationships/ctrlProp" Target="../ctrlProps/ctrlProp350.xml"/><Relationship Id="rId96" Type="http://schemas.openxmlformats.org/officeDocument/2006/relationships/ctrlProp" Target="../ctrlProps/ctrlProp355.xml"/><Relationship Id="rId1" Type="http://schemas.openxmlformats.org/officeDocument/2006/relationships/printerSettings" Target="../printerSettings/printerSettings6.bin"/><Relationship Id="rId6" Type="http://schemas.openxmlformats.org/officeDocument/2006/relationships/ctrlProp" Target="../ctrlProps/ctrlProp265.xml"/><Relationship Id="rId15" Type="http://schemas.openxmlformats.org/officeDocument/2006/relationships/ctrlProp" Target="../ctrlProps/ctrlProp274.xml"/><Relationship Id="rId23" Type="http://schemas.openxmlformats.org/officeDocument/2006/relationships/ctrlProp" Target="../ctrlProps/ctrlProp282.xml"/><Relationship Id="rId28" Type="http://schemas.openxmlformats.org/officeDocument/2006/relationships/ctrlProp" Target="../ctrlProps/ctrlProp287.xml"/><Relationship Id="rId36" Type="http://schemas.openxmlformats.org/officeDocument/2006/relationships/ctrlProp" Target="../ctrlProps/ctrlProp295.xml"/><Relationship Id="rId49" Type="http://schemas.openxmlformats.org/officeDocument/2006/relationships/ctrlProp" Target="../ctrlProps/ctrlProp308.xml"/><Relationship Id="rId57" Type="http://schemas.openxmlformats.org/officeDocument/2006/relationships/ctrlProp" Target="../ctrlProps/ctrlProp316.xml"/><Relationship Id="rId106" Type="http://schemas.openxmlformats.org/officeDocument/2006/relationships/ctrlProp" Target="../ctrlProps/ctrlProp365.xml"/><Relationship Id="rId114" Type="http://schemas.openxmlformats.org/officeDocument/2006/relationships/ctrlProp" Target="../ctrlProps/ctrlProp373.xml"/><Relationship Id="rId10" Type="http://schemas.openxmlformats.org/officeDocument/2006/relationships/ctrlProp" Target="../ctrlProps/ctrlProp269.xml"/><Relationship Id="rId31" Type="http://schemas.openxmlformats.org/officeDocument/2006/relationships/ctrlProp" Target="../ctrlProps/ctrlProp290.xml"/><Relationship Id="rId44" Type="http://schemas.openxmlformats.org/officeDocument/2006/relationships/ctrlProp" Target="../ctrlProps/ctrlProp303.xml"/><Relationship Id="rId52" Type="http://schemas.openxmlformats.org/officeDocument/2006/relationships/ctrlProp" Target="../ctrlProps/ctrlProp311.xml"/><Relationship Id="rId60" Type="http://schemas.openxmlformats.org/officeDocument/2006/relationships/ctrlProp" Target="../ctrlProps/ctrlProp319.xml"/><Relationship Id="rId65" Type="http://schemas.openxmlformats.org/officeDocument/2006/relationships/ctrlProp" Target="../ctrlProps/ctrlProp324.xml"/><Relationship Id="rId73" Type="http://schemas.openxmlformats.org/officeDocument/2006/relationships/ctrlProp" Target="../ctrlProps/ctrlProp332.xml"/><Relationship Id="rId78" Type="http://schemas.openxmlformats.org/officeDocument/2006/relationships/ctrlProp" Target="../ctrlProps/ctrlProp337.xml"/><Relationship Id="rId81" Type="http://schemas.openxmlformats.org/officeDocument/2006/relationships/ctrlProp" Target="../ctrlProps/ctrlProp340.xml"/><Relationship Id="rId86" Type="http://schemas.openxmlformats.org/officeDocument/2006/relationships/ctrlProp" Target="../ctrlProps/ctrlProp345.xml"/><Relationship Id="rId94" Type="http://schemas.openxmlformats.org/officeDocument/2006/relationships/ctrlProp" Target="../ctrlProps/ctrlProp353.xml"/><Relationship Id="rId99" Type="http://schemas.openxmlformats.org/officeDocument/2006/relationships/ctrlProp" Target="../ctrlProps/ctrlProp358.xml"/><Relationship Id="rId101" Type="http://schemas.openxmlformats.org/officeDocument/2006/relationships/ctrlProp" Target="../ctrlProps/ctrlProp360.xml"/><Relationship Id="rId4" Type="http://schemas.openxmlformats.org/officeDocument/2006/relationships/ctrlProp" Target="../ctrlProps/ctrlProp263.xml"/><Relationship Id="rId9" Type="http://schemas.openxmlformats.org/officeDocument/2006/relationships/ctrlProp" Target="../ctrlProps/ctrlProp268.xml"/><Relationship Id="rId13" Type="http://schemas.openxmlformats.org/officeDocument/2006/relationships/ctrlProp" Target="../ctrlProps/ctrlProp272.xml"/><Relationship Id="rId18" Type="http://schemas.openxmlformats.org/officeDocument/2006/relationships/ctrlProp" Target="../ctrlProps/ctrlProp277.xml"/><Relationship Id="rId39" Type="http://schemas.openxmlformats.org/officeDocument/2006/relationships/ctrlProp" Target="../ctrlProps/ctrlProp298.xml"/><Relationship Id="rId109" Type="http://schemas.openxmlformats.org/officeDocument/2006/relationships/ctrlProp" Target="../ctrlProps/ctrlProp368.xml"/><Relationship Id="rId34" Type="http://schemas.openxmlformats.org/officeDocument/2006/relationships/ctrlProp" Target="../ctrlProps/ctrlProp293.xml"/><Relationship Id="rId50" Type="http://schemas.openxmlformats.org/officeDocument/2006/relationships/ctrlProp" Target="../ctrlProps/ctrlProp309.xml"/><Relationship Id="rId55" Type="http://schemas.openxmlformats.org/officeDocument/2006/relationships/ctrlProp" Target="../ctrlProps/ctrlProp314.xml"/><Relationship Id="rId76" Type="http://schemas.openxmlformats.org/officeDocument/2006/relationships/ctrlProp" Target="../ctrlProps/ctrlProp335.xml"/><Relationship Id="rId97" Type="http://schemas.openxmlformats.org/officeDocument/2006/relationships/ctrlProp" Target="../ctrlProps/ctrlProp356.xml"/><Relationship Id="rId104" Type="http://schemas.openxmlformats.org/officeDocument/2006/relationships/ctrlProp" Target="../ctrlProps/ctrlProp363.xml"/><Relationship Id="rId7" Type="http://schemas.openxmlformats.org/officeDocument/2006/relationships/ctrlProp" Target="../ctrlProps/ctrlProp266.xml"/><Relationship Id="rId71" Type="http://schemas.openxmlformats.org/officeDocument/2006/relationships/ctrlProp" Target="../ctrlProps/ctrlProp330.xml"/><Relationship Id="rId92" Type="http://schemas.openxmlformats.org/officeDocument/2006/relationships/ctrlProp" Target="../ctrlProps/ctrlProp351.xml"/><Relationship Id="rId2" Type="http://schemas.openxmlformats.org/officeDocument/2006/relationships/drawing" Target="../drawings/drawing4.xml"/><Relationship Id="rId29" Type="http://schemas.openxmlformats.org/officeDocument/2006/relationships/ctrlProp" Target="../ctrlProps/ctrlProp288.xml"/><Relationship Id="rId24" Type="http://schemas.openxmlformats.org/officeDocument/2006/relationships/ctrlProp" Target="../ctrlProps/ctrlProp283.xml"/><Relationship Id="rId40" Type="http://schemas.openxmlformats.org/officeDocument/2006/relationships/ctrlProp" Target="../ctrlProps/ctrlProp299.xml"/><Relationship Id="rId45" Type="http://schemas.openxmlformats.org/officeDocument/2006/relationships/ctrlProp" Target="../ctrlProps/ctrlProp304.xml"/><Relationship Id="rId66" Type="http://schemas.openxmlformats.org/officeDocument/2006/relationships/ctrlProp" Target="../ctrlProps/ctrlProp325.xml"/><Relationship Id="rId87" Type="http://schemas.openxmlformats.org/officeDocument/2006/relationships/ctrlProp" Target="../ctrlProps/ctrlProp346.xml"/><Relationship Id="rId110" Type="http://schemas.openxmlformats.org/officeDocument/2006/relationships/ctrlProp" Target="../ctrlProps/ctrlProp369.xml"/><Relationship Id="rId115" Type="http://schemas.openxmlformats.org/officeDocument/2006/relationships/comments" Target="../comments3.xml"/><Relationship Id="rId61" Type="http://schemas.openxmlformats.org/officeDocument/2006/relationships/ctrlProp" Target="../ctrlProps/ctrlProp320.xml"/><Relationship Id="rId82" Type="http://schemas.openxmlformats.org/officeDocument/2006/relationships/ctrlProp" Target="../ctrlProps/ctrlProp341.xml"/><Relationship Id="rId19" Type="http://schemas.openxmlformats.org/officeDocument/2006/relationships/ctrlProp" Target="../ctrlProps/ctrlProp278.xml"/><Relationship Id="rId14" Type="http://schemas.openxmlformats.org/officeDocument/2006/relationships/ctrlProp" Target="../ctrlProps/ctrlProp273.xml"/><Relationship Id="rId30" Type="http://schemas.openxmlformats.org/officeDocument/2006/relationships/ctrlProp" Target="../ctrlProps/ctrlProp289.xml"/><Relationship Id="rId35" Type="http://schemas.openxmlformats.org/officeDocument/2006/relationships/ctrlProp" Target="../ctrlProps/ctrlProp294.xml"/><Relationship Id="rId56" Type="http://schemas.openxmlformats.org/officeDocument/2006/relationships/ctrlProp" Target="../ctrlProps/ctrlProp315.xml"/><Relationship Id="rId77" Type="http://schemas.openxmlformats.org/officeDocument/2006/relationships/ctrlProp" Target="../ctrlProps/ctrlProp336.xml"/><Relationship Id="rId100" Type="http://schemas.openxmlformats.org/officeDocument/2006/relationships/ctrlProp" Target="../ctrlProps/ctrlProp359.xml"/><Relationship Id="rId105" Type="http://schemas.openxmlformats.org/officeDocument/2006/relationships/ctrlProp" Target="../ctrlProps/ctrlProp364.xml"/><Relationship Id="rId8" Type="http://schemas.openxmlformats.org/officeDocument/2006/relationships/ctrlProp" Target="../ctrlProps/ctrlProp267.xml"/><Relationship Id="rId51" Type="http://schemas.openxmlformats.org/officeDocument/2006/relationships/ctrlProp" Target="../ctrlProps/ctrlProp310.xml"/><Relationship Id="rId72" Type="http://schemas.openxmlformats.org/officeDocument/2006/relationships/ctrlProp" Target="../ctrlProps/ctrlProp331.xml"/><Relationship Id="rId93" Type="http://schemas.openxmlformats.org/officeDocument/2006/relationships/ctrlProp" Target="../ctrlProps/ctrlProp352.xml"/><Relationship Id="rId98" Type="http://schemas.openxmlformats.org/officeDocument/2006/relationships/ctrlProp" Target="../ctrlProps/ctrlProp357.xml"/><Relationship Id="rId3" Type="http://schemas.openxmlformats.org/officeDocument/2006/relationships/vmlDrawing" Target="../drawings/vmlDrawing3.vml"/><Relationship Id="rId25" Type="http://schemas.openxmlformats.org/officeDocument/2006/relationships/ctrlProp" Target="../ctrlProps/ctrlProp284.xml"/><Relationship Id="rId46" Type="http://schemas.openxmlformats.org/officeDocument/2006/relationships/ctrlProp" Target="../ctrlProps/ctrlProp305.xml"/><Relationship Id="rId67" Type="http://schemas.openxmlformats.org/officeDocument/2006/relationships/ctrlProp" Target="../ctrlProps/ctrlProp326.xml"/><Relationship Id="rId20" Type="http://schemas.openxmlformats.org/officeDocument/2006/relationships/ctrlProp" Target="../ctrlProps/ctrlProp279.xml"/><Relationship Id="rId41" Type="http://schemas.openxmlformats.org/officeDocument/2006/relationships/ctrlProp" Target="../ctrlProps/ctrlProp300.xml"/><Relationship Id="rId62" Type="http://schemas.openxmlformats.org/officeDocument/2006/relationships/ctrlProp" Target="../ctrlProps/ctrlProp321.xml"/><Relationship Id="rId83" Type="http://schemas.openxmlformats.org/officeDocument/2006/relationships/ctrlProp" Target="../ctrlProps/ctrlProp342.xml"/><Relationship Id="rId88" Type="http://schemas.openxmlformats.org/officeDocument/2006/relationships/ctrlProp" Target="../ctrlProps/ctrlProp347.xml"/><Relationship Id="rId111" Type="http://schemas.openxmlformats.org/officeDocument/2006/relationships/ctrlProp" Target="../ctrlProps/ctrlProp37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39"/>
  <sheetViews>
    <sheetView showGridLines="0" tabSelected="1" zoomScaleNormal="100" workbookViewId="0"/>
  </sheetViews>
  <sheetFormatPr baseColWidth="10" defaultRowHeight="12.75" x14ac:dyDescent="0.2"/>
  <cols>
    <col min="1" max="1" width="1" customWidth="1"/>
    <col min="3" max="3" width="17.85546875" customWidth="1"/>
    <col min="6" max="6" width="11.5703125" customWidth="1"/>
    <col min="8" max="8" width="11.7109375" customWidth="1"/>
    <col min="9" max="9" width="13.85546875" customWidth="1"/>
    <col min="10" max="10" width="0.42578125" customWidth="1"/>
  </cols>
  <sheetData>
    <row r="2" spans="2:11" ht="23.25" x14ac:dyDescent="0.35">
      <c r="B2" s="2215" t="str">
        <f>CONCATENATE("LfL-Biogasrechner ",'Nährstoffe und Lagerraum'!$E$5)</f>
        <v>LfL-Biogasrechner 2024</v>
      </c>
      <c r="C2" s="2215"/>
      <c r="D2" s="2215"/>
      <c r="E2" s="2215"/>
      <c r="F2" s="2215"/>
      <c r="G2" s="2215"/>
    </row>
    <row r="6" spans="2:11" ht="15.75" x14ac:dyDescent="0.25">
      <c r="B6" s="60" t="s">
        <v>8717</v>
      </c>
    </row>
    <row r="8" spans="2:11" ht="15" x14ac:dyDescent="0.25">
      <c r="B8" s="2074" t="s">
        <v>8735</v>
      </c>
      <c r="C8" s="2079"/>
      <c r="D8" s="2079"/>
      <c r="E8" s="2079"/>
      <c r="F8" s="2079"/>
      <c r="G8" s="2079"/>
      <c r="H8" s="2079"/>
      <c r="I8" s="2080"/>
    </row>
    <row r="9" spans="2:11" x14ac:dyDescent="0.2">
      <c r="B9" s="2081"/>
      <c r="C9" s="726"/>
      <c r="D9" s="726"/>
      <c r="E9" s="726"/>
      <c r="F9" s="726"/>
      <c r="G9" s="726"/>
      <c r="H9" s="726"/>
      <c r="I9" s="2082"/>
    </row>
    <row r="10" spans="2:11" ht="12.75" customHeight="1" x14ac:dyDescent="0.2">
      <c r="B10" s="2213" t="s">
        <v>8718</v>
      </c>
      <c r="C10" s="2214"/>
      <c r="D10" s="2218" t="s">
        <v>8719</v>
      </c>
      <c r="E10" s="2218"/>
      <c r="F10" s="2218"/>
      <c r="G10" s="2218"/>
      <c r="H10" s="2218"/>
      <c r="I10" s="2219"/>
      <c r="J10" s="2076"/>
      <c r="K10" s="2076"/>
    </row>
    <row r="11" spans="2:11" x14ac:dyDescent="0.2">
      <c r="B11" s="2213"/>
      <c r="C11" s="2214"/>
      <c r="D11" s="2218"/>
      <c r="E11" s="2218"/>
      <c r="F11" s="2218"/>
      <c r="G11" s="2218"/>
      <c r="H11" s="2218"/>
      <c r="I11" s="2219"/>
      <c r="J11" s="2076"/>
      <c r="K11" s="2076"/>
    </row>
    <row r="12" spans="2:11" x14ac:dyDescent="0.2">
      <c r="B12" s="2162"/>
      <c r="C12" s="2163"/>
      <c r="D12" s="2083"/>
      <c r="E12" s="2083"/>
      <c r="F12" s="2083"/>
      <c r="G12" s="2083"/>
      <c r="H12" s="2083"/>
      <c r="I12" s="2084"/>
      <c r="J12" s="2075"/>
      <c r="K12" s="2075"/>
    </row>
    <row r="13" spans="2:11" x14ac:dyDescent="0.2">
      <c r="B13" s="2213" t="s">
        <v>8856</v>
      </c>
      <c r="C13" s="2214"/>
      <c r="D13" s="2157" t="s">
        <v>8721</v>
      </c>
      <c r="E13" s="2158"/>
      <c r="F13" s="2158"/>
      <c r="G13" s="2158"/>
      <c r="H13" s="2158"/>
      <c r="I13" s="2159"/>
    </row>
    <row r="14" spans="2:11" x14ac:dyDescent="0.2">
      <c r="B14" s="2213"/>
      <c r="C14" s="2214"/>
      <c r="D14" s="2158" t="s">
        <v>8720</v>
      </c>
      <c r="E14" s="2158"/>
      <c r="F14" s="2158"/>
      <c r="G14" s="2158"/>
      <c r="H14" s="2158"/>
      <c r="I14" s="2159"/>
    </row>
    <row r="15" spans="2:11" ht="19.899999999999999" customHeight="1" x14ac:dyDescent="0.2">
      <c r="B15" s="2220"/>
      <c r="C15" s="2221"/>
      <c r="D15" s="2155" t="s">
        <v>8850</v>
      </c>
      <c r="E15" s="2155"/>
      <c r="F15" s="2155"/>
      <c r="G15" s="2155"/>
      <c r="H15" s="2155"/>
      <c r="I15" s="2156"/>
    </row>
    <row r="16" spans="2:11" ht="13.15" customHeight="1" x14ac:dyDescent="0.2"/>
    <row r="17" spans="2:9" ht="15" x14ac:dyDescent="0.25">
      <c r="B17" s="2074" t="s">
        <v>8736</v>
      </c>
      <c r="C17" s="2079"/>
      <c r="D17" s="2079"/>
      <c r="E17" s="2079"/>
      <c r="F17" s="2079"/>
      <c r="G17" s="2079"/>
      <c r="H17" s="2079"/>
      <c r="I17" s="2080"/>
    </row>
    <row r="18" spans="2:9" x14ac:dyDescent="0.2">
      <c r="B18" s="2160"/>
      <c r="C18" s="2161"/>
      <c r="D18" s="726"/>
      <c r="E18" s="726"/>
      <c r="F18" s="726"/>
      <c r="G18" s="726"/>
      <c r="H18" s="726"/>
      <c r="I18" s="2082"/>
    </row>
    <row r="19" spans="2:9" x14ac:dyDescent="0.2">
      <c r="B19" s="2213" t="s">
        <v>8722</v>
      </c>
      <c r="C19" s="2214"/>
      <c r="D19" s="2216" t="s">
        <v>8723</v>
      </c>
      <c r="E19" s="2216"/>
      <c r="F19" s="2216"/>
      <c r="G19" s="2216"/>
      <c r="H19" s="2216"/>
      <c r="I19" s="2217"/>
    </row>
    <row r="20" spans="2:9" x14ac:dyDescent="0.2">
      <c r="B20" s="2213"/>
      <c r="C20" s="2214"/>
      <c r="D20" s="2216"/>
      <c r="E20" s="2216"/>
      <c r="F20" s="2216"/>
      <c r="G20" s="2216"/>
      <c r="H20" s="2216"/>
      <c r="I20" s="2217"/>
    </row>
    <row r="21" spans="2:9" x14ac:dyDescent="0.2">
      <c r="B21" s="2160"/>
      <c r="C21" s="2161"/>
      <c r="D21" s="726"/>
      <c r="E21" s="726"/>
      <c r="F21" s="726"/>
      <c r="G21" s="726"/>
      <c r="H21" s="726"/>
      <c r="I21" s="2082"/>
    </row>
    <row r="22" spans="2:9" x14ac:dyDescent="0.2">
      <c r="B22" s="2213" t="s">
        <v>8724</v>
      </c>
      <c r="C22" s="2214"/>
      <c r="D22" s="726" t="s">
        <v>8725</v>
      </c>
      <c r="E22" s="726"/>
      <c r="F22" s="726"/>
      <c r="G22" s="726"/>
      <c r="H22" s="726"/>
      <c r="I22" s="2082"/>
    </row>
    <row r="23" spans="2:9" x14ac:dyDescent="0.2">
      <c r="B23" s="2160"/>
      <c r="C23" s="2161"/>
      <c r="D23" s="726"/>
      <c r="E23" s="726"/>
      <c r="F23" s="726"/>
      <c r="G23" s="726"/>
      <c r="H23" s="726"/>
      <c r="I23" s="2082"/>
    </row>
    <row r="24" spans="2:9" x14ac:dyDescent="0.2">
      <c r="B24" s="2213" t="s">
        <v>8739</v>
      </c>
      <c r="C24" s="2214"/>
      <c r="D24" s="726" t="s">
        <v>8726</v>
      </c>
      <c r="E24" s="726"/>
      <c r="F24" s="726"/>
      <c r="G24" s="726"/>
      <c r="H24" s="726"/>
      <c r="I24" s="2082"/>
    </row>
    <row r="25" spans="2:9" x14ac:dyDescent="0.2">
      <c r="B25" s="2160"/>
      <c r="C25" s="2161"/>
      <c r="D25" s="726"/>
      <c r="E25" s="726"/>
      <c r="F25" s="726"/>
      <c r="G25" s="726"/>
      <c r="H25" s="726"/>
      <c r="I25" s="2082"/>
    </row>
    <row r="26" spans="2:9" x14ac:dyDescent="0.2">
      <c r="B26" s="2213" t="s">
        <v>8727</v>
      </c>
      <c r="C26" s="2214"/>
      <c r="D26" s="2078" t="s">
        <v>8728</v>
      </c>
      <c r="E26" s="726"/>
      <c r="F26" s="726"/>
      <c r="G26" s="726"/>
      <c r="H26" s="726"/>
      <c r="I26" s="2082"/>
    </row>
    <row r="27" spans="2:9" x14ac:dyDescent="0.2">
      <c r="B27" s="2160"/>
      <c r="C27" s="2161"/>
      <c r="D27" s="726"/>
      <c r="E27" s="726"/>
      <c r="F27" s="726"/>
      <c r="G27" s="726"/>
      <c r="H27" s="726"/>
      <c r="I27" s="2082"/>
    </row>
    <row r="28" spans="2:9" x14ac:dyDescent="0.2">
      <c r="B28" s="2213" t="s">
        <v>8729</v>
      </c>
      <c r="C28" s="2214"/>
      <c r="D28" s="2211" t="s">
        <v>8737</v>
      </c>
      <c r="E28" s="2216"/>
      <c r="F28" s="2216"/>
      <c r="G28" s="2216"/>
      <c r="H28" s="2216"/>
      <c r="I28" s="2217"/>
    </row>
    <row r="29" spans="2:9" x14ac:dyDescent="0.2">
      <c r="B29" s="2213"/>
      <c r="C29" s="2214"/>
      <c r="D29" s="2216"/>
      <c r="E29" s="2216"/>
      <c r="F29" s="2216"/>
      <c r="G29" s="2216"/>
      <c r="H29" s="2216"/>
      <c r="I29" s="2217"/>
    </row>
    <row r="30" spans="2:9" x14ac:dyDescent="0.2">
      <c r="B30" s="2160"/>
      <c r="C30" s="2161"/>
      <c r="D30" s="726"/>
      <c r="E30" s="726"/>
      <c r="F30" s="726"/>
      <c r="G30" s="726"/>
      <c r="H30" s="726"/>
      <c r="I30" s="2082"/>
    </row>
    <row r="31" spans="2:9" x14ac:dyDescent="0.2">
      <c r="B31" s="2213" t="s">
        <v>8734</v>
      </c>
      <c r="C31" s="2214"/>
      <c r="D31" s="726" t="s">
        <v>8730</v>
      </c>
      <c r="E31" s="726"/>
      <c r="F31" s="726"/>
      <c r="G31" s="726"/>
      <c r="H31" s="726"/>
      <c r="I31" s="2082"/>
    </row>
    <row r="32" spans="2:9" x14ac:dyDescent="0.2">
      <c r="B32" s="2160"/>
      <c r="C32" s="2161"/>
      <c r="D32" s="726"/>
      <c r="E32" s="726"/>
      <c r="F32" s="726"/>
      <c r="G32" s="726"/>
      <c r="H32" s="726"/>
      <c r="I32" s="2082"/>
    </row>
    <row r="33" spans="2:9" x14ac:dyDescent="0.2">
      <c r="B33" s="2213" t="s">
        <v>8731</v>
      </c>
      <c r="C33" s="2214"/>
      <c r="D33" s="726" t="s">
        <v>8732</v>
      </c>
      <c r="E33" s="726"/>
      <c r="F33" s="726"/>
      <c r="G33" s="726"/>
      <c r="H33" s="726"/>
      <c r="I33" s="2082"/>
    </row>
    <row r="34" spans="2:9" x14ac:dyDescent="0.2">
      <c r="B34" s="2160"/>
      <c r="C34" s="2161"/>
      <c r="D34" s="726"/>
      <c r="E34" s="726"/>
      <c r="F34" s="726"/>
      <c r="G34" s="726"/>
      <c r="H34" s="726"/>
      <c r="I34" s="2082"/>
    </row>
    <row r="35" spans="2:9" x14ac:dyDescent="0.2">
      <c r="B35" s="2213" t="s">
        <v>914</v>
      </c>
      <c r="C35" s="2214"/>
      <c r="D35" s="2211" t="s">
        <v>8738</v>
      </c>
      <c r="E35" s="2211"/>
      <c r="F35" s="2211"/>
      <c r="G35" s="2211"/>
      <c r="H35" s="2211"/>
      <c r="I35" s="2212"/>
    </row>
    <row r="36" spans="2:9" x14ac:dyDescent="0.2">
      <c r="B36" s="2213"/>
      <c r="C36" s="2214"/>
      <c r="D36" s="2211"/>
      <c r="E36" s="2211"/>
      <c r="F36" s="2211"/>
      <c r="G36" s="2211"/>
      <c r="H36" s="2211"/>
      <c r="I36" s="2212"/>
    </row>
    <row r="37" spans="2:9" ht="6" customHeight="1" x14ac:dyDescent="0.2">
      <c r="B37" s="2087"/>
      <c r="C37" s="2085"/>
      <c r="D37" s="2085"/>
      <c r="E37" s="2085"/>
      <c r="F37" s="2085"/>
      <c r="G37" s="2085"/>
      <c r="H37" s="2085"/>
      <c r="I37" s="2086"/>
    </row>
    <row r="38" spans="2:9" ht="6" customHeight="1" x14ac:dyDescent="0.2"/>
    <row r="39" spans="2:9" x14ac:dyDescent="0.2">
      <c r="B39" t="s">
        <v>8733</v>
      </c>
    </row>
  </sheetData>
  <sheetProtection algorithmName="SHA-512" hashValue="ujbWZ+0iizjobJGghscebgecFChdVi/5N+PNbhLS9Ir3mqeJeW+ZCmk+AZ5kB7AdiRTAg4KKXr/B9VRYW+6sdw==" saltValue="n3cBWKVXl8bo0UAjPOyEew==" spinCount="100000" sheet="1" objects="1" scenarios="1"/>
  <mergeCells count="15">
    <mergeCell ref="B2:G2"/>
    <mergeCell ref="D19:I20"/>
    <mergeCell ref="B19:C20"/>
    <mergeCell ref="D28:I29"/>
    <mergeCell ref="B28:C29"/>
    <mergeCell ref="B22:C22"/>
    <mergeCell ref="B24:C24"/>
    <mergeCell ref="B10:C11"/>
    <mergeCell ref="D10:I11"/>
    <mergeCell ref="B13:C15"/>
    <mergeCell ref="D35:I36"/>
    <mergeCell ref="B35:C36"/>
    <mergeCell ref="B33:C33"/>
    <mergeCell ref="B31:C31"/>
    <mergeCell ref="B26:C26"/>
  </mergeCells>
  <pageMargins left="0.13541666666666666" right="0.70866141732283472" top="0.78740157480314965" bottom="0.78740157480314965" header="0.31496062992125984" footer="0.31496062992125984"/>
  <pageSetup paperSize="9" scale="94" orientation="portrait" horizontalDpi="300" verticalDpi="0" r:id="rId1"/>
  <headerFooter>
    <oddFooter xml:space="preserve">&amp;C© Bayerische Landesanstalt für Landwirtschaft (Of, Kj, Mk); Stand: 17.10.24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L98"/>
  <sheetViews>
    <sheetView workbookViewId="0"/>
  </sheetViews>
  <sheetFormatPr baseColWidth="10" defaultRowHeight="12.75" x14ac:dyDescent="0.2"/>
  <cols>
    <col min="4" max="4" width="13.5703125" bestFit="1" customWidth="1"/>
  </cols>
  <sheetData>
    <row r="1" spans="1:11" ht="15" x14ac:dyDescent="0.25">
      <c r="A1" s="250" t="s">
        <v>299</v>
      </c>
      <c r="B1" s="250" t="s">
        <v>300</v>
      </c>
      <c r="C1" s="250"/>
      <c r="D1" t="s">
        <v>1124</v>
      </c>
      <c r="E1" s="250"/>
    </row>
    <row r="2" spans="1:11" ht="15" x14ac:dyDescent="0.25">
      <c r="A2" s="250">
        <v>161</v>
      </c>
      <c r="B2" s="250" t="s">
        <v>302</v>
      </c>
      <c r="C2" s="250" t="s">
        <v>302</v>
      </c>
      <c r="D2" s="246">
        <v>626.48603100000003</v>
      </c>
      <c r="E2" s="249" t="s">
        <v>301</v>
      </c>
      <c r="G2" s="151" t="str">
        <f>LEFT('Nährstoffe und Lagerraum'!$S$5,3)</f>
        <v>0</v>
      </c>
      <c r="H2" s="151" t="str">
        <f>+G2</f>
        <v>0</v>
      </c>
      <c r="I2" s="151">
        <f>VALUE(H2)</f>
        <v>0</v>
      </c>
      <c r="J2" s="246">
        <f t="shared" ref="J2:J33" si="0">IF(I2=A2,1,0)</f>
        <v>0</v>
      </c>
      <c r="K2">
        <f>IF(J2&gt;0,D2,0)</f>
        <v>0</v>
      </c>
    </row>
    <row r="3" spans="1:11" ht="15" x14ac:dyDescent="0.25">
      <c r="A3" s="250">
        <v>162</v>
      </c>
      <c r="B3" s="250" t="s">
        <v>303</v>
      </c>
      <c r="C3" s="250" t="s">
        <v>304</v>
      </c>
      <c r="D3" s="246">
        <v>918.39902400000005</v>
      </c>
      <c r="E3" s="249" t="s">
        <v>301</v>
      </c>
      <c r="G3" s="151" t="str">
        <f>LEFT('Nährstoffe und Lagerraum'!$S$5,3)</f>
        <v>0</v>
      </c>
      <c r="H3" s="151" t="str">
        <f t="shared" ref="H3:H66" si="1">+G3</f>
        <v>0</v>
      </c>
      <c r="I3" s="151">
        <f t="shared" ref="I3:I66" si="2">VALUE(H3)</f>
        <v>0</v>
      </c>
      <c r="J3" s="246">
        <f t="shared" si="0"/>
        <v>0</v>
      </c>
      <c r="K3">
        <f t="shared" ref="K3:K66" si="3">IF(J3&gt;0,D3,0)</f>
        <v>0</v>
      </c>
    </row>
    <row r="4" spans="1:11" ht="15" x14ac:dyDescent="0.25">
      <c r="A4" s="250">
        <v>163</v>
      </c>
      <c r="B4" s="250" t="s">
        <v>305</v>
      </c>
      <c r="C4" s="250" t="s">
        <v>305</v>
      </c>
      <c r="D4" s="246">
        <v>1088.2628560000001</v>
      </c>
      <c r="E4" s="249" t="s">
        <v>301</v>
      </c>
      <c r="G4" s="151" t="str">
        <f>LEFT('Nährstoffe und Lagerraum'!$S$5,3)</f>
        <v>0</v>
      </c>
      <c r="H4" s="151" t="str">
        <f t="shared" si="1"/>
        <v>0</v>
      </c>
      <c r="I4" s="151">
        <f t="shared" si="2"/>
        <v>0</v>
      </c>
      <c r="J4" s="246">
        <f t="shared" si="0"/>
        <v>0</v>
      </c>
      <c r="K4">
        <f t="shared" si="3"/>
        <v>0</v>
      </c>
    </row>
    <row r="5" spans="1:11" ht="15" x14ac:dyDescent="0.25">
      <c r="A5" s="250">
        <v>171</v>
      </c>
      <c r="B5" s="250" t="s">
        <v>306</v>
      </c>
      <c r="C5" s="250" t="s">
        <v>307</v>
      </c>
      <c r="D5" s="246">
        <v>842.72049600000003</v>
      </c>
      <c r="E5" s="249" t="s">
        <v>301</v>
      </c>
      <c r="G5" s="151" t="str">
        <f>LEFT('Nährstoffe und Lagerraum'!$S$5,3)</f>
        <v>0</v>
      </c>
      <c r="H5" s="151" t="str">
        <f t="shared" si="1"/>
        <v>0</v>
      </c>
      <c r="I5" s="151">
        <f t="shared" si="2"/>
        <v>0</v>
      </c>
      <c r="J5" s="246">
        <f t="shared" si="0"/>
        <v>0</v>
      </c>
      <c r="K5">
        <f t="shared" si="3"/>
        <v>0</v>
      </c>
    </row>
    <row r="6" spans="1:11" ht="15" x14ac:dyDescent="0.25">
      <c r="A6" s="250">
        <v>172</v>
      </c>
      <c r="B6" s="250" t="s">
        <v>308</v>
      </c>
      <c r="C6" s="250" t="s">
        <v>308</v>
      </c>
      <c r="D6" s="246">
        <v>1652.6455880000001</v>
      </c>
      <c r="E6" s="249" t="s">
        <v>301</v>
      </c>
      <c r="G6" s="151" t="str">
        <f>LEFT('Nährstoffe und Lagerraum'!$S$5,3)</f>
        <v>0</v>
      </c>
      <c r="H6" s="151" t="str">
        <f t="shared" si="1"/>
        <v>0</v>
      </c>
      <c r="I6" s="151">
        <f t="shared" si="2"/>
        <v>0</v>
      </c>
      <c r="J6" s="246">
        <f t="shared" si="0"/>
        <v>0</v>
      </c>
      <c r="K6">
        <f t="shared" si="3"/>
        <v>0</v>
      </c>
    </row>
    <row r="7" spans="1:11" ht="15" x14ac:dyDescent="0.25">
      <c r="A7" s="250">
        <v>173</v>
      </c>
      <c r="B7" s="250" t="s">
        <v>309</v>
      </c>
      <c r="C7" s="250" t="s">
        <v>310</v>
      </c>
      <c r="D7" s="246">
        <v>1561.4830460000001</v>
      </c>
      <c r="E7" s="249" t="s">
        <v>301</v>
      </c>
      <c r="G7" s="151" t="str">
        <f>LEFT('Nährstoffe und Lagerraum'!$S$5,3)</f>
        <v>0</v>
      </c>
      <c r="H7" s="151" t="str">
        <f t="shared" si="1"/>
        <v>0</v>
      </c>
      <c r="I7" s="151">
        <f t="shared" si="2"/>
        <v>0</v>
      </c>
      <c r="J7" s="246">
        <f t="shared" si="0"/>
        <v>0</v>
      </c>
      <c r="K7">
        <f t="shared" si="3"/>
        <v>0</v>
      </c>
    </row>
    <row r="8" spans="1:11" ht="15" x14ac:dyDescent="0.25">
      <c r="A8" s="250">
        <v>174</v>
      </c>
      <c r="B8" s="250" t="s">
        <v>311</v>
      </c>
      <c r="C8" s="250" t="s">
        <v>311</v>
      </c>
      <c r="D8" s="246">
        <v>810.66031199999998</v>
      </c>
      <c r="E8" s="249" t="s">
        <v>301</v>
      </c>
      <c r="G8" s="151" t="str">
        <f>LEFT('Nährstoffe und Lagerraum'!$S$5,3)</f>
        <v>0</v>
      </c>
      <c r="H8" s="151" t="str">
        <f t="shared" si="1"/>
        <v>0</v>
      </c>
      <c r="I8" s="151">
        <f t="shared" si="2"/>
        <v>0</v>
      </c>
      <c r="J8" s="246">
        <f t="shared" si="0"/>
        <v>0</v>
      </c>
      <c r="K8">
        <f t="shared" si="3"/>
        <v>0</v>
      </c>
    </row>
    <row r="9" spans="1:11" ht="15" x14ac:dyDescent="0.25">
      <c r="A9" s="250">
        <v>175</v>
      </c>
      <c r="B9" s="250" t="s">
        <v>312</v>
      </c>
      <c r="C9" s="250" t="s">
        <v>312</v>
      </c>
      <c r="D9" s="246">
        <v>978.39369299999998</v>
      </c>
      <c r="E9" s="249" t="s">
        <v>301</v>
      </c>
      <c r="G9" s="151" t="str">
        <f>LEFT('Nährstoffe und Lagerraum'!$S$5,3)</f>
        <v>0</v>
      </c>
      <c r="H9" s="151" t="str">
        <f t="shared" si="1"/>
        <v>0</v>
      </c>
      <c r="I9" s="151">
        <f t="shared" si="2"/>
        <v>0</v>
      </c>
      <c r="J9" s="246">
        <f t="shared" si="0"/>
        <v>0</v>
      </c>
      <c r="K9">
        <f t="shared" si="3"/>
        <v>0</v>
      </c>
    </row>
    <row r="10" spans="1:11" ht="15" x14ac:dyDescent="0.25">
      <c r="A10" s="250">
        <v>176</v>
      </c>
      <c r="B10" s="250" t="s">
        <v>313</v>
      </c>
      <c r="C10" s="250" t="s">
        <v>314</v>
      </c>
      <c r="D10" s="246">
        <v>674.12674900000002</v>
      </c>
      <c r="E10" s="249" t="s">
        <v>301</v>
      </c>
      <c r="G10" s="151" t="str">
        <f>LEFT('Nährstoffe und Lagerraum'!$S$5,3)</f>
        <v>0</v>
      </c>
      <c r="H10" s="151" t="str">
        <f t="shared" si="1"/>
        <v>0</v>
      </c>
      <c r="I10" s="151">
        <f t="shared" si="2"/>
        <v>0</v>
      </c>
      <c r="J10" s="246">
        <f t="shared" si="0"/>
        <v>0</v>
      </c>
      <c r="K10">
        <f t="shared" si="3"/>
        <v>0</v>
      </c>
    </row>
    <row r="11" spans="1:11" ht="15" x14ac:dyDescent="0.25">
      <c r="A11" s="250">
        <v>177</v>
      </c>
      <c r="B11" s="250" t="s">
        <v>315</v>
      </c>
      <c r="C11" s="250" t="s">
        <v>315</v>
      </c>
      <c r="D11" s="246">
        <v>830.36048700000003</v>
      </c>
      <c r="E11" s="249" t="s">
        <v>301</v>
      </c>
      <c r="G11" s="151" t="str">
        <f>LEFT('Nährstoffe und Lagerraum'!$S$5,3)</f>
        <v>0</v>
      </c>
      <c r="H11" s="151" t="str">
        <f t="shared" si="1"/>
        <v>0</v>
      </c>
      <c r="I11" s="151">
        <f t="shared" si="2"/>
        <v>0</v>
      </c>
      <c r="J11" s="246">
        <f t="shared" si="0"/>
        <v>0</v>
      </c>
      <c r="K11">
        <f t="shared" si="3"/>
        <v>0</v>
      </c>
    </row>
    <row r="12" spans="1:11" ht="15" x14ac:dyDescent="0.25">
      <c r="A12" s="250">
        <v>178</v>
      </c>
      <c r="B12" s="250" t="s">
        <v>316</v>
      </c>
      <c r="C12" s="250" t="s">
        <v>316</v>
      </c>
      <c r="D12" s="246">
        <v>779.39612499999998</v>
      </c>
      <c r="E12" s="249" t="s">
        <v>301</v>
      </c>
      <c r="G12" s="151" t="str">
        <f>LEFT('Nährstoffe und Lagerraum'!$S$5,3)</f>
        <v>0</v>
      </c>
      <c r="H12" s="151" t="str">
        <f t="shared" si="1"/>
        <v>0</v>
      </c>
      <c r="I12" s="151">
        <f t="shared" si="2"/>
        <v>0</v>
      </c>
      <c r="J12" s="246">
        <f t="shared" si="0"/>
        <v>0</v>
      </c>
      <c r="K12">
        <f t="shared" si="3"/>
        <v>0</v>
      </c>
    </row>
    <row r="13" spans="1:11" ht="15" x14ac:dyDescent="0.25">
      <c r="A13" s="250">
        <v>179</v>
      </c>
      <c r="B13" s="250" t="s">
        <v>317</v>
      </c>
      <c r="C13" s="250" t="s">
        <v>318</v>
      </c>
      <c r="D13" s="246">
        <v>873.32983999999999</v>
      </c>
      <c r="E13" s="249" t="s">
        <v>301</v>
      </c>
      <c r="G13" s="151" t="str">
        <f>LEFT('Nährstoffe und Lagerraum'!$S$5,3)</f>
        <v>0</v>
      </c>
      <c r="H13" s="151" t="str">
        <f t="shared" si="1"/>
        <v>0</v>
      </c>
      <c r="I13" s="151">
        <f t="shared" si="2"/>
        <v>0</v>
      </c>
      <c r="J13" s="246">
        <f t="shared" si="0"/>
        <v>0</v>
      </c>
      <c r="K13">
        <f t="shared" si="3"/>
        <v>0</v>
      </c>
    </row>
    <row r="14" spans="1:11" ht="15" x14ac:dyDescent="0.25">
      <c r="A14" s="250">
        <v>180</v>
      </c>
      <c r="B14" s="250" t="s">
        <v>319</v>
      </c>
      <c r="C14" s="250" t="s">
        <v>319</v>
      </c>
      <c r="D14" s="246">
        <v>1626.720826</v>
      </c>
      <c r="E14" s="249" t="s">
        <v>301</v>
      </c>
      <c r="G14" s="151" t="str">
        <f>LEFT('Nährstoffe und Lagerraum'!$S$5,3)</f>
        <v>0</v>
      </c>
      <c r="H14" s="151" t="str">
        <f t="shared" si="1"/>
        <v>0</v>
      </c>
      <c r="I14" s="151">
        <f t="shared" si="2"/>
        <v>0</v>
      </c>
      <c r="J14" s="246">
        <f t="shared" si="0"/>
        <v>0</v>
      </c>
      <c r="K14">
        <f t="shared" si="3"/>
        <v>0</v>
      </c>
    </row>
    <row r="15" spans="1:11" ht="15" x14ac:dyDescent="0.25">
      <c r="A15" s="250">
        <v>181</v>
      </c>
      <c r="B15" s="250" t="s">
        <v>320</v>
      </c>
      <c r="C15" s="250" t="s">
        <v>320</v>
      </c>
      <c r="D15" s="246">
        <v>935.857572</v>
      </c>
      <c r="E15" s="249" t="s">
        <v>301</v>
      </c>
      <c r="G15" s="151" t="str">
        <f>LEFT('Nährstoffe und Lagerraum'!$S$5,3)</f>
        <v>0</v>
      </c>
      <c r="H15" s="151" t="str">
        <f t="shared" si="1"/>
        <v>0</v>
      </c>
      <c r="I15" s="151">
        <f t="shared" si="2"/>
        <v>0</v>
      </c>
      <c r="J15" s="246">
        <f t="shared" si="0"/>
        <v>0</v>
      </c>
      <c r="K15">
        <f t="shared" si="3"/>
        <v>0</v>
      </c>
    </row>
    <row r="16" spans="1:11" ht="15" x14ac:dyDescent="0.25">
      <c r="A16" s="250">
        <v>182</v>
      </c>
      <c r="B16" s="250" t="s">
        <v>321</v>
      </c>
      <c r="C16" s="250" t="s">
        <v>321</v>
      </c>
      <c r="D16" s="246">
        <v>1621.724277</v>
      </c>
      <c r="E16" s="249" t="s">
        <v>301</v>
      </c>
      <c r="G16" s="151" t="str">
        <f>LEFT('Nährstoffe und Lagerraum'!$S$5,3)</f>
        <v>0</v>
      </c>
      <c r="H16" s="151" t="str">
        <f t="shared" si="1"/>
        <v>0</v>
      </c>
      <c r="I16" s="151">
        <f t="shared" si="2"/>
        <v>0</v>
      </c>
      <c r="J16" s="246">
        <f t="shared" si="0"/>
        <v>0</v>
      </c>
      <c r="K16">
        <f t="shared" si="3"/>
        <v>0</v>
      </c>
    </row>
    <row r="17" spans="1:11" ht="15" x14ac:dyDescent="0.25">
      <c r="A17" s="250">
        <v>183</v>
      </c>
      <c r="B17" s="250" t="s">
        <v>322</v>
      </c>
      <c r="C17" s="250" t="s">
        <v>323</v>
      </c>
      <c r="D17" s="246">
        <v>832.59303499999999</v>
      </c>
      <c r="E17" s="249" t="s">
        <v>301</v>
      </c>
      <c r="G17" s="151" t="str">
        <f>LEFT('Nährstoffe und Lagerraum'!$S$5,3)</f>
        <v>0</v>
      </c>
      <c r="H17" s="151" t="str">
        <f t="shared" si="1"/>
        <v>0</v>
      </c>
      <c r="I17" s="151">
        <f t="shared" si="2"/>
        <v>0</v>
      </c>
      <c r="J17" s="246">
        <f t="shared" si="0"/>
        <v>0</v>
      </c>
      <c r="K17">
        <f t="shared" si="3"/>
        <v>0</v>
      </c>
    </row>
    <row r="18" spans="1:11" ht="15" x14ac:dyDescent="0.25">
      <c r="A18" s="250">
        <v>184</v>
      </c>
      <c r="B18" s="250" t="s">
        <v>303</v>
      </c>
      <c r="C18" s="250" t="s">
        <v>304</v>
      </c>
      <c r="D18" s="246">
        <v>999.14003100000002</v>
      </c>
      <c r="E18" s="249" t="s">
        <v>301</v>
      </c>
      <c r="G18" s="151" t="str">
        <f>LEFT('Nährstoffe und Lagerraum'!$S$5,3)</f>
        <v>0</v>
      </c>
      <c r="H18" s="151" t="str">
        <f t="shared" si="1"/>
        <v>0</v>
      </c>
      <c r="I18" s="151">
        <f t="shared" si="2"/>
        <v>0</v>
      </c>
      <c r="J18" s="246">
        <f t="shared" si="0"/>
        <v>0</v>
      </c>
      <c r="K18">
        <f t="shared" si="3"/>
        <v>0</v>
      </c>
    </row>
    <row r="19" spans="1:11" ht="15" x14ac:dyDescent="0.25">
      <c r="A19" s="250">
        <v>185</v>
      </c>
      <c r="B19" s="250" t="s">
        <v>324</v>
      </c>
      <c r="C19" s="250" t="s">
        <v>324</v>
      </c>
      <c r="D19" s="246">
        <v>676.82738500000005</v>
      </c>
      <c r="E19" s="249" t="s">
        <v>301</v>
      </c>
      <c r="G19" s="151" t="str">
        <f>LEFT('Nährstoffe und Lagerraum'!$S$5,3)</f>
        <v>0</v>
      </c>
      <c r="H19" s="151" t="str">
        <f t="shared" si="1"/>
        <v>0</v>
      </c>
      <c r="I19" s="151">
        <f t="shared" si="2"/>
        <v>0</v>
      </c>
      <c r="J19" s="246">
        <f t="shared" si="0"/>
        <v>0</v>
      </c>
      <c r="K19">
        <f t="shared" si="3"/>
        <v>0</v>
      </c>
    </row>
    <row r="20" spans="1:11" ht="15" x14ac:dyDescent="0.25">
      <c r="A20" s="250">
        <v>186</v>
      </c>
      <c r="B20" s="250" t="s">
        <v>325</v>
      </c>
      <c r="C20" s="250" t="s">
        <v>325</v>
      </c>
      <c r="D20" s="246">
        <v>751.42763200000002</v>
      </c>
      <c r="E20" s="249" t="s">
        <v>301</v>
      </c>
      <c r="G20" s="151" t="str">
        <f>LEFT('Nährstoffe und Lagerraum'!$S$5,3)</f>
        <v>0</v>
      </c>
      <c r="H20" s="151" t="str">
        <f t="shared" si="1"/>
        <v>0</v>
      </c>
      <c r="I20" s="151">
        <f t="shared" si="2"/>
        <v>0</v>
      </c>
      <c r="J20" s="246">
        <f t="shared" si="0"/>
        <v>0</v>
      </c>
      <c r="K20">
        <f t="shared" si="3"/>
        <v>0</v>
      </c>
    </row>
    <row r="21" spans="1:11" ht="15" x14ac:dyDescent="0.25">
      <c r="A21" s="250">
        <v>187</v>
      </c>
      <c r="B21" s="250" t="s">
        <v>305</v>
      </c>
      <c r="C21" s="250" t="s">
        <v>305</v>
      </c>
      <c r="D21" s="246">
        <v>1175.046722</v>
      </c>
      <c r="E21" s="249" t="s">
        <v>301</v>
      </c>
      <c r="G21" s="151" t="str">
        <f>LEFT('Nährstoffe und Lagerraum'!$S$5,3)</f>
        <v>0</v>
      </c>
      <c r="H21" s="151" t="str">
        <f t="shared" si="1"/>
        <v>0</v>
      </c>
      <c r="I21" s="151">
        <f t="shared" si="2"/>
        <v>0</v>
      </c>
      <c r="J21" s="246">
        <f t="shared" si="0"/>
        <v>0</v>
      </c>
      <c r="K21">
        <f t="shared" si="3"/>
        <v>0</v>
      </c>
    </row>
    <row r="22" spans="1:11" ht="15" x14ac:dyDescent="0.25">
      <c r="A22" s="250">
        <v>188</v>
      </c>
      <c r="B22" s="250" t="s">
        <v>326</v>
      </c>
      <c r="C22" s="250" t="s">
        <v>326</v>
      </c>
      <c r="D22" s="246">
        <v>1013.233332</v>
      </c>
      <c r="E22" s="249" t="s">
        <v>301</v>
      </c>
      <c r="G22" s="151" t="str">
        <f>LEFT('Nährstoffe und Lagerraum'!$S$5,3)</f>
        <v>0</v>
      </c>
      <c r="H22" s="151" t="str">
        <f t="shared" si="1"/>
        <v>0</v>
      </c>
      <c r="I22" s="151">
        <f t="shared" si="2"/>
        <v>0</v>
      </c>
      <c r="J22" s="246">
        <f t="shared" si="0"/>
        <v>0</v>
      </c>
      <c r="K22">
        <f t="shared" si="3"/>
        <v>0</v>
      </c>
    </row>
    <row r="23" spans="1:11" ht="15" x14ac:dyDescent="0.25">
      <c r="A23" s="250">
        <v>189</v>
      </c>
      <c r="B23" s="250" t="s">
        <v>327</v>
      </c>
      <c r="C23" s="250" t="s">
        <v>327</v>
      </c>
      <c r="D23" s="246">
        <v>1342.6430640000001</v>
      </c>
      <c r="E23" s="249" t="s">
        <v>301</v>
      </c>
      <c r="G23" s="151" t="str">
        <f>LEFT('Nährstoffe und Lagerraum'!$S$5,3)</f>
        <v>0</v>
      </c>
      <c r="H23" s="151" t="str">
        <f t="shared" si="1"/>
        <v>0</v>
      </c>
      <c r="I23" s="151">
        <f t="shared" si="2"/>
        <v>0</v>
      </c>
      <c r="J23" s="246">
        <f t="shared" si="0"/>
        <v>0</v>
      </c>
      <c r="K23">
        <f t="shared" si="3"/>
        <v>0</v>
      </c>
    </row>
    <row r="24" spans="1:11" ht="15" x14ac:dyDescent="0.25">
      <c r="A24" s="250">
        <v>190</v>
      </c>
      <c r="B24" s="250" t="s">
        <v>328</v>
      </c>
      <c r="C24" s="250" t="s">
        <v>328</v>
      </c>
      <c r="D24" s="246">
        <v>1152.15878</v>
      </c>
      <c r="E24" s="249" t="s">
        <v>301</v>
      </c>
      <c r="G24" s="151" t="str">
        <f>LEFT('Nährstoffe und Lagerraum'!$S$5,3)</f>
        <v>0</v>
      </c>
      <c r="H24" s="151" t="str">
        <f t="shared" si="1"/>
        <v>0</v>
      </c>
      <c r="I24" s="151">
        <f t="shared" si="2"/>
        <v>0</v>
      </c>
      <c r="J24" s="246">
        <f t="shared" si="0"/>
        <v>0</v>
      </c>
      <c r="K24">
        <f t="shared" si="3"/>
        <v>0</v>
      </c>
    </row>
    <row r="25" spans="1:11" ht="15" x14ac:dyDescent="0.25">
      <c r="A25" s="250">
        <v>261</v>
      </c>
      <c r="B25" s="250" t="s">
        <v>329</v>
      </c>
      <c r="C25" s="250" t="s">
        <v>329</v>
      </c>
      <c r="D25" s="246">
        <v>728.73593700000004</v>
      </c>
      <c r="E25" s="249" t="s">
        <v>301</v>
      </c>
      <c r="G25" s="151" t="str">
        <f>LEFT('Nährstoffe und Lagerraum'!$S$5,3)</f>
        <v>0</v>
      </c>
      <c r="H25" s="151" t="str">
        <f t="shared" si="1"/>
        <v>0</v>
      </c>
      <c r="I25" s="151">
        <f t="shared" si="2"/>
        <v>0</v>
      </c>
      <c r="J25" s="246">
        <f t="shared" si="0"/>
        <v>0</v>
      </c>
      <c r="K25">
        <f t="shared" si="3"/>
        <v>0</v>
      </c>
    </row>
    <row r="26" spans="1:11" ht="15" x14ac:dyDescent="0.25">
      <c r="A26" s="250">
        <v>262</v>
      </c>
      <c r="B26" s="250" t="s">
        <v>330</v>
      </c>
      <c r="C26" s="250" t="s">
        <v>330</v>
      </c>
      <c r="D26" s="246">
        <v>809.39253799999994</v>
      </c>
      <c r="E26" s="249" t="s">
        <v>301</v>
      </c>
      <c r="G26" s="151" t="str">
        <f>LEFT('Nährstoffe und Lagerraum'!$S$5,3)</f>
        <v>0</v>
      </c>
      <c r="H26" s="151" t="str">
        <f t="shared" si="1"/>
        <v>0</v>
      </c>
      <c r="I26" s="151">
        <f t="shared" si="2"/>
        <v>0</v>
      </c>
      <c r="J26" s="246">
        <f t="shared" si="0"/>
        <v>0</v>
      </c>
      <c r="K26">
        <f t="shared" si="3"/>
        <v>0</v>
      </c>
    </row>
    <row r="27" spans="1:11" ht="15" x14ac:dyDescent="0.25">
      <c r="A27" s="250">
        <v>263</v>
      </c>
      <c r="B27" s="250" t="s">
        <v>331</v>
      </c>
      <c r="C27" s="250" t="s">
        <v>331</v>
      </c>
      <c r="D27" s="246">
        <v>647.20447799999999</v>
      </c>
      <c r="E27" s="249" t="s">
        <v>301</v>
      </c>
      <c r="G27" s="151" t="str">
        <f>LEFT('Nährstoffe und Lagerraum'!$S$5,3)</f>
        <v>0</v>
      </c>
      <c r="H27" s="151" t="str">
        <f t="shared" si="1"/>
        <v>0</v>
      </c>
      <c r="I27" s="151">
        <f t="shared" si="2"/>
        <v>0</v>
      </c>
      <c r="J27" s="246">
        <f t="shared" si="0"/>
        <v>0</v>
      </c>
      <c r="K27">
        <f t="shared" si="3"/>
        <v>0</v>
      </c>
    </row>
    <row r="28" spans="1:11" ht="15" x14ac:dyDescent="0.25">
      <c r="A28" s="250">
        <v>271</v>
      </c>
      <c r="B28" s="250" t="s">
        <v>332</v>
      </c>
      <c r="C28" s="250" t="s">
        <v>332</v>
      </c>
      <c r="D28" s="246">
        <v>857.99441300000001</v>
      </c>
      <c r="E28" s="249" t="s">
        <v>301</v>
      </c>
      <c r="G28" s="151" t="str">
        <f>LEFT('Nährstoffe und Lagerraum'!$S$5,3)</f>
        <v>0</v>
      </c>
      <c r="H28" s="151" t="str">
        <f t="shared" si="1"/>
        <v>0</v>
      </c>
      <c r="I28" s="151">
        <f t="shared" si="2"/>
        <v>0</v>
      </c>
      <c r="J28" s="246">
        <f t="shared" si="0"/>
        <v>0</v>
      </c>
      <c r="K28">
        <f t="shared" si="3"/>
        <v>0</v>
      </c>
    </row>
    <row r="29" spans="1:11" ht="15" x14ac:dyDescent="0.25">
      <c r="A29" s="250">
        <v>272</v>
      </c>
      <c r="B29" s="250" t="s">
        <v>333</v>
      </c>
      <c r="C29" s="250" t="s">
        <v>333</v>
      </c>
      <c r="D29" s="246">
        <v>1038.282976</v>
      </c>
      <c r="E29" s="249" t="s">
        <v>301</v>
      </c>
      <c r="G29" s="151" t="str">
        <f>LEFT('Nährstoffe und Lagerraum'!$S$5,3)</f>
        <v>0</v>
      </c>
      <c r="H29" s="151" t="str">
        <f t="shared" si="1"/>
        <v>0</v>
      </c>
      <c r="I29" s="151">
        <f t="shared" si="2"/>
        <v>0</v>
      </c>
      <c r="J29" s="246">
        <f t="shared" si="0"/>
        <v>0</v>
      </c>
      <c r="K29">
        <f t="shared" si="3"/>
        <v>0</v>
      </c>
    </row>
    <row r="30" spans="1:11" ht="15" x14ac:dyDescent="0.25">
      <c r="A30" s="250">
        <v>273</v>
      </c>
      <c r="B30" s="250" t="s">
        <v>334</v>
      </c>
      <c r="C30" s="250" t="s">
        <v>334</v>
      </c>
      <c r="D30" s="246">
        <v>700.64457900000002</v>
      </c>
      <c r="E30" s="249" t="s">
        <v>301</v>
      </c>
      <c r="G30" s="151" t="str">
        <f>LEFT('Nährstoffe und Lagerraum'!$S$5,3)</f>
        <v>0</v>
      </c>
      <c r="H30" s="151" t="str">
        <f t="shared" si="1"/>
        <v>0</v>
      </c>
      <c r="I30" s="151">
        <f t="shared" si="2"/>
        <v>0</v>
      </c>
      <c r="J30" s="246">
        <f t="shared" si="0"/>
        <v>0</v>
      </c>
      <c r="K30">
        <f t="shared" si="3"/>
        <v>0</v>
      </c>
    </row>
    <row r="31" spans="1:11" ht="15" x14ac:dyDescent="0.25">
      <c r="A31" s="250">
        <v>274</v>
      </c>
      <c r="B31" s="250" t="s">
        <v>329</v>
      </c>
      <c r="C31" s="250" t="s">
        <v>329</v>
      </c>
      <c r="D31" s="246">
        <v>751.70879500000001</v>
      </c>
      <c r="E31" s="249" t="s">
        <v>301</v>
      </c>
      <c r="G31" s="151" t="str">
        <f>LEFT('Nährstoffe und Lagerraum'!$S$5,3)</f>
        <v>0</v>
      </c>
      <c r="H31" s="151" t="str">
        <f t="shared" si="1"/>
        <v>0</v>
      </c>
      <c r="I31" s="151">
        <f t="shared" si="2"/>
        <v>0</v>
      </c>
      <c r="J31" s="246">
        <f t="shared" si="0"/>
        <v>0</v>
      </c>
      <c r="K31">
        <f t="shared" si="3"/>
        <v>0</v>
      </c>
    </row>
    <row r="32" spans="1:11" ht="15" x14ac:dyDescent="0.25">
      <c r="A32" s="250">
        <v>275</v>
      </c>
      <c r="B32" s="250" t="s">
        <v>330</v>
      </c>
      <c r="C32" s="250" t="s">
        <v>330</v>
      </c>
      <c r="D32" s="246">
        <v>841.87963300000001</v>
      </c>
      <c r="E32" s="249" t="s">
        <v>301</v>
      </c>
      <c r="G32" s="151" t="str">
        <f>LEFT('Nährstoffe und Lagerraum'!$S$5,3)</f>
        <v>0</v>
      </c>
      <c r="H32" s="151" t="str">
        <f t="shared" si="1"/>
        <v>0</v>
      </c>
      <c r="I32" s="151">
        <f t="shared" si="2"/>
        <v>0</v>
      </c>
      <c r="J32" s="246">
        <f t="shared" si="0"/>
        <v>0</v>
      </c>
      <c r="K32">
        <f t="shared" si="3"/>
        <v>0</v>
      </c>
    </row>
    <row r="33" spans="1:11" ht="15" x14ac:dyDescent="0.25">
      <c r="A33" s="250">
        <v>276</v>
      </c>
      <c r="B33" s="250" t="s">
        <v>335</v>
      </c>
      <c r="C33" s="250" t="s">
        <v>335</v>
      </c>
      <c r="D33" s="246">
        <v>1042.2642410000001</v>
      </c>
      <c r="E33" s="249" t="s">
        <v>301</v>
      </c>
      <c r="G33" s="151" t="str">
        <f>LEFT('Nährstoffe und Lagerraum'!$S$5,3)</f>
        <v>0</v>
      </c>
      <c r="H33" s="151" t="str">
        <f t="shared" si="1"/>
        <v>0</v>
      </c>
      <c r="I33" s="151">
        <f t="shared" si="2"/>
        <v>0</v>
      </c>
      <c r="J33" s="246">
        <f t="shared" si="0"/>
        <v>0</v>
      </c>
      <c r="K33">
        <f t="shared" si="3"/>
        <v>0</v>
      </c>
    </row>
    <row r="34" spans="1:11" ht="15" x14ac:dyDescent="0.25">
      <c r="A34" s="250">
        <v>277</v>
      </c>
      <c r="B34" s="250" t="s">
        <v>336</v>
      </c>
      <c r="C34" s="250" t="s">
        <v>336</v>
      </c>
      <c r="D34" s="246">
        <v>789.52893900000004</v>
      </c>
      <c r="E34" s="249" t="s">
        <v>301</v>
      </c>
      <c r="G34" s="151" t="str">
        <f>LEFT('Nährstoffe und Lagerraum'!$S$5,3)</f>
        <v>0</v>
      </c>
      <c r="H34" s="151" t="str">
        <f t="shared" si="1"/>
        <v>0</v>
      </c>
      <c r="I34" s="151">
        <f t="shared" si="2"/>
        <v>0</v>
      </c>
      <c r="J34" s="246">
        <f t="shared" ref="J34:J65" si="4">IF(I34=A34,1,0)</f>
        <v>0</v>
      </c>
      <c r="K34">
        <f t="shared" si="3"/>
        <v>0</v>
      </c>
    </row>
    <row r="35" spans="1:11" ht="15" x14ac:dyDescent="0.25">
      <c r="A35" s="250">
        <v>278</v>
      </c>
      <c r="B35" s="250" t="s">
        <v>337</v>
      </c>
      <c r="C35" s="250" t="s">
        <v>337</v>
      </c>
      <c r="D35" s="246">
        <v>756.96159499999999</v>
      </c>
      <c r="E35" s="249" t="s">
        <v>301</v>
      </c>
      <c r="G35" s="151" t="str">
        <f>LEFT('Nährstoffe und Lagerraum'!$S$5,3)</f>
        <v>0</v>
      </c>
      <c r="H35" s="151" t="str">
        <f t="shared" si="1"/>
        <v>0</v>
      </c>
      <c r="I35" s="151">
        <f t="shared" si="2"/>
        <v>0</v>
      </c>
      <c r="J35" s="246">
        <f t="shared" si="4"/>
        <v>0</v>
      </c>
      <c r="K35">
        <f t="shared" si="3"/>
        <v>0</v>
      </c>
    </row>
    <row r="36" spans="1:11" ht="15" x14ac:dyDescent="0.25">
      <c r="A36" s="250">
        <v>279</v>
      </c>
      <c r="B36" s="250" t="s">
        <v>338</v>
      </c>
      <c r="C36" s="250" t="s">
        <v>338</v>
      </c>
      <c r="D36" s="246">
        <v>717.49988699999994</v>
      </c>
      <c r="E36" s="249" t="s">
        <v>301</v>
      </c>
      <c r="G36" s="151" t="str">
        <f>LEFT('Nährstoffe und Lagerraum'!$S$5,3)</f>
        <v>0</v>
      </c>
      <c r="H36" s="151" t="str">
        <f t="shared" si="1"/>
        <v>0</v>
      </c>
      <c r="I36" s="151">
        <f t="shared" si="2"/>
        <v>0</v>
      </c>
      <c r="J36" s="246">
        <f t="shared" si="4"/>
        <v>0</v>
      </c>
      <c r="K36">
        <f t="shared" si="3"/>
        <v>0</v>
      </c>
    </row>
    <row r="37" spans="1:11" ht="15" x14ac:dyDescent="0.25">
      <c r="A37" s="250">
        <v>361</v>
      </c>
      <c r="B37" s="250" t="s">
        <v>339</v>
      </c>
      <c r="C37" s="250" t="s">
        <v>339</v>
      </c>
      <c r="D37" s="246">
        <v>642.48076700000001</v>
      </c>
      <c r="E37" s="249" t="s">
        <v>301</v>
      </c>
      <c r="G37" s="151" t="str">
        <f>LEFT('Nährstoffe und Lagerraum'!$S$5,3)</f>
        <v>0</v>
      </c>
      <c r="H37" s="151" t="str">
        <f t="shared" si="1"/>
        <v>0</v>
      </c>
      <c r="I37" s="151">
        <f t="shared" si="2"/>
        <v>0</v>
      </c>
      <c r="J37" s="246">
        <f t="shared" si="4"/>
        <v>0</v>
      </c>
      <c r="K37">
        <f t="shared" si="3"/>
        <v>0</v>
      </c>
    </row>
    <row r="38" spans="1:11" ht="15" x14ac:dyDescent="0.25">
      <c r="A38" s="250">
        <v>362</v>
      </c>
      <c r="B38" s="250" t="s">
        <v>340</v>
      </c>
      <c r="C38" s="250" t="s">
        <v>340</v>
      </c>
      <c r="D38" s="246">
        <v>645.39135699999997</v>
      </c>
      <c r="E38" s="249" t="s">
        <v>301</v>
      </c>
      <c r="G38" s="151" t="str">
        <f>LEFT('Nährstoffe und Lagerraum'!$S$5,3)</f>
        <v>0</v>
      </c>
      <c r="H38" s="151" t="str">
        <f t="shared" si="1"/>
        <v>0</v>
      </c>
      <c r="I38" s="151">
        <f t="shared" si="2"/>
        <v>0</v>
      </c>
      <c r="J38" s="246">
        <f t="shared" si="4"/>
        <v>0</v>
      </c>
      <c r="K38">
        <f t="shared" si="3"/>
        <v>0</v>
      </c>
    </row>
    <row r="39" spans="1:11" ht="15" x14ac:dyDescent="0.25">
      <c r="A39" s="250">
        <v>363</v>
      </c>
      <c r="B39" s="250" t="s">
        <v>341</v>
      </c>
      <c r="C39" s="250" t="s">
        <v>341</v>
      </c>
      <c r="D39" s="246">
        <v>662.62535100000002</v>
      </c>
      <c r="E39" s="249" t="s">
        <v>301</v>
      </c>
      <c r="G39" s="151" t="str">
        <f>LEFT('Nährstoffe und Lagerraum'!$S$5,3)</f>
        <v>0</v>
      </c>
      <c r="H39" s="151" t="str">
        <f t="shared" si="1"/>
        <v>0</v>
      </c>
      <c r="I39" s="151">
        <f t="shared" si="2"/>
        <v>0</v>
      </c>
      <c r="J39" s="246">
        <f t="shared" si="4"/>
        <v>0</v>
      </c>
      <c r="K39">
        <f t="shared" si="3"/>
        <v>0</v>
      </c>
    </row>
    <row r="40" spans="1:11" ht="15" x14ac:dyDescent="0.25">
      <c r="A40" s="250">
        <v>371</v>
      </c>
      <c r="B40" s="250" t="s">
        <v>342</v>
      </c>
      <c r="C40" s="250" t="s">
        <v>342</v>
      </c>
      <c r="D40" s="246">
        <v>703.27166699999998</v>
      </c>
      <c r="E40" s="249" t="s">
        <v>301</v>
      </c>
      <c r="G40" s="151" t="str">
        <f>LEFT('Nährstoffe und Lagerraum'!$S$5,3)</f>
        <v>0</v>
      </c>
      <c r="H40" s="151" t="str">
        <f t="shared" si="1"/>
        <v>0</v>
      </c>
      <c r="I40" s="151">
        <f t="shared" si="2"/>
        <v>0</v>
      </c>
      <c r="J40" s="246">
        <f t="shared" si="4"/>
        <v>0</v>
      </c>
      <c r="K40">
        <f t="shared" si="3"/>
        <v>0</v>
      </c>
    </row>
    <row r="41" spans="1:11" ht="15" x14ac:dyDescent="0.25">
      <c r="A41" s="250">
        <v>372</v>
      </c>
      <c r="B41" s="250" t="s">
        <v>343</v>
      </c>
      <c r="C41" s="250" t="s">
        <v>343</v>
      </c>
      <c r="D41" s="246">
        <v>792.32119699999998</v>
      </c>
      <c r="E41" s="249" t="s">
        <v>301</v>
      </c>
      <c r="G41" s="151" t="str">
        <f>LEFT('Nährstoffe und Lagerraum'!$S$5,3)</f>
        <v>0</v>
      </c>
      <c r="H41" s="151" t="str">
        <f t="shared" si="1"/>
        <v>0</v>
      </c>
      <c r="I41" s="151">
        <f t="shared" si="2"/>
        <v>0</v>
      </c>
      <c r="J41" s="246">
        <f t="shared" si="4"/>
        <v>0</v>
      </c>
      <c r="K41">
        <f t="shared" si="3"/>
        <v>0</v>
      </c>
    </row>
    <row r="42" spans="1:11" ht="15" x14ac:dyDescent="0.25">
      <c r="A42" s="250">
        <v>373</v>
      </c>
      <c r="B42" s="250" t="s">
        <v>344</v>
      </c>
      <c r="C42" s="250" t="s">
        <v>344</v>
      </c>
      <c r="D42" s="246">
        <v>739.75539800000001</v>
      </c>
      <c r="E42" s="249" t="s">
        <v>301</v>
      </c>
      <c r="G42" s="151" t="str">
        <f>LEFT('Nährstoffe und Lagerraum'!$S$5,3)</f>
        <v>0</v>
      </c>
      <c r="H42" s="151" t="str">
        <f t="shared" si="1"/>
        <v>0</v>
      </c>
      <c r="I42" s="151">
        <f t="shared" si="2"/>
        <v>0</v>
      </c>
      <c r="J42" s="246">
        <f t="shared" si="4"/>
        <v>0</v>
      </c>
      <c r="K42">
        <f t="shared" si="3"/>
        <v>0</v>
      </c>
    </row>
    <row r="43" spans="1:11" ht="15" x14ac:dyDescent="0.25">
      <c r="A43" s="250">
        <v>374</v>
      </c>
      <c r="B43" s="250" t="s">
        <v>345</v>
      </c>
      <c r="C43" s="250" t="s">
        <v>345</v>
      </c>
      <c r="D43" s="246">
        <v>698.95514700000001</v>
      </c>
      <c r="E43" s="249" t="s">
        <v>301</v>
      </c>
      <c r="G43" s="151" t="str">
        <f>LEFT('Nährstoffe und Lagerraum'!$S$5,3)</f>
        <v>0</v>
      </c>
      <c r="H43" s="151" t="str">
        <f t="shared" si="1"/>
        <v>0</v>
      </c>
      <c r="I43" s="151">
        <f t="shared" si="2"/>
        <v>0</v>
      </c>
      <c r="J43" s="246">
        <f t="shared" si="4"/>
        <v>0</v>
      </c>
      <c r="K43">
        <f t="shared" si="3"/>
        <v>0</v>
      </c>
    </row>
    <row r="44" spans="1:11" ht="15" x14ac:dyDescent="0.25">
      <c r="A44" s="250">
        <v>375</v>
      </c>
      <c r="B44" s="250" t="s">
        <v>340</v>
      </c>
      <c r="C44" s="250" t="s">
        <v>340</v>
      </c>
      <c r="D44" s="246">
        <v>679.05672400000003</v>
      </c>
      <c r="E44" s="249" t="s">
        <v>301</v>
      </c>
      <c r="G44" s="151" t="str">
        <f>LEFT('Nährstoffe und Lagerraum'!$S$5,3)</f>
        <v>0</v>
      </c>
      <c r="H44" s="151" t="str">
        <f t="shared" si="1"/>
        <v>0</v>
      </c>
      <c r="I44" s="151">
        <f t="shared" si="2"/>
        <v>0</v>
      </c>
      <c r="J44" s="246">
        <f t="shared" si="4"/>
        <v>0</v>
      </c>
      <c r="K44">
        <f t="shared" si="3"/>
        <v>0</v>
      </c>
    </row>
    <row r="45" spans="1:11" ht="15" x14ac:dyDescent="0.25">
      <c r="A45" s="250">
        <v>376</v>
      </c>
      <c r="B45" s="250" t="s">
        <v>346</v>
      </c>
      <c r="C45" s="250" t="s">
        <v>346</v>
      </c>
      <c r="D45" s="246">
        <v>681.42459199999996</v>
      </c>
      <c r="E45" s="249" t="s">
        <v>301</v>
      </c>
      <c r="G45" s="151" t="str">
        <f>LEFT('Nährstoffe und Lagerraum'!$S$5,3)</f>
        <v>0</v>
      </c>
      <c r="H45" s="151" t="str">
        <f t="shared" si="1"/>
        <v>0</v>
      </c>
      <c r="I45" s="151">
        <f t="shared" si="2"/>
        <v>0</v>
      </c>
      <c r="J45" s="246">
        <f t="shared" si="4"/>
        <v>0</v>
      </c>
      <c r="K45">
        <f t="shared" si="3"/>
        <v>0</v>
      </c>
    </row>
    <row r="46" spans="1:11" ht="15" x14ac:dyDescent="0.25">
      <c r="A46" s="250">
        <v>377</v>
      </c>
      <c r="B46" s="250" t="s">
        <v>347</v>
      </c>
      <c r="C46" s="250" t="s">
        <v>347</v>
      </c>
      <c r="D46" s="246">
        <v>733.12053900000001</v>
      </c>
      <c r="E46" s="249" t="s">
        <v>301</v>
      </c>
      <c r="G46" s="151" t="str">
        <f>LEFT('Nährstoffe und Lagerraum'!$S$5,3)</f>
        <v>0</v>
      </c>
      <c r="H46" s="151" t="str">
        <f t="shared" si="1"/>
        <v>0</v>
      </c>
      <c r="I46" s="151">
        <f t="shared" si="2"/>
        <v>0</v>
      </c>
      <c r="J46" s="246">
        <f t="shared" si="4"/>
        <v>0</v>
      </c>
      <c r="K46">
        <f t="shared" si="3"/>
        <v>0</v>
      </c>
    </row>
    <row r="47" spans="1:11" ht="15" x14ac:dyDescent="0.25">
      <c r="A47" s="250">
        <v>461</v>
      </c>
      <c r="B47" s="250" t="s">
        <v>348</v>
      </c>
      <c r="C47" s="250" t="s">
        <v>348</v>
      </c>
      <c r="D47" s="246">
        <v>624.23035600000003</v>
      </c>
      <c r="E47" s="249" t="s">
        <v>301</v>
      </c>
      <c r="G47" s="151" t="str">
        <f>LEFT('Nährstoffe und Lagerraum'!$S$5,3)</f>
        <v>0</v>
      </c>
      <c r="H47" s="151" t="str">
        <f t="shared" si="1"/>
        <v>0</v>
      </c>
      <c r="I47" s="151">
        <f t="shared" si="2"/>
        <v>0</v>
      </c>
      <c r="J47" s="246">
        <f t="shared" si="4"/>
        <v>0</v>
      </c>
      <c r="K47">
        <f t="shared" si="3"/>
        <v>0</v>
      </c>
    </row>
    <row r="48" spans="1:11" ht="15" x14ac:dyDescent="0.25">
      <c r="A48" s="250">
        <v>462</v>
      </c>
      <c r="B48" s="250" t="s">
        <v>349</v>
      </c>
      <c r="C48" s="250" t="s">
        <v>349</v>
      </c>
      <c r="D48" s="246">
        <v>689.04477499999996</v>
      </c>
      <c r="E48" s="249" t="s">
        <v>301</v>
      </c>
      <c r="G48" s="151" t="str">
        <f>LEFT('Nährstoffe und Lagerraum'!$S$5,3)</f>
        <v>0</v>
      </c>
      <c r="H48" s="151" t="str">
        <f t="shared" si="1"/>
        <v>0</v>
      </c>
      <c r="I48" s="151">
        <f t="shared" si="2"/>
        <v>0</v>
      </c>
      <c r="J48" s="246">
        <f t="shared" si="4"/>
        <v>0</v>
      </c>
      <c r="K48">
        <f t="shared" si="3"/>
        <v>0</v>
      </c>
    </row>
    <row r="49" spans="1:11" ht="15" x14ac:dyDescent="0.25">
      <c r="A49" s="250">
        <v>463</v>
      </c>
      <c r="B49" s="250" t="s">
        <v>350</v>
      </c>
      <c r="C49" s="250" t="s">
        <v>350</v>
      </c>
      <c r="D49" s="246">
        <v>685.33478400000001</v>
      </c>
      <c r="E49" s="249" t="s">
        <v>301</v>
      </c>
      <c r="G49" s="151" t="str">
        <f>LEFT('Nährstoffe und Lagerraum'!$S$5,3)</f>
        <v>0</v>
      </c>
      <c r="H49" s="151" t="str">
        <f t="shared" si="1"/>
        <v>0</v>
      </c>
      <c r="I49" s="151">
        <f t="shared" si="2"/>
        <v>0</v>
      </c>
      <c r="J49" s="246">
        <f t="shared" si="4"/>
        <v>0</v>
      </c>
      <c r="K49">
        <f t="shared" si="3"/>
        <v>0</v>
      </c>
    </row>
    <row r="50" spans="1:11" ht="15" x14ac:dyDescent="0.25">
      <c r="A50" s="250">
        <v>464</v>
      </c>
      <c r="B50" s="250" t="s">
        <v>351</v>
      </c>
      <c r="C50" s="250" t="s">
        <v>351</v>
      </c>
      <c r="D50" s="246">
        <v>661.28750000000002</v>
      </c>
      <c r="E50" s="249" t="s">
        <v>301</v>
      </c>
      <c r="G50" s="151" t="str">
        <f>LEFT('Nährstoffe und Lagerraum'!$S$5,3)</f>
        <v>0</v>
      </c>
      <c r="H50" s="151" t="str">
        <f t="shared" si="1"/>
        <v>0</v>
      </c>
      <c r="I50" s="151">
        <f t="shared" si="2"/>
        <v>0</v>
      </c>
      <c r="J50" s="246">
        <f t="shared" si="4"/>
        <v>0</v>
      </c>
      <c r="K50">
        <f t="shared" si="3"/>
        <v>0</v>
      </c>
    </row>
    <row r="51" spans="1:11" ht="15" x14ac:dyDescent="0.25">
      <c r="A51" s="250">
        <v>471</v>
      </c>
      <c r="B51" s="250" t="s">
        <v>348</v>
      </c>
      <c r="C51" s="250" t="s">
        <v>348</v>
      </c>
      <c r="D51" s="246">
        <v>677.51418799999999</v>
      </c>
      <c r="E51" s="249" t="s">
        <v>301</v>
      </c>
      <c r="G51" s="151" t="str">
        <f>LEFT('Nährstoffe und Lagerraum'!$S$5,3)</f>
        <v>0</v>
      </c>
      <c r="H51" s="151" t="str">
        <f t="shared" si="1"/>
        <v>0</v>
      </c>
      <c r="I51" s="151">
        <f t="shared" si="2"/>
        <v>0</v>
      </c>
      <c r="J51" s="246">
        <f t="shared" si="4"/>
        <v>0</v>
      </c>
      <c r="K51">
        <f t="shared" si="3"/>
        <v>0</v>
      </c>
    </row>
    <row r="52" spans="1:11" ht="15" x14ac:dyDescent="0.25">
      <c r="A52" s="250">
        <v>472</v>
      </c>
      <c r="B52" s="250" t="s">
        <v>349</v>
      </c>
      <c r="C52" s="250" t="s">
        <v>349</v>
      </c>
      <c r="D52" s="246">
        <v>805.22680200000002</v>
      </c>
      <c r="E52" s="249" t="s">
        <v>301</v>
      </c>
      <c r="G52" s="151" t="str">
        <f>LEFT('Nährstoffe und Lagerraum'!$S$5,3)</f>
        <v>0</v>
      </c>
      <c r="H52" s="151" t="str">
        <f t="shared" si="1"/>
        <v>0</v>
      </c>
      <c r="I52" s="151">
        <f t="shared" si="2"/>
        <v>0</v>
      </c>
      <c r="J52" s="246">
        <f t="shared" si="4"/>
        <v>0</v>
      </c>
      <c r="K52">
        <f t="shared" si="3"/>
        <v>0</v>
      </c>
    </row>
    <row r="53" spans="1:11" ht="15" x14ac:dyDescent="0.25">
      <c r="A53" s="250">
        <v>473</v>
      </c>
      <c r="B53" s="250" t="s">
        <v>350</v>
      </c>
      <c r="C53" s="250" t="s">
        <v>350</v>
      </c>
      <c r="D53" s="246">
        <v>674.53293699999995</v>
      </c>
      <c r="E53" s="249" t="s">
        <v>301</v>
      </c>
      <c r="G53" s="151" t="str">
        <f>LEFT('Nährstoffe und Lagerraum'!$S$5,3)</f>
        <v>0</v>
      </c>
      <c r="H53" s="151" t="str">
        <f t="shared" si="1"/>
        <v>0</v>
      </c>
      <c r="I53" s="151">
        <f t="shared" si="2"/>
        <v>0</v>
      </c>
      <c r="J53" s="246">
        <f t="shared" si="4"/>
        <v>0</v>
      </c>
      <c r="K53">
        <f t="shared" si="3"/>
        <v>0</v>
      </c>
    </row>
    <row r="54" spans="1:11" ht="15" x14ac:dyDescent="0.25">
      <c r="A54" s="250">
        <v>474</v>
      </c>
      <c r="B54" s="250" t="s">
        <v>352</v>
      </c>
      <c r="C54" s="250" t="s">
        <v>352</v>
      </c>
      <c r="D54" s="246">
        <v>762.59782199999995</v>
      </c>
      <c r="E54" s="249" t="s">
        <v>301</v>
      </c>
      <c r="G54" s="151" t="str">
        <f>LEFT('Nährstoffe und Lagerraum'!$S$5,3)</f>
        <v>0</v>
      </c>
      <c r="H54" s="151" t="str">
        <f t="shared" si="1"/>
        <v>0</v>
      </c>
      <c r="I54" s="151">
        <f t="shared" si="2"/>
        <v>0</v>
      </c>
      <c r="J54" s="246">
        <f t="shared" si="4"/>
        <v>0</v>
      </c>
      <c r="K54">
        <f t="shared" si="3"/>
        <v>0</v>
      </c>
    </row>
    <row r="55" spans="1:11" ht="15" x14ac:dyDescent="0.25">
      <c r="A55" s="250">
        <v>475</v>
      </c>
      <c r="B55" s="250" t="s">
        <v>351</v>
      </c>
      <c r="C55" s="250" t="s">
        <v>351</v>
      </c>
      <c r="D55" s="246">
        <v>766.46465999999998</v>
      </c>
      <c r="E55" s="249" t="s">
        <v>301</v>
      </c>
      <c r="G55" s="151" t="str">
        <f>LEFT('Nährstoffe und Lagerraum'!$S$5,3)</f>
        <v>0</v>
      </c>
      <c r="H55" s="151" t="str">
        <f t="shared" si="1"/>
        <v>0</v>
      </c>
      <c r="I55" s="151">
        <f t="shared" si="2"/>
        <v>0</v>
      </c>
      <c r="J55" s="246">
        <f t="shared" si="4"/>
        <v>0</v>
      </c>
      <c r="K55">
        <f t="shared" si="3"/>
        <v>0</v>
      </c>
    </row>
    <row r="56" spans="1:11" ht="15" x14ac:dyDescent="0.25">
      <c r="A56" s="250">
        <v>476</v>
      </c>
      <c r="B56" s="250" t="s">
        <v>353</v>
      </c>
      <c r="C56" s="250" t="s">
        <v>353</v>
      </c>
      <c r="D56" s="246">
        <v>840.09107700000004</v>
      </c>
      <c r="E56" s="249" t="s">
        <v>301</v>
      </c>
      <c r="G56" s="151" t="str">
        <f>LEFT('Nährstoffe und Lagerraum'!$S$5,3)</f>
        <v>0</v>
      </c>
      <c r="H56" s="151" t="str">
        <f t="shared" si="1"/>
        <v>0</v>
      </c>
      <c r="I56" s="151">
        <f t="shared" si="2"/>
        <v>0</v>
      </c>
      <c r="J56" s="246">
        <f t="shared" si="4"/>
        <v>0</v>
      </c>
      <c r="K56">
        <f t="shared" si="3"/>
        <v>0</v>
      </c>
    </row>
    <row r="57" spans="1:11" ht="15" x14ac:dyDescent="0.25">
      <c r="A57" s="250">
        <v>477</v>
      </c>
      <c r="B57" s="250" t="s">
        <v>354</v>
      </c>
      <c r="C57" s="250" t="s">
        <v>354</v>
      </c>
      <c r="D57" s="246">
        <v>754.01590799999997</v>
      </c>
      <c r="E57" s="249" t="s">
        <v>301</v>
      </c>
      <c r="G57" s="151" t="str">
        <f>LEFT('Nährstoffe und Lagerraum'!$S$5,3)</f>
        <v>0</v>
      </c>
      <c r="H57" s="151" t="str">
        <f t="shared" si="1"/>
        <v>0</v>
      </c>
      <c r="I57" s="151">
        <f t="shared" si="2"/>
        <v>0</v>
      </c>
      <c r="J57" s="246">
        <f t="shared" si="4"/>
        <v>0</v>
      </c>
      <c r="K57">
        <f t="shared" si="3"/>
        <v>0</v>
      </c>
    </row>
    <row r="58" spans="1:11" ht="15" x14ac:dyDescent="0.25">
      <c r="A58" s="250">
        <v>478</v>
      </c>
      <c r="B58" s="250" t="s">
        <v>355</v>
      </c>
      <c r="C58" s="250" t="s">
        <v>355</v>
      </c>
      <c r="D58" s="246">
        <v>663.68571299999996</v>
      </c>
      <c r="E58" s="249" t="s">
        <v>301</v>
      </c>
      <c r="G58" s="151" t="str">
        <f>LEFT('Nährstoffe und Lagerraum'!$S$5,3)</f>
        <v>0</v>
      </c>
      <c r="H58" s="151" t="str">
        <f t="shared" si="1"/>
        <v>0</v>
      </c>
      <c r="I58" s="151">
        <f t="shared" si="2"/>
        <v>0</v>
      </c>
      <c r="J58" s="246">
        <f t="shared" si="4"/>
        <v>0</v>
      </c>
      <c r="K58">
        <f t="shared" si="3"/>
        <v>0</v>
      </c>
    </row>
    <row r="59" spans="1:11" ht="15" x14ac:dyDescent="0.25">
      <c r="A59" s="250">
        <v>479</v>
      </c>
      <c r="B59" s="250" t="s">
        <v>356</v>
      </c>
      <c r="C59" s="250" t="s">
        <v>356</v>
      </c>
      <c r="D59" s="246">
        <v>761.51830399999994</v>
      </c>
      <c r="E59" s="249" t="s">
        <v>301</v>
      </c>
      <c r="G59" s="151" t="str">
        <f>LEFT('Nährstoffe und Lagerraum'!$S$5,3)</f>
        <v>0</v>
      </c>
      <c r="H59" s="151" t="str">
        <f t="shared" si="1"/>
        <v>0</v>
      </c>
      <c r="I59" s="151">
        <f t="shared" si="2"/>
        <v>0</v>
      </c>
      <c r="J59" s="246">
        <f t="shared" si="4"/>
        <v>0</v>
      </c>
      <c r="K59">
        <f t="shared" si="3"/>
        <v>0</v>
      </c>
    </row>
    <row r="60" spans="1:11" ht="15" x14ac:dyDescent="0.25">
      <c r="A60" s="250">
        <v>561</v>
      </c>
      <c r="B60" s="250" t="s">
        <v>357</v>
      </c>
      <c r="C60" s="250" t="s">
        <v>357</v>
      </c>
      <c r="D60" s="246">
        <v>641.50404100000003</v>
      </c>
      <c r="E60" s="249" t="s">
        <v>301</v>
      </c>
      <c r="G60" s="151" t="str">
        <f>LEFT('Nährstoffe und Lagerraum'!$S$5,3)</f>
        <v>0</v>
      </c>
      <c r="H60" s="151" t="str">
        <f t="shared" si="1"/>
        <v>0</v>
      </c>
      <c r="I60" s="151">
        <f t="shared" si="2"/>
        <v>0</v>
      </c>
      <c r="J60" s="246">
        <f t="shared" si="4"/>
        <v>0</v>
      </c>
      <c r="K60">
        <f t="shared" si="3"/>
        <v>0</v>
      </c>
    </row>
    <row r="61" spans="1:11" ht="15" x14ac:dyDescent="0.25">
      <c r="A61" s="250">
        <v>562</v>
      </c>
      <c r="B61" s="250" t="s">
        <v>358</v>
      </c>
      <c r="C61" s="250" t="s">
        <v>358</v>
      </c>
      <c r="D61" s="246">
        <v>620.00384499999996</v>
      </c>
      <c r="E61" s="249" t="s">
        <v>301</v>
      </c>
      <c r="G61" s="151" t="str">
        <f>LEFT('Nährstoffe und Lagerraum'!$S$5,3)</f>
        <v>0</v>
      </c>
      <c r="H61" s="151" t="str">
        <f t="shared" si="1"/>
        <v>0</v>
      </c>
      <c r="I61" s="151">
        <f t="shared" si="2"/>
        <v>0</v>
      </c>
      <c r="J61" s="246">
        <f t="shared" si="4"/>
        <v>0</v>
      </c>
      <c r="K61">
        <f t="shared" si="3"/>
        <v>0</v>
      </c>
    </row>
    <row r="62" spans="1:11" ht="15" x14ac:dyDescent="0.25">
      <c r="A62" s="250">
        <v>563</v>
      </c>
      <c r="B62" s="250" t="s">
        <v>359</v>
      </c>
      <c r="C62" s="250" t="s">
        <v>360</v>
      </c>
      <c r="D62" s="246">
        <v>578.62257899999997</v>
      </c>
      <c r="E62" s="249" t="s">
        <v>301</v>
      </c>
      <c r="G62" s="151" t="str">
        <f>LEFT('Nährstoffe und Lagerraum'!$S$5,3)</f>
        <v>0</v>
      </c>
      <c r="H62" s="151" t="str">
        <f t="shared" si="1"/>
        <v>0</v>
      </c>
      <c r="I62" s="151">
        <f t="shared" si="2"/>
        <v>0</v>
      </c>
      <c r="J62" s="246">
        <f t="shared" si="4"/>
        <v>0</v>
      </c>
      <c r="K62">
        <f t="shared" si="3"/>
        <v>0</v>
      </c>
    </row>
    <row r="63" spans="1:11" ht="15" x14ac:dyDescent="0.25">
      <c r="A63" s="250">
        <v>564</v>
      </c>
      <c r="B63" s="250" t="s">
        <v>361</v>
      </c>
      <c r="C63" s="250" t="s">
        <v>362</v>
      </c>
      <c r="D63" s="246">
        <v>608.04814999999996</v>
      </c>
      <c r="E63" s="249" t="s">
        <v>301</v>
      </c>
      <c r="G63" s="151" t="str">
        <f>LEFT('Nährstoffe und Lagerraum'!$S$5,3)</f>
        <v>0</v>
      </c>
      <c r="H63" s="151" t="str">
        <f t="shared" si="1"/>
        <v>0</v>
      </c>
      <c r="I63" s="151">
        <f t="shared" si="2"/>
        <v>0</v>
      </c>
      <c r="J63" s="246">
        <f t="shared" si="4"/>
        <v>0</v>
      </c>
      <c r="K63">
        <f t="shared" si="3"/>
        <v>0</v>
      </c>
    </row>
    <row r="64" spans="1:11" ht="15" x14ac:dyDescent="0.25">
      <c r="A64" s="250">
        <v>565</v>
      </c>
      <c r="B64" s="250" t="s">
        <v>363</v>
      </c>
      <c r="C64" s="250" t="s">
        <v>363</v>
      </c>
      <c r="D64" s="246">
        <v>610.95121800000004</v>
      </c>
      <c r="E64" s="249" t="s">
        <v>301</v>
      </c>
      <c r="G64" s="151" t="str">
        <f>LEFT('Nährstoffe und Lagerraum'!$S$5,3)</f>
        <v>0</v>
      </c>
      <c r="H64" s="151" t="str">
        <f t="shared" si="1"/>
        <v>0</v>
      </c>
      <c r="I64" s="151">
        <f t="shared" si="2"/>
        <v>0</v>
      </c>
      <c r="J64" s="246">
        <f t="shared" si="4"/>
        <v>0</v>
      </c>
      <c r="K64">
        <f t="shared" si="3"/>
        <v>0</v>
      </c>
    </row>
    <row r="65" spans="1:11" ht="15" x14ac:dyDescent="0.25">
      <c r="A65" s="250">
        <v>571</v>
      </c>
      <c r="B65" s="250" t="s">
        <v>357</v>
      </c>
      <c r="C65" s="250" t="s">
        <v>357</v>
      </c>
      <c r="D65" s="246">
        <v>650.69102399999997</v>
      </c>
      <c r="E65" s="249" t="s">
        <v>301</v>
      </c>
      <c r="G65" s="151" t="str">
        <f>LEFT('Nährstoffe und Lagerraum'!$S$5,3)</f>
        <v>0</v>
      </c>
      <c r="H65" s="151" t="str">
        <f t="shared" si="1"/>
        <v>0</v>
      </c>
      <c r="I65" s="151">
        <f t="shared" si="2"/>
        <v>0</v>
      </c>
      <c r="J65" s="246">
        <f t="shared" si="4"/>
        <v>0</v>
      </c>
      <c r="K65">
        <f t="shared" si="3"/>
        <v>0</v>
      </c>
    </row>
    <row r="66" spans="1:11" ht="15" x14ac:dyDescent="0.25">
      <c r="A66" s="250">
        <v>572</v>
      </c>
      <c r="B66" s="250" t="s">
        <v>364</v>
      </c>
      <c r="C66" s="250" t="s">
        <v>365</v>
      </c>
      <c r="D66" s="246">
        <v>623.15303600000004</v>
      </c>
      <c r="E66" s="249" t="s">
        <v>301</v>
      </c>
      <c r="G66" s="151" t="str">
        <f>LEFT('Nährstoffe und Lagerraum'!$S$5,3)</f>
        <v>0</v>
      </c>
      <c r="H66" s="151" t="str">
        <f t="shared" si="1"/>
        <v>0</v>
      </c>
      <c r="I66" s="151">
        <f t="shared" si="2"/>
        <v>0</v>
      </c>
      <c r="J66" s="246">
        <f t="shared" ref="J66:J97" si="5">IF(I66=A66,1,0)</f>
        <v>0</v>
      </c>
      <c r="K66">
        <f t="shared" si="3"/>
        <v>0</v>
      </c>
    </row>
    <row r="67" spans="1:11" ht="15" x14ac:dyDescent="0.25">
      <c r="A67" s="250">
        <v>573</v>
      </c>
      <c r="B67" s="250" t="s">
        <v>359</v>
      </c>
      <c r="C67" s="250" t="s">
        <v>360</v>
      </c>
      <c r="D67" s="246">
        <v>580.23709699999995</v>
      </c>
      <c r="E67" s="249" t="s">
        <v>301</v>
      </c>
      <c r="G67" s="151" t="str">
        <f>LEFT('Nährstoffe und Lagerraum'!$S$5,3)</f>
        <v>0</v>
      </c>
      <c r="H67" s="151" t="str">
        <f t="shared" ref="H67:H97" si="6">+G67</f>
        <v>0</v>
      </c>
      <c r="I67" s="151">
        <f t="shared" ref="I67:I97" si="7">VALUE(H67)</f>
        <v>0</v>
      </c>
      <c r="J67" s="246">
        <f t="shared" si="5"/>
        <v>0</v>
      </c>
      <c r="K67">
        <f t="shared" ref="K67:K97" si="8">IF(J67&gt;0,D67,0)</f>
        <v>0</v>
      </c>
    </row>
    <row r="68" spans="1:11" ht="15" x14ac:dyDescent="0.25">
      <c r="A68" s="250">
        <v>574</v>
      </c>
      <c r="B68" s="250" t="s">
        <v>366</v>
      </c>
      <c r="C68" s="250" t="s">
        <v>367</v>
      </c>
      <c r="D68" s="246">
        <v>788.97264700000005</v>
      </c>
      <c r="E68" s="249" t="s">
        <v>301</v>
      </c>
      <c r="G68" s="151" t="str">
        <f>LEFT('Nährstoffe und Lagerraum'!$S$5,3)</f>
        <v>0</v>
      </c>
      <c r="H68" s="151" t="str">
        <f t="shared" si="6"/>
        <v>0</v>
      </c>
      <c r="I68" s="151">
        <f t="shared" si="7"/>
        <v>0</v>
      </c>
      <c r="J68" s="246">
        <f t="shared" si="5"/>
        <v>0</v>
      </c>
      <c r="K68">
        <f t="shared" si="8"/>
        <v>0</v>
      </c>
    </row>
    <row r="69" spans="1:11" ht="15" x14ac:dyDescent="0.25">
      <c r="A69" s="250">
        <v>575</v>
      </c>
      <c r="B69" s="250" t="s">
        <v>368</v>
      </c>
      <c r="C69" s="250" t="s">
        <v>368</v>
      </c>
      <c r="D69" s="246">
        <v>605.22147900000004</v>
      </c>
      <c r="E69" s="249" t="s">
        <v>301</v>
      </c>
      <c r="G69" s="151" t="str">
        <f>LEFT('Nährstoffe und Lagerraum'!$S$5,3)</f>
        <v>0</v>
      </c>
      <c r="H69" s="151" t="str">
        <f t="shared" si="6"/>
        <v>0</v>
      </c>
      <c r="I69" s="151">
        <f t="shared" si="7"/>
        <v>0</v>
      </c>
      <c r="J69" s="246">
        <f t="shared" si="5"/>
        <v>0</v>
      </c>
      <c r="K69">
        <f t="shared" si="8"/>
        <v>0</v>
      </c>
    </row>
    <row r="70" spans="1:11" ht="15" x14ac:dyDescent="0.25">
      <c r="A70" s="250">
        <v>576</v>
      </c>
      <c r="B70" s="250" t="s">
        <v>369</v>
      </c>
      <c r="C70" s="250" t="s">
        <v>369</v>
      </c>
      <c r="D70" s="246">
        <v>663.53083800000002</v>
      </c>
      <c r="E70" s="249" t="s">
        <v>301</v>
      </c>
      <c r="G70" s="151" t="str">
        <f>LEFT('Nährstoffe und Lagerraum'!$S$5,3)</f>
        <v>0</v>
      </c>
      <c r="H70" s="151" t="str">
        <f t="shared" si="6"/>
        <v>0</v>
      </c>
      <c r="I70" s="151">
        <f t="shared" si="7"/>
        <v>0</v>
      </c>
      <c r="J70" s="246">
        <f t="shared" si="5"/>
        <v>0</v>
      </c>
      <c r="K70">
        <f t="shared" si="8"/>
        <v>0</v>
      </c>
    </row>
    <row r="71" spans="1:11" ht="15" x14ac:dyDescent="0.25">
      <c r="A71" s="250">
        <v>577</v>
      </c>
      <c r="B71" s="250" t="s">
        <v>370</v>
      </c>
      <c r="C71" s="250" t="s">
        <v>371</v>
      </c>
      <c r="D71" s="246">
        <v>698.06765800000005</v>
      </c>
      <c r="E71" s="249" t="s">
        <v>301</v>
      </c>
      <c r="G71" s="151" t="str">
        <f>LEFT('Nährstoffe und Lagerraum'!$S$5,3)</f>
        <v>0</v>
      </c>
      <c r="H71" s="151" t="str">
        <f t="shared" si="6"/>
        <v>0</v>
      </c>
      <c r="I71" s="151">
        <f t="shared" si="7"/>
        <v>0</v>
      </c>
      <c r="J71" s="246">
        <f t="shared" si="5"/>
        <v>0</v>
      </c>
      <c r="K71">
        <f t="shared" si="8"/>
        <v>0</v>
      </c>
    </row>
    <row r="72" spans="1:11" ht="15" x14ac:dyDescent="0.25">
      <c r="A72" s="250">
        <v>661</v>
      </c>
      <c r="B72" s="250" t="s">
        <v>372</v>
      </c>
      <c r="C72" s="250" t="s">
        <v>372</v>
      </c>
      <c r="D72" s="246">
        <v>653.116129</v>
      </c>
      <c r="E72" s="249" t="s">
        <v>301</v>
      </c>
      <c r="G72" s="151" t="str">
        <f>LEFT('Nährstoffe und Lagerraum'!$S$5,3)</f>
        <v>0</v>
      </c>
      <c r="H72" s="151" t="str">
        <f t="shared" si="6"/>
        <v>0</v>
      </c>
      <c r="I72" s="151">
        <f t="shared" si="7"/>
        <v>0</v>
      </c>
      <c r="J72" s="246">
        <f t="shared" si="5"/>
        <v>0</v>
      </c>
      <c r="K72">
        <f t="shared" si="8"/>
        <v>0</v>
      </c>
    </row>
    <row r="73" spans="1:11" ht="15" x14ac:dyDescent="0.25">
      <c r="A73" s="250">
        <v>662</v>
      </c>
      <c r="B73" s="250" t="s">
        <v>373</v>
      </c>
      <c r="C73" s="250" t="s">
        <v>373</v>
      </c>
      <c r="D73" s="246">
        <v>550.47714299999996</v>
      </c>
      <c r="E73" s="249" t="s">
        <v>301</v>
      </c>
      <c r="G73" s="151" t="str">
        <f>LEFT('Nährstoffe und Lagerraum'!$S$5,3)</f>
        <v>0</v>
      </c>
      <c r="H73" s="151" t="str">
        <f t="shared" si="6"/>
        <v>0</v>
      </c>
      <c r="I73" s="151">
        <f t="shared" si="7"/>
        <v>0</v>
      </c>
      <c r="J73" s="246">
        <f t="shared" si="5"/>
        <v>0</v>
      </c>
      <c r="K73">
        <f t="shared" si="8"/>
        <v>0</v>
      </c>
    </row>
    <row r="74" spans="1:11" ht="15" x14ac:dyDescent="0.25">
      <c r="A74" s="250">
        <v>663</v>
      </c>
      <c r="B74" s="250" t="s">
        <v>374</v>
      </c>
      <c r="C74" s="250" t="s">
        <v>375</v>
      </c>
      <c r="D74" s="246">
        <v>571.78681500000005</v>
      </c>
      <c r="E74" s="249" t="s">
        <v>301</v>
      </c>
      <c r="G74" s="151" t="str">
        <f>LEFT('Nährstoffe und Lagerraum'!$S$5,3)</f>
        <v>0</v>
      </c>
      <c r="H74" s="151" t="str">
        <f t="shared" si="6"/>
        <v>0</v>
      </c>
      <c r="I74" s="151">
        <f t="shared" si="7"/>
        <v>0</v>
      </c>
      <c r="J74" s="246">
        <f t="shared" si="5"/>
        <v>0</v>
      </c>
      <c r="K74">
        <f t="shared" si="8"/>
        <v>0</v>
      </c>
    </row>
    <row r="75" spans="1:11" ht="15" x14ac:dyDescent="0.25">
      <c r="A75" s="250">
        <v>671</v>
      </c>
      <c r="B75" s="250" t="s">
        <v>372</v>
      </c>
      <c r="C75" s="250" t="s">
        <v>372</v>
      </c>
      <c r="D75" s="246">
        <v>796.91510900000003</v>
      </c>
      <c r="E75" s="249" t="s">
        <v>301</v>
      </c>
      <c r="G75" s="151" t="str">
        <f>LEFT('Nährstoffe und Lagerraum'!$S$5,3)</f>
        <v>0</v>
      </c>
      <c r="H75" s="151" t="str">
        <f t="shared" si="6"/>
        <v>0</v>
      </c>
      <c r="I75" s="151">
        <f t="shared" si="7"/>
        <v>0</v>
      </c>
      <c r="J75" s="246">
        <f t="shared" si="5"/>
        <v>0</v>
      </c>
      <c r="K75">
        <f t="shared" si="8"/>
        <v>0</v>
      </c>
    </row>
    <row r="76" spans="1:11" ht="15" x14ac:dyDescent="0.25">
      <c r="A76" s="250">
        <v>672</v>
      </c>
      <c r="B76" s="250" t="s">
        <v>376</v>
      </c>
      <c r="C76" s="250" t="s">
        <v>376</v>
      </c>
      <c r="D76" s="246">
        <v>690.65356199999997</v>
      </c>
      <c r="E76" s="249" t="s">
        <v>301</v>
      </c>
      <c r="G76" s="151" t="str">
        <f>LEFT('Nährstoffe und Lagerraum'!$S$5,3)</f>
        <v>0</v>
      </c>
      <c r="H76" s="151" t="str">
        <f t="shared" si="6"/>
        <v>0</v>
      </c>
      <c r="I76" s="151">
        <f t="shared" si="7"/>
        <v>0</v>
      </c>
      <c r="J76" s="246">
        <f t="shared" si="5"/>
        <v>0</v>
      </c>
      <c r="K76">
        <f t="shared" si="8"/>
        <v>0</v>
      </c>
    </row>
    <row r="77" spans="1:11" ht="15" x14ac:dyDescent="0.25">
      <c r="A77" s="250">
        <v>673</v>
      </c>
      <c r="B77" s="250" t="s">
        <v>377</v>
      </c>
      <c r="C77" s="250" t="s">
        <v>378</v>
      </c>
      <c r="D77" s="246">
        <v>675.03013499999997</v>
      </c>
      <c r="E77" s="249" t="s">
        <v>301</v>
      </c>
      <c r="G77" s="151" t="str">
        <f>LEFT('Nährstoffe und Lagerraum'!$S$5,3)</f>
        <v>0</v>
      </c>
      <c r="H77" s="151" t="str">
        <f t="shared" si="6"/>
        <v>0</v>
      </c>
      <c r="I77" s="151">
        <f t="shared" si="7"/>
        <v>0</v>
      </c>
      <c r="J77" s="246">
        <f t="shared" si="5"/>
        <v>0</v>
      </c>
      <c r="K77">
        <f t="shared" si="8"/>
        <v>0</v>
      </c>
    </row>
    <row r="78" spans="1:11" ht="15" x14ac:dyDescent="0.25">
      <c r="A78" s="250">
        <v>674</v>
      </c>
      <c r="B78" s="250" t="s">
        <v>379</v>
      </c>
      <c r="C78" s="250" t="s">
        <v>380</v>
      </c>
      <c r="D78" s="246">
        <v>636.13746000000003</v>
      </c>
      <c r="E78" s="249" t="s">
        <v>301</v>
      </c>
      <c r="G78" s="151" t="str">
        <f>LEFT('Nährstoffe und Lagerraum'!$S$5,3)</f>
        <v>0</v>
      </c>
      <c r="H78" s="151" t="str">
        <f t="shared" si="6"/>
        <v>0</v>
      </c>
      <c r="I78" s="151">
        <f t="shared" si="7"/>
        <v>0</v>
      </c>
      <c r="J78" s="246">
        <f t="shared" si="5"/>
        <v>0</v>
      </c>
      <c r="K78">
        <f t="shared" si="8"/>
        <v>0</v>
      </c>
    </row>
    <row r="79" spans="1:11" ht="15" x14ac:dyDescent="0.25">
      <c r="A79" s="250">
        <v>675</v>
      </c>
      <c r="B79" s="250" t="s">
        <v>381</v>
      </c>
      <c r="C79" s="250" t="s">
        <v>381</v>
      </c>
      <c r="D79" s="246">
        <v>578.59883300000001</v>
      </c>
      <c r="E79" s="249" t="s">
        <v>301</v>
      </c>
      <c r="G79" s="151" t="str">
        <f>LEFT('Nährstoffe und Lagerraum'!$S$5,3)</f>
        <v>0</v>
      </c>
      <c r="H79" s="151" t="str">
        <f t="shared" si="6"/>
        <v>0</v>
      </c>
      <c r="I79" s="151">
        <f t="shared" si="7"/>
        <v>0</v>
      </c>
      <c r="J79" s="246">
        <f t="shared" si="5"/>
        <v>0</v>
      </c>
      <c r="K79">
        <f t="shared" si="8"/>
        <v>0</v>
      </c>
    </row>
    <row r="80" spans="1:11" ht="15" x14ac:dyDescent="0.25">
      <c r="A80" s="250">
        <v>676</v>
      </c>
      <c r="B80" s="250" t="s">
        <v>382</v>
      </c>
      <c r="C80" s="250" t="s">
        <v>382</v>
      </c>
      <c r="D80" s="246">
        <v>708.85569499999997</v>
      </c>
      <c r="E80" s="249" t="s">
        <v>301</v>
      </c>
      <c r="G80" s="151" t="str">
        <f>LEFT('Nährstoffe und Lagerraum'!$S$5,3)</f>
        <v>0</v>
      </c>
      <c r="H80" s="151" t="str">
        <f t="shared" si="6"/>
        <v>0</v>
      </c>
      <c r="I80" s="151">
        <f t="shared" si="7"/>
        <v>0</v>
      </c>
      <c r="J80" s="246">
        <f t="shared" si="5"/>
        <v>0</v>
      </c>
      <c r="K80">
        <f t="shared" si="8"/>
        <v>0</v>
      </c>
    </row>
    <row r="81" spans="1:11" ht="15" x14ac:dyDescent="0.25">
      <c r="A81" s="250">
        <v>677</v>
      </c>
      <c r="B81" s="250" t="s">
        <v>383</v>
      </c>
      <c r="C81" s="250" t="s">
        <v>383</v>
      </c>
      <c r="D81" s="246">
        <v>714.86358199999995</v>
      </c>
      <c r="E81" s="249" t="s">
        <v>301</v>
      </c>
      <c r="G81" s="151" t="str">
        <f>LEFT('Nährstoffe und Lagerraum'!$S$5,3)</f>
        <v>0</v>
      </c>
      <c r="H81" s="151" t="str">
        <f t="shared" si="6"/>
        <v>0</v>
      </c>
      <c r="I81" s="151">
        <f t="shared" si="7"/>
        <v>0</v>
      </c>
      <c r="J81" s="246">
        <f t="shared" si="5"/>
        <v>0</v>
      </c>
      <c r="K81">
        <f t="shared" si="8"/>
        <v>0</v>
      </c>
    </row>
    <row r="82" spans="1:11" ht="15" x14ac:dyDescent="0.25">
      <c r="A82" s="250">
        <v>678</v>
      </c>
      <c r="B82" s="250" t="s">
        <v>373</v>
      </c>
      <c r="C82" s="250" t="s">
        <v>373</v>
      </c>
      <c r="D82" s="246">
        <v>593.07196199999998</v>
      </c>
      <c r="E82" s="249" t="s">
        <v>301</v>
      </c>
      <c r="G82" s="151" t="str">
        <f>LEFT('Nährstoffe und Lagerraum'!$S$5,3)</f>
        <v>0</v>
      </c>
      <c r="H82" s="151" t="str">
        <f t="shared" si="6"/>
        <v>0</v>
      </c>
      <c r="I82" s="151">
        <f t="shared" si="7"/>
        <v>0</v>
      </c>
      <c r="J82" s="246">
        <f t="shared" si="5"/>
        <v>0</v>
      </c>
      <c r="K82">
        <f t="shared" si="8"/>
        <v>0</v>
      </c>
    </row>
    <row r="83" spans="1:11" ht="15" x14ac:dyDescent="0.25">
      <c r="A83" s="250">
        <v>679</v>
      </c>
      <c r="B83" s="250" t="s">
        <v>374</v>
      </c>
      <c r="C83" s="250" t="s">
        <v>375</v>
      </c>
      <c r="D83" s="246">
        <v>596.123695</v>
      </c>
      <c r="E83" s="249" t="s">
        <v>301</v>
      </c>
      <c r="G83" s="151" t="str">
        <f>LEFT('Nährstoffe und Lagerraum'!$S$5,3)</f>
        <v>0</v>
      </c>
      <c r="H83" s="151" t="str">
        <f t="shared" si="6"/>
        <v>0</v>
      </c>
      <c r="I83" s="151">
        <f t="shared" si="7"/>
        <v>0</v>
      </c>
      <c r="J83" s="246">
        <f t="shared" si="5"/>
        <v>0</v>
      </c>
      <c r="K83">
        <f t="shared" si="8"/>
        <v>0</v>
      </c>
    </row>
    <row r="84" spans="1:11" ht="15" x14ac:dyDescent="0.25">
      <c r="A84" s="250">
        <v>761</v>
      </c>
      <c r="B84" s="250" t="s">
        <v>384</v>
      </c>
      <c r="C84" s="250" t="s">
        <v>384</v>
      </c>
      <c r="D84" s="246">
        <v>784.74589200000003</v>
      </c>
      <c r="E84" s="249" t="s">
        <v>301</v>
      </c>
      <c r="G84" s="151" t="str">
        <f>LEFT('Nährstoffe und Lagerraum'!$S$5,3)</f>
        <v>0</v>
      </c>
      <c r="H84" s="151" t="str">
        <f t="shared" si="6"/>
        <v>0</v>
      </c>
      <c r="I84" s="151">
        <f t="shared" si="7"/>
        <v>0</v>
      </c>
      <c r="J84" s="246">
        <f t="shared" si="5"/>
        <v>0</v>
      </c>
      <c r="K84">
        <f t="shared" si="8"/>
        <v>0</v>
      </c>
    </row>
    <row r="85" spans="1:11" ht="15" x14ac:dyDescent="0.25">
      <c r="A85" s="250">
        <v>762</v>
      </c>
      <c r="B85" s="250" t="s">
        <v>385</v>
      </c>
      <c r="C85" s="250" t="s">
        <v>385</v>
      </c>
      <c r="D85" s="246">
        <v>1070.4261980000001</v>
      </c>
      <c r="E85" s="249" t="s">
        <v>301</v>
      </c>
      <c r="G85" s="151" t="str">
        <f>LEFT('Nährstoffe und Lagerraum'!$S$5,3)</f>
        <v>0</v>
      </c>
      <c r="H85" s="151" t="str">
        <f t="shared" si="6"/>
        <v>0</v>
      </c>
      <c r="I85" s="151">
        <f t="shared" si="7"/>
        <v>0</v>
      </c>
      <c r="J85" s="246">
        <f t="shared" si="5"/>
        <v>0</v>
      </c>
      <c r="K85">
        <f t="shared" si="8"/>
        <v>0</v>
      </c>
    </row>
    <row r="86" spans="1:11" ht="15" x14ac:dyDescent="0.25">
      <c r="A86" s="250">
        <v>763</v>
      </c>
      <c r="B86" s="250" t="s">
        <v>386</v>
      </c>
      <c r="C86" s="250" t="s">
        <v>387</v>
      </c>
      <c r="D86" s="246">
        <v>1267.7194099999999</v>
      </c>
      <c r="E86" s="249" t="s">
        <v>301</v>
      </c>
      <c r="G86" s="151" t="str">
        <f>LEFT('Nährstoffe und Lagerraum'!$S$5,3)</f>
        <v>0</v>
      </c>
      <c r="H86" s="151" t="str">
        <f t="shared" si="6"/>
        <v>0</v>
      </c>
      <c r="I86" s="151">
        <f t="shared" si="7"/>
        <v>0</v>
      </c>
      <c r="J86" s="246">
        <f t="shared" si="5"/>
        <v>0</v>
      </c>
      <c r="K86">
        <f t="shared" si="8"/>
        <v>0</v>
      </c>
    </row>
    <row r="87" spans="1:11" ht="15" x14ac:dyDescent="0.25">
      <c r="A87" s="250">
        <v>764</v>
      </c>
      <c r="B87" s="250" t="s">
        <v>388</v>
      </c>
      <c r="C87" s="250" t="s">
        <v>388</v>
      </c>
      <c r="D87" s="246">
        <v>954.05857200000003</v>
      </c>
      <c r="E87" s="249" t="s">
        <v>301</v>
      </c>
      <c r="G87" s="151" t="str">
        <f>LEFT('Nährstoffe und Lagerraum'!$S$5,3)</f>
        <v>0</v>
      </c>
      <c r="H87" s="151" t="str">
        <f t="shared" si="6"/>
        <v>0</v>
      </c>
      <c r="I87" s="151">
        <f t="shared" si="7"/>
        <v>0</v>
      </c>
      <c r="J87" s="246">
        <f t="shared" si="5"/>
        <v>0</v>
      </c>
      <c r="K87">
        <f t="shared" si="8"/>
        <v>0</v>
      </c>
    </row>
    <row r="88" spans="1:11" ht="15" x14ac:dyDescent="0.25">
      <c r="A88" s="250">
        <v>771</v>
      </c>
      <c r="B88" s="250" t="s">
        <v>389</v>
      </c>
      <c r="C88" s="250" t="s">
        <v>389</v>
      </c>
      <c r="D88" s="246">
        <v>783.19884500000001</v>
      </c>
      <c r="E88" s="249" t="s">
        <v>301</v>
      </c>
      <c r="G88" s="151" t="str">
        <f>LEFT('Nährstoffe und Lagerraum'!$S$5,3)</f>
        <v>0</v>
      </c>
      <c r="H88" s="151" t="str">
        <f t="shared" si="6"/>
        <v>0</v>
      </c>
      <c r="I88" s="151">
        <f t="shared" si="7"/>
        <v>0</v>
      </c>
      <c r="J88" s="246">
        <f t="shared" si="5"/>
        <v>0</v>
      </c>
      <c r="K88">
        <f t="shared" si="8"/>
        <v>0</v>
      </c>
    </row>
    <row r="89" spans="1:11" ht="15" x14ac:dyDescent="0.25">
      <c r="A89" s="250">
        <v>772</v>
      </c>
      <c r="B89" s="250" t="s">
        <v>384</v>
      </c>
      <c r="C89" s="250" t="s">
        <v>384</v>
      </c>
      <c r="D89" s="246">
        <v>815.15079000000003</v>
      </c>
      <c r="E89" s="249" t="s">
        <v>301</v>
      </c>
      <c r="G89" s="151" t="str">
        <f>LEFT('Nährstoffe und Lagerraum'!$S$5,3)</f>
        <v>0</v>
      </c>
      <c r="H89" s="151" t="str">
        <f t="shared" si="6"/>
        <v>0</v>
      </c>
      <c r="I89" s="151">
        <f t="shared" si="7"/>
        <v>0</v>
      </c>
      <c r="J89" s="246">
        <f t="shared" si="5"/>
        <v>0</v>
      </c>
      <c r="K89">
        <f t="shared" si="8"/>
        <v>0</v>
      </c>
    </row>
    <row r="90" spans="1:11" ht="15" x14ac:dyDescent="0.25">
      <c r="A90" s="250">
        <v>773</v>
      </c>
      <c r="B90" s="250" t="s">
        <v>390</v>
      </c>
      <c r="C90" s="250" t="s">
        <v>390</v>
      </c>
      <c r="D90" s="246">
        <v>686.38991199999998</v>
      </c>
      <c r="E90" s="249" t="s">
        <v>301</v>
      </c>
      <c r="G90" s="151" t="str">
        <f>LEFT('Nährstoffe und Lagerraum'!$S$5,3)</f>
        <v>0</v>
      </c>
      <c r="H90" s="151" t="str">
        <f t="shared" si="6"/>
        <v>0</v>
      </c>
      <c r="I90" s="151">
        <f t="shared" si="7"/>
        <v>0</v>
      </c>
      <c r="J90" s="246">
        <f t="shared" si="5"/>
        <v>0</v>
      </c>
      <c r="K90">
        <f t="shared" si="8"/>
        <v>0</v>
      </c>
    </row>
    <row r="91" spans="1:11" ht="15" x14ac:dyDescent="0.25">
      <c r="A91" s="250">
        <v>774</v>
      </c>
      <c r="B91" s="250" t="s">
        <v>391</v>
      </c>
      <c r="C91" s="250" t="s">
        <v>392</v>
      </c>
      <c r="D91" s="246">
        <v>779.68375300000002</v>
      </c>
      <c r="E91" s="249" t="s">
        <v>301</v>
      </c>
      <c r="G91" s="151" t="str">
        <f>LEFT('Nährstoffe und Lagerraum'!$S$5,3)</f>
        <v>0</v>
      </c>
      <c r="H91" s="151" t="str">
        <f t="shared" si="6"/>
        <v>0</v>
      </c>
      <c r="I91" s="151">
        <f t="shared" si="7"/>
        <v>0</v>
      </c>
      <c r="J91" s="246">
        <f t="shared" si="5"/>
        <v>0</v>
      </c>
      <c r="K91">
        <f t="shared" si="8"/>
        <v>0</v>
      </c>
    </row>
    <row r="92" spans="1:11" ht="15" x14ac:dyDescent="0.25">
      <c r="A92" s="250">
        <v>775</v>
      </c>
      <c r="B92" s="250" t="s">
        <v>393</v>
      </c>
      <c r="C92" s="250" t="s">
        <v>393</v>
      </c>
      <c r="D92" s="246">
        <v>783.64961700000003</v>
      </c>
      <c r="E92" s="249" t="s">
        <v>301</v>
      </c>
      <c r="G92" s="151" t="str">
        <f>LEFT('Nährstoffe und Lagerraum'!$S$5,3)</f>
        <v>0</v>
      </c>
      <c r="H92" s="151" t="str">
        <f t="shared" si="6"/>
        <v>0</v>
      </c>
      <c r="I92" s="151">
        <f t="shared" si="7"/>
        <v>0</v>
      </c>
      <c r="J92" s="246">
        <f t="shared" si="5"/>
        <v>0</v>
      </c>
      <c r="K92">
        <f t="shared" si="8"/>
        <v>0</v>
      </c>
    </row>
    <row r="93" spans="1:11" ht="15" x14ac:dyDescent="0.25">
      <c r="A93" s="250">
        <v>776</v>
      </c>
      <c r="B93" s="250" t="s">
        <v>394</v>
      </c>
      <c r="C93" s="250" t="s">
        <v>394</v>
      </c>
      <c r="D93" s="246">
        <v>1552.55107</v>
      </c>
      <c r="E93" s="249" t="s">
        <v>301</v>
      </c>
      <c r="G93" s="151" t="str">
        <f>LEFT('Nährstoffe und Lagerraum'!$S$5,3)</f>
        <v>0</v>
      </c>
      <c r="H93" s="151" t="str">
        <f t="shared" si="6"/>
        <v>0</v>
      </c>
      <c r="I93" s="151">
        <f t="shared" si="7"/>
        <v>0</v>
      </c>
      <c r="J93" s="246">
        <f t="shared" si="5"/>
        <v>0</v>
      </c>
      <c r="K93">
        <f t="shared" si="8"/>
        <v>0</v>
      </c>
    </row>
    <row r="94" spans="1:11" ht="15" x14ac:dyDescent="0.25">
      <c r="A94" s="250">
        <v>777</v>
      </c>
      <c r="B94" s="250" t="s">
        <v>395</v>
      </c>
      <c r="C94" s="250" t="s">
        <v>396</v>
      </c>
      <c r="D94" s="246">
        <v>1239.5021609999999</v>
      </c>
      <c r="E94" s="249" t="s">
        <v>301</v>
      </c>
      <c r="G94" s="151" t="str">
        <f>LEFT('Nährstoffe und Lagerraum'!$S$5,3)</f>
        <v>0</v>
      </c>
      <c r="H94" s="151" t="str">
        <f t="shared" si="6"/>
        <v>0</v>
      </c>
      <c r="I94" s="151">
        <f t="shared" si="7"/>
        <v>0</v>
      </c>
      <c r="J94" s="246">
        <f t="shared" si="5"/>
        <v>0</v>
      </c>
      <c r="K94">
        <f t="shared" si="8"/>
        <v>0</v>
      </c>
    </row>
    <row r="95" spans="1:11" ht="15" x14ac:dyDescent="0.25">
      <c r="A95" s="250">
        <v>778</v>
      </c>
      <c r="B95" s="250" t="s">
        <v>397</v>
      </c>
      <c r="C95" s="250" t="s">
        <v>398</v>
      </c>
      <c r="D95" s="246">
        <v>957.17201999999997</v>
      </c>
      <c r="E95" s="249" t="s">
        <v>301</v>
      </c>
      <c r="G95" s="151" t="str">
        <f>LEFT('Nährstoffe und Lagerraum'!$S$5,3)</f>
        <v>0</v>
      </c>
      <c r="H95" s="151" t="str">
        <f t="shared" si="6"/>
        <v>0</v>
      </c>
      <c r="I95" s="151">
        <f t="shared" si="7"/>
        <v>0</v>
      </c>
      <c r="J95" s="246">
        <f t="shared" si="5"/>
        <v>0</v>
      </c>
      <c r="K95">
        <f t="shared" si="8"/>
        <v>0</v>
      </c>
    </row>
    <row r="96" spans="1:11" ht="15" x14ac:dyDescent="0.25">
      <c r="A96" s="250">
        <v>779</v>
      </c>
      <c r="B96" s="250" t="s">
        <v>399</v>
      </c>
      <c r="C96" s="250" t="s">
        <v>399</v>
      </c>
      <c r="D96" s="246">
        <v>684.44976599999995</v>
      </c>
      <c r="E96" s="249" t="s">
        <v>301</v>
      </c>
      <c r="G96" s="151" t="str">
        <f>LEFT('Nährstoffe und Lagerraum'!$S$5,3)</f>
        <v>0</v>
      </c>
      <c r="H96" s="151" t="str">
        <f t="shared" si="6"/>
        <v>0</v>
      </c>
      <c r="I96" s="151">
        <f t="shared" si="7"/>
        <v>0</v>
      </c>
      <c r="J96" s="246">
        <f t="shared" si="5"/>
        <v>0</v>
      </c>
      <c r="K96">
        <f t="shared" si="8"/>
        <v>0</v>
      </c>
    </row>
    <row r="97" spans="1:12" ht="15" x14ac:dyDescent="0.25">
      <c r="A97" s="250">
        <v>780</v>
      </c>
      <c r="B97" s="250" t="s">
        <v>400</v>
      </c>
      <c r="C97" s="250" t="s">
        <v>401</v>
      </c>
      <c r="D97" s="246">
        <v>1765.1118100000001</v>
      </c>
      <c r="E97" s="249" t="s">
        <v>301</v>
      </c>
      <c r="G97" s="151" t="str">
        <f>LEFT('Nährstoffe und Lagerraum'!$S$5,3)</f>
        <v>0</v>
      </c>
      <c r="H97" s="151" t="str">
        <f t="shared" si="6"/>
        <v>0</v>
      </c>
      <c r="I97" s="151">
        <f t="shared" si="7"/>
        <v>0</v>
      </c>
      <c r="J97" s="246">
        <f t="shared" si="5"/>
        <v>0</v>
      </c>
      <c r="K97">
        <f t="shared" si="8"/>
        <v>0</v>
      </c>
    </row>
    <row r="98" spans="1:12" x14ac:dyDescent="0.2">
      <c r="K98">
        <f>SUM(K2:K97)</f>
        <v>0</v>
      </c>
      <c r="L98">
        <f>IF(K98&gt;0,K98,0)</f>
        <v>0</v>
      </c>
    </row>
  </sheetData>
  <conditionalFormatting sqref="D2:D97">
    <cfRule type="cellIs" dxfId="9" priority="1" operator="lessThan">
      <formula>550</formula>
    </cfRule>
  </conditionalFormatting>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S50"/>
  <sheetViews>
    <sheetView showGridLines="0" zoomScaleNormal="100" workbookViewId="0"/>
  </sheetViews>
  <sheetFormatPr baseColWidth="10" defaultColWidth="5.42578125" defaultRowHeight="12.75" x14ac:dyDescent="0.2"/>
  <cols>
    <col min="1" max="1" width="1.42578125" style="1567" customWidth="1"/>
    <col min="2" max="2" width="8.28515625" style="1567" customWidth="1"/>
    <col min="3" max="3" width="17.85546875" style="1567" customWidth="1"/>
    <col min="4" max="4" width="8.28515625" style="1567" customWidth="1"/>
    <col min="5" max="10" width="7.5703125" style="1567" customWidth="1"/>
    <col min="11" max="11" width="4.140625" style="1567" customWidth="1"/>
    <col min="12" max="12" width="7.5703125" style="1567" customWidth="1"/>
    <col min="13" max="13" width="4.85546875" style="1567" customWidth="1"/>
    <col min="14" max="17" width="5.42578125" style="1567"/>
    <col min="18" max="18" width="10.85546875" style="1567" hidden="1" customWidth="1"/>
    <col min="19" max="16384" width="5.42578125" style="1567"/>
  </cols>
  <sheetData>
    <row r="1" spans="2:19" ht="14.45" customHeight="1" x14ac:dyDescent="0.2"/>
    <row r="2" spans="2:19" ht="8.25" customHeight="1" x14ac:dyDescent="0.2"/>
    <row r="3" spans="2:19" ht="15.75" customHeight="1" x14ac:dyDescent="0.2">
      <c r="B3" s="3177" t="str">
        <f>CONCATENATE("Deklaration des Wirtschaftsdüngers aus Biogasrechner ",'Nährstoffe und Lagerraum'!$E$5)</f>
        <v>Deklaration des Wirtschaftsdüngers aus Biogasrechner 2024</v>
      </c>
      <c r="C3" s="3177"/>
      <c r="D3" s="3177"/>
      <c r="E3" s="3177"/>
      <c r="F3" s="3177"/>
      <c r="G3" s="3177"/>
      <c r="H3" s="3177"/>
      <c r="I3" s="1581"/>
      <c r="J3" s="1581"/>
    </row>
    <row r="4" spans="2:19" ht="15.75" customHeight="1" x14ac:dyDescent="0.2">
      <c r="B4" s="3177"/>
      <c r="C4" s="3177"/>
      <c r="D4" s="3177"/>
      <c r="E4" s="3177"/>
      <c r="F4" s="3177"/>
      <c r="G4" s="3177"/>
      <c r="H4" s="3177"/>
      <c r="I4" s="1581"/>
      <c r="J4" s="1581"/>
    </row>
    <row r="5" spans="2:19" ht="15.75" customHeight="1" x14ac:dyDescent="0.2"/>
    <row r="6" spans="2:19" ht="15.75" customHeight="1" x14ac:dyDescent="0.2"/>
    <row r="7" spans="2:19" ht="15.75" customHeight="1" x14ac:dyDescent="0.2">
      <c r="B7" s="1577" t="s">
        <v>8359</v>
      </c>
    </row>
    <row r="8" spans="2:19" ht="15.75" customHeight="1" x14ac:dyDescent="0.2"/>
    <row r="9" spans="2:19" ht="15.75" customHeight="1" x14ac:dyDescent="0.2">
      <c r="B9" s="1567" t="str">
        <f>IF('Nährstoffe und Lagerraum'!B6="","",'Nährstoffe und Lagerraum'!B6)</f>
        <v/>
      </c>
      <c r="G9" s="1578" t="s">
        <v>1092</v>
      </c>
      <c r="H9" s="1578"/>
      <c r="I9" s="1578" t="str">
        <f>IF('Nährstoffe und Lagerraum'!B5="","",'Nährstoffe und Lagerraum'!B5)</f>
        <v/>
      </c>
    </row>
    <row r="10" spans="2:19" ht="15.75" customHeight="1" x14ac:dyDescent="0.2">
      <c r="B10" s="1567" t="str">
        <f>IF('Nährstoffe und Lagerraum'!B8="","",'Nährstoffe und Lagerraum'!B8)</f>
        <v/>
      </c>
      <c r="G10" s="1578" t="str">
        <f>IF('Nährstoffe und Lagerraum'!B10="","","Telefon:")</f>
        <v/>
      </c>
      <c r="I10" s="3197" t="str">
        <f>IF('Nährstoffe und Lagerraum'!B10="","",'Nährstoffe und Lagerraum'!B10)</f>
        <v/>
      </c>
      <c r="J10" s="3197"/>
    </row>
    <row r="11" spans="2:19" ht="15.75" customHeight="1" x14ac:dyDescent="0.2">
      <c r="B11" s="1567" t="str">
        <f>IF('Nährstoffe und Lagerraum'!B9="","",'Nährstoffe und Lagerraum'!B9)</f>
        <v/>
      </c>
    </row>
    <row r="12" spans="2:19" ht="15.75" customHeight="1" x14ac:dyDescent="0.2"/>
    <row r="13" spans="2:19" ht="15.75" customHeight="1" x14ac:dyDescent="0.2"/>
    <row r="14" spans="2:19" ht="15.75" customHeight="1" x14ac:dyDescent="0.2"/>
    <row r="15" spans="2:19" ht="15.75" customHeight="1" x14ac:dyDescent="0.2">
      <c r="B15" s="1578" t="s">
        <v>8715</v>
      </c>
      <c r="D15" s="3192"/>
      <c r="E15" s="3193"/>
      <c r="F15" s="1580"/>
      <c r="G15" s="2077"/>
      <c r="H15" s="2077"/>
      <c r="S15" s="1579"/>
    </row>
    <row r="16" spans="2:19" customFormat="1" ht="5.25" customHeight="1" x14ac:dyDescent="0.2"/>
    <row r="17" spans="2:18" ht="15.75" customHeight="1" x14ac:dyDescent="0.2">
      <c r="B17" s="1578" t="s">
        <v>8358</v>
      </c>
      <c r="D17" s="3183"/>
      <c r="E17" s="3184"/>
      <c r="F17" s="3184"/>
      <c r="G17" s="3184"/>
      <c r="H17" s="3184"/>
      <c r="I17" s="3184"/>
      <c r="J17" s="3185"/>
    </row>
    <row r="18" spans="2:18" ht="15.75" customHeight="1" x14ac:dyDescent="0.2">
      <c r="D18" s="3186"/>
      <c r="E18" s="3187"/>
      <c r="F18" s="3187"/>
      <c r="G18" s="3187"/>
      <c r="H18" s="3187"/>
      <c r="I18" s="3187"/>
      <c r="J18" s="3188"/>
    </row>
    <row r="19" spans="2:18" ht="15.75" customHeight="1" x14ac:dyDescent="0.2">
      <c r="D19" s="3189"/>
      <c r="E19" s="3190"/>
      <c r="F19" s="3190"/>
      <c r="G19" s="3190"/>
      <c r="H19" s="3190"/>
      <c r="I19" s="3190"/>
      <c r="J19" s="3191"/>
    </row>
    <row r="20" spans="2:18" ht="15.75" customHeight="1" x14ac:dyDescent="0.2"/>
    <row r="21" spans="2:18" ht="15.75" customHeight="1" x14ac:dyDescent="0.2">
      <c r="B21" s="1577" t="s">
        <v>8357</v>
      </c>
    </row>
    <row r="22" spans="2:18" ht="15.75" customHeight="1" x14ac:dyDescent="0.2">
      <c r="B22" s="3194" t="s">
        <v>8361</v>
      </c>
      <c r="C22" s="3194"/>
      <c r="D22" s="3194"/>
      <c r="E22" s="3194"/>
      <c r="F22" s="3194"/>
      <c r="G22" s="3194"/>
      <c r="H22" s="3194"/>
      <c r="I22" s="3194"/>
      <c r="J22" s="3194"/>
    </row>
    <row r="23" spans="2:18" ht="15.75" customHeight="1" x14ac:dyDescent="0.2">
      <c r="B23" s="3195"/>
      <c r="C23" s="3195"/>
      <c r="D23" s="3195"/>
      <c r="E23" s="3195"/>
      <c r="F23" s="3195"/>
      <c r="G23" s="3195"/>
      <c r="H23" s="3195"/>
      <c r="I23" s="3195"/>
      <c r="J23" s="3195"/>
      <c r="M23" s="1577" t="s">
        <v>8356</v>
      </c>
    </row>
    <row r="24" spans="2:18" ht="15.75" customHeight="1" x14ac:dyDescent="0.2">
      <c r="B24" s="3198" t="s">
        <v>915</v>
      </c>
      <c r="C24" s="1576" t="s">
        <v>8360</v>
      </c>
      <c r="D24" s="3198" t="s">
        <v>281</v>
      </c>
      <c r="E24" s="3200" t="s">
        <v>8355</v>
      </c>
      <c r="F24" s="3200"/>
      <c r="G24" s="3200"/>
      <c r="H24" s="3200"/>
      <c r="I24" s="3178" t="s">
        <v>8354</v>
      </c>
      <c r="J24" s="3179"/>
      <c r="K24" s="1575"/>
      <c r="L24" s="1575"/>
      <c r="M24" s="1567" t="s">
        <v>8362</v>
      </c>
    </row>
    <row r="25" spans="2:18" ht="15.75" customHeight="1" x14ac:dyDescent="0.2">
      <c r="B25" s="3199"/>
      <c r="C25" s="3196" t="str">
        <f>IF(B32="","","für Stallmist bitte ausfüllen")</f>
        <v/>
      </c>
      <c r="D25" s="3199"/>
      <c r="E25" s="3180" t="s">
        <v>8353</v>
      </c>
      <c r="F25" s="3180"/>
      <c r="G25" s="3180"/>
      <c r="H25" s="3180"/>
      <c r="I25" s="3181" t="s">
        <v>34</v>
      </c>
      <c r="J25" s="3182"/>
      <c r="K25" s="1575"/>
      <c r="L25" s="1575"/>
      <c r="M25" s="1574" t="s">
        <v>8363</v>
      </c>
    </row>
    <row r="26" spans="2:18" ht="15.75" customHeight="1" x14ac:dyDescent="0.2">
      <c r="B26" s="3199"/>
      <c r="C26" s="3196"/>
      <c r="D26" s="3199"/>
      <c r="E26" s="1573" t="s">
        <v>4</v>
      </c>
      <c r="F26" s="1589" t="s">
        <v>890</v>
      </c>
      <c r="G26" s="1573" t="s">
        <v>292</v>
      </c>
      <c r="H26" s="1589" t="s">
        <v>293</v>
      </c>
      <c r="I26" s="1573" t="s">
        <v>4</v>
      </c>
      <c r="J26" s="1573" t="s">
        <v>292</v>
      </c>
      <c r="K26" s="1572"/>
      <c r="L26" s="1572"/>
      <c r="R26" s="1567" t="s">
        <v>8352</v>
      </c>
    </row>
    <row r="27" spans="2:18" ht="15.75" customHeight="1" x14ac:dyDescent="0.2">
      <c r="B27" s="3201" t="str">
        <f>IF(OR($R27=FALSE,'Nährstoffe und Lagerraum'!$B$229&lt;0.1),"","Biogasgärrest flüssig")</f>
        <v/>
      </c>
      <c r="C27" s="3202"/>
      <c r="D27" s="1591" t="str">
        <f>IF($B27="","",'Nährstoffe und Lagerraum'!D205)</f>
        <v/>
      </c>
      <c r="E27" s="1591" t="str">
        <f>IF($B27="","",'Nährstoffe und Lagerraum'!E205)</f>
        <v/>
      </c>
      <c r="F27" s="1591" t="str">
        <f>IF($B27="","",'Nährstoffe und Lagerraum'!F205)</f>
        <v/>
      </c>
      <c r="G27" s="1591" t="str">
        <f>IF($B27="","",'Nährstoffe und Lagerraum'!G205)</f>
        <v/>
      </c>
      <c r="H27" s="1591" t="str">
        <f>IF($B27="","",'Nährstoffe und Lagerraum'!H205)</f>
        <v/>
      </c>
      <c r="I27" s="1592" t="str">
        <f>IF($B27="","",'Nährstoffe und Lagerraum'!$E$206)</f>
        <v/>
      </c>
      <c r="J27" s="1593" t="str">
        <f>IF($B27="","",'Nährstoffe und Lagerraum'!$G$206)</f>
        <v/>
      </c>
      <c r="K27" s="1572"/>
      <c r="L27" s="1572"/>
      <c r="M27" s="1569"/>
      <c r="N27" s="1567" t="s">
        <v>566</v>
      </c>
      <c r="R27" s="1568" t="b">
        <v>1</v>
      </c>
    </row>
    <row r="28" spans="2:18" ht="15.75" customHeight="1" x14ac:dyDescent="0.2">
      <c r="B28" s="3203" t="str">
        <f>IF(OR('Nährstoffe und Lagerraum'!F229&lt;0.1,$R28=FALSE),"","Biogasgärrest flüssig*")</f>
        <v/>
      </c>
      <c r="C28" s="3204"/>
      <c r="D28" s="1590" t="str">
        <f>IF($B28="","",'Nährstoffe und Lagerraum'!$F$230)</f>
        <v/>
      </c>
      <c r="E28" s="1590" t="str">
        <f>IF($B28="","",'Nährstoffe und Lagerraum'!$F$231)</f>
        <v/>
      </c>
      <c r="F28" s="1590" t="str">
        <f>IF($B28="","",'Nährstoffe und Lagerraum'!$F$232)</f>
        <v/>
      </c>
      <c r="G28" s="1590" t="str">
        <f>IF($B28="","",'Nährstoffe und Lagerraum'!$F$233)</f>
        <v/>
      </c>
      <c r="H28" s="1590" t="str">
        <f>IF($B28="","",'Nährstoffe und Lagerraum'!$F$234)</f>
        <v/>
      </c>
      <c r="I28" s="1582" t="str">
        <f>IF($B28="","",'Nährstoffe und Lagerraum'!$E$206)</f>
        <v/>
      </c>
      <c r="J28" s="1594" t="str">
        <f>IF($B28="","",'Nährstoffe und Lagerraum'!$G$206)</f>
        <v/>
      </c>
      <c r="K28" s="1570"/>
      <c r="M28" s="1569"/>
      <c r="N28" s="1567" t="s">
        <v>8351</v>
      </c>
      <c r="R28" s="1568" t="b">
        <v>1</v>
      </c>
    </row>
    <row r="29" spans="2:18" ht="15.75" customHeight="1" x14ac:dyDescent="0.2">
      <c r="B29" s="3203" t="str">
        <f>IF(OR('Nährstoffe und Lagerraum'!K229="0",$R29=FALSE),"","Biogasgärrest fest**")</f>
        <v/>
      </c>
      <c r="C29" s="3204"/>
      <c r="D29" s="1590" t="str">
        <f>IF($B29="","",'Nährstoffe und Lagerraum'!$K$230)</f>
        <v/>
      </c>
      <c r="E29" s="1590" t="str">
        <f>IF($B29="","",'Nährstoffe und Lagerraum'!$K$231)</f>
        <v/>
      </c>
      <c r="F29" s="1590" t="str">
        <f>IF($B29="","",'Nährstoffe und Lagerraum'!$K$232)</f>
        <v/>
      </c>
      <c r="G29" s="1590" t="str">
        <f>IF($B29="","",'Nährstoffe und Lagerraum'!$K$233)</f>
        <v/>
      </c>
      <c r="H29" s="1590" t="str">
        <f>IF($B29="","",'Nährstoffe und Lagerraum'!$K$234)</f>
        <v/>
      </c>
      <c r="I29" s="1582" t="str">
        <f>IF($B29="","",'Nährstoffe und Lagerraum'!$E$206)</f>
        <v/>
      </c>
      <c r="J29" s="1594" t="str">
        <f>IF($B29="","",'Nährstoffe und Lagerraum'!$G$206)</f>
        <v/>
      </c>
      <c r="K29" s="1570"/>
      <c r="M29" s="1569"/>
      <c r="N29" s="1567" t="s">
        <v>8350</v>
      </c>
      <c r="R29" s="1568" t="b">
        <v>1</v>
      </c>
    </row>
    <row r="30" spans="2:18" ht="15.75" customHeight="1" x14ac:dyDescent="0.2">
      <c r="B30" s="3203" t="str">
        <f>IF(OR('Nährstoffe und Lagerraum'!B229&lt;0.1,$R30=FALSE,'Nährstoffe und Lagerraum'!F229&lt;0.1),"","Biogasgärrest flüssig***")</f>
        <v/>
      </c>
      <c r="C30" s="3204"/>
      <c r="D30" s="1590" t="str">
        <f>IF($B30="","",'Nährstoffe und Lagerraum'!C240)</f>
        <v/>
      </c>
      <c r="E30" s="1590" t="str">
        <f>IF($B30="","",'Nährstoffe und Lagerraum'!$C$241)</f>
        <v/>
      </c>
      <c r="F30" s="1590" t="str">
        <f>IF($B30="","",'Nährstoffe und Lagerraum'!$C$242)</f>
        <v/>
      </c>
      <c r="G30" s="1590" t="str">
        <f>IF($B30="","",'Nährstoffe und Lagerraum'!$C$243)</f>
        <v/>
      </c>
      <c r="H30" s="1590" t="str">
        <f>IF($B30="","",'Nährstoffe und Lagerraum'!$C$244)</f>
        <v/>
      </c>
      <c r="I30" s="1582" t="str">
        <f>IF($B30="","",'Nährstoffe und Lagerraum'!$E$206)</f>
        <v/>
      </c>
      <c r="J30" s="1594" t="str">
        <f>IF($B30="","",'Nährstoffe und Lagerraum'!$G$206)</f>
        <v/>
      </c>
      <c r="K30" s="1570"/>
      <c r="M30" s="1569"/>
      <c r="N30" s="1567" t="s">
        <v>8349</v>
      </c>
      <c r="R30" s="1568" t="b">
        <v>1</v>
      </c>
    </row>
    <row r="31" spans="2:18" ht="15.75" customHeight="1" x14ac:dyDescent="0.2">
      <c r="B31" s="1585" t="str">
        <f>IF(OR($R31=FALSE,'Nährstoffe und Lagerraum'!E238&lt;0.1),"",RIGHT('Nährstoffe und Lagerraum'!$AA$99,6))</f>
        <v/>
      </c>
      <c r="C31" s="1586" t="str">
        <f>IF($B31="","",'Nährstoffe und Lagerraum'!$Y$99)</f>
        <v/>
      </c>
      <c r="D31" s="1590" t="str">
        <f>IF($B31="","",'Nährstoffe und Lagerraum'!E240)</f>
        <v/>
      </c>
      <c r="E31" s="1590" t="str">
        <f>IF($B31="","",'Nährstoffe und Lagerraum'!E241)</f>
        <v/>
      </c>
      <c r="F31" s="1590" t="str">
        <f>IF($B31="","",'Nährstoffe und Lagerraum'!E242)</f>
        <v/>
      </c>
      <c r="G31" s="1590" t="str">
        <f>IF($B31="","",'Nährstoffe und Lagerraum'!E243)</f>
        <v/>
      </c>
      <c r="H31" s="1590" t="str">
        <f>IF($B31="","",'Nährstoffe und Lagerraum'!E244)</f>
        <v/>
      </c>
      <c r="I31" s="1586" t="str">
        <f>IF($B31="","",100)</f>
        <v/>
      </c>
      <c r="J31" s="1571" t="str">
        <f>IF($B31="","",100)</f>
        <v/>
      </c>
      <c r="K31" s="1570"/>
      <c r="M31" s="1569"/>
      <c r="N31" s="1567" t="s">
        <v>407</v>
      </c>
      <c r="R31" s="1568" t="b">
        <v>1</v>
      </c>
    </row>
    <row r="32" spans="2:18" ht="15.75" customHeight="1" x14ac:dyDescent="0.2">
      <c r="B32" s="1587" t="str">
        <f>IF(OR('Nährstoffe und Lagerraum'!L238&lt;0.1,$R32=FALSE),"","Stallmist")</f>
        <v/>
      </c>
      <c r="C32" s="1595"/>
      <c r="D32" s="1596" t="str">
        <f>IF($R32=FALSE,"",'Nährstoffe und Lagerraum'!L242)</f>
        <v/>
      </c>
      <c r="E32" s="1596" t="str">
        <f>IF($R32=FALSE,"",'Nährstoffe und Lagerraum'!L243)</f>
        <v/>
      </c>
      <c r="F32" s="1596" t="str">
        <f>IF($R32=FALSE,"",'Nährstoffe und Lagerraum'!L244)</f>
        <v/>
      </c>
      <c r="G32" s="1596" t="str">
        <f>IF($R32=FALSE,"",'Nährstoffe und Lagerraum'!L245)</f>
        <v/>
      </c>
      <c r="H32" s="1596" t="str">
        <f>IF($R32=FALSE,"",'Nährstoffe und Lagerraum'!L246)</f>
        <v/>
      </c>
      <c r="I32" s="1588" t="str">
        <f>IF($B32="","",100)</f>
        <v/>
      </c>
      <c r="J32" s="1597" t="str">
        <f>IF($B32="","",100)</f>
        <v/>
      </c>
      <c r="K32" s="1570"/>
      <c r="M32" s="1569"/>
      <c r="N32" s="1567" t="s">
        <v>194</v>
      </c>
      <c r="R32" s="1568" t="b">
        <v>1</v>
      </c>
    </row>
    <row r="33" spans="2:10" x14ac:dyDescent="0.2">
      <c r="B33" s="1567" t="str">
        <f>IF(B28="","","* Separiert, flüssiger Biogasgärrest")</f>
        <v/>
      </c>
    </row>
    <row r="34" spans="2:10" x14ac:dyDescent="0.2">
      <c r="B34" s="1567" t="str">
        <f>IF(B29="","","** Separiert, fester Biogasgärrest")</f>
        <v/>
      </c>
    </row>
    <row r="35" spans="2:10" x14ac:dyDescent="0.2">
      <c r="B35" s="1567" t="str">
        <f>IF(B30="","","*** Separiert, flüssiger Biogasgärrest gemischt mit nicht separiertem Gärrest")</f>
        <v/>
      </c>
    </row>
    <row r="36" spans="2:10" ht="15.75" customHeight="1" x14ac:dyDescent="0.2"/>
    <row r="37" spans="2:10" ht="12.75" customHeight="1" x14ac:dyDescent="0.2">
      <c r="B37" s="3206" t="str">
        <f>CONCATENATE("Ändern sich der Tierbestand bzw. Substrateinsatz um ≤ 15 %, dürfen diese Nährstoffgehalte maximal bis Ablauf des Kalenderjahres ",'Nährstoffe und Lagerraum'!$E$5+1," für die Deklaration und Düngebedarfsermittlung verwendet werden.")</f>
        <v>Ändern sich der Tierbestand bzw. Substrateinsatz um ≤ 15 %, dürfen diese Nährstoffgehalte maximal bis Ablauf des Kalenderjahres 2025 für die Deklaration und Düngebedarfsermittlung verwendet werden.</v>
      </c>
      <c r="C37" s="3206"/>
      <c r="D37" s="3206"/>
      <c r="E37" s="3206"/>
      <c r="F37" s="3206"/>
      <c r="G37" s="3206"/>
      <c r="H37" s="3206"/>
      <c r="I37" s="3206"/>
      <c r="J37" s="3206"/>
    </row>
    <row r="38" spans="2:10" ht="12.75" customHeight="1" x14ac:dyDescent="0.2">
      <c r="B38" s="3206"/>
      <c r="C38" s="3206"/>
      <c r="D38" s="3206"/>
      <c r="E38" s="3206"/>
      <c r="F38" s="3206"/>
      <c r="G38" s="3206"/>
      <c r="H38" s="3206"/>
      <c r="I38" s="3206"/>
      <c r="J38" s="3206"/>
    </row>
    <row r="39" spans="2:10" ht="12.75" customHeight="1" x14ac:dyDescent="0.2">
      <c r="B39" s="3206"/>
      <c r="C39" s="3206"/>
      <c r="D39" s="3206"/>
      <c r="E39" s="3206"/>
      <c r="F39" s="3206"/>
      <c r="G39" s="3206"/>
      <c r="H39" s="3206"/>
      <c r="I39" s="3206"/>
      <c r="J39" s="3206"/>
    </row>
    <row r="40" spans="2:10" ht="12.75" customHeight="1" x14ac:dyDescent="0.2">
      <c r="B40" s="3206"/>
      <c r="C40" s="3206"/>
      <c r="D40" s="3206"/>
      <c r="E40" s="3206"/>
      <c r="F40" s="3206"/>
      <c r="G40" s="3206"/>
      <c r="H40" s="3206"/>
      <c r="I40" s="3206"/>
      <c r="J40" s="3206"/>
    </row>
    <row r="41" spans="2:10" ht="12.75" customHeight="1" x14ac:dyDescent="0.2">
      <c r="B41" s="886"/>
      <c r="C41" s="886"/>
      <c r="D41" s="886"/>
      <c r="E41" s="886"/>
      <c r="F41" s="886"/>
      <c r="G41" s="886"/>
      <c r="H41" s="886"/>
      <c r="I41" s="886"/>
      <c r="J41" s="886"/>
    </row>
    <row r="42" spans="2:10" x14ac:dyDescent="0.2">
      <c r="B42" s="1578" t="str" cm="1">
        <f t="array" aca="1" ref="B42" ca="1">CONCATENATE("Dateiname: ",MID(CELL("dateiname"),FIND("[",CELL("Dateiname"))+1,FIND("]",CELL("Dateiname"))-FIND("[",CELL("Dateiname"))-1))</f>
        <v>Dateiname: lfl_biogasrechner_2024.xlsx</v>
      </c>
      <c r="C42" s="886"/>
      <c r="D42" s="886"/>
      <c r="E42" s="886"/>
      <c r="F42" s="886"/>
      <c r="G42" s="886"/>
      <c r="H42" s="886"/>
      <c r="I42" s="886"/>
      <c r="J42" s="886"/>
    </row>
    <row r="48" spans="2:10" x14ac:dyDescent="0.2">
      <c r="B48" s="3205"/>
      <c r="C48" s="3205"/>
      <c r="D48" s="3205"/>
      <c r="E48" s="3205"/>
      <c r="F48" s="3205"/>
      <c r="G48" s="3205"/>
      <c r="H48" s="3205"/>
      <c r="I48" s="3205"/>
      <c r="J48" s="3205"/>
    </row>
    <row r="49" spans="2:10" x14ac:dyDescent="0.2">
      <c r="B49" s="3205"/>
      <c r="C49" s="3205"/>
      <c r="D49" s="3205"/>
      <c r="E49" s="3205"/>
      <c r="F49" s="3205"/>
      <c r="G49" s="3205"/>
      <c r="H49" s="3205"/>
      <c r="I49" s="3205"/>
      <c r="J49" s="3205"/>
    </row>
    <row r="50" spans="2:10" x14ac:dyDescent="0.2">
      <c r="B50" s="3205"/>
      <c r="C50" s="3205"/>
      <c r="D50" s="3205"/>
      <c r="E50" s="3205"/>
      <c r="F50" s="3205"/>
      <c r="G50" s="3205"/>
      <c r="H50" s="3205"/>
      <c r="I50" s="3205"/>
      <c r="J50" s="3205"/>
    </row>
  </sheetData>
  <sheetProtection algorithmName="SHA-512" hashValue="tXa4QDd8MKAHL1+5JhbFdE53PW4QUggZlJ4eQTd9lNcAtm33yrv+sDTYbinKx0zQ/STKdOY1rjwXU10uDpP9cg==" saltValue="QKinab5azqlgB3pRErTOgQ==" spinCount="100000" sheet="1" objects="1" scenarios="1"/>
  <mergeCells count="18">
    <mergeCell ref="B27:C27"/>
    <mergeCell ref="B28:C28"/>
    <mergeCell ref="B29:C29"/>
    <mergeCell ref="B48:J50"/>
    <mergeCell ref="B37:J40"/>
    <mergeCell ref="B30:C30"/>
    <mergeCell ref="B3:H4"/>
    <mergeCell ref="I24:J24"/>
    <mergeCell ref="E25:H25"/>
    <mergeCell ref="I25:J25"/>
    <mergeCell ref="D17:J19"/>
    <mergeCell ref="D15:E15"/>
    <mergeCell ref="B22:J23"/>
    <mergeCell ref="C25:C26"/>
    <mergeCell ref="I10:J10"/>
    <mergeCell ref="D24:D26"/>
    <mergeCell ref="B24:B26"/>
    <mergeCell ref="E24:H24"/>
  </mergeCells>
  <conditionalFormatting sqref="C32">
    <cfRule type="expression" dxfId="8" priority="1">
      <formula>$B$32="Stallmist"</formula>
    </cfRule>
  </conditionalFormatting>
  <pageMargins left="0.70866141732283472" right="0.70866141732283472" top="0.78740157480314965" bottom="0.78740157480314965" header="0.31496062992125984" footer="0.31496062992125984"/>
  <pageSetup paperSize="9" orientation="portrait" r:id="rId1"/>
  <headerFooter>
    <oddFooter>&amp;C© Bayerische Landesanstalt für Landwirtschaft (Of, Kj, Mk); Stand: 17.10.24;        Seite: &amp;P von &amp;N        &amp;D        &amp;T Uhr</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2082" r:id="rId4" name="Check Box 2">
              <controlPr defaultSize="0" autoFill="0" autoLine="0" autoPict="0">
                <anchor moveWithCells="1">
                  <from>
                    <xdr:col>12</xdr:col>
                    <xdr:colOff>76200</xdr:colOff>
                    <xdr:row>25</xdr:row>
                    <xdr:rowOff>190500</xdr:rowOff>
                  </from>
                  <to>
                    <xdr:col>13</xdr:col>
                    <xdr:colOff>57150</xdr:colOff>
                    <xdr:row>27</xdr:row>
                    <xdr:rowOff>9525</xdr:rowOff>
                  </to>
                </anchor>
              </controlPr>
            </control>
          </mc:Choice>
        </mc:AlternateContent>
        <mc:AlternateContent xmlns:mc="http://schemas.openxmlformats.org/markup-compatibility/2006">
          <mc:Choice Requires="x14">
            <control shapeId="302083" r:id="rId5" name="Check Box 3">
              <controlPr defaultSize="0" autoFill="0" autoLine="0" autoPict="0">
                <anchor moveWithCells="1">
                  <from>
                    <xdr:col>12</xdr:col>
                    <xdr:colOff>76200</xdr:colOff>
                    <xdr:row>30</xdr:row>
                    <xdr:rowOff>180975</xdr:rowOff>
                  </from>
                  <to>
                    <xdr:col>13</xdr:col>
                    <xdr:colOff>57150</xdr:colOff>
                    <xdr:row>32</xdr:row>
                    <xdr:rowOff>0</xdr:rowOff>
                  </to>
                </anchor>
              </controlPr>
            </control>
          </mc:Choice>
        </mc:AlternateContent>
        <mc:AlternateContent xmlns:mc="http://schemas.openxmlformats.org/markup-compatibility/2006">
          <mc:Choice Requires="x14">
            <control shapeId="302084" r:id="rId6" name="Check Box 4">
              <controlPr defaultSize="0" autoFill="0" autoLine="0" autoPict="0">
                <anchor moveWithCells="1">
                  <from>
                    <xdr:col>12</xdr:col>
                    <xdr:colOff>76200</xdr:colOff>
                    <xdr:row>26</xdr:row>
                    <xdr:rowOff>190500</xdr:rowOff>
                  </from>
                  <to>
                    <xdr:col>13</xdr:col>
                    <xdr:colOff>57150</xdr:colOff>
                    <xdr:row>28</xdr:row>
                    <xdr:rowOff>9525</xdr:rowOff>
                  </to>
                </anchor>
              </controlPr>
            </control>
          </mc:Choice>
        </mc:AlternateContent>
        <mc:AlternateContent xmlns:mc="http://schemas.openxmlformats.org/markup-compatibility/2006">
          <mc:Choice Requires="x14">
            <control shapeId="302085" r:id="rId7" name="Check Box 5">
              <controlPr defaultSize="0" autoFill="0" autoLine="0" autoPict="0">
                <anchor moveWithCells="1">
                  <from>
                    <xdr:col>12</xdr:col>
                    <xdr:colOff>76200</xdr:colOff>
                    <xdr:row>27</xdr:row>
                    <xdr:rowOff>190500</xdr:rowOff>
                  </from>
                  <to>
                    <xdr:col>13</xdr:col>
                    <xdr:colOff>57150</xdr:colOff>
                    <xdr:row>29</xdr:row>
                    <xdr:rowOff>9525</xdr:rowOff>
                  </to>
                </anchor>
              </controlPr>
            </control>
          </mc:Choice>
        </mc:AlternateContent>
        <mc:AlternateContent xmlns:mc="http://schemas.openxmlformats.org/markup-compatibility/2006">
          <mc:Choice Requires="x14">
            <control shapeId="302086" r:id="rId8" name="Check Box 6">
              <controlPr defaultSize="0" autoFill="0" autoLine="0" autoPict="0">
                <anchor moveWithCells="1">
                  <from>
                    <xdr:col>12</xdr:col>
                    <xdr:colOff>76200</xdr:colOff>
                    <xdr:row>28</xdr:row>
                    <xdr:rowOff>190500</xdr:rowOff>
                  </from>
                  <to>
                    <xdr:col>13</xdr:col>
                    <xdr:colOff>57150</xdr:colOff>
                    <xdr:row>30</xdr:row>
                    <xdr:rowOff>9525</xdr:rowOff>
                  </to>
                </anchor>
              </controlPr>
            </control>
          </mc:Choice>
        </mc:AlternateContent>
        <mc:AlternateContent xmlns:mc="http://schemas.openxmlformats.org/markup-compatibility/2006">
          <mc:Choice Requires="x14">
            <control shapeId="302087" r:id="rId9" name="Check Box 7">
              <controlPr defaultSize="0" autoFill="0" autoLine="0" autoPict="0">
                <anchor moveWithCells="1">
                  <from>
                    <xdr:col>12</xdr:col>
                    <xdr:colOff>76200</xdr:colOff>
                    <xdr:row>29</xdr:row>
                    <xdr:rowOff>180975</xdr:rowOff>
                  </from>
                  <to>
                    <xdr:col>13</xdr:col>
                    <xdr:colOff>57150</xdr:colOff>
                    <xdr:row>31</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1"/>
  <dimension ref="A1:AI154"/>
  <sheetViews>
    <sheetView topLeftCell="C1" workbookViewId="0">
      <pane xSplit="1" ySplit="4" topLeftCell="D35" activePane="bottomRight" state="frozen"/>
      <selection activeCell="C1" sqref="C1"/>
      <selection pane="topRight" activeCell="D1" sqref="D1"/>
      <selection pane="bottomLeft" activeCell="C5" sqref="C5"/>
      <selection pane="bottomRight" activeCell="N7" sqref="N7"/>
    </sheetView>
  </sheetViews>
  <sheetFormatPr baseColWidth="10" defaultRowHeight="12.75" x14ac:dyDescent="0.2"/>
  <cols>
    <col min="1" max="2" width="34" customWidth="1"/>
    <col min="3" max="3" width="28.7109375" style="332" customWidth="1"/>
    <col min="4" max="4" width="14.85546875" style="332" customWidth="1"/>
    <col min="5" max="5" width="7.85546875" style="308" customWidth="1"/>
    <col min="6" max="6" width="10.7109375" style="315" customWidth="1"/>
    <col min="7" max="7" width="11.140625" style="308" customWidth="1"/>
    <col min="8" max="8" width="9.85546875" style="333" customWidth="1"/>
    <col min="9" max="9" width="5.140625" style="307" customWidth="1"/>
    <col min="10" max="13" width="5.7109375" style="307" customWidth="1"/>
    <col min="14" max="14" width="7.85546875" style="328" customWidth="1"/>
    <col min="15" max="15" width="7.140625" style="332" customWidth="1"/>
    <col min="16" max="16" width="7.85546875" style="328" customWidth="1"/>
    <col min="20" max="22" width="11.42578125" style="308" customWidth="1"/>
    <col min="23" max="26" width="5.7109375" style="332" customWidth="1"/>
    <col min="29" max="30" width="9.140625" style="308" customWidth="1"/>
    <col min="31" max="31" width="11.28515625" style="334" customWidth="1"/>
  </cols>
  <sheetData>
    <row r="1" spans="1:35" ht="13.5" thickBot="1" x14ac:dyDescent="0.25">
      <c r="A1" s="702" t="s">
        <v>8748</v>
      </c>
      <c r="B1" s="1684" t="s">
        <v>8659</v>
      </c>
      <c r="C1" s="301" t="s">
        <v>452</v>
      </c>
      <c r="D1" s="301" t="s">
        <v>453</v>
      </c>
      <c r="E1" s="302" t="s">
        <v>454</v>
      </c>
      <c r="F1" s="302" t="s">
        <v>455</v>
      </c>
      <c r="G1" s="302" t="s">
        <v>456</v>
      </c>
      <c r="H1" s="301" t="s">
        <v>457</v>
      </c>
      <c r="I1" s="301" t="s">
        <v>458</v>
      </c>
      <c r="J1" s="302" t="s">
        <v>459</v>
      </c>
      <c r="K1" s="302" t="s">
        <v>460</v>
      </c>
      <c r="L1" s="302" t="s">
        <v>461</v>
      </c>
      <c r="M1" s="302" t="s">
        <v>893</v>
      </c>
      <c r="N1" s="1357" t="s">
        <v>462</v>
      </c>
      <c r="O1" s="301"/>
      <c r="P1" s="1357" t="s">
        <v>463</v>
      </c>
      <c r="Q1" s="1357" t="s">
        <v>464</v>
      </c>
      <c r="R1" s="76"/>
      <c r="S1" s="301" t="s">
        <v>8215</v>
      </c>
      <c r="T1" t="s">
        <v>8845</v>
      </c>
      <c r="U1" t="s">
        <v>8846</v>
      </c>
      <c r="V1" t="s">
        <v>8847</v>
      </c>
      <c r="W1" s="3207" t="s">
        <v>938</v>
      </c>
      <c r="X1" s="3207"/>
      <c r="Y1" s="3207"/>
      <c r="Z1" s="3207"/>
      <c r="AA1" s="3207"/>
      <c r="AB1" s="1084"/>
      <c r="AC1" s="302"/>
      <c r="AD1" s="302"/>
      <c r="AE1" s="1357"/>
    </row>
    <row r="2" spans="1:35" x14ac:dyDescent="0.2">
      <c r="B2" s="76"/>
      <c r="C2" t="s">
        <v>8396</v>
      </c>
      <c r="D2" t="s">
        <v>8432</v>
      </c>
      <c r="E2" t="s">
        <v>8397</v>
      </c>
      <c r="F2" t="s">
        <v>8433</v>
      </c>
      <c r="G2" t="s">
        <v>8398</v>
      </c>
      <c r="H2" t="s">
        <v>457</v>
      </c>
      <c r="I2" t="s">
        <v>8399</v>
      </c>
      <c r="J2" t="s">
        <v>8400</v>
      </c>
      <c r="K2" t="s">
        <v>8401</v>
      </c>
      <c r="L2" t="s">
        <v>8402</v>
      </c>
      <c r="M2" t="s">
        <v>8403</v>
      </c>
      <c r="N2" s="76" t="s">
        <v>8404</v>
      </c>
      <c r="O2" s="76" t="s">
        <v>8405</v>
      </c>
      <c r="P2" s="76" t="s">
        <v>8406</v>
      </c>
      <c r="Q2" s="76" t="s">
        <v>8407</v>
      </c>
      <c r="R2" s="76" t="s">
        <v>8408</v>
      </c>
      <c r="S2" s="76" t="s">
        <v>8409</v>
      </c>
      <c r="T2" s="333"/>
      <c r="U2" s="333"/>
      <c r="V2" s="333"/>
      <c r="W2" s="305" t="s">
        <v>467</v>
      </c>
      <c r="X2" s="306"/>
      <c r="Y2" s="306"/>
      <c r="Z2" s="306"/>
      <c r="AC2" s="304"/>
      <c r="AD2" s="304"/>
      <c r="AE2" s="1874" t="s">
        <v>469</v>
      </c>
    </row>
    <row r="3" spans="1:35" ht="39" x14ac:dyDescent="0.25">
      <c r="A3" s="702" t="s">
        <v>8289</v>
      </c>
      <c r="B3" s="702" t="s">
        <v>1063</v>
      </c>
      <c r="C3" s="309" t="s">
        <v>46</v>
      </c>
      <c r="D3" s="309" t="s">
        <v>88</v>
      </c>
      <c r="E3" s="303" t="s">
        <v>470</v>
      </c>
      <c r="F3" s="310" t="s">
        <v>471</v>
      </c>
      <c r="G3" s="311"/>
      <c r="H3" s="312"/>
      <c r="I3" s="313" t="s">
        <v>199</v>
      </c>
      <c r="J3" s="719" t="s">
        <v>937</v>
      </c>
      <c r="K3" s="720"/>
      <c r="L3" s="720"/>
      <c r="M3" s="720"/>
      <c r="N3" s="1358" t="s">
        <v>472</v>
      </c>
      <c r="O3" s="723" t="s">
        <v>940</v>
      </c>
      <c r="P3" s="1359" t="s">
        <v>473</v>
      </c>
      <c r="Q3" s="1360" t="s">
        <v>474</v>
      </c>
      <c r="R3" s="361" t="s">
        <v>613</v>
      </c>
      <c r="S3" s="1871" t="s">
        <v>8216</v>
      </c>
      <c r="T3" s="1872"/>
      <c r="U3" s="1872"/>
      <c r="V3" s="1872"/>
      <c r="W3" s="3208" t="s">
        <v>939</v>
      </c>
      <c r="X3" s="3209"/>
      <c r="Y3" s="3209"/>
      <c r="Z3" s="3210"/>
      <c r="AA3" s="390" t="s">
        <v>673</v>
      </c>
      <c r="AB3" s="1288" t="s">
        <v>8196</v>
      </c>
      <c r="AC3" s="304" t="s">
        <v>1025</v>
      </c>
      <c r="AD3" s="304" t="s">
        <v>1026</v>
      </c>
      <c r="AE3" s="1360" t="s">
        <v>474</v>
      </c>
      <c r="AF3" s="361" t="s">
        <v>8753</v>
      </c>
    </row>
    <row r="4" spans="1:35" ht="15.75" thickBot="1" x14ac:dyDescent="0.3">
      <c r="C4" s="314"/>
      <c r="D4" s="314"/>
      <c r="H4" s="316"/>
      <c r="I4" s="317" t="s">
        <v>2</v>
      </c>
      <c r="J4" s="721" t="s">
        <v>4</v>
      </c>
      <c r="K4" s="722" t="s">
        <v>209</v>
      </c>
      <c r="L4" s="722" t="s">
        <v>210</v>
      </c>
      <c r="M4" s="722" t="s">
        <v>892</v>
      </c>
      <c r="N4" s="1361"/>
      <c r="O4" s="716" t="s">
        <v>941</v>
      </c>
      <c r="P4" s="1362" t="s">
        <v>476</v>
      </c>
      <c r="Q4" s="1363" t="s">
        <v>34</v>
      </c>
      <c r="R4" s="52" t="s">
        <v>614</v>
      </c>
      <c r="S4" s="1873" t="s">
        <v>8217</v>
      </c>
      <c r="T4" s="333"/>
      <c r="U4" s="333"/>
      <c r="V4" s="333"/>
      <c r="W4" s="714" t="s">
        <v>4</v>
      </c>
      <c r="X4" s="715" t="s">
        <v>209</v>
      </c>
      <c r="Y4" s="715" t="s">
        <v>210</v>
      </c>
      <c r="Z4" s="715" t="s">
        <v>892</v>
      </c>
      <c r="AB4" s="1289" t="s">
        <v>8198</v>
      </c>
      <c r="AC4" s="333"/>
      <c r="AD4" s="333"/>
      <c r="AE4" s="1363" t="s">
        <v>34</v>
      </c>
    </row>
    <row r="5" spans="1:35" ht="13.5" thickBot="1" x14ac:dyDescent="0.25">
      <c r="A5" s="320"/>
      <c r="B5" s="320">
        <f t="shared" ref="B5:B36" si="0">IFERROR(MATCH(A5,$C$5:$C$114,0),1)</f>
        <v>1</v>
      </c>
      <c r="C5" s="320"/>
      <c r="D5" s="320"/>
      <c r="E5" s="321"/>
      <c r="F5" s="321"/>
      <c r="G5" s="320"/>
      <c r="H5" s="320"/>
      <c r="I5" s="320">
        <v>0</v>
      </c>
      <c r="J5" s="320"/>
      <c r="K5" s="320"/>
      <c r="L5" s="320"/>
      <c r="M5" s="320"/>
      <c r="N5" s="1364">
        <v>0</v>
      </c>
      <c r="O5" s="320"/>
      <c r="P5" s="1364">
        <v>0</v>
      </c>
      <c r="Q5" s="76"/>
      <c r="R5">
        <v>0</v>
      </c>
      <c r="S5" s="1037"/>
      <c r="T5" s="322"/>
      <c r="U5" s="322"/>
      <c r="V5" s="322"/>
      <c r="W5" s="320"/>
      <c r="X5" s="320">
        <v>0</v>
      </c>
      <c r="Y5" s="320">
        <v>0</v>
      </c>
      <c r="Z5" s="320"/>
      <c r="AB5" s="76"/>
      <c r="AC5" s="320"/>
      <c r="AD5" s="320"/>
      <c r="AE5" s="1364">
        <v>0</v>
      </c>
      <c r="AF5">
        <v>0</v>
      </c>
    </row>
    <row r="6" spans="1:35" x14ac:dyDescent="0.2">
      <c r="A6" s="1036" t="str">
        <f>C6</f>
        <v xml:space="preserve"> +++Getreide+++</v>
      </c>
      <c r="B6" s="1036">
        <f t="shared" si="0"/>
        <v>2</v>
      </c>
      <c r="C6" t="s">
        <v>8199</v>
      </c>
      <c r="D6" t="s">
        <v>487</v>
      </c>
      <c r="E6" t="s">
        <v>487</v>
      </c>
      <c r="F6" t="s">
        <v>487</v>
      </c>
      <c r="G6"/>
      <c r="H6"/>
      <c r="I6"/>
      <c r="J6"/>
      <c r="K6"/>
      <c r="L6"/>
      <c r="M6"/>
      <c r="N6" s="76"/>
      <c r="O6" s="76"/>
      <c r="P6" s="76"/>
      <c r="W6" s="323"/>
      <c r="X6" s="324"/>
      <c r="Y6" s="324"/>
      <c r="Z6" s="324"/>
      <c r="AB6" s="76"/>
      <c r="AC6" s="307"/>
      <c r="AD6" s="307"/>
      <c r="AE6" s="1875"/>
      <c r="AF6" s="1037"/>
      <c r="AH6" s="1037"/>
      <c r="AI6" s="726"/>
    </row>
    <row r="7" spans="1:35" x14ac:dyDescent="0.2">
      <c r="A7" s="1038" t="str">
        <f t="shared" ref="A7" si="1">C7</f>
        <v>Winterweizen C-Sorte</v>
      </c>
      <c r="B7" s="1038">
        <f t="shared" si="0"/>
        <v>3</v>
      </c>
      <c r="C7" t="s">
        <v>478</v>
      </c>
      <c r="D7" t="s">
        <v>479</v>
      </c>
      <c r="E7" t="s">
        <v>480</v>
      </c>
      <c r="F7" t="s">
        <v>481</v>
      </c>
      <c r="G7">
        <v>1</v>
      </c>
      <c r="H7">
        <v>2</v>
      </c>
      <c r="I7">
        <v>86</v>
      </c>
      <c r="J7">
        <v>1.81</v>
      </c>
      <c r="K7">
        <v>0.8</v>
      </c>
      <c r="L7">
        <v>0.55000000000000004</v>
      </c>
      <c r="M7">
        <v>0.2</v>
      </c>
      <c r="N7">
        <v>0.96</v>
      </c>
      <c r="O7">
        <v>96</v>
      </c>
      <c r="P7">
        <v>704</v>
      </c>
      <c r="Q7">
        <v>53</v>
      </c>
      <c r="R7">
        <v>100</v>
      </c>
      <c r="S7">
        <v>55</v>
      </c>
      <c r="V7" s="308">
        <v>8</v>
      </c>
      <c r="W7" s="325">
        <f t="shared" ref="W7:Z9" si="2">J7*10</f>
        <v>18.100000000000001</v>
      </c>
      <c r="X7" s="325">
        <f t="shared" si="2"/>
        <v>8</v>
      </c>
      <c r="Y7" s="325">
        <f t="shared" si="2"/>
        <v>5.5</v>
      </c>
      <c r="Z7" s="325">
        <f t="shared" si="2"/>
        <v>2</v>
      </c>
      <c r="AB7" s="76">
        <f>IF(AND(T7="",U7="",V7=""),2,1)</f>
        <v>1</v>
      </c>
      <c r="AC7" s="307">
        <f>IF(V7&gt;0,V7,T7)</f>
        <v>8</v>
      </c>
      <c r="AD7" s="307">
        <f>U7</f>
        <v>0</v>
      </c>
      <c r="AE7" s="1876">
        <f>Q7/100</f>
        <v>0.53</v>
      </c>
      <c r="AF7" s="1129">
        <f>S7/100</f>
        <v>0.55000000000000004</v>
      </c>
      <c r="AH7" s="1055"/>
      <c r="AI7" s="726"/>
    </row>
    <row r="8" spans="1:35" x14ac:dyDescent="0.2">
      <c r="A8" s="1038" t="str">
        <f t="shared" ref="A8:A57" si="3">C8</f>
        <v>Winterweizen A/B-Sorte</v>
      </c>
      <c r="B8" s="1038">
        <f t="shared" si="0"/>
        <v>4</v>
      </c>
      <c r="C8" t="s">
        <v>483</v>
      </c>
      <c r="D8" t="s">
        <v>484</v>
      </c>
      <c r="E8" t="s">
        <v>480</v>
      </c>
      <c r="F8" t="s">
        <v>481</v>
      </c>
      <c r="G8">
        <v>1</v>
      </c>
      <c r="H8">
        <v>2</v>
      </c>
      <c r="I8">
        <v>86</v>
      </c>
      <c r="J8">
        <v>2.11</v>
      </c>
      <c r="K8">
        <v>0.8</v>
      </c>
      <c r="L8">
        <v>0.55000000000000004</v>
      </c>
      <c r="M8">
        <v>0.2</v>
      </c>
      <c r="N8">
        <v>0.98</v>
      </c>
      <c r="O8">
        <v>98</v>
      </c>
      <c r="P8">
        <v>701</v>
      </c>
      <c r="Q8">
        <v>53</v>
      </c>
      <c r="R8">
        <v>100</v>
      </c>
      <c r="S8">
        <v>55</v>
      </c>
      <c r="V8" s="308">
        <v>8</v>
      </c>
      <c r="W8" s="325">
        <f t="shared" si="2"/>
        <v>21.099999999999998</v>
      </c>
      <c r="X8" s="325">
        <f t="shared" si="2"/>
        <v>8</v>
      </c>
      <c r="Y8" s="325">
        <f t="shared" si="2"/>
        <v>5.5</v>
      </c>
      <c r="Z8" s="325">
        <f t="shared" si="2"/>
        <v>2</v>
      </c>
      <c r="AB8" s="76">
        <f t="shared" ref="AB8:AB75" si="4">IF(AND(T8="",U8="",V8=""),2,1)</f>
        <v>1</v>
      </c>
      <c r="AC8" s="307">
        <f t="shared" ref="AC8:AC9" si="5">IF(V8&gt;0,V8,T8)</f>
        <v>8</v>
      </c>
      <c r="AD8" s="307">
        <f t="shared" ref="AD8:AD9" si="6">U8</f>
        <v>0</v>
      </c>
      <c r="AE8" s="1039">
        <f>Q8/100</f>
        <v>0.53</v>
      </c>
      <c r="AF8" s="1129">
        <f>S8/100</f>
        <v>0.55000000000000004</v>
      </c>
      <c r="AH8" s="1055"/>
      <c r="AI8" s="726"/>
    </row>
    <row r="9" spans="1:35" x14ac:dyDescent="0.2">
      <c r="A9" s="1038" t="str">
        <f t="shared" si="3"/>
        <v>Winterweizen E-Sorte</v>
      </c>
      <c r="B9" s="1043">
        <f t="shared" si="0"/>
        <v>5</v>
      </c>
      <c r="C9" t="s">
        <v>793</v>
      </c>
      <c r="D9" t="s">
        <v>8275</v>
      </c>
      <c r="E9" t="s">
        <v>480</v>
      </c>
      <c r="F9" t="s">
        <v>481</v>
      </c>
      <c r="G9">
        <v>1</v>
      </c>
      <c r="H9">
        <v>2</v>
      </c>
      <c r="I9">
        <v>86</v>
      </c>
      <c r="J9">
        <v>2.41</v>
      </c>
      <c r="K9">
        <v>0.8</v>
      </c>
      <c r="L9">
        <v>0.55000000000000004</v>
      </c>
      <c r="M9">
        <v>0.2</v>
      </c>
      <c r="N9">
        <v>0.98</v>
      </c>
      <c r="O9">
        <v>98</v>
      </c>
      <c r="P9">
        <v>701</v>
      </c>
      <c r="Q9">
        <v>53</v>
      </c>
      <c r="R9">
        <v>100</v>
      </c>
      <c r="S9">
        <v>55</v>
      </c>
      <c r="V9" s="308">
        <v>8</v>
      </c>
      <c r="W9" s="325">
        <f t="shared" si="2"/>
        <v>24.1</v>
      </c>
      <c r="X9" s="325">
        <f t="shared" si="2"/>
        <v>8</v>
      </c>
      <c r="Y9" s="325">
        <f t="shared" si="2"/>
        <v>5.5</v>
      </c>
      <c r="Z9" s="325">
        <f t="shared" si="2"/>
        <v>2</v>
      </c>
      <c r="AB9" s="76">
        <f t="shared" si="4"/>
        <v>1</v>
      </c>
      <c r="AC9" s="307">
        <f t="shared" si="5"/>
        <v>8</v>
      </c>
      <c r="AD9" s="307">
        <f t="shared" si="6"/>
        <v>0</v>
      </c>
      <c r="AE9" s="1039">
        <f>Q9/100</f>
        <v>0.53</v>
      </c>
      <c r="AF9" s="1129">
        <f>S9/100</f>
        <v>0.55000000000000004</v>
      </c>
      <c r="AH9" s="1055"/>
      <c r="AI9" s="726"/>
    </row>
    <row r="10" spans="1:35" x14ac:dyDescent="0.2">
      <c r="A10" s="1038" t="str">
        <f t="shared" si="3"/>
        <v>Sommerweizen</v>
      </c>
      <c r="B10" s="1038">
        <f t="shared" si="0"/>
        <v>6</v>
      </c>
      <c r="C10" t="s">
        <v>485</v>
      </c>
      <c r="D10" t="s">
        <v>486</v>
      </c>
      <c r="E10" t="s">
        <v>480</v>
      </c>
      <c r="F10" t="s">
        <v>481</v>
      </c>
      <c r="G10">
        <v>1</v>
      </c>
      <c r="H10">
        <v>2</v>
      </c>
      <c r="I10">
        <v>86</v>
      </c>
      <c r="J10">
        <v>2.11</v>
      </c>
      <c r="K10">
        <v>0.75</v>
      </c>
      <c r="L10">
        <v>0.55000000000000004</v>
      </c>
      <c r="M10">
        <v>0.2</v>
      </c>
      <c r="N10">
        <v>0.98</v>
      </c>
      <c r="O10">
        <v>98</v>
      </c>
      <c r="P10">
        <v>701</v>
      </c>
      <c r="Q10">
        <v>53</v>
      </c>
      <c r="R10">
        <v>100</v>
      </c>
      <c r="S10">
        <v>55</v>
      </c>
      <c r="V10" s="308">
        <v>8</v>
      </c>
      <c r="W10" s="325">
        <f t="shared" ref="W10:W57" si="7">J10*10</f>
        <v>21.099999999999998</v>
      </c>
      <c r="X10" s="325">
        <f t="shared" ref="X10:X57" si="8">K10*10</f>
        <v>7.5</v>
      </c>
      <c r="Y10" s="325">
        <f t="shared" ref="Y10:Y57" si="9">L10*10</f>
        <v>5.5</v>
      </c>
      <c r="Z10" s="325">
        <f t="shared" ref="Z10:Z57" si="10">M10*10</f>
        <v>2</v>
      </c>
      <c r="AB10" s="76">
        <f t="shared" si="4"/>
        <v>1</v>
      </c>
      <c r="AC10" s="307">
        <f t="shared" ref="AC10:AC57" si="11">IF(V10&gt;0,V10,T10)</f>
        <v>8</v>
      </c>
      <c r="AD10" s="307">
        <f t="shared" ref="AD10:AD57" si="12">U10</f>
        <v>0</v>
      </c>
      <c r="AE10" s="1039">
        <f t="shared" ref="AE10:AE57" si="13">Q10/100</f>
        <v>0.53</v>
      </c>
      <c r="AF10" s="1129">
        <f t="shared" ref="AF10:AF57" si="14">S10/100</f>
        <v>0.55000000000000004</v>
      </c>
      <c r="AH10" s="1055"/>
      <c r="AI10" s="726"/>
    </row>
    <row r="11" spans="1:35" x14ac:dyDescent="0.2">
      <c r="A11" s="1038" t="str">
        <f t="shared" si="3"/>
        <v>Weizenstroh</v>
      </c>
      <c r="B11" s="1038">
        <f t="shared" si="0"/>
        <v>7</v>
      </c>
      <c r="C11" t="s">
        <v>795</v>
      </c>
      <c r="D11" t="s">
        <v>8321</v>
      </c>
      <c r="E11" t="s">
        <v>480</v>
      </c>
      <c r="F11" t="s">
        <v>481</v>
      </c>
      <c r="G11">
        <v>2</v>
      </c>
      <c r="H11">
        <v>0</v>
      </c>
      <c r="I11">
        <v>86</v>
      </c>
      <c r="J11">
        <v>0.5</v>
      </c>
      <c r="K11">
        <v>0.3</v>
      </c>
      <c r="L11">
        <v>1.4</v>
      </c>
      <c r="M11">
        <v>0.2</v>
      </c>
      <c r="N11">
        <v>0.94</v>
      </c>
      <c r="O11">
        <v>94</v>
      </c>
      <c r="P11">
        <v>374</v>
      </c>
      <c r="Q11">
        <v>51</v>
      </c>
      <c r="R11">
        <v>100</v>
      </c>
      <c r="S11">
        <v>55</v>
      </c>
      <c r="V11" s="308">
        <v>8</v>
      </c>
      <c r="W11" s="325">
        <f t="shared" si="7"/>
        <v>5</v>
      </c>
      <c r="X11" s="325">
        <f t="shared" si="8"/>
        <v>3</v>
      </c>
      <c r="Y11" s="325">
        <f t="shared" si="9"/>
        <v>14</v>
      </c>
      <c r="Z11" s="325">
        <f t="shared" si="10"/>
        <v>2</v>
      </c>
      <c r="AB11" s="76">
        <f t="shared" si="4"/>
        <v>1</v>
      </c>
      <c r="AC11" s="307">
        <f t="shared" si="11"/>
        <v>8</v>
      </c>
      <c r="AD11" s="307">
        <f t="shared" si="12"/>
        <v>0</v>
      </c>
      <c r="AE11" s="1039">
        <f t="shared" si="13"/>
        <v>0.51</v>
      </c>
      <c r="AF11" s="1129">
        <f t="shared" si="14"/>
        <v>0.55000000000000004</v>
      </c>
      <c r="AH11" s="1055"/>
      <c r="AI11" s="726"/>
    </row>
    <row r="12" spans="1:35" x14ac:dyDescent="0.2">
      <c r="A12" s="1038" t="str">
        <f t="shared" si="3"/>
        <v>Gerstenstroh</v>
      </c>
      <c r="B12" s="1038">
        <f t="shared" si="0"/>
        <v>8</v>
      </c>
      <c r="C12" t="s">
        <v>796</v>
      </c>
      <c r="D12" t="s">
        <v>8322</v>
      </c>
      <c r="E12" t="s">
        <v>480</v>
      </c>
      <c r="F12" t="s">
        <v>481</v>
      </c>
      <c r="G12">
        <v>2</v>
      </c>
      <c r="H12">
        <v>0</v>
      </c>
      <c r="I12">
        <v>86</v>
      </c>
      <c r="J12">
        <v>0.5</v>
      </c>
      <c r="K12">
        <v>0.3</v>
      </c>
      <c r="L12">
        <v>1.7</v>
      </c>
      <c r="M12">
        <v>0.1</v>
      </c>
      <c r="N12">
        <v>0.94</v>
      </c>
      <c r="O12">
        <v>94</v>
      </c>
      <c r="P12">
        <v>374</v>
      </c>
      <c r="Q12">
        <v>51</v>
      </c>
      <c r="R12">
        <v>100</v>
      </c>
      <c r="S12">
        <v>55</v>
      </c>
      <c r="V12" s="308">
        <v>7</v>
      </c>
      <c r="W12" s="325">
        <f t="shared" si="7"/>
        <v>5</v>
      </c>
      <c r="X12" s="325">
        <f t="shared" si="8"/>
        <v>3</v>
      </c>
      <c r="Y12" s="325">
        <f t="shared" si="9"/>
        <v>17</v>
      </c>
      <c r="Z12" s="325">
        <f t="shared" si="10"/>
        <v>1</v>
      </c>
      <c r="AB12" s="76">
        <f t="shared" si="4"/>
        <v>1</v>
      </c>
      <c r="AC12" s="307">
        <f t="shared" si="11"/>
        <v>7</v>
      </c>
      <c r="AD12" s="307">
        <f t="shared" si="12"/>
        <v>0</v>
      </c>
      <c r="AE12" s="1039">
        <f t="shared" si="13"/>
        <v>0.51</v>
      </c>
      <c r="AF12" s="1129">
        <f t="shared" si="14"/>
        <v>0.55000000000000004</v>
      </c>
      <c r="AH12" s="1055"/>
      <c r="AI12" s="726"/>
    </row>
    <row r="13" spans="1:35" x14ac:dyDescent="0.2">
      <c r="A13" s="1038" t="str">
        <f t="shared" si="3"/>
        <v>Wintergerste</v>
      </c>
      <c r="B13" s="1038">
        <f t="shared" si="0"/>
        <v>9</v>
      </c>
      <c r="C13" t="s">
        <v>8434</v>
      </c>
      <c r="D13" t="s">
        <v>488</v>
      </c>
      <c r="E13" t="s">
        <v>480</v>
      </c>
      <c r="F13" t="s">
        <v>481</v>
      </c>
      <c r="G13">
        <v>1</v>
      </c>
      <c r="H13">
        <v>2</v>
      </c>
      <c r="I13">
        <v>86</v>
      </c>
      <c r="J13">
        <v>1.65</v>
      </c>
      <c r="K13">
        <v>0.8</v>
      </c>
      <c r="L13">
        <v>0.6</v>
      </c>
      <c r="M13">
        <v>0.2</v>
      </c>
      <c r="N13">
        <v>0.98</v>
      </c>
      <c r="O13">
        <v>98</v>
      </c>
      <c r="P13">
        <v>684</v>
      </c>
      <c r="Q13">
        <v>53</v>
      </c>
      <c r="R13">
        <v>100</v>
      </c>
      <c r="S13">
        <v>55</v>
      </c>
      <c r="V13" s="308">
        <v>7</v>
      </c>
      <c r="W13" s="325">
        <f t="shared" si="7"/>
        <v>16.5</v>
      </c>
      <c r="X13" s="325">
        <f t="shared" si="8"/>
        <v>8</v>
      </c>
      <c r="Y13" s="325">
        <f t="shared" si="9"/>
        <v>6</v>
      </c>
      <c r="Z13" s="325">
        <f t="shared" si="10"/>
        <v>2</v>
      </c>
      <c r="AB13" s="76">
        <f t="shared" si="4"/>
        <v>1</v>
      </c>
      <c r="AC13" s="307">
        <f t="shared" si="11"/>
        <v>7</v>
      </c>
      <c r="AD13" s="307">
        <f t="shared" si="12"/>
        <v>0</v>
      </c>
      <c r="AE13" s="1039">
        <f t="shared" si="13"/>
        <v>0.53</v>
      </c>
      <c r="AF13" s="1129">
        <f t="shared" si="14"/>
        <v>0.55000000000000004</v>
      </c>
      <c r="AH13" s="1055"/>
      <c r="AI13" s="726"/>
    </row>
    <row r="14" spans="1:35" x14ac:dyDescent="0.2">
      <c r="A14" s="1038" t="str">
        <f t="shared" si="3"/>
        <v>Sommerfuttergerste</v>
      </c>
      <c r="B14" s="1038">
        <f t="shared" si="0"/>
        <v>10</v>
      </c>
      <c r="C14" t="s">
        <v>489</v>
      </c>
      <c r="D14" t="s">
        <v>490</v>
      </c>
      <c r="E14" t="s">
        <v>480</v>
      </c>
      <c r="F14" t="s">
        <v>481</v>
      </c>
      <c r="G14">
        <v>1</v>
      </c>
      <c r="H14">
        <v>2</v>
      </c>
      <c r="I14">
        <v>86</v>
      </c>
      <c r="J14">
        <v>1.65</v>
      </c>
      <c r="K14">
        <v>0.8</v>
      </c>
      <c r="L14">
        <v>0.6</v>
      </c>
      <c r="M14">
        <v>0.2</v>
      </c>
      <c r="N14">
        <v>0.98</v>
      </c>
      <c r="O14">
        <v>98</v>
      </c>
      <c r="P14">
        <v>680</v>
      </c>
      <c r="Q14">
        <v>53</v>
      </c>
      <c r="R14">
        <v>100</v>
      </c>
      <c r="S14">
        <v>55</v>
      </c>
      <c r="V14" s="308">
        <v>8</v>
      </c>
      <c r="W14" s="325">
        <f t="shared" si="7"/>
        <v>16.5</v>
      </c>
      <c r="X14" s="325">
        <f t="shared" si="8"/>
        <v>8</v>
      </c>
      <c r="Y14" s="325">
        <f t="shared" si="9"/>
        <v>6</v>
      </c>
      <c r="Z14" s="325">
        <f t="shared" si="10"/>
        <v>2</v>
      </c>
      <c r="AB14" s="76">
        <f t="shared" si="4"/>
        <v>1</v>
      </c>
      <c r="AC14" s="307">
        <f t="shared" si="11"/>
        <v>8</v>
      </c>
      <c r="AD14" s="307">
        <f t="shared" si="12"/>
        <v>0</v>
      </c>
      <c r="AE14" s="1039">
        <f t="shared" si="13"/>
        <v>0.53</v>
      </c>
      <c r="AF14" s="1129">
        <f t="shared" si="14"/>
        <v>0.55000000000000004</v>
      </c>
      <c r="AH14" s="1055"/>
      <c r="AI14" s="726"/>
    </row>
    <row r="15" spans="1:35" x14ac:dyDescent="0.2">
      <c r="A15" s="1038" t="str">
        <f t="shared" si="3"/>
        <v>Sommerbraugerste</v>
      </c>
      <c r="B15" s="1038">
        <f t="shared" si="0"/>
        <v>11</v>
      </c>
      <c r="C15" t="s">
        <v>797</v>
      </c>
      <c r="D15" t="s">
        <v>8276</v>
      </c>
      <c r="E15" t="s">
        <v>480</v>
      </c>
      <c r="F15" t="s">
        <v>481</v>
      </c>
      <c r="G15">
        <v>1</v>
      </c>
      <c r="H15">
        <v>2</v>
      </c>
      <c r="I15">
        <v>86</v>
      </c>
      <c r="J15">
        <v>1.38</v>
      </c>
      <c r="K15">
        <v>0.8</v>
      </c>
      <c r="L15">
        <v>0.6</v>
      </c>
      <c r="M15">
        <v>0.2</v>
      </c>
      <c r="N15">
        <v>0.98</v>
      </c>
      <c r="O15">
        <v>98</v>
      </c>
      <c r="P15">
        <v>684</v>
      </c>
      <c r="Q15">
        <v>53</v>
      </c>
      <c r="R15">
        <v>100</v>
      </c>
      <c r="S15">
        <v>55</v>
      </c>
      <c r="V15" s="308">
        <v>8</v>
      </c>
      <c r="W15" s="325">
        <f t="shared" si="7"/>
        <v>13.799999999999999</v>
      </c>
      <c r="X15" s="325">
        <f t="shared" si="8"/>
        <v>8</v>
      </c>
      <c r="Y15" s="325">
        <f t="shared" si="9"/>
        <v>6</v>
      </c>
      <c r="Z15" s="325">
        <f t="shared" si="10"/>
        <v>2</v>
      </c>
      <c r="AB15" s="76">
        <f t="shared" si="4"/>
        <v>1</v>
      </c>
      <c r="AC15" s="307">
        <f t="shared" si="11"/>
        <v>8</v>
      </c>
      <c r="AD15" s="307">
        <f t="shared" si="12"/>
        <v>0</v>
      </c>
      <c r="AE15" s="1039">
        <f t="shared" si="13"/>
        <v>0.53</v>
      </c>
      <c r="AF15" s="1129">
        <f t="shared" si="14"/>
        <v>0.55000000000000004</v>
      </c>
      <c r="AH15" s="1055"/>
      <c r="AI15" s="726"/>
    </row>
    <row r="16" spans="1:35" x14ac:dyDescent="0.2">
      <c r="A16" s="1038" t="str">
        <f t="shared" si="3"/>
        <v>Winterroggen</v>
      </c>
      <c r="B16" s="1038">
        <f t="shared" si="0"/>
        <v>12</v>
      </c>
      <c r="C16" t="s">
        <v>491</v>
      </c>
      <c r="D16" t="s">
        <v>492</v>
      </c>
      <c r="E16" t="s">
        <v>480</v>
      </c>
      <c r="F16" t="s">
        <v>481</v>
      </c>
      <c r="G16">
        <v>1</v>
      </c>
      <c r="H16">
        <v>2</v>
      </c>
      <c r="I16">
        <v>86</v>
      </c>
      <c r="J16">
        <v>1.51</v>
      </c>
      <c r="K16">
        <v>0.8</v>
      </c>
      <c r="L16">
        <v>0.6</v>
      </c>
      <c r="M16">
        <v>0.1</v>
      </c>
      <c r="N16">
        <v>0.98</v>
      </c>
      <c r="O16">
        <v>98</v>
      </c>
      <c r="P16">
        <v>706</v>
      </c>
      <c r="Q16">
        <v>52</v>
      </c>
      <c r="R16">
        <v>100</v>
      </c>
      <c r="S16">
        <v>55</v>
      </c>
      <c r="V16" s="308">
        <v>8</v>
      </c>
      <c r="W16" s="325">
        <f t="shared" si="7"/>
        <v>15.1</v>
      </c>
      <c r="X16" s="325">
        <f t="shared" si="8"/>
        <v>8</v>
      </c>
      <c r="Y16" s="325">
        <f t="shared" si="9"/>
        <v>6</v>
      </c>
      <c r="Z16" s="325">
        <f t="shared" si="10"/>
        <v>1</v>
      </c>
      <c r="AB16" s="76">
        <f t="shared" si="4"/>
        <v>1</v>
      </c>
      <c r="AC16" s="307">
        <f t="shared" si="11"/>
        <v>8</v>
      </c>
      <c r="AD16" s="307">
        <f t="shared" si="12"/>
        <v>0</v>
      </c>
      <c r="AE16" s="1039">
        <f t="shared" si="13"/>
        <v>0.52</v>
      </c>
      <c r="AF16" s="1129">
        <f t="shared" si="14"/>
        <v>0.55000000000000004</v>
      </c>
      <c r="AH16" s="1055"/>
      <c r="AI16" s="726"/>
    </row>
    <row r="17" spans="1:35" x14ac:dyDescent="0.2">
      <c r="A17" s="1038" t="str">
        <f t="shared" si="3"/>
        <v>Hafer</v>
      </c>
      <c r="B17" s="1038">
        <f t="shared" si="0"/>
        <v>13</v>
      </c>
      <c r="C17" t="s">
        <v>493</v>
      </c>
      <c r="D17" t="s">
        <v>494</v>
      </c>
      <c r="E17" t="s">
        <v>480</v>
      </c>
      <c r="F17" t="s">
        <v>481</v>
      </c>
      <c r="G17">
        <v>1</v>
      </c>
      <c r="H17">
        <v>2</v>
      </c>
      <c r="I17">
        <v>86</v>
      </c>
      <c r="J17">
        <v>1.51</v>
      </c>
      <c r="K17">
        <v>0.8</v>
      </c>
      <c r="L17">
        <v>0.6</v>
      </c>
      <c r="M17">
        <v>0.2</v>
      </c>
      <c r="N17">
        <v>0.97</v>
      </c>
      <c r="O17">
        <v>97</v>
      </c>
      <c r="P17">
        <v>596</v>
      </c>
      <c r="Q17">
        <v>54</v>
      </c>
      <c r="R17">
        <v>100</v>
      </c>
      <c r="S17">
        <v>55</v>
      </c>
      <c r="V17" s="308">
        <v>8</v>
      </c>
      <c r="W17" s="325">
        <f t="shared" si="7"/>
        <v>15.1</v>
      </c>
      <c r="X17" s="325">
        <f t="shared" si="8"/>
        <v>8</v>
      </c>
      <c r="Y17" s="325">
        <f t="shared" si="9"/>
        <v>6</v>
      </c>
      <c r="Z17" s="325">
        <f t="shared" si="10"/>
        <v>2</v>
      </c>
      <c r="AB17" s="76">
        <f t="shared" si="4"/>
        <v>1</v>
      </c>
      <c r="AC17" s="307">
        <f t="shared" si="11"/>
        <v>8</v>
      </c>
      <c r="AD17" s="307">
        <f t="shared" si="12"/>
        <v>0</v>
      </c>
      <c r="AE17" s="1039">
        <f t="shared" si="13"/>
        <v>0.54</v>
      </c>
      <c r="AF17" s="1129">
        <f t="shared" si="14"/>
        <v>0.55000000000000004</v>
      </c>
      <c r="AH17" s="1055"/>
      <c r="AI17" s="726"/>
    </row>
    <row r="18" spans="1:35" x14ac:dyDescent="0.2">
      <c r="A18" s="1038" t="str">
        <f t="shared" si="3"/>
        <v>Triticale</v>
      </c>
      <c r="B18" s="1038">
        <f t="shared" si="0"/>
        <v>14</v>
      </c>
      <c r="C18" t="s">
        <v>495</v>
      </c>
      <c r="D18" t="s">
        <v>496</v>
      </c>
      <c r="E18" t="s">
        <v>480</v>
      </c>
      <c r="F18" t="s">
        <v>481</v>
      </c>
      <c r="G18">
        <v>1</v>
      </c>
      <c r="H18">
        <v>2</v>
      </c>
      <c r="I18">
        <v>86</v>
      </c>
      <c r="J18">
        <v>1.65</v>
      </c>
      <c r="K18">
        <v>0.8</v>
      </c>
      <c r="L18">
        <v>0.6</v>
      </c>
      <c r="M18">
        <v>0.2</v>
      </c>
      <c r="N18">
        <v>0.98</v>
      </c>
      <c r="O18">
        <v>98</v>
      </c>
      <c r="P18">
        <v>695</v>
      </c>
      <c r="Q18">
        <v>52</v>
      </c>
      <c r="R18">
        <v>100</v>
      </c>
      <c r="S18">
        <v>55</v>
      </c>
      <c r="V18" s="308">
        <v>8</v>
      </c>
      <c r="W18" s="325">
        <f t="shared" si="7"/>
        <v>16.5</v>
      </c>
      <c r="X18" s="325">
        <f t="shared" si="8"/>
        <v>8</v>
      </c>
      <c r="Y18" s="325">
        <f t="shared" si="9"/>
        <v>6</v>
      </c>
      <c r="Z18" s="325">
        <f t="shared" si="10"/>
        <v>2</v>
      </c>
      <c r="AB18" s="76">
        <f t="shared" si="4"/>
        <v>1</v>
      </c>
      <c r="AC18" s="307">
        <f t="shared" si="11"/>
        <v>8</v>
      </c>
      <c r="AD18" s="307">
        <f t="shared" si="12"/>
        <v>0</v>
      </c>
      <c r="AE18" s="1039">
        <f t="shared" si="13"/>
        <v>0.52</v>
      </c>
      <c r="AF18" s="1129">
        <f t="shared" si="14"/>
        <v>0.55000000000000004</v>
      </c>
      <c r="AH18" s="1055"/>
      <c r="AI18" s="726"/>
    </row>
    <row r="19" spans="1:35" x14ac:dyDescent="0.2">
      <c r="A19" s="1038" t="str">
        <f t="shared" si="3"/>
        <v>Dinkel</v>
      </c>
      <c r="B19" s="1038">
        <f t="shared" si="0"/>
        <v>15</v>
      </c>
      <c r="C19" t="s">
        <v>497</v>
      </c>
      <c r="D19" t="s">
        <v>498</v>
      </c>
      <c r="E19" t="s">
        <v>480</v>
      </c>
      <c r="F19" t="s">
        <v>481</v>
      </c>
      <c r="G19">
        <v>1</v>
      </c>
      <c r="H19">
        <v>2</v>
      </c>
      <c r="I19">
        <v>86</v>
      </c>
      <c r="J19">
        <v>1.65</v>
      </c>
      <c r="K19">
        <v>0.8</v>
      </c>
      <c r="L19">
        <v>0.8</v>
      </c>
      <c r="M19">
        <v>0.2</v>
      </c>
      <c r="N19">
        <v>0.97</v>
      </c>
      <c r="O19">
        <v>97</v>
      </c>
      <c r="P19">
        <v>596</v>
      </c>
      <c r="Q19">
        <v>54</v>
      </c>
      <c r="R19">
        <v>100</v>
      </c>
      <c r="S19">
        <v>55</v>
      </c>
      <c r="V19" s="308">
        <v>8</v>
      </c>
      <c r="W19" s="325">
        <f t="shared" si="7"/>
        <v>16.5</v>
      </c>
      <c r="X19" s="325">
        <f t="shared" si="8"/>
        <v>8</v>
      </c>
      <c r="Y19" s="325">
        <f t="shared" si="9"/>
        <v>8</v>
      </c>
      <c r="Z19" s="325">
        <f t="shared" si="10"/>
        <v>2</v>
      </c>
      <c r="AB19" s="76">
        <f t="shared" si="4"/>
        <v>1</v>
      </c>
      <c r="AC19" s="307">
        <f t="shared" si="11"/>
        <v>8</v>
      </c>
      <c r="AD19" s="307">
        <f t="shared" si="12"/>
        <v>0</v>
      </c>
      <c r="AE19" s="1039">
        <f t="shared" si="13"/>
        <v>0.54</v>
      </c>
      <c r="AF19" s="1129">
        <f t="shared" si="14"/>
        <v>0.55000000000000004</v>
      </c>
      <c r="AH19" s="1055"/>
      <c r="AI19" s="726"/>
    </row>
    <row r="20" spans="1:35" x14ac:dyDescent="0.2">
      <c r="A20" s="1038" t="str">
        <f t="shared" si="3"/>
        <v>Hartweizen (Durum)</v>
      </c>
      <c r="B20" s="1038">
        <f t="shared" si="0"/>
        <v>16</v>
      </c>
      <c r="C20" t="s">
        <v>802</v>
      </c>
      <c r="D20" t="s">
        <v>8277</v>
      </c>
      <c r="E20" t="s">
        <v>480</v>
      </c>
      <c r="F20" t="s">
        <v>481</v>
      </c>
      <c r="G20">
        <v>1</v>
      </c>
      <c r="H20">
        <v>2</v>
      </c>
      <c r="I20">
        <v>86</v>
      </c>
      <c r="J20">
        <v>1.81</v>
      </c>
      <c r="K20">
        <v>0.8</v>
      </c>
      <c r="L20">
        <v>0.6</v>
      </c>
      <c r="M20">
        <v>0.2</v>
      </c>
      <c r="N20">
        <v>0.98</v>
      </c>
      <c r="O20">
        <v>98</v>
      </c>
      <c r="P20">
        <v>701</v>
      </c>
      <c r="Q20">
        <v>53</v>
      </c>
      <c r="R20">
        <v>100</v>
      </c>
      <c r="S20">
        <v>55</v>
      </c>
      <c r="V20" s="308">
        <v>8</v>
      </c>
      <c r="W20" s="325">
        <f t="shared" si="7"/>
        <v>18.100000000000001</v>
      </c>
      <c r="X20" s="325">
        <f t="shared" si="8"/>
        <v>8</v>
      </c>
      <c r="Y20" s="325">
        <f t="shared" si="9"/>
        <v>6</v>
      </c>
      <c r="Z20" s="325">
        <f t="shared" si="10"/>
        <v>2</v>
      </c>
      <c r="AB20" s="76">
        <f t="shared" si="4"/>
        <v>1</v>
      </c>
      <c r="AC20" s="307">
        <f t="shared" si="11"/>
        <v>8</v>
      </c>
      <c r="AD20" s="307">
        <f t="shared" si="12"/>
        <v>0</v>
      </c>
      <c r="AE20" s="1039">
        <f t="shared" si="13"/>
        <v>0.53</v>
      </c>
      <c r="AF20" s="1129">
        <f t="shared" si="14"/>
        <v>0.55000000000000004</v>
      </c>
      <c r="AH20" s="1055"/>
      <c r="AI20" s="726"/>
    </row>
    <row r="21" spans="1:35" x14ac:dyDescent="0.2">
      <c r="A21" s="1905" t="str">
        <f t="shared" si="3"/>
        <v xml:space="preserve"> +++Körnermais+++</v>
      </c>
      <c r="B21" s="1038">
        <f t="shared" si="0"/>
        <v>17</v>
      </c>
      <c r="C21" t="s">
        <v>8658</v>
      </c>
      <c r="D21" t="s">
        <v>487</v>
      </c>
      <c r="E21" t="s">
        <v>480</v>
      </c>
      <c r="F21" t="s">
        <v>481</v>
      </c>
      <c r="G21"/>
      <c r="H21">
        <v>0</v>
      </c>
      <c r="I21"/>
      <c r="J21"/>
      <c r="K21"/>
      <c r="L21"/>
      <c r="M21"/>
      <c r="N21"/>
      <c r="O21"/>
      <c r="P21"/>
      <c r="W21" s="325">
        <f t="shared" si="7"/>
        <v>0</v>
      </c>
      <c r="X21" s="325">
        <f t="shared" si="8"/>
        <v>0</v>
      </c>
      <c r="Y21" s="325">
        <f t="shared" si="9"/>
        <v>0</v>
      </c>
      <c r="Z21" s="325">
        <f t="shared" si="10"/>
        <v>0</v>
      </c>
      <c r="AB21" s="76">
        <f t="shared" si="4"/>
        <v>2</v>
      </c>
      <c r="AC21" s="307">
        <f t="shared" si="11"/>
        <v>0</v>
      </c>
      <c r="AD21" s="307">
        <f t="shared" si="12"/>
        <v>0</v>
      </c>
      <c r="AE21" s="1039">
        <f t="shared" si="13"/>
        <v>0</v>
      </c>
      <c r="AF21" s="1129">
        <f t="shared" si="14"/>
        <v>0</v>
      </c>
      <c r="AH21" s="1055"/>
      <c r="AI21" s="726"/>
    </row>
    <row r="22" spans="1:35" x14ac:dyDescent="0.2">
      <c r="A22" s="1040" t="str">
        <f t="shared" si="3"/>
        <v>Körnermaisstroh</v>
      </c>
      <c r="B22" s="1040">
        <f t="shared" si="0"/>
        <v>18</v>
      </c>
      <c r="C22" t="s">
        <v>499</v>
      </c>
      <c r="D22" t="s">
        <v>500</v>
      </c>
      <c r="E22" t="s">
        <v>480</v>
      </c>
      <c r="F22" t="s">
        <v>481</v>
      </c>
      <c r="G22">
        <v>2</v>
      </c>
      <c r="H22">
        <v>0</v>
      </c>
      <c r="I22">
        <v>86</v>
      </c>
      <c r="J22">
        <v>0.9</v>
      </c>
      <c r="K22">
        <v>0.2</v>
      </c>
      <c r="L22">
        <v>2</v>
      </c>
      <c r="M22">
        <v>0.4</v>
      </c>
      <c r="N22">
        <v>0.96</v>
      </c>
      <c r="O22">
        <v>96</v>
      </c>
      <c r="P22">
        <v>524</v>
      </c>
      <c r="Q22">
        <v>53</v>
      </c>
      <c r="R22">
        <v>100</v>
      </c>
      <c r="S22">
        <v>55</v>
      </c>
      <c r="V22" s="308">
        <v>11</v>
      </c>
      <c r="W22" s="325">
        <f t="shared" si="7"/>
        <v>9</v>
      </c>
      <c r="X22" s="325">
        <f t="shared" si="8"/>
        <v>2</v>
      </c>
      <c r="Y22" s="325">
        <f t="shared" si="9"/>
        <v>20</v>
      </c>
      <c r="Z22" s="325">
        <f t="shared" si="10"/>
        <v>4</v>
      </c>
      <c r="AB22" s="76">
        <f t="shared" si="4"/>
        <v>1</v>
      </c>
      <c r="AC22" s="307">
        <f t="shared" si="11"/>
        <v>11</v>
      </c>
      <c r="AD22" s="307">
        <f t="shared" si="12"/>
        <v>0</v>
      </c>
      <c r="AE22" s="1039">
        <f t="shared" si="13"/>
        <v>0.53</v>
      </c>
      <c r="AF22" s="1129">
        <f t="shared" si="14"/>
        <v>0.55000000000000004</v>
      </c>
      <c r="AH22" s="1135"/>
      <c r="AI22" s="726"/>
    </row>
    <row r="23" spans="1:35" x14ac:dyDescent="0.2">
      <c r="A23" s="1038" t="str">
        <f t="shared" si="3"/>
        <v>Körnermais</v>
      </c>
      <c r="B23" s="1038">
        <f t="shared" si="0"/>
        <v>19</v>
      </c>
      <c r="C23" t="s">
        <v>8436</v>
      </c>
      <c r="D23" t="s">
        <v>501</v>
      </c>
      <c r="E23" t="s">
        <v>480</v>
      </c>
      <c r="F23" t="s">
        <v>481</v>
      </c>
      <c r="G23">
        <v>1</v>
      </c>
      <c r="H23">
        <v>2</v>
      </c>
      <c r="I23">
        <v>86</v>
      </c>
      <c r="J23">
        <v>1.38</v>
      </c>
      <c r="K23">
        <v>0.8</v>
      </c>
      <c r="L23">
        <v>0.5</v>
      </c>
      <c r="M23">
        <v>0.2</v>
      </c>
      <c r="N23">
        <v>0.98</v>
      </c>
      <c r="O23">
        <v>98</v>
      </c>
      <c r="P23">
        <v>691</v>
      </c>
      <c r="Q23">
        <v>53</v>
      </c>
      <c r="R23">
        <v>100</v>
      </c>
      <c r="S23">
        <v>55</v>
      </c>
      <c r="V23" s="308">
        <v>11</v>
      </c>
      <c r="W23" s="325">
        <f t="shared" si="7"/>
        <v>13.799999999999999</v>
      </c>
      <c r="X23" s="325">
        <f t="shared" si="8"/>
        <v>8</v>
      </c>
      <c r="Y23" s="325">
        <f t="shared" si="9"/>
        <v>5</v>
      </c>
      <c r="Z23" s="325">
        <f t="shared" si="10"/>
        <v>2</v>
      </c>
      <c r="AB23" s="76">
        <f t="shared" si="4"/>
        <v>1</v>
      </c>
      <c r="AC23" s="307">
        <f t="shared" si="11"/>
        <v>11</v>
      </c>
      <c r="AD23" s="307">
        <f t="shared" si="12"/>
        <v>0</v>
      </c>
      <c r="AE23" s="1039">
        <f t="shared" si="13"/>
        <v>0.53</v>
      </c>
      <c r="AF23" s="1129">
        <f t="shared" si="14"/>
        <v>0.55000000000000004</v>
      </c>
      <c r="AH23" s="1055"/>
      <c r="AI23" s="726"/>
    </row>
    <row r="24" spans="1:35" x14ac:dyDescent="0.2">
      <c r="A24" s="1038" t="str">
        <f t="shared" si="3"/>
        <v xml:space="preserve"> +++Körnerleguminosen+++</v>
      </c>
      <c r="B24" s="1038">
        <f t="shared" si="0"/>
        <v>20</v>
      </c>
      <c r="C24" t="s">
        <v>803</v>
      </c>
      <c r="D24" t="s">
        <v>487</v>
      </c>
      <c r="E24" t="s">
        <v>480</v>
      </c>
      <c r="F24" t="s">
        <v>481</v>
      </c>
      <c r="G24"/>
      <c r="H24">
        <v>0</v>
      </c>
      <c r="I24"/>
      <c r="J24"/>
      <c r="K24"/>
      <c r="L24"/>
      <c r="M24"/>
      <c r="N24"/>
      <c r="O24"/>
      <c r="P24"/>
      <c r="W24" s="325">
        <f t="shared" si="7"/>
        <v>0</v>
      </c>
      <c r="X24" s="325">
        <f t="shared" si="8"/>
        <v>0</v>
      </c>
      <c r="Y24" s="325">
        <f t="shared" si="9"/>
        <v>0</v>
      </c>
      <c r="Z24" s="325">
        <f t="shared" si="10"/>
        <v>0</v>
      </c>
      <c r="AB24" s="76">
        <f t="shared" si="4"/>
        <v>2</v>
      </c>
      <c r="AC24" s="307">
        <f t="shared" si="11"/>
        <v>0</v>
      </c>
      <c r="AD24" s="307">
        <f t="shared" si="12"/>
        <v>0</v>
      </c>
      <c r="AE24" s="1039">
        <f t="shared" si="13"/>
        <v>0</v>
      </c>
      <c r="AF24" s="1129">
        <f t="shared" si="14"/>
        <v>0</v>
      </c>
      <c r="AH24" s="1055"/>
      <c r="AI24" s="726"/>
    </row>
    <row r="25" spans="1:35" x14ac:dyDescent="0.2">
      <c r="A25" s="1038" t="str">
        <f t="shared" si="3"/>
        <v>Ackerbohnen</v>
      </c>
      <c r="B25" s="1038">
        <f t="shared" si="0"/>
        <v>21</v>
      </c>
      <c r="C25" t="s">
        <v>804</v>
      </c>
      <c r="D25" t="s">
        <v>8278</v>
      </c>
      <c r="E25" t="s">
        <v>480</v>
      </c>
      <c r="F25" t="s">
        <v>481</v>
      </c>
      <c r="G25">
        <v>1</v>
      </c>
      <c r="H25">
        <v>2</v>
      </c>
      <c r="I25">
        <v>86</v>
      </c>
      <c r="J25">
        <v>4.0999999999999996</v>
      </c>
      <c r="K25">
        <v>1.2</v>
      </c>
      <c r="L25">
        <v>1.4</v>
      </c>
      <c r="M25">
        <v>0.2</v>
      </c>
      <c r="N25">
        <v>0.96</v>
      </c>
      <c r="O25">
        <v>96</v>
      </c>
      <c r="P25">
        <v>697</v>
      </c>
      <c r="Q25">
        <v>56.000000000000007</v>
      </c>
      <c r="R25">
        <v>100</v>
      </c>
      <c r="S25">
        <v>55</v>
      </c>
      <c r="V25" s="308">
        <v>9</v>
      </c>
      <c r="W25" s="325">
        <f t="shared" si="7"/>
        <v>41</v>
      </c>
      <c r="X25" s="325">
        <f t="shared" si="8"/>
        <v>12</v>
      </c>
      <c r="Y25" s="325">
        <f t="shared" si="9"/>
        <v>14</v>
      </c>
      <c r="Z25" s="325">
        <f t="shared" si="10"/>
        <v>2</v>
      </c>
      <c r="AB25" s="76">
        <f t="shared" si="4"/>
        <v>1</v>
      </c>
      <c r="AC25" s="307">
        <f t="shared" si="11"/>
        <v>9</v>
      </c>
      <c r="AD25" s="307">
        <f t="shared" si="12"/>
        <v>0</v>
      </c>
      <c r="AE25" s="1039">
        <f t="shared" si="13"/>
        <v>0.56000000000000005</v>
      </c>
      <c r="AF25" s="1129">
        <f t="shared" si="14"/>
        <v>0.55000000000000004</v>
      </c>
      <c r="AH25" s="1055"/>
      <c r="AI25" s="726"/>
    </row>
    <row r="26" spans="1:35" x14ac:dyDescent="0.2">
      <c r="A26" s="1038" t="str">
        <f t="shared" si="3"/>
        <v>Erbsen</v>
      </c>
      <c r="B26" s="1038">
        <f t="shared" si="0"/>
        <v>22</v>
      </c>
      <c r="C26" t="s">
        <v>805</v>
      </c>
      <c r="D26" t="s">
        <v>8437</v>
      </c>
      <c r="E26" t="s">
        <v>480</v>
      </c>
      <c r="F26" t="s">
        <v>481</v>
      </c>
      <c r="G26">
        <v>1</v>
      </c>
      <c r="H26">
        <v>2</v>
      </c>
      <c r="I26">
        <v>86</v>
      </c>
      <c r="J26">
        <v>3.6</v>
      </c>
      <c r="K26">
        <v>1.1000000000000001</v>
      </c>
      <c r="L26">
        <v>1.4</v>
      </c>
      <c r="M26">
        <v>0.2</v>
      </c>
      <c r="N26">
        <v>0.96</v>
      </c>
      <c r="O26">
        <v>96</v>
      </c>
      <c r="P26">
        <v>699</v>
      </c>
      <c r="Q26">
        <v>55.000000000000007</v>
      </c>
      <c r="R26">
        <v>100</v>
      </c>
      <c r="S26">
        <v>55</v>
      </c>
      <c r="V26" s="308">
        <v>7</v>
      </c>
      <c r="W26" s="325">
        <f t="shared" si="7"/>
        <v>36</v>
      </c>
      <c r="X26" s="325">
        <f t="shared" si="8"/>
        <v>11</v>
      </c>
      <c r="Y26" s="325">
        <f t="shared" si="9"/>
        <v>14</v>
      </c>
      <c r="Z26" s="325">
        <f t="shared" si="10"/>
        <v>2</v>
      </c>
      <c r="AB26" s="76">
        <f t="shared" si="4"/>
        <v>1</v>
      </c>
      <c r="AC26" s="307">
        <f t="shared" si="11"/>
        <v>7</v>
      </c>
      <c r="AD26" s="307">
        <f t="shared" si="12"/>
        <v>0</v>
      </c>
      <c r="AE26" s="1039">
        <f t="shared" si="13"/>
        <v>0.55000000000000004</v>
      </c>
      <c r="AF26" s="1129">
        <f t="shared" si="14"/>
        <v>0.55000000000000004</v>
      </c>
      <c r="AH26" s="1055"/>
      <c r="AI26" s="726"/>
    </row>
    <row r="27" spans="1:35" x14ac:dyDescent="0.2">
      <c r="A27" s="1038" t="str">
        <f t="shared" si="3"/>
        <v>Lupinen blau</v>
      </c>
      <c r="B27" s="1038">
        <f t="shared" si="0"/>
        <v>23</v>
      </c>
      <c r="C27" t="s">
        <v>806</v>
      </c>
      <c r="D27" t="s">
        <v>8279</v>
      </c>
      <c r="E27" t="s">
        <v>480</v>
      </c>
      <c r="F27" t="s">
        <v>481</v>
      </c>
      <c r="G27">
        <v>1</v>
      </c>
      <c r="H27">
        <v>2</v>
      </c>
      <c r="I27">
        <v>86</v>
      </c>
      <c r="J27">
        <v>4.4800000000000004</v>
      </c>
      <c r="K27">
        <v>1.02</v>
      </c>
      <c r="L27">
        <v>0.99</v>
      </c>
      <c r="M27">
        <v>0.2</v>
      </c>
      <c r="N27">
        <v>0.96</v>
      </c>
      <c r="O27">
        <v>96</v>
      </c>
      <c r="P27">
        <v>717</v>
      </c>
      <c r="Q27">
        <v>60</v>
      </c>
      <c r="R27">
        <v>100</v>
      </c>
      <c r="S27">
        <v>55</v>
      </c>
      <c r="V27" s="308">
        <v>9</v>
      </c>
      <c r="W27" s="325">
        <f t="shared" si="7"/>
        <v>44.800000000000004</v>
      </c>
      <c r="X27" s="325">
        <f t="shared" si="8"/>
        <v>10.199999999999999</v>
      </c>
      <c r="Y27" s="325">
        <f t="shared" si="9"/>
        <v>9.9</v>
      </c>
      <c r="Z27" s="325">
        <f t="shared" si="10"/>
        <v>2</v>
      </c>
      <c r="AB27" s="76">
        <f t="shared" si="4"/>
        <v>1</v>
      </c>
      <c r="AC27" s="307">
        <f t="shared" si="11"/>
        <v>9</v>
      </c>
      <c r="AD27" s="307">
        <f t="shared" si="12"/>
        <v>0</v>
      </c>
      <c r="AE27" s="1039">
        <f t="shared" si="13"/>
        <v>0.6</v>
      </c>
      <c r="AF27" s="1129">
        <f t="shared" si="14"/>
        <v>0.55000000000000004</v>
      </c>
      <c r="AH27" s="1055"/>
      <c r="AI27" s="726"/>
    </row>
    <row r="28" spans="1:35" x14ac:dyDescent="0.2">
      <c r="A28" s="1038" t="str">
        <f t="shared" si="3"/>
        <v>Sojabohnen</v>
      </c>
      <c r="B28" s="1043">
        <f t="shared" si="0"/>
        <v>24</v>
      </c>
      <c r="C28" t="s">
        <v>807</v>
      </c>
      <c r="D28" t="s">
        <v>8280</v>
      </c>
      <c r="E28" t="s">
        <v>480</v>
      </c>
      <c r="F28" t="s">
        <v>481</v>
      </c>
      <c r="G28">
        <v>1</v>
      </c>
      <c r="H28">
        <v>2</v>
      </c>
      <c r="I28">
        <v>86</v>
      </c>
      <c r="J28">
        <v>4.4000000000000004</v>
      </c>
      <c r="K28">
        <v>1.5</v>
      </c>
      <c r="L28">
        <v>1.7</v>
      </c>
      <c r="M28">
        <v>0.5</v>
      </c>
      <c r="N28">
        <v>0.95</v>
      </c>
      <c r="O28">
        <v>95</v>
      </c>
      <c r="P28">
        <v>734</v>
      </c>
      <c r="Q28">
        <v>64</v>
      </c>
      <c r="R28">
        <v>100</v>
      </c>
      <c r="S28">
        <v>55</v>
      </c>
      <c r="V28" s="308">
        <v>9</v>
      </c>
      <c r="W28" s="325">
        <f t="shared" si="7"/>
        <v>44</v>
      </c>
      <c r="X28" s="325">
        <f t="shared" si="8"/>
        <v>15</v>
      </c>
      <c r="Y28" s="325">
        <f t="shared" si="9"/>
        <v>17</v>
      </c>
      <c r="Z28" s="325">
        <f t="shared" si="10"/>
        <v>5</v>
      </c>
      <c r="AB28" s="76">
        <f t="shared" si="4"/>
        <v>1</v>
      </c>
      <c r="AC28" s="307">
        <f t="shared" si="11"/>
        <v>9</v>
      </c>
      <c r="AD28" s="307">
        <f t="shared" si="12"/>
        <v>0</v>
      </c>
      <c r="AE28" s="1039">
        <f t="shared" si="13"/>
        <v>0.64</v>
      </c>
      <c r="AF28" s="1129">
        <f t="shared" si="14"/>
        <v>0.55000000000000004</v>
      </c>
      <c r="AH28" s="1055"/>
      <c r="AI28" s="726"/>
    </row>
    <row r="29" spans="1:35" x14ac:dyDescent="0.2">
      <c r="A29" s="1038" t="str">
        <f t="shared" si="3"/>
        <v xml:space="preserve"> +++Ölfrüchte+++</v>
      </c>
      <c r="B29" s="1038">
        <f t="shared" si="0"/>
        <v>25</v>
      </c>
      <c r="C29" t="s">
        <v>808</v>
      </c>
      <c r="D29" t="s">
        <v>487</v>
      </c>
      <c r="E29" t="s">
        <v>487</v>
      </c>
      <c r="F29" t="s">
        <v>481</v>
      </c>
      <c r="G29"/>
      <c r="H29"/>
      <c r="I29"/>
      <c r="J29"/>
      <c r="K29"/>
      <c r="L29"/>
      <c r="M29"/>
      <c r="N29"/>
      <c r="O29"/>
      <c r="P29"/>
      <c r="W29" s="325">
        <f t="shared" si="7"/>
        <v>0</v>
      </c>
      <c r="X29" s="325">
        <f t="shared" si="8"/>
        <v>0</v>
      </c>
      <c r="Y29" s="325">
        <f t="shared" si="9"/>
        <v>0</v>
      </c>
      <c r="Z29" s="325">
        <f t="shared" si="10"/>
        <v>0</v>
      </c>
      <c r="AB29" s="76">
        <f t="shared" si="4"/>
        <v>2</v>
      </c>
      <c r="AC29" s="307">
        <f t="shared" si="11"/>
        <v>0</v>
      </c>
      <c r="AD29" s="307">
        <f t="shared" si="12"/>
        <v>0</v>
      </c>
      <c r="AE29" s="1039">
        <f t="shared" si="13"/>
        <v>0</v>
      </c>
      <c r="AF29" s="1129">
        <f t="shared" si="14"/>
        <v>0</v>
      </c>
      <c r="AH29" s="1055"/>
      <c r="AI29" s="726"/>
    </row>
    <row r="30" spans="1:35" x14ac:dyDescent="0.2">
      <c r="A30" s="1038" t="str">
        <f t="shared" si="3"/>
        <v>Winterraps</v>
      </c>
      <c r="B30" s="1038">
        <f t="shared" si="0"/>
        <v>26</v>
      </c>
      <c r="C30" t="s">
        <v>809</v>
      </c>
      <c r="D30" t="s">
        <v>8438</v>
      </c>
      <c r="E30" t="s">
        <v>480</v>
      </c>
      <c r="F30" t="s">
        <v>481</v>
      </c>
      <c r="G30">
        <v>1</v>
      </c>
      <c r="H30">
        <v>2</v>
      </c>
      <c r="I30">
        <v>91</v>
      </c>
      <c r="J30">
        <v>3.35</v>
      </c>
      <c r="K30">
        <v>1.8</v>
      </c>
      <c r="L30">
        <v>1</v>
      </c>
      <c r="M30">
        <v>0.5</v>
      </c>
      <c r="N30">
        <v>0.96</v>
      </c>
      <c r="O30">
        <v>96</v>
      </c>
      <c r="P30">
        <v>767</v>
      </c>
      <c r="Q30">
        <v>66</v>
      </c>
      <c r="R30">
        <v>100</v>
      </c>
      <c r="S30">
        <v>55</v>
      </c>
      <c r="V30" s="308">
        <v>7</v>
      </c>
      <c r="W30" s="325">
        <f t="shared" si="7"/>
        <v>33.5</v>
      </c>
      <c r="X30" s="325">
        <f t="shared" si="8"/>
        <v>18</v>
      </c>
      <c r="Y30" s="325">
        <f t="shared" si="9"/>
        <v>10</v>
      </c>
      <c r="Z30" s="325">
        <f t="shared" si="10"/>
        <v>5</v>
      </c>
      <c r="AB30" s="76">
        <f t="shared" si="4"/>
        <v>1</v>
      </c>
      <c r="AC30" s="307">
        <f t="shared" si="11"/>
        <v>7</v>
      </c>
      <c r="AD30" s="307">
        <f t="shared" si="12"/>
        <v>0</v>
      </c>
      <c r="AE30" s="1039">
        <f t="shared" si="13"/>
        <v>0.66</v>
      </c>
      <c r="AF30" s="1129">
        <f t="shared" si="14"/>
        <v>0.55000000000000004</v>
      </c>
      <c r="AH30" s="1055"/>
      <c r="AI30" s="726"/>
    </row>
    <row r="31" spans="1:35" x14ac:dyDescent="0.2">
      <c r="A31" s="1038" t="str">
        <f t="shared" si="3"/>
        <v>Sonnenblumen</v>
      </c>
      <c r="B31" s="1038">
        <f t="shared" si="0"/>
        <v>27</v>
      </c>
      <c r="C31" t="s">
        <v>8439</v>
      </c>
      <c r="D31" t="s">
        <v>8440</v>
      </c>
      <c r="E31" t="s">
        <v>480</v>
      </c>
      <c r="F31" t="s">
        <v>481</v>
      </c>
      <c r="G31">
        <v>1</v>
      </c>
      <c r="H31">
        <v>2</v>
      </c>
      <c r="I31">
        <v>91</v>
      </c>
      <c r="J31">
        <v>2.91</v>
      </c>
      <c r="K31">
        <v>1.6</v>
      </c>
      <c r="L31">
        <v>2.4</v>
      </c>
      <c r="M31">
        <v>0.6</v>
      </c>
      <c r="N31">
        <v>0.97</v>
      </c>
      <c r="O31">
        <v>97</v>
      </c>
      <c r="P31">
        <v>699</v>
      </c>
      <c r="Q31">
        <v>64</v>
      </c>
      <c r="R31">
        <v>100</v>
      </c>
      <c r="S31">
        <v>55</v>
      </c>
      <c r="V31" s="308">
        <v>9</v>
      </c>
      <c r="W31" s="325">
        <f t="shared" si="7"/>
        <v>29.1</v>
      </c>
      <c r="X31" s="325">
        <f t="shared" si="8"/>
        <v>16</v>
      </c>
      <c r="Y31" s="325">
        <f t="shared" si="9"/>
        <v>24</v>
      </c>
      <c r="Z31" s="325">
        <f t="shared" si="10"/>
        <v>6</v>
      </c>
      <c r="AB31" s="76">
        <f t="shared" si="4"/>
        <v>1</v>
      </c>
      <c r="AC31" s="307">
        <f t="shared" si="11"/>
        <v>9</v>
      </c>
      <c r="AD31" s="307">
        <f t="shared" si="12"/>
        <v>0</v>
      </c>
      <c r="AE31" s="1039">
        <f t="shared" si="13"/>
        <v>0.64</v>
      </c>
      <c r="AF31" s="1129">
        <f t="shared" si="14"/>
        <v>0.55000000000000004</v>
      </c>
      <c r="AH31" s="1055"/>
      <c r="AI31" s="726"/>
    </row>
    <row r="32" spans="1:35" x14ac:dyDescent="0.2">
      <c r="A32" s="1038" t="str">
        <f t="shared" si="3"/>
        <v>Öllein, Faserflachs</v>
      </c>
      <c r="B32" s="1038">
        <f t="shared" si="0"/>
        <v>28</v>
      </c>
      <c r="C32" t="s">
        <v>8441</v>
      </c>
      <c r="D32" t="s">
        <v>8281</v>
      </c>
      <c r="E32" t="s">
        <v>480</v>
      </c>
      <c r="F32" t="s">
        <v>481</v>
      </c>
      <c r="G32">
        <v>1</v>
      </c>
      <c r="H32">
        <v>2</v>
      </c>
      <c r="I32">
        <v>91</v>
      </c>
      <c r="J32">
        <v>3.5</v>
      </c>
      <c r="K32">
        <v>1.2</v>
      </c>
      <c r="L32">
        <v>1</v>
      </c>
      <c r="M32">
        <v>0.8</v>
      </c>
      <c r="N32">
        <v>0.95</v>
      </c>
      <c r="O32">
        <v>95</v>
      </c>
      <c r="P32">
        <v>785</v>
      </c>
      <c r="Q32">
        <v>64</v>
      </c>
      <c r="R32">
        <v>100</v>
      </c>
      <c r="S32">
        <v>55</v>
      </c>
      <c r="V32" s="308">
        <v>10</v>
      </c>
      <c r="W32" s="325">
        <f t="shared" si="7"/>
        <v>35</v>
      </c>
      <c r="X32" s="325">
        <f t="shared" si="8"/>
        <v>12</v>
      </c>
      <c r="Y32" s="325">
        <f t="shared" si="9"/>
        <v>10</v>
      </c>
      <c r="Z32" s="325">
        <f t="shared" si="10"/>
        <v>8</v>
      </c>
      <c r="AB32" s="76">
        <f t="shared" si="4"/>
        <v>1</v>
      </c>
      <c r="AC32" s="307">
        <f t="shared" si="11"/>
        <v>10</v>
      </c>
      <c r="AD32" s="307">
        <f t="shared" si="12"/>
        <v>0</v>
      </c>
      <c r="AE32" s="1039">
        <f t="shared" si="13"/>
        <v>0.64</v>
      </c>
      <c r="AF32" s="1129">
        <f t="shared" si="14"/>
        <v>0.55000000000000004</v>
      </c>
      <c r="AH32" s="1055"/>
      <c r="AI32" s="726"/>
    </row>
    <row r="33" spans="1:35" x14ac:dyDescent="0.2">
      <c r="A33" s="1042" t="str">
        <f t="shared" si="3"/>
        <v xml:space="preserve"> +++Hackfrüchte+++</v>
      </c>
      <c r="B33" s="1042">
        <f t="shared" si="0"/>
        <v>29</v>
      </c>
      <c r="C33" t="s">
        <v>503</v>
      </c>
      <c r="D33" t="s">
        <v>487</v>
      </c>
      <c r="E33" t="s">
        <v>480</v>
      </c>
      <c r="F33" t="s">
        <v>481</v>
      </c>
      <c r="G33"/>
      <c r="H33">
        <v>0</v>
      </c>
      <c r="I33"/>
      <c r="J33"/>
      <c r="K33"/>
      <c r="L33"/>
      <c r="M33"/>
      <c r="N33"/>
      <c r="O33"/>
      <c r="P33"/>
      <c r="W33" s="325">
        <f t="shared" si="7"/>
        <v>0</v>
      </c>
      <c r="X33" s="325">
        <f t="shared" si="8"/>
        <v>0</v>
      </c>
      <c r="Y33" s="325">
        <f t="shared" si="9"/>
        <v>0</v>
      </c>
      <c r="Z33" s="325">
        <f t="shared" si="10"/>
        <v>0</v>
      </c>
      <c r="AB33" s="76">
        <f t="shared" si="4"/>
        <v>2</v>
      </c>
      <c r="AC33" s="307">
        <f t="shared" si="11"/>
        <v>0</v>
      </c>
      <c r="AD33" s="307">
        <f t="shared" si="12"/>
        <v>0</v>
      </c>
      <c r="AE33" s="1039">
        <f t="shared" si="13"/>
        <v>0</v>
      </c>
      <c r="AF33" s="1129">
        <f t="shared" si="14"/>
        <v>0</v>
      </c>
      <c r="AH33" s="1055"/>
      <c r="AI33" s="726"/>
    </row>
    <row r="34" spans="1:35" x14ac:dyDescent="0.2">
      <c r="A34" s="1038" t="str">
        <f t="shared" si="3"/>
        <v>Kartoffel (Speise, Stärke)</v>
      </c>
      <c r="B34" s="1038">
        <f t="shared" si="0"/>
        <v>30</v>
      </c>
      <c r="C34" s="76" t="s">
        <v>813</v>
      </c>
      <c r="D34" t="s">
        <v>504</v>
      </c>
      <c r="E34" t="s">
        <v>480</v>
      </c>
      <c r="F34" t="s">
        <v>481</v>
      </c>
      <c r="G34">
        <v>1</v>
      </c>
      <c r="H34">
        <v>2</v>
      </c>
      <c r="I34">
        <v>22</v>
      </c>
      <c r="J34">
        <v>0.35</v>
      </c>
      <c r="K34">
        <v>0.14000000000000001</v>
      </c>
      <c r="L34">
        <v>0.6</v>
      </c>
      <c r="M34">
        <v>0.04</v>
      </c>
      <c r="N34">
        <v>0.94</v>
      </c>
      <c r="O34">
        <v>94</v>
      </c>
      <c r="P34">
        <v>728</v>
      </c>
      <c r="Q34">
        <v>52</v>
      </c>
      <c r="R34">
        <v>100</v>
      </c>
      <c r="S34">
        <v>55</v>
      </c>
      <c r="V34" s="308">
        <v>9</v>
      </c>
      <c r="W34" s="325">
        <f t="shared" si="7"/>
        <v>3.5</v>
      </c>
      <c r="X34" s="325">
        <f t="shared" si="8"/>
        <v>1.4000000000000001</v>
      </c>
      <c r="Y34" s="325">
        <f t="shared" si="9"/>
        <v>6</v>
      </c>
      <c r="Z34" s="325">
        <f t="shared" si="10"/>
        <v>0.4</v>
      </c>
      <c r="AB34" s="76">
        <f t="shared" si="4"/>
        <v>1</v>
      </c>
      <c r="AC34" s="307">
        <f t="shared" si="11"/>
        <v>9</v>
      </c>
      <c r="AD34" s="307">
        <f t="shared" si="12"/>
        <v>0</v>
      </c>
      <c r="AE34" s="1039">
        <f t="shared" si="13"/>
        <v>0.52</v>
      </c>
      <c r="AF34" s="1129">
        <f t="shared" si="14"/>
        <v>0.55000000000000004</v>
      </c>
      <c r="AH34" s="1055"/>
      <c r="AI34" s="726"/>
    </row>
    <row r="35" spans="1:35" x14ac:dyDescent="0.2">
      <c r="A35" s="1042" t="str">
        <f t="shared" ref="A35" si="15">C35</f>
        <v>Kartoffel (Veredelung)</v>
      </c>
      <c r="B35" s="1042">
        <f t="shared" si="0"/>
        <v>31</v>
      </c>
      <c r="C35" s="76" t="s">
        <v>814</v>
      </c>
      <c r="D35" t="s">
        <v>8668</v>
      </c>
      <c r="E35" t="s">
        <v>480</v>
      </c>
      <c r="F35" t="s">
        <v>481</v>
      </c>
      <c r="G35">
        <v>1</v>
      </c>
      <c r="H35">
        <v>2</v>
      </c>
      <c r="I35">
        <v>22</v>
      </c>
      <c r="J35">
        <v>0.35</v>
      </c>
      <c r="K35">
        <v>0.14000000000000001</v>
      </c>
      <c r="L35">
        <v>0.6</v>
      </c>
      <c r="M35">
        <v>0.04</v>
      </c>
      <c r="N35">
        <v>0.94</v>
      </c>
      <c r="O35">
        <v>94</v>
      </c>
      <c r="P35">
        <v>728</v>
      </c>
      <c r="Q35">
        <v>52</v>
      </c>
      <c r="R35">
        <v>100</v>
      </c>
      <c r="S35">
        <v>55</v>
      </c>
      <c r="V35" s="308">
        <v>9</v>
      </c>
      <c r="W35" s="325">
        <f t="shared" ref="W35" si="16">J35*10</f>
        <v>3.5</v>
      </c>
      <c r="X35" s="325">
        <f t="shared" ref="X35" si="17">K35*10</f>
        <v>1.4000000000000001</v>
      </c>
      <c r="Y35" s="325">
        <f t="shared" ref="Y35" si="18">L35*10</f>
        <v>6</v>
      </c>
      <c r="Z35" s="325">
        <f t="shared" ref="Z35" si="19">M35*10</f>
        <v>0.4</v>
      </c>
      <c r="AB35" s="76">
        <f t="shared" si="4"/>
        <v>1</v>
      </c>
      <c r="AC35" s="307">
        <f t="shared" si="11"/>
        <v>9</v>
      </c>
      <c r="AD35" s="307">
        <f t="shared" ref="AD35" si="20">U35</f>
        <v>0</v>
      </c>
      <c r="AE35" s="1039">
        <f>Q35/100</f>
        <v>0.52</v>
      </c>
      <c r="AF35" s="1129">
        <f t="shared" ref="AF35" si="21">S35/100</f>
        <v>0.55000000000000004</v>
      </c>
      <c r="AH35" s="1055"/>
      <c r="AI35" s="726"/>
    </row>
    <row r="36" spans="1:35" x14ac:dyDescent="0.2">
      <c r="A36" s="1038" t="str">
        <f t="shared" si="3"/>
        <v>Zuckerrüben</v>
      </c>
      <c r="B36" s="1038">
        <f t="shared" si="0"/>
        <v>32</v>
      </c>
      <c r="C36" t="s">
        <v>506</v>
      </c>
      <c r="D36" t="s">
        <v>507</v>
      </c>
      <c r="E36" t="s">
        <v>480</v>
      </c>
      <c r="F36" t="s">
        <v>481</v>
      </c>
      <c r="G36">
        <v>1</v>
      </c>
      <c r="H36">
        <v>2</v>
      </c>
      <c r="I36">
        <v>23</v>
      </c>
      <c r="J36">
        <v>0.18</v>
      </c>
      <c r="K36">
        <v>0.1</v>
      </c>
      <c r="L36">
        <v>0.25</v>
      </c>
      <c r="M36">
        <v>0.08</v>
      </c>
      <c r="N36">
        <v>0.92</v>
      </c>
      <c r="O36">
        <v>92</v>
      </c>
      <c r="P36">
        <v>679</v>
      </c>
      <c r="Q36">
        <v>51</v>
      </c>
      <c r="R36">
        <v>40</v>
      </c>
      <c r="S36">
        <v>55</v>
      </c>
      <c r="V36" s="308">
        <v>10</v>
      </c>
      <c r="W36" s="325">
        <f t="shared" si="7"/>
        <v>1.7999999999999998</v>
      </c>
      <c r="X36" s="325">
        <f t="shared" si="8"/>
        <v>1</v>
      </c>
      <c r="Y36" s="325">
        <f t="shared" si="9"/>
        <v>2.5</v>
      </c>
      <c r="Z36" s="325">
        <f t="shared" si="10"/>
        <v>0.8</v>
      </c>
      <c r="AB36" s="76">
        <f t="shared" si="4"/>
        <v>1</v>
      </c>
      <c r="AC36" s="307">
        <f t="shared" si="11"/>
        <v>10</v>
      </c>
      <c r="AD36" s="307">
        <f t="shared" si="12"/>
        <v>0</v>
      </c>
      <c r="AE36" s="1039">
        <f t="shared" si="13"/>
        <v>0.51</v>
      </c>
      <c r="AF36" s="1129">
        <f t="shared" si="14"/>
        <v>0.55000000000000004</v>
      </c>
      <c r="AH36" s="1055"/>
      <c r="AI36" s="726"/>
    </row>
    <row r="37" spans="1:35" x14ac:dyDescent="0.2">
      <c r="A37" s="1038" t="str">
        <f t="shared" si="3"/>
        <v>Futter-, Runkelrüben</v>
      </c>
      <c r="B37" s="1038">
        <f t="shared" ref="B37:B68" si="22">IFERROR(MATCH(A37,$C$5:$C$114,0),1)</f>
        <v>33</v>
      </c>
      <c r="C37" t="s">
        <v>509</v>
      </c>
      <c r="D37" t="s">
        <v>510</v>
      </c>
      <c r="E37" t="s">
        <v>480</v>
      </c>
      <c r="F37" t="s">
        <v>481</v>
      </c>
      <c r="G37">
        <v>1</v>
      </c>
      <c r="H37">
        <v>2</v>
      </c>
      <c r="I37">
        <v>15</v>
      </c>
      <c r="J37">
        <v>0.18</v>
      </c>
      <c r="K37">
        <v>0.09</v>
      </c>
      <c r="L37">
        <v>0.5</v>
      </c>
      <c r="M37">
        <v>0.05</v>
      </c>
      <c r="N37">
        <v>0.91</v>
      </c>
      <c r="O37">
        <v>91</v>
      </c>
      <c r="P37">
        <v>685</v>
      </c>
      <c r="Q37">
        <v>51</v>
      </c>
      <c r="R37">
        <v>40</v>
      </c>
      <c r="S37">
        <v>55</v>
      </c>
      <c r="V37" s="308">
        <v>10</v>
      </c>
      <c r="W37" s="325">
        <f t="shared" si="7"/>
        <v>1.7999999999999998</v>
      </c>
      <c r="X37" s="325">
        <f t="shared" si="8"/>
        <v>0.89999999999999991</v>
      </c>
      <c r="Y37" s="325">
        <f t="shared" si="9"/>
        <v>5</v>
      </c>
      <c r="Z37" s="325">
        <f t="shared" si="10"/>
        <v>0.5</v>
      </c>
      <c r="AB37" s="76">
        <f t="shared" si="4"/>
        <v>1</v>
      </c>
      <c r="AC37" s="307">
        <f t="shared" si="11"/>
        <v>10</v>
      </c>
      <c r="AD37" s="307">
        <f t="shared" si="12"/>
        <v>0</v>
      </c>
      <c r="AE37" s="1039">
        <f t="shared" si="13"/>
        <v>0.51</v>
      </c>
      <c r="AF37" s="1129">
        <f t="shared" si="14"/>
        <v>0.55000000000000004</v>
      </c>
      <c r="AH37" s="1055"/>
      <c r="AI37" s="726"/>
    </row>
    <row r="38" spans="1:35" x14ac:dyDescent="0.2">
      <c r="A38" s="1042" t="str">
        <f t="shared" si="3"/>
        <v xml:space="preserve"> +++Mehrschnittiger Feldfutterbau +++</v>
      </c>
      <c r="B38" s="1042">
        <f t="shared" si="22"/>
        <v>34</v>
      </c>
      <c r="C38" t="s">
        <v>511</v>
      </c>
      <c r="D38" t="s">
        <v>487</v>
      </c>
      <c r="E38" t="s">
        <v>480</v>
      </c>
      <c r="F38" t="s">
        <v>481</v>
      </c>
      <c r="G38"/>
      <c r="H38">
        <v>0</v>
      </c>
      <c r="I38"/>
      <c r="J38"/>
      <c r="K38"/>
      <c r="L38"/>
      <c r="M38"/>
      <c r="N38"/>
      <c r="O38"/>
      <c r="P38"/>
      <c r="W38" s="325">
        <f t="shared" si="7"/>
        <v>0</v>
      </c>
      <c r="X38" s="325">
        <f t="shared" si="8"/>
        <v>0</v>
      </c>
      <c r="Y38" s="325">
        <f t="shared" si="9"/>
        <v>0</v>
      </c>
      <c r="Z38" s="325">
        <f t="shared" si="10"/>
        <v>0</v>
      </c>
      <c r="AB38" s="76">
        <f t="shared" si="4"/>
        <v>2</v>
      </c>
      <c r="AC38" s="307">
        <f t="shared" si="11"/>
        <v>0</v>
      </c>
      <c r="AD38" s="307">
        <f t="shared" si="12"/>
        <v>0</v>
      </c>
      <c r="AE38" s="1039">
        <f t="shared" si="13"/>
        <v>0</v>
      </c>
      <c r="AF38" s="1129">
        <f t="shared" si="14"/>
        <v>0</v>
      </c>
      <c r="AH38" s="1055"/>
      <c r="AI38" s="726"/>
    </row>
    <row r="39" spans="1:35" x14ac:dyDescent="0.2">
      <c r="A39" s="1043" t="str">
        <f t="shared" si="3"/>
        <v>Ackergras</v>
      </c>
      <c r="B39" s="1043">
        <f t="shared" si="22"/>
        <v>35</v>
      </c>
      <c r="C39" t="s">
        <v>8442</v>
      </c>
      <c r="D39" t="s">
        <v>512</v>
      </c>
      <c r="E39" t="s">
        <v>480</v>
      </c>
      <c r="F39" t="s">
        <v>481</v>
      </c>
      <c r="G39">
        <v>3</v>
      </c>
      <c r="H39">
        <v>1</v>
      </c>
      <c r="I39">
        <v>20</v>
      </c>
      <c r="J39">
        <v>0.53</v>
      </c>
      <c r="K39">
        <v>0.16</v>
      </c>
      <c r="L39">
        <v>0.72</v>
      </c>
      <c r="M39">
        <v>0.08</v>
      </c>
      <c r="N39">
        <v>0.87</v>
      </c>
      <c r="O39">
        <v>87</v>
      </c>
      <c r="P39">
        <v>596</v>
      </c>
      <c r="Q39">
        <v>55.000000000000007</v>
      </c>
      <c r="R39">
        <v>100</v>
      </c>
      <c r="S39">
        <v>55</v>
      </c>
      <c r="T39" s="308">
        <v>4</v>
      </c>
      <c r="U39" s="308">
        <v>10</v>
      </c>
      <c r="W39" s="325">
        <f t="shared" si="7"/>
        <v>5.3000000000000007</v>
      </c>
      <c r="X39" s="325">
        <f t="shared" si="8"/>
        <v>1.6</v>
      </c>
      <c r="Y39" s="325">
        <f t="shared" si="9"/>
        <v>7.1999999999999993</v>
      </c>
      <c r="Z39" s="325">
        <f t="shared" si="10"/>
        <v>0.8</v>
      </c>
      <c r="AB39" s="76">
        <f t="shared" si="4"/>
        <v>1</v>
      </c>
      <c r="AC39" s="307">
        <f t="shared" si="11"/>
        <v>4</v>
      </c>
      <c r="AD39" s="307">
        <f t="shared" si="12"/>
        <v>10</v>
      </c>
      <c r="AE39" s="1039">
        <f t="shared" si="13"/>
        <v>0.55000000000000004</v>
      </c>
      <c r="AF39" s="1129">
        <f t="shared" si="14"/>
        <v>0.55000000000000004</v>
      </c>
      <c r="AH39" s="1055"/>
      <c r="AI39" s="726"/>
    </row>
    <row r="40" spans="1:35" x14ac:dyDescent="0.2">
      <c r="A40" s="1043" t="str">
        <f t="shared" si="3"/>
        <v>Kleegras (Kleeanteil 30 %)</v>
      </c>
      <c r="B40" s="1043">
        <f t="shared" si="22"/>
        <v>36</v>
      </c>
      <c r="C40" t="s">
        <v>513</v>
      </c>
      <c r="D40" t="s">
        <v>514</v>
      </c>
      <c r="E40" t="s">
        <v>480</v>
      </c>
      <c r="F40" t="s">
        <v>481</v>
      </c>
      <c r="G40">
        <v>3</v>
      </c>
      <c r="H40">
        <v>1</v>
      </c>
      <c r="I40">
        <v>20</v>
      </c>
      <c r="J40">
        <v>0.56000000000000005</v>
      </c>
      <c r="K40">
        <v>0.15</v>
      </c>
      <c r="L40">
        <v>0.67</v>
      </c>
      <c r="M40">
        <v>0.08</v>
      </c>
      <c r="N40">
        <v>0.87</v>
      </c>
      <c r="O40">
        <v>87</v>
      </c>
      <c r="P40">
        <v>574</v>
      </c>
      <c r="Q40">
        <v>55.000000000000007</v>
      </c>
      <c r="R40">
        <v>100</v>
      </c>
      <c r="S40">
        <v>55</v>
      </c>
      <c r="T40" s="308">
        <v>4</v>
      </c>
      <c r="U40" s="308">
        <v>10</v>
      </c>
      <c r="W40" s="325">
        <f t="shared" si="7"/>
        <v>5.6000000000000005</v>
      </c>
      <c r="X40" s="325">
        <f t="shared" si="8"/>
        <v>1.5</v>
      </c>
      <c r="Y40" s="325">
        <f t="shared" si="9"/>
        <v>6.7</v>
      </c>
      <c r="Z40" s="325">
        <f t="shared" si="10"/>
        <v>0.8</v>
      </c>
      <c r="AB40" s="76">
        <f t="shared" si="4"/>
        <v>1</v>
      </c>
      <c r="AC40" s="307">
        <f t="shared" si="11"/>
        <v>4</v>
      </c>
      <c r="AD40" s="307">
        <f t="shared" si="12"/>
        <v>10</v>
      </c>
      <c r="AE40" s="1039">
        <f t="shared" si="13"/>
        <v>0.55000000000000004</v>
      </c>
      <c r="AF40" s="1129">
        <f t="shared" si="14"/>
        <v>0.55000000000000004</v>
      </c>
      <c r="AH40" s="1055"/>
      <c r="AI40" s="726"/>
    </row>
    <row r="41" spans="1:35" x14ac:dyDescent="0.2">
      <c r="A41" s="1043" t="str">
        <f t="shared" si="3"/>
        <v>Kleegras (Kleeanteil 50 %)</v>
      </c>
      <c r="B41" s="1043">
        <f t="shared" si="22"/>
        <v>37</v>
      </c>
      <c r="C41" t="s">
        <v>515</v>
      </c>
      <c r="D41" t="s">
        <v>516</v>
      </c>
      <c r="E41" t="s">
        <v>480</v>
      </c>
      <c r="F41" t="s">
        <v>481</v>
      </c>
      <c r="G41">
        <v>3</v>
      </c>
      <c r="H41">
        <v>1</v>
      </c>
      <c r="I41">
        <v>20</v>
      </c>
      <c r="J41">
        <v>0.57999999999999996</v>
      </c>
      <c r="K41">
        <v>0.14000000000000001</v>
      </c>
      <c r="L41">
        <v>0.65</v>
      </c>
      <c r="M41">
        <v>0.09</v>
      </c>
      <c r="N41">
        <v>0.87</v>
      </c>
      <c r="O41">
        <v>87</v>
      </c>
      <c r="P41">
        <v>574</v>
      </c>
      <c r="Q41">
        <v>55.000000000000007</v>
      </c>
      <c r="R41">
        <v>100</v>
      </c>
      <c r="S41">
        <v>55</v>
      </c>
      <c r="T41" s="308">
        <v>4</v>
      </c>
      <c r="U41" s="308">
        <v>10</v>
      </c>
      <c r="W41" s="325">
        <f t="shared" si="7"/>
        <v>5.8</v>
      </c>
      <c r="X41" s="325">
        <f t="shared" si="8"/>
        <v>1.4000000000000001</v>
      </c>
      <c r="Y41" s="325">
        <f t="shared" si="9"/>
        <v>6.5</v>
      </c>
      <c r="Z41" s="325">
        <f t="shared" si="10"/>
        <v>0.89999999999999991</v>
      </c>
      <c r="AB41" s="76">
        <f t="shared" si="4"/>
        <v>1</v>
      </c>
      <c r="AC41" s="307">
        <f t="shared" si="11"/>
        <v>4</v>
      </c>
      <c r="AD41" s="307">
        <f t="shared" si="12"/>
        <v>10</v>
      </c>
      <c r="AE41" s="1039">
        <f t="shared" si="13"/>
        <v>0.55000000000000004</v>
      </c>
      <c r="AF41" s="1129">
        <f t="shared" si="14"/>
        <v>0.55000000000000004</v>
      </c>
      <c r="AH41" s="1055"/>
      <c r="AI41" s="726"/>
    </row>
    <row r="42" spans="1:35" x14ac:dyDescent="0.2">
      <c r="A42" s="1043" t="str">
        <f t="shared" si="3"/>
        <v>Kleegras (Kleeanteil 70 %)</v>
      </c>
      <c r="B42" s="1043">
        <f t="shared" si="22"/>
        <v>38</v>
      </c>
      <c r="C42" t="s">
        <v>517</v>
      </c>
      <c r="D42" t="s">
        <v>518</v>
      </c>
      <c r="E42" t="s">
        <v>480</v>
      </c>
      <c r="F42" t="s">
        <v>481</v>
      </c>
      <c r="G42">
        <v>3</v>
      </c>
      <c r="H42">
        <v>1</v>
      </c>
      <c r="I42">
        <v>20</v>
      </c>
      <c r="J42">
        <v>0.61</v>
      </c>
      <c r="K42">
        <v>0.14000000000000001</v>
      </c>
      <c r="L42">
        <v>0.65</v>
      </c>
      <c r="M42">
        <v>0.09</v>
      </c>
      <c r="N42">
        <v>0.87</v>
      </c>
      <c r="O42">
        <v>87</v>
      </c>
      <c r="P42">
        <v>574</v>
      </c>
      <c r="Q42">
        <v>55.000000000000007</v>
      </c>
      <c r="R42">
        <v>100</v>
      </c>
      <c r="S42">
        <v>55</v>
      </c>
      <c r="T42" s="308">
        <v>4</v>
      </c>
      <c r="U42" s="308">
        <v>10</v>
      </c>
      <c r="W42" s="325">
        <f t="shared" si="7"/>
        <v>6.1</v>
      </c>
      <c r="X42" s="325">
        <f t="shared" si="8"/>
        <v>1.4000000000000001</v>
      </c>
      <c r="Y42" s="325">
        <f t="shared" si="9"/>
        <v>6.5</v>
      </c>
      <c r="Z42" s="325">
        <f t="shared" si="10"/>
        <v>0.89999999999999991</v>
      </c>
      <c r="AB42" s="76">
        <f t="shared" si="4"/>
        <v>1</v>
      </c>
      <c r="AC42" s="307">
        <f t="shared" si="11"/>
        <v>4</v>
      </c>
      <c r="AD42" s="307">
        <f t="shared" si="12"/>
        <v>10</v>
      </c>
      <c r="AE42" s="1039">
        <f t="shared" si="13"/>
        <v>0.55000000000000004</v>
      </c>
      <c r="AF42" s="1129">
        <f t="shared" si="14"/>
        <v>0.55000000000000004</v>
      </c>
      <c r="AH42" s="1055"/>
      <c r="AI42" s="726"/>
    </row>
    <row r="43" spans="1:35" x14ac:dyDescent="0.2">
      <c r="A43" s="1043" t="str">
        <f t="shared" si="3"/>
        <v>Luzernegras (Luz.anteil 30 %)</v>
      </c>
      <c r="B43" s="1043">
        <f t="shared" si="22"/>
        <v>39</v>
      </c>
      <c r="C43" t="s">
        <v>519</v>
      </c>
      <c r="D43" t="s">
        <v>520</v>
      </c>
      <c r="E43" t="s">
        <v>480</v>
      </c>
      <c r="F43" t="s">
        <v>481</v>
      </c>
      <c r="G43">
        <v>3</v>
      </c>
      <c r="H43">
        <v>1</v>
      </c>
      <c r="I43">
        <v>20</v>
      </c>
      <c r="J43">
        <v>0.56000000000000005</v>
      </c>
      <c r="K43">
        <v>0.15</v>
      </c>
      <c r="L43">
        <v>0.65</v>
      </c>
      <c r="M43">
        <v>0.08</v>
      </c>
      <c r="N43">
        <v>0.89</v>
      </c>
      <c r="O43">
        <v>89</v>
      </c>
      <c r="P43">
        <v>493</v>
      </c>
      <c r="Q43">
        <v>55.000000000000007</v>
      </c>
      <c r="R43">
        <v>100</v>
      </c>
      <c r="S43">
        <v>55</v>
      </c>
      <c r="T43" s="308">
        <v>4</v>
      </c>
      <c r="U43" s="308">
        <v>10</v>
      </c>
      <c r="W43" s="325">
        <f t="shared" si="7"/>
        <v>5.6000000000000005</v>
      </c>
      <c r="X43" s="325">
        <f t="shared" si="8"/>
        <v>1.5</v>
      </c>
      <c r="Y43" s="325">
        <f t="shared" si="9"/>
        <v>6.5</v>
      </c>
      <c r="Z43" s="325">
        <f t="shared" si="10"/>
        <v>0.8</v>
      </c>
      <c r="AB43" s="76">
        <f t="shared" si="4"/>
        <v>1</v>
      </c>
      <c r="AC43" s="307">
        <f t="shared" si="11"/>
        <v>4</v>
      </c>
      <c r="AD43" s="307">
        <f t="shared" si="12"/>
        <v>10</v>
      </c>
      <c r="AE43" s="1039">
        <f t="shared" si="13"/>
        <v>0.55000000000000004</v>
      </c>
      <c r="AF43" s="1129">
        <f t="shared" si="14"/>
        <v>0.55000000000000004</v>
      </c>
      <c r="AH43" s="1055"/>
      <c r="AI43" s="726"/>
    </row>
    <row r="44" spans="1:35" x14ac:dyDescent="0.2">
      <c r="A44" s="1043" t="str">
        <f t="shared" si="3"/>
        <v>Luzernegras (Luz.anteil 50 %)</v>
      </c>
      <c r="B44" s="1043">
        <f t="shared" si="22"/>
        <v>40</v>
      </c>
      <c r="C44" t="s">
        <v>521</v>
      </c>
      <c r="D44" t="s">
        <v>522</v>
      </c>
      <c r="E44" t="s">
        <v>480</v>
      </c>
      <c r="F44" t="s">
        <v>481</v>
      </c>
      <c r="G44">
        <v>3</v>
      </c>
      <c r="H44">
        <v>1</v>
      </c>
      <c r="I44">
        <v>20</v>
      </c>
      <c r="J44">
        <v>0.57999999999999996</v>
      </c>
      <c r="K44">
        <v>0.15</v>
      </c>
      <c r="L44">
        <v>0.65</v>
      </c>
      <c r="M44">
        <v>0.09</v>
      </c>
      <c r="N44">
        <v>0.89</v>
      </c>
      <c r="O44">
        <v>89</v>
      </c>
      <c r="P44">
        <v>493</v>
      </c>
      <c r="Q44">
        <v>55.000000000000007</v>
      </c>
      <c r="R44">
        <v>100</v>
      </c>
      <c r="S44">
        <v>55</v>
      </c>
      <c r="T44" s="308">
        <v>4</v>
      </c>
      <c r="U44" s="308">
        <v>10</v>
      </c>
      <c r="W44" s="325">
        <f t="shared" si="7"/>
        <v>5.8</v>
      </c>
      <c r="X44" s="325">
        <f t="shared" si="8"/>
        <v>1.5</v>
      </c>
      <c r="Y44" s="325">
        <f t="shared" si="9"/>
        <v>6.5</v>
      </c>
      <c r="Z44" s="325">
        <f t="shared" si="10"/>
        <v>0.89999999999999991</v>
      </c>
      <c r="AB44" s="76">
        <f t="shared" si="4"/>
        <v>1</v>
      </c>
      <c r="AC44" s="307">
        <f t="shared" si="11"/>
        <v>4</v>
      </c>
      <c r="AD44" s="307">
        <f t="shared" si="12"/>
        <v>10</v>
      </c>
      <c r="AE44" s="1039">
        <f t="shared" si="13"/>
        <v>0.55000000000000004</v>
      </c>
      <c r="AF44" s="1129">
        <f t="shared" si="14"/>
        <v>0.55000000000000004</v>
      </c>
      <c r="AH44" s="1055"/>
      <c r="AI44" s="726"/>
    </row>
    <row r="45" spans="1:35" x14ac:dyDescent="0.2">
      <c r="A45" s="1043" t="str">
        <f t="shared" si="3"/>
        <v>Luzernegras (Luz.anteil 70 %)</v>
      </c>
      <c r="B45" s="1043">
        <f t="shared" si="22"/>
        <v>41</v>
      </c>
      <c r="C45" t="s">
        <v>523</v>
      </c>
      <c r="D45" t="s">
        <v>524</v>
      </c>
      <c r="E45" t="s">
        <v>480</v>
      </c>
      <c r="F45" t="s">
        <v>481</v>
      </c>
      <c r="G45">
        <v>3</v>
      </c>
      <c r="H45">
        <v>1</v>
      </c>
      <c r="I45">
        <v>20</v>
      </c>
      <c r="J45">
        <v>0.61</v>
      </c>
      <c r="K45">
        <v>0.14000000000000001</v>
      </c>
      <c r="L45">
        <v>0.65</v>
      </c>
      <c r="M45">
        <v>0.09</v>
      </c>
      <c r="N45">
        <v>0.89</v>
      </c>
      <c r="O45">
        <v>89</v>
      </c>
      <c r="P45">
        <v>493</v>
      </c>
      <c r="Q45">
        <v>55.000000000000007</v>
      </c>
      <c r="R45">
        <v>100</v>
      </c>
      <c r="S45">
        <v>55</v>
      </c>
      <c r="T45" s="308">
        <v>4</v>
      </c>
      <c r="U45" s="308">
        <v>10</v>
      </c>
      <c r="W45" s="325">
        <f t="shared" si="7"/>
        <v>6.1</v>
      </c>
      <c r="X45" s="325">
        <f t="shared" si="8"/>
        <v>1.4000000000000001</v>
      </c>
      <c r="Y45" s="325">
        <f t="shared" si="9"/>
        <v>6.5</v>
      </c>
      <c r="Z45" s="325">
        <f t="shared" si="10"/>
        <v>0.89999999999999991</v>
      </c>
      <c r="AB45" s="76">
        <f t="shared" si="4"/>
        <v>1</v>
      </c>
      <c r="AC45" s="307">
        <f t="shared" si="11"/>
        <v>4</v>
      </c>
      <c r="AD45" s="307">
        <f t="shared" si="12"/>
        <v>10</v>
      </c>
      <c r="AE45" s="1039">
        <f t="shared" si="13"/>
        <v>0.55000000000000004</v>
      </c>
      <c r="AF45" s="1129">
        <f t="shared" si="14"/>
        <v>0.55000000000000004</v>
      </c>
      <c r="AH45" s="1055"/>
      <c r="AI45" s="726"/>
    </row>
    <row r="46" spans="1:35" x14ac:dyDescent="0.2">
      <c r="A46" s="1043" t="str">
        <f t="shared" si="3"/>
        <v>Klee (Reinkultur)</v>
      </c>
      <c r="B46" s="1043">
        <f t="shared" si="22"/>
        <v>42</v>
      </c>
      <c r="C46" t="s">
        <v>525</v>
      </c>
      <c r="D46" t="s">
        <v>526</v>
      </c>
      <c r="E46" t="s">
        <v>480</v>
      </c>
      <c r="F46" t="s">
        <v>481</v>
      </c>
      <c r="G46">
        <v>3</v>
      </c>
      <c r="H46">
        <v>1</v>
      </c>
      <c r="I46">
        <v>20</v>
      </c>
      <c r="J46">
        <v>0.65</v>
      </c>
      <c r="K46">
        <v>0.13</v>
      </c>
      <c r="L46">
        <v>0.65</v>
      </c>
      <c r="M46">
        <v>0.1</v>
      </c>
      <c r="N46">
        <v>0.89</v>
      </c>
      <c r="O46">
        <v>89</v>
      </c>
      <c r="P46">
        <v>517</v>
      </c>
      <c r="Q46">
        <v>55.000000000000007</v>
      </c>
      <c r="R46">
        <v>100</v>
      </c>
      <c r="S46">
        <v>55</v>
      </c>
      <c r="T46" s="308">
        <v>4</v>
      </c>
      <c r="U46" s="308">
        <v>10</v>
      </c>
      <c r="W46" s="325">
        <f t="shared" si="7"/>
        <v>6.5</v>
      </c>
      <c r="X46" s="325">
        <f t="shared" si="8"/>
        <v>1.3</v>
      </c>
      <c r="Y46" s="325">
        <f t="shared" si="9"/>
        <v>6.5</v>
      </c>
      <c r="Z46" s="325">
        <f t="shared" si="10"/>
        <v>1</v>
      </c>
      <c r="AB46" s="76">
        <f t="shared" si="4"/>
        <v>1</v>
      </c>
      <c r="AC46" s="307">
        <f t="shared" si="11"/>
        <v>4</v>
      </c>
      <c r="AD46" s="307">
        <f t="shared" si="12"/>
        <v>10</v>
      </c>
      <c r="AE46" s="1039">
        <f t="shared" si="13"/>
        <v>0.55000000000000004</v>
      </c>
      <c r="AF46" s="1129">
        <f t="shared" si="14"/>
        <v>0.55000000000000004</v>
      </c>
      <c r="AH46" s="1055"/>
      <c r="AI46" s="726"/>
    </row>
    <row r="47" spans="1:35" x14ac:dyDescent="0.2">
      <c r="A47" s="1043" t="str">
        <f t="shared" si="3"/>
        <v>Luzerne (Reinkultur)</v>
      </c>
      <c r="B47" s="1043">
        <f t="shared" si="22"/>
        <v>43</v>
      </c>
      <c r="C47" t="s">
        <v>527</v>
      </c>
      <c r="D47" t="s">
        <v>528</v>
      </c>
      <c r="E47" t="s">
        <v>480</v>
      </c>
      <c r="F47" t="s">
        <v>481</v>
      </c>
      <c r="G47">
        <v>3</v>
      </c>
      <c r="H47">
        <v>1</v>
      </c>
      <c r="I47">
        <v>20</v>
      </c>
      <c r="J47">
        <v>0.65</v>
      </c>
      <c r="K47">
        <v>0.14000000000000001</v>
      </c>
      <c r="L47">
        <v>0.65</v>
      </c>
      <c r="M47">
        <v>0.09</v>
      </c>
      <c r="N47">
        <v>0.89</v>
      </c>
      <c r="O47">
        <v>89</v>
      </c>
      <c r="P47">
        <v>459</v>
      </c>
      <c r="Q47">
        <v>55.000000000000007</v>
      </c>
      <c r="R47">
        <v>100</v>
      </c>
      <c r="S47">
        <v>55</v>
      </c>
      <c r="T47" s="308">
        <v>4</v>
      </c>
      <c r="U47" s="308">
        <v>10</v>
      </c>
      <c r="W47" s="325">
        <f t="shared" si="7"/>
        <v>6.5</v>
      </c>
      <c r="X47" s="325">
        <f t="shared" si="8"/>
        <v>1.4000000000000001</v>
      </c>
      <c r="Y47" s="325">
        <f t="shared" si="9"/>
        <v>6.5</v>
      </c>
      <c r="Z47" s="325">
        <f t="shared" si="10"/>
        <v>0.89999999999999991</v>
      </c>
      <c r="AB47" s="76">
        <f t="shared" si="4"/>
        <v>1</v>
      </c>
      <c r="AC47" s="307">
        <f t="shared" si="11"/>
        <v>4</v>
      </c>
      <c r="AD47" s="307">
        <f t="shared" si="12"/>
        <v>10</v>
      </c>
      <c r="AE47" s="1039">
        <f t="shared" si="13"/>
        <v>0.55000000000000004</v>
      </c>
      <c r="AF47" s="1129">
        <f t="shared" si="14"/>
        <v>0.55000000000000004</v>
      </c>
      <c r="AH47" s="1055"/>
      <c r="AI47" s="726"/>
    </row>
    <row r="48" spans="1:35" x14ac:dyDescent="0.2">
      <c r="A48" s="1042" t="str">
        <f t="shared" si="3"/>
        <v xml:space="preserve"> +++Futterpflanzen+++</v>
      </c>
      <c r="B48" s="1042">
        <f t="shared" si="22"/>
        <v>44</v>
      </c>
      <c r="C48" t="s">
        <v>529</v>
      </c>
      <c r="D48" t="s">
        <v>487</v>
      </c>
      <c r="E48" t="s">
        <v>480</v>
      </c>
      <c r="F48" t="s">
        <v>481</v>
      </c>
      <c r="G48"/>
      <c r="H48">
        <v>0</v>
      </c>
      <c r="I48"/>
      <c r="J48"/>
      <c r="K48"/>
      <c r="L48"/>
      <c r="M48"/>
      <c r="N48"/>
      <c r="O48"/>
      <c r="P48"/>
      <c r="W48" s="325">
        <f t="shared" si="7"/>
        <v>0</v>
      </c>
      <c r="X48" s="325">
        <f t="shared" si="8"/>
        <v>0</v>
      </c>
      <c r="Y48" s="325">
        <f t="shared" si="9"/>
        <v>0</v>
      </c>
      <c r="Z48" s="325">
        <f t="shared" si="10"/>
        <v>0</v>
      </c>
      <c r="AB48" s="76">
        <f t="shared" si="4"/>
        <v>2</v>
      </c>
      <c r="AC48" s="307">
        <f t="shared" si="11"/>
        <v>0</v>
      </c>
      <c r="AD48" s="307">
        <f t="shared" si="12"/>
        <v>0</v>
      </c>
      <c r="AE48" s="1039">
        <f t="shared" si="13"/>
        <v>0</v>
      </c>
      <c r="AF48" s="1129">
        <f t="shared" si="14"/>
        <v>0</v>
      </c>
      <c r="AH48" s="1055"/>
      <c r="AI48" s="726"/>
    </row>
    <row r="49" spans="1:35" x14ac:dyDescent="0.2">
      <c r="A49" s="1043" t="str">
        <f t="shared" si="3"/>
        <v>Silomais (32 % TM)</v>
      </c>
      <c r="B49" s="1043">
        <f t="shared" si="22"/>
        <v>45</v>
      </c>
      <c r="C49" t="s">
        <v>818</v>
      </c>
      <c r="D49" t="s">
        <v>245</v>
      </c>
      <c r="E49" t="s">
        <v>480</v>
      </c>
      <c r="F49" t="s">
        <v>481</v>
      </c>
      <c r="G49">
        <v>3</v>
      </c>
      <c r="H49">
        <v>1</v>
      </c>
      <c r="I49">
        <v>32</v>
      </c>
      <c r="J49">
        <v>0.43</v>
      </c>
      <c r="K49">
        <v>0.16</v>
      </c>
      <c r="L49">
        <v>0.51</v>
      </c>
      <c r="M49">
        <v>0.1</v>
      </c>
      <c r="N49">
        <v>0.96</v>
      </c>
      <c r="O49">
        <v>96</v>
      </c>
      <c r="P49">
        <v>589</v>
      </c>
      <c r="Q49">
        <v>52</v>
      </c>
      <c r="R49">
        <v>100</v>
      </c>
      <c r="S49">
        <v>55</v>
      </c>
      <c r="V49" s="308">
        <v>10</v>
      </c>
      <c r="W49" s="325">
        <f t="shared" si="7"/>
        <v>4.3</v>
      </c>
      <c r="X49" s="325">
        <f t="shared" si="8"/>
        <v>1.6</v>
      </c>
      <c r="Y49" s="325">
        <f t="shared" si="9"/>
        <v>5.0999999999999996</v>
      </c>
      <c r="Z49" s="325">
        <f t="shared" si="10"/>
        <v>1</v>
      </c>
      <c r="AB49" s="76">
        <f t="shared" si="4"/>
        <v>1</v>
      </c>
      <c r="AC49" s="307">
        <f t="shared" si="11"/>
        <v>10</v>
      </c>
      <c r="AD49" s="307">
        <f t="shared" si="12"/>
        <v>0</v>
      </c>
      <c r="AE49" s="1039">
        <f t="shared" si="13"/>
        <v>0.52</v>
      </c>
      <c r="AF49" s="1129">
        <f t="shared" si="14"/>
        <v>0.55000000000000004</v>
      </c>
      <c r="AH49" s="1055"/>
      <c r="AI49" s="726"/>
    </row>
    <row r="50" spans="1:35" x14ac:dyDescent="0.2">
      <c r="A50" s="1043" t="str">
        <f t="shared" si="3"/>
        <v>Corn-Cop-Mix (CCM)</v>
      </c>
      <c r="B50" s="1043">
        <f t="shared" si="22"/>
        <v>46</v>
      </c>
      <c r="C50" t="s">
        <v>530</v>
      </c>
      <c r="D50" t="s">
        <v>531</v>
      </c>
      <c r="E50" t="s">
        <v>480</v>
      </c>
      <c r="F50" t="s">
        <v>481</v>
      </c>
      <c r="G50">
        <v>3</v>
      </c>
      <c r="H50">
        <v>2</v>
      </c>
      <c r="I50">
        <v>60</v>
      </c>
      <c r="J50">
        <v>1.01</v>
      </c>
      <c r="K50">
        <v>0.41</v>
      </c>
      <c r="L50">
        <v>0.36</v>
      </c>
      <c r="M50">
        <v>0.1</v>
      </c>
      <c r="N50">
        <v>0.98</v>
      </c>
      <c r="O50">
        <v>98</v>
      </c>
      <c r="P50">
        <v>666</v>
      </c>
      <c r="Q50">
        <v>53</v>
      </c>
      <c r="R50">
        <v>100</v>
      </c>
      <c r="S50">
        <v>55</v>
      </c>
      <c r="V50" s="308">
        <v>10</v>
      </c>
      <c r="W50" s="325">
        <f t="shared" si="7"/>
        <v>10.1</v>
      </c>
      <c r="X50" s="325">
        <f t="shared" si="8"/>
        <v>4.0999999999999996</v>
      </c>
      <c r="Y50" s="325">
        <f t="shared" si="9"/>
        <v>3.5999999999999996</v>
      </c>
      <c r="Z50" s="325">
        <f t="shared" si="10"/>
        <v>1</v>
      </c>
      <c r="AB50" s="76">
        <f t="shared" si="4"/>
        <v>1</v>
      </c>
      <c r="AC50" s="307">
        <f t="shared" si="11"/>
        <v>10</v>
      </c>
      <c r="AD50" s="307">
        <f t="shared" si="12"/>
        <v>0</v>
      </c>
      <c r="AE50" s="1039">
        <f t="shared" si="13"/>
        <v>0.53</v>
      </c>
      <c r="AF50" s="1129">
        <f t="shared" si="14"/>
        <v>0.55000000000000004</v>
      </c>
      <c r="AH50" s="1055"/>
      <c r="AI50" s="726"/>
    </row>
    <row r="51" spans="1:35" x14ac:dyDescent="0.2">
      <c r="A51" s="1043" t="str">
        <f t="shared" si="3"/>
        <v>Lieschkolbensilage</v>
      </c>
      <c r="B51" s="1043">
        <f t="shared" si="22"/>
        <v>47</v>
      </c>
      <c r="C51" t="s">
        <v>819</v>
      </c>
      <c r="D51" t="s">
        <v>8282</v>
      </c>
      <c r="E51" t="s">
        <v>480</v>
      </c>
      <c r="F51" t="s">
        <v>481</v>
      </c>
      <c r="G51">
        <v>3</v>
      </c>
      <c r="H51">
        <v>2</v>
      </c>
      <c r="I51">
        <v>50</v>
      </c>
      <c r="J51">
        <v>0.76</v>
      </c>
      <c r="K51">
        <v>0.32</v>
      </c>
      <c r="L51">
        <v>0.36</v>
      </c>
      <c r="M51">
        <v>0.1</v>
      </c>
      <c r="N51">
        <v>0.97</v>
      </c>
      <c r="O51">
        <v>97</v>
      </c>
      <c r="P51">
        <v>644</v>
      </c>
      <c r="Q51">
        <v>53</v>
      </c>
      <c r="R51">
        <v>100</v>
      </c>
      <c r="S51">
        <v>55</v>
      </c>
      <c r="V51" s="308">
        <v>10</v>
      </c>
      <c r="W51" s="325">
        <f t="shared" si="7"/>
        <v>7.6</v>
      </c>
      <c r="X51" s="325">
        <f t="shared" si="8"/>
        <v>3.2</v>
      </c>
      <c r="Y51" s="325">
        <f t="shared" si="9"/>
        <v>3.5999999999999996</v>
      </c>
      <c r="Z51" s="325">
        <f t="shared" si="10"/>
        <v>1</v>
      </c>
      <c r="AB51" s="76">
        <f t="shared" si="4"/>
        <v>1</v>
      </c>
      <c r="AC51" s="307">
        <f t="shared" si="11"/>
        <v>10</v>
      </c>
      <c r="AD51" s="307">
        <f t="shared" si="12"/>
        <v>0</v>
      </c>
      <c r="AE51" s="1039">
        <f t="shared" si="13"/>
        <v>0.53</v>
      </c>
      <c r="AF51" s="1129">
        <f t="shared" si="14"/>
        <v>0.55000000000000004</v>
      </c>
      <c r="AH51" s="1055"/>
      <c r="AI51" s="726"/>
    </row>
    <row r="52" spans="1:35" x14ac:dyDescent="0.2">
      <c r="A52" s="1043" t="str">
        <f t="shared" si="3"/>
        <v>GPS Weizen</v>
      </c>
      <c r="B52" s="1043">
        <f t="shared" si="22"/>
        <v>48</v>
      </c>
      <c r="C52" t="s">
        <v>533</v>
      </c>
      <c r="D52" t="s">
        <v>534</v>
      </c>
      <c r="E52" t="s">
        <v>480</v>
      </c>
      <c r="F52" t="s">
        <v>481</v>
      </c>
      <c r="G52">
        <v>3</v>
      </c>
      <c r="H52">
        <v>1</v>
      </c>
      <c r="I52">
        <v>35</v>
      </c>
      <c r="J52">
        <v>0.56000000000000005</v>
      </c>
      <c r="K52">
        <v>0.23</v>
      </c>
      <c r="L52">
        <v>0.47</v>
      </c>
      <c r="M52">
        <v>0.1</v>
      </c>
      <c r="N52">
        <v>0.95</v>
      </c>
      <c r="O52">
        <v>95</v>
      </c>
      <c r="P52">
        <v>504</v>
      </c>
      <c r="Q52">
        <v>52</v>
      </c>
      <c r="R52">
        <v>100</v>
      </c>
      <c r="S52">
        <v>55</v>
      </c>
      <c r="V52" s="308">
        <v>7</v>
      </c>
      <c r="W52" s="325">
        <f t="shared" si="7"/>
        <v>5.6000000000000005</v>
      </c>
      <c r="X52" s="325">
        <f t="shared" si="8"/>
        <v>2.3000000000000003</v>
      </c>
      <c r="Y52" s="325">
        <f t="shared" si="9"/>
        <v>4.6999999999999993</v>
      </c>
      <c r="Z52" s="325">
        <f t="shared" si="10"/>
        <v>1</v>
      </c>
      <c r="AB52" s="76">
        <f t="shared" si="4"/>
        <v>1</v>
      </c>
      <c r="AC52" s="307">
        <f t="shared" si="11"/>
        <v>7</v>
      </c>
      <c r="AD52" s="307">
        <f t="shared" si="12"/>
        <v>0</v>
      </c>
      <c r="AE52" s="1039">
        <f t="shared" si="13"/>
        <v>0.52</v>
      </c>
      <c r="AF52" s="1129">
        <f t="shared" si="14"/>
        <v>0.55000000000000004</v>
      </c>
      <c r="AH52" s="1055"/>
      <c r="AI52" s="726"/>
    </row>
    <row r="53" spans="1:35" x14ac:dyDescent="0.2">
      <c r="A53" s="1044" t="str">
        <f t="shared" si="3"/>
        <v>GPS Wintergerste</v>
      </c>
      <c r="B53" s="1044">
        <f t="shared" si="22"/>
        <v>49</v>
      </c>
      <c r="C53" t="s">
        <v>8175</v>
      </c>
      <c r="D53" t="s">
        <v>535</v>
      </c>
      <c r="E53" t="s">
        <v>480</v>
      </c>
      <c r="F53" t="s">
        <v>481</v>
      </c>
      <c r="G53">
        <v>3</v>
      </c>
      <c r="H53">
        <v>1</v>
      </c>
      <c r="I53">
        <v>35</v>
      </c>
      <c r="J53">
        <v>0.56000000000000005</v>
      </c>
      <c r="K53">
        <v>0.23</v>
      </c>
      <c r="L53">
        <v>0.47</v>
      </c>
      <c r="M53">
        <v>0.1</v>
      </c>
      <c r="N53">
        <v>0.94</v>
      </c>
      <c r="O53">
        <v>94</v>
      </c>
      <c r="P53">
        <v>515</v>
      </c>
      <c r="Q53">
        <v>52</v>
      </c>
      <c r="R53">
        <v>100</v>
      </c>
      <c r="S53">
        <v>55</v>
      </c>
      <c r="V53" s="308">
        <v>6</v>
      </c>
      <c r="W53" s="325">
        <f t="shared" si="7"/>
        <v>5.6000000000000005</v>
      </c>
      <c r="X53" s="325">
        <f t="shared" si="8"/>
        <v>2.3000000000000003</v>
      </c>
      <c r="Y53" s="325">
        <f t="shared" si="9"/>
        <v>4.6999999999999993</v>
      </c>
      <c r="Z53" s="325">
        <f t="shared" si="10"/>
        <v>1</v>
      </c>
      <c r="AB53" s="76">
        <f t="shared" si="4"/>
        <v>1</v>
      </c>
      <c r="AC53" s="307">
        <f t="shared" si="11"/>
        <v>6</v>
      </c>
      <c r="AD53" s="307">
        <f t="shared" si="12"/>
        <v>0</v>
      </c>
      <c r="AE53" s="1039">
        <f t="shared" si="13"/>
        <v>0.52</v>
      </c>
      <c r="AF53" s="1129">
        <f>S53/100</f>
        <v>0.55000000000000004</v>
      </c>
      <c r="AH53" s="1055"/>
      <c r="AI53" s="726"/>
    </row>
    <row r="54" spans="1:35" x14ac:dyDescent="0.2">
      <c r="A54" s="1044" t="str">
        <f t="shared" si="3"/>
        <v>GPS Sommergerste</v>
      </c>
      <c r="B54" s="1044">
        <f t="shared" si="22"/>
        <v>50</v>
      </c>
      <c r="C54" t="s">
        <v>8176</v>
      </c>
      <c r="D54" t="s">
        <v>8177</v>
      </c>
      <c r="E54" t="s">
        <v>480</v>
      </c>
      <c r="F54" t="s">
        <v>481</v>
      </c>
      <c r="G54">
        <v>3</v>
      </c>
      <c r="H54">
        <v>1</v>
      </c>
      <c r="I54">
        <v>35</v>
      </c>
      <c r="J54">
        <v>0.56000000000000005</v>
      </c>
      <c r="K54">
        <v>0.23</v>
      </c>
      <c r="L54">
        <v>0.47</v>
      </c>
      <c r="M54">
        <v>0.1</v>
      </c>
      <c r="N54">
        <v>0.95</v>
      </c>
      <c r="O54">
        <v>95</v>
      </c>
      <c r="P54">
        <v>506</v>
      </c>
      <c r="Q54">
        <v>52</v>
      </c>
      <c r="R54">
        <v>100</v>
      </c>
      <c r="S54">
        <v>55</v>
      </c>
      <c r="V54" s="308">
        <v>7</v>
      </c>
      <c r="W54" s="325">
        <f t="shared" si="7"/>
        <v>5.6000000000000005</v>
      </c>
      <c r="X54" s="325">
        <f t="shared" si="8"/>
        <v>2.3000000000000003</v>
      </c>
      <c r="Y54" s="325">
        <f t="shared" si="9"/>
        <v>4.6999999999999993</v>
      </c>
      <c r="Z54" s="325">
        <f t="shared" si="10"/>
        <v>1</v>
      </c>
      <c r="AB54" s="76">
        <f t="shared" si="4"/>
        <v>1</v>
      </c>
      <c r="AC54" s="307">
        <f t="shared" si="11"/>
        <v>7</v>
      </c>
      <c r="AD54" s="307">
        <f t="shared" si="12"/>
        <v>0</v>
      </c>
      <c r="AE54" s="1039">
        <f t="shared" si="13"/>
        <v>0.52</v>
      </c>
      <c r="AF54" s="1129">
        <f t="shared" si="14"/>
        <v>0.55000000000000004</v>
      </c>
      <c r="AH54" s="1055"/>
      <c r="AI54" s="726"/>
    </row>
    <row r="55" spans="1:35" x14ac:dyDescent="0.2">
      <c r="A55" s="1043" t="str">
        <f t="shared" si="3"/>
        <v>GPS Triticale</v>
      </c>
      <c r="B55" s="1043">
        <f t="shared" si="22"/>
        <v>51</v>
      </c>
      <c r="C55" t="s">
        <v>8178</v>
      </c>
      <c r="D55" t="s">
        <v>536</v>
      </c>
      <c r="E55" t="s">
        <v>480</v>
      </c>
      <c r="F55" t="s">
        <v>481</v>
      </c>
      <c r="G55">
        <v>3</v>
      </c>
      <c r="H55">
        <v>1</v>
      </c>
      <c r="I55">
        <v>35</v>
      </c>
      <c r="J55">
        <v>0.56000000000000005</v>
      </c>
      <c r="K55">
        <v>0.23</v>
      </c>
      <c r="L55">
        <v>0.47</v>
      </c>
      <c r="M55">
        <v>0.1</v>
      </c>
      <c r="N55">
        <v>0.95</v>
      </c>
      <c r="O55">
        <v>95</v>
      </c>
      <c r="P55">
        <v>506</v>
      </c>
      <c r="Q55">
        <v>52</v>
      </c>
      <c r="R55">
        <v>100</v>
      </c>
      <c r="S55">
        <v>55</v>
      </c>
      <c r="V55" s="308">
        <v>7</v>
      </c>
      <c r="W55" s="325">
        <f t="shared" si="7"/>
        <v>5.6000000000000005</v>
      </c>
      <c r="X55" s="325">
        <f t="shared" si="8"/>
        <v>2.3000000000000003</v>
      </c>
      <c r="Y55" s="325">
        <f t="shared" si="9"/>
        <v>4.6999999999999993</v>
      </c>
      <c r="Z55" s="325">
        <f t="shared" si="10"/>
        <v>1</v>
      </c>
      <c r="AB55" s="76">
        <f t="shared" si="4"/>
        <v>1</v>
      </c>
      <c r="AC55" s="307">
        <f t="shared" si="11"/>
        <v>7</v>
      </c>
      <c r="AD55" s="307">
        <f t="shared" si="12"/>
        <v>0</v>
      </c>
      <c r="AE55" s="1039">
        <f t="shared" si="13"/>
        <v>0.52</v>
      </c>
      <c r="AF55" s="1129">
        <f t="shared" si="14"/>
        <v>0.55000000000000004</v>
      </c>
      <c r="AH55" s="1055"/>
      <c r="AI55" s="726"/>
    </row>
    <row r="56" spans="1:35" x14ac:dyDescent="0.2">
      <c r="A56" s="1043" t="str">
        <f t="shared" si="3"/>
        <v>GPS Roggen</v>
      </c>
      <c r="B56" s="1043">
        <f t="shared" si="22"/>
        <v>52</v>
      </c>
      <c r="C56" t="s">
        <v>537</v>
      </c>
      <c r="D56" t="s">
        <v>538</v>
      </c>
      <c r="E56" t="s">
        <v>480</v>
      </c>
      <c r="F56" t="s">
        <v>481</v>
      </c>
      <c r="G56">
        <v>3</v>
      </c>
      <c r="H56">
        <v>1</v>
      </c>
      <c r="I56">
        <v>35</v>
      </c>
      <c r="J56">
        <v>0.56000000000000005</v>
      </c>
      <c r="K56">
        <v>0.23</v>
      </c>
      <c r="L56">
        <v>0.47</v>
      </c>
      <c r="M56">
        <v>0.1</v>
      </c>
      <c r="N56">
        <v>0.95</v>
      </c>
      <c r="O56">
        <v>95</v>
      </c>
      <c r="P56">
        <v>506</v>
      </c>
      <c r="Q56">
        <v>52</v>
      </c>
      <c r="R56">
        <v>100</v>
      </c>
      <c r="S56">
        <v>55</v>
      </c>
      <c r="V56" s="308">
        <v>7</v>
      </c>
      <c r="W56" s="325">
        <f t="shared" si="7"/>
        <v>5.6000000000000005</v>
      </c>
      <c r="X56" s="325">
        <f t="shared" si="8"/>
        <v>2.3000000000000003</v>
      </c>
      <c r="Y56" s="325">
        <f t="shared" si="9"/>
        <v>4.6999999999999993</v>
      </c>
      <c r="Z56" s="325">
        <f t="shared" si="10"/>
        <v>1</v>
      </c>
      <c r="AB56" s="76">
        <f t="shared" si="4"/>
        <v>1</v>
      </c>
      <c r="AC56" s="307">
        <f t="shared" si="11"/>
        <v>7</v>
      </c>
      <c r="AD56" s="307">
        <f t="shared" si="12"/>
        <v>0</v>
      </c>
      <c r="AE56" s="1039">
        <f t="shared" si="13"/>
        <v>0.52</v>
      </c>
      <c r="AF56" s="1129">
        <f t="shared" si="14"/>
        <v>0.55000000000000004</v>
      </c>
      <c r="AH56" s="1055"/>
      <c r="AI56" s="726"/>
    </row>
    <row r="57" spans="1:35" x14ac:dyDescent="0.2">
      <c r="A57" s="1043" t="str">
        <f t="shared" si="3"/>
        <v>GPS Hafer</v>
      </c>
      <c r="B57" s="1043">
        <f t="shared" si="22"/>
        <v>53</v>
      </c>
      <c r="C57" t="s">
        <v>539</v>
      </c>
      <c r="D57" t="s">
        <v>540</v>
      </c>
      <c r="E57" t="s">
        <v>480</v>
      </c>
      <c r="F57" t="s">
        <v>481</v>
      </c>
      <c r="G57">
        <v>3</v>
      </c>
      <c r="H57">
        <v>1</v>
      </c>
      <c r="I57">
        <v>35</v>
      </c>
      <c r="J57">
        <v>0.56000000000000005</v>
      </c>
      <c r="K57">
        <v>0.23</v>
      </c>
      <c r="L57">
        <v>0.47</v>
      </c>
      <c r="M57">
        <v>0.1</v>
      </c>
      <c r="N57">
        <v>0.95</v>
      </c>
      <c r="O57">
        <v>95</v>
      </c>
      <c r="P57">
        <v>506</v>
      </c>
      <c r="Q57">
        <v>52</v>
      </c>
      <c r="R57">
        <v>100</v>
      </c>
      <c r="S57">
        <v>55</v>
      </c>
      <c r="V57" s="308">
        <v>7</v>
      </c>
      <c r="W57" s="325">
        <f t="shared" si="7"/>
        <v>5.6000000000000005</v>
      </c>
      <c r="X57" s="325">
        <f t="shared" si="8"/>
        <v>2.3000000000000003</v>
      </c>
      <c r="Y57" s="325">
        <f t="shared" si="9"/>
        <v>4.6999999999999993</v>
      </c>
      <c r="Z57" s="325">
        <f t="shared" si="10"/>
        <v>1</v>
      </c>
      <c r="AB57" s="76">
        <f t="shared" si="4"/>
        <v>1</v>
      </c>
      <c r="AC57" s="307">
        <f t="shared" si="11"/>
        <v>7</v>
      </c>
      <c r="AD57" s="307">
        <f t="shared" si="12"/>
        <v>0</v>
      </c>
      <c r="AE57" s="1039">
        <f t="shared" si="13"/>
        <v>0.52</v>
      </c>
      <c r="AF57" s="1129">
        <f t="shared" si="14"/>
        <v>0.55000000000000004</v>
      </c>
      <c r="AH57" s="1055"/>
      <c r="AI57" s="726"/>
    </row>
    <row r="58" spans="1:35" s="76" customFormat="1" x14ac:dyDescent="0.2">
      <c r="A58" s="1042" t="str">
        <f t="shared" ref="A58:A75" si="23">C58</f>
        <v xml:space="preserve"> +++Energiepflanzen+++</v>
      </c>
      <c r="B58" s="1042">
        <f t="shared" si="22"/>
        <v>54</v>
      </c>
      <c r="C58" t="s">
        <v>541</v>
      </c>
      <c r="D58" t="s">
        <v>487</v>
      </c>
      <c r="E58" t="s">
        <v>480</v>
      </c>
      <c r="F58" t="s">
        <v>481</v>
      </c>
      <c r="G58"/>
      <c r="H58">
        <v>0</v>
      </c>
      <c r="I58"/>
      <c r="J58"/>
      <c r="K58"/>
      <c r="L58"/>
      <c r="M58"/>
      <c r="N58"/>
      <c r="O58"/>
      <c r="P58"/>
      <c r="Q58"/>
      <c r="R58"/>
      <c r="S58"/>
      <c r="T58" s="308"/>
      <c r="U58" s="308"/>
      <c r="V58" s="308"/>
      <c r="W58" s="325">
        <f t="shared" ref="W58:W75" si="24">J58*10</f>
        <v>0</v>
      </c>
      <c r="X58" s="325">
        <f t="shared" ref="X58:X75" si="25">K58*10</f>
        <v>0</v>
      </c>
      <c r="Y58" s="325">
        <f t="shared" ref="Y58:Y75" si="26">L58*10</f>
        <v>0</v>
      </c>
      <c r="Z58" s="325">
        <f t="shared" ref="Z58:Z75" si="27">M58*10</f>
        <v>0</v>
      </c>
      <c r="AB58" s="76">
        <f t="shared" si="4"/>
        <v>2</v>
      </c>
      <c r="AC58" s="307">
        <f t="shared" ref="AC58:AC75" si="28">IF(V58&gt;0,V58,T58)</f>
        <v>0</v>
      </c>
      <c r="AD58" s="307">
        <f t="shared" ref="AD58:AD75" si="29">U58</f>
        <v>0</v>
      </c>
      <c r="AE58" s="1039">
        <f t="shared" ref="AE58:AE75" si="30">Q58/100</f>
        <v>0</v>
      </c>
      <c r="AF58" s="1129">
        <f t="shared" ref="AF58:AF75" si="31">S58/100</f>
        <v>0</v>
      </c>
      <c r="AH58" s="1055"/>
      <c r="AI58" s="726"/>
    </row>
    <row r="59" spans="1:35" x14ac:dyDescent="0.2">
      <c r="A59" s="1044" t="str">
        <f t="shared" si="23"/>
        <v>Silphie (ab 2. Standjahr)</v>
      </c>
      <c r="B59" s="1044">
        <f t="shared" si="22"/>
        <v>55</v>
      </c>
      <c r="C59" t="s">
        <v>824</v>
      </c>
      <c r="D59" t="s">
        <v>8179</v>
      </c>
      <c r="E59" t="s">
        <v>480</v>
      </c>
      <c r="F59" t="s">
        <v>481</v>
      </c>
      <c r="G59">
        <v>3</v>
      </c>
      <c r="H59">
        <v>1</v>
      </c>
      <c r="I59">
        <v>25</v>
      </c>
      <c r="J59">
        <v>0.25</v>
      </c>
      <c r="K59">
        <v>0.12</v>
      </c>
      <c r="L59">
        <v>0.56999999999999995</v>
      </c>
      <c r="M59">
        <v>0.16</v>
      </c>
      <c r="N59">
        <v>0.91</v>
      </c>
      <c r="O59">
        <v>91</v>
      </c>
      <c r="P59">
        <v>456</v>
      </c>
      <c r="Q59">
        <v>54</v>
      </c>
      <c r="R59">
        <v>100</v>
      </c>
      <c r="S59">
        <v>55</v>
      </c>
      <c r="V59" s="308">
        <v>9</v>
      </c>
      <c r="W59" s="325">
        <f t="shared" si="24"/>
        <v>2.5</v>
      </c>
      <c r="X59" s="325">
        <f t="shared" si="25"/>
        <v>1.2</v>
      </c>
      <c r="Y59" s="325">
        <f t="shared" si="26"/>
        <v>5.6999999999999993</v>
      </c>
      <c r="Z59" s="325">
        <f t="shared" si="27"/>
        <v>1.6</v>
      </c>
      <c r="AB59" s="76">
        <f t="shared" si="4"/>
        <v>1</v>
      </c>
      <c r="AC59" s="307">
        <f t="shared" si="28"/>
        <v>9</v>
      </c>
      <c r="AD59" s="307">
        <f t="shared" si="29"/>
        <v>0</v>
      </c>
      <c r="AE59" s="1039">
        <f t="shared" si="30"/>
        <v>0.54</v>
      </c>
      <c r="AF59" s="1129">
        <f t="shared" si="31"/>
        <v>0.55000000000000004</v>
      </c>
      <c r="AH59" s="1136"/>
      <c r="AI59" s="726"/>
    </row>
    <row r="60" spans="1:35" x14ac:dyDescent="0.2">
      <c r="A60" s="1045" t="str">
        <f t="shared" si="23"/>
        <v>Sorgumhirse</v>
      </c>
      <c r="B60" s="1045">
        <f t="shared" si="22"/>
        <v>56</v>
      </c>
      <c r="C60" t="s">
        <v>542</v>
      </c>
      <c r="D60" t="s">
        <v>543</v>
      </c>
      <c r="E60" t="s">
        <v>480</v>
      </c>
      <c r="F60" t="s">
        <v>481</v>
      </c>
      <c r="G60">
        <v>3</v>
      </c>
      <c r="H60">
        <v>1</v>
      </c>
      <c r="I60">
        <v>28</v>
      </c>
      <c r="J60">
        <v>0.41</v>
      </c>
      <c r="K60">
        <v>0.18</v>
      </c>
      <c r="L60">
        <v>0.48</v>
      </c>
      <c r="M60">
        <v>0.04</v>
      </c>
      <c r="N60">
        <v>0.93</v>
      </c>
      <c r="O60">
        <v>93</v>
      </c>
      <c r="P60">
        <v>498</v>
      </c>
      <c r="Q60">
        <v>53</v>
      </c>
      <c r="R60">
        <v>100</v>
      </c>
      <c r="S60">
        <v>55</v>
      </c>
      <c r="V60" s="308">
        <v>10</v>
      </c>
      <c r="W60" s="325">
        <f t="shared" si="24"/>
        <v>4.0999999999999996</v>
      </c>
      <c r="X60" s="325">
        <f t="shared" si="25"/>
        <v>1.7999999999999998</v>
      </c>
      <c r="Y60" s="325">
        <f t="shared" si="26"/>
        <v>4.8</v>
      </c>
      <c r="Z60" s="325">
        <f t="shared" si="27"/>
        <v>0.4</v>
      </c>
      <c r="AB60" s="76">
        <f t="shared" si="4"/>
        <v>1</v>
      </c>
      <c r="AC60" s="307">
        <f t="shared" si="28"/>
        <v>10</v>
      </c>
      <c r="AD60" s="307">
        <f t="shared" si="29"/>
        <v>0</v>
      </c>
      <c r="AE60" s="1039">
        <f t="shared" si="30"/>
        <v>0.53</v>
      </c>
      <c r="AF60" s="1129">
        <f t="shared" si="31"/>
        <v>0.55000000000000004</v>
      </c>
      <c r="AH60" s="1055"/>
      <c r="AI60" s="726"/>
    </row>
    <row r="61" spans="1:35" s="76" customFormat="1" ht="13.5" thickBot="1" x14ac:dyDescent="0.25">
      <c r="A61" s="1043" t="str">
        <f t="shared" si="23"/>
        <v>Riesenweizengras (Szarvasi)</v>
      </c>
      <c r="B61" s="1043">
        <f t="shared" si="22"/>
        <v>57</v>
      </c>
      <c r="C61" t="s">
        <v>826</v>
      </c>
      <c r="D61" t="s">
        <v>8180</v>
      </c>
      <c r="E61" t="s">
        <v>480</v>
      </c>
      <c r="F61" t="s">
        <v>481</v>
      </c>
      <c r="G61">
        <v>3</v>
      </c>
      <c r="H61">
        <v>1</v>
      </c>
      <c r="I61">
        <v>28</v>
      </c>
      <c r="J61">
        <v>0.33</v>
      </c>
      <c r="K61">
        <v>0.11</v>
      </c>
      <c r="L61">
        <v>0.53</v>
      </c>
      <c r="M61">
        <v>0.04</v>
      </c>
      <c r="N61">
        <v>0.93</v>
      </c>
      <c r="O61">
        <v>93</v>
      </c>
      <c r="P61">
        <v>575</v>
      </c>
      <c r="Q61">
        <v>53</v>
      </c>
      <c r="R61">
        <v>100</v>
      </c>
      <c r="S61">
        <v>55</v>
      </c>
      <c r="T61" s="308"/>
      <c r="U61" s="308"/>
      <c r="V61" s="308">
        <v>10</v>
      </c>
      <c r="W61" s="325">
        <f t="shared" si="24"/>
        <v>3.3000000000000003</v>
      </c>
      <c r="X61" s="325">
        <f t="shared" si="25"/>
        <v>1.1000000000000001</v>
      </c>
      <c r="Y61" s="325">
        <f t="shared" si="26"/>
        <v>5.3000000000000007</v>
      </c>
      <c r="Z61" s="325">
        <f t="shared" si="27"/>
        <v>0.4</v>
      </c>
      <c r="AB61" s="76">
        <f t="shared" si="4"/>
        <v>1</v>
      </c>
      <c r="AC61" s="307">
        <f t="shared" si="28"/>
        <v>10</v>
      </c>
      <c r="AD61" s="307">
        <f t="shared" si="29"/>
        <v>0</v>
      </c>
      <c r="AE61" s="1039">
        <f t="shared" si="30"/>
        <v>0.53</v>
      </c>
      <c r="AF61" s="1129">
        <f t="shared" si="31"/>
        <v>0.55000000000000004</v>
      </c>
      <c r="AH61" s="1136"/>
      <c r="AI61" s="726"/>
    </row>
    <row r="62" spans="1:35" x14ac:dyDescent="0.2">
      <c r="A62" s="1046" t="str">
        <f t="shared" si="23"/>
        <v xml:space="preserve"> +++Zweitfrucht (2. Hauptfrucht)+++</v>
      </c>
      <c r="B62" s="1046">
        <f t="shared" si="22"/>
        <v>58</v>
      </c>
      <c r="C62" t="s">
        <v>544</v>
      </c>
      <c r="D62" t="s">
        <v>487</v>
      </c>
      <c r="E62" t="s">
        <v>480</v>
      </c>
      <c r="F62" t="s">
        <v>487</v>
      </c>
      <c r="G62"/>
      <c r="H62"/>
      <c r="I62"/>
      <c r="J62"/>
      <c r="K62"/>
      <c r="L62"/>
      <c r="M62"/>
      <c r="N62"/>
      <c r="O62"/>
      <c r="P62"/>
      <c r="W62" s="325">
        <f t="shared" si="24"/>
        <v>0</v>
      </c>
      <c r="X62" s="325">
        <f t="shared" si="25"/>
        <v>0</v>
      </c>
      <c r="Y62" s="325">
        <f t="shared" si="26"/>
        <v>0</v>
      </c>
      <c r="Z62" s="325">
        <f t="shared" si="27"/>
        <v>0</v>
      </c>
      <c r="AB62" s="76">
        <f t="shared" si="4"/>
        <v>2</v>
      </c>
      <c r="AC62" s="307">
        <f t="shared" si="28"/>
        <v>0</v>
      </c>
      <c r="AD62" s="307">
        <f t="shared" si="29"/>
        <v>0</v>
      </c>
      <c r="AE62" s="1039">
        <f t="shared" si="30"/>
        <v>0</v>
      </c>
      <c r="AF62" s="1129">
        <f t="shared" si="31"/>
        <v>0</v>
      </c>
      <c r="AH62" s="1055"/>
      <c r="AI62" s="726"/>
    </row>
    <row r="63" spans="1:35" x14ac:dyDescent="0.2">
      <c r="A63" s="1047" t="str">
        <f t="shared" si="23"/>
        <v>Weidelgras (inkl. Leg. bis 30 %)</v>
      </c>
      <c r="B63" s="1047">
        <f t="shared" si="22"/>
        <v>59</v>
      </c>
      <c r="C63" t="s">
        <v>8448</v>
      </c>
      <c r="D63" t="s">
        <v>545</v>
      </c>
      <c r="E63" t="s">
        <v>480</v>
      </c>
      <c r="F63" t="s">
        <v>546</v>
      </c>
      <c r="G63">
        <v>3</v>
      </c>
      <c r="H63">
        <v>1</v>
      </c>
      <c r="I63">
        <v>20</v>
      </c>
      <c r="J63">
        <v>0.53</v>
      </c>
      <c r="K63">
        <v>0.16</v>
      </c>
      <c r="L63">
        <v>0.72</v>
      </c>
      <c r="M63">
        <v>0.08</v>
      </c>
      <c r="N63">
        <v>0.87</v>
      </c>
      <c r="O63">
        <v>87</v>
      </c>
      <c r="P63">
        <v>596</v>
      </c>
      <c r="Q63">
        <v>55.000000000000007</v>
      </c>
      <c r="R63">
        <v>100</v>
      </c>
      <c r="S63">
        <v>55</v>
      </c>
      <c r="W63" s="325">
        <f t="shared" si="24"/>
        <v>5.3000000000000007</v>
      </c>
      <c r="X63" s="325">
        <f t="shared" si="25"/>
        <v>1.6</v>
      </c>
      <c r="Y63" s="325">
        <f t="shared" si="26"/>
        <v>7.1999999999999993</v>
      </c>
      <c r="Z63" s="325">
        <f t="shared" si="27"/>
        <v>0.8</v>
      </c>
      <c r="AB63" s="76">
        <f t="shared" si="4"/>
        <v>2</v>
      </c>
      <c r="AC63" s="307">
        <f t="shared" si="28"/>
        <v>0</v>
      </c>
      <c r="AD63" s="307">
        <f t="shared" si="29"/>
        <v>0</v>
      </c>
      <c r="AE63" s="1039">
        <f t="shared" si="30"/>
        <v>0.55000000000000004</v>
      </c>
      <c r="AF63" s="1129">
        <f t="shared" si="31"/>
        <v>0.55000000000000004</v>
      </c>
      <c r="AH63" s="1048"/>
      <c r="AI63" s="726"/>
    </row>
    <row r="64" spans="1:35" x14ac:dyDescent="0.2">
      <c r="A64" s="1047" t="str">
        <f t="shared" si="23"/>
        <v>Kleegras, Gemenge (30 - 70 % Leg.)</v>
      </c>
      <c r="B64" s="1047">
        <f t="shared" si="22"/>
        <v>60</v>
      </c>
      <c r="C64" t="s">
        <v>8449</v>
      </c>
      <c r="D64" t="s">
        <v>8450</v>
      </c>
      <c r="E64" t="s">
        <v>480</v>
      </c>
      <c r="F64" t="s">
        <v>546</v>
      </c>
      <c r="G64">
        <v>3</v>
      </c>
      <c r="H64">
        <v>1</v>
      </c>
      <c r="I64">
        <v>20</v>
      </c>
      <c r="J64">
        <v>0.57999999999999996</v>
      </c>
      <c r="K64">
        <v>0.14000000000000001</v>
      </c>
      <c r="L64">
        <v>0.65</v>
      </c>
      <c r="M64">
        <v>0.09</v>
      </c>
      <c r="N64">
        <v>0.87</v>
      </c>
      <c r="O64">
        <v>87</v>
      </c>
      <c r="P64">
        <v>574</v>
      </c>
      <c r="Q64">
        <v>55.000000000000007</v>
      </c>
      <c r="R64">
        <v>100</v>
      </c>
      <c r="S64">
        <v>55</v>
      </c>
      <c r="W64" s="325">
        <f t="shared" si="24"/>
        <v>5.8</v>
      </c>
      <c r="X64" s="325">
        <f t="shared" si="25"/>
        <v>1.4000000000000001</v>
      </c>
      <c r="Y64" s="325">
        <f t="shared" si="26"/>
        <v>6.5</v>
      </c>
      <c r="Z64" s="325">
        <f t="shared" si="27"/>
        <v>0.89999999999999991</v>
      </c>
      <c r="AB64" s="76">
        <f t="shared" si="4"/>
        <v>2</v>
      </c>
      <c r="AC64" s="307">
        <f t="shared" si="28"/>
        <v>0</v>
      </c>
      <c r="AD64" s="307">
        <f t="shared" si="29"/>
        <v>0</v>
      </c>
      <c r="AE64" s="1039">
        <f t="shared" si="30"/>
        <v>0.55000000000000004</v>
      </c>
      <c r="AF64" s="1129">
        <f t="shared" si="31"/>
        <v>0.55000000000000004</v>
      </c>
      <c r="AH64" s="1048"/>
      <c r="AI64" s="726"/>
    </row>
    <row r="65" spans="1:35" x14ac:dyDescent="0.2">
      <c r="A65" s="1047" t="str">
        <f t="shared" si="23"/>
        <v>Kleegras , Gemenge ( &gt; 70 % Leg.)</v>
      </c>
      <c r="B65" s="1047">
        <f t="shared" si="22"/>
        <v>61</v>
      </c>
      <c r="C65" t="s">
        <v>8451</v>
      </c>
      <c r="D65" t="s">
        <v>8452</v>
      </c>
      <c r="E65" t="s">
        <v>480</v>
      </c>
      <c r="F65" t="s">
        <v>546</v>
      </c>
      <c r="G65">
        <v>3</v>
      </c>
      <c r="H65">
        <v>1</v>
      </c>
      <c r="I65">
        <v>20</v>
      </c>
      <c r="J65">
        <v>0.65</v>
      </c>
      <c r="K65">
        <v>0.13</v>
      </c>
      <c r="L65">
        <v>0.65</v>
      </c>
      <c r="M65">
        <v>0.1</v>
      </c>
      <c r="N65">
        <v>0.87</v>
      </c>
      <c r="O65">
        <v>87</v>
      </c>
      <c r="P65">
        <v>574</v>
      </c>
      <c r="Q65">
        <v>55.000000000000007</v>
      </c>
      <c r="R65">
        <v>100</v>
      </c>
      <c r="S65">
        <v>55</v>
      </c>
      <c r="W65" s="325">
        <f t="shared" si="24"/>
        <v>6.5</v>
      </c>
      <c r="X65" s="325">
        <f t="shared" si="25"/>
        <v>1.3</v>
      </c>
      <c r="Y65" s="325">
        <f t="shared" si="26"/>
        <v>6.5</v>
      </c>
      <c r="Z65" s="325">
        <f t="shared" si="27"/>
        <v>1</v>
      </c>
      <c r="AB65" s="76">
        <f t="shared" si="4"/>
        <v>2</v>
      </c>
      <c r="AC65" s="307">
        <f t="shared" si="28"/>
        <v>0</v>
      </c>
      <c r="AD65" s="307">
        <f t="shared" si="29"/>
        <v>0</v>
      </c>
      <c r="AE65" s="1039">
        <f t="shared" si="30"/>
        <v>0.55000000000000004</v>
      </c>
      <c r="AF65" s="1129">
        <f t="shared" si="31"/>
        <v>0.55000000000000004</v>
      </c>
      <c r="AH65" s="1048"/>
      <c r="AI65" s="726"/>
    </row>
    <row r="66" spans="1:35" x14ac:dyDescent="0.2">
      <c r="A66" s="1047" t="str">
        <f t="shared" si="23"/>
        <v>GPS Getreide, GPS Hirse</v>
      </c>
      <c r="B66" s="1047">
        <f t="shared" si="22"/>
        <v>62</v>
      </c>
      <c r="C66" t="s">
        <v>8453</v>
      </c>
      <c r="D66" t="s">
        <v>549</v>
      </c>
      <c r="E66" t="s">
        <v>480</v>
      </c>
      <c r="F66" t="s">
        <v>546</v>
      </c>
      <c r="G66">
        <v>3</v>
      </c>
      <c r="H66">
        <v>1</v>
      </c>
      <c r="I66">
        <v>30</v>
      </c>
      <c r="J66">
        <v>0.48</v>
      </c>
      <c r="K66">
        <v>0.2</v>
      </c>
      <c r="L66">
        <v>0.4</v>
      </c>
      <c r="M66">
        <v>0.09</v>
      </c>
      <c r="N66">
        <v>0.89</v>
      </c>
      <c r="O66">
        <v>89</v>
      </c>
      <c r="P66">
        <v>589</v>
      </c>
      <c r="Q66">
        <v>54</v>
      </c>
      <c r="R66">
        <v>100</v>
      </c>
      <c r="S66">
        <v>55</v>
      </c>
      <c r="W66" s="325">
        <f t="shared" si="24"/>
        <v>4.8</v>
      </c>
      <c r="X66" s="325">
        <f t="shared" si="25"/>
        <v>2</v>
      </c>
      <c r="Y66" s="325">
        <f t="shared" si="26"/>
        <v>4</v>
      </c>
      <c r="Z66" s="325">
        <f t="shared" si="27"/>
        <v>0.89999999999999991</v>
      </c>
      <c r="AB66" s="76">
        <f t="shared" si="4"/>
        <v>2</v>
      </c>
      <c r="AC66" s="307">
        <f t="shared" si="28"/>
        <v>0</v>
      </c>
      <c r="AD66" s="307">
        <f t="shared" si="29"/>
        <v>0</v>
      </c>
      <c r="AE66" s="1039">
        <f t="shared" si="30"/>
        <v>0.54</v>
      </c>
      <c r="AF66" s="1129">
        <f t="shared" si="31"/>
        <v>0.55000000000000004</v>
      </c>
      <c r="AH66" s="1048"/>
      <c r="AI66" s="726"/>
    </row>
    <row r="67" spans="1:35" x14ac:dyDescent="0.2">
      <c r="A67" s="1047" t="str">
        <f t="shared" si="23"/>
        <v>Sonstige GPS, Hanf</v>
      </c>
      <c r="B67" s="1047">
        <f t="shared" si="22"/>
        <v>63</v>
      </c>
      <c r="C67" t="s">
        <v>8454</v>
      </c>
      <c r="D67" t="s">
        <v>548</v>
      </c>
      <c r="E67" t="s">
        <v>480</v>
      </c>
      <c r="F67" t="s">
        <v>546</v>
      </c>
      <c r="G67">
        <v>3</v>
      </c>
      <c r="H67">
        <v>1</v>
      </c>
      <c r="I67">
        <v>20</v>
      </c>
      <c r="J67">
        <v>0.32</v>
      </c>
      <c r="K67">
        <v>0.13</v>
      </c>
      <c r="L67">
        <v>0.27</v>
      </c>
      <c r="M67">
        <v>0.06</v>
      </c>
      <c r="N67">
        <v>0.82</v>
      </c>
      <c r="O67">
        <v>82</v>
      </c>
      <c r="P67">
        <v>661</v>
      </c>
      <c r="Q67">
        <v>56.000000000000007</v>
      </c>
      <c r="R67">
        <v>100</v>
      </c>
      <c r="S67">
        <v>55</v>
      </c>
      <c r="W67" s="325">
        <f t="shared" si="24"/>
        <v>3.2</v>
      </c>
      <c r="X67" s="325">
        <f t="shared" si="25"/>
        <v>1.3</v>
      </c>
      <c r="Y67" s="325">
        <f t="shared" si="26"/>
        <v>2.7</v>
      </c>
      <c r="Z67" s="325">
        <f t="shared" si="27"/>
        <v>0.6</v>
      </c>
      <c r="AB67" s="76">
        <f t="shared" si="4"/>
        <v>2</v>
      </c>
      <c r="AC67" s="307">
        <f t="shared" si="28"/>
        <v>0</v>
      </c>
      <c r="AD67" s="307">
        <f t="shared" si="29"/>
        <v>0</v>
      </c>
      <c r="AE67" s="1039">
        <f t="shared" si="30"/>
        <v>0.56000000000000005</v>
      </c>
      <c r="AF67" s="1129">
        <f t="shared" si="31"/>
        <v>0.55000000000000004</v>
      </c>
      <c r="AH67" s="1048"/>
      <c r="AI67" s="726"/>
    </row>
    <row r="68" spans="1:35" x14ac:dyDescent="0.2">
      <c r="A68" s="1049" t="str">
        <f t="shared" si="23"/>
        <v xml:space="preserve"> +++Zwischenfrucht+++</v>
      </c>
      <c r="B68" s="1049">
        <f t="shared" si="22"/>
        <v>64</v>
      </c>
      <c r="C68" t="s">
        <v>550</v>
      </c>
      <c r="D68" t="s">
        <v>487</v>
      </c>
      <c r="E68" t="s">
        <v>480</v>
      </c>
      <c r="F68" t="s">
        <v>546</v>
      </c>
      <c r="G68"/>
      <c r="H68"/>
      <c r="I68"/>
      <c r="J68"/>
      <c r="K68"/>
      <c r="L68"/>
      <c r="M68"/>
      <c r="N68"/>
      <c r="O68"/>
      <c r="P68"/>
      <c r="W68" s="325">
        <f t="shared" si="24"/>
        <v>0</v>
      </c>
      <c r="X68" s="325">
        <f t="shared" si="25"/>
        <v>0</v>
      </c>
      <c r="Y68" s="325">
        <f t="shared" si="26"/>
        <v>0</v>
      </c>
      <c r="Z68" s="325">
        <f t="shared" si="27"/>
        <v>0</v>
      </c>
      <c r="AB68" s="76">
        <f t="shared" si="4"/>
        <v>2</v>
      </c>
      <c r="AC68" s="307">
        <f t="shared" si="28"/>
        <v>0</v>
      </c>
      <c r="AD68" s="307">
        <f t="shared" si="29"/>
        <v>0</v>
      </c>
      <c r="AE68" s="1039">
        <f t="shared" si="30"/>
        <v>0</v>
      </c>
      <c r="AF68" s="1129">
        <f t="shared" si="31"/>
        <v>0</v>
      </c>
      <c r="AH68" s="1048"/>
      <c r="AI68" s="726"/>
    </row>
    <row r="69" spans="1:35" x14ac:dyDescent="0.2">
      <c r="A69" s="1047" t="str">
        <f t="shared" si="23"/>
        <v>Zwischenfrucht mit 0 - 25 % Leg.</v>
      </c>
      <c r="B69" s="1047">
        <f t="shared" ref="B69:B100" si="32">IFERROR(MATCH(A69,$C$5:$C$114,0),1)</f>
        <v>65</v>
      </c>
      <c r="C69" t="s">
        <v>551</v>
      </c>
      <c r="D69" t="s">
        <v>552</v>
      </c>
      <c r="E69" t="s">
        <v>480</v>
      </c>
      <c r="F69" t="s">
        <v>546</v>
      </c>
      <c r="G69">
        <v>3</v>
      </c>
      <c r="H69">
        <v>1</v>
      </c>
      <c r="I69">
        <v>16</v>
      </c>
      <c r="J69">
        <v>0.46</v>
      </c>
      <c r="K69">
        <v>0.14000000000000001</v>
      </c>
      <c r="L69">
        <v>0.5</v>
      </c>
      <c r="M69">
        <v>0.05</v>
      </c>
      <c r="N69">
        <v>0.87</v>
      </c>
      <c r="O69">
        <v>87</v>
      </c>
      <c r="P69">
        <v>560</v>
      </c>
      <c r="Q69">
        <v>54</v>
      </c>
      <c r="R69">
        <v>100</v>
      </c>
      <c r="S69">
        <v>55</v>
      </c>
      <c r="T69" s="308">
        <v>9</v>
      </c>
      <c r="U69" s="308">
        <v>10</v>
      </c>
      <c r="W69" s="325">
        <f t="shared" si="24"/>
        <v>4.6000000000000005</v>
      </c>
      <c r="X69" s="325">
        <f t="shared" si="25"/>
        <v>1.4000000000000001</v>
      </c>
      <c r="Y69" s="325">
        <f t="shared" si="26"/>
        <v>5</v>
      </c>
      <c r="Z69" s="325">
        <f t="shared" si="27"/>
        <v>0.5</v>
      </c>
      <c r="AB69" s="76">
        <f t="shared" si="4"/>
        <v>1</v>
      </c>
      <c r="AC69" s="307">
        <f t="shared" si="28"/>
        <v>9</v>
      </c>
      <c r="AD69" s="307">
        <f t="shared" si="29"/>
        <v>10</v>
      </c>
      <c r="AE69" s="1039">
        <f t="shared" si="30"/>
        <v>0.54</v>
      </c>
      <c r="AF69" s="1129">
        <f t="shared" si="31"/>
        <v>0.55000000000000004</v>
      </c>
      <c r="AH69" s="1048"/>
      <c r="AI69" s="726"/>
    </row>
    <row r="70" spans="1:35" x14ac:dyDescent="0.2">
      <c r="A70" s="1047" t="str">
        <f t="shared" si="23"/>
        <v>Zwischenfrucht mit 25 - 75 % Leg.</v>
      </c>
      <c r="B70" s="1047">
        <f t="shared" si="32"/>
        <v>66</v>
      </c>
      <c r="C70" t="s">
        <v>553</v>
      </c>
      <c r="D70" t="s">
        <v>554</v>
      </c>
      <c r="E70" t="s">
        <v>480</v>
      </c>
      <c r="F70" t="s">
        <v>546</v>
      </c>
      <c r="G70">
        <v>3</v>
      </c>
      <c r="H70">
        <v>1</v>
      </c>
      <c r="I70">
        <v>16</v>
      </c>
      <c r="J70">
        <v>0.46</v>
      </c>
      <c r="K70">
        <v>0.14000000000000001</v>
      </c>
      <c r="L70">
        <v>0.5</v>
      </c>
      <c r="M70">
        <v>0.05</v>
      </c>
      <c r="N70">
        <v>0.87</v>
      </c>
      <c r="O70">
        <v>87</v>
      </c>
      <c r="P70">
        <v>560</v>
      </c>
      <c r="Q70">
        <v>54</v>
      </c>
      <c r="R70">
        <v>100</v>
      </c>
      <c r="S70">
        <v>55</v>
      </c>
      <c r="T70" s="308">
        <v>9</v>
      </c>
      <c r="U70" s="308">
        <v>10</v>
      </c>
      <c r="W70" s="325">
        <f t="shared" si="24"/>
        <v>4.6000000000000005</v>
      </c>
      <c r="X70" s="325">
        <f t="shared" si="25"/>
        <v>1.4000000000000001</v>
      </c>
      <c r="Y70" s="325">
        <f t="shared" si="26"/>
        <v>5</v>
      </c>
      <c r="Z70" s="325">
        <f t="shared" si="27"/>
        <v>0.5</v>
      </c>
      <c r="AB70" s="76">
        <f t="shared" si="4"/>
        <v>1</v>
      </c>
      <c r="AC70" s="307">
        <f t="shared" si="28"/>
        <v>9</v>
      </c>
      <c r="AD70" s="307">
        <f t="shared" si="29"/>
        <v>10</v>
      </c>
      <c r="AE70" s="1039">
        <f t="shared" si="30"/>
        <v>0.54</v>
      </c>
      <c r="AF70" s="1129">
        <f t="shared" si="31"/>
        <v>0.55000000000000004</v>
      </c>
      <c r="AH70" s="1048"/>
      <c r="AI70" s="726"/>
    </row>
    <row r="71" spans="1:35" ht="13.5" thickBot="1" x14ac:dyDescent="0.25">
      <c r="A71" s="1047" t="str">
        <f t="shared" si="23"/>
        <v>Zwischenfrucht mit über 75 % Leg.</v>
      </c>
      <c r="B71" s="1047">
        <f t="shared" si="32"/>
        <v>67</v>
      </c>
      <c r="C71" t="s">
        <v>8181</v>
      </c>
      <c r="D71" t="s">
        <v>555</v>
      </c>
      <c r="E71" t="s">
        <v>480</v>
      </c>
      <c r="F71" t="s">
        <v>546</v>
      </c>
      <c r="G71">
        <v>3</v>
      </c>
      <c r="H71">
        <v>1</v>
      </c>
      <c r="I71">
        <v>16</v>
      </c>
      <c r="J71">
        <v>0.46</v>
      </c>
      <c r="K71">
        <v>0.14000000000000001</v>
      </c>
      <c r="L71">
        <v>0.5</v>
      </c>
      <c r="M71">
        <v>0.05</v>
      </c>
      <c r="N71">
        <v>0.87</v>
      </c>
      <c r="O71">
        <v>87</v>
      </c>
      <c r="P71">
        <v>560</v>
      </c>
      <c r="Q71">
        <v>54</v>
      </c>
      <c r="R71">
        <v>100</v>
      </c>
      <c r="S71">
        <v>55</v>
      </c>
      <c r="T71" s="308">
        <v>9</v>
      </c>
      <c r="U71" s="308">
        <v>10</v>
      </c>
      <c r="W71" s="325">
        <f t="shared" si="24"/>
        <v>4.6000000000000005</v>
      </c>
      <c r="X71" s="325">
        <f t="shared" si="25"/>
        <v>1.4000000000000001</v>
      </c>
      <c r="Y71" s="325">
        <f t="shared" si="26"/>
        <v>5</v>
      </c>
      <c r="Z71" s="325">
        <f t="shared" si="27"/>
        <v>0.5</v>
      </c>
      <c r="AB71" s="76">
        <f t="shared" si="4"/>
        <v>1</v>
      </c>
      <c r="AC71" s="307">
        <f t="shared" si="28"/>
        <v>9</v>
      </c>
      <c r="AD71" s="307">
        <f t="shared" si="29"/>
        <v>10</v>
      </c>
      <c r="AE71" s="1039">
        <f t="shared" si="30"/>
        <v>0.54</v>
      </c>
      <c r="AF71" s="1129">
        <f t="shared" si="31"/>
        <v>0.55000000000000004</v>
      </c>
      <c r="AH71" s="1048"/>
      <c r="AI71" s="726"/>
    </row>
    <row r="72" spans="1:35" x14ac:dyDescent="0.2">
      <c r="A72" s="1051" t="str">
        <f t="shared" si="23"/>
        <v xml:space="preserve"> +++Grünland+++</v>
      </c>
      <c r="B72" s="1051">
        <f t="shared" si="32"/>
        <v>68</v>
      </c>
      <c r="C72" t="s">
        <v>556</v>
      </c>
      <c r="D72" t="s">
        <v>557</v>
      </c>
      <c r="E72" t="s">
        <v>558</v>
      </c>
      <c r="F72" t="s">
        <v>487</v>
      </c>
      <c r="G72"/>
      <c r="H72"/>
      <c r="I72"/>
      <c r="J72"/>
      <c r="K72"/>
      <c r="L72"/>
      <c r="M72"/>
      <c r="N72"/>
      <c r="O72"/>
      <c r="P72"/>
      <c r="W72" s="325">
        <f t="shared" si="24"/>
        <v>0</v>
      </c>
      <c r="X72" s="325">
        <f t="shared" si="25"/>
        <v>0</v>
      </c>
      <c r="Y72" s="325">
        <f t="shared" si="26"/>
        <v>0</v>
      </c>
      <c r="Z72" s="325">
        <f t="shared" si="27"/>
        <v>0</v>
      </c>
      <c r="AB72" s="76">
        <f t="shared" si="4"/>
        <v>2</v>
      </c>
      <c r="AC72" s="307">
        <f t="shared" si="28"/>
        <v>0</v>
      </c>
      <c r="AD72" s="307">
        <f t="shared" si="29"/>
        <v>0</v>
      </c>
      <c r="AE72" s="1039">
        <f t="shared" si="30"/>
        <v>0</v>
      </c>
      <c r="AF72" s="1129">
        <f t="shared" si="31"/>
        <v>0</v>
      </c>
      <c r="AH72" s="1137"/>
      <c r="AI72" s="726"/>
    </row>
    <row r="73" spans="1:35" x14ac:dyDescent="0.2">
      <c r="A73" s="331" t="str">
        <f t="shared" si="23"/>
        <v>Streuwiese</v>
      </c>
      <c r="B73" s="331">
        <f t="shared" si="32"/>
        <v>69</v>
      </c>
      <c r="C73" t="s">
        <v>829</v>
      </c>
      <c r="D73" t="s">
        <v>8455</v>
      </c>
      <c r="E73" t="s">
        <v>558</v>
      </c>
      <c r="F73" t="s">
        <v>557</v>
      </c>
      <c r="G73">
        <v>3</v>
      </c>
      <c r="H73">
        <v>0</v>
      </c>
      <c r="I73">
        <v>100</v>
      </c>
      <c r="J73">
        <v>1.28</v>
      </c>
      <c r="K73">
        <v>0.46</v>
      </c>
      <c r="L73">
        <v>1.81</v>
      </c>
      <c r="M73">
        <v>0.33</v>
      </c>
      <c r="N73">
        <v>0.9</v>
      </c>
      <c r="O73">
        <v>90</v>
      </c>
      <c r="P73">
        <v>590</v>
      </c>
      <c r="Q73">
        <v>54</v>
      </c>
      <c r="R73">
        <v>100</v>
      </c>
      <c r="S73">
        <v>55</v>
      </c>
      <c r="V73" s="308">
        <v>9</v>
      </c>
      <c r="W73" s="325">
        <f t="shared" si="24"/>
        <v>12.8</v>
      </c>
      <c r="X73" s="325">
        <f t="shared" si="25"/>
        <v>4.6000000000000005</v>
      </c>
      <c r="Y73" s="325">
        <f t="shared" si="26"/>
        <v>18.100000000000001</v>
      </c>
      <c r="Z73" s="325">
        <f t="shared" si="27"/>
        <v>3.3000000000000003</v>
      </c>
      <c r="AB73" s="76">
        <f t="shared" si="4"/>
        <v>1</v>
      </c>
      <c r="AC73" s="307">
        <f t="shared" si="28"/>
        <v>9</v>
      </c>
      <c r="AD73" s="307">
        <f t="shared" si="29"/>
        <v>0</v>
      </c>
      <c r="AE73" s="1039">
        <f t="shared" si="30"/>
        <v>0.54</v>
      </c>
      <c r="AF73" s="1129">
        <f t="shared" si="31"/>
        <v>0.55000000000000004</v>
      </c>
      <c r="AH73" s="1050"/>
      <c r="AI73" s="726"/>
    </row>
    <row r="74" spans="1:35" x14ac:dyDescent="0.2">
      <c r="A74" s="331" t="str">
        <f t="shared" si="23"/>
        <v>Grünland extensiv (1-2 Schnitte, ext. Weiden)</v>
      </c>
      <c r="B74" s="331">
        <f t="shared" si="32"/>
        <v>70</v>
      </c>
      <c r="C74" t="s">
        <v>8456</v>
      </c>
      <c r="D74" t="s">
        <v>8457</v>
      </c>
      <c r="E74" t="s">
        <v>558</v>
      </c>
      <c r="F74" t="s">
        <v>557</v>
      </c>
      <c r="G74">
        <v>3</v>
      </c>
      <c r="H74">
        <v>1</v>
      </c>
      <c r="I74">
        <v>100</v>
      </c>
      <c r="J74">
        <v>1.82</v>
      </c>
      <c r="K74">
        <v>0.65</v>
      </c>
      <c r="L74">
        <v>2.5</v>
      </c>
      <c r="M74">
        <v>0.4</v>
      </c>
      <c r="N74">
        <v>0.89</v>
      </c>
      <c r="O74">
        <v>89</v>
      </c>
      <c r="P74">
        <v>546</v>
      </c>
      <c r="Q74">
        <v>54</v>
      </c>
      <c r="R74">
        <v>100</v>
      </c>
      <c r="S74">
        <v>55</v>
      </c>
      <c r="T74" s="308">
        <v>4</v>
      </c>
      <c r="U74" s="308">
        <v>10</v>
      </c>
      <c r="V74" s="333"/>
      <c r="W74" s="325">
        <f t="shared" si="24"/>
        <v>18.2</v>
      </c>
      <c r="X74" s="325">
        <f t="shared" si="25"/>
        <v>6.5</v>
      </c>
      <c r="Y74" s="325">
        <f t="shared" si="26"/>
        <v>25</v>
      </c>
      <c r="Z74" s="325">
        <f t="shared" si="27"/>
        <v>4</v>
      </c>
      <c r="AA74" s="76"/>
      <c r="AB74" s="76">
        <f t="shared" si="4"/>
        <v>1</v>
      </c>
      <c r="AC74" s="307">
        <f t="shared" si="28"/>
        <v>4</v>
      </c>
      <c r="AD74" s="307">
        <f t="shared" si="29"/>
        <v>10</v>
      </c>
      <c r="AE74" s="1039">
        <f t="shared" si="30"/>
        <v>0.54</v>
      </c>
      <c r="AF74" s="1129">
        <f t="shared" si="31"/>
        <v>0.55000000000000004</v>
      </c>
      <c r="AH74" s="1050"/>
      <c r="AI74" s="726"/>
    </row>
    <row r="75" spans="1:35" x14ac:dyDescent="0.2">
      <c r="A75" s="331" t="str">
        <f t="shared" si="23"/>
        <v>Grünland (mind. 3 Schnitte, Mähweiden, Weiden)</v>
      </c>
      <c r="B75" s="331">
        <f t="shared" si="32"/>
        <v>71</v>
      </c>
      <c r="C75" t="s">
        <v>8458</v>
      </c>
      <c r="D75" t="s">
        <v>8459</v>
      </c>
      <c r="E75" t="s">
        <v>558</v>
      </c>
      <c r="F75" t="s">
        <v>557</v>
      </c>
      <c r="G75">
        <v>3</v>
      </c>
      <c r="H75">
        <v>1</v>
      </c>
      <c r="I75">
        <v>100</v>
      </c>
      <c r="J75">
        <v>2.56</v>
      </c>
      <c r="K75">
        <v>0.81</v>
      </c>
      <c r="L75">
        <v>3.28</v>
      </c>
      <c r="M75">
        <v>0.45</v>
      </c>
      <c r="N75">
        <v>0.89</v>
      </c>
      <c r="O75">
        <v>89</v>
      </c>
      <c r="P75">
        <v>576</v>
      </c>
      <c r="Q75">
        <v>54</v>
      </c>
      <c r="R75">
        <v>100</v>
      </c>
      <c r="S75">
        <v>55</v>
      </c>
      <c r="T75" s="308">
        <v>4</v>
      </c>
      <c r="U75" s="308">
        <v>10</v>
      </c>
      <c r="V75" s="333"/>
      <c r="W75" s="325">
        <f t="shared" si="24"/>
        <v>25.6</v>
      </c>
      <c r="X75" s="325">
        <f t="shared" si="25"/>
        <v>8.1000000000000014</v>
      </c>
      <c r="Y75" s="325">
        <f t="shared" si="26"/>
        <v>32.799999999999997</v>
      </c>
      <c r="Z75" s="325">
        <f t="shared" si="27"/>
        <v>4.5</v>
      </c>
      <c r="AA75" s="76"/>
      <c r="AB75" s="76">
        <f t="shared" si="4"/>
        <v>1</v>
      </c>
      <c r="AC75" s="307">
        <f t="shared" si="28"/>
        <v>4</v>
      </c>
      <c r="AD75" s="307">
        <f t="shared" si="29"/>
        <v>10</v>
      </c>
      <c r="AE75" s="1039">
        <f t="shared" si="30"/>
        <v>0.54</v>
      </c>
      <c r="AF75" s="1129">
        <f t="shared" si="31"/>
        <v>0.55000000000000004</v>
      </c>
      <c r="AH75" s="1050"/>
      <c r="AI75" s="726"/>
    </row>
    <row r="76" spans="1:35" ht="13.5" thickBot="1" x14ac:dyDescent="0.25">
      <c r="A76" s="1087" t="s">
        <v>8246</v>
      </c>
      <c r="B76" s="1087">
        <f t="shared" si="32"/>
        <v>103</v>
      </c>
      <c r="C76" s="331"/>
      <c r="D76" s="1052"/>
      <c r="F76" s="308"/>
      <c r="H76" s="308"/>
      <c r="I76" s="1041"/>
      <c r="J76" s="1053"/>
      <c r="K76" s="1054"/>
      <c r="L76" s="1054"/>
      <c r="M76" s="1882"/>
      <c r="N76" s="1883"/>
      <c r="O76" s="1884"/>
      <c r="P76" s="1884"/>
      <c r="Q76" s="76"/>
      <c r="R76" s="1050"/>
      <c r="S76" s="1130"/>
      <c r="V76" s="333"/>
      <c r="W76" s="1056"/>
      <c r="X76" s="1057"/>
      <c r="Y76" s="1057"/>
      <c r="Z76" s="457"/>
      <c r="AA76" s="76"/>
      <c r="AB76" s="76"/>
      <c r="AC76" s="1290"/>
      <c r="AD76" s="1290"/>
      <c r="AE76" s="1124"/>
      <c r="AF76" s="1124"/>
      <c r="AH76" s="1050"/>
      <c r="AI76" s="726"/>
    </row>
    <row r="77" spans="1:35" ht="13.5" thickBot="1" x14ac:dyDescent="0.25">
      <c r="A77" s="1088" t="s">
        <v>8213</v>
      </c>
      <c r="B77" s="1088">
        <f t="shared" si="32"/>
        <v>104</v>
      </c>
      <c r="C77" s="330" t="s">
        <v>1041</v>
      </c>
      <c r="D77" s="330"/>
      <c r="E77" s="45"/>
      <c r="F77" s="45"/>
      <c r="I77" s="46"/>
      <c r="J77" s="718"/>
      <c r="K77" s="718"/>
      <c r="L77" s="718"/>
      <c r="M77" s="1885"/>
      <c r="O77" s="724"/>
      <c r="Q77" s="76"/>
      <c r="R77" s="362"/>
      <c r="S77" s="1130"/>
      <c r="V77" s="333"/>
      <c r="W77" s="1877"/>
      <c r="X77" s="1878"/>
      <c r="Y77" s="1878"/>
      <c r="AA77" s="76">
        <v>1</v>
      </c>
      <c r="AB77" s="76">
        <v>3</v>
      </c>
      <c r="AC77" s="333"/>
      <c r="AD77" s="333"/>
      <c r="AE77" s="326"/>
      <c r="AF77" s="326"/>
      <c r="AH77" s="326"/>
      <c r="AI77" s="726"/>
    </row>
    <row r="78" spans="1:35" x14ac:dyDescent="0.2">
      <c r="A78" s="1088" t="s">
        <v>8212</v>
      </c>
      <c r="B78" s="1088">
        <f t="shared" si="32"/>
        <v>105</v>
      </c>
      <c r="C78" s="1058" t="s">
        <v>8193</v>
      </c>
      <c r="D78" s="1058"/>
      <c r="E78" s="1059"/>
      <c r="F78" s="1060"/>
      <c r="G78" s="47"/>
      <c r="H78" s="47"/>
      <c r="I78" s="47"/>
      <c r="J78" s="1061"/>
      <c r="K78" s="1062"/>
      <c r="L78" s="1062"/>
      <c r="M78" s="1881"/>
      <c r="N78" s="1886"/>
      <c r="O78" s="1886"/>
      <c r="P78" s="1887"/>
      <c r="Q78" s="1065"/>
      <c r="R78" s="1064"/>
      <c r="S78" s="308"/>
      <c r="V78" s="333"/>
      <c r="W78" s="1879"/>
      <c r="X78" s="1880"/>
      <c r="Y78" s="1881"/>
      <c r="AA78" s="76">
        <v>1</v>
      </c>
      <c r="AB78" s="76">
        <v>3</v>
      </c>
      <c r="AC78" s="333"/>
      <c r="AD78" s="333"/>
      <c r="AE78" s="1125"/>
      <c r="AF78" s="1131"/>
      <c r="AH78" s="1138"/>
      <c r="AI78" s="726"/>
    </row>
    <row r="79" spans="1:35" x14ac:dyDescent="0.2">
      <c r="A79" s="1088" t="s">
        <v>8247</v>
      </c>
      <c r="B79" s="1088">
        <f t="shared" si="32"/>
        <v>106</v>
      </c>
      <c r="C79" t="s">
        <v>747</v>
      </c>
      <c r="D79" t="s">
        <v>8460</v>
      </c>
      <c r="E79">
        <v>1</v>
      </c>
      <c r="F79">
        <v>1</v>
      </c>
      <c r="G79"/>
      <c r="H79"/>
      <c r="I79">
        <v>7.5</v>
      </c>
      <c r="J79"/>
      <c r="K79"/>
      <c r="L79"/>
      <c r="M79"/>
      <c r="N79">
        <v>0.85</v>
      </c>
      <c r="O79">
        <v>85</v>
      </c>
      <c r="P79">
        <v>350</v>
      </c>
      <c r="Q79">
        <v>55</v>
      </c>
      <c r="R79">
        <v>40</v>
      </c>
      <c r="S79">
        <v>50</v>
      </c>
      <c r="T79"/>
      <c r="U79"/>
      <c r="V79"/>
      <c r="W79">
        <v>4.0999999999999996</v>
      </c>
      <c r="X79">
        <v>1.7</v>
      </c>
      <c r="Y79">
        <v>5.3</v>
      </c>
      <c r="Z79">
        <v>1.3</v>
      </c>
      <c r="AA79" s="76">
        <v>1</v>
      </c>
      <c r="AB79" s="76">
        <v>3</v>
      </c>
      <c r="AC79" s="333"/>
      <c r="AD79" s="333"/>
      <c r="AE79" s="1126">
        <f t="shared" ref="AE79:AE104" si="33">Q79/100</f>
        <v>0.55000000000000004</v>
      </c>
      <c r="AF79" s="1132">
        <v>0.6</v>
      </c>
      <c r="AH79" s="1139"/>
      <c r="AI79" s="726"/>
    </row>
    <row r="80" spans="1:35" ht="13.5" thickBot="1" x14ac:dyDescent="0.25">
      <c r="A80" s="331"/>
      <c r="B80" s="1088">
        <f t="shared" si="32"/>
        <v>1</v>
      </c>
      <c r="C80" t="s">
        <v>748</v>
      </c>
      <c r="D80" t="s">
        <v>8461</v>
      </c>
      <c r="E80">
        <v>1</v>
      </c>
      <c r="F80">
        <v>1</v>
      </c>
      <c r="G80"/>
      <c r="H80"/>
      <c r="I80">
        <v>7.5</v>
      </c>
      <c r="J80"/>
      <c r="K80"/>
      <c r="L80"/>
      <c r="M80"/>
      <c r="N80">
        <v>0.85</v>
      </c>
      <c r="O80">
        <v>85</v>
      </c>
      <c r="P80">
        <v>350</v>
      </c>
      <c r="Q80">
        <v>55</v>
      </c>
      <c r="R80">
        <v>40</v>
      </c>
      <c r="S80">
        <v>50</v>
      </c>
      <c r="T80"/>
      <c r="U80"/>
      <c r="V80"/>
      <c r="W80">
        <v>3.9</v>
      </c>
      <c r="X80">
        <v>1.7</v>
      </c>
      <c r="Y80">
        <v>4.7</v>
      </c>
      <c r="Z80">
        <v>1.2</v>
      </c>
      <c r="AA80">
        <v>1</v>
      </c>
      <c r="AB80" s="76">
        <v>3</v>
      </c>
      <c r="AC80" s="333"/>
      <c r="AD80" s="333"/>
      <c r="AE80" s="1126">
        <f t="shared" si="33"/>
        <v>0.55000000000000004</v>
      </c>
      <c r="AF80" s="1132">
        <v>0.6</v>
      </c>
      <c r="AH80" s="1139"/>
      <c r="AI80" s="726"/>
    </row>
    <row r="81" spans="1:35" ht="13.5" thickBot="1" x14ac:dyDescent="0.25">
      <c r="A81" s="330" t="str">
        <f t="shared" ref="A81:A87" si="34">C77</f>
        <v xml:space="preserve"> +++Zukauf org. Dünger+++</v>
      </c>
      <c r="B81" s="1308">
        <f t="shared" si="32"/>
        <v>73</v>
      </c>
      <c r="C81" t="s">
        <v>8182</v>
      </c>
      <c r="D81" t="s">
        <v>8462</v>
      </c>
      <c r="E81">
        <v>1</v>
      </c>
      <c r="F81">
        <v>1</v>
      </c>
      <c r="G81"/>
      <c r="H81"/>
      <c r="I81">
        <v>7.5</v>
      </c>
      <c r="J81"/>
      <c r="K81"/>
      <c r="L81"/>
      <c r="M81"/>
      <c r="N81">
        <v>0.85</v>
      </c>
      <c r="O81">
        <v>85</v>
      </c>
      <c r="P81">
        <v>350</v>
      </c>
      <c r="Q81">
        <v>55</v>
      </c>
      <c r="R81">
        <v>40</v>
      </c>
      <c r="S81">
        <v>50</v>
      </c>
      <c r="T81"/>
      <c r="U81"/>
      <c r="V81"/>
      <c r="W81">
        <v>4.0999999999999996</v>
      </c>
      <c r="X81">
        <v>1.9</v>
      </c>
      <c r="Y81">
        <v>4</v>
      </c>
      <c r="Z81">
        <v>1</v>
      </c>
      <c r="AA81">
        <v>1</v>
      </c>
      <c r="AB81" s="76">
        <v>3</v>
      </c>
      <c r="AC81" s="333"/>
      <c r="AD81" s="333"/>
      <c r="AE81" s="1126">
        <f t="shared" si="33"/>
        <v>0.55000000000000004</v>
      </c>
      <c r="AF81" s="1132">
        <v>0.6</v>
      </c>
      <c r="AH81" s="1139"/>
      <c r="AI81" s="726"/>
    </row>
    <row r="82" spans="1:35" x14ac:dyDescent="0.2">
      <c r="A82" s="1058" t="str">
        <f t="shared" si="34"/>
        <v xml:space="preserve"> +++Rind, nur Zukauf+++</v>
      </c>
      <c r="B82" s="1309">
        <f t="shared" si="32"/>
        <v>74</v>
      </c>
      <c r="C82" t="s">
        <v>8483</v>
      </c>
      <c r="D82" t="s">
        <v>8463</v>
      </c>
      <c r="E82">
        <v>1</v>
      </c>
      <c r="F82">
        <v>2</v>
      </c>
      <c r="G82"/>
      <c r="H82"/>
      <c r="I82">
        <v>18.5</v>
      </c>
      <c r="J82"/>
      <c r="K82"/>
      <c r="L82"/>
      <c r="M82"/>
      <c r="N82">
        <v>0.8</v>
      </c>
      <c r="O82">
        <v>80</v>
      </c>
      <c r="P82">
        <v>450</v>
      </c>
      <c r="Q82">
        <v>55</v>
      </c>
      <c r="R82">
        <v>100</v>
      </c>
      <c r="S82">
        <v>10</v>
      </c>
      <c r="T82"/>
      <c r="U82"/>
      <c r="V82"/>
      <c r="W82">
        <v>3.6999999999999997</v>
      </c>
      <c r="X82">
        <v>2.5</v>
      </c>
      <c r="Y82">
        <v>5.9</v>
      </c>
      <c r="Z82">
        <v>1.9</v>
      </c>
      <c r="AA82">
        <v>1</v>
      </c>
      <c r="AB82" s="76">
        <v>3</v>
      </c>
      <c r="AC82" s="333"/>
      <c r="AD82" s="333"/>
      <c r="AE82" s="1126">
        <f t="shared" si="33"/>
        <v>0.55000000000000004</v>
      </c>
      <c r="AF82" s="1132">
        <v>0.55000000000000004</v>
      </c>
      <c r="AH82" s="1139"/>
      <c r="AI82" s="726"/>
    </row>
    <row r="83" spans="1:35" x14ac:dyDescent="0.2">
      <c r="A83" s="1071" t="str">
        <f t="shared" si="34"/>
        <v>Milchviehgülle (Grünland)</v>
      </c>
      <c r="B83" s="1071">
        <f t="shared" si="32"/>
        <v>75</v>
      </c>
      <c r="C83" t="s">
        <v>8484</v>
      </c>
      <c r="D83" t="s">
        <v>8464</v>
      </c>
      <c r="E83">
        <v>1</v>
      </c>
      <c r="F83">
        <v>2</v>
      </c>
      <c r="G83"/>
      <c r="H83"/>
      <c r="I83">
        <v>23</v>
      </c>
      <c r="J83"/>
      <c r="K83"/>
      <c r="L83"/>
      <c r="M83"/>
      <c r="N83">
        <v>0.8</v>
      </c>
      <c r="O83">
        <v>80</v>
      </c>
      <c r="P83">
        <v>450</v>
      </c>
      <c r="Q83">
        <v>55</v>
      </c>
      <c r="R83">
        <v>100</v>
      </c>
      <c r="S83">
        <v>10</v>
      </c>
      <c r="T83"/>
      <c r="U83"/>
      <c r="V83"/>
      <c r="W83">
        <v>4.0999999999999996</v>
      </c>
      <c r="X83">
        <v>2.1</v>
      </c>
      <c r="Y83">
        <v>8.1</v>
      </c>
      <c r="Z83">
        <v>1.7</v>
      </c>
      <c r="AA83">
        <v>1</v>
      </c>
      <c r="AB83" s="76">
        <v>3</v>
      </c>
      <c r="AC83" s="333"/>
      <c r="AD83" s="333"/>
      <c r="AE83" s="1126">
        <f t="shared" si="33"/>
        <v>0.55000000000000004</v>
      </c>
      <c r="AF83" s="1132">
        <v>0.55000000000000004</v>
      </c>
      <c r="AH83" s="1139"/>
      <c r="AI83" s="726"/>
    </row>
    <row r="84" spans="1:35" x14ac:dyDescent="0.2">
      <c r="A84" s="1071" t="str">
        <f t="shared" si="34"/>
        <v>Milchviehgülle (Acker)</v>
      </c>
      <c r="B84" s="1071">
        <f t="shared" si="32"/>
        <v>76</v>
      </c>
      <c r="C84" t="s">
        <v>8485</v>
      </c>
      <c r="D84" t="s">
        <v>8465</v>
      </c>
      <c r="E84">
        <v>1</v>
      </c>
      <c r="F84">
        <v>1</v>
      </c>
      <c r="G84"/>
      <c r="H84"/>
      <c r="I84">
        <v>1.8</v>
      </c>
      <c r="J84"/>
      <c r="K84"/>
      <c r="L84"/>
      <c r="M84"/>
      <c r="N84">
        <v>0.85</v>
      </c>
      <c r="O84">
        <v>85</v>
      </c>
      <c r="P84">
        <v>350</v>
      </c>
      <c r="Q84">
        <v>55</v>
      </c>
      <c r="R84">
        <v>40</v>
      </c>
      <c r="S84">
        <v>90</v>
      </c>
      <c r="T84"/>
      <c r="U84"/>
      <c r="V84"/>
      <c r="W84">
        <v>3.2</v>
      </c>
      <c r="X84">
        <v>0.2</v>
      </c>
      <c r="Y84">
        <v>7.9</v>
      </c>
      <c r="Z84">
        <v>0.2</v>
      </c>
      <c r="AA84">
        <v>1</v>
      </c>
      <c r="AB84" s="76">
        <v>3</v>
      </c>
      <c r="AC84" s="333"/>
      <c r="AD84" s="333"/>
      <c r="AE84" s="1126">
        <f t="shared" si="33"/>
        <v>0.55000000000000004</v>
      </c>
      <c r="AF84" s="1132">
        <v>0.6</v>
      </c>
      <c r="AH84" s="1139"/>
      <c r="AI84" s="726"/>
    </row>
    <row r="85" spans="1:35" x14ac:dyDescent="0.2">
      <c r="A85" s="1071" t="str">
        <f t="shared" si="34"/>
        <v>Mastbullengülle</v>
      </c>
      <c r="B85" s="1071">
        <f t="shared" si="32"/>
        <v>77</v>
      </c>
      <c r="C85" t="s">
        <v>8245</v>
      </c>
      <c r="D85" t="s">
        <v>487</v>
      </c>
      <c r="E85"/>
      <c r="F85"/>
      <c r="G85"/>
      <c r="H85"/>
      <c r="I85"/>
      <c r="J85"/>
      <c r="K85"/>
      <c r="L85"/>
      <c r="M85"/>
      <c r="N85"/>
      <c r="O85"/>
      <c r="P85"/>
      <c r="T85"/>
      <c r="U85"/>
      <c r="V85"/>
      <c r="W85"/>
      <c r="X85"/>
      <c r="Y85"/>
      <c r="Z85"/>
      <c r="AA85">
        <v>1</v>
      </c>
      <c r="AB85" s="76">
        <v>3</v>
      </c>
      <c r="AC85" s="333"/>
      <c r="AD85" s="333"/>
      <c r="AE85" s="1126">
        <f t="shared" si="33"/>
        <v>0</v>
      </c>
      <c r="AF85" s="1133"/>
      <c r="AH85" s="1138"/>
      <c r="AI85" s="726"/>
    </row>
    <row r="86" spans="1:35" x14ac:dyDescent="0.2">
      <c r="A86" s="1071" t="str">
        <f t="shared" si="34"/>
        <v>Rindermist, geringe Einstreu</v>
      </c>
      <c r="B86" s="1071">
        <f t="shared" si="32"/>
        <v>78</v>
      </c>
      <c r="C86" t="s">
        <v>8486</v>
      </c>
      <c r="D86" t="s">
        <v>8466</v>
      </c>
      <c r="E86">
        <v>2</v>
      </c>
      <c r="F86">
        <v>1</v>
      </c>
      <c r="G86"/>
      <c r="H86"/>
      <c r="I86">
        <v>5</v>
      </c>
      <c r="J86"/>
      <c r="K86"/>
      <c r="L86"/>
      <c r="M86"/>
      <c r="N86">
        <v>0.85</v>
      </c>
      <c r="O86">
        <v>85</v>
      </c>
      <c r="P86">
        <v>400</v>
      </c>
      <c r="Q86">
        <v>60</v>
      </c>
      <c r="R86">
        <v>40</v>
      </c>
      <c r="S86">
        <v>60</v>
      </c>
      <c r="T86"/>
      <c r="U86"/>
      <c r="V86"/>
      <c r="W86">
        <v>5.7</v>
      </c>
      <c r="X86">
        <v>3</v>
      </c>
      <c r="Y86">
        <v>3.5</v>
      </c>
      <c r="Z86">
        <v>1.3</v>
      </c>
      <c r="AA86">
        <v>1</v>
      </c>
      <c r="AB86" s="76">
        <v>3</v>
      </c>
      <c r="AC86" s="333"/>
      <c r="AD86" s="333"/>
      <c r="AE86" s="1126">
        <f t="shared" si="33"/>
        <v>0.6</v>
      </c>
      <c r="AF86" s="1132">
        <v>0.7</v>
      </c>
      <c r="AH86" s="1139"/>
      <c r="AI86" s="726"/>
    </row>
    <row r="87" spans="1:35" x14ac:dyDescent="0.2">
      <c r="A87" s="1071" t="str">
        <f t="shared" si="34"/>
        <v>Rindermist, hohe Einstreu</v>
      </c>
      <c r="B87" s="1071">
        <f t="shared" si="32"/>
        <v>79</v>
      </c>
      <c r="C87" t="s">
        <v>749</v>
      </c>
      <c r="D87" t="s">
        <v>8467</v>
      </c>
      <c r="E87">
        <v>2</v>
      </c>
      <c r="F87">
        <v>1</v>
      </c>
      <c r="G87"/>
      <c r="H87"/>
      <c r="I87">
        <v>5</v>
      </c>
      <c r="J87"/>
      <c r="K87"/>
      <c r="L87"/>
      <c r="M87"/>
      <c r="N87">
        <v>0.85</v>
      </c>
      <c r="O87">
        <v>85</v>
      </c>
      <c r="P87">
        <v>400</v>
      </c>
      <c r="Q87">
        <v>60</v>
      </c>
      <c r="R87">
        <v>40</v>
      </c>
      <c r="S87">
        <v>60</v>
      </c>
      <c r="T87"/>
      <c r="U87"/>
      <c r="V87"/>
      <c r="W87">
        <v>5.5</v>
      </c>
      <c r="X87">
        <v>2.6</v>
      </c>
      <c r="Y87">
        <v>3.4</v>
      </c>
      <c r="Z87">
        <v>1.2</v>
      </c>
      <c r="AA87">
        <v>1</v>
      </c>
      <c r="AB87" s="76">
        <v>3</v>
      </c>
      <c r="AC87" s="333"/>
      <c r="AD87" s="333"/>
      <c r="AE87" s="1126">
        <f t="shared" si="33"/>
        <v>0.6</v>
      </c>
      <c r="AF87" s="1132">
        <v>0.7</v>
      </c>
      <c r="AH87" s="1139"/>
      <c r="AI87" s="726"/>
    </row>
    <row r="88" spans="1:35" x14ac:dyDescent="0.2">
      <c r="A88" s="1066" t="str">
        <f>C84</f>
        <v>Rinderjauche</v>
      </c>
      <c r="B88" s="1066">
        <f t="shared" si="32"/>
        <v>80</v>
      </c>
      <c r="C88" t="s">
        <v>8183</v>
      </c>
      <c r="D88" t="s">
        <v>8468</v>
      </c>
      <c r="E88">
        <v>2</v>
      </c>
      <c r="F88">
        <v>1</v>
      </c>
      <c r="G88"/>
      <c r="H88"/>
      <c r="I88">
        <v>5</v>
      </c>
      <c r="J88"/>
      <c r="K88"/>
      <c r="L88"/>
      <c r="M88"/>
      <c r="N88">
        <v>0.85</v>
      </c>
      <c r="O88">
        <v>85</v>
      </c>
      <c r="P88">
        <v>400</v>
      </c>
      <c r="Q88">
        <v>60</v>
      </c>
      <c r="R88">
        <v>40</v>
      </c>
      <c r="S88">
        <v>60</v>
      </c>
      <c r="T88"/>
      <c r="U88"/>
      <c r="V88"/>
      <c r="W88">
        <v>5</v>
      </c>
      <c r="X88">
        <v>2.4</v>
      </c>
      <c r="Y88">
        <v>3.3</v>
      </c>
      <c r="Z88">
        <v>1.2</v>
      </c>
      <c r="AA88">
        <v>1</v>
      </c>
      <c r="AB88" s="76">
        <v>3</v>
      </c>
      <c r="AC88" s="333"/>
      <c r="AD88" s="333"/>
      <c r="AE88" s="1126">
        <f t="shared" si="33"/>
        <v>0.6</v>
      </c>
      <c r="AF88" s="1134">
        <v>0.7</v>
      </c>
      <c r="AH88" s="1138"/>
      <c r="AI88" s="726"/>
    </row>
    <row r="89" spans="1:35" x14ac:dyDescent="0.2">
      <c r="A89" s="1305" t="str">
        <f>C111</f>
        <v>Sonstige Wirtschaftsdünger - Rind</v>
      </c>
      <c r="B89" s="1305">
        <f t="shared" si="32"/>
        <v>107</v>
      </c>
      <c r="C89" t="s">
        <v>8184</v>
      </c>
      <c r="D89" t="s">
        <v>8469</v>
      </c>
      <c r="E89">
        <v>2</v>
      </c>
      <c r="F89">
        <v>1</v>
      </c>
      <c r="G89"/>
      <c r="H89"/>
      <c r="I89">
        <v>5</v>
      </c>
      <c r="J89"/>
      <c r="K89"/>
      <c r="L89"/>
      <c r="M89"/>
      <c r="N89">
        <v>0.85</v>
      </c>
      <c r="O89">
        <v>85</v>
      </c>
      <c r="P89">
        <v>400</v>
      </c>
      <c r="Q89">
        <v>60</v>
      </c>
      <c r="R89">
        <v>40</v>
      </c>
      <c r="S89">
        <v>60</v>
      </c>
      <c r="T89"/>
      <c r="U89"/>
      <c r="V89"/>
      <c r="W89">
        <v>4.5999999999999996</v>
      </c>
      <c r="X89">
        <v>2.5</v>
      </c>
      <c r="Y89">
        <v>2.9</v>
      </c>
      <c r="Z89">
        <v>1</v>
      </c>
      <c r="AA89">
        <v>1</v>
      </c>
      <c r="AB89" s="76">
        <v>3</v>
      </c>
      <c r="AC89" s="333"/>
      <c r="AD89" s="333"/>
      <c r="AE89" s="1126">
        <f t="shared" si="33"/>
        <v>0.6</v>
      </c>
      <c r="AF89" s="1132">
        <v>0.7</v>
      </c>
      <c r="AH89" s="1139"/>
      <c r="AI89" s="726"/>
    </row>
    <row r="90" spans="1:35" x14ac:dyDescent="0.2">
      <c r="A90" s="1072" t="str">
        <f t="shared" ref="A90:A99" si="35">C85</f>
        <v xml:space="preserve"> +++Schwein, nur Zukauf+++</v>
      </c>
      <c r="B90" s="1310">
        <f t="shared" si="32"/>
        <v>81</v>
      </c>
      <c r="C90" t="s">
        <v>8669</v>
      </c>
      <c r="D90" t="s">
        <v>8470</v>
      </c>
      <c r="E90">
        <v>2</v>
      </c>
      <c r="F90">
        <v>1</v>
      </c>
      <c r="G90"/>
      <c r="H90"/>
      <c r="I90">
        <v>5</v>
      </c>
      <c r="J90"/>
      <c r="K90"/>
      <c r="L90"/>
      <c r="M90"/>
      <c r="N90">
        <v>0.85</v>
      </c>
      <c r="O90">
        <v>85</v>
      </c>
      <c r="P90">
        <v>400</v>
      </c>
      <c r="Q90">
        <v>60</v>
      </c>
      <c r="R90">
        <v>40</v>
      </c>
      <c r="S90">
        <v>60</v>
      </c>
      <c r="T90"/>
      <c r="U90"/>
      <c r="V90"/>
      <c r="W90">
        <v>4.0999999999999996</v>
      </c>
      <c r="X90">
        <v>2.2000000000000002</v>
      </c>
      <c r="Y90">
        <v>2.7</v>
      </c>
      <c r="Z90">
        <v>1</v>
      </c>
      <c r="AA90">
        <v>1</v>
      </c>
      <c r="AB90" s="76">
        <v>3</v>
      </c>
      <c r="AC90" s="333"/>
      <c r="AD90" s="333"/>
      <c r="AE90" s="1126">
        <f t="shared" si="33"/>
        <v>0.6</v>
      </c>
      <c r="AF90" s="1132">
        <v>0.7</v>
      </c>
      <c r="AH90" s="1139"/>
      <c r="AI90" s="726"/>
    </row>
    <row r="91" spans="1:35" x14ac:dyDescent="0.2">
      <c r="A91" s="1074" t="str">
        <f t="shared" si="35"/>
        <v>Mastschweinegülle, Standardfutter</v>
      </c>
      <c r="B91" s="1074">
        <f t="shared" si="32"/>
        <v>82</v>
      </c>
      <c r="C91" t="s">
        <v>8185</v>
      </c>
      <c r="D91" t="s">
        <v>8471</v>
      </c>
      <c r="E91">
        <v>2</v>
      </c>
      <c r="F91">
        <v>1</v>
      </c>
      <c r="G91"/>
      <c r="H91"/>
      <c r="I91">
        <v>5</v>
      </c>
      <c r="J91"/>
      <c r="K91"/>
      <c r="L91"/>
      <c r="M91"/>
      <c r="N91">
        <v>0.85</v>
      </c>
      <c r="O91">
        <v>85</v>
      </c>
      <c r="P91">
        <v>400</v>
      </c>
      <c r="Q91">
        <v>60</v>
      </c>
      <c r="R91">
        <v>40</v>
      </c>
      <c r="S91">
        <v>60</v>
      </c>
      <c r="T91"/>
      <c r="U91"/>
      <c r="V91"/>
      <c r="W91">
        <v>3.9</v>
      </c>
      <c r="X91">
        <v>2.1</v>
      </c>
      <c r="Y91">
        <v>2.7</v>
      </c>
      <c r="Z91">
        <v>1</v>
      </c>
      <c r="AA91">
        <v>1</v>
      </c>
      <c r="AB91" s="76">
        <v>3</v>
      </c>
      <c r="AC91" s="333"/>
      <c r="AD91" s="333"/>
      <c r="AE91" s="1126">
        <f t="shared" si="33"/>
        <v>0.6</v>
      </c>
      <c r="AF91" s="1134">
        <v>0.7</v>
      </c>
      <c r="AH91" s="1138"/>
      <c r="AI91" s="726"/>
    </row>
    <row r="92" spans="1:35" ht="25.5" x14ac:dyDescent="0.2">
      <c r="A92" s="1074" t="str">
        <f t="shared" si="35"/>
        <v>Mastschweinegülle, N-/P-red. Fütterung</v>
      </c>
      <c r="B92" s="1074">
        <f t="shared" si="32"/>
        <v>83</v>
      </c>
      <c r="C92" t="s">
        <v>8186</v>
      </c>
      <c r="D92" t="s">
        <v>8472</v>
      </c>
      <c r="E92">
        <v>2</v>
      </c>
      <c r="F92">
        <v>2</v>
      </c>
      <c r="G92"/>
      <c r="H92"/>
      <c r="I92">
        <v>21</v>
      </c>
      <c r="J92"/>
      <c r="K92"/>
      <c r="L92"/>
      <c r="M92"/>
      <c r="N92">
        <v>0.82</v>
      </c>
      <c r="O92">
        <v>82</v>
      </c>
      <c r="P92">
        <v>400</v>
      </c>
      <c r="Q92">
        <v>60</v>
      </c>
      <c r="R92">
        <v>100</v>
      </c>
      <c r="S92">
        <v>10</v>
      </c>
      <c r="T92"/>
      <c r="U92"/>
      <c r="V92"/>
      <c r="W92">
        <v>6</v>
      </c>
      <c r="X92">
        <v>4.3</v>
      </c>
      <c r="Y92">
        <v>6.2</v>
      </c>
      <c r="Z92">
        <v>2</v>
      </c>
      <c r="AA92">
        <v>1</v>
      </c>
      <c r="AB92" s="76">
        <v>3</v>
      </c>
      <c r="AC92" s="333"/>
      <c r="AD92" s="333"/>
      <c r="AE92" s="1126">
        <f t="shared" si="33"/>
        <v>0.6</v>
      </c>
      <c r="AF92" s="1132">
        <v>0.55000000000000004</v>
      </c>
      <c r="AH92" s="1139"/>
      <c r="AI92" s="726"/>
    </row>
    <row r="93" spans="1:35" ht="25.5" x14ac:dyDescent="0.2">
      <c r="A93" s="1078" t="str">
        <f t="shared" si="35"/>
        <v>Mastschweinegülle, stark N-/P-red. Fütterung</v>
      </c>
      <c r="B93" s="1078">
        <f t="shared" si="32"/>
        <v>84</v>
      </c>
      <c r="C93" t="s">
        <v>8187</v>
      </c>
      <c r="D93" t="s">
        <v>8473</v>
      </c>
      <c r="E93">
        <v>2</v>
      </c>
      <c r="F93">
        <v>2</v>
      </c>
      <c r="G93"/>
      <c r="H93"/>
      <c r="I93">
        <v>25</v>
      </c>
      <c r="J93"/>
      <c r="K93"/>
      <c r="L93"/>
      <c r="M93"/>
      <c r="N93">
        <v>0.82</v>
      </c>
      <c r="O93">
        <v>82</v>
      </c>
      <c r="P93">
        <v>400</v>
      </c>
      <c r="Q93">
        <v>60</v>
      </c>
      <c r="R93">
        <v>100</v>
      </c>
      <c r="S93">
        <v>10</v>
      </c>
      <c r="T93"/>
      <c r="U93"/>
      <c r="V93"/>
      <c r="W93">
        <v>5.2</v>
      </c>
      <c r="X93">
        <v>2.9</v>
      </c>
      <c r="Y93">
        <v>7</v>
      </c>
      <c r="Z93">
        <v>1.5</v>
      </c>
      <c r="AA93">
        <v>1</v>
      </c>
      <c r="AB93" s="76">
        <v>3</v>
      </c>
      <c r="AC93" s="333"/>
      <c r="AD93" s="333"/>
      <c r="AE93" s="1126">
        <f t="shared" si="33"/>
        <v>0.6</v>
      </c>
      <c r="AF93" s="1132">
        <v>0.55000000000000004</v>
      </c>
      <c r="AH93" s="1139"/>
      <c r="AI93" s="726"/>
    </row>
    <row r="94" spans="1:35" x14ac:dyDescent="0.2">
      <c r="A94" s="1074" t="str">
        <f t="shared" si="35"/>
        <v>Zuchtsauengülle, Standardfutter</v>
      </c>
      <c r="B94" s="1074">
        <f t="shared" si="32"/>
        <v>85</v>
      </c>
      <c r="C94" t="s">
        <v>750</v>
      </c>
      <c r="D94" t="s">
        <v>8474</v>
      </c>
      <c r="E94">
        <v>2</v>
      </c>
      <c r="F94">
        <v>1</v>
      </c>
      <c r="G94"/>
      <c r="H94"/>
      <c r="I94">
        <v>1.8</v>
      </c>
      <c r="J94"/>
      <c r="K94"/>
      <c r="L94"/>
      <c r="M94"/>
      <c r="N94">
        <v>0.85</v>
      </c>
      <c r="O94">
        <v>85</v>
      </c>
      <c r="P94">
        <v>400</v>
      </c>
      <c r="Q94">
        <v>60</v>
      </c>
      <c r="R94">
        <v>40</v>
      </c>
      <c r="S94">
        <v>90</v>
      </c>
      <c r="T94"/>
      <c r="U94"/>
      <c r="V94"/>
      <c r="W94">
        <v>3.3</v>
      </c>
      <c r="X94">
        <v>0.2</v>
      </c>
      <c r="Y94">
        <v>3.1</v>
      </c>
      <c r="Z94">
        <v>0.2</v>
      </c>
      <c r="AA94">
        <v>1</v>
      </c>
      <c r="AB94" s="76">
        <v>3</v>
      </c>
      <c r="AC94" s="333"/>
      <c r="AD94" s="333"/>
      <c r="AE94" s="1126">
        <f t="shared" si="33"/>
        <v>0.6</v>
      </c>
      <c r="AF94" s="1132">
        <v>0.7</v>
      </c>
      <c r="AH94" s="1139"/>
      <c r="AI94" s="726"/>
    </row>
    <row r="95" spans="1:35" x14ac:dyDescent="0.2">
      <c r="A95" s="1074" t="str">
        <f t="shared" si="35"/>
        <v>Zuchtsauengülle, N-/P-red. Fütterung</v>
      </c>
      <c r="B95" s="1074">
        <f t="shared" si="32"/>
        <v>86</v>
      </c>
      <c r="C95" t="s">
        <v>8194</v>
      </c>
      <c r="D95" t="s">
        <v>487</v>
      </c>
      <c r="E95"/>
      <c r="F95"/>
      <c r="G95"/>
      <c r="H95"/>
      <c r="I95"/>
      <c r="J95"/>
      <c r="K95"/>
      <c r="L95"/>
      <c r="M95"/>
      <c r="N95"/>
      <c r="O95"/>
      <c r="P95"/>
      <c r="T95"/>
      <c r="U95"/>
      <c r="V95"/>
      <c r="W95"/>
      <c r="X95"/>
      <c r="Y95"/>
      <c r="Z95"/>
      <c r="AA95">
        <v>1</v>
      </c>
      <c r="AB95" s="76">
        <v>3</v>
      </c>
      <c r="AC95" s="333"/>
      <c r="AD95" s="333"/>
      <c r="AE95" s="1126">
        <f t="shared" si="33"/>
        <v>0</v>
      </c>
      <c r="AF95" s="1133"/>
      <c r="AH95" s="1138"/>
      <c r="AI95" s="726"/>
    </row>
    <row r="96" spans="1:35" ht="25.5" x14ac:dyDescent="0.2">
      <c r="A96" s="1078" t="str">
        <f t="shared" si="35"/>
        <v>Zuchtsauengülle, stark N-/P-red. Fütterung</v>
      </c>
      <c r="B96" s="1078">
        <f t="shared" si="32"/>
        <v>87</v>
      </c>
      <c r="C96" t="s">
        <v>8188</v>
      </c>
      <c r="D96" t="s">
        <v>8475</v>
      </c>
      <c r="E96">
        <v>3</v>
      </c>
      <c r="F96">
        <v>2</v>
      </c>
      <c r="G96"/>
      <c r="H96"/>
      <c r="I96">
        <v>50</v>
      </c>
      <c r="J96"/>
      <c r="K96"/>
      <c r="L96"/>
      <c r="M96"/>
      <c r="N96">
        <v>0.75</v>
      </c>
      <c r="O96">
        <v>75</v>
      </c>
      <c r="P96">
        <v>500</v>
      </c>
      <c r="Q96">
        <v>55</v>
      </c>
      <c r="R96">
        <v>100</v>
      </c>
      <c r="S96">
        <v>45</v>
      </c>
      <c r="T96"/>
      <c r="U96"/>
      <c r="V96"/>
      <c r="W96">
        <v>20.3</v>
      </c>
      <c r="X96">
        <v>16</v>
      </c>
      <c r="Y96">
        <v>18</v>
      </c>
      <c r="Z96">
        <v>6.9</v>
      </c>
      <c r="AA96">
        <v>1</v>
      </c>
      <c r="AB96" s="76">
        <v>3</v>
      </c>
      <c r="AC96" s="333"/>
      <c r="AD96" s="333"/>
      <c r="AE96" s="1126">
        <f t="shared" si="33"/>
        <v>0.55000000000000004</v>
      </c>
      <c r="AF96" s="1132">
        <v>0.7</v>
      </c>
      <c r="AH96" s="1139"/>
      <c r="AI96" s="726"/>
    </row>
    <row r="97" spans="1:35" x14ac:dyDescent="0.2">
      <c r="A97" s="1066" t="str">
        <f t="shared" si="35"/>
        <v>Schweinemist, geringe Einstreu</v>
      </c>
      <c r="B97" s="1066">
        <f t="shared" si="32"/>
        <v>88</v>
      </c>
      <c r="C97" t="s">
        <v>8189</v>
      </c>
      <c r="D97" t="s">
        <v>8476</v>
      </c>
      <c r="E97">
        <v>3</v>
      </c>
      <c r="F97">
        <v>2</v>
      </c>
      <c r="G97"/>
      <c r="H97"/>
      <c r="I97">
        <v>50</v>
      </c>
      <c r="J97"/>
      <c r="K97"/>
      <c r="L97"/>
      <c r="M97"/>
      <c r="N97">
        <v>0.74</v>
      </c>
      <c r="O97">
        <v>74</v>
      </c>
      <c r="P97">
        <v>500</v>
      </c>
      <c r="Q97">
        <v>58</v>
      </c>
      <c r="R97">
        <v>100</v>
      </c>
      <c r="S97">
        <v>45</v>
      </c>
      <c r="T97"/>
      <c r="U97"/>
      <c r="V97"/>
      <c r="W97">
        <v>22.1</v>
      </c>
      <c r="X97">
        <v>17.5</v>
      </c>
      <c r="Y97">
        <v>18.899999999999999</v>
      </c>
      <c r="Z97">
        <v>7.5</v>
      </c>
      <c r="AA97">
        <v>1</v>
      </c>
      <c r="AB97" s="76">
        <v>3</v>
      </c>
      <c r="AC97" s="333"/>
      <c r="AD97" s="333"/>
      <c r="AE97" s="1126">
        <f>Q97/100</f>
        <v>0.57999999999999996</v>
      </c>
      <c r="AF97" s="1132">
        <v>0.7</v>
      </c>
      <c r="AH97" s="1139"/>
      <c r="AI97" s="726"/>
    </row>
    <row r="98" spans="1:35" x14ac:dyDescent="0.2">
      <c r="A98" s="1079" t="str">
        <f t="shared" si="35"/>
        <v>Schweinemist, hohe Einstreu</v>
      </c>
      <c r="B98" s="1079">
        <f t="shared" si="32"/>
        <v>89</v>
      </c>
      <c r="C98" t="s">
        <v>751</v>
      </c>
      <c r="D98" t="s">
        <v>8477</v>
      </c>
      <c r="E98">
        <v>3</v>
      </c>
      <c r="F98">
        <v>2</v>
      </c>
      <c r="G98"/>
      <c r="H98"/>
      <c r="I98">
        <v>50</v>
      </c>
      <c r="J98"/>
      <c r="K98"/>
      <c r="L98"/>
      <c r="M98"/>
      <c r="N98">
        <v>0.75</v>
      </c>
      <c r="O98">
        <v>75</v>
      </c>
      <c r="P98">
        <v>500</v>
      </c>
      <c r="Q98">
        <v>65</v>
      </c>
      <c r="R98">
        <v>100</v>
      </c>
      <c r="S98">
        <v>45</v>
      </c>
      <c r="T98"/>
      <c r="U98"/>
      <c r="V98"/>
      <c r="W98">
        <v>20.6</v>
      </c>
      <c r="X98">
        <v>19</v>
      </c>
      <c r="Y98">
        <v>13.6</v>
      </c>
      <c r="Z98">
        <v>5</v>
      </c>
      <c r="AA98">
        <v>1</v>
      </c>
      <c r="AB98" s="76">
        <v>3</v>
      </c>
      <c r="AC98" s="333"/>
      <c r="AD98" s="333"/>
      <c r="AE98" s="1126">
        <f t="shared" ref="AE98:AE99" si="36">Q98/100</f>
        <v>0.65</v>
      </c>
      <c r="AF98" s="1132">
        <v>0.7</v>
      </c>
      <c r="AH98" s="1139"/>
      <c r="AI98" s="726"/>
    </row>
    <row r="99" spans="1:35" x14ac:dyDescent="0.2">
      <c r="A99" s="1066" t="str">
        <f t="shared" si="35"/>
        <v>Schweinejauche</v>
      </c>
      <c r="B99" s="1066">
        <f t="shared" si="32"/>
        <v>90</v>
      </c>
      <c r="C99" t="s">
        <v>8190</v>
      </c>
      <c r="D99" t="s">
        <v>8478</v>
      </c>
      <c r="E99">
        <v>3</v>
      </c>
      <c r="F99">
        <v>2</v>
      </c>
      <c r="G99"/>
      <c r="H99"/>
      <c r="I99">
        <v>60</v>
      </c>
      <c r="J99"/>
      <c r="K99"/>
      <c r="L99"/>
      <c r="M99"/>
      <c r="N99">
        <v>0.75</v>
      </c>
      <c r="O99">
        <v>75</v>
      </c>
      <c r="P99">
        <v>500</v>
      </c>
      <c r="Q99">
        <v>55</v>
      </c>
      <c r="R99">
        <v>100</v>
      </c>
      <c r="S99">
        <v>45</v>
      </c>
      <c r="T99"/>
      <c r="U99"/>
      <c r="V99"/>
      <c r="W99">
        <v>19.7</v>
      </c>
      <c r="X99">
        <v>15.7</v>
      </c>
      <c r="Y99">
        <v>19.7</v>
      </c>
      <c r="Z99">
        <v>7.5</v>
      </c>
      <c r="AA99">
        <v>1</v>
      </c>
      <c r="AB99" s="76">
        <v>3</v>
      </c>
      <c r="AC99" s="333"/>
      <c r="AD99" s="333"/>
      <c r="AE99" s="1126">
        <f t="shared" si="36"/>
        <v>0.55000000000000004</v>
      </c>
      <c r="AF99" s="1132">
        <v>0.7</v>
      </c>
      <c r="AH99" s="1139"/>
      <c r="AI99" s="726"/>
    </row>
    <row r="100" spans="1:35" x14ac:dyDescent="0.2">
      <c r="A100" s="1305" t="str">
        <f>C112</f>
        <v>Sonstige Wirtschaftsdünger - Schwein</v>
      </c>
      <c r="B100" s="1305">
        <f t="shared" si="32"/>
        <v>108</v>
      </c>
      <c r="C100" t="s">
        <v>8191</v>
      </c>
      <c r="D100" t="s">
        <v>8479</v>
      </c>
      <c r="E100">
        <v>3</v>
      </c>
      <c r="F100">
        <v>2</v>
      </c>
      <c r="G100"/>
      <c r="H100"/>
      <c r="I100">
        <v>30</v>
      </c>
      <c r="J100"/>
      <c r="K100"/>
      <c r="L100"/>
      <c r="M100"/>
      <c r="N100">
        <v>0.75</v>
      </c>
      <c r="O100">
        <v>75</v>
      </c>
      <c r="P100">
        <v>500</v>
      </c>
      <c r="Q100">
        <v>55</v>
      </c>
      <c r="R100">
        <v>100</v>
      </c>
      <c r="S100">
        <v>45.1</v>
      </c>
      <c r="T100"/>
      <c r="U100"/>
      <c r="V100"/>
      <c r="W100">
        <v>6.5</v>
      </c>
      <c r="X100">
        <v>6</v>
      </c>
      <c r="Y100">
        <v>6.2</v>
      </c>
      <c r="Z100">
        <v>2.2999999999999998</v>
      </c>
      <c r="AA100">
        <v>1</v>
      </c>
      <c r="AB100" s="76">
        <v>3</v>
      </c>
      <c r="AC100" s="333"/>
      <c r="AD100" s="333"/>
      <c r="AE100" s="1126">
        <f>Q100/100</f>
        <v>0.55000000000000004</v>
      </c>
      <c r="AF100" s="1132">
        <v>0.7</v>
      </c>
      <c r="AH100" s="1139"/>
      <c r="AI100" s="726"/>
    </row>
    <row r="101" spans="1:35" x14ac:dyDescent="0.2">
      <c r="A101" s="1080" t="str">
        <f t="shared" ref="A101:A107" si="37">C95</f>
        <v xml:space="preserve"> +++Geflügel, nur Zukauf+++</v>
      </c>
      <c r="B101" s="1311">
        <f t="shared" ref="B101" si="38">IFERROR(MATCH(A101,$C$5:$C$114,0),1)</f>
        <v>91</v>
      </c>
      <c r="C101" t="s">
        <v>752</v>
      </c>
      <c r="D101" t="s">
        <v>8480</v>
      </c>
      <c r="E101">
        <v>3</v>
      </c>
      <c r="F101">
        <v>2</v>
      </c>
      <c r="G101"/>
      <c r="H101"/>
      <c r="I101">
        <v>30</v>
      </c>
      <c r="J101"/>
      <c r="K101"/>
      <c r="L101"/>
      <c r="M101"/>
      <c r="N101">
        <v>0.75</v>
      </c>
      <c r="O101">
        <v>75</v>
      </c>
      <c r="P101">
        <v>500</v>
      </c>
      <c r="Q101">
        <v>55</v>
      </c>
      <c r="R101">
        <v>100</v>
      </c>
      <c r="S101">
        <v>45</v>
      </c>
      <c r="T101"/>
      <c r="U101"/>
      <c r="V101"/>
      <c r="W101">
        <v>7.8</v>
      </c>
      <c r="X101">
        <v>8.1</v>
      </c>
      <c r="Y101">
        <v>6.9</v>
      </c>
      <c r="Z101">
        <v>2.5</v>
      </c>
      <c r="AA101">
        <v>1</v>
      </c>
      <c r="AB101" s="76">
        <v>3</v>
      </c>
      <c r="AC101" s="333"/>
      <c r="AD101" s="333"/>
      <c r="AE101" s="1126">
        <f t="shared" si="33"/>
        <v>0.55000000000000004</v>
      </c>
      <c r="AF101" s="1132">
        <v>0.7</v>
      </c>
      <c r="AH101" s="1139"/>
      <c r="AI101" s="726"/>
    </row>
    <row r="102" spans="1:35" x14ac:dyDescent="0.2">
      <c r="A102" s="1071" t="str">
        <f t="shared" si="37"/>
        <v>Hühnermist</v>
      </c>
      <c r="B102" s="1071">
        <f t="shared" ref="B102:B112" si="39">IFERROR(MATCH(A102,$C$5:$C$114,0),1)</f>
        <v>92</v>
      </c>
      <c r="C102" t="s">
        <v>8488</v>
      </c>
      <c r="D102" t="s">
        <v>487</v>
      </c>
      <c r="E102"/>
      <c r="F102"/>
      <c r="G102"/>
      <c r="H102"/>
      <c r="I102"/>
      <c r="J102"/>
      <c r="K102"/>
      <c r="L102"/>
      <c r="M102"/>
      <c r="N102"/>
      <c r="O102"/>
      <c r="P102"/>
      <c r="T102"/>
      <c r="U102"/>
      <c r="V102"/>
      <c r="W102"/>
      <c r="X102"/>
      <c r="Y102"/>
      <c r="Z102"/>
      <c r="AA102">
        <v>1</v>
      </c>
      <c r="AB102" s="76">
        <v>3</v>
      </c>
      <c r="AC102" s="333"/>
      <c r="AD102" s="333"/>
      <c r="AE102" s="1126">
        <f t="shared" si="33"/>
        <v>0</v>
      </c>
      <c r="AF102" s="1133"/>
      <c r="AH102" s="1138"/>
      <c r="AI102" s="726"/>
    </row>
    <row r="103" spans="1:35" x14ac:dyDescent="0.2">
      <c r="A103" s="1071" t="str">
        <f t="shared" si="37"/>
        <v>Hühnerkot</v>
      </c>
      <c r="B103" s="1071">
        <f t="shared" si="39"/>
        <v>93</v>
      </c>
      <c r="C103" t="s">
        <v>753</v>
      </c>
      <c r="D103" t="s">
        <v>8481</v>
      </c>
      <c r="E103">
        <v>4</v>
      </c>
      <c r="F103">
        <v>2</v>
      </c>
      <c r="G103"/>
      <c r="H103"/>
      <c r="I103">
        <v>30</v>
      </c>
      <c r="J103"/>
      <c r="K103"/>
      <c r="L103"/>
      <c r="M103"/>
      <c r="N103">
        <v>0.75</v>
      </c>
      <c r="O103">
        <v>75</v>
      </c>
      <c r="P103">
        <v>300</v>
      </c>
      <c r="Q103">
        <v>55</v>
      </c>
      <c r="R103">
        <v>100</v>
      </c>
      <c r="S103">
        <v>10</v>
      </c>
      <c r="T103"/>
      <c r="U103"/>
      <c r="V103"/>
      <c r="W103">
        <v>3.6</v>
      </c>
      <c r="X103">
        <v>2.7</v>
      </c>
      <c r="Y103">
        <v>9.3000000000000007</v>
      </c>
      <c r="Z103">
        <v>1.9</v>
      </c>
      <c r="AA103">
        <v>1</v>
      </c>
      <c r="AB103" s="76">
        <v>3</v>
      </c>
      <c r="AC103" s="333"/>
      <c r="AD103" s="333"/>
      <c r="AE103" s="1126">
        <f t="shared" si="33"/>
        <v>0.55000000000000004</v>
      </c>
      <c r="AF103" s="1132">
        <v>0.55000000000000004</v>
      </c>
      <c r="AH103" s="1139"/>
      <c r="AI103" s="726"/>
    </row>
    <row r="104" spans="1:35" x14ac:dyDescent="0.2">
      <c r="A104" s="1071" t="str">
        <f t="shared" si="37"/>
        <v>Putenmist</v>
      </c>
      <c r="B104" s="1071">
        <f t="shared" si="39"/>
        <v>94</v>
      </c>
      <c r="C104" t="s">
        <v>8192</v>
      </c>
      <c r="D104" t="s">
        <v>8482</v>
      </c>
      <c r="E104">
        <v>4</v>
      </c>
      <c r="F104">
        <v>2</v>
      </c>
      <c r="G104"/>
      <c r="H104"/>
      <c r="I104">
        <v>30</v>
      </c>
      <c r="J104"/>
      <c r="K104"/>
      <c r="L104"/>
      <c r="M104"/>
      <c r="N104">
        <v>0.8</v>
      </c>
      <c r="O104">
        <v>80</v>
      </c>
      <c r="P104">
        <v>450</v>
      </c>
      <c r="Q104">
        <v>55</v>
      </c>
      <c r="R104">
        <v>100</v>
      </c>
      <c r="S104">
        <v>10</v>
      </c>
      <c r="T104"/>
      <c r="U104"/>
      <c r="V104"/>
      <c r="W104">
        <v>5.9</v>
      </c>
      <c r="X104">
        <v>3.1</v>
      </c>
      <c r="Y104">
        <v>11.3</v>
      </c>
      <c r="Z104">
        <v>2.6</v>
      </c>
      <c r="AA104">
        <v>1</v>
      </c>
      <c r="AB104" s="76">
        <v>3</v>
      </c>
      <c r="AC104" s="333"/>
      <c r="AD104" s="333"/>
      <c r="AE104" s="1126">
        <f t="shared" si="33"/>
        <v>0.55000000000000004</v>
      </c>
      <c r="AF104" s="1132">
        <v>0.55000000000000004</v>
      </c>
      <c r="AH104" s="1139"/>
      <c r="AI104" s="726"/>
    </row>
    <row r="105" spans="1:35" x14ac:dyDescent="0.2">
      <c r="A105" s="1071" t="str">
        <f t="shared" si="37"/>
        <v>Masthähnchenmist</v>
      </c>
      <c r="B105" s="1071">
        <f t="shared" si="39"/>
        <v>95</v>
      </c>
      <c r="C105" s="1071"/>
      <c r="D105" s="1071"/>
      <c r="E105" s="1075"/>
      <c r="F105" s="1076"/>
      <c r="G105" s="1063"/>
      <c r="H105" s="1063"/>
      <c r="I105" s="1063"/>
      <c r="J105" s="1067"/>
      <c r="K105" s="1068"/>
      <c r="L105" s="1068"/>
      <c r="M105" s="1077"/>
      <c r="N105" s="1902"/>
      <c r="O105" s="1903"/>
      <c r="P105" s="1904"/>
      <c r="Q105" s="1083"/>
      <c r="R105" s="862"/>
      <c r="S105" s="1070"/>
      <c r="W105" s="862"/>
      <c r="X105" s="1081"/>
      <c r="Y105" s="1081"/>
      <c r="Z105" s="1082"/>
      <c r="AA105">
        <v>1</v>
      </c>
      <c r="AB105" s="76"/>
      <c r="AC105" s="333"/>
      <c r="AD105" s="333"/>
      <c r="AE105" s="1069"/>
      <c r="AF105" s="1070"/>
      <c r="AH105" s="1139"/>
      <c r="AI105" s="726"/>
    </row>
    <row r="106" spans="1:35" ht="25.5" x14ac:dyDescent="0.2">
      <c r="A106" s="1066" t="str">
        <f t="shared" si="37"/>
        <v>Pekingenten- und Gänsemist</v>
      </c>
      <c r="B106" s="1066">
        <f t="shared" si="39"/>
        <v>96</v>
      </c>
      <c r="C106" s="1072" t="s">
        <v>8283</v>
      </c>
      <c r="D106" s="1072"/>
      <c r="E106" s="1888"/>
      <c r="F106" s="1889"/>
      <c r="G106" s="1890"/>
      <c r="H106" s="1890"/>
      <c r="I106" s="1891"/>
      <c r="J106" s="1892"/>
      <c r="K106" s="1893"/>
      <c r="L106" s="1893"/>
      <c r="M106" s="1894"/>
      <c r="N106" s="1895"/>
      <c r="O106" s="1895"/>
      <c r="P106" s="1896"/>
      <c r="Q106" s="76"/>
      <c r="R106" s="1895"/>
      <c r="S106" s="333"/>
      <c r="T106" s="333"/>
      <c r="U106" s="333"/>
      <c r="V106" s="333"/>
      <c r="W106" s="1891"/>
      <c r="X106" s="1893"/>
      <c r="Y106" s="1894"/>
      <c r="AA106" s="76">
        <v>1</v>
      </c>
      <c r="AB106" s="76"/>
      <c r="AC106" s="333"/>
      <c r="AD106" s="333"/>
      <c r="AE106" s="1073"/>
      <c r="AF106" s="1897"/>
      <c r="AG106" s="76"/>
      <c r="AH106" s="1138"/>
      <c r="AI106" s="726"/>
    </row>
    <row r="107" spans="1:35" x14ac:dyDescent="0.2">
      <c r="A107" s="1071" t="str">
        <f t="shared" si="37"/>
        <v>Flugentenmist</v>
      </c>
      <c r="B107" s="811">
        <f t="shared" si="39"/>
        <v>97</v>
      </c>
      <c r="C107" s="1087" t="s">
        <v>8246</v>
      </c>
      <c r="D107" s="1085"/>
      <c r="E107" s="1290"/>
      <c r="F107" s="1290"/>
      <c r="G107" s="1290"/>
      <c r="H107" s="1290"/>
      <c r="I107" s="329"/>
      <c r="J107" s="329"/>
      <c r="K107" s="717"/>
      <c r="L107" s="717"/>
      <c r="M107" s="717"/>
      <c r="N107" s="1086"/>
      <c r="O107" s="1086"/>
      <c r="P107" s="1090"/>
      <c r="Q107" s="1086"/>
      <c r="R107" s="362"/>
      <c r="S107" s="1091"/>
      <c r="T107" s="333"/>
      <c r="U107" s="333"/>
      <c r="V107" s="333"/>
      <c r="W107" s="326"/>
      <c r="X107" s="1898"/>
      <c r="Y107" s="457"/>
      <c r="Z107" s="457"/>
      <c r="AA107" s="76">
        <v>1</v>
      </c>
      <c r="AB107" s="76">
        <f t="shared" ref="AB107:AB110" si="40">IF(AND(T107="",U107="",V107=""),2,1)</f>
        <v>2</v>
      </c>
      <c r="AC107" s="307">
        <f t="shared" ref="AC107:AC110" si="41">IF(V107&gt;0,V107,T107)</f>
        <v>0</v>
      </c>
      <c r="AD107" s="307">
        <f t="shared" ref="AD107:AD110" si="42">U107</f>
        <v>0</v>
      </c>
      <c r="AE107" s="1069"/>
      <c r="AF107" s="1899"/>
      <c r="AG107" s="76"/>
      <c r="AH107" s="1139"/>
      <c r="AI107" s="726"/>
    </row>
    <row r="108" spans="1:35" x14ac:dyDescent="0.2">
      <c r="A108" s="1306" t="str">
        <f>C113</f>
        <v>Sonstige Wirtschaftsdünger - Geflügel</v>
      </c>
      <c r="B108" s="1089">
        <f t="shared" si="39"/>
        <v>109</v>
      </c>
      <c r="C108" s="1088" t="s">
        <v>8213</v>
      </c>
      <c r="E108" s="333"/>
      <c r="F108" s="1900" t="s">
        <v>481</v>
      </c>
      <c r="G108" s="333"/>
      <c r="H108" s="333">
        <v>1</v>
      </c>
      <c r="I108" s="332"/>
      <c r="J108" s="332"/>
      <c r="N108" s="724"/>
      <c r="O108" s="724"/>
      <c r="Q108" s="724"/>
      <c r="R108" s="328"/>
      <c r="S108" s="328"/>
      <c r="T108" s="333"/>
      <c r="U108" s="333"/>
      <c r="V108" s="333"/>
      <c r="W108" s="326"/>
      <c r="X108" s="333"/>
      <c r="AA108" s="76">
        <v>2</v>
      </c>
      <c r="AB108" s="76">
        <f t="shared" si="40"/>
        <v>2</v>
      </c>
      <c r="AC108" s="307">
        <f t="shared" si="41"/>
        <v>0</v>
      </c>
      <c r="AD108" s="307">
        <f t="shared" si="42"/>
        <v>0</v>
      </c>
      <c r="AE108" s="1069"/>
      <c r="AF108" s="1899"/>
      <c r="AG108" s="76"/>
      <c r="AH108" s="1127"/>
      <c r="AI108" s="726"/>
    </row>
    <row r="109" spans="1:35" ht="25.5" x14ac:dyDescent="0.2">
      <c r="A109" s="1072" t="str">
        <f>C102</f>
        <v xml:space="preserve"> +++sonstige tier. Herk. nur Zukauf+++</v>
      </c>
      <c r="B109" s="1312">
        <f t="shared" si="39"/>
        <v>98</v>
      </c>
      <c r="C109" s="1088" t="s">
        <v>8212</v>
      </c>
      <c r="E109" s="333"/>
      <c r="F109" s="1900" t="s">
        <v>481</v>
      </c>
      <c r="G109" s="333"/>
      <c r="H109" s="333">
        <v>2</v>
      </c>
      <c r="I109" s="332"/>
      <c r="J109" s="332"/>
      <c r="N109" s="724"/>
      <c r="O109" s="724"/>
      <c r="Q109" s="724"/>
      <c r="R109" s="328"/>
      <c r="S109" s="328"/>
      <c r="T109" s="333"/>
      <c r="U109" s="333"/>
      <c r="V109" s="333"/>
      <c r="W109" s="326"/>
      <c r="X109" s="333"/>
      <c r="AA109" s="76">
        <v>2</v>
      </c>
      <c r="AB109" s="76">
        <f t="shared" si="40"/>
        <v>2</v>
      </c>
      <c r="AC109" s="307">
        <f t="shared" si="41"/>
        <v>0</v>
      </c>
      <c r="AD109" s="307">
        <f t="shared" si="42"/>
        <v>0</v>
      </c>
      <c r="AE109" s="1083"/>
      <c r="AF109" s="1899"/>
      <c r="AG109" s="76"/>
      <c r="AH109" s="1128"/>
      <c r="AI109" s="726"/>
    </row>
    <row r="110" spans="1:35" x14ac:dyDescent="0.2">
      <c r="A110" s="1071" t="str">
        <f>C103</f>
        <v>Pferdemist</v>
      </c>
      <c r="B110" s="811">
        <f t="shared" si="39"/>
        <v>99</v>
      </c>
      <c r="C110" s="1088" t="s">
        <v>8247</v>
      </c>
      <c r="E110" s="333"/>
      <c r="F110" s="1900" t="s">
        <v>481</v>
      </c>
      <c r="G110" s="333"/>
      <c r="I110" s="332"/>
      <c r="J110" s="332"/>
      <c r="N110" s="724"/>
      <c r="O110" s="724"/>
      <c r="Q110" s="724"/>
      <c r="R110" s="328"/>
      <c r="S110" s="328"/>
      <c r="T110" s="333"/>
      <c r="U110" s="333"/>
      <c r="V110" s="333"/>
      <c r="W110" s="326"/>
      <c r="X110" s="333"/>
      <c r="AA110" s="76">
        <v>2</v>
      </c>
      <c r="AB110" s="76">
        <f t="shared" si="40"/>
        <v>2</v>
      </c>
      <c r="AC110" s="307">
        <f t="shared" si="41"/>
        <v>0</v>
      </c>
      <c r="AD110" s="307">
        <f t="shared" si="42"/>
        <v>0</v>
      </c>
      <c r="AE110" s="328"/>
      <c r="AF110" s="76"/>
      <c r="AG110" s="76"/>
      <c r="AH110" s="726"/>
      <c r="AI110" s="726"/>
    </row>
    <row r="111" spans="1:35" x14ac:dyDescent="0.2">
      <c r="A111" s="1066" t="str">
        <f>C104</f>
        <v>Schaf-, Lama-, Alpaka- und Ziegenmist</v>
      </c>
      <c r="B111" s="1313">
        <f t="shared" si="39"/>
        <v>100</v>
      </c>
      <c r="C111" s="332" t="s">
        <v>1012</v>
      </c>
      <c r="D111" s="308"/>
      <c r="E111" s="1901">
        <v>1</v>
      </c>
      <c r="F111" s="333">
        <v>1</v>
      </c>
      <c r="G111" s="333"/>
      <c r="I111" s="457"/>
      <c r="J111" s="457"/>
      <c r="K111" s="457"/>
      <c r="L111" s="457"/>
      <c r="M111" s="332"/>
      <c r="N111" s="332"/>
      <c r="O111" s="328"/>
      <c r="P111" s="1083"/>
      <c r="Q111" s="76"/>
      <c r="R111" s="333"/>
      <c r="S111" s="333"/>
      <c r="T111" s="333"/>
      <c r="U111" s="333"/>
      <c r="V111" s="457"/>
      <c r="W111" s="457"/>
      <c r="X111" s="326"/>
      <c r="Y111" s="327"/>
      <c r="Z111" s="76"/>
      <c r="AA111" s="76">
        <v>1</v>
      </c>
      <c r="AB111" s="333">
        <v>3</v>
      </c>
      <c r="AC111" s="333"/>
      <c r="AD111" s="328"/>
      <c r="AE111" s="328"/>
      <c r="AF111" s="76"/>
      <c r="AG111" s="76"/>
      <c r="AH111" s="726"/>
      <c r="AI111" s="726"/>
    </row>
    <row r="112" spans="1:35" x14ac:dyDescent="0.2">
      <c r="A112" s="1307" t="str">
        <f>C114</f>
        <v>Sonstige Wirtschaftsdünger - sonstige Tiere</v>
      </c>
      <c r="B112" s="1307">
        <f t="shared" si="39"/>
        <v>110</v>
      </c>
      <c r="C112" s="332" t="s">
        <v>1011</v>
      </c>
      <c r="E112" s="333">
        <v>2</v>
      </c>
      <c r="F112" s="1901">
        <v>1</v>
      </c>
      <c r="G112" s="333"/>
      <c r="I112" s="326"/>
      <c r="J112" s="326"/>
      <c r="K112" s="326"/>
      <c r="L112" s="326"/>
      <c r="M112" s="326"/>
      <c r="Q112" s="1083"/>
      <c r="R112" s="76"/>
      <c r="S112" s="333"/>
      <c r="T112" s="333"/>
      <c r="U112" s="333"/>
      <c r="V112" s="333"/>
      <c r="W112" s="326"/>
      <c r="X112" s="326"/>
      <c r="Y112" s="326"/>
      <c r="Z112" s="327"/>
      <c r="AA112" s="76">
        <v>1</v>
      </c>
      <c r="AB112" s="76">
        <v>3</v>
      </c>
      <c r="AC112" s="333"/>
      <c r="AD112" s="333"/>
      <c r="AE112" s="328"/>
      <c r="AF112" s="76"/>
      <c r="AG112" s="76"/>
      <c r="AH112" s="726"/>
      <c r="AI112" s="726"/>
    </row>
    <row r="113" spans="1:35" ht="13.5" thickBot="1" x14ac:dyDescent="0.25">
      <c r="C113" s="332" t="s">
        <v>1010</v>
      </c>
      <c r="E113" s="333">
        <v>3</v>
      </c>
      <c r="F113" s="1901">
        <v>2</v>
      </c>
      <c r="G113" s="333"/>
      <c r="I113" s="326"/>
      <c r="J113" s="326"/>
      <c r="K113" s="326"/>
      <c r="L113" s="326"/>
      <c r="M113" s="326"/>
      <c r="Q113" s="1083"/>
      <c r="R113" s="76"/>
      <c r="S113" s="333"/>
      <c r="T113" s="333"/>
      <c r="U113" s="333"/>
      <c r="V113" s="333"/>
      <c r="W113" s="326"/>
      <c r="X113" s="326"/>
      <c r="Y113" s="326"/>
      <c r="Z113" s="327"/>
      <c r="AA113" s="76">
        <v>1</v>
      </c>
      <c r="AB113" s="76">
        <v>3</v>
      </c>
      <c r="AC113" s="333"/>
      <c r="AD113" s="333"/>
      <c r="AE113" s="328"/>
      <c r="AF113" s="76"/>
      <c r="AG113" s="76"/>
      <c r="AH113" s="726"/>
      <c r="AI113" s="726"/>
    </row>
    <row r="114" spans="1:35" x14ac:dyDescent="0.2">
      <c r="C114" s="332" t="s">
        <v>1013</v>
      </c>
      <c r="E114" s="333">
        <v>4</v>
      </c>
      <c r="F114" s="1901">
        <v>2</v>
      </c>
      <c r="G114" s="333"/>
      <c r="I114" s="457"/>
      <c r="J114" s="457"/>
      <c r="K114" s="457"/>
      <c r="L114" s="457"/>
      <c r="M114" s="457"/>
      <c r="Q114" s="1140"/>
      <c r="R114" s="76"/>
      <c r="S114" s="333"/>
      <c r="T114" s="333"/>
      <c r="U114" s="333"/>
      <c r="V114" s="333"/>
      <c r="W114" s="457"/>
      <c r="X114" s="457"/>
      <c r="Y114" s="326"/>
      <c r="Z114" s="327"/>
      <c r="AA114" s="76">
        <v>1</v>
      </c>
      <c r="AB114" s="76">
        <v>3</v>
      </c>
      <c r="AC114" s="333"/>
      <c r="AD114" s="333"/>
      <c r="AE114" s="328"/>
      <c r="AF114" s="76"/>
      <c r="AG114" s="76"/>
      <c r="AH114" s="726"/>
      <c r="AI114" s="726"/>
    </row>
    <row r="115" spans="1:35" x14ac:dyDescent="0.2">
      <c r="E115" s="333"/>
      <c r="F115" s="1901"/>
      <c r="G115" s="333"/>
      <c r="Q115" s="76"/>
      <c r="R115" s="76"/>
      <c r="S115" s="76"/>
      <c r="T115" s="333"/>
      <c r="U115" s="333"/>
      <c r="V115" s="333"/>
      <c r="AA115" s="76"/>
      <c r="AB115" s="76"/>
      <c r="AC115" s="333"/>
      <c r="AD115" s="333"/>
      <c r="AE115" s="328"/>
      <c r="AF115" s="76"/>
      <c r="AG115" s="76"/>
      <c r="AH115" s="726"/>
      <c r="AI115" s="726"/>
    </row>
    <row r="116" spans="1:35" x14ac:dyDescent="0.2">
      <c r="E116" s="333"/>
      <c r="F116" s="1901"/>
      <c r="G116" s="333"/>
      <c r="Q116" s="76"/>
      <c r="R116" s="76"/>
      <c r="S116" s="76"/>
      <c r="T116" s="333"/>
      <c r="U116" s="333"/>
      <c r="V116" s="333"/>
      <c r="AA116" s="76"/>
      <c r="AB116" s="76"/>
      <c r="AC116" s="333"/>
      <c r="AD116" s="333"/>
      <c r="AE116" s="328"/>
      <c r="AF116" s="76"/>
      <c r="AG116" s="76"/>
      <c r="AH116" s="726"/>
      <c r="AI116" s="726"/>
    </row>
    <row r="117" spans="1:35" x14ac:dyDescent="0.2">
      <c r="C117" t="s">
        <v>21</v>
      </c>
      <c r="D117" t="s">
        <v>487</v>
      </c>
      <c r="E117" t="s">
        <v>487</v>
      </c>
      <c r="F117" t="s">
        <v>487</v>
      </c>
      <c r="G117"/>
      <c r="H117"/>
      <c r="I117"/>
      <c r="J117"/>
      <c r="K117"/>
      <c r="L117" s="76"/>
      <c r="M117" s="76"/>
      <c r="N117" s="76"/>
      <c r="O117" s="76"/>
      <c r="P117" s="76"/>
      <c r="Q117" s="76"/>
      <c r="AB117" s="76"/>
      <c r="AC117" s="333"/>
      <c r="AD117" s="333"/>
      <c r="AE117" s="76"/>
      <c r="AH117" s="726"/>
      <c r="AI117" s="726"/>
    </row>
    <row r="118" spans="1:35" x14ac:dyDescent="0.2">
      <c r="A118" s="332"/>
      <c r="B118" s="332"/>
      <c r="C118" t="s">
        <v>831</v>
      </c>
      <c r="D118" t="s">
        <v>487</v>
      </c>
      <c r="E118" t="s">
        <v>487</v>
      </c>
      <c r="F118" t="s">
        <v>487</v>
      </c>
      <c r="G118"/>
      <c r="H118">
        <v>2</v>
      </c>
      <c r="I118">
        <v>65</v>
      </c>
      <c r="J118">
        <v>1.56</v>
      </c>
      <c r="K118">
        <v>0.2</v>
      </c>
      <c r="L118">
        <v>0.39</v>
      </c>
      <c r="M118">
        <v>0.08</v>
      </c>
      <c r="N118">
        <v>0.97</v>
      </c>
      <c r="O118">
        <v>97</v>
      </c>
      <c r="P118">
        <v>763</v>
      </c>
      <c r="Q118">
        <v>52.8</v>
      </c>
      <c r="W118" s="325">
        <f>J118*10</f>
        <v>15.600000000000001</v>
      </c>
      <c r="X118" s="325">
        <f t="shared" ref="X118:Z132" si="43">K118*10</f>
        <v>2</v>
      </c>
      <c r="Y118" s="325">
        <f t="shared" si="43"/>
        <v>3.9000000000000004</v>
      </c>
      <c r="Z118" s="325">
        <f t="shared" si="43"/>
        <v>0.8</v>
      </c>
      <c r="AA118">
        <v>2</v>
      </c>
      <c r="AB118" s="76"/>
      <c r="AC118" s="333"/>
      <c r="AD118" s="333"/>
      <c r="AE118"/>
      <c r="AH118" s="726"/>
      <c r="AI118" s="726"/>
    </row>
    <row r="119" spans="1:35" x14ac:dyDescent="0.2">
      <c r="C119" t="s">
        <v>832</v>
      </c>
      <c r="D119" t="s">
        <v>487</v>
      </c>
      <c r="E119" t="s">
        <v>487</v>
      </c>
      <c r="F119" t="s">
        <v>487</v>
      </c>
      <c r="G119"/>
      <c r="H119">
        <v>2</v>
      </c>
      <c r="I119">
        <v>22</v>
      </c>
      <c r="J119">
        <v>0.28999999999999998</v>
      </c>
      <c r="K119">
        <v>0.09</v>
      </c>
      <c r="L119">
        <v>0.18</v>
      </c>
      <c r="M119">
        <v>7.0000000000000007E-2</v>
      </c>
      <c r="N119">
        <v>0.98</v>
      </c>
      <c r="O119">
        <v>98</v>
      </c>
      <c r="P119">
        <v>520</v>
      </c>
      <c r="Q119">
        <v>51.7</v>
      </c>
      <c r="W119" s="325">
        <f t="shared" ref="W119:Z154" si="44">J119*10</f>
        <v>2.9</v>
      </c>
      <c r="X119" s="325">
        <f t="shared" si="43"/>
        <v>0.89999999999999991</v>
      </c>
      <c r="Y119" s="325">
        <f t="shared" si="43"/>
        <v>1.7999999999999998</v>
      </c>
      <c r="Z119" s="325">
        <f t="shared" si="43"/>
        <v>0.70000000000000007</v>
      </c>
      <c r="AA119">
        <v>2</v>
      </c>
      <c r="AB119" s="76"/>
      <c r="AC119" s="333"/>
      <c r="AD119" s="333"/>
      <c r="AE119"/>
      <c r="AH119" s="726"/>
      <c r="AI119" s="726"/>
    </row>
    <row r="120" spans="1:35" x14ac:dyDescent="0.2">
      <c r="C120" t="s">
        <v>833</v>
      </c>
      <c r="D120" t="s">
        <v>487</v>
      </c>
      <c r="E120" t="s">
        <v>487</v>
      </c>
      <c r="F120" t="s">
        <v>487</v>
      </c>
      <c r="G120"/>
      <c r="H120">
        <v>2</v>
      </c>
      <c r="I120">
        <v>10</v>
      </c>
      <c r="J120">
        <v>0.84</v>
      </c>
      <c r="K120">
        <v>0.26</v>
      </c>
      <c r="L120">
        <v>0.18</v>
      </c>
      <c r="M120">
        <v>0.03</v>
      </c>
      <c r="N120">
        <v>0.92</v>
      </c>
      <c r="O120">
        <v>92</v>
      </c>
      <c r="P120">
        <v>662</v>
      </c>
      <c r="Q120">
        <v>62.1</v>
      </c>
      <c r="W120" s="325">
        <f t="shared" si="44"/>
        <v>8.4</v>
      </c>
      <c r="X120" s="325">
        <f t="shared" si="43"/>
        <v>2.6</v>
      </c>
      <c r="Y120" s="325">
        <f t="shared" si="43"/>
        <v>1.7999999999999998</v>
      </c>
      <c r="Z120" s="325">
        <f t="shared" si="43"/>
        <v>0.3</v>
      </c>
      <c r="AA120">
        <v>2</v>
      </c>
      <c r="AB120" s="76"/>
      <c r="AC120" s="333"/>
      <c r="AD120" s="333"/>
      <c r="AE120"/>
      <c r="AH120" s="726"/>
      <c r="AI120" s="726"/>
    </row>
    <row r="121" spans="1:35" x14ac:dyDescent="0.2">
      <c r="C121" t="s">
        <v>834</v>
      </c>
      <c r="D121" t="s">
        <v>487</v>
      </c>
      <c r="E121" t="s">
        <v>487</v>
      </c>
      <c r="F121" t="s">
        <v>487</v>
      </c>
      <c r="G121"/>
      <c r="H121">
        <v>2</v>
      </c>
      <c r="I121">
        <v>25</v>
      </c>
      <c r="J121">
        <v>1</v>
      </c>
      <c r="K121">
        <v>0.34</v>
      </c>
      <c r="L121">
        <v>0.03</v>
      </c>
      <c r="M121">
        <v>0.08</v>
      </c>
      <c r="N121">
        <v>0.96</v>
      </c>
      <c r="O121">
        <v>96</v>
      </c>
      <c r="P121">
        <v>551</v>
      </c>
      <c r="Q121">
        <v>59</v>
      </c>
      <c r="W121" s="325">
        <f t="shared" si="44"/>
        <v>10</v>
      </c>
      <c r="X121" s="325">
        <f t="shared" si="43"/>
        <v>3.4000000000000004</v>
      </c>
      <c r="Y121" s="325">
        <f t="shared" si="43"/>
        <v>0.3</v>
      </c>
      <c r="Z121" s="325">
        <f t="shared" si="43"/>
        <v>0.8</v>
      </c>
      <c r="AA121">
        <v>2</v>
      </c>
      <c r="AB121" s="76"/>
      <c r="AC121" s="333"/>
      <c r="AD121" s="333"/>
      <c r="AE121"/>
      <c r="AH121" s="726"/>
      <c r="AI121" s="726"/>
    </row>
    <row r="122" spans="1:35" x14ac:dyDescent="0.2">
      <c r="C122" t="s">
        <v>835</v>
      </c>
      <c r="D122" t="s">
        <v>487</v>
      </c>
      <c r="E122" t="s">
        <v>487</v>
      </c>
      <c r="F122" t="s">
        <v>487</v>
      </c>
      <c r="G122"/>
      <c r="H122">
        <v>2</v>
      </c>
      <c r="I122">
        <v>91</v>
      </c>
      <c r="J122">
        <v>9.17</v>
      </c>
      <c r="K122">
        <v>6.88</v>
      </c>
      <c r="L122">
        <v>0.98</v>
      </c>
      <c r="M122">
        <v>0.44</v>
      </c>
      <c r="N122">
        <v>0.82</v>
      </c>
      <c r="O122">
        <v>82</v>
      </c>
      <c r="P122">
        <v>641</v>
      </c>
      <c r="Q122">
        <v>70.599999999999994</v>
      </c>
      <c r="W122" s="325">
        <f t="shared" si="44"/>
        <v>91.7</v>
      </c>
      <c r="X122" s="325">
        <f t="shared" si="43"/>
        <v>68.8</v>
      </c>
      <c r="Y122" s="325">
        <f t="shared" si="43"/>
        <v>9.8000000000000007</v>
      </c>
      <c r="Z122" s="325">
        <f t="shared" si="43"/>
        <v>4.4000000000000004</v>
      </c>
      <c r="AA122">
        <v>2</v>
      </c>
      <c r="AB122" s="76"/>
      <c r="AC122" s="333"/>
      <c r="AD122" s="333"/>
      <c r="AE122"/>
      <c r="AH122" s="726"/>
      <c r="AI122" s="726"/>
    </row>
    <row r="123" spans="1:35" x14ac:dyDescent="0.2">
      <c r="C123" t="s">
        <v>836</v>
      </c>
      <c r="D123" t="s">
        <v>487</v>
      </c>
      <c r="E123" t="s">
        <v>487</v>
      </c>
      <c r="F123" t="s">
        <v>487</v>
      </c>
      <c r="G123"/>
      <c r="H123">
        <v>2</v>
      </c>
      <c r="I123">
        <v>60</v>
      </c>
      <c r="J123">
        <v>3.46</v>
      </c>
      <c r="K123">
        <v>0.69</v>
      </c>
      <c r="L123">
        <v>0.57999999999999996</v>
      </c>
      <c r="M123">
        <v>0.24</v>
      </c>
      <c r="N123">
        <v>0.94</v>
      </c>
      <c r="O123">
        <v>94</v>
      </c>
      <c r="P123">
        <v>639</v>
      </c>
      <c r="Q123">
        <v>58.9</v>
      </c>
      <c r="W123" s="325">
        <f t="shared" si="44"/>
        <v>34.6</v>
      </c>
      <c r="X123" s="325">
        <f t="shared" si="43"/>
        <v>6.8999999999999995</v>
      </c>
      <c r="Y123" s="325">
        <f t="shared" si="43"/>
        <v>5.8</v>
      </c>
      <c r="Z123" s="325">
        <f t="shared" si="43"/>
        <v>2.4</v>
      </c>
      <c r="AA123">
        <v>2</v>
      </c>
      <c r="AB123" s="76"/>
      <c r="AC123" s="333"/>
      <c r="AD123" s="333"/>
      <c r="AE123"/>
      <c r="AH123" s="726"/>
      <c r="AI123" s="726"/>
    </row>
    <row r="124" spans="1:35" x14ac:dyDescent="0.2">
      <c r="C124" t="s">
        <v>837</v>
      </c>
      <c r="D124" t="s">
        <v>487</v>
      </c>
      <c r="E124" t="s">
        <v>487</v>
      </c>
      <c r="F124" t="s">
        <v>487</v>
      </c>
      <c r="G124"/>
      <c r="H124">
        <v>2</v>
      </c>
      <c r="I124">
        <v>92</v>
      </c>
      <c r="J124">
        <v>5.62</v>
      </c>
      <c r="K124">
        <v>1.9</v>
      </c>
      <c r="L124">
        <v>1.48</v>
      </c>
      <c r="M124">
        <v>0.55000000000000004</v>
      </c>
      <c r="N124">
        <v>0.94</v>
      </c>
      <c r="O124">
        <v>94</v>
      </c>
      <c r="P124">
        <v>587</v>
      </c>
      <c r="Q124">
        <v>59.9</v>
      </c>
      <c r="W124" s="325">
        <f t="shared" si="44"/>
        <v>56.2</v>
      </c>
      <c r="X124" s="325">
        <f t="shared" si="43"/>
        <v>19</v>
      </c>
      <c r="Y124" s="325">
        <f t="shared" si="43"/>
        <v>14.8</v>
      </c>
      <c r="Z124" s="325">
        <f t="shared" si="43"/>
        <v>5.5</v>
      </c>
      <c r="AA124">
        <v>2</v>
      </c>
      <c r="AB124" s="76"/>
      <c r="AC124" s="333"/>
      <c r="AD124" s="333"/>
      <c r="AE124"/>
      <c r="AH124" s="726"/>
      <c r="AI124" s="726"/>
    </row>
    <row r="125" spans="1:35" x14ac:dyDescent="0.2">
      <c r="C125" t="s">
        <v>838</v>
      </c>
      <c r="D125" t="s">
        <v>487</v>
      </c>
      <c r="E125" t="s">
        <v>487</v>
      </c>
      <c r="F125" t="s">
        <v>487</v>
      </c>
      <c r="G125"/>
      <c r="H125">
        <v>2</v>
      </c>
      <c r="I125">
        <v>90</v>
      </c>
      <c r="J125">
        <v>1.01</v>
      </c>
      <c r="K125">
        <v>0.35</v>
      </c>
      <c r="L125">
        <v>1.0900000000000001</v>
      </c>
      <c r="M125">
        <v>0.18</v>
      </c>
      <c r="N125">
        <v>0.94</v>
      </c>
      <c r="O125">
        <v>94</v>
      </c>
      <c r="P125">
        <v>486</v>
      </c>
      <c r="Q125">
        <v>52.5</v>
      </c>
      <c r="W125" s="325">
        <f t="shared" si="44"/>
        <v>10.1</v>
      </c>
      <c r="X125" s="325">
        <f t="shared" si="43"/>
        <v>3.5</v>
      </c>
      <c r="Y125" s="325">
        <f t="shared" si="43"/>
        <v>10.9</v>
      </c>
      <c r="Z125" s="325">
        <f t="shared" si="43"/>
        <v>1.7999999999999998</v>
      </c>
      <c r="AA125">
        <v>2</v>
      </c>
      <c r="AB125" s="76"/>
      <c r="AC125" s="333"/>
      <c r="AD125" s="333"/>
      <c r="AE125"/>
      <c r="AH125" s="726"/>
      <c r="AI125" s="726"/>
    </row>
    <row r="126" spans="1:35" x14ac:dyDescent="0.2">
      <c r="C126" t="s">
        <v>8209</v>
      </c>
      <c r="D126" t="s">
        <v>487</v>
      </c>
      <c r="E126" t="s">
        <v>487</v>
      </c>
      <c r="F126" t="s">
        <v>487</v>
      </c>
      <c r="G126"/>
      <c r="H126">
        <v>2</v>
      </c>
      <c r="I126">
        <v>90</v>
      </c>
      <c r="J126">
        <v>12.1</v>
      </c>
      <c r="K126">
        <v>1.04</v>
      </c>
      <c r="L126">
        <v>0.81</v>
      </c>
      <c r="M126">
        <v>7.0000000000000007E-2</v>
      </c>
      <c r="N126">
        <v>0.97</v>
      </c>
      <c r="O126">
        <v>97</v>
      </c>
      <c r="P126">
        <v>0</v>
      </c>
      <c r="Q126">
        <v>0</v>
      </c>
      <c r="W126" s="325">
        <f t="shared" si="44"/>
        <v>121</v>
      </c>
      <c r="X126" s="325">
        <f t="shared" si="43"/>
        <v>10.4</v>
      </c>
      <c r="Y126" s="325">
        <f t="shared" si="43"/>
        <v>8.1000000000000014</v>
      </c>
      <c r="Z126" s="325">
        <f t="shared" si="43"/>
        <v>0.70000000000000007</v>
      </c>
      <c r="AA126">
        <v>2</v>
      </c>
      <c r="AB126" s="76"/>
      <c r="AC126" s="333"/>
      <c r="AD126" s="333"/>
      <c r="AE126"/>
      <c r="AH126" s="726"/>
      <c r="AI126" s="726"/>
    </row>
    <row r="127" spans="1:35" x14ac:dyDescent="0.2">
      <c r="C127" t="s">
        <v>839</v>
      </c>
      <c r="D127" t="s">
        <v>487</v>
      </c>
      <c r="E127" t="s">
        <v>487</v>
      </c>
      <c r="F127" t="s">
        <v>487</v>
      </c>
      <c r="G127"/>
      <c r="H127">
        <v>2</v>
      </c>
      <c r="I127">
        <v>5.5</v>
      </c>
      <c r="J127">
        <v>0.28999999999999998</v>
      </c>
      <c r="K127">
        <v>0.08</v>
      </c>
      <c r="L127">
        <v>0.36</v>
      </c>
      <c r="M127">
        <v>0</v>
      </c>
      <c r="N127">
        <v>0.87</v>
      </c>
      <c r="O127">
        <v>87</v>
      </c>
      <c r="P127">
        <v>672</v>
      </c>
      <c r="Q127">
        <v>56.3</v>
      </c>
      <c r="W127" s="325">
        <f t="shared" si="44"/>
        <v>2.9</v>
      </c>
      <c r="X127" s="325">
        <f t="shared" si="43"/>
        <v>0.8</v>
      </c>
      <c r="Y127" s="325">
        <f t="shared" si="43"/>
        <v>3.5999999999999996</v>
      </c>
      <c r="Z127" s="325">
        <f t="shared" si="43"/>
        <v>0</v>
      </c>
      <c r="AA127">
        <v>2</v>
      </c>
      <c r="AB127" s="76"/>
      <c r="AC127" s="333"/>
      <c r="AD127" s="333"/>
      <c r="AE127"/>
      <c r="AH127" s="726"/>
      <c r="AI127" s="726"/>
    </row>
    <row r="128" spans="1:35" x14ac:dyDescent="0.2">
      <c r="C128" t="s">
        <v>840</v>
      </c>
      <c r="D128" t="s">
        <v>487</v>
      </c>
      <c r="E128" t="s">
        <v>487</v>
      </c>
      <c r="F128" t="s">
        <v>487</v>
      </c>
      <c r="G128"/>
      <c r="H128">
        <v>2</v>
      </c>
      <c r="I128">
        <v>89</v>
      </c>
      <c r="J128">
        <v>5.35</v>
      </c>
      <c r="K128">
        <v>1.96</v>
      </c>
      <c r="L128">
        <v>1.29</v>
      </c>
      <c r="M128">
        <v>0.85</v>
      </c>
      <c r="N128">
        <v>0.93</v>
      </c>
      <c r="O128">
        <v>93</v>
      </c>
      <c r="P128">
        <v>602</v>
      </c>
      <c r="Q128">
        <v>59.3</v>
      </c>
      <c r="W128" s="325">
        <f t="shared" si="44"/>
        <v>53.5</v>
      </c>
      <c r="X128" s="325">
        <f t="shared" si="43"/>
        <v>19.600000000000001</v>
      </c>
      <c r="Y128" s="325">
        <f t="shared" si="43"/>
        <v>12.9</v>
      </c>
      <c r="Z128" s="325">
        <f t="shared" si="43"/>
        <v>8.5</v>
      </c>
      <c r="AA128">
        <v>2</v>
      </c>
      <c r="AB128" s="76"/>
      <c r="AC128" s="333"/>
      <c r="AD128" s="333"/>
      <c r="AE128"/>
      <c r="AH128" s="726"/>
      <c r="AI128" s="726"/>
    </row>
    <row r="129" spans="3:35" x14ac:dyDescent="0.2">
      <c r="C129" t="s">
        <v>841</v>
      </c>
      <c r="D129" t="s">
        <v>487</v>
      </c>
      <c r="E129" t="s">
        <v>487</v>
      </c>
      <c r="F129" t="s">
        <v>487</v>
      </c>
      <c r="G129"/>
      <c r="H129">
        <v>2</v>
      </c>
      <c r="I129">
        <v>90</v>
      </c>
      <c r="J129">
        <v>5.33</v>
      </c>
      <c r="K129">
        <v>1.85</v>
      </c>
      <c r="L129">
        <v>1.31</v>
      </c>
      <c r="M129">
        <v>0.79</v>
      </c>
      <c r="N129">
        <v>0.94</v>
      </c>
      <c r="O129">
        <v>94</v>
      </c>
      <c r="P129">
        <v>607</v>
      </c>
      <c r="Q129">
        <v>60.3</v>
      </c>
      <c r="W129" s="325">
        <f t="shared" si="44"/>
        <v>53.3</v>
      </c>
      <c r="X129" s="325">
        <f t="shared" si="43"/>
        <v>18.5</v>
      </c>
      <c r="Y129" s="325">
        <f t="shared" si="43"/>
        <v>13.100000000000001</v>
      </c>
      <c r="Z129" s="325">
        <f t="shared" si="43"/>
        <v>7.9</v>
      </c>
      <c r="AA129">
        <v>2</v>
      </c>
      <c r="AB129" s="76"/>
      <c r="AC129" s="333"/>
      <c r="AD129" s="333"/>
      <c r="AE129"/>
      <c r="AH129" s="726"/>
      <c r="AI129" s="726"/>
    </row>
    <row r="130" spans="3:35" x14ac:dyDescent="0.2">
      <c r="C130" t="s">
        <v>842</v>
      </c>
      <c r="D130" t="s">
        <v>487</v>
      </c>
      <c r="E130" t="s">
        <v>487</v>
      </c>
      <c r="F130" t="s">
        <v>487</v>
      </c>
      <c r="G130"/>
      <c r="H130">
        <v>2</v>
      </c>
      <c r="I130">
        <v>90</v>
      </c>
      <c r="J130">
        <v>2.66</v>
      </c>
      <c r="K130">
        <v>0.72</v>
      </c>
      <c r="L130">
        <v>2.6</v>
      </c>
      <c r="M130">
        <v>0.41</v>
      </c>
      <c r="N130">
        <v>0.88</v>
      </c>
      <c r="O130">
        <v>88</v>
      </c>
      <c r="P130">
        <v>532</v>
      </c>
      <c r="Q130">
        <v>54.8</v>
      </c>
      <c r="W130" s="325">
        <f t="shared" si="44"/>
        <v>26.6</v>
      </c>
      <c r="X130" s="325">
        <f t="shared" si="43"/>
        <v>7.1999999999999993</v>
      </c>
      <c r="Y130" s="325">
        <f t="shared" si="43"/>
        <v>26</v>
      </c>
      <c r="Z130" s="325">
        <f t="shared" si="43"/>
        <v>4.0999999999999996</v>
      </c>
      <c r="AA130">
        <v>2</v>
      </c>
      <c r="AB130" s="76"/>
      <c r="AC130" s="333"/>
      <c r="AD130" s="333"/>
      <c r="AE130"/>
      <c r="AH130" s="726"/>
      <c r="AI130" s="726"/>
    </row>
    <row r="131" spans="3:35" x14ac:dyDescent="0.2">
      <c r="C131" t="s">
        <v>843</v>
      </c>
      <c r="D131" t="s">
        <v>487</v>
      </c>
      <c r="E131" t="s">
        <v>487</v>
      </c>
      <c r="F131" t="s">
        <v>487</v>
      </c>
      <c r="G131"/>
      <c r="H131">
        <v>2</v>
      </c>
      <c r="I131">
        <v>8.5</v>
      </c>
      <c r="J131">
        <v>0.49</v>
      </c>
      <c r="K131">
        <v>0.19</v>
      </c>
      <c r="L131">
        <v>0.12</v>
      </c>
      <c r="M131">
        <v>0.02</v>
      </c>
      <c r="N131">
        <v>0.92</v>
      </c>
      <c r="O131">
        <v>92</v>
      </c>
      <c r="P131">
        <v>730</v>
      </c>
      <c r="Q131">
        <v>57.7</v>
      </c>
      <c r="W131" s="325">
        <f t="shared" si="44"/>
        <v>4.9000000000000004</v>
      </c>
      <c r="X131" s="325">
        <f t="shared" si="43"/>
        <v>1.9</v>
      </c>
      <c r="Y131" s="325">
        <f t="shared" si="43"/>
        <v>1.2</v>
      </c>
      <c r="Z131" s="325">
        <f t="shared" si="43"/>
        <v>0.2</v>
      </c>
      <c r="AA131">
        <v>2</v>
      </c>
      <c r="AB131" s="76"/>
      <c r="AC131" s="333"/>
      <c r="AD131" s="333"/>
      <c r="AE131"/>
      <c r="AH131" s="726"/>
      <c r="AI131" s="726"/>
    </row>
    <row r="132" spans="3:35" x14ac:dyDescent="0.2">
      <c r="C132" t="s">
        <v>844</v>
      </c>
      <c r="D132" t="s">
        <v>487</v>
      </c>
      <c r="E132" t="s">
        <v>487</v>
      </c>
      <c r="F132" t="s">
        <v>487</v>
      </c>
      <c r="G132"/>
      <c r="H132">
        <v>2</v>
      </c>
      <c r="I132">
        <v>89</v>
      </c>
      <c r="J132">
        <v>3.56</v>
      </c>
      <c r="K132">
        <v>1.42</v>
      </c>
      <c r="L132">
        <v>0.85</v>
      </c>
      <c r="M132">
        <v>0.45</v>
      </c>
      <c r="N132">
        <v>0.96</v>
      </c>
      <c r="O132">
        <v>96</v>
      </c>
      <c r="P132">
        <v>703</v>
      </c>
      <c r="Q132">
        <v>52.8</v>
      </c>
      <c r="W132" s="325">
        <f t="shared" si="44"/>
        <v>35.6</v>
      </c>
      <c r="X132" s="325">
        <f t="shared" si="43"/>
        <v>14.2</v>
      </c>
      <c r="Y132" s="325">
        <f t="shared" si="43"/>
        <v>8.5</v>
      </c>
      <c r="Z132" s="325">
        <f t="shared" si="43"/>
        <v>4.5</v>
      </c>
      <c r="AA132">
        <v>2</v>
      </c>
      <c r="AB132" s="76"/>
      <c r="AC132" s="333"/>
      <c r="AD132" s="333"/>
      <c r="AE132"/>
      <c r="AH132" s="726"/>
      <c r="AI132" s="726"/>
    </row>
    <row r="133" spans="3:35" x14ac:dyDescent="0.2">
      <c r="C133" t="s">
        <v>845</v>
      </c>
      <c r="D133" t="s">
        <v>487</v>
      </c>
      <c r="E133" t="s">
        <v>487</v>
      </c>
      <c r="F133" t="s">
        <v>487</v>
      </c>
      <c r="G133"/>
      <c r="H133">
        <v>2</v>
      </c>
      <c r="I133">
        <v>90</v>
      </c>
      <c r="J133">
        <v>3.6</v>
      </c>
      <c r="K133">
        <v>1.76</v>
      </c>
      <c r="L133">
        <v>1.52</v>
      </c>
      <c r="M133">
        <v>0.72</v>
      </c>
      <c r="N133">
        <v>0.94</v>
      </c>
      <c r="O133">
        <v>94</v>
      </c>
      <c r="P133">
        <v>645</v>
      </c>
      <c r="Q133">
        <v>56.4</v>
      </c>
      <c r="W133" s="325">
        <f t="shared" si="44"/>
        <v>36</v>
      </c>
      <c r="X133" s="325">
        <f t="shared" si="44"/>
        <v>17.600000000000001</v>
      </c>
      <c r="Y133" s="325">
        <f t="shared" si="44"/>
        <v>15.2</v>
      </c>
      <c r="Z133" s="325">
        <f t="shared" si="44"/>
        <v>7.1999999999999993</v>
      </c>
      <c r="AA133">
        <v>2</v>
      </c>
      <c r="AB133" s="76"/>
      <c r="AC133" s="333"/>
      <c r="AD133" s="333"/>
      <c r="AE133"/>
      <c r="AH133" s="726"/>
      <c r="AI133" s="726"/>
    </row>
    <row r="134" spans="3:35" x14ac:dyDescent="0.2">
      <c r="C134" t="s">
        <v>846</v>
      </c>
      <c r="D134" t="s">
        <v>487</v>
      </c>
      <c r="E134" t="s">
        <v>487</v>
      </c>
      <c r="F134" t="s">
        <v>487</v>
      </c>
      <c r="G134"/>
      <c r="H134">
        <v>2</v>
      </c>
      <c r="I134">
        <v>92</v>
      </c>
      <c r="J134">
        <v>4.34</v>
      </c>
      <c r="K134">
        <v>1.68</v>
      </c>
      <c r="L134">
        <v>2.33</v>
      </c>
      <c r="M134">
        <v>0.23</v>
      </c>
      <c r="N134">
        <v>0.93</v>
      </c>
      <c r="O134">
        <v>93</v>
      </c>
      <c r="P134">
        <v>539</v>
      </c>
      <c r="Q134">
        <v>57</v>
      </c>
      <c r="W134" s="325">
        <f t="shared" si="44"/>
        <v>43.4</v>
      </c>
      <c r="X134" s="325">
        <f t="shared" si="44"/>
        <v>16.8</v>
      </c>
      <c r="Y134" s="325">
        <f t="shared" si="44"/>
        <v>23.3</v>
      </c>
      <c r="Z134" s="325">
        <f t="shared" si="44"/>
        <v>2.3000000000000003</v>
      </c>
      <c r="AA134">
        <v>2</v>
      </c>
      <c r="AB134" s="76"/>
      <c r="AC134" s="333"/>
      <c r="AD134" s="333"/>
      <c r="AE134"/>
      <c r="AH134" s="726"/>
      <c r="AI134" s="726"/>
    </row>
    <row r="135" spans="3:35" x14ac:dyDescent="0.2">
      <c r="C135" t="s">
        <v>847</v>
      </c>
      <c r="D135" t="s">
        <v>487</v>
      </c>
      <c r="E135" t="s">
        <v>487</v>
      </c>
      <c r="F135" t="s">
        <v>487</v>
      </c>
      <c r="G135"/>
      <c r="H135">
        <v>2</v>
      </c>
      <c r="I135">
        <v>88</v>
      </c>
      <c r="J135">
        <v>0.38</v>
      </c>
      <c r="K135">
        <v>0.2</v>
      </c>
      <c r="L135">
        <v>0.84</v>
      </c>
      <c r="M135">
        <v>0.16</v>
      </c>
      <c r="N135">
        <v>0.96</v>
      </c>
      <c r="O135">
        <v>96</v>
      </c>
      <c r="P135">
        <v>693</v>
      </c>
      <c r="Q135">
        <v>50.1</v>
      </c>
      <c r="W135" s="325">
        <f t="shared" si="44"/>
        <v>3.8</v>
      </c>
      <c r="X135" s="325">
        <f t="shared" si="44"/>
        <v>2</v>
      </c>
      <c r="Y135" s="325">
        <f t="shared" si="44"/>
        <v>8.4</v>
      </c>
      <c r="Z135" s="325">
        <f t="shared" si="44"/>
        <v>1.6</v>
      </c>
      <c r="AA135">
        <v>2</v>
      </c>
      <c r="AB135" s="76"/>
      <c r="AC135" s="333"/>
      <c r="AD135" s="333"/>
      <c r="AE135"/>
      <c r="AH135" s="726"/>
      <c r="AI135" s="726"/>
    </row>
    <row r="136" spans="3:35" x14ac:dyDescent="0.2">
      <c r="C136" t="s">
        <v>848</v>
      </c>
      <c r="D136" t="s">
        <v>487</v>
      </c>
      <c r="E136" t="s">
        <v>487</v>
      </c>
      <c r="F136" t="s">
        <v>487</v>
      </c>
      <c r="G136"/>
      <c r="H136">
        <v>2</v>
      </c>
      <c r="I136">
        <v>91</v>
      </c>
      <c r="J136">
        <v>1.46</v>
      </c>
      <c r="K136">
        <v>0.16</v>
      </c>
      <c r="L136">
        <v>1.58</v>
      </c>
      <c r="M136">
        <v>0.27</v>
      </c>
      <c r="N136">
        <v>0.92</v>
      </c>
      <c r="O136">
        <v>92</v>
      </c>
      <c r="P136">
        <v>701</v>
      </c>
      <c r="Q136">
        <v>51.5</v>
      </c>
      <c r="W136" s="325">
        <f t="shared" si="44"/>
        <v>14.6</v>
      </c>
      <c r="X136" s="325">
        <f t="shared" si="44"/>
        <v>1.6</v>
      </c>
      <c r="Y136" s="325">
        <f t="shared" si="44"/>
        <v>15.8</v>
      </c>
      <c r="Z136" s="325">
        <f t="shared" si="44"/>
        <v>2.7</v>
      </c>
      <c r="AA136">
        <v>2</v>
      </c>
      <c r="AB136" s="76"/>
      <c r="AC136" s="333"/>
      <c r="AD136" s="333"/>
      <c r="AE136"/>
      <c r="AH136" s="726"/>
      <c r="AI136" s="726"/>
    </row>
    <row r="137" spans="3:35" x14ac:dyDescent="0.2">
      <c r="C137" t="s">
        <v>849</v>
      </c>
      <c r="D137" t="s">
        <v>487</v>
      </c>
      <c r="E137" t="s">
        <v>487</v>
      </c>
      <c r="F137" t="s">
        <v>487</v>
      </c>
      <c r="G137"/>
      <c r="H137">
        <v>2</v>
      </c>
      <c r="I137">
        <v>5</v>
      </c>
      <c r="J137">
        <v>0.03</v>
      </c>
      <c r="K137">
        <v>0.15</v>
      </c>
      <c r="L137">
        <v>0.15</v>
      </c>
      <c r="M137">
        <v>0.01</v>
      </c>
      <c r="N137">
        <v>0.85</v>
      </c>
      <c r="O137">
        <v>85</v>
      </c>
      <c r="P137">
        <v>759</v>
      </c>
      <c r="Q137">
        <v>51.3</v>
      </c>
      <c r="W137" s="325">
        <f t="shared" si="44"/>
        <v>0.3</v>
      </c>
      <c r="X137" s="325">
        <f t="shared" si="44"/>
        <v>1.5</v>
      </c>
      <c r="Y137" s="325">
        <f t="shared" si="44"/>
        <v>1.5</v>
      </c>
      <c r="Z137" s="325">
        <f t="shared" si="44"/>
        <v>0.1</v>
      </c>
      <c r="AA137">
        <v>2</v>
      </c>
      <c r="AB137" s="76"/>
      <c r="AC137" s="333"/>
      <c r="AD137" s="333"/>
      <c r="AE137"/>
      <c r="AH137" s="726"/>
      <c r="AI137" s="726"/>
    </row>
    <row r="138" spans="3:35" x14ac:dyDescent="0.2">
      <c r="C138" t="s">
        <v>850</v>
      </c>
      <c r="D138" t="s">
        <v>487</v>
      </c>
      <c r="E138" t="s">
        <v>487</v>
      </c>
      <c r="F138" t="s">
        <v>487</v>
      </c>
      <c r="G138"/>
      <c r="H138">
        <v>2</v>
      </c>
      <c r="I138">
        <v>27</v>
      </c>
      <c r="J138">
        <v>0.37</v>
      </c>
      <c r="K138">
        <v>0.06</v>
      </c>
      <c r="L138">
        <v>0.14000000000000001</v>
      </c>
      <c r="M138">
        <v>0.09</v>
      </c>
      <c r="N138">
        <v>0.94</v>
      </c>
      <c r="O138">
        <v>94</v>
      </c>
      <c r="P138">
        <v>686</v>
      </c>
      <c r="Q138">
        <v>51.2</v>
      </c>
      <c r="W138" s="325">
        <f t="shared" si="44"/>
        <v>3.7</v>
      </c>
      <c r="X138" s="325">
        <f t="shared" si="44"/>
        <v>0.6</v>
      </c>
      <c r="Y138" s="325">
        <f t="shared" si="44"/>
        <v>1.4000000000000001</v>
      </c>
      <c r="Z138" s="325">
        <f t="shared" si="44"/>
        <v>0.89999999999999991</v>
      </c>
      <c r="AA138">
        <v>2</v>
      </c>
      <c r="AB138" s="76"/>
      <c r="AC138" s="333"/>
      <c r="AD138" s="333"/>
      <c r="AE138"/>
      <c r="AH138" s="726"/>
      <c r="AI138" s="726"/>
    </row>
    <row r="139" spans="3:35" x14ac:dyDescent="0.2">
      <c r="C139" t="s">
        <v>851</v>
      </c>
      <c r="D139" t="s">
        <v>487</v>
      </c>
      <c r="E139" t="s">
        <v>487</v>
      </c>
      <c r="F139" t="s">
        <v>487</v>
      </c>
      <c r="G139"/>
      <c r="H139">
        <v>2</v>
      </c>
      <c r="I139">
        <v>89</v>
      </c>
      <c r="J139">
        <v>5.43</v>
      </c>
      <c r="K139">
        <v>2.4500000000000002</v>
      </c>
      <c r="L139">
        <v>1.66</v>
      </c>
      <c r="M139">
        <v>0.85</v>
      </c>
      <c r="N139">
        <v>0.92</v>
      </c>
      <c r="O139">
        <v>92</v>
      </c>
      <c r="P139">
        <v>590</v>
      </c>
      <c r="Q139">
        <v>60</v>
      </c>
      <c r="W139" s="325">
        <f t="shared" si="44"/>
        <v>54.3</v>
      </c>
      <c r="X139" s="325">
        <f t="shared" si="44"/>
        <v>24.5</v>
      </c>
      <c r="Y139" s="325">
        <f t="shared" si="44"/>
        <v>16.599999999999998</v>
      </c>
      <c r="Z139" s="325">
        <f t="shared" si="44"/>
        <v>8.5</v>
      </c>
      <c r="AA139">
        <v>2</v>
      </c>
      <c r="AB139" s="76"/>
      <c r="AC139" s="333"/>
      <c r="AD139" s="333"/>
      <c r="AE139"/>
      <c r="AH139" s="726"/>
      <c r="AI139" s="726"/>
    </row>
    <row r="140" spans="3:35" x14ac:dyDescent="0.2">
      <c r="C140" t="s">
        <v>852</v>
      </c>
      <c r="D140" t="s">
        <v>487</v>
      </c>
      <c r="E140" t="s">
        <v>487</v>
      </c>
      <c r="F140" t="s">
        <v>487</v>
      </c>
      <c r="G140"/>
      <c r="H140">
        <v>2</v>
      </c>
      <c r="I140">
        <v>90</v>
      </c>
      <c r="J140">
        <v>5.27</v>
      </c>
      <c r="K140">
        <v>2.48</v>
      </c>
      <c r="L140">
        <v>1.58</v>
      </c>
      <c r="M140">
        <v>0.82</v>
      </c>
      <c r="N140">
        <v>0.93</v>
      </c>
      <c r="O140">
        <v>93</v>
      </c>
      <c r="P140">
        <v>633</v>
      </c>
      <c r="Q140">
        <v>61</v>
      </c>
      <c r="W140" s="325">
        <f t="shared" si="44"/>
        <v>52.699999999999996</v>
      </c>
      <c r="X140" s="325">
        <f t="shared" si="44"/>
        <v>24.8</v>
      </c>
      <c r="Y140" s="325">
        <f t="shared" si="44"/>
        <v>15.8</v>
      </c>
      <c r="Z140" s="325">
        <f t="shared" si="44"/>
        <v>8.1999999999999993</v>
      </c>
      <c r="AA140">
        <v>2</v>
      </c>
      <c r="AB140" s="76"/>
      <c r="AC140" s="333"/>
      <c r="AD140" s="333"/>
      <c r="AE140"/>
      <c r="AH140" s="726"/>
      <c r="AI140" s="726"/>
    </row>
    <row r="141" spans="3:35" x14ac:dyDescent="0.2">
      <c r="C141" t="s">
        <v>853</v>
      </c>
      <c r="D141" t="s">
        <v>487</v>
      </c>
      <c r="E141" t="s">
        <v>487</v>
      </c>
      <c r="F141" t="s">
        <v>487</v>
      </c>
      <c r="G141"/>
      <c r="H141">
        <v>2</v>
      </c>
      <c r="I141">
        <v>88</v>
      </c>
      <c r="J141">
        <v>2.25</v>
      </c>
      <c r="K141">
        <v>2.02</v>
      </c>
      <c r="L141">
        <v>1.49</v>
      </c>
      <c r="M141">
        <v>0.53</v>
      </c>
      <c r="N141">
        <v>0.95</v>
      </c>
      <c r="O141">
        <v>95</v>
      </c>
      <c r="P141">
        <v>590</v>
      </c>
      <c r="Q141">
        <v>53.6</v>
      </c>
      <c r="W141" s="325">
        <f t="shared" si="44"/>
        <v>22.5</v>
      </c>
      <c r="X141" s="325">
        <f t="shared" si="44"/>
        <v>20.2</v>
      </c>
      <c r="Y141" s="325">
        <f t="shared" si="44"/>
        <v>14.9</v>
      </c>
      <c r="Z141" s="325">
        <f t="shared" si="44"/>
        <v>5.3000000000000007</v>
      </c>
      <c r="AA141">
        <v>2</v>
      </c>
      <c r="AB141" s="76"/>
      <c r="AC141" s="333"/>
      <c r="AD141" s="333"/>
      <c r="AE141"/>
      <c r="AH141" s="726"/>
      <c r="AI141" s="726"/>
    </row>
    <row r="142" spans="3:35" x14ac:dyDescent="0.2">
      <c r="C142" t="s">
        <v>854</v>
      </c>
      <c r="D142" t="s">
        <v>487</v>
      </c>
      <c r="E142" t="s">
        <v>487</v>
      </c>
      <c r="F142" t="s">
        <v>487</v>
      </c>
      <c r="G142"/>
      <c r="H142">
        <v>2</v>
      </c>
      <c r="I142">
        <v>88</v>
      </c>
      <c r="J142">
        <v>2.2799999999999998</v>
      </c>
      <c r="K142">
        <v>2.2400000000000002</v>
      </c>
      <c r="L142">
        <v>1.49</v>
      </c>
      <c r="M142">
        <v>0.53</v>
      </c>
      <c r="N142">
        <v>0.94</v>
      </c>
      <c r="O142">
        <v>94</v>
      </c>
      <c r="P142">
        <v>574</v>
      </c>
      <c r="Q142">
        <v>53.7</v>
      </c>
      <c r="W142" s="325">
        <f t="shared" si="44"/>
        <v>22.799999999999997</v>
      </c>
      <c r="X142" s="325">
        <f t="shared" si="44"/>
        <v>22.400000000000002</v>
      </c>
      <c r="Y142" s="325">
        <f t="shared" si="44"/>
        <v>14.9</v>
      </c>
      <c r="Z142" s="325">
        <f t="shared" si="44"/>
        <v>5.3000000000000007</v>
      </c>
      <c r="AA142">
        <v>2</v>
      </c>
      <c r="AB142" s="76"/>
      <c r="AC142" s="333"/>
      <c r="AD142" s="333"/>
      <c r="AE142"/>
      <c r="AH142" s="726"/>
      <c r="AI142" s="726"/>
    </row>
    <row r="143" spans="3:35" x14ac:dyDescent="0.2">
      <c r="C143" t="s">
        <v>855</v>
      </c>
      <c r="D143" t="s">
        <v>487</v>
      </c>
      <c r="E143" t="s">
        <v>487</v>
      </c>
      <c r="F143" t="s">
        <v>487</v>
      </c>
      <c r="G143"/>
      <c r="H143">
        <v>2</v>
      </c>
      <c r="I143">
        <v>17</v>
      </c>
      <c r="J143">
        <v>0.2</v>
      </c>
      <c r="K143">
        <v>0.08</v>
      </c>
      <c r="L143">
        <v>0.24</v>
      </c>
      <c r="M143">
        <v>0.06</v>
      </c>
      <c r="N143">
        <v>0.91</v>
      </c>
      <c r="O143">
        <v>91</v>
      </c>
      <c r="P143">
        <v>671</v>
      </c>
      <c r="Q143">
        <v>51.1</v>
      </c>
      <c r="W143" s="325">
        <f t="shared" si="44"/>
        <v>2</v>
      </c>
      <c r="X143" s="325">
        <f t="shared" si="44"/>
        <v>0.8</v>
      </c>
      <c r="Y143" s="325">
        <f t="shared" si="44"/>
        <v>2.4</v>
      </c>
      <c r="Z143" s="325">
        <f t="shared" si="44"/>
        <v>0.6</v>
      </c>
      <c r="AA143">
        <v>2</v>
      </c>
      <c r="AB143" s="76"/>
      <c r="AC143" s="333"/>
      <c r="AD143" s="333"/>
      <c r="AE143"/>
      <c r="AH143" s="726"/>
      <c r="AI143" s="726"/>
    </row>
    <row r="144" spans="3:35" x14ac:dyDescent="0.2">
      <c r="C144" t="s">
        <v>856</v>
      </c>
      <c r="D144" t="s">
        <v>487</v>
      </c>
      <c r="E144" t="s">
        <v>487</v>
      </c>
      <c r="F144" t="s">
        <v>487</v>
      </c>
      <c r="G144"/>
      <c r="H144">
        <v>2</v>
      </c>
      <c r="I144">
        <v>88</v>
      </c>
      <c r="J144">
        <v>7.67</v>
      </c>
      <c r="K144">
        <v>1.51</v>
      </c>
      <c r="L144">
        <v>2.44</v>
      </c>
      <c r="M144">
        <v>0.4</v>
      </c>
      <c r="N144">
        <v>0.93</v>
      </c>
      <c r="O144">
        <v>93</v>
      </c>
      <c r="P144">
        <v>680</v>
      </c>
      <c r="Q144">
        <v>61.9</v>
      </c>
      <c r="W144" s="325">
        <f t="shared" si="44"/>
        <v>76.7</v>
      </c>
      <c r="X144" s="325">
        <f t="shared" si="44"/>
        <v>15.1</v>
      </c>
      <c r="Y144" s="325">
        <f t="shared" si="44"/>
        <v>24.4</v>
      </c>
      <c r="Z144" s="325">
        <f t="shared" si="44"/>
        <v>4</v>
      </c>
      <c r="AA144">
        <v>2</v>
      </c>
      <c r="AB144" s="76"/>
      <c r="AC144" s="333"/>
      <c r="AD144" s="333"/>
      <c r="AE144"/>
      <c r="AH144" s="726"/>
      <c r="AI144" s="726"/>
    </row>
    <row r="145" spans="3:35" x14ac:dyDescent="0.2">
      <c r="C145" t="s">
        <v>857</v>
      </c>
      <c r="D145" t="s">
        <v>487</v>
      </c>
      <c r="E145" t="s">
        <v>487</v>
      </c>
      <c r="F145" t="s">
        <v>487</v>
      </c>
      <c r="G145"/>
      <c r="H145">
        <v>2</v>
      </c>
      <c r="I145">
        <v>88</v>
      </c>
      <c r="J145">
        <v>7.04</v>
      </c>
      <c r="K145">
        <v>1.47</v>
      </c>
      <c r="L145">
        <v>2.33</v>
      </c>
      <c r="M145">
        <v>0.44</v>
      </c>
      <c r="N145">
        <v>0.93</v>
      </c>
      <c r="O145">
        <v>93</v>
      </c>
      <c r="P145">
        <v>681</v>
      </c>
      <c r="Q145">
        <v>60.9</v>
      </c>
      <c r="W145" s="325">
        <f t="shared" si="44"/>
        <v>70.400000000000006</v>
      </c>
      <c r="X145" s="325">
        <f t="shared" si="44"/>
        <v>14.7</v>
      </c>
      <c r="Y145" s="325">
        <f t="shared" si="44"/>
        <v>23.3</v>
      </c>
      <c r="Z145" s="325">
        <f t="shared" si="44"/>
        <v>4.4000000000000004</v>
      </c>
      <c r="AA145">
        <v>2</v>
      </c>
      <c r="AB145" s="76"/>
      <c r="AC145" s="333"/>
      <c r="AD145" s="333"/>
      <c r="AE145"/>
      <c r="AH145" s="726"/>
      <c r="AI145" s="726"/>
    </row>
    <row r="146" spans="3:35" x14ac:dyDescent="0.2">
      <c r="C146" t="s">
        <v>858</v>
      </c>
      <c r="D146" t="s">
        <v>487</v>
      </c>
      <c r="E146" t="s">
        <v>487</v>
      </c>
      <c r="F146" t="s">
        <v>487</v>
      </c>
      <c r="G146"/>
      <c r="H146">
        <v>2</v>
      </c>
      <c r="I146">
        <v>88</v>
      </c>
      <c r="J146">
        <v>1.9</v>
      </c>
      <c r="K146">
        <v>0.33</v>
      </c>
      <c r="L146">
        <v>1.52</v>
      </c>
      <c r="M146">
        <v>0.44</v>
      </c>
      <c r="N146">
        <v>0.95</v>
      </c>
      <c r="O146">
        <v>95</v>
      </c>
      <c r="P146">
        <v>604</v>
      </c>
      <c r="Q146">
        <v>52.7</v>
      </c>
      <c r="W146" s="325">
        <f t="shared" si="44"/>
        <v>19</v>
      </c>
      <c r="X146" s="325">
        <f t="shared" si="44"/>
        <v>3.3000000000000003</v>
      </c>
      <c r="Y146" s="325">
        <f t="shared" si="44"/>
        <v>15.2</v>
      </c>
      <c r="Z146" s="325">
        <f t="shared" si="44"/>
        <v>4.4000000000000004</v>
      </c>
      <c r="AA146">
        <v>2</v>
      </c>
      <c r="AB146" s="76"/>
      <c r="AC146" s="333"/>
      <c r="AD146" s="333"/>
      <c r="AE146"/>
      <c r="AH146" s="726"/>
      <c r="AI146" s="726"/>
    </row>
    <row r="147" spans="3:35" x14ac:dyDescent="0.2">
      <c r="C147" t="s">
        <v>859</v>
      </c>
      <c r="D147" t="s">
        <v>487</v>
      </c>
      <c r="E147" t="s">
        <v>487</v>
      </c>
      <c r="F147" t="s">
        <v>487</v>
      </c>
      <c r="G147"/>
      <c r="H147">
        <v>2</v>
      </c>
      <c r="I147">
        <v>89</v>
      </c>
      <c r="J147">
        <v>5.41</v>
      </c>
      <c r="K147">
        <v>2.2400000000000002</v>
      </c>
      <c r="L147">
        <v>1.4</v>
      </c>
      <c r="M147">
        <v>0.77</v>
      </c>
      <c r="N147">
        <v>0.93</v>
      </c>
      <c r="O147">
        <v>93</v>
      </c>
      <c r="P147">
        <v>503</v>
      </c>
      <c r="Q147">
        <v>61.3</v>
      </c>
      <c r="W147" s="325">
        <f t="shared" si="44"/>
        <v>54.1</v>
      </c>
      <c r="X147" s="325">
        <f t="shared" si="44"/>
        <v>22.400000000000002</v>
      </c>
      <c r="Y147" s="325">
        <f t="shared" si="44"/>
        <v>14</v>
      </c>
      <c r="Z147" s="325">
        <f t="shared" si="44"/>
        <v>7.7</v>
      </c>
      <c r="AA147">
        <v>2</v>
      </c>
      <c r="AB147" s="76"/>
      <c r="AC147" s="333"/>
      <c r="AD147" s="333"/>
      <c r="AE147"/>
      <c r="AH147" s="726"/>
      <c r="AI147" s="726"/>
    </row>
    <row r="148" spans="3:35" x14ac:dyDescent="0.2">
      <c r="C148" t="s">
        <v>860</v>
      </c>
      <c r="D148" t="s">
        <v>487</v>
      </c>
      <c r="E148" t="s">
        <v>487</v>
      </c>
      <c r="F148" t="s">
        <v>487</v>
      </c>
      <c r="G148"/>
      <c r="H148">
        <v>2</v>
      </c>
      <c r="I148">
        <v>6.4</v>
      </c>
      <c r="J148">
        <v>0.1</v>
      </c>
      <c r="K148">
        <v>0.18</v>
      </c>
      <c r="L148">
        <v>0.19</v>
      </c>
      <c r="M148">
        <v>0.02</v>
      </c>
      <c r="N148">
        <v>0.89</v>
      </c>
      <c r="O148">
        <v>89</v>
      </c>
      <c r="P148">
        <v>742</v>
      </c>
      <c r="Q148">
        <v>53.5</v>
      </c>
      <c r="W148" s="325">
        <f t="shared" si="44"/>
        <v>1</v>
      </c>
      <c r="X148" s="325">
        <f t="shared" si="44"/>
        <v>1.7999999999999998</v>
      </c>
      <c r="Y148" s="325">
        <f t="shared" si="44"/>
        <v>1.9</v>
      </c>
      <c r="Z148" s="325">
        <f t="shared" si="44"/>
        <v>0.2</v>
      </c>
      <c r="AA148">
        <v>2</v>
      </c>
      <c r="AB148" s="76"/>
      <c r="AC148" s="333"/>
      <c r="AD148" s="333"/>
      <c r="AE148"/>
      <c r="AH148" s="726"/>
      <c r="AI148" s="726"/>
    </row>
    <row r="149" spans="3:35" x14ac:dyDescent="0.2">
      <c r="C149" t="s">
        <v>861</v>
      </c>
      <c r="D149" t="s">
        <v>487</v>
      </c>
      <c r="E149" t="s">
        <v>487</v>
      </c>
      <c r="F149" t="s">
        <v>487</v>
      </c>
      <c r="G149"/>
      <c r="H149">
        <v>2</v>
      </c>
      <c r="I149">
        <v>6</v>
      </c>
      <c r="J149">
        <v>0.13</v>
      </c>
      <c r="K149">
        <v>0.09</v>
      </c>
      <c r="L149">
        <v>0.18</v>
      </c>
      <c r="M149">
        <v>0.01</v>
      </c>
      <c r="N149">
        <v>0.92</v>
      </c>
      <c r="O149">
        <v>92</v>
      </c>
      <c r="P149">
        <v>746</v>
      </c>
      <c r="Q149">
        <v>53.1</v>
      </c>
      <c r="T149" s="1108"/>
      <c r="U149" s="1108"/>
      <c r="V149" s="1108"/>
      <c r="W149" s="325">
        <f t="shared" si="44"/>
        <v>1.3</v>
      </c>
      <c r="X149" s="325">
        <f t="shared" si="44"/>
        <v>0.89999999999999991</v>
      </c>
      <c r="Y149" s="325">
        <f t="shared" si="44"/>
        <v>1.7999999999999998</v>
      </c>
      <c r="Z149" s="325">
        <f t="shared" si="44"/>
        <v>0.1</v>
      </c>
      <c r="AA149">
        <v>2</v>
      </c>
      <c r="AB149" s="76"/>
      <c r="AC149" s="333"/>
      <c r="AD149" s="333"/>
      <c r="AE149"/>
      <c r="AH149" s="726"/>
      <c r="AI149" s="726"/>
    </row>
    <row r="150" spans="3:35" x14ac:dyDescent="0.2">
      <c r="C150" t="s">
        <v>862</v>
      </c>
      <c r="D150" t="s">
        <v>487</v>
      </c>
      <c r="E150" t="s">
        <v>487</v>
      </c>
      <c r="F150" t="s">
        <v>487</v>
      </c>
      <c r="G150"/>
      <c r="H150">
        <v>2</v>
      </c>
      <c r="I150">
        <v>90</v>
      </c>
      <c r="J150">
        <v>1.2</v>
      </c>
      <c r="K150">
        <v>0.21</v>
      </c>
      <c r="L150">
        <v>0.49</v>
      </c>
      <c r="M150">
        <v>0.27</v>
      </c>
      <c r="N150">
        <v>0.93</v>
      </c>
      <c r="O150">
        <v>93</v>
      </c>
      <c r="P150">
        <v>672</v>
      </c>
      <c r="Q150">
        <v>51.2</v>
      </c>
      <c r="W150" s="325">
        <f t="shared" si="44"/>
        <v>12</v>
      </c>
      <c r="X150" s="325">
        <f t="shared" si="44"/>
        <v>2.1</v>
      </c>
      <c r="Y150" s="325">
        <f t="shared" si="44"/>
        <v>4.9000000000000004</v>
      </c>
      <c r="Z150" s="325">
        <f t="shared" si="44"/>
        <v>2.7</v>
      </c>
      <c r="AA150">
        <v>2</v>
      </c>
      <c r="AB150" s="76"/>
      <c r="AC150" s="333"/>
      <c r="AD150" s="333"/>
      <c r="AE150"/>
      <c r="AH150" s="726"/>
      <c r="AI150" s="726"/>
    </row>
    <row r="151" spans="3:35" x14ac:dyDescent="0.2">
      <c r="C151" t="s">
        <v>863</v>
      </c>
      <c r="D151" t="s">
        <v>487</v>
      </c>
      <c r="E151" t="s">
        <v>487</v>
      </c>
      <c r="F151" t="s">
        <v>487</v>
      </c>
      <c r="G151"/>
      <c r="H151">
        <v>2</v>
      </c>
      <c r="I151">
        <v>87.5</v>
      </c>
      <c r="J151">
        <v>2.4700000000000002</v>
      </c>
      <c r="K151">
        <v>2.11</v>
      </c>
      <c r="L151">
        <v>1.27</v>
      </c>
      <c r="M151">
        <v>0.62</v>
      </c>
      <c r="N151">
        <v>0.94</v>
      </c>
      <c r="O151">
        <v>94</v>
      </c>
      <c r="P151">
        <v>585</v>
      </c>
      <c r="Q151">
        <v>55</v>
      </c>
      <c r="W151" s="325">
        <f t="shared" si="44"/>
        <v>24.700000000000003</v>
      </c>
      <c r="X151" s="325">
        <f t="shared" si="44"/>
        <v>21.099999999999998</v>
      </c>
      <c r="Y151" s="325">
        <f t="shared" si="44"/>
        <v>12.7</v>
      </c>
      <c r="Z151" s="325">
        <f t="shared" si="44"/>
        <v>6.2</v>
      </c>
      <c r="AA151">
        <v>2</v>
      </c>
      <c r="AB151" s="76"/>
      <c r="AC151" s="333"/>
      <c r="AD151" s="333"/>
      <c r="AE151"/>
      <c r="AH151" s="726"/>
      <c r="AI151" s="726"/>
    </row>
    <row r="152" spans="3:35" x14ac:dyDescent="0.2">
      <c r="C152" t="s">
        <v>864</v>
      </c>
      <c r="D152" t="s">
        <v>487</v>
      </c>
      <c r="E152" t="s">
        <v>487</v>
      </c>
      <c r="F152" t="s">
        <v>487</v>
      </c>
      <c r="G152"/>
      <c r="H152">
        <v>2</v>
      </c>
      <c r="I152">
        <v>88</v>
      </c>
      <c r="J152">
        <v>2.25</v>
      </c>
      <c r="K152">
        <v>2.62</v>
      </c>
      <c r="L152">
        <v>1.28</v>
      </c>
      <c r="M152">
        <v>0.77</v>
      </c>
      <c r="N152">
        <v>0.94</v>
      </c>
      <c r="O152">
        <v>94</v>
      </c>
      <c r="P152">
        <v>537</v>
      </c>
      <c r="Q152">
        <v>55.2</v>
      </c>
      <c r="W152" s="325">
        <f t="shared" si="44"/>
        <v>22.5</v>
      </c>
      <c r="X152" s="325">
        <f t="shared" si="44"/>
        <v>26.200000000000003</v>
      </c>
      <c r="Y152" s="325">
        <f t="shared" si="44"/>
        <v>12.8</v>
      </c>
      <c r="Z152" s="325">
        <f t="shared" si="44"/>
        <v>7.7</v>
      </c>
      <c r="AA152">
        <v>2</v>
      </c>
      <c r="AB152" s="76"/>
      <c r="AC152" s="333"/>
      <c r="AD152" s="333"/>
      <c r="AE152"/>
      <c r="AH152" s="726"/>
      <c r="AI152" s="726"/>
    </row>
    <row r="153" spans="3:35" x14ac:dyDescent="0.2">
      <c r="C153" t="s">
        <v>865</v>
      </c>
      <c r="D153" t="s">
        <v>487</v>
      </c>
      <c r="E153" t="s">
        <v>487</v>
      </c>
      <c r="F153" t="s">
        <v>487</v>
      </c>
      <c r="G153"/>
      <c r="H153">
        <v>2</v>
      </c>
      <c r="I153">
        <v>87</v>
      </c>
      <c r="J153">
        <v>2.64</v>
      </c>
      <c r="K153">
        <v>1.39</v>
      </c>
      <c r="L153">
        <v>0.94</v>
      </c>
      <c r="M153">
        <v>0.42</v>
      </c>
      <c r="N153">
        <v>0.97</v>
      </c>
      <c r="O153">
        <v>97</v>
      </c>
      <c r="P153">
        <v>699</v>
      </c>
      <c r="Q153">
        <v>54.7</v>
      </c>
      <c r="W153" s="325">
        <f t="shared" si="44"/>
        <v>26.400000000000002</v>
      </c>
      <c r="X153" s="325">
        <f t="shared" si="44"/>
        <v>13.899999999999999</v>
      </c>
      <c r="Y153" s="325">
        <f t="shared" si="44"/>
        <v>9.3999999999999986</v>
      </c>
      <c r="Z153" s="325">
        <f t="shared" si="44"/>
        <v>4.2</v>
      </c>
      <c r="AA153">
        <v>2</v>
      </c>
      <c r="AB153" s="76"/>
      <c r="AC153" s="333"/>
      <c r="AD153" s="333"/>
      <c r="AE153"/>
      <c r="AH153" s="726"/>
      <c r="AI153" s="726"/>
    </row>
    <row r="154" spans="3:35" x14ac:dyDescent="0.2">
      <c r="C154" t="s">
        <v>866</v>
      </c>
      <c r="D154" t="s">
        <v>487</v>
      </c>
      <c r="E154" t="s">
        <v>487</v>
      </c>
      <c r="F154" t="s">
        <v>487</v>
      </c>
      <c r="G154"/>
      <c r="H154">
        <v>2</v>
      </c>
      <c r="I154">
        <v>78</v>
      </c>
      <c r="J154">
        <v>1.68</v>
      </c>
      <c r="K154">
        <v>0.09</v>
      </c>
      <c r="L154">
        <v>5.08</v>
      </c>
      <c r="M154">
        <v>0.02</v>
      </c>
      <c r="N154">
        <v>0.88</v>
      </c>
      <c r="O154">
        <v>88</v>
      </c>
      <c r="P154">
        <v>713</v>
      </c>
      <c r="Q154">
        <v>52.3</v>
      </c>
      <c r="W154" s="325">
        <f t="shared" si="44"/>
        <v>16.8</v>
      </c>
      <c r="X154" s="325">
        <f t="shared" si="44"/>
        <v>0.89999999999999991</v>
      </c>
      <c r="Y154" s="325">
        <f t="shared" si="44"/>
        <v>50.8</v>
      </c>
      <c r="Z154" s="325">
        <f t="shared" si="44"/>
        <v>0.2</v>
      </c>
      <c r="AA154">
        <v>2</v>
      </c>
      <c r="AB154" s="76"/>
      <c r="AC154" s="333"/>
      <c r="AD154" s="333"/>
      <c r="AE154"/>
    </row>
  </sheetData>
  <mergeCells count="2">
    <mergeCell ref="W1:AA1"/>
    <mergeCell ref="W3:Z3"/>
  </mergeCells>
  <conditionalFormatting sqref="N1:P1 R1 AC1:AF1 W1 C1:I1">
    <cfRule type="expression" dxfId="7" priority="10">
      <formula>ISBLANK(#REF!)</formula>
    </cfRule>
  </conditionalFormatting>
  <conditionalFormatting sqref="J1:M1">
    <cfRule type="expression" dxfId="6" priority="6">
      <formula>ISBLANK($C$1:$LG$1)</formula>
    </cfRule>
  </conditionalFormatting>
  <conditionalFormatting sqref="Q1">
    <cfRule type="expression" dxfId="5" priority="4">
      <formula>ISBLANK(#REF!)</formula>
    </cfRule>
  </conditionalFormatting>
  <conditionalFormatting sqref="S1">
    <cfRule type="expression" dxfId="4" priority="3">
      <formula>ISBLANK($A$1:$KI$1)</formula>
    </cfRule>
  </conditionalFormatting>
  <conditionalFormatting sqref="T1:U1">
    <cfRule type="expression" dxfId="3" priority="2">
      <formula>ISBLANK($A$1:$MV$1)</formula>
    </cfRule>
  </conditionalFormatting>
  <conditionalFormatting sqref="V1">
    <cfRule type="expression" dxfId="2" priority="1">
      <formula>ISBLANK($A$1:$MV$1)</formula>
    </cfRule>
  </conditionalFormatting>
  <pageMargins left="0.7" right="0.7" top="0.78740157499999996" bottom="0.78740157499999996"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62"/>
  <sheetViews>
    <sheetView showGridLines="0" zoomScaleNormal="100" workbookViewId="0"/>
  </sheetViews>
  <sheetFormatPr baseColWidth="10" defaultColWidth="11.42578125" defaultRowHeight="14.25" x14ac:dyDescent="0.2"/>
  <cols>
    <col min="1" max="1" width="3.5703125" style="1559" customWidth="1"/>
    <col min="2" max="2" width="29.7109375" style="1559" customWidth="1"/>
    <col min="3" max="3" width="33.42578125" style="1559" customWidth="1"/>
    <col min="4" max="4" width="8.28515625" style="1559" customWidth="1"/>
    <col min="5" max="5" width="8.7109375" style="1559" customWidth="1"/>
    <col min="6" max="6" width="7.28515625" style="1559" customWidth="1"/>
    <col min="7" max="7" width="9.28515625" style="1559" customWidth="1"/>
    <col min="8" max="8" width="7.7109375" style="1559" customWidth="1"/>
    <col min="9" max="9" width="8.28515625" style="1559" customWidth="1"/>
    <col min="10" max="10" width="6.7109375" style="1559" customWidth="1"/>
    <col min="11" max="11" width="1.42578125" style="1559" customWidth="1"/>
    <col min="12" max="12" width="11.42578125" style="1559"/>
    <col min="13" max="13" width="0" style="1927" hidden="1" customWidth="1"/>
    <col min="14" max="16384" width="11.42578125" style="1559"/>
  </cols>
  <sheetData>
    <row r="1" spans="1:13" ht="21.75" customHeight="1" x14ac:dyDescent="0.3">
      <c r="B1" s="3217" t="str">
        <f>CONCATENATE("Abgabeliste ",'Nährstoffe und Lagerraum'!$E$5)</f>
        <v>Abgabeliste 2024</v>
      </c>
      <c r="C1" s="3217"/>
      <c r="D1" s="3217"/>
      <c r="E1" s="3217"/>
      <c r="F1" s="3217"/>
      <c r="G1" s="3217"/>
      <c r="H1" s="3217"/>
      <c r="I1" s="3217"/>
      <c r="J1" s="3217"/>
    </row>
    <row r="2" spans="1:13" ht="9.6" customHeight="1" x14ac:dyDescent="0.3">
      <c r="B2" s="2073"/>
      <c r="C2" s="2073"/>
      <c r="D2" s="2073"/>
      <c r="E2" s="2073"/>
      <c r="F2" s="2073"/>
      <c r="G2" s="2073"/>
      <c r="H2" s="2073"/>
      <c r="I2" s="2073"/>
      <c r="J2" s="2073"/>
    </row>
    <row r="3" spans="1:13" ht="30" customHeight="1" x14ac:dyDescent="0.2">
      <c r="A3" s="3216" t="s">
        <v>8683</v>
      </c>
      <c r="B3" s="3216"/>
      <c r="C3" s="3216"/>
      <c r="D3" s="3216"/>
      <c r="E3" s="3216"/>
      <c r="F3" s="3216"/>
      <c r="G3" s="3216"/>
    </row>
    <row r="4" spans="1:13" ht="36" customHeight="1" x14ac:dyDescent="0.35">
      <c r="A4" s="3211"/>
      <c r="B4" s="3218" t="s">
        <v>8348</v>
      </c>
      <c r="C4" s="3218" t="s">
        <v>8347</v>
      </c>
      <c r="D4" s="3218" t="s">
        <v>8673</v>
      </c>
      <c r="E4" s="3218" t="s">
        <v>8346</v>
      </c>
      <c r="F4" s="3218" t="s">
        <v>281</v>
      </c>
      <c r="G4" s="3220" t="s">
        <v>8345</v>
      </c>
      <c r="H4" s="2164" t="s">
        <v>4</v>
      </c>
      <c r="I4" s="2164" t="s">
        <v>713</v>
      </c>
      <c r="J4" s="2164" t="s">
        <v>714</v>
      </c>
    </row>
    <row r="5" spans="1:13" x14ac:dyDescent="0.2">
      <c r="A5" s="3212"/>
      <c r="B5" s="3219"/>
      <c r="C5" s="3219"/>
      <c r="D5" s="3219"/>
      <c r="E5" s="3219"/>
      <c r="F5" s="3219"/>
      <c r="G5" s="3221"/>
      <c r="H5" s="3212" t="s">
        <v>8344</v>
      </c>
      <c r="I5" s="3212"/>
      <c r="J5" s="3212"/>
    </row>
    <row r="6" spans="1:13" ht="15" x14ac:dyDescent="0.2">
      <c r="A6" s="1935"/>
      <c r="B6" s="3213" t="s">
        <v>8343</v>
      </c>
      <c r="C6" s="1936"/>
      <c r="D6" s="2165" t="s">
        <v>773</v>
      </c>
      <c r="E6" s="1928">
        <f>SUMIF($M$9:$M$62,$M6,$E$9:$E$62)</f>
        <v>0</v>
      </c>
      <c r="F6" s="1929" t="str" cm="1">
        <f t="array" ref="F6">IF($E6=0,"",SUMPRODUCT($F$9:$F$62,$E$9:$E$62,($M$9:$M$62=$M6)*1)/$E6)</f>
        <v/>
      </c>
      <c r="G6" s="1930"/>
      <c r="H6" s="2071" t="str" cm="1">
        <f t="array" ref="H6">IF($E6=0,"",SUMPRODUCT($H$9:$H$62,$E$9:$E$62,($M$9:$M$62=$M6)*1)/$E6)</f>
        <v/>
      </c>
      <c r="I6" s="2071" t="str" cm="1">
        <f t="array" ref="I6">IF($E6=0,"",SUMPRODUCT($I$9:$I$62,$E$9:$E$62,($M$9:$M$62=$M6)*1)/$E6)</f>
        <v/>
      </c>
      <c r="J6" s="2071" t="str" cm="1">
        <f t="array" ref="J6">IF($E6=0,"",SUMPRODUCT($J$9:$J$62,$E$9:$E$62,($M$9:$M$62=$M6)*1)/$E6)</f>
        <v/>
      </c>
      <c r="M6" s="1927">
        <v>1</v>
      </c>
    </row>
    <row r="7" spans="1:13" ht="15" x14ac:dyDescent="0.2">
      <c r="A7" s="1937"/>
      <c r="B7" s="3214"/>
      <c r="C7" s="1938"/>
      <c r="D7" s="2166" t="s">
        <v>0</v>
      </c>
      <c r="E7" s="1928">
        <f t="shared" ref="E7:E8" si="0">SUMIF($M$9:$M$62,$M7,$E$9:$E$62)</f>
        <v>0</v>
      </c>
      <c r="F7" s="1929" t="str" cm="1">
        <f t="array" ref="F7">IF($E7=0,"",SUMPRODUCT($F$9:$F$62,$E$9:$E$62,($M$9:$M$62=$M7)*1)/$E7)</f>
        <v/>
      </c>
      <c r="G7" s="1931"/>
      <c r="H7" s="2071" t="str" cm="1">
        <f t="array" ref="H7">IF($E7=0,"",SUMPRODUCT($H$9:$H$62,$E$9:$E$62,($M$9:$M$62=$M7)*1)/$E7)</f>
        <v/>
      </c>
      <c r="I7" s="2071" t="str" cm="1">
        <f t="array" ref="I7">IF($E7=0,"",SUMPRODUCT($I$9:$I$62,$E$9:$E$62,($M$9:$M$62=$M7)*1)/$E7)</f>
        <v/>
      </c>
      <c r="J7" s="2071" t="str" cm="1">
        <f t="array" ref="J7">IF($E7=0,"",SUMPRODUCT($J$9:$J$62,$E$9:$E$62,($M$9:$M$62=$M7)*1)/$E7)</f>
        <v/>
      </c>
      <c r="M7" s="1927">
        <v>2</v>
      </c>
    </row>
    <row r="8" spans="1:13" ht="15.75" thickBot="1" x14ac:dyDescent="0.25">
      <c r="A8" s="1939"/>
      <c r="B8" s="3215"/>
      <c r="C8" s="1940"/>
      <c r="D8" s="2167" t="s">
        <v>11</v>
      </c>
      <c r="E8" s="1932">
        <f t="shared" si="0"/>
        <v>0</v>
      </c>
      <c r="F8" s="1933" t="str" cm="1">
        <f t="array" ref="F8">IF($E8=0,"",SUMPRODUCT($F$9:$F$62,$E$9:$E$62,($M$9:$M$62=$M8)*1)/$E8)</f>
        <v/>
      </c>
      <c r="G8" s="1934"/>
      <c r="H8" s="2072" t="str" cm="1">
        <f t="array" ref="H8">IF($E8=0,"",SUMPRODUCT($H$9:$H$62,$E$9:$E$62,($M$9:$M$62=$M8)*1)/$E8)</f>
        <v/>
      </c>
      <c r="I8" s="2072" t="str" cm="1">
        <f t="array" ref="I8">IF($E8=0,"",SUMPRODUCT($I$9:$I$62,$E$9:$E$62,($M$9:$M$62=$M8)*1)/$E8)</f>
        <v/>
      </c>
      <c r="J8" s="2072" t="str" cm="1">
        <f t="array" ref="J8">IF($E8=0,"",SUMPRODUCT($J$9:$J$62,$E$9:$E$62,($M$9:$M$62=$M8)*1)/$E8)</f>
        <v/>
      </c>
      <c r="M8" s="1927">
        <v>3</v>
      </c>
    </row>
    <row r="9" spans="1:13" ht="15" thickTop="1" x14ac:dyDescent="0.2">
      <c r="A9" s="1566">
        <v>1</v>
      </c>
      <c r="B9" s="1565"/>
      <c r="C9" s="1565"/>
      <c r="D9" s="1946"/>
      <c r="E9" s="1563"/>
      <c r="F9" s="1563"/>
      <c r="G9" s="1564"/>
      <c r="H9" s="1563"/>
      <c r="I9" s="1563"/>
      <c r="J9" s="1563"/>
      <c r="M9" s="1927">
        <v>1</v>
      </c>
    </row>
    <row r="10" spans="1:13" x14ac:dyDescent="0.2">
      <c r="A10" s="1561">
        <v>2</v>
      </c>
      <c r="B10" s="1560"/>
      <c r="C10" s="1560"/>
      <c r="D10" s="1946"/>
      <c r="E10" s="1562"/>
      <c r="F10" s="1562"/>
      <c r="G10" s="1562"/>
      <c r="H10" s="1562"/>
      <c r="I10" s="1562"/>
      <c r="J10" s="1562"/>
      <c r="M10" s="1927">
        <v>1</v>
      </c>
    </row>
    <row r="11" spans="1:13" x14ac:dyDescent="0.2">
      <c r="A11" s="1561">
        <v>3</v>
      </c>
      <c r="B11" s="1560"/>
      <c r="C11" s="1560"/>
      <c r="D11" s="1946"/>
      <c r="E11" s="1562"/>
      <c r="F11" s="1562"/>
      <c r="G11" s="1562"/>
      <c r="H11" s="1562"/>
      <c r="I11" s="1562"/>
      <c r="J11" s="1562"/>
      <c r="M11" s="1927">
        <v>1</v>
      </c>
    </row>
    <row r="12" spans="1:13" x14ac:dyDescent="0.2">
      <c r="A12" s="1561">
        <v>4</v>
      </c>
      <c r="B12" s="1560"/>
      <c r="C12" s="1560"/>
      <c r="D12" s="1946"/>
      <c r="E12" s="1562"/>
      <c r="F12" s="1562"/>
      <c r="G12" s="1562"/>
      <c r="H12" s="1562"/>
      <c r="I12" s="1562"/>
      <c r="J12" s="1562"/>
      <c r="M12" s="1927">
        <v>1</v>
      </c>
    </row>
    <row r="13" spans="1:13" x14ac:dyDescent="0.2">
      <c r="A13" s="1561">
        <v>5</v>
      </c>
      <c r="B13" s="1560"/>
      <c r="C13" s="1560"/>
      <c r="D13" s="1946"/>
      <c r="E13" s="1562"/>
      <c r="F13" s="1562"/>
      <c r="G13" s="1562"/>
      <c r="H13" s="1562"/>
      <c r="I13" s="1562"/>
      <c r="J13" s="1562"/>
      <c r="M13" s="1927">
        <v>1</v>
      </c>
    </row>
    <row r="14" spans="1:13" x14ac:dyDescent="0.2">
      <c r="A14" s="1561">
        <v>6</v>
      </c>
      <c r="B14" s="1560"/>
      <c r="C14" s="1560"/>
      <c r="D14" s="1946"/>
      <c r="E14" s="1562"/>
      <c r="F14" s="1562"/>
      <c r="G14" s="1562"/>
      <c r="H14" s="1562"/>
      <c r="I14" s="1562"/>
      <c r="J14" s="1562"/>
      <c r="M14" s="1927">
        <v>1</v>
      </c>
    </row>
    <row r="15" spans="1:13" x14ac:dyDescent="0.2">
      <c r="A15" s="1561">
        <v>7</v>
      </c>
      <c r="B15" s="1560"/>
      <c r="C15" s="1560"/>
      <c r="D15" s="1946"/>
      <c r="E15" s="1562"/>
      <c r="F15" s="1562"/>
      <c r="G15" s="1562"/>
      <c r="H15" s="1562"/>
      <c r="I15" s="1562"/>
      <c r="J15" s="1562"/>
      <c r="M15" s="1927">
        <v>1</v>
      </c>
    </row>
    <row r="16" spans="1:13" x14ac:dyDescent="0.2">
      <c r="A16" s="1561">
        <v>8</v>
      </c>
      <c r="B16" s="1560"/>
      <c r="C16" s="1560"/>
      <c r="D16" s="1946"/>
      <c r="E16" s="1562"/>
      <c r="F16" s="1562"/>
      <c r="G16" s="1562"/>
      <c r="H16" s="1562"/>
      <c r="I16" s="1562"/>
      <c r="J16" s="1562"/>
      <c r="M16" s="1927">
        <v>1</v>
      </c>
    </row>
    <row r="17" spans="1:13" x14ac:dyDescent="0.2">
      <c r="A17" s="1561">
        <v>9</v>
      </c>
      <c r="B17" s="1560"/>
      <c r="C17" s="1560"/>
      <c r="D17" s="1946"/>
      <c r="E17" s="1562"/>
      <c r="F17" s="1562"/>
      <c r="G17" s="1562"/>
      <c r="H17" s="1562"/>
      <c r="I17" s="1562"/>
      <c r="J17" s="1562"/>
      <c r="M17" s="1927">
        <v>1</v>
      </c>
    </row>
    <row r="18" spans="1:13" x14ac:dyDescent="0.2">
      <c r="A18" s="1561">
        <v>10</v>
      </c>
      <c r="B18" s="1560"/>
      <c r="C18" s="1560"/>
      <c r="D18" s="1946"/>
      <c r="E18" s="1562"/>
      <c r="F18" s="1562"/>
      <c r="G18" s="1562"/>
      <c r="H18" s="1562"/>
      <c r="I18" s="1562"/>
      <c r="J18" s="1562"/>
      <c r="M18" s="1927">
        <v>1</v>
      </c>
    </row>
    <row r="19" spans="1:13" x14ac:dyDescent="0.2">
      <c r="A19" s="1561">
        <v>11</v>
      </c>
      <c r="B19" s="1560"/>
      <c r="C19" s="1560"/>
      <c r="D19" s="1946"/>
      <c r="E19" s="1562"/>
      <c r="F19" s="1562"/>
      <c r="G19" s="1562"/>
      <c r="H19" s="1562"/>
      <c r="I19" s="1562"/>
      <c r="J19" s="1562"/>
      <c r="M19" s="1927">
        <v>1</v>
      </c>
    </row>
    <row r="20" spans="1:13" x14ac:dyDescent="0.2">
      <c r="A20" s="1561">
        <v>12</v>
      </c>
      <c r="B20" s="1560"/>
      <c r="C20" s="1560"/>
      <c r="D20" s="1946"/>
      <c r="E20" s="1562"/>
      <c r="F20" s="1562"/>
      <c r="G20" s="1562"/>
      <c r="H20" s="1562"/>
      <c r="I20" s="1562"/>
      <c r="J20" s="1562"/>
      <c r="M20" s="1927">
        <v>1</v>
      </c>
    </row>
    <row r="21" spans="1:13" x14ac:dyDescent="0.2">
      <c r="A21" s="1561">
        <v>13</v>
      </c>
      <c r="B21" s="1560"/>
      <c r="C21" s="1560"/>
      <c r="D21" s="1946"/>
      <c r="E21" s="1562"/>
      <c r="F21" s="1562"/>
      <c r="G21" s="1562"/>
      <c r="H21" s="1562"/>
      <c r="I21" s="1562"/>
      <c r="J21" s="1562"/>
      <c r="M21" s="1927">
        <v>1</v>
      </c>
    </row>
    <row r="22" spans="1:13" x14ac:dyDescent="0.2">
      <c r="A22" s="1561">
        <v>14</v>
      </c>
      <c r="B22" s="1560"/>
      <c r="C22" s="1560"/>
      <c r="D22" s="1946"/>
      <c r="E22" s="1562"/>
      <c r="F22" s="1562"/>
      <c r="G22" s="1562"/>
      <c r="H22" s="1562"/>
      <c r="I22" s="1562"/>
      <c r="J22" s="1562"/>
      <c r="M22" s="1927">
        <v>1</v>
      </c>
    </row>
    <row r="23" spans="1:13" x14ac:dyDescent="0.2">
      <c r="A23" s="1561">
        <v>15</v>
      </c>
      <c r="B23" s="1560"/>
      <c r="C23" s="1560"/>
      <c r="D23" s="1946"/>
      <c r="E23" s="1562"/>
      <c r="F23" s="1562"/>
      <c r="G23" s="1562"/>
      <c r="H23" s="1562"/>
      <c r="I23" s="1562"/>
      <c r="J23" s="1562"/>
      <c r="M23" s="1927">
        <v>1</v>
      </c>
    </row>
    <row r="24" spans="1:13" x14ac:dyDescent="0.2">
      <c r="A24" s="1561">
        <v>16</v>
      </c>
      <c r="B24" s="1560"/>
      <c r="C24" s="1560"/>
      <c r="D24" s="1946"/>
      <c r="E24" s="1562"/>
      <c r="F24" s="1562"/>
      <c r="G24" s="1562"/>
      <c r="H24" s="1562"/>
      <c r="I24" s="1562"/>
      <c r="J24" s="1562"/>
      <c r="M24" s="1927">
        <v>1</v>
      </c>
    </row>
    <row r="25" spans="1:13" x14ac:dyDescent="0.2">
      <c r="A25" s="1561">
        <v>17</v>
      </c>
      <c r="B25" s="1560"/>
      <c r="C25" s="1560"/>
      <c r="D25" s="1946"/>
      <c r="E25" s="1562"/>
      <c r="F25" s="1562"/>
      <c r="G25" s="1562"/>
      <c r="H25" s="1562"/>
      <c r="I25" s="1562"/>
      <c r="J25" s="1562"/>
      <c r="M25" s="1927">
        <v>1</v>
      </c>
    </row>
    <row r="26" spans="1:13" x14ac:dyDescent="0.2">
      <c r="A26" s="1561">
        <v>18</v>
      </c>
      <c r="B26" s="1560"/>
      <c r="C26" s="1560"/>
      <c r="D26" s="1946"/>
      <c r="E26" s="1562"/>
      <c r="F26" s="1562"/>
      <c r="G26" s="1562"/>
      <c r="H26" s="1562"/>
      <c r="I26" s="1562"/>
      <c r="J26" s="1562"/>
      <c r="M26" s="1927">
        <v>1</v>
      </c>
    </row>
    <row r="27" spans="1:13" x14ac:dyDescent="0.2">
      <c r="A27" s="1561">
        <v>19</v>
      </c>
      <c r="B27" s="1560"/>
      <c r="C27" s="1560"/>
      <c r="D27" s="1946"/>
      <c r="E27" s="1562"/>
      <c r="F27" s="1562"/>
      <c r="G27" s="1562"/>
      <c r="H27" s="1562"/>
      <c r="I27" s="1562"/>
      <c r="J27" s="1562"/>
      <c r="M27" s="1927">
        <v>1</v>
      </c>
    </row>
    <row r="28" spans="1:13" x14ac:dyDescent="0.2">
      <c r="A28" s="1561">
        <v>20</v>
      </c>
      <c r="B28" s="1560"/>
      <c r="C28" s="1560"/>
      <c r="D28" s="1946"/>
      <c r="E28" s="1562"/>
      <c r="F28" s="1562"/>
      <c r="G28" s="1562"/>
      <c r="H28" s="1562"/>
      <c r="I28" s="1562"/>
      <c r="J28" s="1562"/>
      <c r="M28" s="1927">
        <v>1</v>
      </c>
    </row>
    <row r="29" spans="1:13" x14ac:dyDescent="0.2">
      <c r="A29" s="1561">
        <v>21</v>
      </c>
      <c r="B29" s="1560"/>
      <c r="C29" s="1560"/>
      <c r="D29" s="1946"/>
      <c r="E29" s="1562"/>
      <c r="F29" s="1562"/>
      <c r="G29" s="1562"/>
      <c r="H29" s="1562"/>
      <c r="I29" s="1562"/>
      <c r="J29" s="1562"/>
      <c r="M29" s="1927">
        <v>1</v>
      </c>
    </row>
    <row r="30" spans="1:13" x14ac:dyDescent="0.2">
      <c r="A30" s="1561">
        <v>22</v>
      </c>
      <c r="B30" s="1560"/>
      <c r="C30" s="1560"/>
      <c r="D30" s="1946"/>
      <c r="E30" s="1562"/>
      <c r="F30" s="1562"/>
      <c r="G30" s="1562"/>
      <c r="H30" s="1562"/>
      <c r="I30" s="1562"/>
      <c r="J30" s="1562"/>
      <c r="M30" s="1927">
        <v>1</v>
      </c>
    </row>
    <row r="31" spans="1:13" x14ac:dyDescent="0.2">
      <c r="A31" s="1561">
        <v>23</v>
      </c>
      <c r="B31" s="1560"/>
      <c r="C31" s="1560"/>
      <c r="D31" s="1946"/>
      <c r="E31" s="1562"/>
      <c r="F31" s="1562"/>
      <c r="G31" s="1562"/>
      <c r="H31" s="1562"/>
      <c r="I31" s="1562"/>
      <c r="J31" s="1562"/>
      <c r="M31" s="1927">
        <v>1</v>
      </c>
    </row>
    <row r="32" spans="1:13" x14ac:dyDescent="0.2">
      <c r="A32" s="1561">
        <v>24</v>
      </c>
      <c r="B32" s="1560"/>
      <c r="C32" s="1560"/>
      <c r="D32" s="1946"/>
      <c r="E32" s="1562"/>
      <c r="F32" s="1562"/>
      <c r="G32" s="1562"/>
      <c r="H32" s="1562"/>
      <c r="I32" s="1562"/>
      <c r="J32" s="1562"/>
      <c r="M32" s="1927">
        <v>1</v>
      </c>
    </row>
    <row r="33" spans="1:13" x14ac:dyDescent="0.2">
      <c r="A33" s="1561">
        <v>25</v>
      </c>
      <c r="B33" s="1560"/>
      <c r="C33" s="1560"/>
      <c r="D33" s="1946"/>
      <c r="E33" s="1562"/>
      <c r="F33" s="1562"/>
      <c r="G33" s="1562"/>
      <c r="H33" s="1562"/>
      <c r="I33" s="1562"/>
      <c r="J33" s="1562"/>
      <c r="M33" s="1927">
        <v>1</v>
      </c>
    </row>
    <row r="34" spans="1:13" x14ac:dyDescent="0.2">
      <c r="A34" s="1561">
        <v>26</v>
      </c>
      <c r="B34" s="1560"/>
      <c r="C34" s="1560"/>
      <c r="D34" s="1946"/>
      <c r="E34" s="1562"/>
      <c r="F34" s="1562"/>
      <c r="G34" s="1562"/>
      <c r="H34" s="1562"/>
      <c r="I34" s="1562"/>
      <c r="J34" s="1562"/>
      <c r="M34" s="1927">
        <v>1</v>
      </c>
    </row>
    <row r="35" spans="1:13" x14ac:dyDescent="0.2">
      <c r="A35" s="1561">
        <v>27</v>
      </c>
      <c r="B35" s="1560"/>
      <c r="C35" s="1560"/>
      <c r="D35" s="1946"/>
      <c r="E35" s="1562"/>
      <c r="F35" s="1562"/>
      <c r="G35" s="1562"/>
      <c r="H35" s="1562"/>
      <c r="I35" s="1562"/>
      <c r="J35" s="1562"/>
      <c r="M35" s="1927">
        <v>1</v>
      </c>
    </row>
    <row r="36" spans="1:13" x14ac:dyDescent="0.2">
      <c r="A36" s="1561">
        <v>28</v>
      </c>
      <c r="B36" s="1560"/>
      <c r="C36" s="1560"/>
      <c r="D36" s="1946"/>
      <c r="E36" s="1562"/>
      <c r="F36" s="1562"/>
      <c r="G36" s="1562"/>
      <c r="H36" s="1562"/>
      <c r="I36" s="1562"/>
      <c r="J36" s="1562"/>
      <c r="M36" s="1927">
        <v>1</v>
      </c>
    </row>
    <row r="37" spans="1:13" x14ac:dyDescent="0.2">
      <c r="A37" s="1561">
        <v>29</v>
      </c>
      <c r="B37" s="1560"/>
      <c r="C37" s="1560"/>
      <c r="D37" s="1946"/>
      <c r="E37" s="1562"/>
      <c r="F37" s="1562"/>
      <c r="G37" s="1562"/>
      <c r="H37" s="1562"/>
      <c r="I37" s="1562"/>
      <c r="J37" s="1562"/>
      <c r="M37" s="1927">
        <v>1</v>
      </c>
    </row>
    <row r="38" spans="1:13" x14ac:dyDescent="0.2">
      <c r="A38" s="1561">
        <v>30</v>
      </c>
      <c r="B38" s="1560"/>
      <c r="C38" s="1560"/>
      <c r="D38" s="1946"/>
      <c r="E38" s="1562"/>
      <c r="F38" s="1562"/>
      <c r="G38" s="1562"/>
      <c r="H38" s="1562"/>
      <c r="I38" s="1562"/>
      <c r="J38" s="1562"/>
      <c r="M38" s="1927">
        <v>1</v>
      </c>
    </row>
    <row r="39" spans="1:13" x14ac:dyDescent="0.2">
      <c r="A39" s="1561">
        <v>31</v>
      </c>
      <c r="B39" s="1560"/>
      <c r="C39" s="1560"/>
      <c r="D39" s="1946"/>
      <c r="E39" s="1562"/>
      <c r="F39" s="1562"/>
      <c r="G39" s="1562"/>
      <c r="H39" s="1562"/>
      <c r="I39" s="1562"/>
      <c r="J39" s="1562"/>
      <c r="M39" s="1927">
        <v>1</v>
      </c>
    </row>
    <row r="40" spans="1:13" x14ac:dyDescent="0.2">
      <c r="A40" s="1561">
        <v>32</v>
      </c>
      <c r="B40" s="1560"/>
      <c r="C40" s="1560"/>
      <c r="D40" s="1946"/>
      <c r="E40" s="1562"/>
      <c r="F40" s="1562"/>
      <c r="G40" s="1562"/>
      <c r="H40" s="1562"/>
      <c r="I40" s="1562"/>
      <c r="J40" s="1562"/>
      <c r="M40" s="1927">
        <v>1</v>
      </c>
    </row>
    <row r="41" spans="1:13" x14ac:dyDescent="0.2">
      <c r="A41" s="1561">
        <v>33</v>
      </c>
      <c r="B41" s="1560"/>
      <c r="C41" s="1560"/>
      <c r="D41" s="1946"/>
      <c r="E41" s="1562"/>
      <c r="F41" s="1562"/>
      <c r="G41" s="1562"/>
      <c r="H41" s="1562"/>
      <c r="I41" s="1562"/>
      <c r="J41" s="1562"/>
      <c r="M41" s="1927">
        <v>1</v>
      </c>
    </row>
    <row r="42" spans="1:13" x14ac:dyDescent="0.2">
      <c r="A42" s="1561">
        <v>34</v>
      </c>
      <c r="B42" s="1560"/>
      <c r="C42" s="1560"/>
      <c r="D42" s="1946"/>
      <c r="E42" s="1562"/>
      <c r="F42" s="1562"/>
      <c r="G42" s="1562"/>
      <c r="H42" s="1562"/>
      <c r="I42" s="1562"/>
      <c r="J42" s="1562"/>
      <c r="M42" s="1927">
        <v>1</v>
      </c>
    </row>
    <row r="43" spans="1:13" x14ac:dyDescent="0.2">
      <c r="A43" s="1561">
        <v>35</v>
      </c>
      <c r="B43" s="1560"/>
      <c r="C43" s="1560"/>
      <c r="D43" s="1946"/>
      <c r="E43" s="1562"/>
      <c r="F43" s="1562"/>
      <c r="G43" s="1562"/>
      <c r="H43" s="1562"/>
      <c r="I43" s="1562"/>
      <c r="J43" s="1562"/>
      <c r="M43" s="1927">
        <v>1</v>
      </c>
    </row>
    <row r="44" spans="1:13" x14ac:dyDescent="0.2">
      <c r="A44" s="1561">
        <v>36</v>
      </c>
      <c r="B44" s="1560"/>
      <c r="C44" s="1560"/>
      <c r="D44" s="1946"/>
      <c r="E44" s="1562"/>
      <c r="F44" s="1562"/>
      <c r="G44" s="1562"/>
      <c r="H44" s="1562"/>
      <c r="I44" s="1562"/>
      <c r="J44" s="1562"/>
      <c r="M44" s="1927">
        <v>1</v>
      </c>
    </row>
    <row r="45" spans="1:13" x14ac:dyDescent="0.2">
      <c r="A45" s="1561">
        <v>37</v>
      </c>
      <c r="B45" s="1560"/>
      <c r="C45" s="1560"/>
      <c r="D45" s="1946"/>
      <c r="E45" s="1562"/>
      <c r="F45" s="1562"/>
      <c r="G45" s="1562"/>
      <c r="H45" s="1562"/>
      <c r="I45" s="1562"/>
      <c r="J45" s="1562"/>
      <c r="M45" s="1927">
        <v>1</v>
      </c>
    </row>
    <row r="46" spans="1:13" x14ac:dyDescent="0.2">
      <c r="A46" s="1561">
        <v>38</v>
      </c>
      <c r="B46" s="1560"/>
      <c r="C46" s="1560"/>
      <c r="D46" s="1946"/>
      <c r="E46" s="1562"/>
      <c r="F46" s="1562"/>
      <c r="G46" s="1562"/>
      <c r="H46" s="1562"/>
      <c r="I46" s="1562"/>
      <c r="J46" s="1562"/>
      <c r="M46" s="1927">
        <v>1</v>
      </c>
    </row>
    <row r="47" spans="1:13" x14ac:dyDescent="0.2">
      <c r="A47" s="1561">
        <v>39</v>
      </c>
      <c r="B47" s="1560"/>
      <c r="C47" s="1560"/>
      <c r="D47" s="1946"/>
      <c r="E47" s="1562"/>
      <c r="F47" s="1562"/>
      <c r="G47" s="1562"/>
      <c r="H47" s="1562"/>
      <c r="I47" s="1562"/>
      <c r="J47" s="1562"/>
      <c r="M47" s="1927">
        <v>1</v>
      </c>
    </row>
    <row r="48" spans="1:13" x14ac:dyDescent="0.2">
      <c r="A48" s="1561">
        <v>40</v>
      </c>
      <c r="B48" s="1560"/>
      <c r="C48" s="1560"/>
      <c r="D48" s="1946"/>
      <c r="E48" s="1562"/>
      <c r="F48" s="1562"/>
      <c r="G48" s="1562"/>
      <c r="H48" s="1562"/>
      <c r="I48" s="1562"/>
      <c r="J48" s="1562"/>
      <c r="M48" s="1927">
        <v>1</v>
      </c>
    </row>
    <row r="49" spans="1:13" x14ac:dyDescent="0.2">
      <c r="A49" s="1561">
        <v>41</v>
      </c>
      <c r="B49" s="1560"/>
      <c r="C49" s="1560"/>
      <c r="D49" s="1946"/>
      <c r="E49" s="1562"/>
      <c r="F49" s="1562"/>
      <c r="G49" s="1562"/>
      <c r="H49" s="1562"/>
      <c r="I49" s="1562"/>
      <c r="J49" s="1562"/>
      <c r="M49" s="1927">
        <v>1</v>
      </c>
    </row>
    <row r="50" spans="1:13" x14ac:dyDescent="0.2">
      <c r="A50" s="1561">
        <v>42</v>
      </c>
      <c r="B50" s="1560"/>
      <c r="C50" s="1560"/>
      <c r="D50" s="1946"/>
      <c r="E50" s="1562"/>
      <c r="F50" s="1562"/>
      <c r="G50" s="1562"/>
      <c r="H50" s="1562"/>
      <c r="I50" s="1562"/>
      <c r="J50" s="1562"/>
      <c r="M50" s="1927">
        <v>1</v>
      </c>
    </row>
    <row r="51" spans="1:13" x14ac:dyDescent="0.2">
      <c r="A51" s="1561">
        <v>43</v>
      </c>
      <c r="B51" s="1560"/>
      <c r="C51" s="1560"/>
      <c r="D51" s="1946"/>
      <c r="E51" s="1562"/>
      <c r="F51" s="1562"/>
      <c r="G51" s="1562"/>
      <c r="H51" s="1562"/>
      <c r="I51" s="1562"/>
      <c r="J51" s="1562"/>
      <c r="M51" s="1927">
        <v>1</v>
      </c>
    </row>
    <row r="52" spans="1:13" x14ac:dyDescent="0.2">
      <c r="A52" s="1561">
        <v>44</v>
      </c>
      <c r="B52" s="1560"/>
      <c r="C52" s="1560"/>
      <c r="D52" s="1946"/>
      <c r="E52" s="1562"/>
      <c r="F52" s="1562"/>
      <c r="G52" s="1562"/>
      <c r="H52" s="1562"/>
      <c r="I52" s="1562"/>
      <c r="J52" s="1562"/>
      <c r="M52" s="1927">
        <v>1</v>
      </c>
    </row>
    <row r="53" spans="1:13" x14ac:dyDescent="0.2">
      <c r="A53" s="1561">
        <v>45</v>
      </c>
      <c r="B53" s="1560"/>
      <c r="C53" s="1560"/>
      <c r="D53" s="1946"/>
      <c r="E53" s="1562"/>
      <c r="F53" s="1562"/>
      <c r="G53" s="1562"/>
      <c r="H53" s="1562"/>
      <c r="I53" s="1562"/>
      <c r="J53" s="1562"/>
      <c r="M53" s="1927">
        <v>1</v>
      </c>
    </row>
    <row r="54" spans="1:13" x14ac:dyDescent="0.2">
      <c r="A54" s="1561">
        <v>46</v>
      </c>
      <c r="B54" s="1560"/>
      <c r="C54" s="1560"/>
      <c r="D54" s="1946"/>
      <c r="E54" s="1562"/>
      <c r="F54" s="1562"/>
      <c r="G54" s="1562"/>
      <c r="H54" s="1562"/>
      <c r="I54" s="1562"/>
      <c r="J54" s="1562"/>
      <c r="M54" s="1927">
        <v>1</v>
      </c>
    </row>
    <row r="55" spans="1:13" x14ac:dyDescent="0.2">
      <c r="A55" s="1561">
        <v>47</v>
      </c>
      <c r="B55" s="1560"/>
      <c r="C55" s="1560"/>
      <c r="D55" s="1946"/>
      <c r="E55" s="1562"/>
      <c r="F55" s="1562"/>
      <c r="G55" s="1562"/>
      <c r="H55" s="1562"/>
      <c r="I55" s="1562"/>
      <c r="J55" s="1562"/>
      <c r="M55" s="1927">
        <v>1</v>
      </c>
    </row>
    <row r="56" spans="1:13" x14ac:dyDescent="0.2">
      <c r="A56" s="1561">
        <v>48</v>
      </c>
      <c r="B56" s="1560"/>
      <c r="C56" s="1560"/>
      <c r="D56" s="1946"/>
      <c r="E56" s="1562"/>
      <c r="F56" s="1562"/>
      <c r="G56" s="1562"/>
      <c r="H56" s="1562"/>
      <c r="I56" s="1562"/>
      <c r="J56" s="1562"/>
      <c r="M56" s="1927">
        <v>1</v>
      </c>
    </row>
    <row r="57" spans="1:13" x14ac:dyDescent="0.2">
      <c r="A57" s="1561">
        <v>49</v>
      </c>
      <c r="B57" s="1560"/>
      <c r="C57" s="1560"/>
      <c r="D57" s="1946"/>
      <c r="E57" s="1562"/>
      <c r="F57" s="1562"/>
      <c r="G57" s="1562"/>
      <c r="H57" s="1562"/>
      <c r="I57" s="1562"/>
      <c r="J57" s="1562"/>
      <c r="M57" s="1927">
        <v>1</v>
      </c>
    </row>
    <row r="58" spans="1:13" x14ac:dyDescent="0.2">
      <c r="A58" s="1561">
        <v>50</v>
      </c>
      <c r="B58" s="1560"/>
      <c r="C58" s="1560"/>
      <c r="D58" s="1946"/>
      <c r="E58" s="1562"/>
      <c r="F58" s="1562"/>
      <c r="G58" s="1562"/>
      <c r="H58" s="1562"/>
      <c r="I58" s="1562"/>
      <c r="J58" s="1562"/>
      <c r="M58" s="1927">
        <v>1</v>
      </c>
    </row>
    <row r="59" spans="1:13" x14ac:dyDescent="0.2">
      <c r="A59" s="1561">
        <v>51</v>
      </c>
      <c r="B59" s="1560"/>
      <c r="C59" s="1560"/>
      <c r="D59" s="1946"/>
      <c r="E59" s="1562"/>
      <c r="F59" s="1562"/>
      <c r="G59" s="1562"/>
      <c r="H59" s="1562"/>
      <c r="I59" s="1562"/>
      <c r="J59" s="1562"/>
      <c r="M59" s="1927">
        <v>1</v>
      </c>
    </row>
    <row r="60" spans="1:13" x14ac:dyDescent="0.2">
      <c r="A60" s="1561">
        <v>52</v>
      </c>
      <c r="B60" s="1560"/>
      <c r="C60" s="1560"/>
      <c r="D60" s="1946"/>
      <c r="E60" s="1562"/>
      <c r="F60" s="1562"/>
      <c r="G60" s="1562"/>
      <c r="H60" s="1562"/>
      <c r="I60" s="1562"/>
      <c r="J60" s="1562"/>
      <c r="M60" s="1927">
        <v>1</v>
      </c>
    </row>
    <row r="61" spans="1:13" x14ac:dyDescent="0.2">
      <c r="A61" s="1561">
        <v>53</v>
      </c>
      <c r="B61" s="1560"/>
      <c r="C61" s="1560"/>
      <c r="D61" s="1946"/>
      <c r="E61" s="1562"/>
      <c r="F61" s="1562"/>
      <c r="G61" s="1562"/>
      <c r="H61" s="1562"/>
      <c r="I61" s="1562"/>
      <c r="J61" s="1562"/>
      <c r="M61" s="1927">
        <v>1</v>
      </c>
    </row>
    <row r="62" spans="1:13" x14ac:dyDescent="0.2">
      <c r="A62" s="1561">
        <v>54</v>
      </c>
      <c r="B62" s="1560"/>
      <c r="C62" s="1560"/>
      <c r="D62" s="1946"/>
      <c r="E62" s="1562"/>
      <c r="F62" s="1562"/>
      <c r="G62" s="1562"/>
      <c r="H62" s="1562"/>
      <c r="I62" s="1562"/>
      <c r="J62" s="1562"/>
      <c r="M62" s="1927">
        <v>1</v>
      </c>
    </row>
  </sheetData>
  <sheetProtection algorithmName="SHA-512" hashValue="nxWXzgWYdx29xey/PyujP3rePvRD/bITZ3mGPYDvQVwXFT18IgjQViYAb2yhuF3iD+dM3u/O20Ksj+BE6EEcIw==" saltValue="gy7cNJtyibpW39kBW5MwUQ==" spinCount="100000" sheet="1" objects="1" scenarios="1"/>
  <mergeCells count="11">
    <mergeCell ref="A4:A5"/>
    <mergeCell ref="B6:B8"/>
    <mergeCell ref="A3:G3"/>
    <mergeCell ref="B1:J1"/>
    <mergeCell ref="B4:B5"/>
    <mergeCell ref="C4:C5"/>
    <mergeCell ref="D4:D5"/>
    <mergeCell ref="E4:E5"/>
    <mergeCell ref="F4:F5"/>
    <mergeCell ref="G4:G5"/>
    <mergeCell ref="H5:J5"/>
  </mergeCells>
  <pageMargins left="0.70866141732283472" right="0.70866141732283472" top="0.39370078740157483" bottom="0.39370078740157483" header="0.31496062992125984" footer="0.19685039370078741"/>
  <pageSetup paperSize="9" orientation="landscape" horizontalDpi="300" r:id="rId1"/>
  <headerFooter>
    <oddFooter>&amp;C© Bayerische Landesanstalt für Landwirtschaft (Of, Kj, Mk); Stand: 17.10.24;        Seite: &amp;P von &amp;N        &amp;D        &amp;T Uhr</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1062" r:id="rId4" name="Drop Down 6">
              <controlPr defaultSize="0" autoLine="0" autoPict="0">
                <anchor moveWithCells="1">
                  <from>
                    <xdr:col>3</xdr:col>
                    <xdr:colOff>19050</xdr:colOff>
                    <xdr:row>8</xdr:row>
                    <xdr:rowOff>19050</xdr:rowOff>
                  </from>
                  <to>
                    <xdr:col>3</xdr:col>
                    <xdr:colOff>552450</xdr:colOff>
                    <xdr:row>8</xdr:row>
                    <xdr:rowOff>171450</xdr:rowOff>
                  </to>
                </anchor>
              </controlPr>
            </control>
          </mc:Choice>
        </mc:AlternateContent>
        <mc:AlternateContent xmlns:mc="http://schemas.openxmlformats.org/markup-compatibility/2006">
          <mc:Choice Requires="x14">
            <control shapeId="301063" r:id="rId5" name="Drop Down 7">
              <controlPr defaultSize="0" autoLine="0" autoPict="0">
                <anchor moveWithCells="1">
                  <from>
                    <xdr:col>3</xdr:col>
                    <xdr:colOff>19050</xdr:colOff>
                    <xdr:row>9</xdr:row>
                    <xdr:rowOff>19050</xdr:rowOff>
                  </from>
                  <to>
                    <xdr:col>3</xdr:col>
                    <xdr:colOff>552450</xdr:colOff>
                    <xdr:row>10</xdr:row>
                    <xdr:rowOff>0</xdr:rowOff>
                  </to>
                </anchor>
              </controlPr>
            </control>
          </mc:Choice>
        </mc:AlternateContent>
        <mc:AlternateContent xmlns:mc="http://schemas.openxmlformats.org/markup-compatibility/2006">
          <mc:Choice Requires="x14">
            <control shapeId="301064" r:id="rId6" name="Drop Down 8">
              <controlPr defaultSize="0" autoLine="0" autoPict="0">
                <anchor moveWithCells="1">
                  <from>
                    <xdr:col>3</xdr:col>
                    <xdr:colOff>19050</xdr:colOff>
                    <xdr:row>10</xdr:row>
                    <xdr:rowOff>19050</xdr:rowOff>
                  </from>
                  <to>
                    <xdr:col>3</xdr:col>
                    <xdr:colOff>552450</xdr:colOff>
                    <xdr:row>11</xdr:row>
                    <xdr:rowOff>0</xdr:rowOff>
                  </to>
                </anchor>
              </controlPr>
            </control>
          </mc:Choice>
        </mc:AlternateContent>
        <mc:AlternateContent xmlns:mc="http://schemas.openxmlformats.org/markup-compatibility/2006">
          <mc:Choice Requires="x14">
            <control shapeId="301065" r:id="rId7" name="Drop Down 9">
              <controlPr defaultSize="0" autoLine="0" autoPict="0">
                <anchor moveWithCells="1">
                  <from>
                    <xdr:col>3</xdr:col>
                    <xdr:colOff>19050</xdr:colOff>
                    <xdr:row>11</xdr:row>
                    <xdr:rowOff>19050</xdr:rowOff>
                  </from>
                  <to>
                    <xdr:col>3</xdr:col>
                    <xdr:colOff>552450</xdr:colOff>
                    <xdr:row>12</xdr:row>
                    <xdr:rowOff>0</xdr:rowOff>
                  </to>
                </anchor>
              </controlPr>
            </control>
          </mc:Choice>
        </mc:AlternateContent>
        <mc:AlternateContent xmlns:mc="http://schemas.openxmlformats.org/markup-compatibility/2006">
          <mc:Choice Requires="x14">
            <control shapeId="301066" r:id="rId8" name="Drop Down 10">
              <controlPr defaultSize="0" autoLine="0" autoPict="0">
                <anchor moveWithCells="1">
                  <from>
                    <xdr:col>3</xdr:col>
                    <xdr:colOff>19050</xdr:colOff>
                    <xdr:row>12</xdr:row>
                    <xdr:rowOff>9525</xdr:rowOff>
                  </from>
                  <to>
                    <xdr:col>3</xdr:col>
                    <xdr:colOff>552450</xdr:colOff>
                    <xdr:row>12</xdr:row>
                    <xdr:rowOff>161925</xdr:rowOff>
                  </to>
                </anchor>
              </controlPr>
            </control>
          </mc:Choice>
        </mc:AlternateContent>
        <mc:AlternateContent xmlns:mc="http://schemas.openxmlformats.org/markup-compatibility/2006">
          <mc:Choice Requires="x14">
            <control shapeId="301067" r:id="rId9" name="Drop Down 11">
              <controlPr defaultSize="0" autoLine="0" autoPict="0">
                <anchor moveWithCells="1">
                  <from>
                    <xdr:col>3</xdr:col>
                    <xdr:colOff>19050</xdr:colOff>
                    <xdr:row>13</xdr:row>
                    <xdr:rowOff>9525</xdr:rowOff>
                  </from>
                  <to>
                    <xdr:col>3</xdr:col>
                    <xdr:colOff>552450</xdr:colOff>
                    <xdr:row>14</xdr:row>
                    <xdr:rowOff>0</xdr:rowOff>
                  </to>
                </anchor>
              </controlPr>
            </control>
          </mc:Choice>
        </mc:AlternateContent>
        <mc:AlternateContent xmlns:mc="http://schemas.openxmlformats.org/markup-compatibility/2006">
          <mc:Choice Requires="x14">
            <control shapeId="301068" r:id="rId10" name="Drop Down 12">
              <controlPr defaultSize="0" autoLine="0" autoPict="0">
                <anchor moveWithCells="1">
                  <from>
                    <xdr:col>3</xdr:col>
                    <xdr:colOff>19050</xdr:colOff>
                    <xdr:row>14</xdr:row>
                    <xdr:rowOff>9525</xdr:rowOff>
                  </from>
                  <to>
                    <xdr:col>3</xdr:col>
                    <xdr:colOff>552450</xdr:colOff>
                    <xdr:row>14</xdr:row>
                    <xdr:rowOff>161925</xdr:rowOff>
                  </to>
                </anchor>
              </controlPr>
            </control>
          </mc:Choice>
        </mc:AlternateContent>
        <mc:AlternateContent xmlns:mc="http://schemas.openxmlformats.org/markup-compatibility/2006">
          <mc:Choice Requires="x14">
            <control shapeId="301069" r:id="rId11" name="Drop Down 13">
              <controlPr defaultSize="0" autoLine="0" autoPict="0">
                <anchor moveWithCells="1">
                  <from>
                    <xdr:col>3</xdr:col>
                    <xdr:colOff>19050</xdr:colOff>
                    <xdr:row>15</xdr:row>
                    <xdr:rowOff>9525</xdr:rowOff>
                  </from>
                  <to>
                    <xdr:col>3</xdr:col>
                    <xdr:colOff>552450</xdr:colOff>
                    <xdr:row>16</xdr:row>
                    <xdr:rowOff>0</xdr:rowOff>
                  </to>
                </anchor>
              </controlPr>
            </control>
          </mc:Choice>
        </mc:AlternateContent>
        <mc:AlternateContent xmlns:mc="http://schemas.openxmlformats.org/markup-compatibility/2006">
          <mc:Choice Requires="x14">
            <control shapeId="301070" r:id="rId12" name="Drop Down 14">
              <controlPr defaultSize="0" autoLine="0" autoPict="0">
                <anchor moveWithCells="1">
                  <from>
                    <xdr:col>3</xdr:col>
                    <xdr:colOff>19050</xdr:colOff>
                    <xdr:row>16</xdr:row>
                    <xdr:rowOff>9525</xdr:rowOff>
                  </from>
                  <to>
                    <xdr:col>3</xdr:col>
                    <xdr:colOff>552450</xdr:colOff>
                    <xdr:row>16</xdr:row>
                    <xdr:rowOff>161925</xdr:rowOff>
                  </to>
                </anchor>
              </controlPr>
            </control>
          </mc:Choice>
        </mc:AlternateContent>
        <mc:AlternateContent xmlns:mc="http://schemas.openxmlformats.org/markup-compatibility/2006">
          <mc:Choice Requires="x14">
            <control shapeId="301071" r:id="rId13" name="Drop Down 15">
              <controlPr defaultSize="0" autoLine="0" autoPict="0">
                <anchor moveWithCells="1">
                  <from>
                    <xdr:col>3</xdr:col>
                    <xdr:colOff>19050</xdr:colOff>
                    <xdr:row>17</xdr:row>
                    <xdr:rowOff>9525</xdr:rowOff>
                  </from>
                  <to>
                    <xdr:col>3</xdr:col>
                    <xdr:colOff>552450</xdr:colOff>
                    <xdr:row>18</xdr:row>
                    <xdr:rowOff>0</xdr:rowOff>
                  </to>
                </anchor>
              </controlPr>
            </control>
          </mc:Choice>
        </mc:AlternateContent>
        <mc:AlternateContent xmlns:mc="http://schemas.openxmlformats.org/markup-compatibility/2006">
          <mc:Choice Requires="x14">
            <control shapeId="301072" r:id="rId14" name="Drop Down 16">
              <controlPr defaultSize="0" autoLine="0" autoPict="0">
                <anchor moveWithCells="1">
                  <from>
                    <xdr:col>3</xdr:col>
                    <xdr:colOff>19050</xdr:colOff>
                    <xdr:row>18</xdr:row>
                    <xdr:rowOff>9525</xdr:rowOff>
                  </from>
                  <to>
                    <xdr:col>3</xdr:col>
                    <xdr:colOff>552450</xdr:colOff>
                    <xdr:row>18</xdr:row>
                    <xdr:rowOff>161925</xdr:rowOff>
                  </to>
                </anchor>
              </controlPr>
            </control>
          </mc:Choice>
        </mc:AlternateContent>
        <mc:AlternateContent xmlns:mc="http://schemas.openxmlformats.org/markup-compatibility/2006">
          <mc:Choice Requires="x14">
            <control shapeId="301073" r:id="rId15" name="Drop Down 17">
              <controlPr defaultSize="0" autoLine="0" autoPict="0">
                <anchor moveWithCells="1">
                  <from>
                    <xdr:col>3</xdr:col>
                    <xdr:colOff>19050</xdr:colOff>
                    <xdr:row>19</xdr:row>
                    <xdr:rowOff>9525</xdr:rowOff>
                  </from>
                  <to>
                    <xdr:col>3</xdr:col>
                    <xdr:colOff>552450</xdr:colOff>
                    <xdr:row>20</xdr:row>
                    <xdr:rowOff>0</xdr:rowOff>
                  </to>
                </anchor>
              </controlPr>
            </control>
          </mc:Choice>
        </mc:AlternateContent>
        <mc:AlternateContent xmlns:mc="http://schemas.openxmlformats.org/markup-compatibility/2006">
          <mc:Choice Requires="x14">
            <control shapeId="301074" r:id="rId16" name="Drop Down 18">
              <controlPr defaultSize="0" autoLine="0" autoPict="0">
                <anchor moveWithCells="1">
                  <from>
                    <xdr:col>3</xdr:col>
                    <xdr:colOff>19050</xdr:colOff>
                    <xdr:row>20</xdr:row>
                    <xdr:rowOff>9525</xdr:rowOff>
                  </from>
                  <to>
                    <xdr:col>3</xdr:col>
                    <xdr:colOff>552450</xdr:colOff>
                    <xdr:row>20</xdr:row>
                    <xdr:rowOff>161925</xdr:rowOff>
                  </to>
                </anchor>
              </controlPr>
            </control>
          </mc:Choice>
        </mc:AlternateContent>
        <mc:AlternateContent xmlns:mc="http://schemas.openxmlformats.org/markup-compatibility/2006">
          <mc:Choice Requires="x14">
            <control shapeId="301075" r:id="rId17" name="Drop Down 19">
              <controlPr defaultSize="0" autoLine="0" autoPict="0">
                <anchor moveWithCells="1">
                  <from>
                    <xdr:col>3</xdr:col>
                    <xdr:colOff>19050</xdr:colOff>
                    <xdr:row>21</xdr:row>
                    <xdr:rowOff>9525</xdr:rowOff>
                  </from>
                  <to>
                    <xdr:col>3</xdr:col>
                    <xdr:colOff>552450</xdr:colOff>
                    <xdr:row>22</xdr:row>
                    <xdr:rowOff>0</xdr:rowOff>
                  </to>
                </anchor>
              </controlPr>
            </control>
          </mc:Choice>
        </mc:AlternateContent>
        <mc:AlternateContent xmlns:mc="http://schemas.openxmlformats.org/markup-compatibility/2006">
          <mc:Choice Requires="x14">
            <control shapeId="301076" r:id="rId18" name="Drop Down 20">
              <controlPr defaultSize="0" autoLine="0" autoPict="0">
                <anchor moveWithCells="1">
                  <from>
                    <xdr:col>3</xdr:col>
                    <xdr:colOff>19050</xdr:colOff>
                    <xdr:row>22</xdr:row>
                    <xdr:rowOff>9525</xdr:rowOff>
                  </from>
                  <to>
                    <xdr:col>3</xdr:col>
                    <xdr:colOff>552450</xdr:colOff>
                    <xdr:row>22</xdr:row>
                    <xdr:rowOff>161925</xdr:rowOff>
                  </to>
                </anchor>
              </controlPr>
            </control>
          </mc:Choice>
        </mc:AlternateContent>
        <mc:AlternateContent xmlns:mc="http://schemas.openxmlformats.org/markup-compatibility/2006">
          <mc:Choice Requires="x14">
            <control shapeId="301077" r:id="rId19" name="Drop Down 21">
              <controlPr defaultSize="0" autoLine="0" autoPict="0">
                <anchor moveWithCells="1">
                  <from>
                    <xdr:col>3</xdr:col>
                    <xdr:colOff>19050</xdr:colOff>
                    <xdr:row>23</xdr:row>
                    <xdr:rowOff>9525</xdr:rowOff>
                  </from>
                  <to>
                    <xdr:col>3</xdr:col>
                    <xdr:colOff>552450</xdr:colOff>
                    <xdr:row>24</xdr:row>
                    <xdr:rowOff>0</xdr:rowOff>
                  </to>
                </anchor>
              </controlPr>
            </control>
          </mc:Choice>
        </mc:AlternateContent>
        <mc:AlternateContent xmlns:mc="http://schemas.openxmlformats.org/markup-compatibility/2006">
          <mc:Choice Requires="x14">
            <control shapeId="301078" r:id="rId20" name="Drop Down 22">
              <controlPr defaultSize="0" autoLine="0" autoPict="0">
                <anchor moveWithCells="1">
                  <from>
                    <xdr:col>3</xdr:col>
                    <xdr:colOff>19050</xdr:colOff>
                    <xdr:row>24</xdr:row>
                    <xdr:rowOff>9525</xdr:rowOff>
                  </from>
                  <to>
                    <xdr:col>3</xdr:col>
                    <xdr:colOff>552450</xdr:colOff>
                    <xdr:row>24</xdr:row>
                    <xdr:rowOff>161925</xdr:rowOff>
                  </to>
                </anchor>
              </controlPr>
            </control>
          </mc:Choice>
        </mc:AlternateContent>
        <mc:AlternateContent xmlns:mc="http://schemas.openxmlformats.org/markup-compatibility/2006">
          <mc:Choice Requires="x14">
            <control shapeId="301079" r:id="rId21" name="Drop Down 23">
              <controlPr defaultSize="0" autoLine="0" autoPict="0">
                <anchor moveWithCells="1">
                  <from>
                    <xdr:col>3</xdr:col>
                    <xdr:colOff>19050</xdr:colOff>
                    <xdr:row>25</xdr:row>
                    <xdr:rowOff>9525</xdr:rowOff>
                  </from>
                  <to>
                    <xdr:col>3</xdr:col>
                    <xdr:colOff>552450</xdr:colOff>
                    <xdr:row>26</xdr:row>
                    <xdr:rowOff>0</xdr:rowOff>
                  </to>
                </anchor>
              </controlPr>
            </control>
          </mc:Choice>
        </mc:AlternateContent>
        <mc:AlternateContent xmlns:mc="http://schemas.openxmlformats.org/markup-compatibility/2006">
          <mc:Choice Requires="x14">
            <control shapeId="301080" r:id="rId22" name="Drop Down 24">
              <controlPr defaultSize="0" autoLine="0" autoPict="0">
                <anchor moveWithCells="1">
                  <from>
                    <xdr:col>3</xdr:col>
                    <xdr:colOff>19050</xdr:colOff>
                    <xdr:row>26</xdr:row>
                    <xdr:rowOff>9525</xdr:rowOff>
                  </from>
                  <to>
                    <xdr:col>3</xdr:col>
                    <xdr:colOff>552450</xdr:colOff>
                    <xdr:row>26</xdr:row>
                    <xdr:rowOff>161925</xdr:rowOff>
                  </to>
                </anchor>
              </controlPr>
            </control>
          </mc:Choice>
        </mc:AlternateContent>
        <mc:AlternateContent xmlns:mc="http://schemas.openxmlformats.org/markup-compatibility/2006">
          <mc:Choice Requires="x14">
            <control shapeId="301081" r:id="rId23" name="Drop Down 25">
              <controlPr defaultSize="0" autoLine="0" autoPict="0">
                <anchor moveWithCells="1">
                  <from>
                    <xdr:col>3</xdr:col>
                    <xdr:colOff>19050</xdr:colOff>
                    <xdr:row>27</xdr:row>
                    <xdr:rowOff>9525</xdr:rowOff>
                  </from>
                  <to>
                    <xdr:col>3</xdr:col>
                    <xdr:colOff>552450</xdr:colOff>
                    <xdr:row>28</xdr:row>
                    <xdr:rowOff>0</xdr:rowOff>
                  </to>
                </anchor>
              </controlPr>
            </control>
          </mc:Choice>
        </mc:AlternateContent>
        <mc:AlternateContent xmlns:mc="http://schemas.openxmlformats.org/markup-compatibility/2006">
          <mc:Choice Requires="x14">
            <control shapeId="301082" r:id="rId24" name="Drop Down 26">
              <controlPr defaultSize="0" autoLine="0" autoPict="0">
                <anchor moveWithCells="1">
                  <from>
                    <xdr:col>3</xdr:col>
                    <xdr:colOff>19050</xdr:colOff>
                    <xdr:row>28</xdr:row>
                    <xdr:rowOff>9525</xdr:rowOff>
                  </from>
                  <to>
                    <xdr:col>3</xdr:col>
                    <xdr:colOff>552450</xdr:colOff>
                    <xdr:row>28</xdr:row>
                    <xdr:rowOff>161925</xdr:rowOff>
                  </to>
                </anchor>
              </controlPr>
            </control>
          </mc:Choice>
        </mc:AlternateContent>
        <mc:AlternateContent xmlns:mc="http://schemas.openxmlformats.org/markup-compatibility/2006">
          <mc:Choice Requires="x14">
            <control shapeId="301083" r:id="rId25" name="Drop Down 27">
              <controlPr defaultSize="0" autoLine="0" autoPict="0">
                <anchor moveWithCells="1">
                  <from>
                    <xdr:col>3</xdr:col>
                    <xdr:colOff>19050</xdr:colOff>
                    <xdr:row>29</xdr:row>
                    <xdr:rowOff>9525</xdr:rowOff>
                  </from>
                  <to>
                    <xdr:col>3</xdr:col>
                    <xdr:colOff>552450</xdr:colOff>
                    <xdr:row>30</xdr:row>
                    <xdr:rowOff>0</xdr:rowOff>
                  </to>
                </anchor>
              </controlPr>
            </control>
          </mc:Choice>
        </mc:AlternateContent>
        <mc:AlternateContent xmlns:mc="http://schemas.openxmlformats.org/markup-compatibility/2006">
          <mc:Choice Requires="x14">
            <control shapeId="301084" r:id="rId26" name="Drop Down 28">
              <controlPr defaultSize="0" autoLine="0" autoPict="0">
                <anchor moveWithCells="1">
                  <from>
                    <xdr:col>3</xdr:col>
                    <xdr:colOff>19050</xdr:colOff>
                    <xdr:row>30</xdr:row>
                    <xdr:rowOff>9525</xdr:rowOff>
                  </from>
                  <to>
                    <xdr:col>3</xdr:col>
                    <xdr:colOff>552450</xdr:colOff>
                    <xdr:row>30</xdr:row>
                    <xdr:rowOff>161925</xdr:rowOff>
                  </to>
                </anchor>
              </controlPr>
            </control>
          </mc:Choice>
        </mc:AlternateContent>
        <mc:AlternateContent xmlns:mc="http://schemas.openxmlformats.org/markup-compatibility/2006">
          <mc:Choice Requires="x14">
            <control shapeId="301085" r:id="rId27" name="Drop Down 29">
              <controlPr defaultSize="0" autoLine="0" autoPict="0">
                <anchor moveWithCells="1">
                  <from>
                    <xdr:col>3</xdr:col>
                    <xdr:colOff>19050</xdr:colOff>
                    <xdr:row>31</xdr:row>
                    <xdr:rowOff>9525</xdr:rowOff>
                  </from>
                  <to>
                    <xdr:col>3</xdr:col>
                    <xdr:colOff>552450</xdr:colOff>
                    <xdr:row>32</xdr:row>
                    <xdr:rowOff>0</xdr:rowOff>
                  </to>
                </anchor>
              </controlPr>
            </control>
          </mc:Choice>
        </mc:AlternateContent>
        <mc:AlternateContent xmlns:mc="http://schemas.openxmlformats.org/markup-compatibility/2006">
          <mc:Choice Requires="x14">
            <control shapeId="301086" r:id="rId28" name="Drop Down 30">
              <controlPr defaultSize="0" autoLine="0" autoPict="0">
                <anchor moveWithCells="1">
                  <from>
                    <xdr:col>3</xdr:col>
                    <xdr:colOff>19050</xdr:colOff>
                    <xdr:row>32</xdr:row>
                    <xdr:rowOff>9525</xdr:rowOff>
                  </from>
                  <to>
                    <xdr:col>3</xdr:col>
                    <xdr:colOff>552450</xdr:colOff>
                    <xdr:row>32</xdr:row>
                    <xdr:rowOff>161925</xdr:rowOff>
                  </to>
                </anchor>
              </controlPr>
            </control>
          </mc:Choice>
        </mc:AlternateContent>
        <mc:AlternateContent xmlns:mc="http://schemas.openxmlformats.org/markup-compatibility/2006">
          <mc:Choice Requires="x14">
            <control shapeId="301087" r:id="rId29" name="Drop Down 31">
              <controlPr defaultSize="0" autoLine="0" autoPict="0">
                <anchor moveWithCells="1">
                  <from>
                    <xdr:col>3</xdr:col>
                    <xdr:colOff>19050</xdr:colOff>
                    <xdr:row>33</xdr:row>
                    <xdr:rowOff>9525</xdr:rowOff>
                  </from>
                  <to>
                    <xdr:col>3</xdr:col>
                    <xdr:colOff>552450</xdr:colOff>
                    <xdr:row>34</xdr:row>
                    <xdr:rowOff>0</xdr:rowOff>
                  </to>
                </anchor>
              </controlPr>
            </control>
          </mc:Choice>
        </mc:AlternateContent>
        <mc:AlternateContent xmlns:mc="http://schemas.openxmlformats.org/markup-compatibility/2006">
          <mc:Choice Requires="x14">
            <control shapeId="301088" r:id="rId30" name="Drop Down 32">
              <controlPr defaultSize="0" autoLine="0" autoPict="0">
                <anchor moveWithCells="1">
                  <from>
                    <xdr:col>3</xdr:col>
                    <xdr:colOff>19050</xdr:colOff>
                    <xdr:row>34</xdr:row>
                    <xdr:rowOff>9525</xdr:rowOff>
                  </from>
                  <to>
                    <xdr:col>3</xdr:col>
                    <xdr:colOff>552450</xdr:colOff>
                    <xdr:row>34</xdr:row>
                    <xdr:rowOff>161925</xdr:rowOff>
                  </to>
                </anchor>
              </controlPr>
            </control>
          </mc:Choice>
        </mc:AlternateContent>
        <mc:AlternateContent xmlns:mc="http://schemas.openxmlformats.org/markup-compatibility/2006">
          <mc:Choice Requires="x14">
            <control shapeId="301089" r:id="rId31" name="Drop Down 33">
              <controlPr defaultSize="0" autoLine="0" autoPict="0">
                <anchor moveWithCells="1">
                  <from>
                    <xdr:col>3</xdr:col>
                    <xdr:colOff>19050</xdr:colOff>
                    <xdr:row>35</xdr:row>
                    <xdr:rowOff>9525</xdr:rowOff>
                  </from>
                  <to>
                    <xdr:col>3</xdr:col>
                    <xdr:colOff>552450</xdr:colOff>
                    <xdr:row>36</xdr:row>
                    <xdr:rowOff>0</xdr:rowOff>
                  </to>
                </anchor>
              </controlPr>
            </control>
          </mc:Choice>
        </mc:AlternateContent>
        <mc:AlternateContent xmlns:mc="http://schemas.openxmlformats.org/markup-compatibility/2006">
          <mc:Choice Requires="x14">
            <control shapeId="301090" r:id="rId32" name="Drop Down 34">
              <controlPr defaultSize="0" autoLine="0" autoPict="0">
                <anchor moveWithCells="1">
                  <from>
                    <xdr:col>3</xdr:col>
                    <xdr:colOff>19050</xdr:colOff>
                    <xdr:row>36</xdr:row>
                    <xdr:rowOff>9525</xdr:rowOff>
                  </from>
                  <to>
                    <xdr:col>3</xdr:col>
                    <xdr:colOff>552450</xdr:colOff>
                    <xdr:row>36</xdr:row>
                    <xdr:rowOff>161925</xdr:rowOff>
                  </to>
                </anchor>
              </controlPr>
            </control>
          </mc:Choice>
        </mc:AlternateContent>
        <mc:AlternateContent xmlns:mc="http://schemas.openxmlformats.org/markup-compatibility/2006">
          <mc:Choice Requires="x14">
            <control shapeId="301091" r:id="rId33" name="Drop Down 35">
              <controlPr defaultSize="0" autoLine="0" autoPict="0">
                <anchor moveWithCells="1">
                  <from>
                    <xdr:col>3</xdr:col>
                    <xdr:colOff>19050</xdr:colOff>
                    <xdr:row>37</xdr:row>
                    <xdr:rowOff>9525</xdr:rowOff>
                  </from>
                  <to>
                    <xdr:col>3</xdr:col>
                    <xdr:colOff>552450</xdr:colOff>
                    <xdr:row>38</xdr:row>
                    <xdr:rowOff>0</xdr:rowOff>
                  </to>
                </anchor>
              </controlPr>
            </control>
          </mc:Choice>
        </mc:AlternateContent>
        <mc:AlternateContent xmlns:mc="http://schemas.openxmlformats.org/markup-compatibility/2006">
          <mc:Choice Requires="x14">
            <control shapeId="301092" r:id="rId34" name="Drop Down 36">
              <controlPr defaultSize="0" autoLine="0" autoPict="0">
                <anchor moveWithCells="1">
                  <from>
                    <xdr:col>3</xdr:col>
                    <xdr:colOff>19050</xdr:colOff>
                    <xdr:row>38</xdr:row>
                    <xdr:rowOff>9525</xdr:rowOff>
                  </from>
                  <to>
                    <xdr:col>3</xdr:col>
                    <xdr:colOff>552450</xdr:colOff>
                    <xdr:row>38</xdr:row>
                    <xdr:rowOff>161925</xdr:rowOff>
                  </to>
                </anchor>
              </controlPr>
            </control>
          </mc:Choice>
        </mc:AlternateContent>
        <mc:AlternateContent xmlns:mc="http://schemas.openxmlformats.org/markup-compatibility/2006">
          <mc:Choice Requires="x14">
            <control shapeId="301093" r:id="rId35" name="Drop Down 37">
              <controlPr defaultSize="0" autoLine="0" autoPict="0">
                <anchor moveWithCells="1">
                  <from>
                    <xdr:col>3</xdr:col>
                    <xdr:colOff>19050</xdr:colOff>
                    <xdr:row>39</xdr:row>
                    <xdr:rowOff>9525</xdr:rowOff>
                  </from>
                  <to>
                    <xdr:col>3</xdr:col>
                    <xdr:colOff>552450</xdr:colOff>
                    <xdr:row>40</xdr:row>
                    <xdr:rowOff>0</xdr:rowOff>
                  </to>
                </anchor>
              </controlPr>
            </control>
          </mc:Choice>
        </mc:AlternateContent>
        <mc:AlternateContent xmlns:mc="http://schemas.openxmlformats.org/markup-compatibility/2006">
          <mc:Choice Requires="x14">
            <control shapeId="301094" r:id="rId36" name="Drop Down 38">
              <controlPr defaultSize="0" autoLine="0" autoPict="0">
                <anchor moveWithCells="1">
                  <from>
                    <xdr:col>3</xdr:col>
                    <xdr:colOff>19050</xdr:colOff>
                    <xdr:row>40</xdr:row>
                    <xdr:rowOff>9525</xdr:rowOff>
                  </from>
                  <to>
                    <xdr:col>3</xdr:col>
                    <xdr:colOff>552450</xdr:colOff>
                    <xdr:row>40</xdr:row>
                    <xdr:rowOff>161925</xdr:rowOff>
                  </to>
                </anchor>
              </controlPr>
            </control>
          </mc:Choice>
        </mc:AlternateContent>
        <mc:AlternateContent xmlns:mc="http://schemas.openxmlformats.org/markup-compatibility/2006">
          <mc:Choice Requires="x14">
            <control shapeId="301095" r:id="rId37" name="Drop Down 39">
              <controlPr defaultSize="0" autoLine="0" autoPict="0">
                <anchor moveWithCells="1">
                  <from>
                    <xdr:col>3</xdr:col>
                    <xdr:colOff>19050</xdr:colOff>
                    <xdr:row>41</xdr:row>
                    <xdr:rowOff>9525</xdr:rowOff>
                  </from>
                  <to>
                    <xdr:col>3</xdr:col>
                    <xdr:colOff>552450</xdr:colOff>
                    <xdr:row>42</xdr:row>
                    <xdr:rowOff>0</xdr:rowOff>
                  </to>
                </anchor>
              </controlPr>
            </control>
          </mc:Choice>
        </mc:AlternateContent>
        <mc:AlternateContent xmlns:mc="http://schemas.openxmlformats.org/markup-compatibility/2006">
          <mc:Choice Requires="x14">
            <control shapeId="301096" r:id="rId38" name="Drop Down 40">
              <controlPr defaultSize="0" autoLine="0" autoPict="0">
                <anchor moveWithCells="1">
                  <from>
                    <xdr:col>3</xdr:col>
                    <xdr:colOff>19050</xdr:colOff>
                    <xdr:row>42</xdr:row>
                    <xdr:rowOff>9525</xdr:rowOff>
                  </from>
                  <to>
                    <xdr:col>3</xdr:col>
                    <xdr:colOff>552450</xdr:colOff>
                    <xdr:row>42</xdr:row>
                    <xdr:rowOff>161925</xdr:rowOff>
                  </to>
                </anchor>
              </controlPr>
            </control>
          </mc:Choice>
        </mc:AlternateContent>
        <mc:AlternateContent xmlns:mc="http://schemas.openxmlformats.org/markup-compatibility/2006">
          <mc:Choice Requires="x14">
            <control shapeId="301097" r:id="rId39" name="Drop Down 41">
              <controlPr defaultSize="0" autoLine="0" autoPict="0">
                <anchor moveWithCells="1">
                  <from>
                    <xdr:col>3</xdr:col>
                    <xdr:colOff>19050</xdr:colOff>
                    <xdr:row>43</xdr:row>
                    <xdr:rowOff>9525</xdr:rowOff>
                  </from>
                  <to>
                    <xdr:col>3</xdr:col>
                    <xdr:colOff>552450</xdr:colOff>
                    <xdr:row>44</xdr:row>
                    <xdr:rowOff>0</xdr:rowOff>
                  </to>
                </anchor>
              </controlPr>
            </control>
          </mc:Choice>
        </mc:AlternateContent>
        <mc:AlternateContent xmlns:mc="http://schemas.openxmlformats.org/markup-compatibility/2006">
          <mc:Choice Requires="x14">
            <control shapeId="301098" r:id="rId40" name="Drop Down 42">
              <controlPr defaultSize="0" autoLine="0" autoPict="0">
                <anchor moveWithCells="1">
                  <from>
                    <xdr:col>3</xdr:col>
                    <xdr:colOff>19050</xdr:colOff>
                    <xdr:row>44</xdr:row>
                    <xdr:rowOff>9525</xdr:rowOff>
                  </from>
                  <to>
                    <xdr:col>3</xdr:col>
                    <xdr:colOff>552450</xdr:colOff>
                    <xdr:row>44</xdr:row>
                    <xdr:rowOff>161925</xdr:rowOff>
                  </to>
                </anchor>
              </controlPr>
            </control>
          </mc:Choice>
        </mc:AlternateContent>
        <mc:AlternateContent xmlns:mc="http://schemas.openxmlformats.org/markup-compatibility/2006">
          <mc:Choice Requires="x14">
            <control shapeId="301099" r:id="rId41" name="Drop Down 43">
              <controlPr defaultSize="0" autoLine="0" autoPict="0">
                <anchor moveWithCells="1">
                  <from>
                    <xdr:col>3</xdr:col>
                    <xdr:colOff>19050</xdr:colOff>
                    <xdr:row>45</xdr:row>
                    <xdr:rowOff>9525</xdr:rowOff>
                  </from>
                  <to>
                    <xdr:col>3</xdr:col>
                    <xdr:colOff>552450</xdr:colOff>
                    <xdr:row>46</xdr:row>
                    <xdr:rowOff>0</xdr:rowOff>
                  </to>
                </anchor>
              </controlPr>
            </control>
          </mc:Choice>
        </mc:AlternateContent>
        <mc:AlternateContent xmlns:mc="http://schemas.openxmlformats.org/markup-compatibility/2006">
          <mc:Choice Requires="x14">
            <control shapeId="301100" r:id="rId42" name="Drop Down 44">
              <controlPr defaultSize="0" autoLine="0" autoPict="0">
                <anchor moveWithCells="1">
                  <from>
                    <xdr:col>3</xdr:col>
                    <xdr:colOff>19050</xdr:colOff>
                    <xdr:row>46</xdr:row>
                    <xdr:rowOff>9525</xdr:rowOff>
                  </from>
                  <to>
                    <xdr:col>3</xdr:col>
                    <xdr:colOff>552450</xdr:colOff>
                    <xdr:row>46</xdr:row>
                    <xdr:rowOff>161925</xdr:rowOff>
                  </to>
                </anchor>
              </controlPr>
            </control>
          </mc:Choice>
        </mc:AlternateContent>
        <mc:AlternateContent xmlns:mc="http://schemas.openxmlformats.org/markup-compatibility/2006">
          <mc:Choice Requires="x14">
            <control shapeId="301101" r:id="rId43" name="Drop Down 45">
              <controlPr defaultSize="0" autoLine="0" autoPict="0">
                <anchor moveWithCells="1">
                  <from>
                    <xdr:col>3</xdr:col>
                    <xdr:colOff>19050</xdr:colOff>
                    <xdr:row>47</xdr:row>
                    <xdr:rowOff>9525</xdr:rowOff>
                  </from>
                  <to>
                    <xdr:col>3</xdr:col>
                    <xdr:colOff>552450</xdr:colOff>
                    <xdr:row>48</xdr:row>
                    <xdr:rowOff>0</xdr:rowOff>
                  </to>
                </anchor>
              </controlPr>
            </control>
          </mc:Choice>
        </mc:AlternateContent>
        <mc:AlternateContent xmlns:mc="http://schemas.openxmlformats.org/markup-compatibility/2006">
          <mc:Choice Requires="x14">
            <control shapeId="301102" r:id="rId44" name="Drop Down 46">
              <controlPr defaultSize="0" autoLine="0" autoPict="0">
                <anchor moveWithCells="1">
                  <from>
                    <xdr:col>3</xdr:col>
                    <xdr:colOff>19050</xdr:colOff>
                    <xdr:row>48</xdr:row>
                    <xdr:rowOff>9525</xdr:rowOff>
                  </from>
                  <to>
                    <xdr:col>3</xdr:col>
                    <xdr:colOff>552450</xdr:colOff>
                    <xdr:row>48</xdr:row>
                    <xdr:rowOff>161925</xdr:rowOff>
                  </to>
                </anchor>
              </controlPr>
            </control>
          </mc:Choice>
        </mc:AlternateContent>
        <mc:AlternateContent xmlns:mc="http://schemas.openxmlformats.org/markup-compatibility/2006">
          <mc:Choice Requires="x14">
            <control shapeId="301103" r:id="rId45" name="Drop Down 47">
              <controlPr defaultSize="0" autoLine="0" autoPict="0">
                <anchor moveWithCells="1">
                  <from>
                    <xdr:col>3</xdr:col>
                    <xdr:colOff>19050</xdr:colOff>
                    <xdr:row>49</xdr:row>
                    <xdr:rowOff>9525</xdr:rowOff>
                  </from>
                  <to>
                    <xdr:col>3</xdr:col>
                    <xdr:colOff>552450</xdr:colOff>
                    <xdr:row>50</xdr:row>
                    <xdr:rowOff>0</xdr:rowOff>
                  </to>
                </anchor>
              </controlPr>
            </control>
          </mc:Choice>
        </mc:AlternateContent>
        <mc:AlternateContent xmlns:mc="http://schemas.openxmlformats.org/markup-compatibility/2006">
          <mc:Choice Requires="x14">
            <control shapeId="301104" r:id="rId46" name="Drop Down 48">
              <controlPr defaultSize="0" autoLine="0" autoPict="0">
                <anchor moveWithCells="1">
                  <from>
                    <xdr:col>3</xdr:col>
                    <xdr:colOff>19050</xdr:colOff>
                    <xdr:row>50</xdr:row>
                    <xdr:rowOff>9525</xdr:rowOff>
                  </from>
                  <to>
                    <xdr:col>3</xdr:col>
                    <xdr:colOff>552450</xdr:colOff>
                    <xdr:row>50</xdr:row>
                    <xdr:rowOff>161925</xdr:rowOff>
                  </to>
                </anchor>
              </controlPr>
            </control>
          </mc:Choice>
        </mc:AlternateContent>
        <mc:AlternateContent xmlns:mc="http://schemas.openxmlformats.org/markup-compatibility/2006">
          <mc:Choice Requires="x14">
            <control shapeId="301105" r:id="rId47" name="Drop Down 49">
              <controlPr defaultSize="0" autoLine="0" autoPict="0">
                <anchor moveWithCells="1">
                  <from>
                    <xdr:col>3</xdr:col>
                    <xdr:colOff>19050</xdr:colOff>
                    <xdr:row>51</xdr:row>
                    <xdr:rowOff>9525</xdr:rowOff>
                  </from>
                  <to>
                    <xdr:col>3</xdr:col>
                    <xdr:colOff>552450</xdr:colOff>
                    <xdr:row>52</xdr:row>
                    <xdr:rowOff>0</xdr:rowOff>
                  </to>
                </anchor>
              </controlPr>
            </control>
          </mc:Choice>
        </mc:AlternateContent>
        <mc:AlternateContent xmlns:mc="http://schemas.openxmlformats.org/markup-compatibility/2006">
          <mc:Choice Requires="x14">
            <control shapeId="301106" r:id="rId48" name="Drop Down 50">
              <controlPr defaultSize="0" autoLine="0" autoPict="0">
                <anchor moveWithCells="1">
                  <from>
                    <xdr:col>3</xdr:col>
                    <xdr:colOff>19050</xdr:colOff>
                    <xdr:row>52</xdr:row>
                    <xdr:rowOff>9525</xdr:rowOff>
                  </from>
                  <to>
                    <xdr:col>3</xdr:col>
                    <xdr:colOff>552450</xdr:colOff>
                    <xdr:row>52</xdr:row>
                    <xdr:rowOff>161925</xdr:rowOff>
                  </to>
                </anchor>
              </controlPr>
            </control>
          </mc:Choice>
        </mc:AlternateContent>
        <mc:AlternateContent xmlns:mc="http://schemas.openxmlformats.org/markup-compatibility/2006">
          <mc:Choice Requires="x14">
            <control shapeId="301107" r:id="rId49" name="Drop Down 51">
              <controlPr defaultSize="0" autoLine="0" autoPict="0">
                <anchor moveWithCells="1">
                  <from>
                    <xdr:col>3</xdr:col>
                    <xdr:colOff>19050</xdr:colOff>
                    <xdr:row>53</xdr:row>
                    <xdr:rowOff>9525</xdr:rowOff>
                  </from>
                  <to>
                    <xdr:col>3</xdr:col>
                    <xdr:colOff>552450</xdr:colOff>
                    <xdr:row>54</xdr:row>
                    <xdr:rowOff>0</xdr:rowOff>
                  </to>
                </anchor>
              </controlPr>
            </control>
          </mc:Choice>
        </mc:AlternateContent>
        <mc:AlternateContent xmlns:mc="http://schemas.openxmlformats.org/markup-compatibility/2006">
          <mc:Choice Requires="x14">
            <control shapeId="301108" r:id="rId50" name="Drop Down 52">
              <controlPr defaultSize="0" autoLine="0" autoPict="0">
                <anchor moveWithCells="1">
                  <from>
                    <xdr:col>3</xdr:col>
                    <xdr:colOff>19050</xdr:colOff>
                    <xdr:row>54</xdr:row>
                    <xdr:rowOff>9525</xdr:rowOff>
                  </from>
                  <to>
                    <xdr:col>3</xdr:col>
                    <xdr:colOff>552450</xdr:colOff>
                    <xdr:row>54</xdr:row>
                    <xdr:rowOff>161925</xdr:rowOff>
                  </to>
                </anchor>
              </controlPr>
            </control>
          </mc:Choice>
        </mc:AlternateContent>
        <mc:AlternateContent xmlns:mc="http://schemas.openxmlformats.org/markup-compatibility/2006">
          <mc:Choice Requires="x14">
            <control shapeId="301109" r:id="rId51" name="Drop Down 53">
              <controlPr defaultSize="0" autoLine="0" autoPict="0">
                <anchor moveWithCells="1">
                  <from>
                    <xdr:col>3</xdr:col>
                    <xdr:colOff>19050</xdr:colOff>
                    <xdr:row>55</xdr:row>
                    <xdr:rowOff>9525</xdr:rowOff>
                  </from>
                  <to>
                    <xdr:col>3</xdr:col>
                    <xdr:colOff>552450</xdr:colOff>
                    <xdr:row>56</xdr:row>
                    <xdr:rowOff>0</xdr:rowOff>
                  </to>
                </anchor>
              </controlPr>
            </control>
          </mc:Choice>
        </mc:AlternateContent>
        <mc:AlternateContent xmlns:mc="http://schemas.openxmlformats.org/markup-compatibility/2006">
          <mc:Choice Requires="x14">
            <control shapeId="301110" r:id="rId52" name="Drop Down 54">
              <controlPr defaultSize="0" autoLine="0" autoPict="0">
                <anchor moveWithCells="1">
                  <from>
                    <xdr:col>3</xdr:col>
                    <xdr:colOff>19050</xdr:colOff>
                    <xdr:row>56</xdr:row>
                    <xdr:rowOff>9525</xdr:rowOff>
                  </from>
                  <to>
                    <xdr:col>3</xdr:col>
                    <xdr:colOff>552450</xdr:colOff>
                    <xdr:row>56</xdr:row>
                    <xdr:rowOff>161925</xdr:rowOff>
                  </to>
                </anchor>
              </controlPr>
            </control>
          </mc:Choice>
        </mc:AlternateContent>
        <mc:AlternateContent xmlns:mc="http://schemas.openxmlformats.org/markup-compatibility/2006">
          <mc:Choice Requires="x14">
            <control shapeId="301111" r:id="rId53" name="Drop Down 55">
              <controlPr defaultSize="0" autoLine="0" autoPict="0">
                <anchor moveWithCells="1">
                  <from>
                    <xdr:col>3</xdr:col>
                    <xdr:colOff>19050</xdr:colOff>
                    <xdr:row>57</xdr:row>
                    <xdr:rowOff>9525</xdr:rowOff>
                  </from>
                  <to>
                    <xdr:col>3</xdr:col>
                    <xdr:colOff>552450</xdr:colOff>
                    <xdr:row>58</xdr:row>
                    <xdr:rowOff>0</xdr:rowOff>
                  </to>
                </anchor>
              </controlPr>
            </control>
          </mc:Choice>
        </mc:AlternateContent>
        <mc:AlternateContent xmlns:mc="http://schemas.openxmlformats.org/markup-compatibility/2006">
          <mc:Choice Requires="x14">
            <control shapeId="301112" r:id="rId54" name="Drop Down 56">
              <controlPr defaultSize="0" autoLine="0" autoPict="0">
                <anchor moveWithCells="1">
                  <from>
                    <xdr:col>3</xdr:col>
                    <xdr:colOff>19050</xdr:colOff>
                    <xdr:row>58</xdr:row>
                    <xdr:rowOff>9525</xdr:rowOff>
                  </from>
                  <to>
                    <xdr:col>3</xdr:col>
                    <xdr:colOff>552450</xdr:colOff>
                    <xdr:row>58</xdr:row>
                    <xdr:rowOff>161925</xdr:rowOff>
                  </to>
                </anchor>
              </controlPr>
            </control>
          </mc:Choice>
        </mc:AlternateContent>
        <mc:AlternateContent xmlns:mc="http://schemas.openxmlformats.org/markup-compatibility/2006">
          <mc:Choice Requires="x14">
            <control shapeId="301113" r:id="rId55" name="Drop Down 57">
              <controlPr defaultSize="0" autoLine="0" autoPict="0">
                <anchor moveWithCells="1">
                  <from>
                    <xdr:col>3</xdr:col>
                    <xdr:colOff>19050</xdr:colOff>
                    <xdr:row>59</xdr:row>
                    <xdr:rowOff>9525</xdr:rowOff>
                  </from>
                  <to>
                    <xdr:col>3</xdr:col>
                    <xdr:colOff>552450</xdr:colOff>
                    <xdr:row>60</xdr:row>
                    <xdr:rowOff>0</xdr:rowOff>
                  </to>
                </anchor>
              </controlPr>
            </control>
          </mc:Choice>
        </mc:AlternateContent>
        <mc:AlternateContent xmlns:mc="http://schemas.openxmlformats.org/markup-compatibility/2006">
          <mc:Choice Requires="x14">
            <control shapeId="301114" r:id="rId56" name="Drop Down 58">
              <controlPr defaultSize="0" autoLine="0" autoPict="0">
                <anchor moveWithCells="1">
                  <from>
                    <xdr:col>3</xdr:col>
                    <xdr:colOff>19050</xdr:colOff>
                    <xdr:row>60</xdr:row>
                    <xdr:rowOff>9525</xdr:rowOff>
                  </from>
                  <to>
                    <xdr:col>3</xdr:col>
                    <xdr:colOff>552450</xdr:colOff>
                    <xdr:row>61</xdr:row>
                    <xdr:rowOff>0</xdr:rowOff>
                  </to>
                </anchor>
              </controlPr>
            </control>
          </mc:Choice>
        </mc:AlternateContent>
        <mc:AlternateContent xmlns:mc="http://schemas.openxmlformats.org/markup-compatibility/2006">
          <mc:Choice Requires="x14">
            <control shapeId="301115" r:id="rId57" name="Drop Down 59">
              <controlPr defaultSize="0" autoLine="0" autoPict="0">
                <anchor moveWithCells="1">
                  <from>
                    <xdr:col>3</xdr:col>
                    <xdr:colOff>19050</xdr:colOff>
                    <xdr:row>61</xdr:row>
                    <xdr:rowOff>9525</xdr:rowOff>
                  </from>
                  <to>
                    <xdr:col>3</xdr:col>
                    <xdr:colOff>552450</xdr:colOff>
                    <xdr:row>62</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
  <sheetViews>
    <sheetView zoomScaleNormal="100" workbookViewId="0"/>
  </sheetViews>
  <sheetFormatPr baseColWidth="10" defaultRowHeight="12.75" x14ac:dyDescent="0.2"/>
  <sheetData>
    <row r="1" spans="1:1" ht="23.25" customHeight="1" x14ac:dyDescent="0.2">
      <c r="A1" s="1263" t="s">
        <v>8240</v>
      </c>
    </row>
  </sheetData>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B1:L7864"/>
  <sheetViews>
    <sheetView zoomScaleNormal="100" workbookViewId="0"/>
  </sheetViews>
  <sheetFormatPr baseColWidth="10" defaultRowHeight="12.75" x14ac:dyDescent="0.2"/>
  <cols>
    <col min="1" max="1" width="4.5703125" customWidth="1"/>
    <col min="2" max="2" width="13.140625" customWidth="1"/>
    <col min="3" max="3" width="23.42578125" style="876" customWidth="1"/>
    <col min="4" max="4" width="26.42578125" customWidth="1"/>
    <col min="5" max="5" width="3.7109375" customWidth="1"/>
    <col min="6" max="6" width="11.5703125" customWidth="1"/>
    <col min="12" max="12" width="11.5703125" customWidth="1"/>
    <col min="15" max="19" width="0" hidden="1" customWidth="1"/>
  </cols>
  <sheetData>
    <row r="1" spans="2:12" ht="26.45" customHeight="1" x14ac:dyDescent="0.2">
      <c r="B1" s="3222" t="s">
        <v>1121</v>
      </c>
      <c r="C1" s="3222"/>
      <c r="D1" s="3222"/>
    </row>
    <row r="2" spans="2:12" ht="11.45" customHeight="1" x14ac:dyDescent="0.2">
      <c r="C2" s="879"/>
      <c r="D2" s="879"/>
    </row>
    <row r="3" spans="2:12" ht="69" customHeight="1" x14ac:dyDescent="0.2">
      <c r="B3" s="3223" t="s">
        <v>8716</v>
      </c>
      <c r="C3" s="3223"/>
      <c r="D3" s="3223"/>
    </row>
    <row r="4" spans="2:12" ht="12" customHeight="1" thickBot="1" x14ac:dyDescent="0.25">
      <c r="C4" s="880"/>
      <c r="D4" s="880"/>
    </row>
    <row r="5" spans="2:12" ht="45.6" customHeight="1" thickBot="1" x14ac:dyDescent="0.25">
      <c r="B5" s="881" t="s">
        <v>1122</v>
      </c>
      <c r="C5" s="882" t="s">
        <v>1123</v>
      </c>
      <c r="D5" s="883" t="s">
        <v>1124</v>
      </c>
      <c r="F5" s="884"/>
      <c r="G5" s="884"/>
      <c r="H5" s="884"/>
      <c r="I5" s="884"/>
      <c r="J5" s="884"/>
      <c r="K5" s="884"/>
      <c r="L5" s="884"/>
    </row>
    <row r="6" spans="2:12" x14ac:dyDescent="0.2">
      <c r="B6" s="876">
        <v>1</v>
      </c>
      <c r="C6" s="876" t="s">
        <v>1125</v>
      </c>
      <c r="D6" s="851">
        <v>831.79998799999998</v>
      </c>
      <c r="F6" s="885"/>
    </row>
    <row r="7" spans="2:12" x14ac:dyDescent="0.2">
      <c r="B7" s="876">
        <v>2</v>
      </c>
      <c r="C7" s="876" t="s">
        <v>1126</v>
      </c>
      <c r="D7" s="851">
        <v>911</v>
      </c>
    </row>
    <row r="8" spans="2:12" x14ac:dyDescent="0.2">
      <c r="B8" s="876">
        <v>3</v>
      </c>
      <c r="C8" s="876" t="s">
        <v>1127</v>
      </c>
      <c r="D8" s="851">
        <v>824.18332899999996</v>
      </c>
    </row>
    <row r="9" spans="2:12" x14ac:dyDescent="0.2">
      <c r="B9" s="876">
        <v>4</v>
      </c>
      <c r="C9" s="876" t="s">
        <v>1128</v>
      </c>
      <c r="D9" s="851">
        <v>840.09997599999997</v>
      </c>
    </row>
    <row r="10" spans="2:12" x14ac:dyDescent="0.2">
      <c r="B10" s="876">
        <v>5</v>
      </c>
      <c r="C10" s="876" t="s">
        <v>1129</v>
      </c>
      <c r="D10" s="851">
        <v>710.53333499999997</v>
      </c>
    </row>
    <row r="11" spans="2:12" ht="13.15" customHeight="1" x14ac:dyDescent="0.2">
      <c r="B11" s="876">
        <v>6</v>
      </c>
      <c r="C11" s="876" t="s">
        <v>1130</v>
      </c>
      <c r="D11" s="851">
        <v>925.16668700000002</v>
      </c>
      <c r="F11" s="886"/>
      <c r="G11" s="887"/>
      <c r="H11" s="887"/>
      <c r="I11" s="887"/>
      <c r="J11" s="887"/>
      <c r="K11" s="887"/>
      <c r="L11" s="887"/>
    </row>
    <row r="12" spans="2:12" x14ac:dyDescent="0.2">
      <c r="B12" s="876">
        <v>7</v>
      </c>
      <c r="C12" s="876" t="s">
        <v>1131</v>
      </c>
      <c r="D12" s="851">
        <v>863.78666999999996</v>
      </c>
      <c r="F12" s="887"/>
      <c r="G12" s="887"/>
      <c r="H12" s="887"/>
      <c r="I12" s="887"/>
      <c r="J12" s="887"/>
      <c r="K12" s="887"/>
      <c r="L12" s="887"/>
    </row>
    <row r="13" spans="2:12" x14ac:dyDescent="0.2">
      <c r="B13" s="876">
        <v>8</v>
      </c>
      <c r="C13" s="876" t="s">
        <v>1132</v>
      </c>
      <c r="D13" s="851">
        <v>734.80001800000002</v>
      </c>
      <c r="F13" s="887"/>
      <c r="G13" s="887"/>
      <c r="H13" s="887"/>
      <c r="I13" s="887"/>
      <c r="J13" s="887"/>
      <c r="K13" s="887"/>
      <c r="L13" s="887"/>
    </row>
    <row r="14" spans="2:12" x14ac:dyDescent="0.2">
      <c r="B14" s="876">
        <v>9</v>
      </c>
      <c r="C14" s="876" t="s">
        <v>1133</v>
      </c>
      <c r="D14" s="851">
        <v>712.39999399999999</v>
      </c>
    </row>
    <row r="15" spans="2:12" x14ac:dyDescent="0.2">
      <c r="B15" s="876">
        <v>10</v>
      </c>
      <c r="C15" s="876" t="s">
        <v>1134</v>
      </c>
      <c r="D15" s="851">
        <v>665.66666699999996</v>
      </c>
    </row>
    <row r="16" spans="2:12" x14ac:dyDescent="0.2">
      <c r="B16" s="876">
        <v>11</v>
      </c>
      <c r="C16" s="876" t="s">
        <v>1135</v>
      </c>
      <c r="D16" s="851">
        <v>934.03529600000002</v>
      </c>
    </row>
    <row r="17" spans="2:4" x14ac:dyDescent="0.2">
      <c r="B17" s="876">
        <v>12</v>
      </c>
      <c r="C17" s="876" t="s">
        <v>1136</v>
      </c>
      <c r="D17" s="851">
        <v>715.23999000000003</v>
      </c>
    </row>
    <row r="18" spans="2:4" x14ac:dyDescent="0.2">
      <c r="B18" s="876">
        <v>13</v>
      </c>
      <c r="C18" s="876" t="s">
        <v>1137</v>
      </c>
      <c r="D18" s="851">
        <v>662</v>
      </c>
    </row>
    <row r="19" spans="2:4" x14ac:dyDescent="0.2">
      <c r="B19" s="876">
        <v>14</v>
      </c>
      <c r="C19" s="876" t="s">
        <v>1138</v>
      </c>
      <c r="D19" s="851">
        <v>635.41428900000005</v>
      </c>
    </row>
    <row r="20" spans="2:4" x14ac:dyDescent="0.2">
      <c r="B20" s="876">
        <v>15</v>
      </c>
      <c r="C20" s="876" t="s">
        <v>369</v>
      </c>
      <c r="D20" s="851">
        <v>1007.833344</v>
      </c>
    </row>
    <row r="21" spans="2:4" x14ac:dyDescent="0.2">
      <c r="B21" s="876">
        <v>16</v>
      </c>
      <c r="C21" s="876" t="s">
        <v>1139</v>
      </c>
      <c r="D21" s="851">
        <v>931.5</v>
      </c>
    </row>
    <row r="22" spans="2:4" x14ac:dyDescent="0.2">
      <c r="B22" s="876">
        <v>17</v>
      </c>
      <c r="C22" s="876" t="s">
        <v>1140</v>
      </c>
      <c r="D22" s="851">
        <v>738.74999200000002</v>
      </c>
    </row>
    <row r="23" spans="2:4" x14ac:dyDescent="0.2">
      <c r="B23" s="876">
        <v>18</v>
      </c>
      <c r="C23" s="876" t="s">
        <v>1141</v>
      </c>
      <c r="D23" s="851">
        <v>658.47499600000003</v>
      </c>
    </row>
    <row r="24" spans="2:4" x14ac:dyDescent="0.2">
      <c r="B24" s="876">
        <v>19</v>
      </c>
      <c r="C24" s="876" t="s">
        <v>1142</v>
      </c>
      <c r="D24" s="851">
        <v>663.214294</v>
      </c>
    </row>
    <row r="25" spans="2:4" x14ac:dyDescent="0.2">
      <c r="B25" s="876">
        <v>20</v>
      </c>
      <c r="C25" s="876" t="s">
        <v>1143</v>
      </c>
      <c r="D25" s="851">
        <v>665.19999700000005</v>
      </c>
    </row>
    <row r="26" spans="2:4" x14ac:dyDescent="0.2">
      <c r="B26" s="876">
        <v>21</v>
      </c>
      <c r="C26" s="876" t="s">
        <v>1144</v>
      </c>
      <c r="D26" s="851">
        <v>923.15555800000004</v>
      </c>
    </row>
    <row r="27" spans="2:4" x14ac:dyDescent="0.2">
      <c r="B27" s="876">
        <v>22</v>
      </c>
      <c r="C27" s="876" t="s">
        <v>1145</v>
      </c>
      <c r="D27" s="851">
        <v>924.34445300000004</v>
      </c>
    </row>
    <row r="28" spans="2:4" x14ac:dyDescent="0.2">
      <c r="B28" s="876">
        <v>23</v>
      </c>
      <c r="C28" s="876" t="s">
        <v>1146</v>
      </c>
      <c r="D28" s="851">
        <v>733.11250299999995</v>
      </c>
    </row>
    <row r="29" spans="2:4" x14ac:dyDescent="0.2">
      <c r="B29" s="876">
        <v>24</v>
      </c>
      <c r="C29" s="876" t="s">
        <v>1147</v>
      </c>
      <c r="D29" s="851">
        <v>695.49167399999999</v>
      </c>
    </row>
    <row r="30" spans="2:4" x14ac:dyDescent="0.2">
      <c r="B30" s="876">
        <v>25</v>
      </c>
      <c r="C30" s="876" t="s">
        <v>1148</v>
      </c>
      <c r="D30" s="851">
        <v>608.57777199999998</v>
      </c>
    </row>
    <row r="31" spans="2:4" x14ac:dyDescent="0.2">
      <c r="B31" s="876">
        <v>26</v>
      </c>
      <c r="C31" s="876" t="s">
        <v>1149</v>
      </c>
      <c r="D31" s="851">
        <v>612.20526400000006</v>
      </c>
    </row>
    <row r="32" spans="2:4" x14ac:dyDescent="0.2">
      <c r="B32" s="876">
        <v>27</v>
      </c>
      <c r="C32" s="876" t="s">
        <v>1150</v>
      </c>
      <c r="D32" s="851">
        <v>642.81666099999995</v>
      </c>
    </row>
    <row r="33" spans="2:4" x14ac:dyDescent="0.2">
      <c r="B33" s="876">
        <v>28</v>
      </c>
      <c r="C33" s="876" t="s">
        <v>1151</v>
      </c>
      <c r="D33" s="851">
        <v>985.49999000000003</v>
      </c>
    </row>
    <row r="34" spans="2:4" x14ac:dyDescent="0.2">
      <c r="B34" s="876">
        <v>29</v>
      </c>
      <c r="C34" s="876" t="s">
        <v>1152</v>
      </c>
      <c r="D34" s="851">
        <v>969.56000400000005</v>
      </c>
    </row>
    <row r="35" spans="2:4" x14ac:dyDescent="0.2">
      <c r="B35" s="876">
        <v>30</v>
      </c>
      <c r="C35" s="876" t="s">
        <v>1153</v>
      </c>
      <c r="D35" s="851">
        <v>921.870588</v>
      </c>
    </row>
    <row r="36" spans="2:4" x14ac:dyDescent="0.2">
      <c r="B36" s="876">
        <v>31</v>
      </c>
      <c r="C36" s="876" t="s">
        <v>1154</v>
      </c>
      <c r="D36" s="851">
        <v>942.67647799999997</v>
      </c>
    </row>
    <row r="37" spans="2:4" x14ac:dyDescent="0.2">
      <c r="B37" s="876">
        <v>32</v>
      </c>
      <c r="C37" s="876" t="s">
        <v>1155</v>
      </c>
      <c r="D37" s="851">
        <v>737.32500500000003</v>
      </c>
    </row>
    <row r="38" spans="2:4" x14ac:dyDescent="0.2">
      <c r="B38" s="876">
        <v>33</v>
      </c>
      <c r="C38" s="876" t="s">
        <v>1156</v>
      </c>
      <c r="D38" s="851">
        <v>697.48751800000002</v>
      </c>
    </row>
    <row r="39" spans="2:4" x14ac:dyDescent="0.2">
      <c r="B39" s="876">
        <v>34</v>
      </c>
      <c r="C39" s="876" t="s">
        <v>1157</v>
      </c>
      <c r="D39" s="851">
        <v>683.75</v>
      </c>
    </row>
    <row r="40" spans="2:4" x14ac:dyDescent="0.2">
      <c r="B40" s="876">
        <v>35</v>
      </c>
      <c r="C40" s="876" t="s">
        <v>1158</v>
      </c>
      <c r="D40" s="851">
        <v>687.42500299999995</v>
      </c>
    </row>
    <row r="41" spans="2:4" x14ac:dyDescent="0.2">
      <c r="B41" s="876">
        <v>36</v>
      </c>
      <c r="C41" s="876" t="s">
        <v>1159</v>
      </c>
      <c r="D41" s="851">
        <v>571.20952199999999</v>
      </c>
    </row>
    <row r="42" spans="2:4" x14ac:dyDescent="0.2">
      <c r="B42" s="876">
        <v>37</v>
      </c>
      <c r="C42" s="876" t="s">
        <v>1160</v>
      </c>
      <c r="D42" s="851">
        <v>592.51428199999998</v>
      </c>
    </row>
    <row r="43" spans="2:4" x14ac:dyDescent="0.2">
      <c r="B43" s="876">
        <v>38</v>
      </c>
      <c r="C43" s="876" t="s">
        <v>1161</v>
      </c>
      <c r="D43" s="851">
        <v>582.25</v>
      </c>
    </row>
    <row r="44" spans="2:4" x14ac:dyDescent="0.2">
      <c r="B44" s="876">
        <v>39</v>
      </c>
      <c r="C44" s="876" t="s">
        <v>1162</v>
      </c>
      <c r="D44" s="851">
        <v>870.33528799999999</v>
      </c>
    </row>
    <row r="45" spans="2:4" x14ac:dyDescent="0.2">
      <c r="B45" s="876">
        <v>40</v>
      </c>
      <c r="C45" s="876" t="s">
        <v>1163</v>
      </c>
      <c r="D45" s="851">
        <v>814.76248899999996</v>
      </c>
    </row>
    <row r="46" spans="2:4" x14ac:dyDescent="0.2">
      <c r="B46" s="876">
        <v>41</v>
      </c>
      <c r="C46" s="876" t="s">
        <v>1164</v>
      </c>
      <c r="D46" s="851">
        <v>729.66665999999998</v>
      </c>
    </row>
    <row r="47" spans="2:4" x14ac:dyDescent="0.2">
      <c r="B47" s="876">
        <v>42</v>
      </c>
      <c r="C47" s="876" t="s">
        <v>1165</v>
      </c>
      <c r="D47" s="851">
        <v>701.01999499999999</v>
      </c>
    </row>
    <row r="48" spans="2:4" x14ac:dyDescent="0.2">
      <c r="B48" s="876">
        <v>43</v>
      </c>
      <c r="C48" s="876" t="s">
        <v>1166</v>
      </c>
      <c r="D48" s="851">
        <v>679.97143600000004</v>
      </c>
    </row>
    <row r="49" spans="2:4" x14ac:dyDescent="0.2">
      <c r="B49" s="876">
        <v>44</v>
      </c>
      <c r="C49" s="876" t="s">
        <v>1167</v>
      </c>
      <c r="D49" s="851">
        <v>635.42222800000002</v>
      </c>
    </row>
    <row r="50" spans="2:4" x14ac:dyDescent="0.2">
      <c r="B50" s="876">
        <v>45</v>
      </c>
      <c r="C50" s="876" t="s">
        <v>1168</v>
      </c>
      <c r="D50" s="851">
        <v>633.31428700000004</v>
      </c>
    </row>
    <row r="51" spans="2:4" x14ac:dyDescent="0.2">
      <c r="B51" s="876">
        <v>46</v>
      </c>
      <c r="C51" s="876" t="s">
        <v>1169</v>
      </c>
      <c r="D51" s="851">
        <v>577.68333399999995</v>
      </c>
    </row>
    <row r="52" spans="2:4" x14ac:dyDescent="0.2">
      <c r="B52" s="876">
        <v>47</v>
      </c>
      <c r="C52" s="876" t="s">
        <v>1170</v>
      </c>
      <c r="D52" s="851">
        <v>584.97142699999995</v>
      </c>
    </row>
    <row r="53" spans="2:4" x14ac:dyDescent="0.2">
      <c r="B53" s="876">
        <v>48</v>
      </c>
      <c r="C53" s="876" t="s">
        <v>1171</v>
      </c>
      <c r="D53" s="851">
        <v>694.5</v>
      </c>
    </row>
    <row r="54" spans="2:4" x14ac:dyDescent="0.2">
      <c r="B54" s="876">
        <v>49</v>
      </c>
      <c r="C54" s="876" t="s">
        <v>1172</v>
      </c>
      <c r="D54" s="851">
        <v>661.65999799999997</v>
      </c>
    </row>
    <row r="55" spans="2:4" x14ac:dyDescent="0.2">
      <c r="B55" s="876">
        <v>50</v>
      </c>
      <c r="C55" s="876" t="s">
        <v>1173</v>
      </c>
      <c r="D55" s="851">
        <v>614.04998799999998</v>
      </c>
    </row>
    <row r="56" spans="2:4" x14ac:dyDescent="0.2">
      <c r="B56" s="876">
        <v>51</v>
      </c>
      <c r="C56" s="876" t="s">
        <v>1174</v>
      </c>
      <c r="D56" s="851">
        <v>615</v>
      </c>
    </row>
    <row r="57" spans="2:4" x14ac:dyDescent="0.2">
      <c r="B57" s="876">
        <v>52</v>
      </c>
      <c r="C57" s="876" t="s">
        <v>1175</v>
      </c>
      <c r="D57" s="851">
        <v>584.625</v>
      </c>
    </row>
    <row r="58" spans="2:4" x14ac:dyDescent="0.2">
      <c r="B58" s="876">
        <v>53</v>
      </c>
      <c r="C58" s="876" t="s">
        <v>1176</v>
      </c>
      <c r="D58" s="851">
        <v>586.31666099999995</v>
      </c>
    </row>
    <row r="59" spans="2:4" x14ac:dyDescent="0.2">
      <c r="B59" s="876">
        <v>54</v>
      </c>
      <c r="C59" s="876" t="s">
        <v>1177</v>
      </c>
      <c r="D59" s="851">
        <v>582.84999100000005</v>
      </c>
    </row>
    <row r="60" spans="2:4" x14ac:dyDescent="0.2">
      <c r="B60" s="876">
        <v>55</v>
      </c>
      <c r="C60" s="876" t="s">
        <v>1178</v>
      </c>
      <c r="D60" s="851">
        <v>591.84999700000003</v>
      </c>
    </row>
    <row r="61" spans="2:4" x14ac:dyDescent="0.2">
      <c r="B61" s="876">
        <v>56</v>
      </c>
      <c r="C61" s="876" t="s">
        <v>1179</v>
      </c>
      <c r="D61" s="851">
        <v>608.46667500000001</v>
      </c>
    </row>
    <row r="62" spans="2:4" x14ac:dyDescent="0.2">
      <c r="B62" s="876">
        <v>57</v>
      </c>
      <c r="C62" s="876" t="s">
        <v>1180</v>
      </c>
      <c r="D62" s="851">
        <v>569.91666699999996</v>
      </c>
    </row>
    <row r="63" spans="2:4" x14ac:dyDescent="0.2">
      <c r="B63" s="876">
        <v>58</v>
      </c>
      <c r="C63" s="876" t="s">
        <v>1181</v>
      </c>
      <c r="D63" s="851">
        <v>780.866669</v>
      </c>
    </row>
    <row r="64" spans="2:4" x14ac:dyDescent="0.2">
      <c r="B64" s="876">
        <v>59</v>
      </c>
      <c r="C64" s="876" t="s">
        <v>1182</v>
      </c>
      <c r="D64" s="851">
        <v>756.09997599999997</v>
      </c>
    </row>
    <row r="65" spans="2:4" x14ac:dyDescent="0.2">
      <c r="B65" s="876">
        <v>60</v>
      </c>
      <c r="C65" s="876" t="s">
        <v>1183</v>
      </c>
      <c r="D65" s="851">
        <v>737.28750600000001</v>
      </c>
    </row>
    <row r="66" spans="2:4" x14ac:dyDescent="0.2">
      <c r="B66" s="876">
        <v>61</v>
      </c>
      <c r="C66" s="876" t="s">
        <v>1184</v>
      </c>
      <c r="D66" s="851">
        <v>661.63332100000002</v>
      </c>
    </row>
    <row r="67" spans="2:4" x14ac:dyDescent="0.2">
      <c r="B67" s="876">
        <v>62</v>
      </c>
      <c r="C67" s="876" t="s">
        <v>1185</v>
      </c>
      <c r="D67" s="851">
        <v>638.77000699999996</v>
      </c>
    </row>
    <row r="68" spans="2:4" x14ac:dyDescent="0.2">
      <c r="B68" s="876">
        <v>63</v>
      </c>
      <c r="C68" s="876" t="s">
        <v>1186</v>
      </c>
      <c r="D68" s="851">
        <v>599.82857000000001</v>
      </c>
    </row>
    <row r="69" spans="2:4" x14ac:dyDescent="0.2">
      <c r="B69" s="876">
        <v>64</v>
      </c>
      <c r="C69" s="876" t="s">
        <v>1187</v>
      </c>
      <c r="D69" s="851">
        <v>585.43077700000003</v>
      </c>
    </row>
    <row r="70" spans="2:4" x14ac:dyDescent="0.2">
      <c r="B70" s="876">
        <v>65</v>
      </c>
      <c r="C70" s="876" t="s">
        <v>1188</v>
      </c>
      <c r="D70" s="851">
        <v>583.71818399999995</v>
      </c>
    </row>
    <row r="71" spans="2:4" x14ac:dyDescent="0.2">
      <c r="B71" s="876">
        <v>66</v>
      </c>
      <c r="C71" s="876" t="s">
        <v>1189</v>
      </c>
      <c r="D71" s="851">
        <v>580.03333499999997</v>
      </c>
    </row>
    <row r="72" spans="2:4" x14ac:dyDescent="0.2">
      <c r="B72" s="876">
        <v>67</v>
      </c>
      <c r="C72" s="876" t="s">
        <v>1190</v>
      </c>
      <c r="D72" s="851">
        <v>616.94999700000005</v>
      </c>
    </row>
    <row r="73" spans="2:4" x14ac:dyDescent="0.2">
      <c r="B73" s="876">
        <v>68</v>
      </c>
      <c r="C73" s="876" t="s">
        <v>1191</v>
      </c>
      <c r="D73" s="851">
        <v>603.79998799999998</v>
      </c>
    </row>
    <row r="74" spans="2:4" x14ac:dyDescent="0.2">
      <c r="B74" s="876">
        <v>69</v>
      </c>
      <c r="C74" s="876" t="s">
        <v>1192</v>
      </c>
      <c r="D74" s="851">
        <v>573.64000199999998</v>
      </c>
    </row>
    <row r="75" spans="2:4" x14ac:dyDescent="0.2">
      <c r="B75" s="876">
        <v>70</v>
      </c>
      <c r="C75" s="876" t="s">
        <v>1193</v>
      </c>
      <c r="D75" s="851">
        <v>573.34999100000005</v>
      </c>
    </row>
    <row r="76" spans="2:4" ht="15" x14ac:dyDescent="0.2">
      <c r="B76" s="888">
        <v>71</v>
      </c>
      <c r="C76" s="876" t="s">
        <v>1194</v>
      </c>
      <c r="D76" s="889">
        <v>547.72500600000001</v>
      </c>
    </row>
    <row r="77" spans="2:4" x14ac:dyDescent="0.2">
      <c r="B77" s="876">
        <v>72</v>
      </c>
      <c r="C77" s="876" t="s">
        <v>1195</v>
      </c>
      <c r="D77" s="851">
        <v>572.67500299999995</v>
      </c>
    </row>
    <row r="78" spans="2:4" x14ac:dyDescent="0.2">
      <c r="B78" s="876">
        <v>73</v>
      </c>
      <c r="C78" s="876" t="s">
        <v>1196</v>
      </c>
      <c r="D78" s="851">
        <v>793.139996</v>
      </c>
    </row>
    <row r="79" spans="2:4" x14ac:dyDescent="0.2">
      <c r="B79" s="876">
        <v>74</v>
      </c>
      <c r="C79" s="876" t="s">
        <v>1197</v>
      </c>
      <c r="D79" s="851">
        <v>706.14285700000005</v>
      </c>
    </row>
    <row r="80" spans="2:4" x14ac:dyDescent="0.2">
      <c r="B80" s="876">
        <v>75</v>
      </c>
      <c r="C80" s="876" t="s">
        <v>1198</v>
      </c>
      <c r="D80" s="851">
        <v>702.31999499999995</v>
      </c>
    </row>
    <row r="81" spans="2:4" x14ac:dyDescent="0.2">
      <c r="B81" s="876">
        <v>76</v>
      </c>
      <c r="C81" s="876" t="s">
        <v>1199</v>
      </c>
      <c r="D81" s="851">
        <v>715.91875100000004</v>
      </c>
    </row>
    <row r="82" spans="2:4" x14ac:dyDescent="0.2">
      <c r="B82" s="876">
        <v>77</v>
      </c>
      <c r="C82" s="876" t="s">
        <v>1200</v>
      </c>
      <c r="D82" s="851">
        <v>709.25713199999996</v>
      </c>
    </row>
    <row r="83" spans="2:4" x14ac:dyDescent="0.2">
      <c r="B83" s="876">
        <v>78</v>
      </c>
      <c r="C83" s="876" t="s">
        <v>1201</v>
      </c>
      <c r="D83" s="851">
        <v>670.63332100000002</v>
      </c>
    </row>
    <row r="84" spans="2:4" x14ac:dyDescent="0.2">
      <c r="B84" s="876">
        <v>79</v>
      </c>
      <c r="C84" s="876" t="s">
        <v>1202</v>
      </c>
      <c r="D84" s="851">
        <v>639.47499100000005</v>
      </c>
    </row>
    <row r="85" spans="2:4" x14ac:dyDescent="0.2">
      <c r="B85" s="876">
        <v>80</v>
      </c>
      <c r="C85" s="876" t="s">
        <v>1203</v>
      </c>
      <c r="D85" s="851">
        <v>595.54444699999999</v>
      </c>
    </row>
    <row r="86" spans="2:4" x14ac:dyDescent="0.2">
      <c r="B86" s="876">
        <v>81</v>
      </c>
      <c r="C86" s="876" t="s">
        <v>1204</v>
      </c>
      <c r="D86" s="851">
        <v>599.49998800000003</v>
      </c>
    </row>
    <row r="87" spans="2:4" x14ac:dyDescent="0.2">
      <c r="B87" s="876">
        <v>82</v>
      </c>
      <c r="C87" s="876" t="s">
        <v>1205</v>
      </c>
      <c r="D87" s="851">
        <v>585.82142399999998</v>
      </c>
    </row>
    <row r="88" spans="2:4" x14ac:dyDescent="0.2">
      <c r="B88" s="876">
        <v>83</v>
      </c>
      <c r="C88" s="876" t="s">
        <v>1206</v>
      </c>
      <c r="D88" s="851">
        <v>589.15999799999997</v>
      </c>
    </row>
    <row r="89" spans="2:4" x14ac:dyDescent="0.2">
      <c r="B89" s="876">
        <v>84</v>
      </c>
      <c r="C89" s="876" t="s">
        <v>1207</v>
      </c>
      <c r="D89" s="851">
        <v>576.33077300000002</v>
      </c>
    </row>
    <row r="90" spans="2:4" x14ac:dyDescent="0.2">
      <c r="B90" s="876">
        <v>85</v>
      </c>
      <c r="C90" s="876" t="s">
        <v>1208</v>
      </c>
      <c r="D90" s="851">
        <v>562.74999000000003</v>
      </c>
    </row>
    <row r="91" spans="2:4" x14ac:dyDescent="0.2">
      <c r="B91" s="876">
        <v>86</v>
      </c>
      <c r="C91" s="876" t="s">
        <v>1209</v>
      </c>
      <c r="D91" s="851">
        <v>575.990906</v>
      </c>
    </row>
    <row r="92" spans="2:4" x14ac:dyDescent="0.2">
      <c r="B92" s="876">
        <v>87</v>
      </c>
      <c r="C92" s="876" t="s">
        <v>1210</v>
      </c>
      <c r="D92" s="851">
        <v>657.35000600000001</v>
      </c>
    </row>
    <row r="93" spans="2:4" x14ac:dyDescent="0.2">
      <c r="B93" s="876">
        <v>88</v>
      </c>
      <c r="C93" s="876" t="s">
        <v>1211</v>
      </c>
      <c r="D93" s="851">
        <v>653.98570900000004</v>
      </c>
    </row>
    <row r="94" spans="2:4" x14ac:dyDescent="0.2">
      <c r="B94" s="876">
        <v>89</v>
      </c>
      <c r="C94" s="876" t="s">
        <v>1212</v>
      </c>
      <c r="D94" s="851">
        <v>588.52499399999999</v>
      </c>
    </row>
    <row r="95" spans="2:4" x14ac:dyDescent="0.2">
      <c r="B95" s="876">
        <v>90</v>
      </c>
      <c r="C95" s="876" t="s">
        <v>1213</v>
      </c>
      <c r="D95" s="851">
        <v>592.19998199999998</v>
      </c>
    </row>
    <row r="96" spans="2:4" x14ac:dyDescent="0.2">
      <c r="B96" s="876">
        <v>91</v>
      </c>
      <c r="C96" s="876" t="s">
        <v>1214</v>
      </c>
      <c r="D96" s="851">
        <v>629.20001200000002</v>
      </c>
    </row>
    <row r="97" spans="2:4" x14ac:dyDescent="0.2">
      <c r="B97" s="876">
        <v>92</v>
      </c>
      <c r="C97" s="876" t="s">
        <v>1215</v>
      </c>
      <c r="D97" s="851">
        <v>650.26666299999999</v>
      </c>
    </row>
    <row r="98" spans="2:4" x14ac:dyDescent="0.2">
      <c r="B98" s="876">
        <v>93</v>
      </c>
      <c r="C98" s="876" t="s">
        <v>1216</v>
      </c>
      <c r="D98" s="851">
        <v>641.71667500000001</v>
      </c>
    </row>
    <row r="99" spans="2:4" x14ac:dyDescent="0.2">
      <c r="B99" s="876">
        <v>94</v>
      </c>
      <c r="C99" s="876" t="s">
        <v>1217</v>
      </c>
      <c r="D99" s="851">
        <v>613.70000000000005</v>
      </c>
    </row>
    <row r="100" spans="2:4" x14ac:dyDescent="0.2">
      <c r="B100" s="876">
        <v>95</v>
      </c>
      <c r="C100" s="876" t="s">
        <v>1218</v>
      </c>
      <c r="D100" s="851">
        <v>584.65555800000004</v>
      </c>
    </row>
    <row r="101" spans="2:4" x14ac:dyDescent="0.2">
      <c r="B101" s="876">
        <v>96</v>
      </c>
      <c r="C101" s="876" t="s">
        <v>1219</v>
      </c>
      <c r="D101" s="851">
        <v>565.80000099999995</v>
      </c>
    </row>
    <row r="102" spans="2:4" ht="15" x14ac:dyDescent="0.2">
      <c r="B102" s="888">
        <v>97</v>
      </c>
      <c r="C102" s="876" t="s">
        <v>1220</v>
      </c>
      <c r="D102" s="889">
        <v>547.33333700000003</v>
      </c>
    </row>
    <row r="103" spans="2:4" ht="15" x14ac:dyDescent="0.2">
      <c r="B103" s="888">
        <v>98</v>
      </c>
      <c r="C103" s="876" t="s">
        <v>1221</v>
      </c>
      <c r="D103" s="889">
        <v>547.07499700000005</v>
      </c>
    </row>
    <row r="104" spans="2:4" x14ac:dyDescent="0.2">
      <c r="B104" s="876">
        <v>99</v>
      </c>
      <c r="C104" s="876" t="s">
        <v>1222</v>
      </c>
      <c r="D104" s="851">
        <v>593.01538100000005</v>
      </c>
    </row>
    <row r="105" spans="2:4" x14ac:dyDescent="0.2">
      <c r="B105" s="876">
        <v>100</v>
      </c>
      <c r="C105" s="876" t="s">
        <v>1223</v>
      </c>
      <c r="D105" s="851">
        <v>598.21818399999995</v>
      </c>
    </row>
    <row r="106" spans="2:4" x14ac:dyDescent="0.2">
      <c r="B106" s="876">
        <v>101</v>
      </c>
      <c r="C106" s="876" t="s">
        <v>1224</v>
      </c>
      <c r="D106" s="851">
        <v>624.90000399999997</v>
      </c>
    </row>
    <row r="107" spans="2:4" x14ac:dyDescent="0.2">
      <c r="B107" s="876">
        <v>102</v>
      </c>
      <c r="C107" s="876" t="s">
        <v>1225</v>
      </c>
      <c r="D107" s="851">
        <v>621.875</v>
      </c>
    </row>
    <row r="108" spans="2:4" x14ac:dyDescent="0.2">
      <c r="B108" s="876">
        <v>103</v>
      </c>
      <c r="C108" s="876" t="s">
        <v>1226</v>
      </c>
      <c r="D108" s="851">
        <v>604.05999099999997</v>
      </c>
    </row>
    <row r="109" spans="2:4" x14ac:dyDescent="0.2">
      <c r="B109" s="876">
        <v>104</v>
      </c>
      <c r="C109" s="876" t="s">
        <v>1227</v>
      </c>
      <c r="D109" s="851">
        <v>640.375</v>
      </c>
    </row>
    <row r="110" spans="2:4" x14ac:dyDescent="0.2">
      <c r="B110" s="876">
        <v>105</v>
      </c>
      <c r="C110" s="876" t="s">
        <v>1228</v>
      </c>
      <c r="D110" s="851">
        <v>562.02500899999995</v>
      </c>
    </row>
    <row r="111" spans="2:4" x14ac:dyDescent="0.2">
      <c r="B111" s="876">
        <v>106</v>
      </c>
      <c r="C111" s="876" t="s">
        <v>1229</v>
      </c>
      <c r="D111" s="851">
        <v>563.02000699999996</v>
      </c>
    </row>
    <row r="112" spans="2:4" x14ac:dyDescent="0.2">
      <c r="B112" s="876">
        <v>107</v>
      </c>
      <c r="C112" s="876" t="s">
        <v>1230</v>
      </c>
      <c r="D112" s="851">
        <v>557.44998899999996</v>
      </c>
    </row>
    <row r="113" spans="2:4" x14ac:dyDescent="0.2">
      <c r="B113" s="876">
        <v>108</v>
      </c>
      <c r="C113" s="876" t="s">
        <v>1231</v>
      </c>
      <c r="D113" s="851">
        <v>590.69999600000006</v>
      </c>
    </row>
    <row r="114" spans="2:4" x14ac:dyDescent="0.2">
      <c r="B114" s="876">
        <v>109</v>
      </c>
      <c r="C114" s="876" t="s">
        <v>1232</v>
      </c>
      <c r="D114" s="851">
        <v>686.34999100000005</v>
      </c>
    </row>
    <row r="115" spans="2:4" x14ac:dyDescent="0.2">
      <c r="B115" s="876">
        <v>110</v>
      </c>
      <c r="C115" s="876" t="s">
        <v>1233</v>
      </c>
      <c r="D115" s="851">
        <v>641.54999999999995</v>
      </c>
    </row>
    <row r="116" spans="2:4" x14ac:dyDescent="0.2">
      <c r="B116" s="876">
        <v>111</v>
      </c>
      <c r="C116" s="876" t="s">
        <v>1234</v>
      </c>
      <c r="D116" s="851">
        <v>665.34615399999996</v>
      </c>
    </row>
    <row r="117" spans="2:4" x14ac:dyDescent="0.2">
      <c r="B117" s="876">
        <v>112</v>
      </c>
      <c r="C117" s="876" t="s">
        <v>1235</v>
      </c>
      <c r="D117" s="851">
        <v>586.56666399999995</v>
      </c>
    </row>
    <row r="118" spans="2:4" x14ac:dyDescent="0.2">
      <c r="B118" s="876">
        <v>113</v>
      </c>
      <c r="C118" s="876" t="s">
        <v>1236</v>
      </c>
      <c r="D118" s="851">
        <v>590.38666999999998</v>
      </c>
    </row>
    <row r="119" spans="2:4" x14ac:dyDescent="0.2">
      <c r="B119" s="876">
        <v>114</v>
      </c>
      <c r="C119" s="876" t="s">
        <v>1237</v>
      </c>
      <c r="D119" s="851">
        <v>607.67999899999995</v>
      </c>
    </row>
    <row r="120" spans="2:4" x14ac:dyDescent="0.2">
      <c r="B120" s="876">
        <v>115</v>
      </c>
      <c r="C120" s="876" t="s">
        <v>1238</v>
      </c>
      <c r="D120" s="851">
        <v>635.64999399999999</v>
      </c>
    </row>
    <row r="121" spans="2:4" x14ac:dyDescent="0.2">
      <c r="B121" s="876">
        <v>116</v>
      </c>
      <c r="C121" s="876" t="s">
        <v>1239</v>
      </c>
      <c r="D121" s="851">
        <v>567.21249399999999</v>
      </c>
    </row>
    <row r="122" spans="2:4" x14ac:dyDescent="0.2">
      <c r="B122" s="876">
        <v>117</v>
      </c>
      <c r="C122" s="876" t="s">
        <v>1240</v>
      </c>
      <c r="D122" s="851">
        <v>578.84999600000003</v>
      </c>
    </row>
    <row r="123" spans="2:4" x14ac:dyDescent="0.2">
      <c r="B123" s="876">
        <v>118</v>
      </c>
      <c r="C123" s="876" t="s">
        <v>1241</v>
      </c>
      <c r="D123" s="851">
        <v>576.885716</v>
      </c>
    </row>
    <row r="124" spans="2:4" x14ac:dyDescent="0.2">
      <c r="B124" s="876">
        <v>119</v>
      </c>
      <c r="C124" s="876" t="s">
        <v>1242</v>
      </c>
      <c r="D124" s="851">
        <v>583.93332899999996</v>
      </c>
    </row>
    <row r="125" spans="2:4" x14ac:dyDescent="0.2">
      <c r="B125" s="876">
        <v>120</v>
      </c>
      <c r="C125" s="876" t="s">
        <v>1243</v>
      </c>
      <c r="D125" s="851">
        <v>610.35000600000001</v>
      </c>
    </row>
    <row r="126" spans="2:4" x14ac:dyDescent="0.2">
      <c r="B126" s="876">
        <v>121</v>
      </c>
      <c r="C126" s="876" t="s">
        <v>1244</v>
      </c>
      <c r="D126" s="851">
        <v>609.20001200000002</v>
      </c>
    </row>
    <row r="127" spans="2:4" x14ac:dyDescent="0.2">
      <c r="B127" s="876">
        <v>122</v>
      </c>
      <c r="C127" s="876" t="s">
        <v>1245</v>
      </c>
      <c r="D127" s="851">
        <v>648.07499700000005</v>
      </c>
    </row>
    <row r="128" spans="2:4" x14ac:dyDescent="0.2">
      <c r="B128" s="876">
        <v>123</v>
      </c>
      <c r="C128" s="876" t="s">
        <v>1246</v>
      </c>
      <c r="D128" s="851">
        <v>650.38420699999995</v>
      </c>
    </row>
    <row r="129" spans="2:4" x14ac:dyDescent="0.2">
      <c r="B129" s="876">
        <v>124</v>
      </c>
      <c r="C129" s="876" t="s">
        <v>1247</v>
      </c>
      <c r="D129" s="851">
        <v>605.73076900000001</v>
      </c>
    </row>
    <row r="130" spans="2:4" x14ac:dyDescent="0.2">
      <c r="B130" s="876">
        <v>125</v>
      </c>
      <c r="C130" s="876" t="s">
        <v>1248</v>
      </c>
      <c r="D130" s="851">
        <v>619.08335399999999</v>
      </c>
    </row>
    <row r="131" spans="2:4" x14ac:dyDescent="0.2">
      <c r="B131" s="876">
        <v>126</v>
      </c>
      <c r="C131" s="876" t="s">
        <v>1249</v>
      </c>
      <c r="D131" s="851">
        <v>603.84999100000005</v>
      </c>
    </row>
    <row r="132" spans="2:4" x14ac:dyDescent="0.2">
      <c r="B132" s="876">
        <v>150</v>
      </c>
      <c r="C132" s="876" t="s">
        <v>1250</v>
      </c>
      <c r="D132" s="851">
        <v>645.69999199999995</v>
      </c>
    </row>
    <row r="133" spans="2:4" x14ac:dyDescent="0.2">
      <c r="B133" s="876">
        <v>151</v>
      </c>
      <c r="C133" s="876" t="s">
        <v>1251</v>
      </c>
      <c r="D133" s="851">
        <v>838.10000300000002</v>
      </c>
    </row>
    <row r="134" spans="2:4" x14ac:dyDescent="0.2">
      <c r="B134" s="876">
        <v>152</v>
      </c>
      <c r="C134" s="876" t="s">
        <v>1252</v>
      </c>
      <c r="D134" s="851">
        <v>896.10000600000001</v>
      </c>
    </row>
    <row r="135" spans="2:4" x14ac:dyDescent="0.2">
      <c r="B135" s="876">
        <v>153</v>
      </c>
      <c r="C135" s="876" t="s">
        <v>1253</v>
      </c>
      <c r="D135" s="851">
        <v>934.59343799999999</v>
      </c>
    </row>
    <row r="136" spans="2:4" x14ac:dyDescent="0.2">
      <c r="B136" s="876">
        <v>154</v>
      </c>
      <c r="C136" s="876" t="s">
        <v>1254</v>
      </c>
      <c r="D136" s="851">
        <v>866.79998799999998</v>
      </c>
    </row>
    <row r="137" spans="2:4" x14ac:dyDescent="0.2">
      <c r="B137" s="876">
        <v>155</v>
      </c>
      <c r="C137" s="876" t="s">
        <v>1255</v>
      </c>
      <c r="D137" s="851">
        <v>800</v>
      </c>
    </row>
    <row r="138" spans="2:4" x14ac:dyDescent="0.2">
      <c r="B138" s="876">
        <v>156</v>
      </c>
      <c r="C138" s="876" t="s">
        <v>1256</v>
      </c>
      <c r="D138" s="851">
        <v>905.72500600000001</v>
      </c>
    </row>
    <row r="139" spans="2:4" x14ac:dyDescent="0.2">
      <c r="B139" s="876">
        <v>157</v>
      </c>
      <c r="C139" s="876" t="s">
        <v>1257</v>
      </c>
      <c r="D139" s="851">
        <v>883.75</v>
      </c>
    </row>
    <row r="140" spans="2:4" x14ac:dyDescent="0.2">
      <c r="B140" s="876">
        <v>158</v>
      </c>
      <c r="C140" s="876" t="s">
        <v>1258</v>
      </c>
      <c r="D140" s="851">
        <v>766.40000399999997</v>
      </c>
    </row>
    <row r="141" spans="2:4" x14ac:dyDescent="0.2">
      <c r="B141" s="876">
        <v>159</v>
      </c>
      <c r="C141" s="876" t="s">
        <v>1259</v>
      </c>
      <c r="D141" s="851">
        <v>844.62501499999996</v>
      </c>
    </row>
    <row r="142" spans="2:4" x14ac:dyDescent="0.2">
      <c r="B142" s="876">
        <v>160</v>
      </c>
      <c r="C142" s="876" t="s">
        <v>1260</v>
      </c>
      <c r="D142" s="851">
        <v>882.75833599999999</v>
      </c>
    </row>
    <row r="143" spans="2:4" x14ac:dyDescent="0.2">
      <c r="B143" s="876">
        <v>161</v>
      </c>
      <c r="C143" s="876" t="s">
        <v>1261</v>
      </c>
      <c r="D143" s="851">
        <v>858.50000499999999</v>
      </c>
    </row>
    <row r="144" spans="2:4" x14ac:dyDescent="0.2">
      <c r="B144" s="876">
        <v>162</v>
      </c>
      <c r="C144" s="876" t="s">
        <v>1262</v>
      </c>
      <c r="D144" s="851">
        <v>865.02499399999999</v>
      </c>
    </row>
    <row r="145" spans="2:4" x14ac:dyDescent="0.2">
      <c r="B145" s="876">
        <v>163</v>
      </c>
      <c r="C145" s="876" t="s">
        <v>1263</v>
      </c>
      <c r="D145" s="851">
        <v>834.29998799999998</v>
      </c>
    </row>
    <row r="146" spans="2:4" x14ac:dyDescent="0.2">
      <c r="B146" s="876">
        <v>164</v>
      </c>
      <c r="C146" s="876" t="s">
        <v>1264</v>
      </c>
      <c r="D146" s="851">
        <v>852.99286300000006</v>
      </c>
    </row>
    <row r="147" spans="2:4" x14ac:dyDescent="0.2">
      <c r="B147" s="876">
        <v>165</v>
      </c>
      <c r="C147" s="876" t="s">
        <v>1265</v>
      </c>
      <c r="D147" s="851">
        <v>809.51999499999999</v>
      </c>
    </row>
    <row r="148" spans="2:4" x14ac:dyDescent="0.2">
      <c r="B148" s="876">
        <v>166</v>
      </c>
      <c r="C148" s="876" t="s">
        <v>1266</v>
      </c>
      <c r="D148" s="851">
        <v>743.59999600000003</v>
      </c>
    </row>
    <row r="149" spans="2:4" x14ac:dyDescent="0.2">
      <c r="B149" s="876">
        <v>167</v>
      </c>
      <c r="C149" s="876" t="s">
        <v>1267</v>
      </c>
      <c r="D149" s="851">
        <v>750.51999499999999</v>
      </c>
    </row>
    <row r="150" spans="2:4" x14ac:dyDescent="0.2">
      <c r="B150" s="876">
        <v>168</v>
      </c>
      <c r="C150" s="876" t="s">
        <v>1268</v>
      </c>
      <c r="D150" s="851">
        <v>844.62501499999996</v>
      </c>
    </row>
    <row r="151" spans="2:4" x14ac:dyDescent="0.2">
      <c r="B151" s="876">
        <v>169</v>
      </c>
      <c r="C151" s="876" t="s">
        <v>1269</v>
      </c>
      <c r="D151" s="851">
        <v>801.14999399999999</v>
      </c>
    </row>
    <row r="152" spans="2:4" x14ac:dyDescent="0.2">
      <c r="B152" s="876">
        <v>170</v>
      </c>
      <c r="C152" s="876" t="s">
        <v>1270</v>
      </c>
      <c r="D152" s="851">
        <v>858.39444300000002</v>
      </c>
    </row>
    <row r="153" spans="2:4" x14ac:dyDescent="0.2">
      <c r="B153" s="876">
        <v>171</v>
      </c>
      <c r="C153" s="876" t="s">
        <v>1271</v>
      </c>
      <c r="D153" s="851">
        <v>701.89999399999999</v>
      </c>
    </row>
    <row r="154" spans="2:4" x14ac:dyDescent="0.2">
      <c r="B154" s="876">
        <v>172</v>
      </c>
      <c r="C154" s="876" t="s">
        <v>1272</v>
      </c>
      <c r="D154" s="851">
        <v>659.34286099999997</v>
      </c>
    </row>
    <row r="155" spans="2:4" x14ac:dyDescent="0.2">
      <c r="B155" s="876">
        <v>173</v>
      </c>
      <c r="C155" s="876" t="s">
        <v>1273</v>
      </c>
      <c r="D155" s="851">
        <v>732.02499399999999</v>
      </c>
    </row>
    <row r="156" spans="2:4" x14ac:dyDescent="0.2">
      <c r="B156" s="876">
        <v>174</v>
      </c>
      <c r="C156" s="876" t="s">
        <v>1274</v>
      </c>
      <c r="D156" s="851">
        <v>768.76668299999994</v>
      </c>
    </row>
    <row r="157" spans="2:4" x14ac:dyDescent="0.2">
      <c r="B157" s="876">
        <v>175</v>
      </c>
      <c r="C157" s="876" t="s">
        <v>1275</v>
      </c>
      <c r="D157" s="851">
        <v>753.9</v>
      </c>
    </row>
    <row r="158" spans="2:4" x14ac:dyDescent="0.2">
      <c r="B158" s="876">
        <v>176</v>
      </c>
      <c r="C158" s="876" t="s">
        <v>1276</v>
      </c>
      <c r="D158" s="851">
        <v>813.25</v>
      </c>
    </row>
    <row r="159" spans="2:4" x14ac:dyDescent="0.2">
      <c r="B159" s="876">
        <v>177</v>
      </c>
      <c r="C159" s="876" t="s">
        <v>1277</v>
      </c>
      <c r="D159" s="851">
        <v>847.70999099999995</v>
      </c>
    </row>
    <row r="160" spans="2:4" x14ac:dyDescent="0.2">
      <c r="B160" s="876">
        <v>178</v>
      </c>
      <c r="C160" s="876" t="s">
        <v>1278</v>
      </c>
      <c r="D160" s="851">
        <v>722.58571099999995</v>
      </c>
    </row>
    <row r="161" spans="2:4" x14ac:dyDescent="0.2">
      <c r="B161" s="876">
        <v>179</v>
      </c>
      <c r="C161" s="876" t="s">
        <v>1279</v>
      </c>
      <c r="D161" s="851">
        <v>639.17500299999995</v>
      </c>
    </row>
    <row r="162" spans="2:4" x14ac:dyDescent="0.2">
      <c r="B162" s="876">
        <v>180</v>
      </c>
      <c r="C162" s="876" t="s">
        <v>1280</v>
      </c>
      <c r="D162" s="851">
        <v>625.64999399999999</v>
      </c>
    </row>
    <row r="163" spans="2:4" x14ac:dyDescent="0.2">
      <c r="B163" s="876">
        <v>181</v>
      </c>
      <c r="C163" s="876" t="s">
        <v>1281</v>
      </c>
      <c r="D163" s="851">
        <v>691.46666500000003</v>
      </c>
    </row>
    <row r="164" spans="2:4" x14ac:dyDescent="0.2">
      <c r="B164" s="876">
        <v>182</v>
      </c>
      <c r="C164" s="876" t="s">
        <v>1282</v>
      </c>
      <c r="D164" s="851">
        <v>803.76666299999999</v>
      </c>
    </row>
    <row r="165" spans="2:4" x14ac:dyDescent="0.2">
      <c r="B165" s="876">
        <v>183</v>
      </c>
      <c r="C165" s="876" t="s">
        <v>1283</v>
      </c>
      <c r="D165" s="851">
        <v>766.87999300000001</v>
      </c>
    </row>
    <row r="166" spans="2:4" x14ac:dyDescent="0.2">
      <c r="B166" s="876">
        <v>184</v>
      </c>
      <c r="C166" s="876" t="s">
        <v>1284</v>
      </c>
      <c r="D166" s="851">
        <v>594</v>
      </c>
    </row>
    <row r="167" spans="2:4" x14ac:dyDescent="0.2">
      <c r="B167" s="876">
        <v>185</v>
      </c>
      <c r="C167" s="876" t="s">
        <v>1285</v>
      </c>
      <c r="D167" s="851">
        <v>634.39999799999998</v>
      </c>
    </row>
    <row r="168" spans="2:4" x14ac:dyDescent="0.2">
      <c r="B168" s="876">
        <v>186</v>
      </c>
      <c r="C168" s="876" t="s">
        <v>1286</v>
      </c>
      <c r="D168" s="851">
        <v>756.96429899999998</v>
      </c>
    </row>
    <row r="169" spans="2:4" x14ac:dyDescent="0.2">
      <c r="B169" s="876">
        <v>187</v>
      </c>
      <c r="C169" s="876" t="s">
        <v>1287</v>
      </c>
      <c r="D169" s="851">
        <v>778.00000899999998</v>
      </c>
    </row>
    <row r="170" spans="2:4" x14ac:dyDescent="0.2">
      <c r="B170" s="876">
        <v>188</v>
      </c>
      <c r="C170" s="876" t="s">
        <v>1288</v>
      </c>
      <c r="D170" s="851">
        <v>683.75</v>
      </c>
    </row>
    <row r="171" spans="2:4" x14ac:dyDescent="0.2">
      <c r="B171" s="876">
        <v>189</v>
      </c>
      <c r="C171" s="876" t="s">
        <v>1186</v>
      </c>
      <c r="D171" s="851">
        <v>681.07499700000005</v>
      </c>
    </row>
    <row r="172" spans="2:4" x14ac:dyDescent="0.2">
      <c r="B172" s="876">
        <v>190</v>
      </c>
      <c r="C172" s="876" t="s">
        <v>1289</v>
      </c>
      <c r="D172" s="851">
        <v>685.48999600000002</v>
      </c>
    </row>
    <row r="173" spans="2:4" x14ac:dyDescent="0.2">
      <c r="B173" s="876">
        <v>191</v>
      </c>
      <c r="C173" s="876" t="s">
        <v>1290</v>
      </c>
      <c r="D173" s="851">
        <v>589.30001800000002</v>
      </c>
    </row>
    <row r="174" spans="2:4" x14ac:dyDescent="0.2">
      <c r="B174" s="876">
        <v>192</v>
      </c>
      <c r="C174" s="876" t="s">
        <v>1291</v>
      </c>
      <c r="D174" s="851">
        <v>699.20001200000002</v>
      </c>
    </row>
    <row r="175" spans="2:4" x14ac:dyDescent="0.2">
      <c r="B175" s="876">
        <v>193</v>
      </c>
      <c r="C175" s="876" t="s">
        <v>1292</v>
      </c>
      <c r="D175" s="851">
        <v>631.45001200000002</v>
      </c>
    </row>
    <row r="176" spans="2:4" x14ac:dyDescent="0.2">
      <c r="B176" s="876">
        <v>194</v>
      </c>
      <c r="C176" s="876" t="s">
        <v>1293</v>
      </c>
      <c r="D176" s="851">
        <v>683.12498500000004</v>
      </c>
    </row>
    <row r="177" spans="2:4" x14ac:dyDescent="0.2">
      <c r="B177" s="876">
        <v>195</v>
      </c>
      <c r="C177" s="876" t="s">
        <v>1294</v>
      </c>
      <c r="D177" s="851">
        <v>729.61250299999995</v>
      </c>
    </row>
    <row r="178" spans="2:4" x14ac:dyDescent="0.2">
      <c r="B178" s="876">
        <v>196</v>
      </c>
      <c r="C178" s="876" t="s">
        <v>1295</v>
      </c>
      <c r="D178" s="851">
        <v>762.80000500000006</v>
      </c>
    </row>
    <row r="179" spans="2:4" x14ac:dyDescent="0.2">
      <c r="B179" s="876">
        <v>197</v>
      </c>
      <c r="C179" s="876" t="s">
        <v>1296</v>
      </c>
      <c r="D179" s="851">
        <v>788.8</v>
      </c>
    </row>
    <row r="180" spans="2:4" x14ac:dyDescent="0.2">
      <c r="B180" s="876">
        <v>198</v>
      </c>
      <c r="C180" s="876" t="s">
        <v>1297</v>
      </c>
      <c r="D180" s="851">
        <v>724.42499499999997</v>
      </c>
    </row>
    <row r="181" spans="2:4" x14ac:dyDescent="0.2">
      <c r="B181" s="876">
        <v>199</v>
      </c>
      <c r="C181" s="876" t="s">
        <v>1298</v>
      </c>
      <c r="D181" s="851">
        <v>751.20000700000003</v>
      </c>
    </row>
    <row r="182" spans="2:4" x14ac:dyDescent="0.2">
      <c r="B182" s="876">
        <v>200</v>
      </c>
      <c r="C182" s="876" t="s">
        <v>1299</v>
      </c>
      <c r="D182" s="851">
        <v>766.19999199999995</v>
      </c>
    </row>
    <row r="183" spans="2:4" x14ac:dyDescent="0.2">
      <c r="B183" s="876">
        <v>201</v>
      </c>
      <c r="C183" s="876" t="s">
        <v>1300</v>
      </c>
      <c r="D183" s="851">
        <v>682.77999299999999</v>
      </c>
    </row>
    <row r="184" spans="2:4" x14ac:dyDescent="0.2">
      <c r="B184" s="876">
        <v>202</v>
      </c>
      <c r="C184" s="876" t="s">
        <v>1301</v>
      </c>
      <c r="D184" s="851">
        <v>622</v>
      </c>
    </row>
    <row r="185" spans="2:4" x14ac:dyDescent="0.2">
      <c r="B185" s="876">
        <v>203</v>
      </c>
      <c r="C185" s="876" t="s">
        <v>1302</v>
      </c>
      <c r="D185" s="851">
        <v>624.36665900000003</v>
      </c>
    </row>
    <row r="186" spans="2:4" x14ac:dyDescent="0.2">
      <c r="B186" s="876">
        <v>204</v>
      </c>
      <c r="C186" s="876" t="s">
        <v>1303</v>
      </c>
      <c r="D186" s="851">
        <v>623.56666099999995</v>
      </c>
    </row>
    <row r="187" spans="2:4" x14ac:dyDescent="0.2">
      <c r="B187" s="876">
        <v>205</v>
      </c>
      <c r="C187" s="876" t="s">
        <v>1304</v>
      </c>
      <c r="D187" s="851">
        <v>674.89998400000002</v>
      </c>
    </row>
    <row r="188" spans="2:4" x14ac:dyDescent="0.2">
      <c r="B188" s="876">
        <v>206</v>
      </c>
      <c r="C188" s="876" t="s">
        <v>1305</v>
      </c>
      <c r="D188" s="851">
        <v>654.76666299999999</v>
      </c>
    </row>
    <row r="189" spans="2:4" x14ac:dyDescent="0.2">
      <c r="B189" s="876">
        <v>207</v>
      </c>
      <c r="C189" s="876" t="s">
        <v>1306</v>
      </c>
      <c r="D189" s="851">
        <v>650.53334600000005</v>
      </c>
    </row>
    <row r="190" spans="2:4" x14ac:dyDescent="0.2">
      <c r="B190" s="876">
        <v>208</v>
      </c>
      <c r="C190" s="876" t="s">
        <v>1307</v>
      </c>
      <c r="D190" s="851">
        <v>598.38889600000005</v>
      </c>
    </row>
    <row r="191" spans="2:4" x14ac:dyDescent="0.2">
      <c r="B191" s="876">
        <v>209</v>
      </c>
      <c r="C191" s="876" t="s">
        <v>1308</v>
      </c>
      <c r="D191" s="851">
        <v>583.12306599999999</v>
      </c>
    </row>
    <row r="192" spans="2:4" x14ac:dyDescent="0.2">
      <c r="B192" s="876">
        <v>210</v>
      </c>
      <c r="C192" s="876" t="s">
        <v>1309</v>
      </c>
      <c r="D192" s="851">
        <v>762.59997599999997</v>
      </c>
    </row>
    <row r="193" spans="2:4" x14ac:dyDescent="0.2">
      <c r="B193" s="876">
        <v>211</v>
      </c>
      <c r="C193" s="876" t="s">
        <v>1310</v>
      </c>
      <c r="D193" s="851">
        <v>717.56664999999998</v>
      </c>
    </row>
    <row r="194" spans="2:4" x14ac:dyDescent="0.2">
      <c r="B194" s="876">
        <v>212</v>
      </c>
      <c r="C194" s="876" t="s">
        <v>1311</v>
      </c>
      <c r="D194" s="851">
        <v>681.74998500000004</v>
      </c>
    </row>
    <row r="195" spans="2:4" x14ac:dyDescent="0.2">
      <c r="B195" s="876">
        <v>213</v>
      </c>
      <c r="C195" s="876" t="s">
        <v>1312</v>
      </c>
      <c r="D195" s="851">
        <v>713.44999700000005</v>
      </c>
    </row>
    <row r="196" spans="2:4" x14ac:dyDescent="0.2">
      <c r="B196" s="876">
        <v>214</v>
      </c>
      <c r="C196" s="876" t="s">
        <v>1313</v>
      </c>
      <c r="D196" s="851">
        <v>710.42501100000004</v>
      </c>
    </row>
    <row r="197" spans="2:4" x14ac:dyDescent="0.2">
      <c r="B197" s="876">
        <v>215</v>
      </c>
      <c r="C197" s="876" t="s">
        <v>1314</v>
      </c>
      <c r="D197" s="851">
        <v>715.95001200000002</v>
      </c>
    </row>
    <row r="198" spans="2:4" x14ac:dyDescent="0.2">
      <c r="B198" s="876">
        <v>216</v>
      </c>
      <c r="C198" s="876" t="s">
        <v>1315</v>
      </c>
      <c r="D198" s="851">
        <v>590.6</v>
      </c>
    </row>
    <row r="199" spans="2:4" x14ac:dyDescent="0.2">
      <c r="B199" s="876">
        <v>217</v>
      </c>
      <c r="C199" s="876" t="s">
        <v>1316</v>
      </c>
      <c r="D199" s="851">
        <v>669.48751100000004</v>
      </c>
    </row>
    <row r="200" spans="2:4" x14ac:dyDescent="0.2">
      <c r="B200" s="876">
        <v>218</v>
      </c>
      <c r="C200" s="876" t="s">
        <v>1237</v>
      </c>
      <c r="D200" s="851">
        <v>646.32000700000003</v>
      </c>
    </row>
    <row r="201" spans="2:4" x14ac:dyDescent="0.2">
      <c r="B201" s="876">
        <v>219</v>
      </c>
      <c r="C201" s="876" t="s">
        <v>1317</v>
      </c>
      <c r="D201" s="851">
        <v>704.20001200000002</v>
      </c>
    </row>
    <row r="202" spans="2:4" x14ac:dyDescent="0.2">
      <c r="B202" s="876">
        <v>220</v>
      </c>
      <c r="C202" s="876" t="s">
        <v>1318</v>
      </c>
      <c r="D202" s="851">
        <v>674.14999399999999</v>
      </c>
    </row>
    <row r="203" spans="2:4" x14ac:dyDescent="0.2">
      <c r="B203" s="876">
        <v>221</v>
      </c>
      <c r="C203" s="876" t="s">
        <v>1319</v>
      </c>
      <c r="D203" s="851">
        <v>668.68333900000005</v>
      </c>
    </row>
    <row r="204" spans="2:4" x14ac:dyDescent="0.2">
      <c r="B204" s="876">
        <v>222</v>
      </c>
      <c r="C204" s="876" t="s">
        <v>1320</v>
      </c>
      <c r="D204" s="851">
        <v>640.69999700000005</v>
      </c>
    </row>
    <row r="205" spans="2:4" x14ac:dyDescent="0.2">
      <c r="B205" s="876">
        <v>223</v>
      </c>
      <c r="C205" s="876" t="s">
        <v>1321</v>
      </c>
      <c r="D205" s="851">
        <v>646.35555999999997</v>
      </c>
    </row>
    <row r="206" spans="2:4" x14ac:dyDescent="0.2">
      <c r="B206" s="876">
        <v>224</v>
      </c>
      <c r="C206" s="876" t="s">
        <v>1322</v>
      </c>
      <c r="D206" s="851">
        <v>609.89999399999999</v>
      </c>
    </row>
    <row r="207" spans="2:4" x14ac:dyDescent="0.2">
      <c r="B207" s="876">
        <v>225</v>
      </c>
      <c r="C207" s="876" t="s">
        <v>1323</v>
      </c>
      <c r="D207" s="851">
        <v>732.06087300000002</v>
      </c>
    </row>
    <row r="208" spans="2:4" x14ac:dyDescent="0.2">
      <c r="B208" s="876">
        <v>226</v>
      </c>
      <c r="C208" s="876" t="s">
        <v>1324</v>
      </c>
      <c r="D208" s="851">
        <v>723.52499399999999</v>
      </c>
    </row>
    <row r="209" spans="2:4" x14ac:dyDescent="0.2">
      <c r="B209" s="876">
        <v>227</v>
      </c>
      <c r="C209" s="876" t="s">
        <v>1325</v>
      </c>
      <c r="D209" s="851">
        <v>728.60868800000003</v>
      </c>
    </row>
    <row r="210" spans="2:4" x14ac:dyDescent="0.2">
      <c r="B210" s="876">
        <v>228</v>
      </c>
      <c r="C210" s="876" t="s">
        <v>1326</v>
      </c>
      <c r="D210" s="851">
        <v>563.89999399999999</v>
      </c>
    </row>
    <row r="211" spans="2:4" x14ac:dyDescent="0.2">
      <c r="B211" s="876">
        <v>229</v>
      </c>
      <c r="C211" s="876" t="s">
        <v>1327</v>
      </c>
      <c r="D211" s="851">
        <v>597.240002</v>
      </c>
    </row>
    <row r="212" spans="2:4" x14ac:dyDescent="0.2">
      <c r="B212" s="876">
        <v>230</v>
      </c>
      <c r="C212" s="876" t="s">
        <v>1328</v>
      </c>
      <c r="D212" s="851">
        <v>690.33331299999998</v>
      </c>
    </row>
    <row r="213" spans="2:4" x14ac:dyDescent="0.2">
      <c r="B213" s="876">
        <v>231</v>
      </c>
      <c r="C213" s="876" t="s">
        <v>1329</v>
      </c>
      <c r="D213" s="851">
        <v>674.54000199999996</v>
      </c>
    </row>
    <row r="214" spans="2:4" x14ac:dyDescent="0.2">
      <c r="B214" s="876">
        <v>232</v>
      </c>
      <c r="C214" s="876" t="s">
        <v>1330</v>
      </c>
      <c r="D214" s="851">
        <v>646.31818699999997</v>
      </c>
    </row>
    <row r="215" spans="2:4" x14ac:dyDescent="0.2">
      <c r="B215" s="876">
        <v>233</v>
      </c>
      <c r="C215" s="876" t="s">
        <v>1135</v>
      </c>
      <c r="D215" s="851">
        <v>585.366669</v>
      </c>
    </row>
    <row r="216" spans="2:4" x14ac:dyDescent="0.2">
      <c r="B216" s="876">
        <v>234</v>
      </c>
      <c r="C216" s="876" t="s">
        <v>1331</v>
      </c>
      <c r="D216" s="851">
        <v>594.89000199999998</v>
      </c>
    </row>
    <row r="217" spans="2:4" x14ac:dyDescent="0.2">
      <c r="B217" s="876">
        <v>235</v>
      </c>
      <c r="C217" s="876" t="s">
        <v>1332</v>
      </c>
      <c r="D217" s="851">
        <v>730.2</v>
      </c>
    </row>
    <row r="218" spans="2:4" x14ac:dyDescent="0.2">
      <c r="B218" s="876">
        <v>236</v>
      </c>
      <c r="C218" s="876" t="s">
        <v>1333</v>
      </c>
      <c r="D218" s="851">
        <v>709.37917100000004</v>
      </c>
    </row>
    <row r="219" spans="2:4" x14ac:dyDescent="0.2">
      <c r="B219" s="876">
        <v>237</v>
      </c>
      <c r="C219" s="876" t="s">
        <v>1334</v>
      </c>
      <c r="D219" s="851">
        <v>656.83333300000004</v>
      </c>
    </row>
    <row r="220" spans="2:4" x14ac:dyDescent="0.2">
      <c r="B220" s="876">
        <v>238</v>
      </c>
      <c r="C220" s="876" t="s">
        <v>1335</v>
      </c>
      <c r="D220" s="851">
        <v>638.100008</v>
      </c>
    </row>
    <row r="221" spans="2:4" x14ac:dyDescent="0.2">
      <c r="B221" s="876">
        <v>239</v>
      </c>
      <c r="C221" s="876" t="s">
        <v>1336</v>
      </c>
      <c r="D221" s="851">
        <v>642.49998500000004</v>
      </c>
    </row>
    <row r="222" spans="2:4" x14ac:dyDescent="0.2">
      <c r="B222" s="876">
        <v>240</v>
      </c>
      <c r="C222" s="876" t="s">
        <v>1337</v>
      </c>
      <c r="D222" s="851">
        <v>606.46520999999996</v>
      </c>
    </row>
    <row r="223" spans="2:4" x14ac:dyDescent="0.2">
      <c r="B223" s="876">
        <v>241</v>
      </c>
      <c r="C223" s="876" t="s">
        <v>1338</v>
      </c>
      <c r="D223" s="851">
        <v>596.23333700000001</v>
      </c>
    </row>
    <row r="224" spans="2:4" x14ac:dyDescent="0.2">
      <c r="B224" s="876">
        <v>242</v>
      </c>
      <c r="C224" s="876" t="s">
        <v>1339</v>
      </c>
      <c r="D224" s="851">
        <v>605.42500299999995</v>
      </c>
    </row>
    <row r="225" spans="2:4" x14ac:dyDescent="0.2">
      <c r="B225" s="876">
        <v>243</v>
      </c>
      <c r="C225" s="876" t="s">
        <v>1340</v>
      </c>
      <c r="D225" s="851">
        <v>738.03334600000005</v>
      </c>
    </row>
    <row r="226" spans="2:4" x14ac:dyDescent="0.2">
      <c r="B226" s="876">
        <v>244</v>
      </c>
      <c r="C226" s="876" t="s">
        <v>1341</v>
      </c>
      <c r="D226" s="851">
        <v>673.11665900000003</v>
      </c>
    </row>
    <row r="227" spans="2:4" x14ac:dyDescent="0.2">
      <c r="B227" s="876">
        <v>245</v>
      </c>
      <c r="C227" s="876" t="s">
        <v>1342</v>
      </c>
      <c r="D227" s="851">
        <v>652.72858499999995</v>
      </c>
    </row>
    <row r="228" spans="2:4" x14ac:dyDescent="0.2">
      <c r="B228" s="876">
        <v>246</v>
      </c>
      <c r="C228" s="876" t="s">
        <v>376</v>
      </c>
      <c r="D228" s="851">
        <v>609.68461300000001</v>
      </c>
    </row>
    <row r="229" spans="2:4" x14ac:dyDescent="0.2">
      <c r="B229" s="876">
        <v>247</v>
      </c>
      <c r="C229" s="876" t="s">
        <v>1343</v>
      </c>
      <c r="D229" s="851">
        <v>605.79998799999998</v>
      </c>
    </row>
    <row r="230" spans="2:4" x14ac:dyDescent="0.2">
      <c r="B230" s="876">
        <v>248</v>
      </c>
      <c r="C230" s="876" t="s">
        <v>1344</v>
      </c>
      <c r="D230" s="851">
        <v>702.56249200000002</v>
      </c>
    </row>
    <row r="231" spans="2:4" x14ac:dyDescent="0.2">
      <c r="B231" s="876">
        <v>249</v>
      </c>
      <c r="C231" s="876" t="s">
        <v>1345</v>
      </c>
      <c r="D231" s="851">
        <v>674.84286899999995</v>
      </c>
    </row>
    <row r="232" spans="2:4" x14ac:dyDescent="0.2">
      <c r="B232" s="876">
        <v>250</v>
      </c>
      <c r="C232" s="876" t="s">
        <v>1346</v>
      </c>
      <c r="D232" s="851">
        <v>673.740002</v>
      </c>
    </row>
    <row r="233" spans="2:4" x14ac:dyDescent="0.2">
      <c r="B233" s="876">
        <v>251</v>
      </c>
      <c r="C233" s="876" t="s">
        <v>1347</v>
      </c>
      <c r="D233" s="851">
        <v>668.75</v>
      </c>
    </row>
    <row r="234" spans="2:4" x14ac:dyDescent="0.2">
      <c r="B234" s="876">
        <v>252</v>
      </c>
      <c r="C234" s="876" t="s">
        <v>1348</v>
      </c>
      <c r="D234" s="851">
        <v>661.13334099999997</v>
      </c>
    </row>
    <row r="235" spans="2:4" x14ac:dyDescent="0.2">
      <c r="B235" s="876">
        <v>253</v>
      </c>
      <c r="C235" s="876" t="s">
        <v>1349</v>
      </c>
      <c r="D235" s="851">
        <v>660.29999799999996</v>
      </c>
    </row>
    <row r="236" spans="2:4" x14ac:dyDescent="0.2">
      <c r="B236" s="876">
        <v>254</v>
      </c>
      <c r="C236" s="876" t="s">
        <v>1350</v>
      </c>
      <c r="D236" s="851">
        <v>603.30001200000004</v>
      </c>
    </row>
    <row r="237" spans="2:4" x14ac:dyDescent="0.2">
      <c r="B237" s="876">
        <v>255</v>
      </c>
      <c r="C237" s="876" t="s">
        <v>1351</v>
      </c>
      <c r="D237" s="851">
        <v>624.68000500000005</v>
      </c>
    </row>
    <row r="238" spans="2:4" x14ac:dyDescent="0.2">
      <c r="B238" s="876">
        <v>256</v>
      </c>
      <c r="C238" s="876" t="s">
        <v>1352</v>
      </c>
      <c r="D238" s="851">
        <v>600.25714100000005</v>
      </c>
    </row>
    <row r="239" spans="2:4" x14ac:dyDescent="0.2">
      <c r="B239" s="876">
        <v>257</v>
      </c>
      <c r="C239" s="876" t="s">
        <v>1353</v>
      </c>
      <c r="D239" s="851">
        <v>637.21250199999997</v>
      </c>
    </row>
    <row r="240" spans="2:4" x14ac:dyDescent="0.2">
      <c r="B240" s="876">
        <v>258</v>
      </c>
      <c r="C240" s="876" t="s">
        <v>1354</v>
      </c>
      <c r="D240" s="851">
        <v>657.1</v>
      </c>
    </row>
    <row r="241" spans="2:4" x14ac:dyDescent="0.2">
      <c r="B241" s="876">
        <v>259</v>
      </c>
      <c r="C241" s="876" t="s">
        <v>1355</v>
      </c>
      <c r="D241" s="851">
        <v>649.53332499999999</v>
      </c>
    </row>
    <row r="242" spans="2:4" x14ac:dyDescent="0.2">
      <c r="B242" s="876">
        <v>260</v>
      </c>
      <c r="C242" s="876" t="s">
        <v>1356</v>
      </c>
      <c r="D242" s="851">
        <v>664.114284</v>
      </c>
    </row>
    <row r="243" spans="2:4" x14ac:dyDescent="0.2">
      <c r="B243" s="876">
        <v>261</v>
      </c>
      <c r="C243" s="876" t="s">
        <v>1357</v>
      </c>
      <c r="D243" s="851">
        <v>629.70000600000003</v>
      </c>
    </row>
    <row r="244" spans="2:4" x14ac:dyDescent="0.2">
      <c r="B244" s="876">
        <v>262</v>
      </c>
      <c r="C244" s="876" t="s">
        <v>1358</v>
      </c>
      <c r="D244" s="851">
        <v>631.08181999999999</v>
      </c>
    </row>
    <row r="245" spans="2:4" x14ac:dyDescent="0.2">
      <c r="B245" s="876">
        <v>263</v>
      </c>
      <c r="C245" s="876" t="s">
        <v>1359</v>
      </c>
      <c r="D245" s="851">
        <v>632.259998</v>
      </c>
    </row>
    <row r="246" spans="2:4" x14ac:dyDescent="0.2">
      <c r="B246" s="876">
        <v>264</v>
      </c>
      <c r="C246" s="876" t="s">
        <v>1360</v>
      </c>
      <c r="D246" s="851">
        <v>649.89999399999999</v>
      </c>
    </row>
    <row r="247" spans="2:4" x14ac:dyDescent="0.2">
      <c r="B247" s="876">
        <v>265</v>
      </c>
      <c r="C247" s="876" t="s">
        <v>1361</v>
      </c>
      <c r="D247" s="851">
        <v>605.44999700000005</v>
      </c>
    </row>
    <row r="248" spans="2:4" x14ac:dyDescent="0.2">
      <c r="B248" s="876">
        <v>266</v>
      </c>
      <c r="C248" s="876" t="s">
        <v>1362</v>
      </c>
      <c r="D248" s="851">
        <v>604.59998900000005</v>
      </c>
    </row>
    <row r="249" spans="2:4" x14ac:dyDescent="0.2">
      <c r="B249" s="876">
        <v>267</v>
      </c>
      <c r="C249" s="876" t="s">
        <v>1363</v>
      </c>
      <c r="D249" s="851">
        <v>598.88181399999996</v>
      </c>
    </row>
    <row r="250" spans="2:4" x14ac:dyDescent="0.2">
      <c r="B250" s="876">
        <v>268</v>
      </c>
      <c r="C250" s="876" t="s">
        <v>1364</v>
      </c>
      <c r="D250" s="851">
        <v>605.62222599999996</v>
      </c>
    </row>
    <row r="251" spans="2:4" x14ac:dyDescent="0.2">
      <c r="B251" s="876">
        <v>269</v>
      </c>
      <c r="C251" s="876" t="s">
        <v>1365</v>
      </c>
      <c r="D251" s="851">
        <v>627.48748799999998</v>
      </c>
    </row>
    <row r="252" spans="2:4" x14ac:dyDescent="0.2">
      <c r="B252" s="876">
        <v>270</v>
      </c>
      <c r="C252" s="876" t="s">
        <v>1366</v>
      </c>
      <c r="D252" s="851">
        <v>636.81000400000005</v>
      </c>
    </row>
    <row r="253" spans="2:4" x14ac:dyDescent="0.2">
      <c r="B253" s="876">
        <v>271</v>
      </c>
      <c r="C253" s="876" t="s">
        <v>1367</v>
      </c>
      <c r="D253" s="851">
        <v>621.66842199999996</v>
      </c>
    </row>
    <row r="254" spans="2:4" x14ac:dyDescent="0.2">
      <c r="B254" s="876">
        <v>272</v>
      </c>
      <c r="C254" s="876" t="s">
        <v>1368</v>
      </c>
      <c r="D254" s="851">
        <v>598.20000200000004</v>
      </c>
    </row>
    <row r="255" spans="2:4" x14ac:dyDescent="0.2">
      <c r="B255" s="876">
        <v>273</v>
      </c>
      <c r="C255" s="876" t="s">
        <v>1369</v>
      </c>
      <c r="D255" s="851">
        <v>594.92916600000001</v>
      </c>
    </row>
    <row r="256" spans="2:4" x14ac:dyDescent="0.2">
      <c r="B256" s="876">
        <v>274</v>
      </c>
      <c r="C256" s="876" t="s">
        <v>1370</v>
      </c>
      <c r="D256" s="851">
        <v>599.70000200000004</v>
      </c>
    </row>
    <row r="257" spans="2:4" x14ac:dyDescent="0.2">
      <c r="B257" s="876">
        <v>275</v>
      </c>
      <c r="C257" s="876" t="s">
        <v>1371</v>
      </c>
      <c r="D257" s="851">
        <v>615.29998799999998</v>
      </c>
    </row>
    <row r="258" spans="2:4" x14ac:dyDescent="0.2">
      <c r="B258" s="876">
        <v>276</v>
      </c>
      <c r="C258" s="876" t="s">
        <v>1372</v>
      </c>
      <c r="D258" s="851">
        <v>619.24999000000003</v>
      </c>
    </row>
    <row r="259" spans="2:4" x14ac:dyDescent="0.2">
      <c r="B259" s="876">
        <v>277</v>
      </c>
      <c r="C259" s="876" t="s">
        <v>1373</v>
      </c>
      <c r="D259" s="851">
        <v>642.15002400000003</v>
      </c>
    </row>
    <row r="260" spans="2:4" x14ac:dyDescent="0.2">
      <c r="B260" s="876">
        <v>278</v>
      </c>
      <c r="C260" s="876" t="s">
        <v>1374</v>
      </c>
      <c r="D260" s="851">
        <v>595.889996</v>
      </c>
    </row>
    <row r="261" spans="2:4" x14ac:dyDescent="0.2">
      <c r="B261" s="876">
        <v>279</v>
      </c>
      <c r="C261" s="876" t="s">
        <v>1375</v>
      </c>
      <c r="D261" s="851">
        <v>596.84374600000001</v>
      </c>
    </row>
    <row r="262" spans="2:4" x14ac:dyDescent="0.2">
      <c r="B262" s="876">
        <v>280</v>
      </c>
      <c r="C262" s="876" t="s">
        <v>1376</v>
      </c>
      <c r="D262" s="851">
        <v>598.125</v>
      </c>
    </row>
    <row r="263" spans="2:4" x14ac:dyDescent="0.2">
      <c r="B263" s="876">
        <v>281</v>
      </c>
      <c r="C263" s="876" t="s">
        <v>1377</v>
      </c>
      <c r="D263" s="851">
        <v>584.90000399999997</v>
      </c>
    </row>
    <row r="264" spans="2:4" x14ac:dyDescent="0.2">
      <c r="B264" s="876">
        <v>282</v>
      </c>
      <c r="C264" s="876" t="s">
        <v>1378</v>
      </c>
      <c r="D264" s="851">
        <v>663.79998799999998</v>
      </c>
    </row>
    <row r="265" spans="2:4" x14ac:dyDescent="0.2">
      <c r="B265" s="876">
        <v>283</v>
      </c>
      <c r="C265" s="876" t="s">
        <v>1379</v>
      </c>
      <c r="D265" s="851">
        <v>613.70000200000004</v>
      </c>
    </row>
    <row r="266" spans="2:4" x14ac:dyDescent="0.2">
      <c r="B266" s="876">
        <v>284</v>
      </c>
      <c r="C266" s="876" t="s">
        <v>1380</v>
      </c>
      <c r="D266" s="851">
        <v>641.62726399999997</v>
      </c>
    </row>
    <row r="267" spans="2:4" x14ac:dyDescent="0.2">
      <c r="B267" s="876">
        <v>285</v>
      </c>
      <c r="C267" s="876" t="s">
        <v>1381</v>
      </c>
      <c r="D267" s="851">
        <v>592.39999399999999</v>
      </c>
    </row>
    <row r="268" spans="2:4" x14ac:dyDescent="0.2">
      <c r="B268" s="876">
        <v>286</v>
      </c>
      <c r="C268" s="876" t="s">
        <v>1382</v>
      </c>
      <c r="D268" s="851">
        <v>616.85000600000001</v>
      </c>
    </row>
    <row r="269" spans="2:4" x14ac:dyDescent="0.2">
      <c r="B269" s="876">
        <v>287</v>
      </c>
      <c r="C269" s="876" t="s">
        <v>1383</v>
      </c>
      <c r="D269" s="851">
        <v>629.42999899999995</v>
      </c>
    </row>
    <row r="270" spans="2:4" x14ac:dyDescent="0.2">
      <c r="B270" s="876">
        <v>288</v>
      </c>
      <c r="C270" s="876" t="s">
        <v>1384</v>
      </c>
      <c r="D270" s="851">
        <v>623.84999500000004</v>
      </c>
    </row>
    <row r="271" spans="2:4" x14ac:dyDescent="0.2">
      <c r="B271" s="876">
        <v>289</v>
      </c>
      <c r="C271" s="876" t="s">
        <v>1385</v>
      </c>
      <c r="D271" s="851">
        <v>636.86665900000003</v>
      </c>
    </row>
    <row r="272" spans="2:4" x14ac:dyDescent="0.2">
      <c r="B272" s="876">
        <v>290</v>
      </c>
      <c r="C272" s="876" t="s">
        <v>1386</v>
      </c>
      <c r="D272" s="851">
        <v>616.56364299999996</v>
      </c>
    </row>
    <row r="273" spans="2:4" x14ac:dyDescent="0.2">
      <c r="B273" s="876">
        <v>291</v>
      </c>
      <c r="C273" s="876" t="s">
        <v>1387</v>
      </c>
      <c r="D273" s="851">
        <v>621.44999700000005</v>
      </c>
    </row>
    <row r="274" spans="2:4" x14ac:dyDescent="0.2">
      <c r="B274" s="876">
        <v>292</v>
      </c>
      <c r="C274" s="876" t="s">
        <v>1388</v>
      </c>
      <c r="D274" s="851">
        <v>636.69999199999995</v>
      </c>
    </row>
    <row r="275" spans="2:4" x14ac:dyDescent="0.2">
      <c r="B275" s="876">
        <v>293</v>
      </c>
      <c r="C275" s="876" t="s">
        <v>1389</v>
      </c>
      <c r="D275" s="851">
        <v>640.67894899999999</v>
      </c>
    </row>
    <row r="276" spans="2:4" x14ac:dyDescent="0.2">
      <c r="B276" s="876">
        <v>294</v>
      </c>
      <c r="C276" s="876" t="s">
        <v>1390</v>
      </c>
      <c r="D276" s="851">
        <v>643.30769499999997</v>
      </c>
    </row>
    <row r="277" spans="2:4" x14ac:dyDescent="0.2">
      <c r="B277" s="876">
        <v>295</v>
      </c>
      <c r="C277" s="876" t="s">
        <v>1391</v>
      </c>
      <c r="D277" s="851">
        <v>651.84616300000005</v>
      </c>
    </row>
    <row r="278" spans="2:4" x14ac:dyDescent="0.2">
      <c r="B278" s="876">
        <v>296</v>
      </c>
      <c r="C278" s="876" t="s">
        <v>1392</v>
      </c>
      <c r="D278" s="851">
        <v>632.56922799999995</v>
      </c>
    </row>
    <row r="279" spans="2:4" x14ac:dyDescent="0.2">
      <c r="B279" s="876">
        <v>301</v>
      </c>
      <c r="C279" s="876" t="s">
        <v>1393</v>
      </c>
      <c r="D279" s="851">
        <v>862.13999000000001</v>
      </c>
    </row>
    <row r="280" spans="2:4" x14ac:dyDescent="0.2">
      <c r="B280" s="876">
        <v>302</v>
      </c>
      <c r="C280" s="876" t="s">
        <v>1394</v>
      </c>
      <c r="D280" s="851">
        <v>749.54285500000003</v>
      </c>
    </row>
    <row r="281" spans="2:4" x14ac:dyDescent="0.2">
      <c r="B281" s="876">
        <v>303</v>
      </c>
      <c r="C281" s="876" t="s">
        <v>1395</v>
      </c>
      <c r="D281" s="851">
        <v>831.16667700000005</v>
      </c>
    </row>
    <row r="282" spans="2:4" x14ac:dyDescent="0.2">
      <c r="B282" s="876">
        <v>304</v>
      </c>
      <c r="C282" s="876" t="s">
        <v>1396</v>
      </c>
      <c r="D282" s="851">
        <v>869.38889600000005</v>
      </c>
    </row>
    <row r="283" spans="2:4" x14ac:dyDescent="0.2">
      <c r="B283" s="876">
        <v>305</v>
      </c>
      <c r="C283" s="876" t="s">
        <v>1397</v>
      </c>
      <c r="D283" s="851">
        <v>813.02502400000003</v>
      </c>
    </row>
    <row r="284" spans="2:4" x14ac:dyDescent="0.2">
      <c r="B284" s="876">
        <v>306</v>
      </c>
      <c r="C284" s="876" t="s">
        <v>1398</v>
      </c>
      <c r="D284" s="851">
        <v>658.86499900000001</v>
      </c>
    </row>
    <row r="285" spans="2:4" x14ac:dyDescent="0.2">
      <c r="B285" s="876">
        <v>307</v>
      </c>
      <c r="C285" s="876" t="s">
        <v>1399</v>
      </c>
      <c r="D285" s="851">
        <v>705.89999399999999</v>
      </c>
    </row>
    <row r="286" spans="2:4" x14ac:dyDescent="0.2">
      <c r="B286" s="876">
        <v>308</v>
      </c>
      <c r="C286" s="876" t="s">
        <v>1400</v>
      </c>
      <c r="D286" s="851">
        <v>734.35</v>
      </c>
    </row>
    <row r="287" spans="2:4" x14ac:dyDescent="0.2">
      <c r="B287" s="876">
        <v>309</v>
      </c>
      <c r="C287" s="876" t="s">
        <v>1401</v>
      </c>
      <c r="D287" s="851">
        <v>838.29998799999998</v>
      </c>
    </row>
    <row r="288" spans="2:4" x14ac:dyDescent="0.2">
      <c r="B288" s="876">
        <v>310</v>
      </c>
      <c r="C288" s="876" t="s">
        <v>1402</v>
      </c>
      <c r="D288" s="851">
        <v>810.32499700000005</v>
      </c>
    </row>
    <row r="289" spans="2:4" x14ac:dyDescent="0.2">
      <c r="B289" s="876">
        <v>311</v>
      </c>
      <c r="C289" s="876" t="s">
        <v>1403</v>
      </c>
      <c r="D289" s="851">
        <v>808.96665399999995</v>
      </c>
    </row>
    <row r="290" spans="2:4" x14ac:dyDescent="0.2">
      <c r="B290" s="876">
        <v>312</v>
      </c>
      <c r="C290" s="876" t="s">
        <v>1404</v>
      </c>
      <c r="D290" s="851">
        <v>781.60000600000001</v>
      </c>
    </row>
    <row r="291" spans="2:4" x14ac:dyDescent="0.2">
      <c r="B291" s="876">
        <v>313</v>
      </c>
      <c r="C291" s="876" t="s">
        <v>1405</v>
      </c>
      <c r="D291" s="851">
        <v>796.43332899999996</v>
      </c>
    </row>
    <row r="292" spans="2:4" x14ac:dyDescent="0.2">
      <c r="B292" s="876">
        <v>314</v>
      </c>
      <c r="C292" s="876" t="s">
        <v>1406</v>
      </c>
      <c r="D292" s="851">
        <v>801.79998799999998</v>
      </c>
    </row>
    <row r="293" spans="2:4" x14ac:dyDescent="0.2">
      <c r="B293" s="876">
        <v>315</v>
      </c>
      <c r="C293" s="876" t="s">
        <v>1407</v>
      </c>
      <c r="D293" s="851">
        <v>812.90002400000003</v>
      </c>
    </row>
    <row r="294" spans="2:4" x14ac:dyDescent="0.2">
      <c r="B294" s="876">
        <v>316</v>
      </c>
      <c r="C294" s="876" t="s">
        <v>1408</v>
      </c>
      <c r="D294" s="851">
        <v>825.83335399999999</v>
      </c>
    </row>
    <row r="295" spans="2:4" x14ac:dyDescent="0.2">
      <c r="B295" s="876">
        <v>317</v>
      </c>
      <c r="C295" s="876" t="s">
        <v>1409</v>
      </c>
      <c r="D295" s="851">
        <v>868.16667700000005</v>
      </c>
    </row>
    <row r="296" spans="2:4" x14ac:dyDescent="0.2">
      <c r="B296" s="876">
        <v>318</v>
      </c>
      <c r="C296" s="876" t="s">
        <v>1410</v>
      </c>
      <c r="D296" s="851">
        <v>856.79998799999998</v>
      </c>
    </row>
    <row r="297" spans="2:4" x14ac:dyDescent="0.2">
      <c r="B297" s="876">
        <v>319</v>
      </c>
      <c r="C297" s="876" t="s">
        <v>1411</v>
      </c>
      <c r="D297" s="851">
        <v>960.875</v>
      </c>
    </row>
    <row r="298" spans="2:4" x14ac:dyDescent="0.2">
      <c r="B298" s="876">
        <v>320</v>
      </c>
      <c r="C298" s="876" t="s">
        <v>1412</v>
      </c>
      <c r="D298" s="851">
        <v>948.41428900000005</v>
      </c>
    </row>
    <row r="299" spans="2:4" x14ac:dyDescent="0.2">
      <c r="B299" s="876">
        <v>321</v>
      </c>
      <c r="C299" s="876" t="s">
        <v>1413</v>
      </c>
      <c r="D299" s="851">
        <v>631.07500500000003</v>
      </c>
    </row>
    <row r="300" spans="2:4" x14ac:dyDescent="0.2">
      <c r="B300" s="876">
        <v>322</v>
      </c>
      <c r="C300" s="876" t="s">
        <v>1414</v>
      </c>
      <c r="D300" s="851">
        <v>668.93333900000005</v>
      </c>
    </row>
    <row r="301" spans="2:4" x14ac:dyDescent="0.2">
      <c r="B301" s="876">
        <v>323</v>
      </c>
      <c r="C301" s="876" t="s">
        <v>1415</v>
      </c>
      <c r="D301" s="851">
        <v>886.5</v>
      </c>
    </row>
    <row r="302" spans="2:4" x14ac:dyDescent="0.2">
      <c r="B302" s="876">
        <v>324</v>
      </c>
      <c r="C302" s="876" t="s">
        <v>1416</v>
      </c>
      <c r="D302" s="851">
        <v>823.96667500000001</v>
      </c>
    </row>
    <row r="303" spans="2:4" x14ac:dyDescent="0.2">
      <c r="B303" s="876">
        <v>325</v>
      </c>
      <c r="C303" s="876" t="s">
        <v>1417</v>
      </c>
      <c r="D303" s="851">
        <v>808.442858</v>
      </c>
    </row>
    <row r="304" spans="2:4" x14ac:dyDescent="0.2">
      <c r="B304" s="876">
        <v>326</v>
      </c>
      <c r="C304" s="876" t="s">
        <v>1418</v>
      </c>
      <c r="D304" s="851">
        <v>825.5</v>
      </c>
    </row>
    <row r="305" spans="2:4" x14ac:dyDescent="0.2">
      <c r="B305" s="876">
        <v>327</v>
      </c>
      <c r="C305" s="876" t="s">
        <v>1419</v>
      </c>
      <c r="D305" s="851">
        <v>799.47000100000002</v>
      </c>
    </row>
    <row r="306" spans="2:4" x14ac:dyDescent="0.2">
      <c r="B306" s="876">
        <v>328</v>
      </c>
      <c r="C306" s="876" t="s">
        <v>1420</v>
      </c>
      <c r="D306" s="851">
        <v>788.81428700000004</v>
      </c>
    </row>
    <row r="307" spans="2:4" x14ac:dyDescent="0.2">
      <c r="B307" s="876">
        <v>329</v>
      </c>
      <c r="C307" s="876" t="s">
        <v>1421</v>
      </c>
      <c r="D307" s="851">
        <v>781</v>
      </c>
    </row>
    <row r="308" spans="2:4" x14ac:dyDescent="0.2">
      <c r="B308" s="876">
        <v>330</v>
      </c>
      <c r="C308" s="876" t="s">
        <v>1422</v>
      </c>
      <c r="D308" s="851">
        <v>929.34444499999995</v>
      </c>
    </row>
    <row r="309" spans="2:4" x14ac:dyDescent="0.2">
      <c r="B309" s="876">
        <v>331</v>
      </c>
      <c r="C309" s="876" t="s">
        <v>1423</v>
      </c>
      <c r="D309" s="851">
        <v>968.259998</v>
      </c>
    </row>
    <row r="310" spans="2:4" x14ac:dyDescent="0.2">
      <c r="B310" s="876">
        <v>332</v>
      </c>
      <c r="C310" s="876" t="s">
        <v>1424</v>
      </c>
      <c r="D310" s="851">
        <v>627.48333700000001</v>
      </c>
    </row>
    <row r="311" spans="2:4" x14ac:dyDescent="0.2">
      <c r="B311" s="876">
        <v>333</v>
      </c>
      <c r="C311" s="876" t="s">
        <v>1425</v>
      </c>
      <c r="D311" s="851">
        <v>676.5</v>
      </c>
    </row>
    <row r="312" spans="2:4" x14ac:dyDescent="0.2">
      <c r="B312" s="876">
        <v>334</v>
      </c>
      <c r="C312" s="876" t="s">
        <v>1426</v>
      </c>
      <c r="D312" s="851">
        <v>776.5</v>
      </c>
    </row>
    <row r="313" spans="2:4" x14ac:dyDescent="0.2">
      <c r="B313" s="876">
        <v>335</v>
      </c>
      <c r="C313" s="876" t="s">
        <v>1427</v>
      </c>
      <c r="D313" s="851">
        <v>747.26666299999999</v>
      </c>
    </row>
    <row r="314" spans="2:4" x14ac:dyDescent="0.2">
      <c r="B314" s="876">
        <v>336</v>
      </c>
      <c r="C314" s="876" t="s">
        <v>1428</v>
      </c>
      <c r="D314" s="851">
        <v>763.70001200000002</v>
      </c>
    </row>
    <row r="315" spans="2:4" x14ac:dyDescent="0.2">
      <c r="B315" s="876">
        <v>337</v>
      </c>
      <c r="C315" s="876" t="s">
        <v>1429</v>
      </c>
      <c r="D315" s="851">
        <v>752.54998799999998</v>
      </c>
    </row>
    <row r="316" spans="2:4" x14ac:dyDescent="0.2">
      <c r="B316" s="876">
        <v>338</v>
      </c>
      <c r="C316" s="876" t="s">
        <v>1430</v>
      </c>
      <c r="D316" s="851">
        <v>748.20001200000002</v>
      </c>
    </row>
    <row r="317" spans="2:4" x14ac:dyDescent="0.2">
      <c r="B317" s="876">
        <v>339</v>
      </c>
      <c r="C317" s="876" t="s">
        <v>1431</v>
      </c>
      <c r="D317" s="851">
        <v>817.63335199999995</v>
      </c>
    </row>
    <row r="318" spans="2:4" x14ac:dyDescent="0.2">
      <c r="B318" s="876">
        <v>340</v>
      </c>
      <c r="C318" s="876" t="s">
        <v>1432</v>
      </c>
      <c r="D318" s="851">
        <v>969.04998799999998</v>
      </c>
    </row>
    <row r="319" spans="2:4" x14ac:dyDescent="0.2">
      <c r="B319" s="876">
        <v>341</v>
      </c>
      <c r="C319" s="876" t="s">
        <v>1433</v>
      </c>
      <c r="D319" s="851">
        <v>967.68148499999995</v>
      </c>
    </row>
    <row r="320" spans="2:4" x14ac:dyDescent="0.2">
      <c r="B320" s="876">
        <v>342</v>
      </c>
      <c r="C320" s="876" t="s">
        <v>1434</v>
      </c>
      <c r="D320" s="851">
        <v>634.34998599999994</v>
      </c>
    </row>
    <row r="321" spans="2:4" x14ac:dyDescent="0.2">
      <c r="B321" s="876">
        <v>343</v>
      </c>
      <c r="C321" s="876" t="s">
        <v>1435</v>
      </c>
      <c r="D321" s="851">
        <v>720.59999600000003</v>
      </c>
    </row>
    <row r="322" spans="2:4" x14ac:dyDescent="0.2">
      <c r="B322" s="876">
        <v>344</v>
      </c>
      <c r="C322" s="876" t="s">
        <v>1305</v>
      </c>
      <c r="D322" s="851">
        <v>757.375</v>
      </c>
    </row>
    <row r="323" spans="2:4" x14ac:dyDescent="0.2">
      <c r="B323" s="876">
        <v>345</v>
      </c>
      <c r="C323" s="876" t="s">
        <v>1436</v>
      </c>
      <c r="D323" s="851">
        <v>742.47500600000001</v>
      </c>
    </row>
    <row r="324" spans="2:4" x14ac:dyDescent="0.2">
      <c r="B324" s="876">
        <v>346</v>
      </c>
      <c r="C324" s="876" t="s">
        <v>1437</v>
      </c>
      <c r="D324" s="851">
        <v>738.59999600000003</v>
      </c>
    </row>
    <row r="325" spans="2:4" x14ac:dyDescent="0.2">
      <c r="B325" s="876">
        <v>347</v>
      </c>
      <c r="C325" s="876" t="s">
        <v>1438</v>
      </c>
      <c r="D325" s="851">
        <v>754.40002400000003</v>
      </c>
    </row>
    <row r="326" spans="2:4" x14ac:dyDescent="0.2">
      <c r="B326" s="876">
        <v>348</v>
      </c>
      <c r="C326" s="876" t="s">
        <v>1439</v>
      </c>
      <c r="D326" s="851">
        <v>790.79998799999998</v>
      </c>
    </row>
    <row r="327" spans="2:4" x14ac:dyDescent="0.2">
      <c r="B327" s="876">
        <v>349</v>
      </c>
      <c r="C327" s="876" t="s">
        <v>1440</v>
      </c>
      <c r="D327" s="851">
        <v>726.41999499999997</v>
      </c>
    </row>
    <row r="328" spans="2:4" x14ac:dyDescent="0.2">
      <c r="B328" s="876">
        <v>350</v>
      </c>
      <c r="C328" s="876" t="s">
        <v>1441</v>
      </c>
      <c r="D328" s="851">
        <v>767.14000199999998</v>
      </c>
    </row>
    <row r="329" spans="2:4" x14ac:dyDescent="0.2">
      <c r="B329" s="876">
        <v>351</v>
      </c>
      <c r="C329" s="876" t="s">
        <v>1442</v>
      </c>
      <c r="D329" s="851">
        <v>777</v>
      </c>
    </row>
    <row r="330" spans="2:4" x14ac:dyDescent="0.2">
      <c r="B330" s="876">
        <v>352</v>
      </c>
      <c r="C330" s="876" t="s">
        <v>1443</v>
      </c>
      <c r="D330" s="851">
        <v>938.81539199999997</v>
      </c>
    </row>
    <row r="331" spans="2:4" x14ac:dyDescent="0.2">
      <c r="B331" s="876">
        <v>353</v>
      </c>
      <c r="C331" s="876" t="s">
        <v>1444</v>
      </c>
      <c r="D331" s="851">
        <v>727.16666699999996</v>
      </c>
    </row>
    <row r="332" spans="2:4" x14ac:dyDescent="0.2">
      <c r="B332" s="876">
        <v>354</v>
      </c>
      <c r="C332" s="876" t="s">
        <v>1445</v>
      </c>
      <c r="D332" s="851">
        <v>708.375</v>
      </c>
    </row>
    <row r="333" spans="2:4" x14ac:dyDescent="0.2">
      <c r="B333" s="876">
        <v>355</v>
      </c>
      <c r="C333" s="876" t="s">
        <v>1446</v>
      </c>
      <c r="D333" s="851">
        <v>699.75</v>
      </c>
    </row>
    <row r="334" spans="2:4" x14ac:dyDescent="0.2">
      <c r="B334" s="876">
        <v>356</v>
      </c>
      <c r="C334" s="876" t="s">
        <v>1447</v>
      </c>
      <c r="D334" s="851">
        <v>760.21111399999995</v>
      </c>
    </row>
    <row r="335" spans="2:4" x14ac:dyDescent="0.2">
      <c r="B335" s="876">
        <v>357</v>
      </c>
      <c r="C335" s="876" t="s">
        <v>1448</v>
      </c>
      <c r="D335" s="851">
        <v>802.35455300000001</v>
      </c>
    </row>
    <row r="336" spans="2:4" x14ac:dyDescent="0.2">
      <c r="B336" s="876">
        <v>358</v>
      </c>
      <c r="C336" s="876" t="s">
        <v>1449</v>
      </c>
      <c r="D336" s="851">
        <v>875.73333700000001</v>
      </c>
    </row>
    <row r="337" spans="2:4" x14ac:dyDescent="0.2">
      <c r="B337" s="876">
        <v>359</v>
      </c>
      <c r="C337" s="876" t="s">
        <v>1450</v>
      </c>
      <c r="D337" s="851">
        <v>939.67498799999998</v>
      </c>
    </row>
    <row r="338" spans="2:4" x14ac:dyDescent="0.2">
      <c r="B338" s="876">
        <v>360</v>
      </c>
      <c r="C338" s="876" t="s">
        <v>1451</v>
      </c>
      <c r="D338" s="851">
        <v>628.06427900000006</v>
      </c>
    </row>
    <row r="339" spans="2:4" x14ac:dyDescent="0.2">
      <c r="B339" s="876">
        <v>361</v>
      </c>
      <c r="C339" s="876" t="s">
        <v>1452</v>
      </c>
      <c r="D339" s="851">
        <v>614.67367999999999</v>
      </c>
    </row>
    <row r="340" spans="2:4" x14ac:dyDescent="0.2">
      <c r="B340" s="876">
        <v>362</v>
      </c>
      <c r="C340" s="876" t="s">
        <v>1453</v>
      </c>
      <c r="D340" s="851">
        <v>656.69231200000002</v>
      </c>
    </row>
    <row r="341" spans="2:4" x14ac:dyDescent="0.2">
      <c r="B341" s="876">
        <v>363</v>
      </c>
      <c r="C341" s="876" t="s">
        <v>1454</v>
      </c>
      <c r="D341" s="851">
        <v>687.20908999999995</v>
      </c>
    </row>
    <row r="342" spans="2:4" x14ac:dyDescent="0.2">
      <c r="B342" s="876">
        <v>364</v>
      </c>
      <c r="C342" s="876" t="s">
        <v>1455</v>
      </c>
      <c r="D342" s="851">
        <v>706.625</v>
      </c>
    </row>
    <row r="343" spans="2:4" x14ac:dyDescent="0.2">
      <c r="B343" s="876">
        <v>365</v>
      </c>
      <c r="C343" s="876" t="s">
        <v>1456</v>
      </c>
      <c r="D343" s="851">
        <v>917.42500099999995</v>
      </c>
    </row>
    <row r="344" spans="2:4" x14ac:dyDescent="0.2">
      <c r="B344" s="876">
        <v>366</v>
      </c>
      <c r="C344" s="876" t="s">
        <v>1457</v>
      </c>
      <c r="D344" s="851">
        <v>634.3125</v>
      </c>
    </row>
    <row r="345" spans="2:4" x14ac:dyDescent="0.2">
      <c r="B345" s="876">
        <v>367</v>
      </c>
      <c r="C345" s="876" t="s">
        <v>1458</v>
      </c>
      <c r="D345" s="851">
        <v>615.39090199999998</v>
      </c>
    </row>
    <row r="346" spans="2:4" x14ac:dyDescent="0.2">
      <c r="B346" s="876">
        <v>368</v>
      </c>
      <c r="C346" s="876" t="s">
        <v>372</v>
      </c>
      <c r="D346" s="851">
        <v>657.866669</v>
      </c>
    </row>
    <row r="347" spans="2:4" x14ac:dyDescent="0.2">
      <c r="B347" s="876">
        <v>369</v>
      </c>
      <c r="C347" s="876" t="s">
        <v>1459</v>
      </c>
      <c r="D347" s="851">
        <v>740.30000299999995</v>
      </c>
    </row>
    <row r="348" spans="2:4" x14ac:dyDescent="0.2">
      <c r="B348" s="876">
        <v>370</v>
      </c>
      <c r="C348" s="876" t="s">
        <v>1460</v>
      </c>
      <c r="D348" s="851">
        <v>746.95714499999997</v>
      </c>
    </row>
    <row r="349" spans="2:4" x14ac:dyDescent="0.2">
      <c r="B349" s="876">
        <v>371</v>
      </c>
      <c r="C349" s="876" t="s">
        <v>1461</v>
      </c>
      <c r="D349" s="851">
        <v>784.63999799999999</v>
      </c>
    </row>
    <row r="350" spans="2:4" x14ac:dyDescent="0.2">
      <c r="B350" s="876">
        <v>372</v>
      </c>
      <c r="C350" s="876" t="s">
        <v>1462</v>
      </c>
      <c r="D350" s="851">
        <v>776.18889000000001</v>
      </c>
    </row>
    <row r="351" spans="2:4" x14ac:dyDescent="0.2">
      <c r="B351" s="876">
        <v>373</v>
      </c>
      <c r="C351" s="876" t="s">
        <v>1463</v>
      </c>
      <c r="D351" s="851">
        <v>876.63000799999998</v>
      </c>
    </row>
    <row r="352" spans="2:4" x14ac:dyDescent="0.2">
      <c r="B352" s="876">
        <v>374</v>
      </c>
      <c r="C352" s="876" t="s">
        <v>1464</v>
      </c>
      <c r="D352" s="851">
        <v>883.18332899999996</v>
      </c>
    </row>
    <row r="353" spans="2:4" x14ac:dyDescent="0.2">
      <c r="B353" s="876">
        <v>375</v>
      </c>
      <c r="C353" s="876" t="s">
        <v>1465</v>
      </c>
      <c r="D353" s="851">
        <v>678.42000700000006</v>
      </c>
    </row>
    <row r="354" spans="2:4" x14ac:dyDescent="0.2">
      <c r="B354" s="876">
        <v>376</v>
      </c>
      <c r="C354" s="876" t="s">
        <v>1466</v>
      </c>
      <c r="D354" s="851">
        <v>743.29998799999998</v>
      </c>
    </row>
    <row r="355" spans="2:4" x14ac:dyDescent="0.2">
      <c r="B355" s="876">
        <v>377</v>
      </c>
      <c r="C355" s="876" t="s">
        <v>1467</v>
      </c>
      <c r="D355" s="851">
        <v>757.03334600000005</v>
      </c>
    </row>
    <row r="356" spans="2:4" x14ac:dyDescent="0.2">
      <c r="B356" s="876">
        <v>378</v>
      </c>
      <c r="C356" s="876" t="s">
        <v>1468</v>
      </c>
      <c r="D356" s="851">
        <v>827.90002400000003</v>
      </c>
    </row>
    <row r="357" spans="2:4" x14ac:dyDescent="0.2">
      <c r="B357" s="876">
        <v>379</v>
      </c>
      <c r="C357" s="876" t="s">
        <v>1469</v>
      </c>
      <c r="D357" s="851">
        <v>738.44000200000005</v>
      </c>
    </row>
    <row r="358" spans="2:4" x14ac:dyDescent="0.2">
      <c r="B358" s="876">
        <v>380</v>
      </c>
      <c r="C358" s="876" t="s">
        <v>1470</v>
      </c>
      <c r="D358" s="851">
        <v>788.58572000000004</v>
      </c>
    </row>
    <row r="359" spans="2:4" x14ac:dyDescent="0.2">
      <c r="B359" s="876">
        <v>381</v>
      </c>
      <c r="C359" s="876" t="s">
        <v>1471</v>
      </c>
      <c r="D359" s="851">
        <v>902.59411999999998</v>
      </c>
    </row>
    <row r="360" spans="2:4" x14ac:dyDescent="0.2">
      <c r="B360" s="876">
        <v>382</v>
      </c>
      <c r="C360" s="876" t="s">
        <v>1472</v>
      </c>
      <c r="D360" s="851">
        <v>613.75184899999999</v>
      </c>
    </row>
    <row r="361" spans="2:4" x14ac:dyDescent="0.2">
      <c r="B361" s="876">
        <v>383</v>
      </c>
      <c r="C361" s="876" t="s">
        <v>1473</v>
      </c>
      <c r="D361" s="851">
        <v>610.78749100000005</v>
      </c>
    </row>
    <row r="362" spans="2:4" x14ac:dyDescent="0.2">
      <c r="B362" s="876">
        <v>384</v>
      </c>
      <c r="C362" s="876" t="s">
        <v>1474</v>
      </c>
      <c r="D362" s="851">
        <v>857.94001500000002</v>
      </c>
    </row>
    <row r="363" spans="2:4" x14ac:dyDescent="0.2">
      <c r="B363" s="876">
        <v>385</v>
      </c>
      <c r="C363" s="876" t="s">
        <v>1475</v>
      </c>
      <c r="D363" s="851">
        <v>869.40002400000003</v>
      </c>
    </row>
    <row r="364" spans="2:4" x14ac:dyDescent="0.2">
      <c r="B364" s="876">
        <v>386</v>
      </c>
      <c r="C364" s="876" t="s">
        <v>1476</v>
      </c>
      <c r="D364" s="851">
        <v>632.55713800000001</v>
      </c>
    </row>
    <row r="365" spans="2:4" x14ac:dyDescent="0.2">
      <c r="B365" s="876">
        <v>387</v>
      </c>
      <c r="C365" s="876" t="s">
        <v>1477</v>
      </c>
      <c r="D365" s="851">
        <v>846.44545700000003</v>
      </c>
    </row>
    <row r="366" spans="2:4" x14ac:dyDescent="0.2">
      <c r="B366" s="876">
        <v>388</v>
      </c>
      <c r="C366" s="876" t="s">
        <v>1478</v>
      </c>
      <c r="D366" s="851">
        <v>878.99512300000004</v>
      </c>
    </row>
    <row r="367" spans="2:4" x14ac:dyDescent="0.2">
      <c r="B367" s="876">
        <v>389</v>
      </c>
      <c r="C367" s="876" t="s">
        <v>1479</v>
      </c>
      <c r="D367" s="851">
        <v>660.259998</v>
      </c>
    </row>
    <row r="368" spans="2:4" x14ac:dyDescent="0.2">
      <c r="B368" s="876">
        <v>390</v>
      </c>
      <c r="C368" s="876" t="s">
        <v>1480</v>
      </c>
      <c r="D368" s="851">
        <v>806.12500399999999</v>
      </c>
    </row>
    <row r="369" spans="2:4" x14ac:dyDescent="0.2">
      <c r="B369" s="876">
        <v>391</v>
      </c>
      <c r="C369" s="876" t="s">
        <v>1481</v>
      </c>
      <c r="D369" s="851">
        <v>765.61000999999999</v>
      </c>
    </row>
    <row r="370" spans="2:4" x14ac:dyDescent="0.2">
      <c r="B370" s="876">
        <v>392</v>
      </c>
      <c r="C370" s="876" t="s">
        <v>1482</v>
      </c>
      <c r="D370" s="851">
        <v>765.10000300000002</v>
      </c>
    </row>
    <row r="371" spans="2:4" x14ac:dyDescent="0.2">
      <c r="B371" s="876">
        <v>393</v>
      </c>
      <c r="C371" s="876" t="s">
        <v>1483</v>
      </c>
      <c r="D371" s="851">
        <v>837.87499500000001</v>
      </c>
    </row>
    <row r="372" spans="2:4" x14ac:dyDescent="0.2">
      <c r="B372" s="876">
        <v>401</v>
      </c>
      <c r="C372" s="876" t="s">
        <v>1484</v>
      </c>
      <c r="D372" s="851">
        <v>618.98235699999998</v>
      </c>
    </row>
    <row r="373" spans="2:4" x14ac:dyDescent="0.2">
      <c r="B373" s="876">
        <v>402</v>
      </c>
      <c r="C373" s="876" t="s">
        <v>1485</v>
      </c>
      <c r="D373" s="851">
        <v>618.31000400000005</v>
      </c>
    </row>
    <row r="374" spans="2:4" x14ac:dyDescent="0.2">
      <c r="B374" s="876">
        <v>403</v>
      </c>
      <c r="C374" s="876" t="s">
        <v>1486</v>
      </c>
      <c r="D374" s="851">
        <v>755.65714800000001</v>
      </c>
    </row>
    <row r="375" spans="2:4" x14ac:dyDescent="0.2">
      <c r="B375" s="876">
        <v>404</v>
      </c>
      <c r="C375" s="876" t="s">
        <v>1487</v>
      </c>
      <c r="D375" s="851">
        <v>693.86665900000003</v>
      </c>
    </row>
    <row r="376" spans="2:4" x14ac:dyDescent="0.2">
      <c r="B376" s="876">
        <v>405</v>
      </c>
      <c r="C376" s="876" t="s">
        <v>1488</v>
      </c>
      <c r="D376" s="851">
        <v>733.64000199999998</v>
      </c>
    </row>
    <row r="377" spans="2:4" x14ac:dyDescent="0.2">
      <c r="B377" s="876">
        <v>406</v>
      </c>
      <c r="C377" s="876" t="s">
        <v>1489</v>
      </c>
      <c r="D377" s="851">
        <v>866.55999799999995</v>
      </c>
    </row>
    <row r="378" spans="2:4" x14ac:dyDescent="0.2">
      <c r="B378" s="876">
        <v>407</v>
      </c>
      <c r="C378" s="876" t="s">
        <v>1490</v>
      </c>
      <c r="D378" s="851">
        <v>643.04998799999998</v>
      </c>
    </row>
    <row r="379" spans="2:4" x14ac:dyDescent="0.2">
      <c r="B379" s="876">
        <v>408</v>
      </c>
      <c r="C379" s="876" t="s">
        <v>1491</v>
      </c>
      <c r="D379" s="851">
        <v>809.96667500000001</v>
      </c>
    </row>
    <row r="380" spans="2:4" x14ac:dyDescent="0.2">
      <c r="B380" s="876">
        <v>409</v>
      </c>
      <c r="C380" s="876" t="s">
        <v>1492</v>
      </c>
      <c r="D380" s="851">
        <v>666.72500600000001</v>
      </c>
    </row>
    <row r="381" spans="2:4" x14ac:dyDescent="0.2">
      <c r="B381" s="876">
        <v>410</v>
      </c>
      <c r="C381" s="876" t="s">
        <v>1493</v>
      </c>
      <c r="D381" s="851">
        <v>636.76363900000001</v>
      </c>
    </row>
    <row r="382" spans="2:4" x14ac:dyDescent="0.2">
      <c r="B382" s="876">
        <v>411</v>
      </c>
      <c r="C382" s="876" t="s">
        <v>1135</v>
      </c>
      <c r="D382" s="851">
        <v>712.90000399999997</v>
      </c>
    </row>
    <row r="383" spans="2:4" x14ac:dyDescent="0.2">
      <c r="B383" s="876">
        <v>412</v>
      </c>
      <c r="C383" s="876" t="s">
        <v>1311</v>
      </c>
      <c r="D383" s="851">
        <v>759.92000700000006</v>
      </c>
    </row>
    <row r="384" spans="2:4" x14ac:dyDescent="0.2">
      <c r="B384" s="876">
        <v>413</v>
      </c>
      <c r="C384" s="876" t="s">
        <v>1494</v>
      </c>
      <c r="D384" s="851">
        <v>687.38889600000005</v>
      </c>
    </row>
    <row r="385" spans="2:4" x14ac:dyDescent="0.2">
      <c r="B385" s="876">
        <v>414</v>
      </c>
      <c r="C385" s="876" t="s">
        <v>1495</v>
      </c>
      <c r="D385" s="851">
        <v>723.6875</v>
      </c>
    </row>
    <row r="386" spans="2:4" x14ac:dyDescent="0.2">
      <c r="B386" s="876">
        <v>415</v>
      </c>
      <c r="C386" s="876" t="s">
        <v>1496</v>
      </c>
      <c r="D386" s="851">
        <v>717.222219</v>
      </c>
    </row>
    <row r="387" spans="2:4" x14ac:dyDescent="0.2">
      <c r="B387" s="876">
        <v>416</v>
      </c>
      <c r="C387" s="876" t="s">
        <v>1497</v>
      </c>
      <c r="D387" s="851">
        <v>652.81428700000004</v>
      </c>
    </row>
    <row r="388" spans="2:4" x14ac:dyDescent="0.2">
      <c r="B388" s="876">
        <v>417</v>
      </c>
      <c r="C388" s="876" t="s">
        <v>1498</v>
      </c>
      <c r="D388" s="851">
        <v>699.07141999999999</v>
      </c>
    </row>
    <row r="389" spans="2:4" x14ac:dyDescent="0.2">
      <c r="B389" s="876">
        <v>418</v>
      </c>
      <c r="C389" s="876" t="s">
        <v>1499</v>
      </c>
      <c r="D389" s="851">
        <v>743.26666299999999</v>
      </c>
    </row>
    <row r="390" spans="2:4" x14ac:dyDescent="0.2">
      <c r="B390" s="876">
        <v>419</v>
      </c>
      <c r="C390" s="876" t="s">
        <v>1500</v>
      </c>
      <c r="D390" s="851">
        <v>726.44000200000005</v>
      </c>
    </row>
    <row r="391" spans="2:4" x14ac:dyDescent="0.2">
      <c r="B391" s="876">
        <v>420</v>
      </c>
      <c r="C391" s="876" t="s">
        <v>1501</v>
      </c>
      <c r="D391" s="851">
        <v>642.36251100000004</v>
      </c>
    </row>
    <row r="392" spans="2:4" x14ac:dyDescent="0.2">
      <c r="B392" s="876">
        <v>421</v>
      </c>
      <c r="C392" s="876" t="s">
        <v>1502</v>
      </c>
      <c r="D392" s="851">
        <v>664.68000500000005</v>
      </c>
    </row>
    <row r="393" spans="2:4" x14ac:dyDescent="0.2">
      <c r="B393" s="876">
        <v>422</v>
      </c>
      <c r="C393" s="876" t="s">
        <v>1503</v>
      </c>
      <c r="D393" s="851">
        <v>657.16249800000003</v>
      </c>
    </row>
    <row r="394" spans="2:4" x14ac:dyDescent="0.2">
      <c r="B394" s="876">
        <v>423</v>
      </c>
      <c r="C394" s="876" t="s">
        <v>1504</v>
      </c>
      <c r="D394" s="851">
        <v>674.55000299999995</v>
      </c>
    </row>
    <row r="395" spans="2:4" x14ac:dyDescent="0.2">
      <c r="B395" s="876">
        <v>424</v>
      </c>
      <c r="C395" s="876" t="s">
        <v>1505</v>
      </c>
      <c r="D395" s="851">
        <v>679.02000699999996</v>
      </c>
    </row>
    <row r="396" spans="2:4" x14ac:dyDescent="0.2">
      <c r="B396" s="876">
        <v>425</v>
      </c>
      <c r="C396" s="876" t="s">
        <v>1506</v>
      </c>
      <c r="D396" s="851">
        <v>789.54999799999996</v>
      </c>
    </row>
    <row r="397" spans="2:4" x14ac:dyDescent="0.2">
      <c r="B397" s="876">
        <v>426</v>
      </c>
      <c r="C397" s="876" t="s">
        <v>1507</v>
      </c>
      <c r="D397" s="851">
        <v>827.72307599999999</v>
      </c>
    </row>
    <row r="398" spans="2:4" x14ac:dyDescent="0.2">
      <c r="B398" s="876">
        <v>427</v>
      </c>
      <c r="C398" s="876" t="s">
        <v>1508</v>
      </c>
      <c r="D398" s="851">
        <v>724.89523799999995</v>
      </c>
    </row>
    <row r="399" spans="2:4" x14ac:dyDescent="0.2">
      <c r="B399" s="876">
        <v>428</v>
      </c>
      <c r="C399" s="876" t="s">
        <v>1509</v>
      </c>
      <c r="D399" s="851">
        <v>768.19998199999998</v>
      </c>
    </row>
    <row r="400" spans="2:4" x14ac:dyDescent="0.2">
      <c r="B400" s="876">
        <v>429</v>
      </c>
      <c r="C400" s="876" t="s">
        <v>1510</v>
      </c>
      <c r="D400" s="851">
        <v>775.05001800000002</v>
      </c>
    </row>
    <row r="401" spans="2:4" x14ac:dyDescent="0.2">
      <c r="B401" s="876">
        <v>430</v>
      </c>
      <c r="C401" s="876" t="s">
        <v>1511</v>
      </c>
      <c r="D401" s="851">
        <v>754.97143600000004</v>
      </c>
    </row>
    <row r="402" spans="2:4" x14ac:dyDescent="0.2">
      <c r="B402" s="876">
        <v>431</v>
      </c>
      <c r="C402" s="876" t="s">
        <v>1512</v>
      </c>
      <c r="D402" s="851">
        <v>678.44443799999999</v>
      </c>
    </row>
    <row r="403" spans="2:4" x14ac:dyDescent="0.2">
      <c r="B403" s="876">
        <v>432</v>
      </c>
      <c r="C403" s="876" t="s">
        <v>1513</v>
      </c>
      <c r="D403" s="851">
        <v>633.76668299999994</v>
      </c>
    </row>
    <row r="404" spans="2:4" x14ac:dyDescent="0.2">
      <c r="B404" s="876">
        <v>433</v>
      </c>
      <c r="C404" s="876" t="s">
        <v>1514</v>
      </c>
      <c r="D404" s="851">
        <v>673.22500600000001</v>
      </c>
    </row>
    <row r="405" spans="2:4" x14ac:dyDescent="0.2">
      <c r="B405" s="876">
        <v>434</v>
      </c>
      <c r="C405" s="876" t="s">
        <v>1515</v>
      </c>
      <c r="D405" s="851">
        <v>698.25</v>
      </c>
    </row>
    <row r="406" spans="2:4" x14ac:dyDescent="0.2">
      <c r="B406" s="876">
        <v>435</v>
      </c>
      <c r="C406" s="876" t="s">
        <v>1516</v>
      </c>
      <c r="D406" s="851">
        <v>673.04000199999996</v>
      </c>
    </row>
    <row r="407" spans="2:4" x14ac:dyDescent="0.2">
      <c r="B407" s="876">
        <v>436</v>
      </c>
      <c r="C407" s="876" t="s">
        <v>1517</v>
      </c>
      <c r="D407" s="851">
        <v>696.15263300000004</v>
      </c>
    </row>
    <row r="408" spans="2:4" x14ac:dyDescent="0.2">
      <c r="B408" s="876">
        <v>437</v>
      </c>
      <c r="C408" s="876" t="s">
        <v>1518</v>
      </c>
      <c r="D408" s="851">
        <v>708.52999299999999</v>
      </c>
    </row>
    <row r="409" spans="2:4" x14ac:dyDescent="0.2">
      <c r="B409" s="876">
        <v>439</v>
      </c>
      <c r="C409" s="876" t="s">
        <v>1519</v>
      </c>
      <c r="D409" s="851">
        <v>713.009094</v>
      </c>
    </row>
    <row r="410" spans="2:4" x14ac:dyDescent="0.2">
      <c r="B410" s="876">
        <v>440</v>
      </c>
      <c r="C410" s="876" t="s">
        <v>1520</v>
      </c>
      <c r="D410" s="851">
        <v>733.20000200000004</v>
      </c>
    </row>
    <row r="411" spans="2:4" x14ac:dyDescent="0.2">
      <c r="B411" s="876">
        <v>441</v>
      </c>
      <c r="C411" s="876" t="s">
        <v>1521</v>
      </c>
      <c r="D411" s="851">
        <v>734.53998999999999</v>
      </c>
    </row>
    <row r="412" spans="2:4" x14ac:dyDescent="0.2">
      <c r="B412" s="876">
        <v>442</v>
      </c>
      <c r="C412" s="876" t="s">
        <v>1522</v>
      </c>
      <c r="D412" s="851">
        <v>773.27499399999999</v>
      </c>
    </row>
    <row r="413" spans="2:4" x14ac:dyDescent="0.2">
      <c r="B413" s="876">
        <v>443</v>
      </c>
      <c r="C413" s="876" t="s">
        <v>1523</v>
      </c>
      <c r="D413" s="851">
        <v>665.96667500000001</v>
      </c>
    </row>
    <row r="414" spans="2:4" x14ac:dyDescent="0.2">
      <c r="B414" s="876">
        <v>444</v>
      </c>
      <c r="C414" s="876" t="s">
        <v>1524</v>
      </c>
      <c r="D414" s="851">
        <v>635.97778300000004</v>
      </c>
    </row>
    <row r="415" spans="2:4" x14ac:dyDescent="0.2">
      <c r="B415" s="876">
        <v>445</v>
      </c>
      <c r="C415" s="876" t="s">
        <v>1525</v>
      </c>
      <c r="D415" s="851">
        <v>658.27778499999999</v>
      </c>
    </row>
    <row r="416" spans="2:4" x14ac:dyDescent="0.2">
      <c r="B416" s="876">
        <v>446</v>
      </c>
      <c r="C416" s="876" t="s">
        <v>1526</v>
      </c>
      <c r="D416" s="851">
        <v>627.26000399999998</v>
      </c>
    </row>
    <row r="417" spans="2:4" x14ac:dyDescent="0.2">
      <c r="B417" s="876">
        <v>447</v>
      </c>
      <c r="C417" s="876" t="s">
        <v>1527</v>
      </c>
      <c r="D417" s="851">
        <v>669.10000100000002</v>
      </c>
    </row>
    <row r="418" spans="2:4" x14ac:dyDescent="0.2">
      <c r="B418" s="876">
        <v>448</v>
      </c>
      <c r="C418" s="876" t="s">
        <v>1528</v>
      </c>
      <c r="D418" s="851">
        <v>712.41333399999996</v>
      </c>
    </row>
    <row r="419" spans="2:4" x14ac:dyDescent="0.2">
      <c r="B419" s="876">
        <v>449</v>
      </c>
      <c r="C419" s="876" t="s">
        <v>1529</v>
      </c>
      <c r="D419" s="851">
        <v>659.740002</v>
      </c>
    </row>
    <row r="420" spans="2:4" x14ac:dyDescent="0.2">
      <c r="B420" s="876">
        <v>450</v>
      </c>
      <c r="C420" s="876" t="s">
        <v>1530</v>
      </c>
      <c r="D420" s="851">
        <v>671.46666800000003</v>
      </c>
    </row>
    <row r="421" spans="2:4" x14ac:dyDescent="0.2">
      <c r="B421" s="876">
        <v>451</v>
      </c>
      <c r="C421" s="876" t="s">
        <v>1531</v>
      </c>
      <c r="D421" s="851">
        <v>732.57777899999996</v>
      </c>
    </row>
    <row r="422" spans="2:4" x14ac:dyDescent="0.2">
      <c r="B422" s="876">
        <v>452</v>
      </c>
      <c r="C422" s="876" t="s">
        <v>1532</v>
      </c>
      <c r="D422" s="851">
        <v>641.52104699999995</v>
      </c>
    </row>
    <row r="423" spans="2:4" x14ac:dyDescent="0.2">
      <c r="B423" s="876">
        <v>453</v>
      </c>
      <c r="C423" s="876" t="s">
        <v>1533</v>
      </c>
      <c r="D423" s="851">
        <v>702.03334600000005</v>
      </c>
    </row>
    <row r="424" spans="2:4" x14ac:dyDescent="0.2">
      <c r="B424" s="876">
        <v>454</v>
      </c>
      <c r="C424" s="876" t="s">
        <v>1534</v>
      </c>
      <c r="D424" s="851">
        <v>804.19999199999995</v>
      </c>
    </row>
    <row r="425" spans="2:4" x14ac:dyDescent="0.2">
      <c r="B425" s="876">
        <v>455</v>
      </c>
      <c r="C425" s="876" t="s">
        <v>1535</v>
      </c>
      <c r="D425" s="851">
        <v>692.5</v>
      </c>
    </row>
    <row r="426" spans="2:4" x14ac:dyDescent="0.2">
      <c r="B426" s="876">
        <v>456</v>
      </c>
      <c r="C426" s="876" t="s">
        <v>382</v>
      </c>
      <c r="D426" s="851">
        <v>711.76666599999999</v>
      </c>
    </row>
    <row r="427" spans="2:4" x14ac:dyDescent="0.2">
      <c r="B427" s="876">
        <v>457</v>
      </c>
      <c r="C427" s="876" t="s">
        <v>1536</v>
      </c>
      <c r="D427" s="851">
        <v>627.25000599999998</v>
      </c>
    </row>
    <row r="428" spans="2:4" x14ac:dyDescent="0.2">
      <c r="B428" s="876">
        <v>458</v>
      </c>
      <c r="C428" s="876" t="s">
        <v>1537</v>
      </c>
      <c r="D428" s="851">
        <v>675.16666699999996</v>
      </c>
    </row>
    <row r="429" spans="2:4" x14ac:dyDescent="0.2">
      <c r="B429" s="876">
        <v>459</v>
      </c>
      <c r="C429" s="876" t="s">
        <v>1538</v>
      </c>
      <c r="D429" s="851">
        <v>675.69999499999994</v>
      </c>
    </row>
    <row r="430" spans="2:4" x14ac:dyDescent="0.2">
      <c r="B430" s="876">
        <v>460</v>
      </c>
      <c r="C430" s="876" t="s">
        <v>1539</v>
      </c>
      <c r="D430" s="851">
        <v>635.55000299999995</v>
      </c>
    </row>
    <row r="431" spans="2:4" x14ac:dyDescent="0.2">
      <c r="B431" s="876">
        <v>461</v>
      </c>
      <c r="C431" s="876" t="s">
        <v>1540</v>
      </c>
      <c r="D431" s="851">
        <v>748.84999600000003</v>
      </c>
    </row>
    <row r="432" spans="2:4" x14ac:dyDescent="0.2">
      <c r="B432" s="876">
        <v>462</v>
      </c>
      <c r="C432" s="876" t="s">
        <v>1541</v>
      </c>
      <c r="D432" s="851">
        <v>751.64545199999998</v>
      </c>
    </row>
    <row r="433" spans="2:4" x14ac:dyDescent="0.2">
      <c r="B433" s="876">
        <v>463</v>
      </c>
      <c r="C433" s="876" t="s">
        <v>1542</v>
      </c>
      <c r="D433" s="851">
        <v>663.76000399999998</v>
      </c>
    </row>
    <row r="434" spans="2:4" x14ac:dyDescent="0.2">
      <c r="B434" s="876">
        <v>464</v>
      </c>
      <c r="C434" s="876" t="s">
        <v>1543</v>
      </c>
      <c r="D434" s="851">
        <v>751.36363600000004</v>
      </c>
    </row>
    <row r="435" spans="2:4" x14ac:dyDescent="0.2">
      <c r="B435" s="876">
        <v>465</v>
      </c>
      <c r="C435" s="876" t="s">
        <v>1544</v>
      </c>
      <c r="D435" s="851">
        <v>683.95714499999997</v>
      </c>
    </row>
    <row r="436" spans="2:4" x14ac:dyDescent="0.2">
      <c r="B436" s="876">
        <v>466</v>
      </c>
      <c r="C436" s="876" t="s">
        <v>1545</v>
      </c>
      <c r="D436" s="851">
        <v>674.4</v>
      </c>
    </row>
    <row r="437" spans="2:4" x14ac:dyDescent="0.2">
      <c r="B437" s="876">
        <v>467</v>
      </c>
      <c r="C437" s="876" t="s">
        <v>1546</v>
      </c>
      <c r="D437" s="851">
        <v>886.43332899999996</v>
      </c>
    </row>
    <row r="438" spans="2:4" x14ac:dyDescent="0.2">
      <c r="B438" s="876">
        <v>468</v>
      </c>
      <c r="C438" s="876" t="s">
        <v>1547</v>
      </c>
      <c r="D438" s="851">
        <v>777.30000199999995</v>
      </c>
    </row>
    <row r="439" spans="2:4" x14ac:dyDescent="0.2">
      <c r="B439" s="876">
        <v>469</v>
      </c>
      <c r="C439" s="876" t="s">
        <v>1548</v>
      </c>
      <c r="D439" s="851">
        <v>668.28332999999998</v>
      </c>
    </row>
    <row r="440" spans="2:4" x14ac:dyDescent="0.2">
      <c r="B440" s="876">
        <v>470</v>
      </c>
      <c r="C440" s="876" t="s">
        <v>1549</v>
      </c>
      <c r="D440" s="851">
        <v>707.74443900000006</v>
      </c>
    </row>
    <row r="441" spans="2:4" x14ac:dyDescent="0.2">
      <c r="B441" s="876">
        <v>471</v>
      </c>
      <c r="C441" s="876" t="s">
        <v>1550</v>
      </c>
      <c r="D441" s="851">
        <v>651.47997999999995</v>
      </c>
    </row>
    <row r="442" spans="2:4" x14ac:dyDescent="0.2">
      <c r="B442" s="876">
        <v>472</v>
      </c>
      <c r="C442" s="876" t="s">
        <v>1551</v>
      </c>
      <c r="D442" s="851">
        <v>658.77778499999999</v>
      </c>
    </row>
    <row r="443" spans="2:4" x14ac:dyDescent="0.2">
      <c r="B443" s="876">
        <v>473</v>
      </c>
      <c r="C443" s="876" t="s">
        <v>1552</v>
      </c>
      <c r="D443" s="851">
        <v>689.74284999999998</v>
      </c>
    </row>
    <row r="444" spans="2:4" x14ac:dyDescent="0.2">
      <c r="B444" s="876">
        <v>474</v>
      </c>
      <c r="C444" s="876" t="s">
        <v>1553</v>
      </c>
      <c r="D444" s="851">
        <v>802.12963200000002</v>
      </c>
    </row>
    <row r="445" spans="2:4" x14ac:dyDescent="0.2">
      <c r="B445" s="876">
        <v>475</v>
      </c>
      <c r="C445" s="876" t="s">
        <v>1554</v>
      </c>
      <c r="D445" s="851">
        <v>713.19999299999995</v>
      </c>
    </row>
    <row r="446" spans="2:4" x14ac:dyDescent="0.2">
      <c r="B446" s="876">
        <v>476</v>
      </c>
      <c r="C446" s="876" t="s">
        <v>1555</v>
      </c>
      <c r="D446" s="851">
        <v>766.26248899999996</v>
      </c>
    </row>
    <row r="447" spans="2:4" x14ac:dyDescent="0.2">
      <c r="B447" s="876">
        <v>477</v>
      </c>
      <c r="C447" s="876" t="s">
        <v>1556</v>
      </c>
      <c r="D447" s="851">
        <v>760.21334200000001</v>
      </c>
    </row>
    <row r="448" spans="2:4" x14ac:dyDescent="0.2">
      <c r="B448" s="876">
        <v>478</v>
      </c>
      <c r="C448" s="876" t="s">
        <v>1557</v>
      </c>
      <c r="D448" s="851">
        <v>798.46666500000003</v>
      </c>
    </row>
    <row r="449" spans="2:4" x14ac:dyDescent="0.2">
      <c r="B449" s="876">
        <v>479</v>
      </c>
      <c r="C449" s="876" t="s">
        <v>1558</v>
      </c>
      <c r="D449" s="851">
        <v>688.95001200000002</v>
      </c>
    </row>
    <row r="450" spans="2:4" x14ac:dyDescent="0.2">
      <c r="B450" s="876">
        <v>480</v>
      </c>
      <c r="C450" s="876" t="s">
        <v>1559</v>
      </c>
      <c r="D450" s="851">
        <v>759.39998400000002</v>
      </c>
    </row>
    <row r="451" spans="2:4" x14ac:dyDescent="0.2">
      <c r="B451" s="876">
        <v>501</v>
      </c>
      <c r="C451" s="876" t="s">
        <v>1560</v>
      </c>
      <c r="D451" s="851">
        <v>847.92400399999997</v>
      </c>
    </row>
    <row r="452" spans="2:4" x14ac:dyDescent="0.2">
      <c r="B452" s="876">
        <v>502</v>
      </c>
      <c r="C452" s="876" t="s">
        <v>1561</v>
      </c>
      <c r="D452" s="851">
        <v>693.60908600000005</v>
      </c>
    </row>
    <row r="453" spans="2:4" x14ac:dyDescent="0.2">
      <c r="B453" s="876">
        <v>503</v>
      </c>
      <c r="C453" s="876" t="s">
        <v>1562</v>
      </c>
      <c r="D453" s="851">
        <v>778.04583000000002</v>
      </c>
    </row>
    <row r="454" spans="2:4" x14ac:dyDescent="0.2">
      <c r="B454" s="876">
        <v>504</v>
      </c>
      <c r="C454" s="876" t="s">
        <v>1563</v>
      </c>
      <c r="D454" s="851">
        <v>700.10714700000005</v>
      </c>
    </row>
    <row r="455" spans="2:4" x14ac:dyDescent="0.2">
      <c r="B455" s="876">
        <v>505</v>
      </c>
      <c r="C455" s="876" t="s">
        <v>1564</v>
      </c>
      <c r="D455" s="851">
        <v>755.736356</v>
      </c>
    </row>
    <row r="456" spans="2:4" x14ac:dyDescent="0.2">
      <c r="B456" s="876">
        <v>506</v>
      </c>
      <c r="C456" s="876" t="s">
        <v>1565</v>
      </c>
      <c r="D456" s="851">
        <v>804.95769299999995</v>
      </c>
    </row>
    <row r="457" spans="2:4" x14ac:dyDescent="0.2">
      <c r="B457" s="876">
        <v>507</v>
      </c>
      <c r="C457" s="876" t="s">
        <v>1566</v>
      </c>
      <c r="D457" s="851">
        <v>746.07692399999996</v>
      </c>
    </row>
    <row r="458" spans="2:4" x14ac:dyDescent="0.2">
      <c r="B458" s="876">
        <v>508</v>
      </c>
      <c r="C458" s="876" t="s">
        <v>1567</v>
      </c>
      <c r="D458" s="851">
        <v>906.52220999999997</v>
      </c>
    </row>
    <row r="459" spans="2:4" x14ac:dyDescent="0.2">
      <c r="B459" s="876">
        <v>509</v>
      </c>
      <c r="C459" s="876" t="s">
        <v>1568</v>
      </c>
      <c r="D459" s="851">
        <v>906.79998799999998</v>
      </c>
    </row>
    <row r="460" spans="2:4" x14ac:dyDescent="0.2">
      <c r="B460" s="876">
        <v>510</v>
      </c>
      <c r="C460" s="876" t="s">
        <v>1569</v>
      </c>
      <c r="D460" s="851">
        <v>734.06154200000003</v>
      </c>
    </row>
    <row r="461" spans="2:4" x14ac:dyDescent="0.2">
      <c r="B461" s="876">
        <v>511</v>
      </c>
      <c r="C461" s="876" t="s">
        <v>1570</v>
      </c>
      <c r="D461" s="851">
        <v>700.08571099999995</v>
      </c>
    </row>
    <row r="462" spans="2:4" x14ac:dyDescent="0.2">
      <c r="B462" s="876">
        <v>512</v>
      </c>
      <c r="C462" s="876" t="s">
        <v>1571</v>
      </c>
      <c r="D462" s="851">
        <v>682.98749499999997</v>
      </c>
    </row>
    <row r="463" spans="2:4" x14ac:dyDescent="0.2">
      <c r="B463" s="876">
        <v>513</v>
      </c>
      <c r="C463" s="876" t="s">
        <v>1572</v>
      </c>
      <c r="D463" s="851">
        <v>648.99998800000003</v>
      </c>
    </row>
    <row r="464" spans="2:4" x14ac:dyDescent="0.2">
      <c r="B464" s="876">
        <v>514</v>
      </c>
      <c r="C464" s="876" t="s">
        <v>1573</v>
      </c>
      <c r="D464" s="851">
        <v>660.05908999999997</v>
      </c>
    </row>
    <row r="465" spans="2:4" x14ac:dyDescent="0.2">
      <c r="B465" s="876">
        <v>515</v>
      </c>
      <c r="C465" s="876" t="s">
        <v>1574</v>
      </c>
      <c r="D465" s="851">
        <v>621.58332299999995</v>
      </c>
    </row>
    <row r="466" spans="2:4" x14ac:dyDescent="0.2">
      <c r="B466" s="876">
        <v>516</v>
      </c>
      <c r="C466" s="876" t="s">
        <v>1575</v>
      </c>
      <c r="D466" s="851">
        <v>627.21666500000003</v>
      </c>
    </row>
    <row r="467" spans="2:4" x14ac:dyDescent="0.2">
      <c r="B467" s="876">
        <v>517</v>
      </c>
      <c r="C467" s="876" t="s">
        <v>1576</v>
      </c>
      <c r="D467" s="851">
        <v>684.14000199999998</v>
      </c>
    </row>
    <row r="468" spans="2:4" x14ac:dyDescent="0.2">
      <c r="B468" s="876">
        <v>518</v>
      </c>
      <c r="C468" s="876" t="s">
        <v>1577</v>
      </c>
      <c r="D468" s="851">
        <v>663.19999199999995</v>
      </c>
    </row>
    <row r="469" spans="2:4" x14ac:dyDescent="0.2">
      <c r="B469" s="876">
        <v>519</v>
      </c>
      <c r="C469" s="876" t="s">
        <v>1578</v>
      </c>
      <c r="D469" s="851">
        <v>669.36363100000005</v>
      </c>
    </row>
    <row r="470" spans="2:4" x14ac:dyDescent="0.2">
      <c r="B470" s="876">
        <v>520</v>
      </c>
      <c r="C470" s="876" t="s">
        <v>1579</v>
      </c>
      <c r="D470" s="851">
        <v>659.88570700000002</v>
      </c>
    </row>
    <row r="471" spans="2:4" x14ac:dyDescent="0.2">
      <c r="B471" s="876">
        <v>521</v>
      </c>
      <c r="C471" s="876" t="s">
        <v>1580</v>
      </c>
      <c r="D471" s="851">
        <v>925.52499399999999</v>
      </c>
    </row>
    <row r="472" spans="2:4" x14ac:dyDescent="0.2">
      <c r="B472" s="876">
        <v>522</v>
      </c>
      <c r="C472" s="876" t="s">
        <v>1581</v>
      </c>
      <c r="D472" s="851">
        <v>907.08000100000004</v>
      </c>
    </row>
    <row r="473" spans="2:4" x14ac:dyDescent="0.2">
      <c r="B473" s="876">
        <v>523</v>
      </c>
      <c r="C473" s="876" t="s">
        <v>1582</v>
      </c>
      <c r="D473" s="851">
        <v>855.38333499999999</v>
      </c>
    </row>
    <row r="474" spans="2:4" x14ac:dyDescent="0.2">
      <c r="B474" s="876">
        <v>524</v>
      </c>
      <c r="C474" s="876" t="s">
        <v>1583</v>
      </c>
      <c r="D474" s="851">
        <v>948.39999399999999</v>
      </c>
    </row>
    <row r="475" spans="2:4" x14ac:dyDescent="0.2">
      <c r="B475" s="876">
        <v>525</v>
      </c>
      <c r="C475" s="876" t="s">
        <v>1584</v>
      </c>
      <c r="D475" s="851">
        <v>903.42777799999999</v>
      </c>
    </row>
    <row r="476" spans="2:4" x14ac:dyDescent="0.2">
      <c r="B476" s="876">
        <v>526</v>
      </c>
      <c r="C476" s="876" t="s">
        <v>1585</v>
      </c>
      <c r="D476" s="851">
        <v>947.59999100000005</v>
      </c>
    </row>
    <row r="477" spans="2:4" x14ac:dyDescent="0.2">
      <c r="B477" s="876">
        <v>527</v>
      </c>
      <c r="C477" s="876" t="s">
        <v>1586</v>
      </c>
      <c r="D477" s="851">
        <v>772.088888</v>
      </c>
    </row>
    <row r="478" spans="2:4" x14ac:dyDescent="0.2">
      <c r="B478" s="876">
        <v>528</v>
      </c>
      <c r="C478" s="876" t="s">
        <v>1587</v>
      </c>
      <c r="D478" s="851">
        <v>739.69285400000001</v>
      </c>
    </row>
    <row r="479" spans="2:4" x14ac:dyDescent="0.2">
      <c r="B479" s="876">
        <v>529</v>
      </c>
      <c r="C479" s="876" t="s">
        <v>1498</v>
      </c>
      <c r="D479" s="851">
        <v>669.51428199999998</v>
      </c>
    </row>
    <row r="480" spans="2:4" x14ac:dyDescent="0.2">
      <c r="B480" s="876">
        <v>530</v>
      </c>
      <c r="C480" s="876" t="s">
        <v>1588</v>
      </c>
      <c r="D480" s="851">
        <v>658.42000700000006</v>
      </c>
    </row>
    <row r="481" spans="2:4" x14ac:dyDescent="0.2">
      <c r="B481" s="876">
        <v>531</v>
      </c>
      <c r="C481" s="876" t="s">
        <v>1589</v>
      </c>
      <c r="D481" s="851">
        <v>651.25000799999998</v>
      </c>
    </row>
    <row r="482" spans="2:4" x14ac:dyDescent="0.2">
      <c r="B482" s="876">
        <v>532</v>
      </c>
      <c r="C482" s="876" t="s">
        <v>1590</v>
      </c>
      <c r="D482" s="851">
        <v>637.21000400000003</v>
      </c>
    </row>
    <row r="483" spans="2:4" x14ac:dyDescent="0.2">
      <c r="B483" s="876">
        <v>533</v>
      </c>
      <c r="C483" s="876" t="s">
        <v>1591</v>
      </c>
      <c r="D483" s="851">
        <v>884.28571399999998</v>
      </c>
    </row>
    <row r="484" spans="2:4" x14ac:dyDescent="0.2">
      <c r="B484" s="876">
        <v>534</v>
      </c>
      <c r="C484" s="876" t="s">
        <v>1592</v>
      </c>
      <c r="D484" s="851">
        <v>859.73999000000003</v>
      </c>
    </row>
    <row r="485" spans="2:4" x14ac:dyDescent="0.2">
      <c r="B485" s="876">
        <v>535</v>
      </c>
      <c r="C485" s="876" t="s">
        <v>1593</v>
      </c>
      <c r="D485" s="851">
        <v>840.76666299999999</v>
      </c>
    </row>
    <row r="486" spans="2:4" x14ac:dyDescent="0.2">
      <c r="B486" s="876">
        <v>536</v>
      </c>
      <c r="C486" s="876" t="s">
        <v>1594</v>
      </c>
      <c r="D486" s="851">
        <v>868.80000399999994</v>
      </c>
    </row>
    <row r="487" spans="2:4" x14ac:dyDescent="0.2">
      <c r="B487" s="876">
        <v>537</v>
      </c>
      <c r="C487" s="876" t="s">
        <v>1595</v>
      </c>
      <c r="D487" s="851">
        <v>816.37999300000001</v>
      </c>
    </row>
    <row r="488" spans="2:4" x14ac:dyDescent="0.2">
      <c r="B488" s="876">
        <v>538</v>
      </c>
      <c r="C488" s="876" t="s">
        <v>1596</v>
      </c>
      <c r="D488" s="851">
        <v>791.92220699999996</v>
      </c>
    </row>
    <row r="489" spans="2:4" x14ac:dyDescent="0.2">
      <c r="B489" s="876">
        <v>539</v>
      </c>
      <c r="C489" s="876" t="s">
        <v>1597</v>
      </c>
      <c r="D489" s="851">
        <v>687.48751100000004</v>
      </c>
    </row>
    <row r="490" spans="2:4" x14ac:dyDescent="0.2">
      <c r="B490" s="876">
        <v>540</v>
      </c>
      <c r="C490" s="876" t="s">
        <v>1598</v>
      </c>
      <c r="D490" s="851">
        <v>610.00000999999997</v>
      </c>
    </row>
    <row r="491" spans="2:4" x14ac:dyDescent="0.2">
      <c r="B491" s="876">
        <v>541</v>
      </c>
      <c r="C491" s="876" t="s">
        <v>1599</v>
      </c>
      <c r="D491" s="851">
        <v>600.34997599999997</v>
      </c>
    </row>
    <row r="492" spans="2:4" x14ac:dyDescent="0.2">
      <c r="B492" s="876">
        <v>542</v>
      </c>
      <c r="C492" s="876" t="s">
        <v>1600</v>
      </c>
      <c r="D492" s="851">
        <v>665.30000500000006</v>
      </c>
    </row>
    <row r="493" spans="2:4" x14ac:dyDescent="0.2">
      <c r="B493" s="876">
        <v>543</v>
      </c>
      <c r="C493" s="876" t="s">
        <v>1601</v>
      </c>
      <c r="D493" s="851">
        <v>592.45001200000002</v>
      </c>
    </row>
    <row r="494" spans="2:4" x14ac:dyDescent="0.2">
      <c r="B494" s="876">
        <v>544</v>
      </c>
      <c r="C494" s="876" t="s">
        <v>1602</v>
      </c>
      <c r="D494" s="851">
        <v>620.49999200000002</v>
      </c>
    </row>
    <row r="495" spans="2:4" x14ac:dyDescent="0.2">
      <c r="B495" s="876">
        <v>545</v>
      </c>
      <c r="C495" s="876" t="s">
        <v>1603</v>
      </c>
      <c r="D495" s="851">
        <v>633.625</v>
      </c>
    </row>
    <row r="496" spans="2:4" x14ac:dyDescent="0.2">
      <c r="B496" s="876">
        <v>546</v>
      </c>
      <c r="C496" s="876" t="s">
        <v>1604</v>
      </c>
      <c r="D496" s="851">
        <v>624.28000499999996</v>
      </c>
    </row>
    <row r="497" spans="2:4" x14ac:dyDescent="0.2">
      <c r="B497" s="876">
        <v>547</v>
      </c>
      <c r="C497" s="876" t="s">
        <v>1605</v>
      </c>
      <c r="D497" s="851">
        <v>616.30001200000004</v>
      </c>
    </row>
    <row r="498" spans="2:4" x14ac:dyDescent="0.2">
      <c r="B498" s="876">
        <v>548</v>
      </c>
      <c r="C498" s="876" t="s">
        <v>1606</v>
      </c>
      <c r="D498" s="851">
        <v>655.64999399999999</v>
      </c>
    </row>
    <row r="499" spans="2:4" x14ac:dyDescent="0.2">
      <c r="B499" s="876">
        <v>549</v>
      </c>
      <c r="C499" s="876" t="s">
        <v>1607</v>
      </c>
      <c r="D499" s="851">
        <v>633.822225</v>
      </c>
    </row>
    <row r="500" spans="2:4" x14ac:dyDescent="0.2">
      <c r="B500" s="876">
        <v>550</v>
      </c>
      <c r="C500" s="876" t="s">
        <v>1608</v>
      </c>
      <c r="D500" s="851">
        <v>628.21111399999995</v>
      </c>
    </row>
    <row r="501" spans="2:4" x14ac:dyDescent="0.2">
      <c r="B501" s="876">
        <v>551</v>
      </c>
      <c r="C501" s="876" t="s">
        <v>1609</v>
      </c>
      <c r="D501" s="851">
        <v>912.97826399999997</v>
      </c>
    </row>
    <row r="502" spans="2:4" x14ac:dyDescent="0.2">
      <c r="B502" s="876">
        <v>552</v>
      </c>
      <c r="C502" s="876" t="s">
        <v>1610</v>
      </c>
      <c r="D502" s="851">
        <v>907.79998799999998</v>
      </c>
    </row>
    <row r="503" spans="2:4" x14ac:dyDescent="0.2">
      <c r="B503" s="876">
        <v>553</v>
      </c>
      <c r="C503" s="876" t="s">
        <v>1611</v>
      </c>
      <c r="D503" s="851">
        <v>855</v>
      </c>
    </row>
    <row r="504" spans="2:4" x14ac:dyDescent="0.2">
      <c r="B504" s="876">
        <v>554</v>
      </c>
      <c r="C504" s="876" t="s">
        <v>1612</v>
      </c>
      <c r="D504" s="851">
        <v>778.97999300000004</v>
      </c>
    </row>
    <row r="505" spans="2:4" x14ac:dyDescent="0.2">
      <c r="B505" s="876">
        <v>555</v>
      </c>
      <c r="C505" s="876" t="s">
        <v>1613</v>
      </c>
      <c r="D505" s="851">
        <v>828.18000500000005</v>
      </c>
    </row>
    <row r="506" spans="2:4" x14ac:dyDescent="0.2">
      <c r="B506" s="876">
        <v>556</v>
      </c>
      <c r="C506" s="876" t="s">
        <v>1614</v>
      </c>
      <c r="D506" s="851">
        <v>782.52857300000005</v>
      </c>
    </row>
    <row r="507" spans="2:4" x14ac:dyDescent="0.2">
      <c r="B507" s="876">
        <v>557</v>
      </c>
      <c r="C507" s="876" t="s">
        <v>1615</v>
      </c>
      <c r="D507" s="851">
        <v>689.73332700000003</v>
      </c>
    </row>
    <row r="508" spans="2:4" x14ac:dyDescent="0.2">
      <c r="B508" s="876">
        <v>558</v>
      </c>
      <c r="C508" s="876" t="s">
        <v>1616</v>
      </c>
      <c r="D508" s="851">
        <v>763.70908999999995</v>
      </c>
    </row>
    <row r="509" spans="2:4" x14ac:dyDescent="0.2">
      <c r="B509" s="876">
        <v>559</v>
      </c>
      <c r="C509" s="876" t="s">
        <v>1617</v>
      </c>
      <c r="D509" s="851">
        <v>660.29998799999998</v>
      </c>
    </row>
    <row r="510" spans="2:4" x14ac:dyDescent="0.2">
      <c r="B510" s="876">
        <v>560</v>
      </c>
      <c r="C510" s="876" t="s">
        <v>1444</v>
      </c>
      <c r="D510" s="851">
        <v>677.03999599999997</v>
      </c>
    </row>
    <row r="511" spans="2:4" x14ac:dyDescent="0.2">
      <c r="B511" s="876">
        <v>561</v>
      </c>
      <c r="C511" s="876" t="s">
        <v>1618</v>
      </c>
      <c r="D511" s="851">
        <v>685.51429099999996</v>
      </c>
    </row>
    <row r="512" spans="2:4" x14ac:dyDescent="0.2">
      <c r="B512" s="876">
        <v>562</v>
      </c>
      <c r="C512" s="876" t="s">
        <v>1619</v>
      </c>
      <c r="D512" s="851">
        <v>657.61818600000004</v>
      </c>
    </row>
    <row r="513" spans="2:4" x14ac:dyDescent="0.2">
      <c r="B513" s="876">
        <v>563</v>
      </c>
      <c r="C513" s="876" t="s">
        <v>1135</v>
      </c>
      <c r="D513" s="851">
        <v>661.60000600000001</v>
      </c>
    </row>
    <row r="514" spans="2:4" x14ac:dyDescent="0.2">
      <c r="B514" s="876">
        <v>564</v>
      </c>
      <c r="C514" s="876" t="s">
        <v>1620</v>
      </c>
      <c r="D514" s="851">
        <v>684.77726900000005</v>
      </c>
    </row>
    <row r="515" spans="2:4" x14ac:dyDescent="0.2">
      <c r="B515" s="876">
        <v>565</v>
      </c>
      <c r="C515" s="876" t="s">
        <v>1621</v>
      </c>
      <c r="D515" s="851">
        <v>647.55001200000004</v>
      </c>
    </row>
    <row r="516" spans="2:4" x14ac:dyDescent="0.2">
      <c r="B516" s="876">
        <v>566</v>
      </c>
      <c r="C516" s="876" t="s">
        <v>1622</v>
      </c>
      <c r="D516" s="851">
        <v>610.29998799999998</v>
      </c>
    </row>
    <row r="517" spans="2:4" x14ac:dyDescent="0.2">
      <c r="B517" s="876">
        <v>567</v>
      </c>
      <c r="C517" s="876" t="s">
        <v>1623</v>
      </c>
      <c r="D517" s="851">
        <v>638.771432</v>
      </c>
    </row>
    <row r="518" spans="2:4" x14ac:dyDescent="0.2">
      <c r="B518" s="876">
        <v>568</v>
      </c>
      <c r="C518" s="876" t="s">
        <v>1624</v>
      </c>
      <c r="D518" s="851">
        <v>621.67271800000003</v>
      </c>
    </row>
    <row r="519" spans="2:4" x14ac:dyDescent="0.2">
      <c r="B519" s="876">
        <v>569</v>
      </c>
      <c r="C519" s="876" t="s">
        <v>1213</v>
      </c>
      <c r="D519" s="851">
        <v>634.86665900000003</v>
      </c>
    </row>
    <row r="520" spans="2:4" x14ac:dyDescent="0.2">
      <c r="B520" s="876">
        <v>570</v>
      </c>
      <c r="C520" s="876" t="s">
        <v>1625</v>
      </c>
      <c r="D520" s="851">
        <v>602.03077099999996</v>
      </c>
    </row>
    <row r="521" spans="2:4" x14ac:dyDescent="0.2">
      <c r="B521" s="876">
        <v>571</v>
      </c>
      <c r="C521" s="876" t="s">
        <v>1529</v>
      </c>
      <c r="D521" s="851">
        <v>655.46364000000005</v>
      </c>
    </row>
    <row r="522" spans="2:4" x14ac:dyDescent="0.2">
      <c r="B522" s="876">
        <v>572</v>
      </c>
      <c r="C522" s="876" t="s">
        <v>1626</v>
      </c>
      <c r="D522" s="851">
        <v>670.75000999999997</v>
      </c>
    </row>
    <row r="523" spans="2:4" x14ac:dyDescent="0.2">
      <c r="B523" s="876">
        <v>573</v>
      </c>
      <c r="C523" s="876" t="s">
        <v>1140</v>
      </c>
      <c r="D523" s="851">
        <v>638.67692199999999</v>
      </c>
    </row>
    <row r="524" spans="2:4" x14ac:dyDescent="0.2">
      <c r="B524" s="876">
        <v>574</v>
      </c>
      <c r="C524" s="876" t="s">
        <v>1627</v>
      </c>
      <c r="D524" s="851">
        <v>810.67058799999995</v>
      </c>
    </row>
    <row r="525" spans="2:4" x14ac:dyDescent="0.2">
      <c r="B525" s="876">
        <v>575</v>
      </c>
      <c r="C525" s="876" t="s">
        <v>1628</v>
      </c>
      <c r="D525" s="851">
        <v>830.370588</v>
      </c>
    </row>
    <row r="526" spans="2:4" x14ac:dyDescent="0.2">
      <c r="B526" s="876">
        <v>576</v>
      </c>
      <c r="C526" s="876" t="s">
        <v>1629</v>
      </c>
      <c r="D526" s="851">
        <v>712.10000600000001</v>
      </c>
    </row>
    <row r="527" spans="2:4" x14ac:dyDescent="0.2">
      <c r="B527" s="876">
        <v>577</v>
      </c>
      <c r="C527" s="876" t="s">
        <v>357</v>
      </c>
      <c r="D527" s="851">
        <v>711.63750500000003</v>
      </c>
    </row>
    <row r="528" spans="2:4" x14ac:dyDescent="0.2">
      <c r="B528" s="876">
        <v>578</v>
      </c>
      <c r="C528" s="876" t="s">
        <v>1630</v>
      </c>
      <c r="D528" s="851">
        <v>704.53750600000001</v>
      </c>
    </row>
    <row r="529" spans="2:4" x14ac:dyDescent="0.2">
      <c r="B529" s="876">
        <v>579</v>
      </c>
      <c r="C529" s="876" t="s">
        <v>1631</v>
      </c>
      <c r="D529" s="851">
        <v>669.05001800000002</v>
      </c>
    </row>
    <row r="530" spans="2:4" x14ac:dyDescent="0.2">
      <c r="B530" s="876">
        <v>580</v>
      </c>
      <c r="C530" s="876" t="s">
        <v>1632</v>
      </c>
      <c r="D530" s="851">
        <v>753.98333700000001</v>
      </c>
    </row>
    <row r="531" spans="2:4" x14ac:dyDescent="0.2">
      <c r="B531" s="876">
        <v>581</v>
      </c>
      <c r="C531" s="876" t="s">
        <v>1633</v>
      </c>
      <c r="D531" s="851">
        <v>789.21999500000004</v>
      </c>
    </row>
    <row r="532" spans="2:4" x14ac:dyDescent="0.2">
      <c r="B532" s="876">
        <v>582</v>
      </c>
      <c r="C532" s="876" t="s">
        <v>1634</v>
      </c>
      <c r="D532" s="851">
        <v>701.35000600000001</v>
      </c>
    </row>
    <row r="533" spans="2:4" x14ac:dyDescent="0.2">
      <c r="B533" s="876">
        <v>583</v>
      </c>
      <c r="C533" s="876" t="s">
        <v>1635</v>
      </c>
      <c r="D533" s="851">
        <v>679.14999399999999</v>
      </c>
    </row>
    <row r="534" spans="2:4" x14ac:dyDescent="0.2">
      <c r="B534" s="876">
        <v>584</v>
      </c>
      <c r="C534" s="876" t="s">
        <v>1636</v>
      </c>
      <c r="D534" s="851">
        <v>667.936374</v>
      </c>
    </row>
    <row r="535" spans="2:4" x14ac:dyDescent="0.2">
      <c r="B535" s="876">
        <v>585</v>
      </c>
      <c r="C535" s="876" t="s">
        <v>1146</v>
      </c>
      <c r="D535" s="851">
        <v>650.25555799999995</v>
      </c>
    </row>
    <row r="536" spans="2:4" x14ac:dyDescent="0.2">
      <c r="B536" s="876">
        <v>586</v>
      </c>
      <c r="C536" s="876" t="s">
        <v>1637</v>
      </c>
      <c r="D536" s="851">
        <v>850.67931699999997</v>
      </c>
    </row>
    <row r="537" spans="2:4" x14ac:dyDescent="0.2">
      <c r="B537" s="876">
        <v>587</v>
      </c>
      <c r="C537" s="876" t="s">
        <v>1638</v>
      </c>
      <c r="D537" s="851">
        <v>820.59999600000003</v>
      </c>
    </row>
    <row r="538" spans="2:4" x14ac:dyDescent="0.2">
      <c r="B538" s="876">
        <v>588</v>
      </c>
      <c r="C538" s="876" t="s">
        <v>1639</v>
      </c>
      <c r="D538" s="851">
        <v>779.19999700000005</v>
      </c>
    </row>
    <row r="539" spans="2:4" x14ac:dyDescent="0.2">
      <c r="B539" s="876">
        <v>589</v>
      </c>
      <c r="C539" s="876" t="s">
        <v>1640</v>
      </c>
      <c r="D539" s="851">
        <v>773.01665200000002</v>
      </c>
    </row>
    <row r="540" spans="2:4" x14ac:dyDescent="0.2">
      <c r="B540" s="876">
        <v>590</v>
      </c>
      <c r="C540" s="876" t="s">
        <v>1641</v>
      </c>
      <c r="D540" s="851">
        <v>750.40000399999997</v>
      </c>
    </row>
    <row r="541" spans="2:4" x14ac:dyDescent="0.2">
      <c r="B541" s="876">
        <v>591</v>
      </c>
      <c r="C541" s="876" t="s">
        <v>1642</v>
      </c>
      <c r="D541" s="851">
        <v>752.96665399999995</v>
      </c>
    </row>
    <row r="542" spans="2:4" x14ac:dyDescent="0.2">
      <c r="B542" s="876">
        <v>592</v>
      </c>
      <c r="C542" s="876" t="s">
        <v>1643</v>
      </c>
      <c r="D542" s="851">
        <v>682.5</v>
      </c>
    </row>
    <row r="543" spans="2:4" x14ac:dyDescent="0.2">
      <c r="B543" s="876">
        <v>593</v>
      </c>
      <c r="C543" s="876" t="s">
        <v>1644</v>
      </c>
      <c r="D543" s="851">
        <v>652.98888499999998</v>
      </c>
    </row>
    <row r="544" spans="2:4" x14ac:dyDescent="0.2">
      <c r="B544" s="876">
        <v>594</v>
      </c>
      <c r="C544" s="876" t="s">
        <v>1645</v>
      </c>
      <c r="D544" s="851">
        <v>633.01599599999997</v>
      </c>
    </row>
    <row r="545" spans="2:4" x14ac:dyDescent="0.2">
      <c r="B545" s="876">
        <v>595</v>
      </c>
      <c r="C545" s="876" t="s">
        <v>1646</v>
      </c>
      <c r="D545" s="851">
        <v>628.08000500000003</v>
      </c>
    </row>
    <row r="546" spans="2:4" x14ac:dyDescent="0.2">
      <c r="B546" s="876">
        <v>596</v>
      </c>
      <c r="C546" s="876" t="s">
        <v>1647</v>
      </c>
      <c r="D546" s="851">
        <v>633.64500099999998</v>
      </c>
    </row>
    <row r="547" spans="2:4" x14ac:dyDescent="0.2">
      <c r="B547" s="876">
        <v>597</v>
      </c>
      <c r="C547" s="876" t="s">
        <v>1648</v>
      </c>
      <c r="D547" s="851">
        <v>744.28462100000002</v>
      </c>
    </row>
    <row r="548" spans="2:4" x14ac:dyDescent="0.2">
      <c r="B548" s="876">
        <v>598</v>
      </c>
      <c r="C548" s="876" t="s">
        <v>1649</v>
      </c>
      <c r="D548" s="851">
        <v>747.85999800000002</v>
      </c>
    </row>
    <row r="549" spans="2:4" x14ac:dyDescent="0.2">
      <c r="B549" s="876">
        <v>599</v>
      </c>
      <c r="C549" s="876" t="s">
        <v>1650</v>
      </c>
      <c r="D549" s="851">
        <v>703.70000200000004</v>
      </c>
    </row>
    <row r="550" spans="2:4" x14ac:dyDescent="0.2">
      <c r="B550" s="876">
        <v>600</v>
      </c>
      <c r="C550" s="876" t="s">
        <v>1651</v>
      </c>
      <c r="D550" s="851">
        <v>637.01250500000003</v>
      </c>
    </row>
    <row r="551" spans="2:4" x14ac:dyDescent="0.2">
      <c r="B551" s="876">
        <v>601</v>
      </c>
      <c r="C551" s="876" t="s">
        <v>1652</v>
      </c>
      <c r="D551" s="851">
        <v>714.17142999999999</v>
      </c>
    </row>
    <row r="552" spans="2:4" x14ac:dyDescent="0.2">
      <c r="B552" s="876">
        <v>602</v>
      </c>
      <c r="C552" s="876" t="s">
        <v>1653</v>
      </c>
      <c r="D552" s="851">
        <v>743.03998999999999</v>
      </c>
    </row>
    <row r="553" spans="2:4" x14ac:dyDescent="0.2">
      <c r="B553" s="876">
        <v>603</v>
      </c>
      <c r="C553" s="876" t="s">
        <v>1654</v>
      </c>
      <c r="D553" s="851">
        <v>657</v>
      </c>
    </row>
    <row r="554" spans="2:4" x14ac:dyDescent="0.2">
      <c r="B554" s="876">
        <v>604</v>
      </c>
      <c r="C554" s="876" t="s">
        <v>1655</v>
      </c>
      <c r="D554" s="851">
        <v>733.32000700000003</v>
      </c>
    </row>
    <row r="555" spans="2:4" x14ac:dyDescent="0.2">
      <c r="B555" s="876">
        <v>605</v>
      </c>
      <c r="C555" s="876" t="s">
        <v>1656</v>
      </c>
      <c r="D555" s="851">
        <v>699.29998799999998</v>
      </c>
    </row>
    <row r="556" spans="2:4" x14ac:dyDescent="0.2">
      <c r="B556" s="876">
        <v>606</v>
      </c>
      <c r="C556" s="876" t="s">
        <v>1657</v>
      </c>
      <c r="D556" s="851">
        <v>694.24998500000004</v>
      </c>
    </row>
    <row r="557" spans="2:4" x14ac:dyDescent="0.2">
      <c r="B557" s="876">
        <v>607</v>
      </c>
      <c r="C557" s="876" t="s">
        <v>1658</v>
      </c>
      <c r="D557" s="851">
        <v>617.47999900000002</v>
      </c>
    </row>
    <row r="558" spans="2:4" x14ac:dyDescent="0.2">
      <c r="B558" s="876">
        <v>608</v>
      </c>
      <c r="C558" s="876" t="s">
        <v>1659</v>
      </c>
      <c r="D558" s="851">
        <v>672.09997599999997</v>
      </c>
    </row>
    <row r="559" spans="2:4" x14ac:dyDescent="0.2">
      <c r="B559" s="876">
        <v>609</v>
      </c>
      <c r="C559" s="876" t="s">
        <v>1660</v>
      </c>
      <c r="D559" s="851">
        <v>643.16664600000001</v>
      </c>
    </row>
    <row r="560" spans="2:4" x14ac:dyDescent="0.2">
      <c r="B560" s="876">
        <v>610</v>
      </c>
      <c r="C560" s="876" t="s">
        <v>1661</v>
      </c>
      <c r="D560" s="851">
        <v>637.82000700000003</v>
      </c>
    </row>
    <row r="561" spans="2:4" x14ac:dyDescent="0.2">
      <c r="B561" s="876">
        <v>611</v>
      </c>
      <c r="C561" s="876" t="s">
        <v>1662</v>
      </c>
      <c r="D561" s="851">
        <v>646.610004</v>
      </c>
    </row>
    <row r="562" spans="2:4" x14ac:dyDescent="0.2">
      <c r="B562" s="876">
        <v>612</v>
      </c>
      <c r="C562" s="876" t="s">
        <v>1663</v>
      </c>
      <c r="D562" s="851">
        <v>645.6</v>
      </c>
    </row>
    <row r="563" spans="2:4" x14ac:dyDescent="0.2">
      <c r="B563" s="876">
        <v>613</v>
      </c>
      <c r="C563" s="876" t="s">
        <v>1664</v>
      </c>
      <c r="D563" s="851">
        <v>603.14545799999996</v>
      </c>
    </row>
    <row r="564" spans="2:4" x14ac:dyDescent="0.2">
      <c r="B564" s="876">
        <v>614</v>
      </c>
      <c r="C564" s="876" t="s">
        <v>1665</v>
      </c>
      <c r="D564" s="851">
        <v>632.11665900000003</v>
      </c>
    </row>
    <row r="565" spans="2:4" x14ac:dyDescent="0.2">
      <c r="B565" s="876">
        <v>651</v>
      </c>
      <c r="C565" s="876" t="s">
        <v>1666</v>
      </c>
      <c r="D565" s="851">
        <v>654.42999899999995</v>
      </c>
    </row>
    <row r="566" spans="2:4" x14ac:dyDescent="0.2">
      <c r="B566" s="876">
        <v>652</v>
      </c>
      <c r="C566" s="876" t="s">
        <v>1667</v>
      </c>
      <c r="D566" s="851">
        <v>621.61428000000001</v>
      </c>
    </row>
    <row r="567" spans="2:4" x14ac:dyDescent="0.2">
      <c r="B567" s="876">
        <v>653</v>
      </c>
      <c r="C567" s="876" t="s">
        <v>1668</v>
      </c>
      <c r="D567" s="851">
        <v>604.69500100000005</v>
      </c>
    </row>
    <row r="568" spans="2:4" x14ac:dyDescent="0.2">
      <c r="B568" s="876">
        <v>654</v>
      </c>
      <c r="C568" s="876" t="s">
        <v>1669</v>
      </c>
      <c r="D568" s="851">
        <v>610.55554900000004</v>
      </c>
    </row>
    <row r="569" spans="2:4" x14ac:dyDescent="0.2">
      <c r="B569" s="876">
        <v>655</v>
      </c>
      <c r="C569" s="876" t="s">
        <v>1670</v>
      </c>
      <c r="D569" s="851">
        <v>643.40769599999999</v>
      </c>
    </row>
    <row r="570" spans="2:4" x14ac:dyDescent="0.2">
      <c r="B570" s="876">
        <v>656</v>
      </c>
      <c r="C570" s="876" t="s">
        <v>1671</v>
      </c>
      <c r="D570" s="851">
        <v>660.88636599999995</v>
      </c>
    </row>
    <row r="571" spans="2:4" x14ac:dyDescent="0.2">
      <c r="B571" s="876">
        <v>657</v>
      </c>
      <c r="C571" s="876" t="s">
        <v>1672</v>
      </c>
      <c r="D571" s="851">
        <v>642.57143399999995</v>
      </c>
    </row>
    <row r="572" spans="2:4" x14ac:dyDescent="0.2">
      <c r="B572" s="876">
        <v>658</v>
      </c>
      <c r="C572" s="876" t="s">
        <v>1673</v>
      </c>
      <c r="D572" s="851">
        <v>634.11000999999999</v>
      </c>
    </row>
    <row r="573" spans="2:4" x14ac:dyDescent="0.2">
      <c r="B573" s="876">
        <v>659</v>
      </c>
      <c r="C573" s="876" t="s">
        <v>1674</v>
      </c>
      <c r="D573" s="851">
        <v>614.84286099999997</v>
      </c>
    </row>
    <row r="574" spans="2:4" x14ac:dyDescent="0.2">
      <c r="B574" s="876">
        <v>660</v>
      </c>
      <c r="C574" s="876" t="s">
        <v>1135</v>
      </c>
      <c r="D574" s="851">
        <v>611.80000500000006</v>
      </c>
    </row>
    <row r="575" spans="2:4" x14ac:dyDescent="0.2">
      <c r="B575" s="876">
        <v>661</v>
      </c>
      <c r="C575" s="876" t="s">
        <v>1675</v>
      </c>
      <c r="D575" s="851">
        <v>593.71109999999999</v>
      </c>
    </row>
    <row r="576" spans="2:4" x14ac:dyDescent="0.2">
      <c r="B576" s="876">
        <v>662</v>
      </c>
      <c r="C576" s="876" t="s">
        <v>1676</v>
      </c>
      <c r="D576" s="851">
        <v>569.69999900000005</v>
      </c>
    </row>
    <row r="577" spans="2:4" x14ac:dyDescent="0.2">
      <c r="B577" s="876">
        <v>663</v>
      </c>
      <c r="C577" s="876" t="s">
        <v>1677</v>
      </c>
      <c r="D577" s="851">
        <v>641.32352900000001</v>
      </c>
    </row>
    <row r="578" spans="2:4" x14ac:dyDescent="0.2">
      <c r="B578" s="876">
        <v>664</v>
      </c>
      <c r="C578" s="876" t="s">
        <v>1678</v>
      </c>
      <c r="D578" s="851">
        <v>637.70768899999996</v>
      </c>
    </row>
    <row r="579" spans="2:4" x14ac:dyDescent="0.2">
      <c r="B579" s="876">
        <v>665</v>
      </c>
      <c r="C579" s="876" t="s">
        <v>1679</v>
      </c>
      <c r="D579" s="851">
        <v>589.35002099999997</v>
      </c>
    </row>
    <row r="580" spans="2:4" x14ac:dyDescent="0.2">
      <c r="B580" s="876">
        <v>666</v>
      </c>
      <c r="C580" s="876" t="s">
        <v>1680</v>
      </c>
      <c r="D580" s="851">
        <v>607.48999600000002</v>
      </c>
    </row>
    <row r="581" spans="2:4" x14ac:dyDescent="0.2">
      <c r="B581" s="876">
        <v>667</v>
      </c>
      <c r="C581" s="876" t="s">
        <v>1681</v>
      </c>
      <c r="D581" s="851">
        <v>636.79333099999997</v>
      </c>
    </row>
    <row r="582" spans="2:4" x14ac:dyDescent="0.2">
      <c r="B582" s="876">
        <v>668</v>
      </c>
      <c r="C582" s="876" t="s">
        <v>1682</v>
      </c>
      <c r="D582" s="851">
        <v>609.98499500000003</v>
      </c>
    </row>
    <row r="583" spans="2:4" x14ac:dyDescent="0.2">
      <c r="B583" s="876">
        <v>669</v>
      </c>
      <c r="C583" s="876" t="s">
        <v>1683</v>
      </c>
      <c r="D583" s="851">
        <v>615.16667700000005</v>
      </c>
    </row>
    <row r="584" spans="2:4" x14ac:dyDescent="0.2">
      <c r="B584" s="876">
        <v>670</v>
      </c>
      <c r="C584" s="876" t="s">
        <v>1684</v>
      </c>
      <c r="D584" s="851">
        <v>596.29999799999996</v>
      </c>
    </row>
    <row r="585" spans="2:4" x14ac:dyDescent="0.2">
      <c r="B585" s="876">
        <v>671</v>
      </c>
      <c r="C585" s="876" t="s">
        <v>1685</v>
      </c>
      <c r="D585" s="851">
        <v>567.672729</v>
      </c>
    </row>
    <row r="586" spans="2:4" x14ac:dyDescent="0.2">
      <c r="B586" s="876">
        <v>672</v>
      </c>
      <c r="C586" s="876" t="s">
        <v>1686</v>
      </c>
      <c r="D586" s="851">
        <v>586.60000200000002</v>
      </c>
    </row>
    <row r="587" spans="2:4" x14ac:dyDescent="0.2">
      <c r="B587" s="876">
        <v>673</v>
      </c>
      <c r="C587" s="876" t="s">
        <v>1687</v>
      </c>
      <c r="D587" s="851">
        <v>555.62858400000005</v>
      </c>
    </row>
    <row r="588" spans="2:4" ht="15" x14ac:dyDescent="0.2">
      <c r="B588" s="888">
        <v>674</v>
      </c>
      <c r="C588" s="876" t="s">
        <v>1688</v>
      </c>
      <c r="D588" s="889">
        <v>542.70001200000002</v>
      </c>
    </row>
    <row r="589" spans="2:4" x14ac:dyDescent="0.2">
      <c r="B589" s="876">
        <v>675</v>
      </c>
      <c r="C589" s="876" t="s">
        <v>1689</v>
      </c>
      <c r="D589" s="851">
        <v>598.29998799999998</v>
      </c>
    </row>
    <row r="590" spans="2:4" x14ac:dyDescent="0.2">
      <c r="B590" s="876">
        <v>676</v>
      </c>
      <c r="C590" s="876" t="s">
        <v>1690</v>
      </c>
      <c r="D590" s="851">
        <v>580.25</v>
      </c>
    </row>
    <row r="591" spans="2:4" x14ac:dyDescent="0.2">
      <c r="B591" s="876">
        <v>677</v>
      </c>
      <c r="C591" s="876" t="s">
        <v>1691</v>
      </c>
      <c r="D591" s="851">
        <v>583.51667299999997</v>
      </c>
    </row>
    <row r="592" spans="2:4" x14ac:dyDescent="0.2">
      <c r="B592" s="876">
        <v>678</v>
      </c>
      <c r="C592" s="876" t="s">
        <v>1692</v>
      </c>
      <c r="D592" s="851">
        <v>564.79999299999997</v>
      </c>
    </row>
    <row r="593" spans="2:4" x14ac:dyDescent="0.2">
      <c r="B593" s="876">
        <v>679</v>
      </c>
      <c r="C593" s="876" t="s">
        <v>1693</v>
      </c>
      <c r="D593" s="851">
        <v>559.15555099999995</v>
      </c>
    </row>
    <row r="594" spans="2:4" x14ac:dyDescent="0.2">
      <c r="B594" s="876">
        <v>680</v>
      </c>
      <c r="C594" s="876" t="s">
        <v>1694</v>
      </c>
      <c r="D594" s="851">
        <v>575.92000700000006</v>
      </c>
    </row>
    <row r="595" spans="2:4" x14ac:dyDescent="0.2">
      <c r="B595" s="876">
        <v>681</v>
      </c>
      <c r="C595" s="876" t="s">
        <v>1695</v>
      </c>
      <c r="D595" s="851">
        <v>559.12142100000005</v>
      </c>
    </row>
    <row r="596" spans="2:4" x14ac:dyDescent="0.2">
      <c r="B596" s="876">
        <v>682</v>
      </c>
      <c r="C596" s="876" t="s">
        <v>1696</v>
      </c>
      <c r="D596" s="851">
        <v>644.30000099999995</v>
      </c>
    </row>
    <row r="597" spans="2:4" x14ac:dyDescent="0.2">
      <c r="B597" s="876">
        <v>683</v>
      </c>
      <c r="C597" s="876" t="s">
        <v>1697</v>
      </c>
      <c r="D597" s="851">
        <v>631.27333599999997</v>
      </c>
    </row>
    <row r="598" spans="2:4" x14ac:dyDescent="0.2">
      <c r="B598" s="876">
        <v>684</v>
      </c>
      <c r="C598" s="876" t="s">
        <v>1698</v>
      </c>
      <c r="D598" s="851">
        <v>597.58334400000001</v>
      </c>
    </row>
    <row r="599" spans="2:4" x14ac:dyDescent="0.2">
      <c r="B599" s="876">
        <v>685</v>
      </c>
      <c r="C599" s="876" t="s">
        <v>1699</v>
      </c>
      <c r="D599" s="851">
        <v>600.16249800000003</v>
      </c>
    </row>
    <row r="600" spans="2:4" x14ac:dyDescent="0.2">
      <c r="B600" s="876">
        <v>686</v>
      </c>
      <c r="C600" s="876" t="s">
        <v>1700</v>
      </c>
      <c r="D600" s="851">
        <v>606.26251200000002</v>
      </c>
    </row>
    <row r="601" spans="2:4" x14ac:dyDescent="0.2">
      <c r="B601" s="876">
        <v>687</v>
      </c>
      <c r="C601" s="876" t="s">
        <v>1701</v>
      </c>
      <c r="D601" s="851">
        <v>585.78749800000003</v>
      </c>
    </row>
    <row r="602" spans="2:4" x14ac:dyDescent="0.2">
      <c r="B602" s="876">
        <v>688</v>
      </c>
      <c r="C602" s="876" t="s">
        <v>1702</v>
      </c>
      <c r="D602" s="851">
        <v>566.48461399999997</v>
      </c>
    </row>
    <row r="603" spans="2:4" x14ac:dyDescent="0.2">
      <c r="B603" s="876">
        <v>689</v>
      </c>
      <c r="C603" s="876" t="s">
        <v>1703</v>
      </c>
      <c r="D603" s="851">
        <v>568.80769699999996</v>
      </c>
    </row>
    <row r="604" spans="2:4" x14ac:dyDescent="0.2">
      <c r="B604" s="876">
        <v>690</v>
      </c>
      <c r="C604" s="876" t="s">
        <v>1704</v>
      </c>
      <c r="D604" s="851">
        <v>603.00001499999996</v>
      </c>
    </row>
    <row r="605" spans="2:4" x14ac:dyDescent="0.2">
      <c r="B605" s="876">
        <v>691</v>
      </c>
      <c r="C605" s="876" t="s">
        <v>1705</v>
      </c>
      <c r="D605" s="851">
        <v>621.70000000000005</v>
      </c>
    </row>
    <row r="606" spans="2:4" x14ac:dyDescent="0.2">
      <c r="B606" s="876">
        <v>692</v>
      </c>
      <c r="C606" s="876" t="s">
        <v>1706</v>
      </c>
      <c r="D606" s="851">
        <v>624.23571300000003</v>
      </c>
    </row>
    <row r="607" spans="2:4" x14ac:dyDescent="0.2">
      <c r="B607" s="876">
        <v>693</v>
      </c>
      <c r="C607" s="876" t="s">
        <v>1707</v>
      </c>
      <c r="D607" s="851">
        <v>605.48888499999998</v>
      </c>
    </row>
    <row r="608" spans="2:4" x14ac:dyDescent="0.2">
      <c r="B608" s="876">
        <v>694</v>
      </c>
      <c r="C608" s="876" t="s">
        <v>1708</v>
      </c>
      <c r="D608" s="851">
        <v>605.20625299999995</v>
      </c>
    </row>
    <row r="609" spans="2:4" x14ac:dyDescent="0.2">
      <c r="B609" s="876">
        <v>695</v>
      </c>
      <c r="C609" s="876" t="s">
        <v>1709</v>
      </c>
      <c r="D609" s="851">
        <v>602.20000000000005</v>
      </c>
    </row>
    <row r="610" spans="2:4" x14ac:dyDescent="0.2">
      <c r="B610" s="876">
        <v>696</v>
      </c>
      <c r="C610" s="876" t="s">
        <v>1710</v>
      </c>
      <c r="D610" s="851">
        <v>602.46667500000001</v>
      </c>
    </row>
    <row r="611" spans="2:4" x14ac:dyDescent="0.2">
      <c r="B611" s="876">
        <v>697</v>
      </c>
      <c r="C611" s="876" t="s">
        <v>375</v>
      </c>
      <c r="D611" s="851">
        <v>569.44864900000005</v>
      </c>
    </row>
    <row r="612" spans="2:4" x14ac:dyDescent="0.2">
      <c r="B612" s="876">
        <v>698</v>
      </c>
      <c r="C612" s="876" t="s">
        <v>1711</v>
      </c>
      <c r="D612" s="851">
        <v>566.58334400000001</v>
      </c>
    </row>
    <row r="613" spans="2:4" x14ac:dyDescent="0.2">
      <c r="B613" s="876">
        <v>699</v>
      </c>
      <c r="C613" s="876" t="s">
        <v>1712</v>
      </c>
      <c r="D613" s="851">
        <v>566.94285400000001</v>
      </c>
    </row>
    <row r="614" spans="2:4" x14ac:dyDescent="0.2">
      <c r="B614" s="876">
        <v>700</v>
      </c>
      <c r="C614" s="876" t="s">
        <v>1713</v>
      </c>
      <c r="D614" s="851">
        <v>636.44286199999999</v>
      </c>
    </row>
    <row r="615" spans="2:4" x14ac:dyDescent="0.2">
      <c r="B615" s="876">
        <v>701</v>
      </c>
      <c r="C615" s="876" t="s">
        <v>1714</v>
      </c>
      <c r="D615" s="851">
        <v>635.81764799999996</v>
      </c>
    </row>
    <row r="616" spans="2:4" x14ac:dyDescent="0.2">
      <c r="B616" s="876">
        <v>702</v>
      </c>
      <c r="C616" s="876" t="s">
        <v>1715</v>
      </c>
      <c r="D616" s="851">
        <v>573</v>
      </c>
    </row>
    <row r="617" spans="2:4" x14ac:dyDescent="0.2">
      <c r="B617" s="876">
        <v>703</v>
      </c>
      <c r="C617" s="876" t="s">
        <v>1716</v>
      </c>
      <c r="D617" s="851">
        <v>570.70908399999996</v>
      </c>
    </row>
    <row r="618" spans="2:4" x14ac:dyDescent="0.2">
      <c r="B618" s="876">
        <v>704</v>
      </c>
      <c r="C618" s="876" t="s">
        <v>1717</v>
      </c>
      <c r="D618" s="851">
        <v>564.866669</v>
      </c>
    </row>
    <row r="619" spans="2:4" x14ac:dyDescent="0.2">
      <c r="B619" s="876">
        <v>705</v>
      </c>
      <c r="C619" s="876" t="s">
        <v>1718</v>
      </c>
      <c r="D619" s="851">
        <v>603.97142699999995</v>
      </c>
    </row>
    <row r="620" spans="2:4" x14ac:dyDescent="0.2">
      <c r="B620" s="876">
        <v>706</v>
      </c>
      <c r="C620" s="876" t="s">
        <v>1719</v>
      </c>
      <c r="D620" s="851">
        <v>616.226315</v>
      </c>
    </row>
    <row r="621" spans="2:4" x14ac:dyDescent="0.2">
      <c r="B621" s="876">
        <v>707</v>
      </c>
      <c r="C621" s="876" t="s">
        <v>1720</v>
      </c>
      <c r="D621" s="851">
        <v>561.99600099999998</v>
      </c>
    </row>
    <row r="622" spans="2:4" x14ac:dyDescent="0.2">
      <c r="B622" s="876">
        <v>708</v>
      </c>
      <c r="C622" s="876" t="s">
        <v>1721</v>
      </c>
      <c r="D622" s="851">
        <v>566.5</v>
      </c>
    </row>
    <row r="623" spans="2:4" x14ac:dyDescent="0.2">
      <c r="B623" s="876">
        <v>709</v>
      </c>
      <c r="C623" s="876" t="s">
        <v>1722</v>
      </c>
      <c r="D623" s="851">
        <v>563.33999600000004</v>
      </c>
    </row>
    <row r="624" spans="2:4" x14ac:dyDescent="0.2">
      <c r="B624" s="876">
        <v>710</v>
      </c>
      <c r="C624" s="876" t="s">
        <v>1723</v>
      </c>
      <c r="D624" s="851">
        <v>587.77999899999998</v>
      </c>
    </row>
    <row r="625" spans="2:4" x14ac:dyDescent="0.2">
      <c r="B625" s="876">
        <v>711</v>
      </c>
      <c r="C625" s="876" t="s">
        <v>1724</v>
      </c>
      <c r="D625" s="851">
        <v>622.52307599999995</v>
      </c>
    </row>
    <row r="626" spans="2:4" x14ac:dyDescent="0.2">
      <c r="B626" s="876">
        <v>712</v>
      </c>
      <c r="C626" s="876" t="s">
        <v>1725</v>
      </c>
      <c r="D626" s="851">
        <v>612.89999899999998</v>
      </c>
    </row>
    <row r="627" spans="2:4" x14ac:dyDescent="0.2">
      <c r="B627" s="876">
        <v>713</v>
      </c>
      <c r="C627" s="876" t="s">
        <v>1726</v>
      </c>
      <c r="D627" s="851">
        <v>615.46667500000001</v>
      </c>
    </row>
    <row r="628" spans="2:4" x14ac:dyDescent="0.2">
      <c r="B628" s="876">
        <v>714</v>
      </c>
      <c r="C628" s="876" t="s">
        <v>1727</v>
      </c>
      <c r="D628" s="851">
        <v>608.28749800000003</v>
      </c>
    </row>
    <row r="629" spans="2:4" x14ac:dyDescent="0.2">
      <c r="B629" s="876">
        <v>715</v>
      </c>
      <c r="C629" s="876" t="s">
        <v>1728</v>
      </c>
      <c r="D629" s="851">
        <v>618.10000600000001</v>
      </c>
    </row>
    <row r="630" spans="2:4" x14ac:dyDescent="0.2">
      <c r="B630" s="876">
        <v>716</v>
      </c>
      <c r="C630" s="876" t="s">
        <v>1729</v>
      </c>
      <c r="D630" s="851">
        <v>583.52221699999996</v>
      </c>
    </row>
    <row r="631" spans="2:4" x14ac:dyDescent="0.2">
      <c r="B631" s="876">
        <v>717</v>
      </c>
      <c r="C631" s="876" t="s">
        <v>1730</v>
      </c>
      <c r="D631" s="851">
        <v>630.06001000000003</v>
      </c>
    </row>
    <row r="632" spans="2:4" x14ac:dyDescent="0.2">
      <c r="B632" s="876">
        <v>718</v>
      </c>
      <c r="C632" s="876" t="s">
        <v>1444</v>
      </c>
      <c r="D632" s="851">
        <v>607.52499399999999</v>
      </c>
    </row>
    <row r="633" spans="2:4" x14ac:dyDescent="0.2">
      <c r="B633" s="876">
        <v>719</v>
      </c>
      <c r="C633" s="876" t="s">
        <v>1731</v>
      </c>
      <c r="D633" s="851">
        <v>612.11249499999997</v>
      </c>
    </row>
    <row r="634" spans="2:4" x14ac:dyDescent="0.2">
      <c r="B634" s="876">
        <v>720</v>
      </c>
      <c r="C634" s="876" t="s">
        <v>1732</v>
      </c>
      <c r="D634" s="851">
        <v>607.67142200000001</v>
      </c>
    </row>
    <row r="635" spans="2:4" x14ac:dyDescent="0.2">
      <c r="B635" s="876">
        <v>721</v>
      </c>
      <c r="C635" s="876" t="s">
        <v>1733</v>
      </c>
      <c r="D635" s="851">
        <v>584.69999199999995</v>
      </c>
    </row>
    <row r="636" spans="2:4" x14ac:dyDescent="0.2">
      <c r="B636" s="876">
        <v>722</v>
      </c>
      <c r="C636" s="876" t="s">
        <v>1734</v>
      </c>
      <c r="D636" s="851">
        <v>572.46666500000003</v>
      </c>
    </row>
    <row r="637" spans="2:4" ht="15" x14ac:dyDescent="0.2">
      <c r="B637" s="888">
        <v>723</v>
      </c>
      <c r="C637" s="876" t="s">
        <v>1735</v>
      </c>
      <c r="D637" s="889">
        <v>547.366669</v>
      </c>
    </row>
    <row r="638" spans="2:4" x14ac:dyDescent="0.2">
      <c r="B638" s="876">
        <v>724</v>
      </c>
      <c r="C638" s="876" t="s">
        <v>1736</v>
      </c>
      <c r="D638" s="851">
        <v>582.57501200000002</v>
      </c>
    </row>
    <row r="639" spans="2:4" x14ac:dyDescent="0.2">
      <c r="B639" s="876">
        <v>725</v>
      </c>
      <c r="C639" s="876" t="s">
        <v>1342</v>
      </c>
      <c r="D639" s="851">
        <v>594.15713900000003</v>
      </c>
    </row>
    <row r="640" spans="2:4" x14ac:dyDescent="0.2">
      <c r="B640" s="876">
        <v>726</v>
      </c>
      <c r="C640" s="876" t="s">
        <v>1389</v>
      </c>
      <c r="D640" s="851">
        <v>586.60000600000001</v>
      </c>
    </row>
    <row r="641" spans="2:4" ht="15" x14ac:dyDescent="0.2">
      <c r="B641" s="888">
        <v>727</v>
      </c>
      <c r="C641" s="876" t="s">
        <v>1737</v>
      </c>
      <c r="D641" s="889">
        <v>544.13750800000003</v>
      </c>
    </row>
    <row r="642" spans="2:4" ht="15" x14ac:dyDescent="0.2">
      <c r="B642" s="888">
        <v>728</v>
      </c>
      <c r="C642" s="876" t="s">
        <v>1738</v>
      </c>
      <c r="D642" s="889">
        <v>545.51428699999997</v>
      </c>
    </row>
    <row r="643" spans="2:4" x14ac:dyDescent="0.2">
      <c r="B643" s="876">
        <v>729</v>
      </c>
      <c r="C643" s="876" t="s">
        <v>1739</v>
      </c>
      <c r="D643" s="851">
        <v>577.96922900000004</v>
      </c>
    </row>
    <row r="644" spans="2:4" x14ac:dyDescent="0.2">
      <c r="B644" s="876">
        <v>730</v>
      </c>
      <c r="C644" s="876" t="s">
        <v>1740</v>
      </c>
      <c r="D644" s="851">
        <v>608.71666500000003</v>
      </c>
    </row>
    <row r="645" spans="2:4" x14ac:dyDescent="0.2">
      <c r="B645" s="876">
        <v>731</v>
      </c>
      <c r="C645" s="876" t="s">
        <v>1741</v>
      </c>
      <c r="D645" s="851">
        <v>607.47499100000005</v>
      </c>
    </row>
    <row r="646" spans="2:4" x14ac:dyDescent="0.2">
      <c r="B646" s="876">
        <v>732</v>
      </c>
      <c r="C646" s="876" t="s">
        <v>1742</v>
      </c>
      <c r="D646" s="851">
        <v>598.50908900000002</v>
      </c>
    </row>
    <row r="647" spans="2:4" x14ac:dyDescent="0.2">
      <c r="B647" s="876">
        <v>733</v>
      </c>
      <c r="C647" s="876" t="s">
        <v>1743</v>
      </c>
      <c r="D647" s="851">
        <v>607.01111500000002</v>
      </c>
    </row>
    <row r="648" spans="2:4" x14ac:dyDescent="0.2">
      <c r="B648" s="876">
        <v>734</v>
      </c>
      <c r="C648" s="876" t="s">
        <v>1744</v>
      </c>
      <c r="D648" s="851">
        <v>591.16668700000002</v>
      </c>
    </row>
    <row r="649" spans="2:4" x14ac:dyDescent="0.2">
      <c r="B649" s="876">
        <v>735</v>
      </c>
      <c r="C649" s="876" t="s">
        <v>1745</v>
      </c>
      <c r="D649" s="851">
        <v>583.40000199999997</v>
      </c>
    </row>
    <row r="650" spans="2:4" x14ac:dyDescent="0.2">
      <c r="B650" s="876">
        <v>736</v>
      </c>
      <c r="C650" s="876" t="s">
        <v>1746</v>
      </c>
      <c r="D650" s="851">
        <v>575.27500899999995</v>
      </c>
    </row>
    <row r="651" spans="2:4" ht="15" x14ac:dyDescent="0.2">
      <c r="B651" s="888">
        <v>737</v>
      </c>
      <c r="C651" s="876" t="s">
        <v>1747</v>
      </c>
      <c r="D651" s="889">
        <v>539.57142899999997</v>
      </c>
    </row>
    <row r="652" spans="2:4" x14ac:dyDescent="0.2">
      <c r="B652" s="876">
        <v>738</v>
      </c>
      <c r="C652" s="876" t="s">
        <v>1748</v>
      </c>
      <c r="D652" s="851">
        <v>563.19999199999995</v>
      </c>
    </row>
    <row r="653" spans="2:4" x14ac:dyDescent="0.2">
      <c r="B653" s="876">
        <v>739</v>
      </c>
      <c r="C653" s="876" t="s">
        <v>1749</v>
      </c>
      <c r="D653" s="851">
        <v>572.34999100000005</v>
      </c>
    </row>
    <row r="654" spans="2:4" x14ac:dyDescent="0.2">
      <c r="B654" s="876">
        <v>740</v>
      </c>
      <c r="C654" s="876" t="s">
        <v>1750</v>
      </c>
      <c r="D654" s="851">
        <v>579.78999599999997</v>
      </c>
    </row>
    <row r="655" spans="2:4" x14ac:dyDescent="0.2">
      <c r="B655" s="876">
        <v>741</v>
      </c>
      <c r="C655" s="876" t="s">
        <v>1751</v>
      </c>
      <c r="D655" s="851">
        <v>567.64284799999996</v>
      </c>
    </row>
    <row r="656" spans="2:4" x14ac:dyDescent="0.2">
      <c r="B656" s="876">
        <v>742</v>
      </c>
      <c r="C656" s="876" t="s">
        <v>1752</v>
      </c>
      <c r="D656" s="851">
        <v>553.80001800000002</v>
      </c>
    </row>
    <row r="657" spans="2:4" x14ac:dyDescent="0.2">
      <c r="B657" s="876">
        <v>743</v>
      </c>
      <c r="C657" s="876" t="s">
        <v>1753</v>
      </c>
      <c r="D657" s="851">
        <v>557.03998999999999</v>
      </c>
    </row>
    <row r="658" spans="2:4" ht="15" x14ac:dyDescent="0.2">
      <c r="B658" s="888">
        <v>744</v>
      </c>
      <c r="C658" s="876" t="s">
        <v>1754</v>
      </c>
      <c r="D658" s="889">
        <v>534.91666899999996</v>
      </c>
    </row>
    <row r="659" spans="2:4" x14ac:dyDescent="0.2">
      <c r="B659" s="876">
        <v>745</v>
      </c>
      <c r="C659" s="876" t="s">
        <v>1755</v>
      </c>
      <c r="D659" s="851">
        <v>557.77999299999999</v>
      </c>
    </row>
    <row r="660" spans="2:4" x14ac:dyDescent="0.2">
      <c r="B660" s="876">
        <v>746</v>
      </c>
      <c r="C660" s="876" t="s">
        <v>1756</v>
      </c>
      <c r="D660" s="851">
        <v>600.633331</v>
      </c>
    </row>
    <row r="661" spans="2:4" x14ac:dyDescent="0.2">
      <c r="B661" s="876">
        <v>747</v>
      </c>
      <c r="C661" s="876" t="s">
        <v>1757</v>
      </c>
      <c r="D661" s="851">
        <v>601.70000000000005</v>
      </c>
    </row>
    <row r="662" spans="2:4" x14ac:dyDescent="0.2">
      <c r="B662" s="876">
        <v>748</v>
      </c>
      <c r="C662" s="876" t="s">
        <v>1758</v>
      </c>
      <c r="D662" s="851">
        <v>591.23999000000003</v>
      </c>
    </row>
    <row r="663" spans="2:4" x14ac:dyDescent="0.2">
      <c r="B663" s="876">
        <v>749</v>
      </c>
      <c r="C663" s="876" t="s">
        <v>1759</v>
      </c>
      <c r="D663" s="851">
        <v>585.96665399999995</v>
      </c>
    </row>
    <row r="664" spans="2:4" x14ac:dyDescent="0.2">
      <c r="B664" s="876">
        <v>750</v>
      </c>
      <c r="C664" s="876" t="s">
        <v>1760</v>
      </c>
      <c r="D664" s="851">
        <v>550.75715000000002</v>
      </c>
    </row>
    <row r="665" spans="2:4" ht="15" x14ac:dyDescent="0.2">
      <c r="B665" s="888">
        <v>751</v>
      </c>
      <c r="C665" s="876" t="s">
        <v>1761</v>
      </c>
      <c r="D665" s="889">
        <v>541.91999499999997</v>
      </c>
    </row>
    <row r="666" spans="2:4" x14ac:dyDescent="0.2">
      <c r="B666" s="876">
        <v>752</v>
      </c>
      <c r="C666" s="876" t="s">
        <v>1762</v>
      </c>
      <c r="D666" s="851">
        <v>552.41334600000005</v>
      </c>
    </row>
    <row r="667" spans="2:4" x14ac:dyDescent="0.2">
      <c r="B667" s="876">
        <v>753</v>
      </c>
      <c r="C667" s="876" t="s">
        <v>1763</v>
      </c>
      <c r="D667" s="851">
        <v>625.69999700000005</v>
      </c>
    </row>
    <row r="668" spans="2:4" x14ac:dyDescent="0.2">
      <c r="B668" s="876">
        <v>754</v>
      </c>
      <c r="C668" s="876" t="s">
        <v>1764</v>
      </c>
      <c r="D668" s="851">
        <v>602.24998500000004</v>
      </c>
    </row>
    <row r="669" spans="2:4" x14ac:dyDescent="0.2">
      <c r="B669" s="876">
        <v>755</v>
      </c>
      <c r="C669" s="876" t="s">
        <v>1765</v>
      </c>
      <c r="D669" s="851">
        <v>591.97778300000004</v>
      </c>
    </row>
    <row r="670" spans="2:4" x14ac:dyDescent="0.2">
      <c r="B670" s="876">
        <v>756</v>
      </c>
      <c r="C670" s="876" t="s">
        <v>1766</v>
      </c>
      <c r="D670" s="851">
        <v>570.90000699999996</v>
      </c>
    </row>
    <row r="671" spans="2:4" ht="15" x14ac:dyDescent="0.2">
      <c r="B671" s="888">
        <v>757</v>
      </c>
      <c r="C671" s="876" t="s">
        <v>1767</v>
      </c>
      <c r="D671" s="889">
        <v>548.29999799999996</v>
      </c>
    </row>
    <row r="672" spans="2:4" x14ac:dyDescent="0.2">
      <c r="B672" s="876">
        <v>758</v>
      </c>
      <c r="C672" s="876" t="s">
        <v>1768</v>
      </c>
      <c r="D672" s="851">
        <v>617.18000500000005</v>
      </c>
    </row>
    <row r="673" spans="2:4" x14ac:dyDescent="0.2">
      <c r="B673" s="876">
        <v>759</v>
      </c>
      <c r="C673" s="876" t="s">
        <v>1769</v>
      </c>
      <c r="D673" s="851">
        <v>600.55000299999995</v>
      </c>
    </row>
    <row r="674" spans="2:4" x14ac:dyDescent="0.2">
      <c r="B674" s="876">
        <v>760</v>
      </c>
      <c r="C674" s="876" t="s">
        <v>1770</v>
      </c>
      <c r="D674" s="851">
        <v>570.75999100000001</v>
      </c>
    </row>
    <row r="675" spans="2:4" x14ac:dyDescent="0.2">
      <c r="B675" s="876">
        <v>761</v>
      </c>
      <c r="C675" s="876" t="s">
        <v>1771</v>
      </c>
      <c r="D675" s="851">
        <v>552.69999700000005</v>
      </c>
    </row>
    <row r="676" spans="2:4" x14ac:dyDescent="0.2">
      <c r="B676" s="876">
        <v>762</v>
      </c>
      <c r="C676" s="876" t="s">
        <v>1772</v>
      </c>
      <c r="D676" s="851">
        <v>551.44998199999998</v>
      </c>
    </row>
    <row r="677" spans="2:4" x14ac:dyDescent="0.2">
      <c r="B677" s="876">
        <v>763</v>
      </c>
      <c r="C677" s="876" t="s">
        <v>1773</v>
      </c>
      <c r="D677" s="851">
        <v>650.57777199999998</v>
      </c>
    </row>
    <row r="678" spans="2:4" x14ac:dyDescent="0.2">
      <c r="B678" s="876">
        <v>764</v>
      </c>
      <c r="C678" s="876" t="s">
        <v>1663</v>
      </c>
      <c r="D678" s="851">
        <v>623.85000600000001</v>
      </c>
    </row>
    <row r="679" spans="2:4" x14ac:dyDescent="0.2">
      <c r="B679" s="876">
        <v>765</v>
      </c>
      <c r="C679" s="876" t="s">
        <v>1774</v>
      </c>
      <c r="D679" s="851">
        <v>623.09999300000004</v>
      </c>
    </row>
    <row r="680" spans="2:4" x14ac:dyDescent="0.2">
      <c r="B680" s="876">
        <v>766</v>
      </c>
      <c r="C680" s="876" t="s">
        <v>1775</v>
      </c>
      <c r="D680" s="851">
        <v>562.64444300000002</v>
      </c>
    </row>
    <row r="681" spans="2:4" x14ac:dyDescent="0.2">
      <c r="B681" s="876">
        <v>767</v>
      </c>
      <c r="C681" s="876" t="s">
        <v>1776</v>
      </c>
      <c r="D681" s="851">
        <v>569.04000199999996</v>
      </c>
    </row>
    <row r="682" spans="2:4" x14ac:dyDescent="0.2">
      <c r="B682" s="876">
        <v>768</v>
      </c>
      <c r="C682" s="876" t="s">
        <v>1777</v>
      </c>
      <c r="D682" s="851">
        <v>603.21249799999998</v>
      </c>
    </row>
    <row r="683" spans="2:4" x14ac:dyDescent="0.2">
      <c r="B683" s="876">
        <v>769</v>
      </c>
      <c r="C683" s="876" t="s">
        <v>1778</v>
      </c>
      <c r="D683" s="851">
        <v>585.42000099999996</v>
      </c>
    </row>
    <row r="684" spans="2:4" x14ac:dyDescent="0.2">
      <c r="B684" s="876">
        <v>770</v>
      </c>
      <c r="C684" s="876" t="s">
        <v>1238</v>
      </c>
      <c r="D684" s="851">
        <v>582.67500299999995</v>
      </c>
    </row>
    <row r="685" spans="2:4" x14ac:dyDescent="0.2">
      <c r="B685" s="876">
        <v>771</v>
      </c>
      <c r="C685" s="876" t="s">
        <v>1779</v>
      </c>
      <c r="D685" s="851">
        <v>654.39999399999999</v>
      </c>
    </row>
    <row r="686" spans="2:4" x14ac:dyDescent="0.2">
      <c r="B686" s="876">
        <v>772</v>
      </c>
      <c r="C686" s="876" t="s">
        <v>1780</v>
      </c>
      <c r="D686" s="851">
        <v>602.26668299999994</v>
      </c>
    </row>
    <row r="687" spans="2:4" x14ac:dyDescent="0.2">
      <c r="B687" s="876">
        <v>773</v>
      </c>
      <c r="C687" s="876" t="s">
        <v>1781</v>
      </c>
      <c r="D687" s="851">
        <v>592.09999100000005</v>
      </c>
    </row>
    <row r="688" spans="2:4" x14ac:dyDescent="0.2">
      <c r="B688" s="876">
        <v>774</v>
      </c>
      <c r="C688" s="876" t="s">
        <v>1782</v>
      </c>
      <c r="D688" s="851">
        <v>619.45554900000002</v>
      </c>
    </row>
    <row r="689" spans="2:4" x14ac:dyDescent="0.2">
      <c r="B689" s="876">
        <v>775</v>
      </c>
      <c r="C689" s="876" t="s">
        <v>1783</v>
      </c>
      <c r="D689" s="851">
        <v>589.18181800000002</v>
      </c>
    </row>
    <row r="690" spans="2:4" x14ac:dyDescent="0.2">
      <c r="B690" s="876">
        <v>776</v>
      </c>
      <c r="C690" s="876" t="s">
        <v>1784</v>
      </c>
      <c r="D690" s="851">
        <v>612.83335399999999</v>
      </c>
    </row>
    <row r="691" spans="2:4" x14ac:dyDescent="0.2">
      <c r="B691" s="876">
        <v>777</v>
      </c>
      <c r="C691" s="876" t="s">
        <v>1785</v>
      </c>
      <c r="D691" s="851">
        <v>612.79998799999998</v>
      </c>
    </row>
    <row r="692" spans="2:4" x14ac:dyDescent="0.2">
      <c r="B692" s="876">
        <v>778</v>
      </c>
      <c r="C692" s="876" t="s">
        <v>1786</v>
      </c>
      <c r="D692" s="851">
        <v>645.55001800000002</v>
      </c>
    </row>
    <row r="693" spans="2:4" x14ac:dyDescent="0.2">
      <c r="B693" s="876">
        <v>801</v>
      </c>
      <c r="C693" s="876" t="s">
        <v>1787</v>
      </c>
      <c r="D693" s="851">
        <v>588.97778300000004</v>
      </c>
    </row>
    <row r="694" spans="2:4" x14ac:dyDescent="0.2">
      <c r="B694" s="876">
        <v>802</v>
      </c>
      <c r="C694" s="876" t="s">
        <v>1788</v>
      </c>
      <c r="D694" s="851">
        <v>599.63333499999999</v>
      </c>
    </row>
    <row r="695" spans="2:4" x14ac:dyDescent="0.2">
      <c r="B695" s="876">
        <v>803</v>
      </c>
      <c r="C695" s="876" t="s">
        <v>1789</v>
      </c>
      <c r="D695" s="851">
        <v>619.1</v>
      </c>
    </row>
    <row r="696" spans="2:4" x14ac:dyDescent="0.2">
      <c r="B696" s="876">
        <v>804</v>
      </c>
      <c r="C696" s="876" t="s">
        <v>1790</v>
      </c>
      <c r="D696" s="851">
        <v>589.39998400000002</v>
      </c>
    </row>
    <row r="697" spans="2:4" x14ac:dyDescent="0.2">
      <c r="B697" s="876">
        <v>805</v>
      </c>
      <c r="C697" s="876" t="s">
        <v>1791</v>
      </c>
      <c r="D697" s="851">
        <v>614.85999800000002</v>
      </c>
    </row>
    <row r="698" spans="2:4" x14ac:dyDescent="0.2">
      <c r="B698" s="876">
        <v>806</v>
      </c>
      <c r="C698" s="876" t="s">
        <v>1792</v>
      </c>
      <c r="D698" s="851">
        <v>604.41999499999997</v>
      </c>
    </row>
    <row r="699" spans="2:4" x14ac:dyDescent="0.2">
      <c r="B699" s="876">
        <v>807</v>
      </c>
      <c r="C699" s="876" t="s">
        <v>1793</v>
      </c>
      <c r="D699" s="851">
        <v>609.02500899999995</v>
      </c>
    </row>
    <row r="700" spans="2:4" x14ac:dyDescent="0.2">
      <c r="B700" s="876">
        <v>808</v>
      </c>
      <c r="C700" s="876" t="s">
        <v>1794</v>
      </c>
      <c r="D700" s="851">
        <v>594.81428700000004</v>
      </c>
    </row>
    <row r="701" spans="2:4" x14ac:dyDescent="0.2">
      <c r="B701" s="876">
        <v>809</v>
      </c>
      <c r="C701" s="876" t="s">
        <v>1743</v>
      </c>
      <c r="D701" s="851">
        <v>590.759998</v>
      </c>
    </row>
    <row r="702" spans="2:4" x14ac:dyDescent="0.2">
      <c r="B702" s="876">
        <v>810</v>
      </c>
      <c r="C702" s="876" t="s">
        <v>1795</v>
      </c>
      <c r="D702" s="851">
        <v>623.20001200000002</v>
      </c>
    </row>
    <row r="703" spans="2:4" x14ac:dyDescent="0.2">
      <c r="B703" s="876">
        <v>811</v>
      </c>
      <c r="C703" s="876" t="s">
        <v>1796</v>
      </c>
      <c r="D703" s="851">
        <v>664.82999900000004</v>
      </c>
    </row>
    <row r="704" spans="2:4" x14ac:dyDescent="0.2">
      <c r="B704" s="876">
        <v>812</v>
      </c>
      <c r="C704" s="876" t="s">
        <v>1797</v>
      </c>
      <c r="D704" s="851">
        <v>614.85000600000001</v>
      </c>
    </row>
    <row r="705" spans="2:4" x14ac:dyDescent="0.2">
      <c r="B705" s="876">
        <v>813</v>
      </c>
      <c r="C705" s="876" t="s">
        <v>1798</v>
      </c>
      <c r="D705" s="851">
        <v>619.97776999999996</v>
      </c>
    </row>
    <row r="706" spans="2:4" x14ac:dyDescent="0.2">
      <c r="B706" s="876">
        <v>814</v>
      </c>
      <c r="C706" s="876" t="s">
        <v>1799</v>
      </c>
      <c r="D706" s="851">
        <v>619.47500600000001</v>
      </c>
    </row>
    <row r="707" spans="2:4" x14ac:dyDescent="0.2">
      <c r="B707" s="876">
        <v>815</v>
      </c>
      <c r="C707" s="876" t="s">
        <v>1800</v>
      </c>
      <c r="D707" s="851">
        <v>613.72726699999998</v>
      </c>
    </row>
    <row r="708" spans="2:4" x14ac:dyDescent="0.2">
      <c r="B708" s="876">
        <v>816</v>
      </c>
      <c r="C708" s="876" t="s">
        <v>1389</v>
      </c>
      <c r="D708" s="851">
        <v>615.5</v>
      </c>
    </row>
    <row r="709" spans="2:4" x14ac:dyDescent="0.2">
      <c r="B709" s="876">
        <v>817</v>
      </c>
      <c r="C709" s="876" t="s">
        <v>1801</v>
      </c>
      <c r="D709" s="851">
        <v>590.35000600000001</v>
      </c>
    </row>
    <row r="710" spans="2:4" x14ac:dyDescent="0.2">
      <c r="B710" s="876">
        <v>818</v>
      </c>
      <c r="C710" s="876" t="s">
        <v>1802</v>
      </c>
      <c r="D710" s="851">
        <v>616.88461500000005</v>
      </c>
    </row>
    <row r="711" spans="2:4" x14ac:dyDescent="0.2">
      <c r="B711" s="876">
        <v>819</v>
      </c>
      <c r="C711" s="876" t="s">
        <v>1803</v>
      </c>
      <c r="D711" s="851">
        <v>594.55999799999995</v>
      </c>
    </row>
    <row r="712" spans="2:4" x14ac:dyDescent="0.2">
      <c r="B712" s="876">
        <v>820</v>
      </c>
      <c r="C712" s="876" t="s">
        <v>1804</v>
      </c>
      <c r="D712" s="851">
        <v>596.63334099999997</v>
      </c>
    </row>
    <row r="713" spans="2:4" x14ac:dyDescent="0.2">
      <c r="B713" s="876">
        <v>821</v>
      </c>
      <c r="C713" s="876" t="s">
        <v>1805</v>
      </c>
      <c r="D713" s="851">
        <v>633.39999399999999</v>
      </c>
    </row>
    <row r="714" spans="2:4" x14ac:dyDescent="0.2">
      <c r="B714" s="876">
        <v>822</v>
      </c>
      <c r="C714" s="876" t="s">
        <v>1806</v>
      </c>
      <c r="D714" s="851">
        <v>660.65998500000001</v>
      </c>
    </row>
    <row r="715" spans="2:4" x14ac:dyDescent="0.2">
      <c r="B715" s="876">
        <v>823</v>
      </c>
      <c r="C715" s="876" t="s">
        <v>1807</v>
      </c>
      <c r="D715" s="851">
        <v>598.5</v>
      </c>
    </row>
    <row r="716" spans="2:4" x14ac:dyDescent="0.2">
      <c r="B716" s="876">
        <v>824</v>
      </c>
      <c r="C716" s="876" t="s">
        <v>1808</v>
      </c>
      <c r="D716" s="851">
        <v>626.40002400000003</v>
      </c>
    </row>
    <row r="717" spans="2:4" x14ac:dyDescent="0.2">
      <c r="B717" s="876">
        <v>825</v>
      </c>
      <c r="C717" s="876" t="s">
        <v>1809</v>
      </c>
      <c r="D717" s="851">
        <v>635.22500600000001</v>
      </c>
    </row>
    <row r="718" spans="2:4" x14ac:dyDescent="0.2">
      <c r="B718" s="876">
        <v>826</v>
      </c>
      <c r="C718" s="876" t="s">
        <v>1810</v>
      </c>
      <c r="D718" s="851">
        <v>609.93332899999996</v>
      </c>
    </row>
    <row r="719" spans="2:4" x14ac:dyDescent="0.2">
      <c r="B719" s="876">
        <v>827</v>
      </c>
      <c r="C719" s="876" t="s">
        <v>1811</v>
      </c>
      <c r="D719" s="851">
        <v>613.75</v>
      </c>
    </row>
    <row r="720" spans="2:4" x14ac:dyDescent="0.2">
      <c r="B720" s="876">
        <v>828</v>
      </c>
      <c r="C720" s="876" t="s">
        <v>1812</v>
      </c>
      <c r="D720" s="851">
        <v>629.89999399999999</v>
      </c>
    </row>
    <row r="721" spans="2:4" x14ac:dyDescent="0.2">
      <c r="B721" s="876">
        <v>829</v>
      </c>
      <c r="C721" s="876" t="s">
        <v>1813</v>
      </c>
      <c r="D721" s="851">
        <v>584.75000999999997</v>
      </c>
    </row>
    <row r="722" spans="2:4" x14ac:dyDescent="0.2">
      <c r="B722" s="876">
        <v>830</v>
      </c>
      <c r="C722" s="876" t="s">
        <v>1814</v>
      </c>
      <c r="D722" s="851">
        <v>603.52857300000005</v>
      </c>
    </row>
    <row r="723" spans="2:4" x14ac:dyDescent="0.2">
      <c r="B723" s="876">
        <v>831</v>
      </c>
      <c r="C723" s="876" t="s">
        <v>1815</v>
      </c>
      <c r="D723" s="851">
        <v>641.58333300000004</v>
      </c>
    </row>
    <row r="724" spans="2:4" x14ac:dyDescent="0.2">
      <c r="B724" s="876">
        <v>832</v>
      </c>
      <c r="C724" s="876" t="s">
        <v>1816</v>
      </c>
      <c r="D724" s="851">
        <v>647.92500299999995</v>
      </c>
    </row>
    <row r="725" spans="2:4" x14ac:dyDescent="0.2">
      <c r="B725" s="876">
        <v>833</v>
      </c>
      <c r="C725" s="876" t="s">
        <v>1817</v>
      </c>
      <c r="D725" s="851">
        <v>632.74999200000002</v>
      </c>
    </row>
    <row r="726" spans="2:4" x14ac:dyDescent="0.2">
      <c r="B726" s="876">
        <v>834</v>
      </c>
      <c r="C726" s="876" t="s">
        <v>1818</v>
      </c>
      <c r="D726" s="851">
        <v>634.34285199999999</v>
      </c>
    </row>
    <row r="727" spans="2:4" x14ac:dyDescent="0.2">
      <c r="B727" s="876">
        <v>835</v>
      </c>
      <c r="C727" s="876" t="s">
        <v>1819</v>
      </c>
      <c r="D727" s="851">
        <v>628.08749399999999</v>
      </c>
    </row>
    <row r="728" spans="2:4" x14ac:dyDescent="0.2">
      <c r="B728" s="876">
        <v>836</v>
      </c>
      <c r="C728" s="876" t="s">
        <v>1820</v>
      </c>
      <c r="D728" s="851">
        <v>626.616669</v>
      </c>
    </row>
    <row r="729" spans="2:4" x14ac:dyDescent="0.2">
      <c r="B729" s="876">
        <v>837</v>
      </c>
      <c r="C729" s="876" t="s">
        <v>1821</v>
      </c>
      <c r="D729" s="851">
        <v>599.44000200000005</v>
      </c>
    </row>
    <row r="730" spans="2:4" x14ac:dyDescent="0.2">
      <c r="B730" s="876">
        <v>838</v>
      </c>
      <c r="C730" s="876" t="s">
        <v>1822</v>
      </c>
      <c r="D730" s="851">
        <v>636.55555600000002</v>
      </c>
    </row>
    <row r="731" spans="2:4" x14ac:dyDescent="0.2">
      <c r="B731" s="876">
        <v>839</v>
      </c>
      <c r="C731" s="876" t="s">
        <v>1823</v>
      </c>
      <c r="D731" s="851">
        <v>651</v>
      </c>
    </row>
    <row r="732" spans="2:4" x14ac:dyDescent="0.2">
      <c r="B732" s="876">
        <v>840</v>
      </c>
      <c r="C732" s="876" t="s">
        <v>1824</v>
      </c>
      <c r="D732" s="851">
        <v>607.30001800000002</v>
      </c>
    </row>
    <row r="733" spans="2:4" x14ac:dyDescent="0.2">
      <c r="B733" s="876">
        <v>841</v>
      </c>
      <c r="C733" s="876" t="s">
        <v>1825</v>
      </c>
      <c r="D733" s="851">
        <v>594.125</v>
      </c>
    </row>
    <row r="734" spans="2:4" x14ac:dyDescent="0.2">
      <c r="B734" s="876">
        <v>842</v>
      </c>
      <c r="C734" s="876" t="s">
        <v>1826</v>
      </c>
      <c r="D734" s="851">
        <v>606.375</v>
      </c>
    </row>
    <row r="735" spans="2:4" x14ac:dyDescent="0.2">
      <c r="B735" s="876">
        <v>843</v>
      </c>
      <c r="C735" s="876" t="s">
        <v>1827</v>
      </c>
      <c r="D735" s="851">
        <v>594.25</v>
      </c>
    </row>
    <row r="736" spans="2:4" x14ac:dyDescent="0.2">
      <c r="B736" s="876">
        <v>844</v>
      </c>
      <c r="C736" s="876" t="s">
        <v>1828</v>
      </c>
      <c r="D736" s="851">
        <v>629.28572299999996</v>
      </c>
    </row>
    <row r="737" spans="2:4" x14ac:dyDescent="0.2">
      <c r="B737" s="876">
        <v>845</v>
      </c>
      <c r="C737" s="876" t="s">
        <v>1829</v>
      </c>
      <c r="D737" s="851">
        <v>647.00000399999999</v>
      </c>
    </row>
    <row r="738" spans="2:4" x14ac:dyDescent="0.2">
      <c r="B738" s="876">
        <v>846</v>
      </c>
      <c r="C738" s="876" t="s">
        <v>1830</v>
      </c>
      <c r="D738" s="851">
        <v>656.100008</v>
      </c>
    </row>
    <row r="739" spans="2:4" x14ac:dyDescent="0.2">
      <c r="B739" s="876">
        <v>847</v>
      </c>
      <c r="C739" s="876" t="s">
        <v>1831</v>
      </c>
      <c r="D739" s="851">
        <v>641.96875</v>
      </c>
    </row>
    <row r="740" spans="2:4" x14ac:dyDescent="0.2">
      <c r="B740" s="876">
        <v>848</v>
      </c>
      <c r="C740" s="876" t="s">
        <v>1832</v>
      </c>
      <c r="D740" s="851">
        <v>642.19412399999999</v>
      </c>
    </row>
    <row r="741" spans="2:4" x14ac:dyDescent="0.2">
      <c r="B741" s="876">
        <v>849</v>
      </c>
      <c r="C741" s="876" t="s">
        <v>1833</v>
      </c>
      <c r="D741" s="851">
        <v>634.29999999999995</v>
      </c>
    </row>
    <row r="742" spans="2:4" x14ac:dyDescent="0.2">
      <c r="B742" s="876">
        <v>850</v>
      </c>
      <c r="C742" s="876" t="s">
        <v>1834</v>
      </c>
      <c r="D742" s="851">
        <v>614.85999800000002</v>
      </c>
    </row>
    <row r="743" spans="2:4" x14ac:dyDescent="0.2">
      <c r="B743" s="876">
        <v>851</v>
      </c>
      <c r="C743" s="876" t="s">
        <v>1835</v>
      </c>
      <c r="D743" s="851">
        <v>608.41427199999998</v>
      </c>
    </row>
    <row r="744" spans="2:4" x14ac:dyDescent="0.2">
      <c r="B744" s="876">
        <v>852</v>
      </c>
      <c r="C744" s="876" t="s">
        <v>1836</v>
      </c>
      <c r="D744" s="851">
        <v>645.20001200000002</v>
      </c>
    </row>
    <row r="745" spans="2:4" x14ac:dyDescent="0.2">
      <c r="B745" s="876">
        <v>853</v>
      </c>
      <c r="C745" s="876" t="s">
        <v>1837</v>
      </c>
      <c r="D745" s="851">
        <v>684.37499500000001</v>
      </c>
    </row>
    <row r="746" spans="2:4" x14ac:dyDescent="0.2">
      <c r="B746" s="876">
        <v>854</v>
      </c>
      <c r="C746" s="876" t="s">
        <v>1838</v>
      </c>
      <c r="D746" s="851">
        <v>580.64445000000001</v>
      </c>
    </row>
    <row r="747" spans="2:4" x14ac:dyDescent="0.2">
      <c r="B747" s="876">
        <v>855</v>
      </c>
      <c r="C747" s="876" t="s">
        <v>1839</v>
      </c>
      <c r="D747" s="851">
        <v>591.96666800000003</v>
      </c>
    </row>
    <row r="748" spans="2:4" x14ac:dyDescent="0.2">
      <c r="B748" s="876">
        <v>856</v>
      </c>
      <c r="C748" s="876" t="s">
        <v>1840</v>
      </c>
      <c r="D748" s="851">
        <v>582.67500299999995</v>
      </c>
    </row>
    <row r="749" spans="2:4" x14ac:dyDescent="0.2">
      <c r="B749" s="876">
        <v>857</v>
      </c>
      <c r="C749" s="876" t="s">
        <v>1841</v>
      </c>
      <c r="D749" s="851">
        <v>593.728568</v>
      </c>
    </row>
    <row r="750" spans="2:4" x14ac:dyDescent="0.2">
      <c r="B750" s="876">
        <v>858</v>
      </c>
      <c r="C750" s="876" t="s">
        <v>1842</v>
      </c>
      <c r="D750" s="851">
        <v>616.02499399999999</v>
      </c>
    </row>
    <row r="751" spans="2:4" x14ac:dyDescent="0.2">
      <c r="B751" s="876">
        <v>859</v>
      </c>
      <c r="C751" s="876" t="s">
        <v>1843</v>
      </c>
      <c r="D751" s="851">
        <v>604.02857300000005</v>
      </c>
    </row>
    <row r="752" spans="2:4" x14ac:dyDescent="0.2">
      <c r="B752" s="876">
        <v>860</v>
      </c>
      <c r="C752" s="876" t="s">
        <v>1844</v>
      </c>
      <c r="D752" s="851">
        <v>625.30000299999995</v>
      </c>
    </row>
    <row r="753" spans="2:4" x14ac:dyDescent="0.2">
      <c r="B753" s="876">
        <v>861</v>
      </c>
      <c r="C753" s="876" t="s">
        <v>1845</v>
      </c>
      <c r="D753" s="851">
        <v>658.57499700000005</v>
      </c>
    </row>
    <row r="754" spans="2:4" x14ac:dyDescent="0.2">
      <c r="B754" s="876">
        <v>862</v>
      </c>
      <c r="C754" s="876" t="s">
        <v>1846</v>
      </c>
      <c r="D754" s="851">
        <v>648.9</v>
      </c>
    </row>
    <row r="755" spans="2:4" x14ac:dyDescent="0.2">
      <c r="B755" s="876">
        <v>863</v>
      </c>
      <c r="C755" s="876" t="s">
        <v>1847</v>
      </c>
      <c r="D755" s="851">
        <v>614.92857100000003</v>
      </c>
    </row>
    <row r="756" spans="2:4" x14ac:dyDescent="0.2">
      <c r="B756" s="876">
        <v>864</v>
      </c>
      <c r="C756" s="876" t="s">
        <v>1848</v>
      </c>
      <c r="D756" s="851">
        <v>610.4</v>
      </c>
    </row>
    <row r="757" spans="2:4" x14ac:dyDescent="0.2">
      <c r="B757" s="876">
        <v>865</v>
      </c>
      <c r="C757" s="876" t="s">
        <v>1849</v>
      </c>
      <c r="D757" s="851">
        <v>638.27500899999995</v>
      </c>
    </row>
    <row r="758" spans="2:4" x14ac:dyDescent="0.2">
      <c r="B758" s="876">
        <v>866</v>
      </c>
      <c r="C758" s="876" t="s">
        <v>1850</v>
      </c>
      <c r="D758" s="851">
        <v>586.57777899999996</v>
      </c>
    </row>
    <row r="759" spans="2:4" x14ac:dyDescent="0.2">
      <c r="B759" s="876">
        <v>867</v>
      </c>
      <c r="C759" s="876" t="s">
        <v>1851</v>
      </c>
      <c r="D759" s="851">
        <v>605.20001200000002</v>
      </c>
    </row>
    <row r="760" spans="2:4" x14ac:dyDescent="0.2">
      <c r="B760" s="876">
        <v>868</v>
      </c>
      <c r="C760" s="876" t="s">
        <v>1852</v>
      </c>
      <c r="D760" s="851">
        <v>606</v>
      </c>
    </row>
    <row r="761" spans="2:4" x14ac:dyDescent="0.2">
      <c r="B761" s="876">
        <v>869</v>
      </c>
      <c r="C761" s="876" t="s">
        <v>1853</v>
      </c>
      <c r="D761" s="851">
        <v>609.714294</v>
      </c>
    </row>
    <row r="762" spans="2:4" x14ac:dyDescent="0.2">
      <c r="B762" s="876">
        <v>870</v>
      </c>
      <c r="C762" s="876" t="s">
        <v>1854</v>
      </c>
      <c r="D762" s="851">
        <v>600.95999800000004</v>
      </c>
    </row>
    <row r="763" spans="2:4" x14ac:dyDescent="0.2">
      <c r="B763" s="876">
        <v>871</v>
      </c>
      <c r="C763" s="876" t="s">
        <v>1855</v>
      </c>
      <c r="D763" s="851">
        <v>575.29998799999998</v>
      </c>
    </row>
    <row r="764" spans="2:4" x14ac:dyDescent="0.2">
      <c r="B764" s="876">
        <v>872</v>
      </c>
      <c r="C764" s="876" t="s">
        <v>1856</v>
      </c>
      <c r="D764" s="851">
        <v>572.35000600000001</v>
      </c>
    </row>
    <row r="765" spans="2:4" x14ac:dyDescent="0.2">
      <c r="B765" s="876">
        <v>873</v>
      </c>
      <c r="C765" s="876" t="s">
        <v>1857</v>
      </c>
      <c r="D765" s="851">
        <v>566.62000699999999</v>
      </c>
    </row>
    <row r="766" spans="2:4" x14ac:dyDescent="0.2">
      <c r="B766" s="876">
        <v>874</v>
      </c>
      <c r="C766" s="876" t="s">
        <v>1858</v>
      </c>
      <c r="D766" s="851">
        <v>574.14999399999999</v>
      </c>
    </row>
    <row r="767" spans="2:4" x14ac:dyDescent="0.2">
      <c r="B767" s="876">
        <v>875</v>
      </c>
      <c r="C767" s="876" t="s">
        <v>1135</v>
      </c>
      <c r="D767" s="851">
        <v>618.59998900000005</v>
      </c>
    </row>
    <row r="768" spans="2:4" x14ac:dyDescent="0.2">
      <c r="B768" s="876">
        <v>876</v>
      </c>
      <c r="C768" s="876" t="s">
        <v>1859</v>
      </c>
      <c r="D768" s="851">
        <v>625.47499800000003</v>
      </c>
    </row>
    <row r="769" spans="2:4" x14ac:dyDescent="0.2">
      <c r="B769" s="876">
        <v>877</v>
      </c>
      <c r="C769" s="876" t="s">
        <v>1860</v>
      </c>
      <c r="D769" s="851">
        <v>640.07777899999996</v>
      </c>
    </row>
    <row r="770" spans="2:4" x14ac:dyDescent="0.2">
      <c r="B770" s="876">
        <v>878</v>
      </c>
      <c r="C770" s="876" t="s">
        <v>1828</v>
      </c>
      <c r="D770" s="851">
        <v>616.98749499999997</v>
      </c>
    </row>
    <row r="771" spans="2:4" x14ac:dyDescent="0.2">
      <c r="B771" s="876">
        <v>879</v>
      </c>
      <c r="C771" s="876" t="s">
        <v>1861</v>
      </c>
      <c r="D771" s="851">
        <v>632.02500899999995</v>
      </c>
    </row>
    <row r="772" spans="2:4" x14ac:dyDescent="0.2">
      <c r="B772" s="876">
        <v>880</v>
      </c>
      <c r="C772" s="876" t="s">
        <v>1862</v>
      </c>
      <c r="D772" s="851">
        <v>596.79998799999998</v>
      </c>
    </row>
    <row r="773" spans="2:4" x14ac:dyDescent="0.2">
      <c r="B773" s="876">
        <v>881</v>
      </c>
      <c r="C773" s="876" t="s">
        <v>1863</v>
      </c>
      <c r="D773" s="851">
        <v>601.15999799999997</v>
      </c>
    </row>
    <row r="774" spans="2:4" x14ac:dyDescent="0.2">
      <c r="B774" s="876">
        <v>882</v>
      </c>
      <c r="C774" s="876" t="s">
        <v>1864</v>
      </c>
      <c r="D774" s="851">
        <v>668.78332999999998</v>
      </c>
    </row>
    <row r="775" spans="2:4" x14ac:dyDescent="0.2">
      <c r="B775" s="876">
        <v>883</v>
      </c>
      <c r="C775" s="876" t="s">
        <v>1498</v>
      </c>
      <c r="D775" s="851">
        <v>722.45999800000004</v>
      </c>
    </row>
    <row r="776" spans="2:4" x14ac:dyDescent="0.2">
      <c r="B776" s="876">
        <v>884</v>
      </c>
      <c r="C776" s="876" t="s">
        <v>1865</v>
      </c>
      <c r="D776" s="851">
        <v>623.84997599999997</v>
      </c>
    </row>
    <row r="777" spans="2:4" x14ac:dyDescent="0.2">
      <c r="B777" s="876">
        <v>885</v>
      </c>
      <c r="C777" s="876" t="s">
        <v>1866</v>
      </c>
      <c r="D777" s="851">
        <v>613.54546000000005</v>
      </c>
    </row>
    <row r="778" spans="2:4" x14ac:dyDescent="0.2">
      <c r="B778" s="876">
        <v>886</v>
      </c>
      <c r="C778" s="876" t="s">
        <v>1316</v>
      </c>
      <c r="D778" s="851">
        <v>613.82498199999998</v>
      </c>
    </row>
    <row r="779" spans="2:4" x14ac:dyDescent="0.2">
      <c r="B779" s="876">
        <v>887</v>
      </c>
      <c r="C779" s="876" t="s">
        <v>1867</v>
      </c>
      <c r="D779" s="851">
        <v>619</v>
      </c>
    </row>
    <row r="780" spans="2:4" x14ac:dyDescent="0.2">
      <c r="B780" s="876">
        <v>888</v>
      </c>
      <c r="C780" s="876" t="s">
        <v>1868</v>
      </c>
      <c r="D780" s="851">
        <v>603.19999199999995</v>
      </c>
    </row>
    <row r="781" spans="2:4" x14ac:dyDescent="0.2">
      <c r="B781" s="876">
        <v>889</v>
      </c>
      <c r="C781" s="876" t="s">
        <v>1869</v>
      </c>
      <c r="D781" s="851">
        <v>600.17500299999995</v>
      </c>
    </row>
    <row r="782" spans="2:4" x14ac:dyDescent="0.2">
      <c r="B782" s="876">
        <v>890</v>
      </c>
      <c r="C782" s="876" t="s">
        <v>1870</v>
      </c>
      <c r="D782" s="851">
        <v>560.27333599999997</v>
      </c>
    </row>
    <row r="783" spans="2:4" x14ac:dyDescent="0.2">
      <c r="B783" s="876">
        <v>891</v>
      </c>
      <c r="C783" s="876" t="s">
        <v>373</v>
      </c>
      <c r="D783" s="851">
        <v>553.524136</v>
      </c>
    </row>
    <row r="784" spans="2:4" ht="15" x14ac:dyDescent="0.2">
      <c r="B784" s="888">
        <v>892</v>
      </c>
      <c r="C784" s="876" t="s">
        <v>1871</v>
      </c>
      <c r="D784" s="889">
        <v>545.614284</v>
      </c>
    </row>
    <row r="785" spans="2:4" x14ac:dyDescent="0.2">
      <c r="B785" s="876">
        <v>893</v>
      </c>
      <c r="C785" s="876" t="s">
        <v>1872</v>
      </c>
      <c r="D785" s="851">
        <v>601.259998</v>
      </c>
    </row>
    <row r="786" spans="2:4" x14ac:dyDescent="0.2">
      <c r="B786" s="876">
        <v>894</v>
      </c>
      <c r="C786" s="876" t="s">
        <v>1873</v>
      </c>
      <c r="D786" s="851">
        <v>589.75715000000002</v>
      </c>
    </row>
    <row r="787" spans="2:4" x14ac:dyDescent="0.2">
      <c r="B787" s="876">
        <v>895</v>
      </c>
      <c r="C787" s="876" t="s">
        <v>1874</v>
      </c>
      <c r="D787" s="851">
        <v>651.588888</v>
      </c>
    </row>
    <row r="788" spans="2:4" x14ac:dyDescent="0.2">
      <c r="B788" s="876">
        <v>896</v>
      </c>
      <c r="C788" s="876" t="s">
        <v>1784</v>
      </c>
      <c r="D788" s="851">
        <v>646.01667299999997</v>
      </c>
    </row>
    <row r="789" spans="2:4" x14ac:dyDescent="0.2">
      <c r="B789" s="876">
        <v>897</v>
      </c>
      <c r="C789" s="876" t="s">
        <v>1875</v>
      </c>
      <c r="D789" s="851">
        <v>641.20000300000004</v>
      </c>
    </row>
    <row r="790" spans="2:4" x14ac:dyDescent="0.2">
      <c r="B790" s="876">
        <v>898</v>
      </c>
      <c r="C790" s="876" t="s">
        <v>1876</v>
      </c>
      <c r="D790" s="851">
        <v>594.6</v>
      </c>
    </row>
    <row r="791" spans="2:4" x14ac:dyDescent="0.2">
      <c r="B791" s="876">
        <v>899</v>
      </c>
      <c r="C791" s="876" t="s">
        <v>1877</v>
      </c>
      <c r="D791" s="851">
        <v>610.15002400000003</v>
      </c>
    </row>
    <row r="792" spans="2:4" x14ac:dyDescent="0.2">
      <c r="B792" s="876">
        <v>900</v>
      </c>
      <c r="C792" s="876" t="s">
        <v>1878</v>
      </c>
      <c r="D792" s="851">
        <v>607.65000899999995</v>
      </c>
    </row>
    <row r="793" spans="2:4" x14ac:dyDescent="0.2">
      <c r="B793" s="876">
        <v>901</v>
      </c>
      <c r="C793" s="876" t="s">
        <v>1879</v>
      </c>
      <c r="D793" s="851">
        <v>600.99998800000003</v>
      </c>
    </row>
    <row r="794" spans="2:4" x14ac:dyDescent="0.2">
      <c r="B794" s="876">
        <v>902</v>
      </c>
      <c r="C794" s="876" t="s">
        <v>1880</v>
      </c>
      <c r="D794" s="851">
        <v>663</v>
      </c>
    </row>
    <row r="795" spans="2:4" x14ac:dyDescent="0.2">
      <c r="B795" s="876">
        <v>903</v>
      </c>
      <c r="C795" s="876" t="s">
        <v>1881</v>
      </c>
      <c r="D795" s="851">
        <v>659.10000600000001</v>
      </c>
    </row>
    <row r="796" spans="2:4" x14ac:dyDescent="0.2">
      <c r="B796" s="876">
        <v>904</v>
      </c>
      <c r="C796" s="876" t="s">
        <v>1882</v>
      </c>
      <c r="D796" s="851">
        <v>681</v>
      </c>
    </row>
    <row r="797" spans="2:4" x14ac:dyDescent="0.2">
      <c r="B797" s="876">
        <v>905</v>
      </c>
      <c r="C797" s="876" t="s">
        <v>1883</v>
      </c>
      <c r="D797" s="851">
        <v>668.36667899999998</v>
      </c>
    </row>
    <row r="798" spans="2:4" x14ac:dyDescent="0.2">
      <c r="B798" s="876">
        <v>906</v>
      </c>
      <c r="C798" s="876" t="s">
        <v>1884</v>
      </c>
      <c r="D798" s="851">
        <v>709.07499700000005</v>
      </c>
    </row>
    <row r="799" spans="2:4" x14ac:dyDescent="0.2">
      <c r="B799" s="876">
        <v>907</v>
      </c>
      <c r="C799" s="876" t="s">
        <v>1885</v>
      </c>
      <c r="D799" s="851">
        <v>696.56001000000003</v>
      </c>
    </row>
    <row r="800" spans="2:4" x14ac:dyDescent="0.2">
      <c r="B800" s="876">
        <v>908</v>
      </c>
      <c r="C800" s="876" t="s">
        <v>1886</v>
      </c>
      <c r="D800" s="851">
        <v>598.411112</v>
      </c>
    </row>
    <row r="801" spans="2:4" x14ac:dyDescent="0.2">
      <c r="B801" s="876">
        <v>909</v>
      </c>
      <c r="C801" s="876" t="s">
        <v>1887</v>
      </c>
      <c r="D801" s="851">
        <v>607.14445000000001</v>
      </c>
    </row>
    <row r="802" spans="2:4" x14ac:dyDescent="0.2">
      <c r="B802" s="876">
        <v>910</v>
      </c>
      <c r="C802" s="876" t="s">
        <v>1888</v>
      </c>
      <c r="D802" s="851">
        <v>615.83332299999995</v>
      </c>
    </row>
    <row r="803" spans="2:4" x14ac:dyDescent="0.2">
      <c r="B803" s="876">
        <v>911</v>
      </c>
      <c r="C803" s="876" t="s">
        <v>1889</v>
      </c>
      <c r="D803" s="851">
        <v>594.70001200000002</v>
      </c>
    </row>
    <row r="804" spans="2:4" ht="15" x14ac:dyDescent="0.2">
      <c r="B804" s="888">
        <v>912</v>
      </c>
      <c r="C804" s="876" t="s">
        <v>1639</v>
      </c>
      <c r="D804" s="889">
        <v>535.75000999999997</v>
      </c>
    </row>
    <row r="805" spans="2:4" x14ac:dyDescent="0.2">
      <c r="B805" s="876">
        <v>913</v>
      </c>
      <c r="C805" s="876" t="s">
        <v>1890</v>
      </c>
      <c r="D805" s="851">
        <v>561.04000199999996</v>
      </c>
    </row>
    <row r="806" spans="2:4" x14ac:dyDescent="0.2">
      <c r="B806" s="876">
        <v>914</v>
      </c>
      <c r="C806" s="876" t="s">
        <v>1891</v>
      </c>
      <c r="D806" s="851">
        <v>621.48332700000003</v>
      </c>
    </row>
    <row r="807" spans="2:4" x14ac:dyDescent="0.2">
      <c r="B807" s="876">
        <v>915</v>
      </c>
      <c r="C807" s="876" t="s">
        <v>1892</v>
      </c>
      <c r="D807" s="851">
        <v>595.06667100000004</v>
      </c>
    </row>
    <row r="808" spans="2:4" x14ac:dyDescent="0.2">
      <c r="B808" s="876">
        <v>916</v>
      </c>
      <c r="C808" s="876" t="s">
        <v>1893</v>
      </c>
      <c r="D808" s="851">
        <v>636.97500600000001</v>
      </c>
    </row>
    <row r="809" spans="2:4" x14ac:dyDescent="0.2">
      <c r="B809" s="876">
        <v>917</v>
      </c>
      <c r="C809" s="876" t="s">
        <v>1894</v>
      </c>
      <c r="D809" s="851">
        <v>612.17500299999995</v>
      </c>
    </row>
    <row r="810" spans="2:4" x14ac:dyDescent="0.2">
      <c r="B810" s="876">
        <v>918</v>
      </c>
      <c r="C810" s="876" t="s">
        <v>1895</v>
      </c>
      <c r="D810" s="851">
        <v>595.79332299999999</v>
      </c>
    </row>
    <row r="811" spans="2:4" x14ac:dyDescent="0.2">
      <c r="B811" s="876">
        <v>919</v>
      </c>
      <c r="C811" s="876" t="s">
        <v>1896</v>
      </c>
      <c r="D811" s="851">
        <v>639.614284</v>
      </c>
    </row>
    <row r="812" spans="2:4" x14ac:dyDescent="0.2">
      <c r="B812" s="876">
        <v>920</v>
      </c>
      <c r="C812" s="876" t="s">
        <v>1897</v>
      </c>
      <c r="D812" s="851">
        <v>640.20001200000002</v>
      </c>
    </row>
    <row r="813" spans="2:4" x14ac:dyDescent="0.2">
      <c r="B813" s="876">
        <v>921</v>
      </c>
      <c r="C813" s="876" t="s">
        <v>1898</v>
      </c>
      <c r="D813" s="851">
        <v>631.06001000000003</v>
      </c>
    </row>
    <row r="814" spans="2:4" x14ac:dyDescent="0.2">
      <c r="B814" s="876">
        <v>922</v>
      </c>
      <c r="C814" s="876" t="s">
        <v>1899</v>
      </c>
      <c r="D814" s="851">
        <v>637.14999399999999</v>
      </c>
    </row>
    <row r="815" spans="2:4" x14ac:dyDescent="0.2">
      <c r="B815" s="876">
        <v>923</v>
      </c>
      <c r="C815" s="876" t="s">
        <v>1900</v>
      </c>
      <c r="D815" s="851">
        <v>659.69998199999998</v>
      </c>
    </row>
    <row r="816" spans="2:4" x14ac:dyDescent="0.2">
      <c r="B816" s="876">
        <v>924</v>
      </c>
      <c r="C816" s="876" t="s">
        <v>1724</v>
      </c>
      <c r="D816" s="851">
        <v>635.32857000000001</v>
      </c>
    </row>
    <row r="817" spans="2:4" x14ac:dyDescent="0.2">
      <c r="B817" s="876">
        <v>925</v>
      </c>
      <c r="C817" s="876" t="s">
        <v>1901</v>
      </c>
      <c r="D817" s="851">
        <v>664.37142500000004</v>
      </c>
    </row>
    <row r="818" spans="2:4" x14ac:dyDescent="0.2">
      <c r="B818" s="876">
        <v>926</v>
      </c>
      <c r="C818" s="876" t="s">
        <v>1902</v>
      </c>
      <c r="D818" s="851">
        <v>615.24615900000003</v>
      </c>
    </row>
    <row r="819" spans="2:4" x14ac:dyDescent="0.2">
      <c r="B819" s="876">
        <v>927</v>
      </c>
      <c r="C819" s="876" t="s">
        <v>1903</v>
      </c>
      <c r="D819" s="851">
        <v>608.64999399999999</v>
      </c>
    </row>
    <row r="820" spans="2:4" x14ac:dyDescent="0.2">
      <c r="B820" s="876">
        <v>928</v>
      </c>
      <c r="C820" s="876" t="s">
        <v>1904</v>
      </c>
      <c r="D820" s="851">
        <v>578.14999399999999</v>
      </c>
    </row>
    <row r="821" spans="2:4" x14ac:dyDescent="0.2">
      <c r="B821" s="876">
        <v>929</v>
      </c>
      <c r="C821" s="876" t="s">
        <v>1905</v>
      </c>
      <c r="D821" s="851">
        <v>579.41999499999997</v>
      </c>
    </row>
    <row r="822" spans="2:4" x14ac:dyDescent="0.2">
      <c r="B822" s="876">
        <v>930</v>
      </c>
      <c r="C822" s="876" t="s">
        <v>1906</v>
      </c>
      <c r="D822" s="851">
        <v>570.40002400000003</v>
      </c>
    </row>
    <row r="823" spans="2:4" x14ac:dyDescent="0.2">
      <c r="B823" s="876">
        <v>931</v>
      </c>
      <c r="C823" s="876" t="s">
        <v>1907</v>
      </c>
      <c r="D823" s="851">
        <v>557.71665399999995</v>
      </c>
    </row>
    <row r="824" spans="2:4" ht="15" x14ac:dyDescent="0.2">
      <c r="B824" s="888">
        <v>932</v>
      </c>
      <c r="C824" s="876" t="s">
        <v>1908</v>
      </c>
      <c r="D824" s="889">
        <v>540.08499500000005</v>
      </c>
    </row>
    <row r="825" spans="2:4" ht="15" x14ac:dyDescent="0.2">
      <c r="B825" s="888">
        <v>933</v>
      </c>
      <c r="C825" s="876" t="s">
        <v>1909</v>
      </c>
      <c r="D825" s="889">
        <v>527.68181300000003</v>
      </c>
    </row>
    <row r="826" spans="2:4" x14ac:dyDescent="0.2">
      <c r="B826" s="876">
        <v>934</v>
      </c>
      <c r="C826" s="876" t="s">
        <v>1910</v>
      </c>
      <c r="D826" s="851">
        <v>550.58823199999995</v>
      </c>
    </row>
    <row r="827" spans="2:4" x14ac:dyDescent="0.2">
      <c r="B827" s="876">
        <v>935</v>
      </c>
      <c r="C827" s="876" t="s">
        <v>1911</v>
      </c>
      <c r="D827" s="851">
        <v>551.93998999999997</v>
      </c>
    </row>
    <row r="828" spans="2:4" x14ac:dyDescent="0.2">
      <c r="B828" s="876">
        <v>936</v>
      </c>
      <c r="C828" s="876" t="s">
        <v>1912</v>
      </c>
      <c r="D828" s="851">
        <v>567.23749499999997</v>
      </c>
    </row>
    <row r="829" spans="2:4" x14ac:dyDescent="0.2">
      <c r="B829" s="876">
        <v>937</v>
      </c>
      <c r="C829" s="876" t="s">
        <v>1913</v>
      </c>
      <c r="D829" s="851">
        <v>578.23331700000006</v>
      </c>
    </row>
    <row r="830" spans="2:4" x14ac:dyDescent="0.2">
      <c r="B830" s="876">
        <v>938</v>
      </c>
      <c r="C830" s="876" t="s">
        <v>1914</v>
      </c>
      <c r="D830" s="851">
        <v>585.40000199999997</v>
      </c>
    </row>
    <row r="831" spans="2:4" x14ac:dyDescent="0.2">
      <c r="B831" s="876">
        <v>939</v>
      </c>
      <c r="C831" s="876" t="s">
        <v>1915</v>
      </c>
      <c r="D831" s="851">
        <v>574.05712900000003</v>
      </c>
    </row>
    <row r="832" spans="2:4" x14ac:dyDescent="0.2">
      <c r="B832" s="876">
        <v>940</v>
      </c>
      <c r="C832" s="876" t="s">
        <v>1916</v>
      </c>
      <c r="D832" s="851">
        <v>599.06666099999995</v>
      </c>
    </row>
    <row r="833" spans="2:4" x14ac:dyDescent="0.2">
      <c r="B833" s="876">
        <v>941</v>
      </c>
      <c r="C833" s="876" t="s">
        <v>1917</v>
      </c>
      <c r="D833" s="851">
        <v>592.32499700000005</v>
      </c>
    </row>
    <row r="834" spans="2:4" x14ac:dyDescent="0.2">
      <c r="B834" s="876">
        <v>942</v>
      </c>
      <c r="C834" s="876" t="s">
        <v>1918</v>
      </c>
      <c r="D834" s="851">
        <v>584.36665900000003</v>
      </c>
    </row>
    <row r="835" spans="2:4" x14ac:dyDescent="0.2">
      <c r="B835" s="876">
        <v>943</v>
      </c>
      <c r="C835" s="876" t="s">
        <v>1919</v>
      </c>
      <c r="D835" s="851">
        <v>598.83999800000004</v>
      </c>
    </row>
    <row r="836" spans="2:4" x14ac:dyDescent="0.2">
      <c r="B836" s="876">
        <v>944</v>
      </c>
      <c r="C836" s="876" t="s">
        <v>1516</v>
      </c>
      <c r="D836" s="851">
        <v>574.59997599999997</v>
      </c>
    </row>
    <row r="837" spans="2:4" x14ac:dyDescent="0.2">
      <c r="B837" s="876">
        <v>945</v>
      </c>
      <c r="C837" s="876" t="s">
        <v>1920</v>
      </c>
      <c r="D837" s="851">
        <v>637</v>
      </c>
    </row>
    <row r="838" spans="2:4" x14ac:dyDescent="0.2">
      <c r="B838" s="876">
        <v>946</v>
      </c>
      <c r="C838" s="876" t="s">
        <v>1921</v>
      </c>
      <c r="D838" s="851">
        <v>618.85000600000001</v>
      </c>
    </row>
    <row r="839" spans="2:4" x14ac:dyDescent="0.2">
      <c r="B839" s="876">
        <v>947</v>
      </c>
      <c r="C839" s="876" t="s">
        <v>1922</v>
      </c>
      <c r="D839" s="851">
        <v>637.55001800000002</v>
      </c>
    </row>
    <row r="840" spans="2:4" x14ac:dyDescent="0.2">
      <c r="B840" s="876">
        <v>948</v>
      </c>
      <c r="C840" s="876" t="s">
        <v>1923</v>
      </c>
      <c r="D840" s="851">
        <v>658.41666699999996</v>
      </c>
    </row>
    <row r="841" spans="2:4" x14ac:dyDescent="0.2">
      <c r="B841" s="876">
        <v>949</v>
      </c>
      <c r="C841" s="876" t="s">
        <v>1924</v>
      </c>
      <c r="D841" s="851">
        <v>617.89999799999998</v>
      </c>
    </row>
    <row r="842" spans="2:4" x14ac:dyDescent="0.2">
      <c r="B842" s="876">
        <v>950</v>
      </c>
      <c r="C842" s="876" t="s">
        <v>1925</v>
      </c>
      <c r="D842" s="851">
        <v>618.29999899999996</v>
      </c>
    </row>
    <row r="843" spans="2:4" x14ac:dyDescent="0.2">
      <c r="B843" s="876">
        <v>951</v>
      </c>
      <c r="C843" s="876" t="s">
        <v>1926</v>
      </c>
      <c r="D843" s="851">
        <v>606.35999800000002</v>
      </c>
    </row>
    <row r="844" spans="2:4" x14ac:dyDescent="0.2">
      <c r="B844" s="876">
        <v>952</v>
      </c>
      <c r="C844" s="876" t="s">
        <v>1927</v>
      </c>
      <c r="D844" s="851">
        <v>560.89999399999999</v>
      </c>
    </row>
    <row r="845" spans="2:4" ht="15" x14ac:dyDescent="0.2">
      <c r="B845" s="888">
        <v>953</v>
      </c>
      <c r="C845" s="876" t="s">
        <v>1928</v>
      </c>
      <c r="D845" s="889">
        <v>549.49999100000002</v>
      </c>
    </row>
    <row r="846" spans="2:4" ht="15" x14ac:dyDescent="0.2">
      <c r="B846" s="888">
        <v>954</v>
      </c>
      <c r="C846" s="876" t="s">
        <v>1929</v>
      </c>
      <c r="D846" s="889">
        <v>526.19999700000005</v>
      </c>
    </row>
    <row r="847" spans="2:4" ht="15" x14ac:dyDescent="0.2">
      <c r="B847" s="888">
        <v>955</v>
      </c>
      <c r="C847" s="876" t="s">
        <v>1930</v>
      </c>
      <c r="D847" s="889">
        <v>527.91249800000003</v>
      </c>
    </row>
    <row r="848" spans="2:4" ht="15" x14ac:dyDescent="0.2">
      <c r="B848" s="888">
        <v>956</v>
      </c>
      <c r="C848" s="876" t="s">
        <v>1931</v>
      </c>
      <c r="D848" s="889">
        <v>548.90714400000002</v>
      </c>
    </row>
    <row r="849" spans="2:4" x14ac:dyDescent="0.2">
      <c r="B849" s="876">
        <v>957</v>
      </c>
      <c r="C849" s="876" t="s">
        <v>1932</v>
      </c>
      <c r="D849" s="851">
        <v>565.65000399999997</v>
      </c>
    </row>
    <row r="850" spans="2:4" x14ac:dyDescent="0.2">
      <c r="B850" s="876">
        <v>958</v>
      </c>
      <c r="C850" s="876" t="s">
        <v>1933</v>
      </c>
      <c r="D850" s="851">
        <v>574.875</v>
      </c>
    </row>
    <row r="851" spans="2:4" x14ac:dyDescent="0.2">
      <c r="B851" s="876">
        <v>959</v>
      </c>
      <c r="C851" s="876" t="s">
        <v>1934</v>
      </c>
      <c r="D851" s="851">
        <v>597.85999800000002</v>
      </c>
    </row>
    <row r="852" spans="2:4" x14ac:dyDescent="0.2">
      <c r="B852" s="876">
        <v>960</v>
      </c>
      <c r="C852" s="876" t="s">
        <v>1935</v>
      </c>
      <c r="D852" s="851">
        <v>602.96667500000001</v>
      </c>
    </row>
    <row r="853" spans="2:4" x14ac:dyDescent="0.2">
      <c r="B853" s="876">
        <v>961</v>
      </c>
      <c r="C853" s="876" t="s">
        <v>1936</v>
      </c>
      <c r="D853" s="851">
        <v>608.28999599999997</v>
      </c>
    </row>
    <row r="854" spans="2:4" x14ac:dyDescent="0.2">
      <c r="B854" s="876">
        <v>962</v>
      </c>
      <c r="C854" s="876" t="s">
        <v>1937</v>
      </c>
      <c r="D854" s="851">
        <v>598.52999899999998</v>
      </c>
    </row>
    <row r="855" spans="2:4" x14ac:dyDescent="0.2">
      <c r="B855" s="876">
        <v>963</v>
      </c>
      <c r="C855" s="876" t="s">
        <v>1938</v>
      </c>
      <c r="D855" s="851">
        <v>597.99999200000002</v>
      </c>
    </row>
    <row r="856" spans="2:4" x14ac:dyDescent="0.2">
      <c r="B856" s="876">
        <v>964</v>
      </c>
      <c r="C856" s="876" t="s">
        <v>1939</v>
      </c>
      <c r="D856" s="851">
        <v>630.70001200000002</v>
      </c>
    </row>
    <row r="857" spans="2:4" x14ac:dyDescent="0.2">
      <c r="B857" s="876">
        <v>965</v>
      </c>
      <c r="C857" s="876" t="s">
        <v>1940</v>
      </c>
      <c r="D857" s="851">
        <v>577.55000299999995</v>
      </c>
    </row>
    <row r="858" spans="2:4" x14ac:dyDescent="0.2">
      <c r="B858" s="876">
        <v>966</v>
      </c>
      <c r="C858" s="876" t="s">
        <v>1444</v>
      </c>
      <c r="D858" s="851">
        <v>632.214294</v>
      </c>
    </row>
    <row r="859" spans="2:4" x14ac:dyDescent="0.2">
      <c r="B859" s="876">
        <v>967</v>
      </c>
      <c r="C859" s="876" t="s">
        <v>1941</v>
      </c>
      <c r="D859" s="851">
        <v>602.11998300000005</v>
      </c>
    </row>
    <row r="860" spans="2:4" x14ac:dyDescent="0.2">
      <c r="B860" s="876">
        <v>968</v>
      </c>
      <c r="C860" s="876" t="s">
        <v>1942</v>
      </c>
      <c r="D860" s="851">
        <v>611.70001200000002</v>
      </c>
    </row>
    <row r="861" spans="2:4" x14ac:dyDescent="0.2">
      <c r="B861" s="876">
        <v>969</v>
      </c>
      <c r="C861" s="876" t="s">
        <v>1943</v>
      </c>
      <c r="D861" s="851">
        <v>643.66001000000006</v>
      </c>
    </row>
    <row r="862" spans="2:4" x14ac:dyDescent="0.2">
      <c r="B862" s="876">
        <v>970</v>
      </c>
      <c r="C862" s="876" t="s">
        <v>1944</v>
      </c>
      <c r="D862" s="851">
        <v>652.69999700000005</v>
      </c>
    </row>
    <row r="863" spans="2:4" x14ac:dyDescent="0.2">
      <c r="B863" s="876">
        <v>971</v>
      </c>
      <c r="C863" s="876" t="s">
        <v>1945</v>
      </c>
      <c r="D863" s="851">
        <v>649.20001200000002</v>
      </c>
    </row>
    <row r="864" spans="2:4" x14ac:dyDescent="0.2">
      <c r="B864" s="876">
        <v>972</v>
      </c>
      <c r="C864" s="876" t="s">
        <v>1946</v>
      </c>
      <c r="D864" s="851">
        <v>645.89000199999998</v>
      </c>
    </row>
    <row r="865" spans="2:4" x14ac:dyDescent="0.2">
      <c r="B865" s="876">
        <v>973</v>
      </c>
      <c r="C865" s="876" t="s">
        <v>1947</v>
      </c>
      <c r="D865" s="851">
        <v>642.62222599999996</v>
      </c>
    </row>
    <row r="866" spans="2:4" x14ac:dyDescent="0.2">
      <c r="B866" s="876">
        <v>974</v>
      </c>
      <c r="C866" s="876" t="s">
        <v>1948</v>
      </c>
      <c r="D866" s="851">
        <v>596.96364000000005</v>
      </c>
    </row>
    <row r="867" spans="2:4" x14ac:dyDescent="0.2">
      <c r="B867" s="876">
        <v>975</v>
      </c>
      <c r="C867" s="876" t="s">
        <v>1691</v>
      </c>
      <c r="D867" s="851">
        <v>568.125</v>
      </c>
    </row>
    <row r="868" spans="2:4" x14ac:dyDescent="0.2">
      <c r="B868" s="876">
        <v>976</v>
      </c>
      <c r="C868" s="876" t="s">
        <v>1949</v>
      </c>
      <c r="D868" s="851">
        <v>569.44546200000002</v>
      </c>
    </row>
    <row r="869" spans="2:4" x14ac:dyDescent="0.2">
      <c r="B869" s="876">
        <v>977</v>
      </c>
      <c r="C869" s="876" t="s">
        <v>1950</v>
      </c>
      <c r="D869" s="851">
        <v>565.03749800000003</v>
      </c>
    </row>
    <row r="870" spans="2:4" x14ac:dyDescent="0.2">
      <c r="B870" s="876">
        <v>978</v>
      </c>
      <c r="C870" s="876" t="s">
        <v>1951</v>
      </c>
      <c r="D870" s="851">
        <v>554.9375</v>
      </c>
    </row>
    <row r="871" spans="2:4" ht="15" x14ac:dyDescent="0.2">
      <c r="B871" s="888">
        <v>979</v>
      </c>
      <c r="C871" s="876" t="s">
        <v>1952</v>
      </c>
      <c r="D871" s="889">
        <v>543.13332100000002</v>
      </c>
    </row>
    <row r="872" spans="2:4" ht="15" x14ac:dyDescent="0.2">
      <c r="B872" s="888">
        <v>980</v>
      </c>
      <c r="C872" s="876" t="s">
        <v>1953</v>
      </c>
      <c r="D872" s="889">
        <v>525.30833900000005</v>
      </c>
    </row>
    <row r="873" spans="2:4" x14ac:dyDescent="0.2">
      <c r="B873" s="876">
        <v>981</v>
      </c>
      <c r="C873" s="876" t="s">
        <v>1954</v>
      </c>
      <c r="D873" s="851">
        <v>590.09999600000003</v>
      </c>
    </row>
    <row r="874" spans="2:4" x14ac:dyDescent="0.2">
      <c r="B874" s="876">
        <v>982</v>
      </c>
      <c r="C874" s="876" t="s">
        <v>1955</v>
      </c>
      <c r="D874" s="851">
        <v>601.10000600000001</v>
      </c>
    </row>
    <row r="875" spans="2:4" x14ac:dyDescent="0.2">
      <c r="B875" s="876">
        <v>983</v>
      </c>
      <c r="C875" s="876" t="s">
        <v>1956</v>
      </c>
      <c r="D875" s="851">
        <v>652.20001200000002</v>
      </c>
    </row>
    <row r="876" spans="2:4" x14ac:dyDescent="0.2">
      <c r="B876" s="876">
        <v>984</v>
      </c>
      <c r="C876" s="876" t="s">
        <v>1957</v>
      </c>
      <c r="D876" s="851">
        <v>635.93332899999996</v>
      </c>
    </row>
    <row r="877" spans="2:4" x14ac:dyDescent="0.2">
      <c r="B877" s="876">
        <v>985</v>
      </c>
      <c r="C877" s="876" t="s">
        <v>1958</v>
      </c>
      <c r="D877" s="851">
        <v>654</v>
      </c>
    </row>
    <row r="878" spans="2:4" x14ac:dyDescent="0.2">
      <c r="B878" s="876">
        <v>986</v>
      </c>
      <c r="C878" s="876" t="s">
        <v>1959</v>
      </c>
      <c r="D878" s="851">
        <v>633.63332100000002</v>
      </c>
    </row>
    <row r="879" spans="2:4" x14ac:dyDescent="0.2">
      <c r="B879" s="876">
        <v>987</v>
      </c>
      <c r="C879" s="876" t="s">
        <v>1960</v>
      </c>
      <c r="D879" s="851">
        <v>644.62000699999999</v>
      </c>
    </row>
    <row r="880" spans="2:4" x14ac:dyDescent="0.2">
      <c r="B880" s="876">
        <v>988</v>
      </c>
      <c r="C880" s="876" t="s">
        <v>1961</v>
      </c>
      <c r="D880" s="851">
        <v>664.89999399999999</v>
      </c>
    </row>
    <row r="881" spans="2:4" x14ac:dyDescent="0.2">
      <c r="B881" s="876">
        <v>989</v>
      </c>
      <c r="C881" s="876" t="s">
        <v>1376</v>
      </c>
      <c r="D881" s="851">
        <v>630.08333300000004</v>
      </c>
    </row>
    <row r="882" spans="2:4" x14ac:dyDescent="0.2">
      <c r="B882" s="876">
        <v>990</v>
      </c>
      <c r="C882" s="876" t="s">
        <v>1962</v>
      </c>
      <c r="D882" s="851">
        <v>659.03333499999997</v>
      </c>
    </row>
    <row r="883" spans="2:4" x14ac:dyDescent="0.2">
      <c r="B883" s="876">
        <v>991</v>
      </c>
      <c r="C883" s="876" t="s">
        <v>1963</v>
      </c>
      <c r="D883" s="851">
        <v>678.07501200000002</v>
      </c>
    </row>
    <row r="884" spans="2:4" x14ac:dyDescent="0.2">
      <c r="B884" s="876">
        <v>992</v>
      </c>
      <c r="C884" s="876" t="s">
        <v>1964</v>
      </c>
      <c r="D884" s="851">
        <v>624.80555600000002</v>
      </c>
    </row>
    <row r="885" spans="2:4" x14ac:dyDescent="0.2">
      <c r="B885" s="876">
        <v>993</v>
      </c>
      <c r="C885" s="876" t="s">
        <v>1965</v>
      </c>
      <c r="D885" s="851">
        <v>616</v>
      </c>
    </row>
    <row r="886" spans="2:4" x14ac:dyDescent="0.2">
      <c r="B886" s="876">
        <v>994</v>
      </c>
      <c r="C886" s="876" t="s">
        <v>1966</v>
      </c>
      <c r="D886" s="851">
        <v>627.66998899999999</v>
      </c>
    </row>
    <row r="887" spans="2:4" x14ac:dyDescent="0.2">
      <c r="B887" s="876">
        <v>995</v>
      </c>
      <c r="C887" s="876" t="s">
        <v>1967</v>
      </c>
      <c r="D887" s="851">
        <v>637.48571800000002</v>
      </c>
    </row>
    <row r="888" spans="2:4" x14ac:dyDescent="0.2">
      <c r="B888" s="876">
        <v>996</v>
      </c>
      <c r="C888" s="876" t="s">
        <v>1968</v>
      </c>
      <c r="D888" s="851">
        <v>614.16001000000006</v>
      </c>
    </row>
    <row r="889" spans="2:4" x14ac:dyDescent="0.2">
      <c r="B889" s="876">
        <v>997</v>
      </c>
      <c r="C889" s="876" t="s">
        <v>1969</v>
      </c>
      <c r="D889" s="851">
        <v>571.64999899999998</v>
      </c>
    </row>
    <row r="890" spans="2:4" x14ac:dyDescent="0.2">
      <c r="B890" s="876">
        <v>998</v>
      </c>
      <c r="C890" s="876" t="s">
        <v>1723</v>
      </c>
      <c r="D890" s="851">
        <v>575.91428900000005</v>
      </c>
    </row>
    <row r="891" spans="2:4" ht="15" x14ac:dyDescent="0.2">
      <c r="B891" s="888">
        <v>999</v>
      </c>
      <c r="C891" s="876" t="s">
        <v>1970</v>
      </c>
      <c r="D891" s="889">
        <v>529.95001200000002</v>
      </c>
    </row>
    <row r="892" spans="2:4" ht="15" x14ac:dyDescent="0.2">
      <c r="B892" s="888">
        <v>1000</v>
      </c>
      <c r="C892" s="876" t="s">
        <v>1971</v>
      </c>
      <c r="D892" s="889">
        <v>531.55999799999995</v>
      </c>
    </row>
    <row r="893" spans="2:4" ht="15" x14ac:dyDescent="0.2">
      <c r="B893" s="888">
        <v>1001</v>
      </c>
      <c r="C893" s="876" t="s">
        <v>1972</v>
      </c>
      <c r="D893" s="889">
        <v>523.25454400000001</v>
      </c>
    </row>
    <row r="894" spans="2:4" ht="15" x14ac:dyDescent="0.2">
      <c r="B894" s="888">
        <v>1002</v>
      </c>
      <c r="C894" s="876" t="s">
        <v>1973</v>
      </c>
      <c r="D894" s="889">
        <v>521.75</v>
      </c>
    </row>
    <row r="895" spans="2:4" x14ac:dyDescent="0.2">
      <c r="B895" s="876">
        <v>1003</v>
      </c>
      <c r="C895" s="876" t="s">
        <v>1974</v>
      </c>
      <c r="D895" s="851">
        <v>554.07271500000002</v>
      </c>
    </row>
    <row r="896" spans="2:4" x14ac:dyDescent="0.2">
      <c r="B896" s="876">
        <v>1004</v>
      </c>
      <c r="C896" s="876" t="s">
        <v>1975</v>
      </c>
      <c r="D896" s="851">
        <v>589.86665900000003</v>
      </c>
    </row>
    <row r="897" spans="2:4" x14ac:dyDescent="0.2">
      <c r="B897" s="876">
        <v>1005</v>
      </c>
      <c r="C897" s="876" t="s">
        <v>1976</v>
      </c>
      <c r="D897" s="851">
        <v>613.09999600000003</v>
      </c>
    </row>
    <row r="898" spans="2:4" x14ac:dyDescent="0.2">
      <c r="B898" s="876">
        <v>1006</v>
      </c>
      <c r="C898" s="876" t="s">
        <v>1977</v>
      </c>
      <c r="D898" s="851">
        <v>702.37500499999999</v>
      </c>
    </row>
    <row r="899" spans="2:4" x14ac:dyDescent="0.2">
      <c r="B899" s="876">
        <v>1007</v>
      </c>
      <c r="C899" s="876" t="s">
        <v>1978</v>
      </c>
      <c r="D899" s="851">
        <v>717.15999799999997</v>
      </c>
    </row>
    <row r="900" spans="2:4" x14ac:dyDescent="0.2">
      <c r="B900" s="876">
        <v>1008</v>
      </c>
      <c r="C900" s="876" t="s">
        <v>1979</v>
      </c>
      <c r="D900" s="851">
        <v>703.60001599999998</v>
      </c>
    </row>
    <row r="901" spans="2:4" x14ac:dyDescent="0.2">
      <c r="B901" s="876">
        <v>1009</v>
      </c>
      <c r="C901" s="876" t="s">
        <v>1980</v>
      </c>
      <c r="D901" s="851">
        <v>704.67498799999998</v>
      </c>
    </row>
    <row r="902" spans="2:4" x14ac:dyDescent="0.2">
      <c r="B902" s="876">
        <v>1010</v>
      </c>
      <c r="C902" s="876" t="s">
        <v>1981</v>
      </c>
      <c r="D902" s="851">
        <v>651.875</v>
      </c>
    </row>
    <row r="903" spans="2:4" x14ac:dyDescent="0.2">
      <c r="B903" s="876">
        <v>1011</v>
      </c>
      <c r="C903" s="876" t="s">
        <v>1982</v>
      </c>
      <c r="D903" s="851">
        <v>611.05000299999995</v>
      </c>
    </row>
    <row r="904" spans="2:4" x14ac:dyDescent="0.2">
      <c r="B904" s="876">
        <v>1012</v>
      </c>
      <c r="C904" s="876" t="s">
        <v>1983</v>
      </c>
      <c r="D904" s="851">
        <v>614.08332299999995</v>
      </c>
    </row>
    <row r="905" spans="2:4" x14ac:dyDescent="0.2">
      <c r="B905" s="876">
        <v>1013</v>
      </c>
      <c r="C905" s="876" t="s">
        <v>1984</v>
      </c>
      <c r="D905" s="851">
        <v>577.29091000000005</v>
      </c>
    </row>
    <row r="906" spans="2:4" ht="15" x14ac:dyDescent="0.2">
      <c r="B906" s="888">
        <v>1014</v>
      </c>
      <c r="C906" s="876" t="s">
        <v>1985</v>
      </c>
      <c r="D906" s="889">
        <v>542.15713900000003</v>
      </c>
    </row>
    <row r="907" spans="2:4" ht="15" x14ac:dyDescent="0.2">
      <c r="B907" s="888">
        <v>1015</v>
      </c>
      <c r="C907" s="876" t="s">
        <v>1986</v>
      </c>
      <c r="D907" s="889">
        <v>535.37498500000004</v>
      </c>
    </row>
    <row r="908" spans="2:4" ht="15" x14ac:dyDescent="0.2">
      <c r="B908" s="888">
        <v>1016</v>
      </c>
      <c r="C908" s="876" t="s">
        <v>1987</v>
      </c>
      <c r="D908" s="889">
        <v>509.38750800000003</v>
      </c>
    </row>
    <row r="909" spans="2:4" ht="15" x14ac:dyDescent="0.2">
      <c r="B909" s="888">
        <v>1017</v>
      </c>
      <c r="C909" s="876" t="s">
        <v>1988</v>
      </c>
      <c r="D909" s="889">
        <v>529.34444199999996</v>
      </c>
    </row>
    <row r="910" spans="2:4" ht="15" x14ac:dyDescent="0.2">
      <c r="B910" s="888">
        <v>1018</v>
      </c>
      <c r="C910" s="876" t="s">
        <v>1989</v>
      </c>
      <c r="D910" s="889">
        <v>547.41249800000003</v>
      </c>
    </row>
    <row r="911" spans="2:4" x14ac:dyDescent="0.2">
      <c r="B911" s="876">
        <v>1019</v>
      </c>
      <c r="C911" s="876" t="s">
        <v>1990</v>
      </c>
      <c r="D911" s="851">
        <v>574.43332899999996</v>
      </c>
    </row>
    <row r="912" spans="2:4" x14ac:dyDescent="0.2">
      <c r="B912" s="876">
        <v>1020</v>
      </c>
      <c r="C912" s="876" t="s">
        <v>1991</v>
      </c>
      <c r="D912" s="851">
        <v>594.82501200000002</v>
      </c>
    </row>
    <row r="913" spans="2:4" x14ac:dyDescent="0.2">
      <c r="B913" s="876">
        <v>1021</v>
      </c>
      <c r="C913" s="876" t="s">
        <v>1992</v>
      </c>
      <c r="D913" s="851">
        <v>612.03332499999999</v>
      </c>
    </row>
    <row r="914" spans="2:4" x14ac:dyDescent="0.2">
      <c r="B914" s="876">
        <v>1022</v>
      </c>
      <c r="C914" s="876" t="s">
        <v>1993</v>
      </c>
      <c r="D914" s="851">
        <v>702.41250600000001</v>
      </c>
    </row>
    <row r="915" spans="2:4" x14ac:dyDescent="0.2">
      <c r="B915" s="876">
        <v>1023</v>
      </c>
      <c r="C915" s="876" t="s">
        <v>1994</v>
      </c>
      <c r="D915" s="851">
        <v>627.79998799999998</v>
      </c>
    </row>
    <row r="916" spans="2:4" x14ac:dyDescent="0.2">
      <c r="B916" s="876">
        <v>1024</v>
      </c>
      <c r="C916" s="876" t="s">
        <v>1995</v>
      </c>
      <c r="D916" s="851">
        <v>732</v>
      </c>
    </row>
    <row r="917" spans="2:4" x14ac:dyDescent="0.2">
      <c r="B917" s="876">
        <v>1025</v>
      </c>
      <c r="C917" s="876" t="s">
        <v>1996</v>
      </c>
      <c r="D917" s="851">
        <v>718.72500600000001</v>
      </c>
    </row>
    <row r="918" spans="2:4" x14ac:dyDescent="0.2">
      <c r="B918" s="876">
        <v>1026</v>
      </c>
      <c r="C918" s="876" t="s">
        <v>1997</v>
      </c>
      <c r="D918" s="851">
        <v>751</v>
      </c>
    </row>
    <row r="919" spans="2:4" x14ac:dyDescent="0.2">
      <c r="B919" s="876">
        <v>1027</v>
      </c>
      <c r="C919" s="876" t="s">
        <v>1998</v>
      </c>
      <c r="D919" s="851">
        <v>705.5</v>
      </c>
    </row>
    <row r="920" spans="2:4" x14ac:dyDescent="0.2">
      <c r="B920" s="876">
        <v>1029</v>
      </c>
      <c r="C920" s="876" t="s">
        <v>1999</v>
      </c>
      <c r="D920" s="851">
        <v>683</v>
      </c>
    </row>
    <row r="921" spans="2:4" x14ac:dyDescent="0.2">
      <c r="B921" s="876">
        <v>1030</v>
      </c>
      <c r="C921" s="876" t="s">
        <v>2000</v>
      </c>
      <c r="D921" s="851">
        <v>666.75</v>
      </c>
    </row>
    <row r="922" spans="2:4" x14ac:dyDescent="0.2">
      <c r="B922" s="876">
        <v>1031</v>
      </c>
      <c r="C922" s="876" t="s">
        <v>2001</v>
      </c>
      <c r="D922" s="851">
        <v>660.39999399999999</v>
      </c>
    </row>
    <row r="923" spans="2:4" x14ac:dyDescent="0.2">
      <c r="B923" s="876">
        <v>1032</v>
      </c>
      <c r="C923" s="876" t="s">
        <v>2002</v>
      </c>
      <c r="D923" s="851">
        <v>658.55000299999995</v>
      </c>
    </row>
    <row r="924" spans="2:4" ht="15" x14ac:dyDescent="0.2">
      <c r="B924" s="888">
        <v>1033</v>
      </c>
      <c r="C924" s="876" t="s">
        <v>2003</v>
      </c>
      <c r="D924" s="889">
        <v>537.89998400000002</v>
      </c>
    </row>
    <row r="925" spans="2:4" ht="15" x14ac:dyDescent="0.2">
      <c r="B925" s="888">
        <v>1034</v>
      </c>
      <c r="C925" s="876" t="s">
        <v>2004</v>
      </c>
      <c r="D925" s="889">
        <v>517.04999499999997</v>
      </c>
    </row>
    <row r="926" spans="2:4" ht="15" x14ac:dyDescent="0.2">
      <c r="B926" s="888">
        <v>1035</v>
      </c>
      <c r="C926" s="876" t="s">
        <v>2005</v>
      </c>
      <c r="D926" s="889">
        <v>547.01667299999997</v>
      </c>
    </row>
    <row r="927" spans="2:4" x14ac:dyDescent="0.2">
      <c r="B927" s="876">
        <v>1036</v>
      </c>
      <c r="C927" s="876" t="s">
        <v>2006</v>
      </c>
      <c r="D927" s="851">
        <v>629.4</v>
      </c>
    </row>
    <row r="928" spans="2:4" x14ac:dyDescent="0.2">
      <c r="B928" s="876">
        <v>1037</v>
      </c>
      <c r="C928" s="876" t="s">
        <v>2007</v>
      </c>
      <c r="D928" s="851">
        <v>577.38000499999998</v>
      </c>
    </row>
    <row r="929" spans="2:4" x14ac:dyDescent="0.2">
      <c r="B929" s="876">
        <v>1038</v>
      </c>
      <c r="C929" s="876" t="s">
        <v>2008</v>
      </c>
      <c r="D929" s="851">
        <v>606.16667700000005</v>
      </c>
    </row>
    <row r="930" spans="2:4" x14ac:dyDescent="0.2">
      <c r="B930" s="876">
        <v>1039</v>
      </c>
      <c r="C930" s="876" t="s">
        <v>2009</v>
      </c>
      <c r="D930" s="851">
        <v>641.81666099999995</v>
      </c>
    </row>
    <row r="931" spans="2:4" x14ac:dyDescent="0.2">
      <c r="B931" s="876">
        <v>1040</v>
      </c>
      <c r="C931" s="876" t="s">
        <v>2010</v>
      </c>
      <c r="D931" s="851">
        <v>646.53334600000005</v>
      </c>
    </row>
    <row r="932" spans="2:4" x14ac:dyDescent="0.2">
      <c r="B932" s="876">
        <v>1041</v>
      </c>
      <c r="C932" s="876" t="s">
        <v>2011</v>
      </c>
      <c r="D932" s="851">
        <v>714.76364999999998</v>
      </c>
    </row>
    <row r="933" spans="2:4" x14ac:dyDescent="0.2">
      <c r="B933" s="876">
        <v>1042</v>
      </c>
      <c r="C933" s="876" t="s">
        <v>1645</v>
      </c>
      <c r="D933" s="851">
        <v>687.29998799999998</v>
      </c>
    </row>
    <row r="934" spans="2:4" x14ac:dyDescent="0.2">
      <c r="B934" s="876">
        <v>1043</v>
      </c>
      <c r="C934" s="876" t="s">
        <v>2012</v>
      </c>
      <c r="D934" s="851">
        <v>675.03332499999999</v>
      </c>
    </row>
    <row r="935" spans="2:4" x14ac:dyDescent="0.2">
      <c r="B935" s="876">
        <v>1045</v>
      </c>
      <c r="C935" s="876" t="s">
        <v>2013</v>
      </c>
      <c r="D935" s="851">
        <v>659.90000899999995</v>
      </c>
    </row>
    <row r="936" spans="2:4" x14ac:dyDescent="0.2">
      <c r="B936" s="876">
        <v>1046</v>
      </c>
      <c r="C936" s="876" t="s">
        <v>2014</v>
      </c>
      <c r="D936" s="851">
        <v>690.12857499999996</v>
      </c>
    </row>
    <row r="937" spans="2:4" x14ac:dyDescent="0.2">
      <c r="B937" s="876">
        <v>1047</v>
      </c>
      <c r="C937" s="876" t="s">
        <v>2015</v>
      </c>
      <c r="D937" s="851">
        <v>573.79000199999996</v>
      </c>
    </row>
    <row r="938" spans="2:4" x14ac:dyDescent="0.2">
      <c r="B938" s="876">
        <v>1048</v>
      </c>
      <c r="C938" s="876" t="s">
        <v>2016</v>
      </c>
      <c r="D938" s="851">
        <v>615.85000600000001</v>
      </c>
    </row>
    <row r="939" spans="2:4" x14ac:dyDescent="0.2">
      <c r="B939" s="876">
        <v>1049</v>
      </c>
      <c r="C939" s="876" t="s">
        <v>2017</v>
      </c>
      <c r="D939" s="851">
        <v>672.91666699999996</v>
      </c>
    </row>
    <row r="940" spans="2:4" x14ac:dyDescent="0.2">
      <c r="B940" s="876">
        <v>1050</v>
      </c>
      <c r="C940" s="876" t="s">
        <v>2018</v>
      </c>
      <c r="D940" s="851">
        <v>692.83998999999994</v>
      </c>
    </row>
    <row r="941" spans="2:4" x14ac:dyDescent="0.2">
      <c r="B941" s="876">
        <v>1051</v>
      </c>
      <c r="C941" s="876" t="s">
        <v>2019</v>
      </c>
      <c r="D941" s="851">
        <v>669.95712700000001</v>
      </c>
    </row>
    <row r="942" spans="2:4" x14ac:dyDescent="0.2">
      <c r="B942" s="876">
        <v>1052</v>
      </c>
      <c r="C942" s="876" t="s">
        <v>2020</v>
      </c>
      <c r="D942" s="851">
        <v>707.67998699999998</v>
      </c>
    </row>
    <row r="943" spans="2:4" x14ac:dyDescent="0.2">
      <c r="B943" s="876">
        <v>1053</v>
      </c>
      <c r="C943" s="876" t="s">
        <v>2021</v>
      </c>
      <c r="D943" s="851">
        <v>666.91665599999999</v>
      </c>
    </row>
    <row r="944" spans="2:4" x14ac:dyDescent="0.2">
      <c r="B944" s="876">
        <v>1054</v>
      </c>
      <c r="C944" s="876" t="s">
        <v>2022</v>
      </c>
      <c r="D944" s="851">
        <v>683.08889399999998</v>
      </c>
    </row>
    <row r="945" spans="2:4" x14ac:dyDescent="0.2">
      <c r="B945" s="876">
        <v>1055</v>
      </c>
      <c r="C945" s="876" t="s">
        <v>2023</v>
      </c>
      <c r="D945" s="851">
        <v>587.44000200000005</v>
      </c>
    </row>
    <row r="946" spans="2:4" x14ac:dyDescent="0.2">
      <c r="B946" s="876">
        <v>1056</v>
      </c>
      <c r="C946" s="876" t="s">
        <v>2024</v>
      </c>
      <c r="D946" s="851">
        <v>595.83332299999995</v>
      </c>
    </row>
    <row r="947" spans="2:4" x14ac:dyDescent="0.2">
      <c r="B947" s="876">
        <v>1057</v>
      </c>
      <c r="C947" s="876" t="s">
        <v>2025</v>
      </c>
      <c r="D947" s="851">
        <v>641.10000600000001</v>
      </c>
    </row>
    <row r="948" spans="2:4" x14ac:dyDescent="0.2">
      <c r="B948" s="876">
        <v>1058</v>
      </c>
      <c r="C948" s="876" t="s">
        <v>2026</v>
      </c>
      <c r="D948" s="851">
        <v>658.9375</v>
      </c>
    </row>
    <row r="949" spans="2:4" x14ac:dyDescent="0.2">
      <c r="B949" s="876">
        <v>1059</v>
      </c>
      <c r="C949" s="876" t="s">
        <v>2027</v>
      </c>
      <c r="D949" s="851">
        <v>711.92000700000006</v>
      </c>
    </row>
    <row r="950" spans="2:4" x14ac:dyDescent="0.2">
      <c r="B950" s="876">
        <v>1060</v>
      </c>
      <c r="C950" s="876" t="s">
        <v>2028</v>
      </c>
      <c r="D950" s="851">
        <v>695.70001200000002</v>
      </c>
    </row>
    <row r="951" spans="2:4" x14ac:dyDescent="0.2">
      <c r="B951" s="876">
        <v>1061</v>
      </c>
      <c r="C951" s="876" t="s">
        <v>2029</v>
      </c>
      <c r="D951" s="851">
        <v>654.52857300000005</v>
      </c>
    </row>
    <row r="952" spans="2:4" x14ac:dyDescent="0.2">
      <c r="B952" s="876">
        <v>1062</v>
      </c>
      <c r="C952" s="876" t="s">
        <v>2030</v>
      </c>
      <c r="D952" s="851">
        <v>658.92500299999995</v>
      </c>
    </row>
    <row r="953" spans="2:4" x14ac:dyDescent="0.2">
      <c r="B953" s="876">
        <v>1063</v>
      </c>
      <c r="C953" s="876" t="s">
        <v>2031</v>
      </c>
      <c r="D953" s="851">
        <v>678.48750299999995</v>
      </c>
    </row>
    <row r="954" spans="2:4" ht="15" x14ac:dyDescent="0.2">
      <c r="B954" s="888">
        <v>1101</v>
      </c>
      <c r="C954" s="876" t="s">
        <v>2032</v>
      </c>
      <c r="D954" s="889">
        <v>529.46667000000002</v>
      </c>
    </row>
    <row r="955" spans="2:4" ht="15" x14ac:dyDescent="0.2">
      <c r="B955" s="888">
        <v>1102</v>
      </c>
      <c r="C955" s="876" t="s">
        <v>2033</v>
      </c>
      <c r="D955" s="889">
        <v>525.04285100000004</v>
      </c>
    </row>
    <row r="956" spans="2:4" ht="15" x14ac:dyDescent="0.2">
      <c r="B956" s="888">
        <v>1103</v>
      </c>
      <c r="C956" s="876" t="s">
        <v>2034</v>
      </c>
      <c r="D956" s="889">
        <v>529.25</v>
      </c>
    </row>
    <row r="957" spans="2:4" ht="15" x14ac:dyDescent="0.2">
      <c r="B957" s="888">
        <v>1104</v>
      </c>
      <c r="C957" s="876" t="s">
        <v>2035</v>
      </c>
      <c r="D957" s="889">
        <v>518.5</v>
      </c>
    </row>
    <row r="958" spans="2:4" ht="15" x14ac:dyDescent="0.2">
      <c r="B958" s="888">
        <v>1105</v>
      </c>
      <c r="C958" s="876" t="s">
        <v>2036</v>
      </c>
      <c r="D958" s="889">
        <v>526.52499799999998</v>
      </c>
    </row>
    <row r="959" spans="2:4" ht="15" x14ac:dyDescent="0.2">
      <c r="B959" s="888">
        <v>1106</v>
      </c>
      <c r="C959" s="876" t="s">
        <v>2037</v>
      </c>
      <c r="D959" s="889">
        <v>541.5</v>
      </c>
    </row>
    <row r="960" spans="2:4" x14ac:dyDescent="0.2">
      <c r="B960" s="876">
        <v>1107</v>
      </c>
      <c r="C960" s="876" t="s">
        <v>2038</v>
      </c>
      <c r="D960" s="851">
        <v>564.63334099999997</v>
      </c>
    </row>
    <row r="961" spans="2:4" x14ac:dyDescent="0.2">
      <c r="B961" s="876">
        <v>1108</v>
      </c>
      <c r="C961" s="876" t="s">
        <v>2039</v>
      </c>
      <c r="D961" s="851">
        <v>556.55000299999995</v>
      </c>
    </row>
    <row r="962" spans="2:4" ht="15" x14ac:dyDescent="0.2">
      <c r="B962" s="888">
        <v>1109</v>
      </c>
      <c r="C962" s="876" t="s">
        <v>2040</v>
      </c>
      <c r="D962" s="889">
        <v>529.90002400000003</v>
      </c>
    </row>
    <row r="963" spans="2:4" ht="15" x14ac:dyDescent="0.2">
      <c r="B963" s="888">
        <v>1110</v>
      </c>
      <c r="C963" s="876" t="s">
        <v>2041</v>
      </c>
      <c r="D963" s="889">
        <v>540.02497900000003</v>
      </c>
    </row>
    <row r="964" spans="2:4" ht="15" x14ac:dyDescent="0.2">
      <c r="B964" s="888">
        <v>1111</v>
      </c>
      <c r="C964" s="876" t="s">
        <v>2042</v>
      </c>
      <c r="D964" s="889">
        <v>544.5</v>
      </c>
    </row>
    <row r="965" spans="2:4" x14ac:dyDescent="0.2">
      <c r="B965" s="876">
        <v>1112</v>
      </c>
      <c r="C965" s="876" t="s">
        <v>2043</v>
      </c>
      <c r="D965" s="851">
        <v>564.64285700000005</v>
      </c>
    </row>
    <row r="966" spans="2:4" x14ac:dyDescent="0.2">
      <c r="B966" s="876">
        <v>1113</v>
      </c>
      <c r="C966" s="876" t="s">
        <v>2044</v>
      </c>
      <c r="D966" s="851">
        <v>575.43998999999997</v>
      </c>
    </row>
    <row r="967" spans="2:4" x14ac:dyDescent="0.2">
      <c r="B967" s="876">
        <v>1114</v>
      </c>
      <c r="C967" s="876" t="s">
        <v>2045</v>
      </c>
      <c r="D967" s="851">
        <v>595.02499399999999</v>
      </c>
    </row>
    <row r="968" spans="2:4" x14ac:dyDescent="0.2">
      <c r="B968" s="876">
        <v>1115</v>
      </c>
      <c r="C968" s="876" t="s">
        <v>2046</v>
      </c>
      <c r="D968" s="851">
        <v>602.5</v>
      </c>
    </row>
    <row r="969" spans="2:4" x14ac:dyDescent="0.2">
      <c r="B969" s="876">
        <v>1116</v>
      </c>
      <c r="C969" s="876" t="s">
        <v>2047</v>
      </c>
      <c r="D969" s="851">
        <v>612.09999600000003</v>
      </c>
    </row>
    <row r="970" spans="2:4" x14ac:dyDescent="0.2">
      <c r="B970" s="876">
        <v>1117</v>
      </c>
      <c r="C970" s="876" t="s">
        <v>2048</v>
      </c>
      <c r="D970" s="851">
        <v>614.19999700000005</v>
      </c>
    </row>
    <row r="971" spans="2:4" x14ac:dyDescent="0.2">
      <c r="B971" s="876">
        <v>1118</v>
      </c>
      <c r="C971" s="876" t="s">
        <v>2049</v>
      </c>
      <c r="D971" s="851">
        <v>620.40002400000003</v>
      </c>
    </row>
    <row r="972" spans="2:4" x14ac:dyDescent="0.2">
      <c r="B972" s="876">
        <v>1119</v>
      </c>
      <c r="C972" s="876" t="s">
        <v>2050</v>
      </c>
      <c r="D972" s="851">
        <v>554.70000700000003</v>
      </c>
    </row>
    <row r="973" spans="2:4" ht="15" x14ac:dyDescent="0.2">
      <c r="B973" s="888">
        <v>1120</v>
      </c>
      <c r="C973" s="876" t="s">
        <v>2051</v>
      </c>
      <c r="D973" s="889">
        <v>541.85999800000002</v>
      </c>
    </row>
    <row r="974" spans="2:4" ht="15" x14ac:dyDescent="0.2">
      <c r="B974" s="888">
        <v>1121</v>
      </c>
      <c r="C974" s="876" t="s">
        <v>2052</v>
      </c>
      <c r="D974" s="889">
        <v>541.25</v>
      </c>
    </row>
    <row r="975" spans="2:4" ht="15" x14ac:dyDescent="0.2">
      <c r="B975" s="888">
        <v>1122</v>
      </c>
      <c r="C975" s="876" t="s">
        <v>2053</v>
      </c>
      <c r="D975" s="889">
        <v>521.5</v>
      </c>
    </row>
    <row r="976" spans="2:4" x14ac:dyDescent="0.2">
      <c r="B976" s="876">
        <v>1123</v>
      </c>
      <c r="C976" s="876" t="s">
        <v>2054</v>
      </c>
      <c r="D976" s="851">
        <v>558.04998799999998</v>
      </c>
    </row>
    <row r="977" spans="2:4" ht="15" x14ac:dyDescent="0.2">
      <c r="B977" s="888">
        <v>1124</v>
      </c>
      <c r="C977" s="876" t="s">
        <v>2055</v>
      </c>
      <c r="D977" s="889">
        <v>521.17142999999999</v>
      </c>
    </row>
    <row r="978" spans="2:4" ht="15" x14ac:dyDescent="0.2">
      <c r="B978" s="888">
        <v>1125</v>
      </c>
      <c r="C978" s="876" t="s">
        <v>2056</v>
      </c>
      <c r="D978" s="889">
        <v>513.63999000000001</v>
      </c>
    </row>
    <row r="979" spans="2:4" ht="15" x14ac:dyDescent="0.2">
      <c r="B979" s="888">
        <v>1126</v>
      </c>
      <c r="C979" s="876" t="s">
        <v>2057</v>
      </c>
      <c r="D979" s="889">
        <v>542.30000800000005</v>
      </c>
    </row>
    <row r="980" spans="2:4" x14ac:dyDescent="0.2">
      <c r="B980" s="876">
        <v>1127</v>
      </c>
      <c r="C980" s="876" t="s">
        <v>2058</v>
      </c>
      <c r="D980" s="851">
        <v>551.95000500000003</v>
      </c>
    </row>
    <row r="981" spans="2:4" x14ac:dyDescent="0.2">
      <c r="B981" s="876">
        <v>1128</v>
      </c>
      <c r="C981" s="876" t="s">
        <v>2059</v>
      </c>
      <c r="D981" s="851">
        <v>587.71667500000001</v>
      </c>
    </row>
    <row r="982" spans="2:4" x14ac:dyDescent="0.2">
      <c r="B982" s="876">
        <v>1129</v>
      </c>
      <c r="C982" s="876" t="s">
        <v>2060</v>
      </c>
      <c r="D982" s="851">
        <v>611.32857799999999</v>
      </c>
    </row>
    <row r="983" spans="2:4" x14ac:dyDescent="0.2">
      <c r="B983" s="876">
        <v>1130</v>
      </c>
      <c r="C983" s="876" t="s">
        <v>2061</v>
      </c>
      <c r="D983" s="851">
        <v>628.51667299999997</v>
      </c>
    </row>
    <row r="984" spans="2:4" x14ac:dyDescent="0.2">
      <c r="B984" s="876">
        <v>1131</v>
      </c>
      <c r="C984" s="876" t="s">
        <v>2062</v>
      </c>
      <c r="D984" s="851">
        <v>634.67500299999995</v>
      </c>
    </row>
    <row r="985" spans="2:4" x14ac:dyDescent="0.2">
      <c r="B985" s="876">
        <v>1132</v>
      </c>
      <c r="C985" s="876" t="s">
        <v>2063</v>
      </c>
      <c r="D985" s="851">
        <v>649.98332700000003</v>
      </c>
    </row>
    <row r="986" spans="2:4" x14ac:dyDescent="0.2">
      <c r="B986" s="876">
        <v>1133</v>
      </c>
      <c r="C986" s="876" t="s">
        <v>2064</v>
      </c>
      <c r="D986" s="851">
        <v>574.36665900000003</v>
      </c>
    </row>
    <row r="987" spans="2:4" x14ac:dyDescent="0.2">
      <c r="B987" s="876">
        <v>1134</v>
      </c>
      <c r="C987" s="876" t="s">
        <v>2065</v>
      </c>
      <c r="D987" s="851">
        <v>554.00000899999998</v>
      </c>
    </row>
    <row r="988" spans="2:4" ht="15" x14ac:dyDescent="0.2">
      <c r="B988" s="888">
        <v>1135</v>
      </c>
      <c r="C988" s="876" t="s">
        <v>2066</v>
      </c>
      <c r="D988" s="889">
        <v>535.32352800000001</v>
      </c>
    </row>
    <row r="989" spans="2:4" ht="15" x14ac:dyDescent="0.2">
      <c r="B989" s="888">
        <v>1136</v>
      </c>
      <c r="C989" s="876" t="s">
        <v>2067</v>
      </c>
      <c r="D989" s="889">
        <v>512.29998799999998</v>
      </c>
    </row>
    <row r="990" spans="2:4" ht="15" x14ac:dyDescent="0.2">
      <c r="B990" s="888">
        <v>1137</v>
      </c>
      <c r="C990" s="876" t="s">
        <v>2068</v>
      </c>
      <c r="D990" s="889">
        <v>514.40000199999997</v>
      </c>
    </row>
    <row r="991" spans="2:4" ht="15" x14ac:dyDescent="0.2">
      <c r="B991" s="888">
        <v>1138</v>
      </c>
      <c r="C991" s="876" t="s">
        <v>2069</v>
      </c>
      <c r="D991" s="889">
        <v>487.89999399999999</v>
      </c>
    </row>
    <row r="992" spans="2:4" ht="15" x14ac:dyDescent="0.2">
      <c r="B992" s="888">
        <v>1139</v>
      </c>
      <c r="C992" s="876" t="s">
        <v>2070</v>
      </c>
      <c r="D992" s="889">
        <v>496.43332900000001</v>
      </c>
    </row>
    <row r="993" spans="2:4" ht="15" x14ac:dyDescent="0.2">
      <c r="B993" s="888">
        <v>1140</v>
      </c>
      <c r="C993" s="876" t="s">
        <v>2071</v>
      </c>
      <c r="D993" s="889">
        <v>521.157152</v>
      </c>
    </row>
    <row r="994" spans="2:4" ht="15" x14ac:dyDescent="0.2">
      <c r="B994" s="888">
        <v>1141</v>
      </c>
      <c r="C994" s="876" t="s">
        <v>2072</v>
      </c>
      <c r="D994" s="889">
        <v>547.16666699999996</v>
      </c>
    </row>
    <row r="995" spans="2:4" x14ac:dyDescent="0.2">
      <c r="B995" s="876">
        <v>1142</v>
      </c>
      <c r="C995" s="876" t="s">
        <v>2073</v>
      </c>
      <c r="D995" s="851">
        <v>566.59999100000005</v>
      </c>
    </row>
    <row r="996" spans="2:4" x14ac:dyDescent="0.2">
      <c r="B996" s="876">
        <v>1143</v>
      </c>
      <c r="C996" s="876" t="s">
        <v>2074</v>
      </c>
      <c r="D996" s="851">
        <v>597.11818100000005</v>
      </c>
    </row>
    <row r="997" spans="2:4" x14ac:dyDescent="0.2">
      <c r="B997" s="876">
        <v>1144</v>
      </c>
      <c r="C997" s="876" t="s">
        <v>2075</v>
      </c>
      <c r="D997" s="851">
        <v>621.33333300000004</v>
      </c>
    </row>
    <row r="998" spans="2:4" x14ac:dyDescent="0.2">
      <c r="B998" s="876">
        <v>1145</v>
      </c>
      <c r="C998" s="876" t="s">
        <v>2076</v>
      </c>
      <c r="D998" s="851">
        <v>665.08334400000001</v>
      </c>
    </row>
    <row r="999" spans="2:4" x14ac:dyDescent="0.2">
      <c r="B999" s="876">
        <v>1146</v>
      </c>
      <c r="C999" s="876" t="s">
        <v>2077</v>
      </c>
      <c r="D999" s="851">
        <v>727.78000499999996</v>
      </c>
    </row>
    <row r="1000" spans="2:4" x14ac:dyDescent="0.2">
      <c r="B1000" s="876">
        <v>1147</v>
      </c>
      <c r="C1000" s="876" t="s">
        <v>2078</v>
      </c>
      <c r="D1000" s="851">
        <v>739.95001200000002</v>
      </c>
    </row>
    <row r="1001" spans="2:4" x14ac:dyDescent="0.2">
      <c r="B1001" s="876">
        <v>1148</v>
      </c>
      <c r="C1001" s="876" t="s">
        <v>2079</v>
      </c>
      <c r="D1001" s="851">
        <v>581.25556099999994</v>
      </c>
    </row>
    <row r="1002" spans="2:4" ht="15" x14ac:dyDescent="0.2">
      <c r="B1002" s="888">
        <v>1149</v>
      </c>
      <c r="C1002" s="876" t="s">
        <v>2080</v>
      </c>
      <c r="D1002" s="889">
        <v>530.93749200000002</v>
      </c>
    </row>
    <row r="1003" spans="2:4" ht="15" x14ac:dyDescent="0.2">
      <c r="B1003" s="888">
        <v>1150</v>
      </c>
      <c r="C1003" s="876" t="s">
        <v>2081</v>
      </c>
      <c r="D1003" s="889">
        <v>518.93335000000002</v>
      </c>
    </row>
    <row r="1004" spans="2:4" ht="15" x14ac:dyDescent="0.2">
      <c r="B1004" s="888">
        <v>1151</v>
      </c>
      <c r="C1004" s="876" t="s">
        <v>2082</v>
      </c>
      <c r="D1004" s="889">
        <v>527.48888499999998</v>
      </c>
    </row>
    <row r="1005" spans="2:4" ht="15" x14ac:dyDescent="0.2">
      <c r="B1005" s="888">
        <v>1152</v>
      </c>
      <c r="C1005" s="876" t="s">
        <v>2083</v>
      </c>
      <c r="D1005" s="889">
        <v>516.75999100000001</v>
      </c>
    </row>
    <row r="1006" spans="2:4" ht="15" x14ac:dyDescent="0.2">
      <c r="B1006" s="888">
        <v>1153</v>
      </c>
      <c r="C1006" s="876" t="s">
        <v>2084</v>
      </c>
      <c r="D1006" s="889">
        <v>529.84997599999997</v>
      </c>
    </row>
    <row r="1007" spans="2:4" x14ac:dyDescent="0.2">
      <c r="B1007" s="876">
        <v>1154</v>
      </c>
      <c r="C1007" s="876" t="s">
        <v>2085</v>
      </c>
      <c r="D1007" s="851">
        <v>554.57693200000006</v>
      </c>
    </row>
    <row r="1008" spans="2:4" x14ac:dyDescent="0.2">
      <c r="B1008" s="876">
        <v>1155</v>
      </c>
      <c r="C1008" s="876" t="s">
        <v>2086</v>
      </c>
      <c r="D1008" s="851">
        <v>576.77142300000003</v>
      </c>
    </row>
    <row r="1009" spans="2:4" x14ac:dyDescent="0.2">
      <c r="B1009" s="876">
        <v>1156</v>
      </c>
      <c r="C1009" s="876" t="s">
        <v>2087</v>
      </c>
      <c r="D1009" s="851">
        <v>613.40000199999997</v>
      </c>
    </row>
    <row r="1010" spans="2:4" x14ac:dyDescent="0.2">
      <c r="B1010" s="876">
        <v>1157</v>
      </c>
      <c r="C1010" s="876" t="s">
        <v>2088</v>
      </c>
      <c r="D1010" s="851">
        <v>641.42856300000005</v>
      </c>
    </row>
    <row r="1011" spans="2:4" x14ac:dyDescent="0.2">
      <c r="B1011" s="876">
        <v>1158</v>
      </c>
      <c r="C1011" s="876" t="s">
        <v>2089</v>
      </c>
      <c r="D1011" s="851">
        <v>700.42500299999995</v>
      </c>
    </row>
    <row r="1012" spans="2:4" x14ac:dyDescent="0.2">
      <c r="B1012" s="876">
        <v>1159</v>
      </c>
      <c r="C1012" s="876" t="s">
        <v>2090</v>
      </c>
      <c r="D1012" s="851">
        <v>709.125</v>
      </c>
    </row>
    <row r="1013" spans="2:4" x14ac:dyDescent="0.2">
      <c r="B1013" s="876">
        <v>1160</v>
      </c>
      <c r="C1013" s="876" t="s">
        <v>2091</v>
      </c>
      <c r="D1013" s="851">
        <v>672.30000299999995</v>
      </c>
    </row>
    <row r="1014" spans="2:4" x14ac:dyDescent="0.2">
      <c r="B1014" s="876">
        <v>1161</v>
      </c>
      <c r="C1014" s="876" t="s">
        <v>2092</v>
      </c>
      <c r="D1014" s="851">
        <v>700</v>
      </c>
    </row>
    <row r="1015" spans="2:4" x14ac:dyDescent="0.2">
      <c r="B1015" s="876">
        <v>1162</v>
      </c>
      <c r="C1015" s="876" t="s">
        <v>2093</v>
      </c>
      <c r="D1015" s="851">
        <v>648.06667100000004</v>
      </c>
    </row>
    <row r="1016" spans="2:4" x14ac:dyDescent="0.2">
      <c r="B1016" s="876">
        <v>1163</v>
      </c>
      <c r="C1016" s="876" t="s">
        <v>2094</v>
      </c>
      <c r="D1016" s="851">
        <v>618.5</v>
      </c>
    </row>
    <row r="1017" spans="2:4" x14ac:dyDescent="0.2">
      <c r="B1017" s="876">
        <v>1164</v>
      </c>
      <c r="C1017" s="876" t="s">
        <v>1376</v>
      </c>
      <c r="D1017" s="851">
        <v>587.5</v>
      </c>
    </row>
    <row r="1018" spans="2:4" x14ac:dyDescent="0.2">
      <c r="B1018" s="876">
        <v>1165</v>
      </c>
      <c r="C1018" s="876" t="s">
        <v>2095</v>
      </c>
      <c r="D1018" s="851">
        <v>575.03334600000005</v>
      </c>
    </row>
    <row r="1019" spans="2:4" x14ac:dyDescent="0.2">
      <c r="B1019" s="876">
        <v>1166</v>
      </c>
      <c r="C1019" s="876" t="s">
        <v>2096</v>
      </c>
      <c r="D1019" s="851">
        <v>577.09998800000005</v>
      </c>
    </row>
    <row r="1020" spans="2:4" x14ac:dyDescent="0.2">
      <c r="B1020" s="876">
        <v>1167</v>
      </c>
      <c r="C1020" s="876" t="s">
        <v>2097</v>
      </c>
      <c r="D1020" s="851">
        <v>563.05000800000005</v>
      </c>
    </row>
    <row r="1021" spans="2:4" ht="15" x14ac:dyDescent="0.2">
      <c r="B1021" s="888">
        <v>1168</v>
      </c>
      <c r="C1021" s="876" t="s">
        <v>381</v>
      </c>
      <c r="D1021" s="889">
        <v>533.63750500000003</v>
      </c>
    </row>
    <row r="1022" spans="2:4" ht="15" x14ac:dyDescent="0.2">
      <c r="B1022" s="888">
        <v>1169</v>
      </c>
      <c r="C1022" s="876" t="s">
        <v>2098</v>
      </c>
      <c r="D1022" s="889">
        <v>544.46875</v>
      </c>
    </row>
    <row r="1023" spans="2:4" x14ac:dyDescent="0.2">
      <c r="B1023" s="876">
        <v>1170</v>
      </c>
      <c r="C1023" s="876" t="s">
        <v>2099</v>
      </c>
      <c r="D1023" s="851">
        <v>595.21001000000001</v>
      </c>
    </row>
    <row r="1024" spans="2:4" x14ac:dyDescent="0.2">
      <c r="B1024" s="876">
        <v>1171</v>
      </c>
      <c r="C1024" s="876" t="s">
        <v>2100</v>
      </c>
      <c r="D1024" s="851">
        <v>585.22500600000001</v>
      </c>
    </row>
    <row r="1025" spans="2:4" x14ac:dyDescent="0.2">
      <c r="B1025" s="876">
        <v>1172</v>
      </c>
      <c r="C1025" s="876" t="s">
        <v>2101</v>
      </c>
      <c r="D1025" s="851">
        <v>622.15999799999997</v>
      </c>
    </row>
    <row r="1026" spans="2:4" x14ac:dyDescent="0.2">
      <c r="B1026" s="876">
        <v>1173</v>
      </c>
      <c r="C1026" s="876" t="s">
        <v>2102</v>
      </c>
      <c r="D1026" s="851">
        <v>695.40002400000003</v>
      </c>
    </row>
    <row r="1027" spans="2:4" x14ac:dyDescent="0.2">
      <c r="B1027" s="876">
        <v>1174</v>
      </c>
      <c r="C1027" s="876" t="s">
        <v>2103</v>
      </c>
      <c r="D1027" s="851">
        <v>726.40000399999997</v>
      </c>
    </row>
    <row r="1028" spans="2:4" x14ac:dyDescent="0.2">
      <c r="B1028" s="876">
        <v>1175</v>
      </c>
      <c r="C1028" s="876" t="s">
        <v>2104</v>
      </c>
      <c r="D1028" s="851">
        <v>726.80000299999995</v>
      </c>
    </row>
    <row r="1029" spans="2:4" x14ac:dyDescent="0.2">
      <c r="B1029" s="876">
        <v>1176</v>
      </c>
      <c r="C1029" s="876" t="s">
        <v>2105</v>
      </c>
      <c r="D1029" s="851">
        <v>647.25</v>
      </c>
    </row>
    <row r="1030" spans="2:4" x14ac:dyDescent="0.2">
      <c r="B1030" s="876">
        <v>1177</v>
      </c>
      <c r="C1030" s="876" t="s">
        <v>2106</v>
      </c>
      <c r="D1030" s="851">
        <v>676.71999500000004</v>
      </c>
    </row>
    <row r="1031" spans="2:4" x14ac:dyDescent="0.2">
      <c r="B1031" s="876">
        <v>1178</v>
      </c>
      <c r="C1031" s="876" t="s">
        <v>2107</v>
      </c>
      <c r="D1031" s="851">
        <v>653.866669</v>
      </c>
    </row>
    <row r="1032" spans="2:4" x14ac:dyDescent="0.2">
      <c r="B1032" s="876">
        <v>1179</v>
      </c>
      <c r="C1032" s="876" t="s">
        <v>2108</v>
      </c>
      <c r="D1032" s="851">
        <v>660.09997599999997</v>
      </c>
    </row>
    <row r="1033" spans="2:4" ht="15" x14ac:dyDescent="0.2">
      <c r="B1033" s="888">
        <v>1180</v>
      </c>
      <c r="C1033" s="876" t="s">
        <v>2109</v>
      </c>
      <c r="D1033" s="889">
        <v>548.65713900000003</v>
      </c>
    </row>
    <row r="1034" spans="2:4" ht="15" x14ac:dyDescent="0.2">
      <c r="B1034" s="888">
        <v>1181</v>
      </c>
      <c r="C1034" s="876" t="s">
        <v>2110</v>
      </c>
      <c r="D1034" s="889">
        <v>543.03334600000005</v>
      </c>
    </row>
    <row r="1035" spans="2:4" ht="15" x14ac:dyDescent="0.2">
      <c r="B1035" s="888">
        <v>1182</v>
      </c>
      <c r="C1035" s="876" t="s">
        <v>2111</v>
      </c>
      <c r="D1035" s="889">
        <v>545.9</v>
      </c>
    </row>
    <row r="1036" spans="2:4" ht="15" x14ac:dyDescent="0.2">
      <c r="B1036" s="888">
        <v>1183</v>
      </c>
      <c r="C1036" s="876" t="s">
        <v>2112</v>
      </c>
      <c r="D1036" s="889">
        <v>537.29998799999998</v>
      </c>
    </row>
    <row r="1037" spans="2:4" x14ac:dyDescent="0.2">
      <c r="B1037" s="876">
        <v>1184</v>
      </c>
      <c r="C1037" s="876" t="s">
        <v>2113</v>
      </c>
      <c r="D1037" s="851">
        <v>552.59167000000002</v>
      </c>
    </row>
    <row r="1038" spans="2:4" ht="15" x14ac:dyDescent="0.2">
      <c r="B1038" s="888">
        <v>1185</v>
      </c>
      <c r="C1038" s="876" t="s">
        <v>2114</v>
      </c>
      <c r="D1038" s="889">
        <v>543.47500600000001</v>
      </c>
    </row>
    <row r="1039" spans="2:4" x14ac:dyDescent="0.2">
      <c r="B1039" s="876">
        <v>1186</v>
      </c>
      <c r="C1039" s="876" t="s">
        <v>2115</v>
      </c>
      <c r="D1039" s="851">
        <v>634.61248799999998</v>
      </c>
    </row>
    <row r="1040" spans="2:4" x14ac:dyDescent="0.2">
      <c r="B1040" s="876">
        <v>1187</v>
      </c>
      <c r="C1040" s="876" t="s">
        <v>2116</v>
      </c>
      <c r="D1040" s="851">
        <v>606.452178</v>
      </c>
    </row>
    <row r="1041" spans="2:4" x14ac:dyDescent="0.2">
      <c r="B1041" s="876">
        <v>1188</v>
      </c>
      <c r="C1041" s="876" t="s">
        <v>2117</v>
      </c>
      <c r="D1041" s="851">
        <v>621.66666699999996</v>
      </c>
    </row>
    <row r="1042" spans="2:4" x14ac:dyDescent="0.2">
      <c r="B1042" s="876">
        <v>1189</v>
      </c>
      <c r="C1042" s="876" t="s">
        <v>2118</v>
      </c>
      <c r="D1042" s="851">
        <v>644.52000699999996</v>
      </c>
    </row>
    <row r="1043" spans="2:4" x14ac:dyDescent="0.2">
      <c r="B1043" s="876">
        <v>1190</v>
      </c>
      <c r="C1043" s="876" t="s">
        <v>2119</v>
      </c>
      <c r="D1043" s="851">
        <v>657.90002400000003</v>
      </c>
    </row>
    <row r="1044" spans="2:4" x14ac:dyDescent="0.2">
      <c r="B1044" s="876">
        <v>1191</v>
      </c>
      <c r="C1044" s="876" t="s">
        <v>2120</v>
      </c>
      <c r="D1044" s="851">
        <v>647.82499700000005</v>
      </c>
    </row>
    <row r="1045" spans="2:4" x14ac:dyDescent="0.2">
      <c r="B1045" s="876">
        <v>1192</v>
      </c>
      <c r="C1045" s="876" t="s">
        <v>2121</v>
      </c>
      <c r="D1045" s="851">
        <v>637.75</v>
      </c>
    </row>
    <row r="1046" spans="2:4" x14ac:dyDescent="0.2">
      <c r="B1046" s="876">
        <v>1193</v>
      </c>
      <c r="C1046" s="876" t="s">
        <v>2122</v>
      </c>
      <c r="D1046" s="851">
        <v>656.08124499999997</v>
      </c>
    </row>
    <row r="1047" spans="2:4" x14ac:dyDescent="0.2">
      <c r="B1047" s="876">
        <v>1194</v>
      </c>
      <c r="C1047" s="876" t="s">
        <v>2123</v>
      </c>
      <c r="D1047" s="851">
        <v>681.63749700000005</v>
      </c>
    </row>
    <row r="1048" spans="2:4" x14ac:dyDescent="0.2">
      <c r="B1048" s="876">
        <v>1195</v>
      </c>
      <c r="C1048" s="876" t="s">
        <v>2124</v>
      </c>
      <c r="D1048" s="851">
        <v>716.43332899999996</v>
      </c>
    </row>
    <row r="1049" spans="2:4" x14ac:dyDescent="0.2">
      <c r="B1049" s="876">
        <v>1196</v>
      </c>
      <c r="C1049" s="876" t="s">
        <v>2125</v>
      </c>
      <c r="D1049" s="851">
        <v>680.17501100000004</v>
      </c>
    </row>
    <row r="1050" spans="2:4" x14ac:dyDescent="0.2">
      <c r="B1050" s="876">
        <v>1197</v>
      </c>
      <c r="C1050" s="876" t="s">
        <v>2126</v>
      </c>
      <c r="D1050" s="851">
        <v>671.05454299999997</v>
      </c>
    </row>
    <row r="1051" spans="2:4" x14ac:dyDescent="0.2">
      <c r="B1051" s="876">
        <v>1198</v>
      </c>
      <c r="C1051" s="876" t="s">
        <v>2127</v>
      </c>
      <c r="D1051" s="851">
        <v>668.129999</v>
      </c>
    </row>
    <row r="1052" spans="2:4" x14ac:dyDescent="0.2">
      <c r="B1052" s="876">
        <v>1199</v>
      </c>
      <c r="C1052" s="876" t="s">
        <v>2128</v>
      </c>
      <c r="D1052" s="851">
        <v>644.13334099999997</v>
      </c>
    </row>
    <row r="1053" spans="2:4" x14ac:dyDescent="0.2">
      <c r="B1053" s="876">
        <v>1200</v>
      </c>
      <c r="C1053" s="876" t="s">
        <v>2129</v>
      </c>
      <c r="D1053" s="851">
        <v>645.29998799999998</v>
      </c>
    </row>
    <row r="1054" spans="2:4" x14ac:dyDescent="0.2">
      <c r="B1054" s="876">
        <v>1201</v>
      </c>
      <c r="C1054" s="876" t="s">
        <v>2130</v>
      </c>
      <c r="D1054" s="851">
        <v>623.54998799999998</v>
      </c>
    </row>
    <row r="1055" spans="2:4" x14ac:dyDescent="0.2">
      <c r="B1055" s="876">
        <v>1202</v>
      </c>
      <c r="C1055" s="876" t="s">
        <v>2131</v>
      </c>
      <c r="D1055" s="851">
        <v>635.16666699999996</v>
      </c>
    </row>
    <row r="1056" spans="2:4" ht="15" x14ac:dyDescent="0.2">
      <c r="B1056" s="888">
        <v>1203</v>
      </c>
      <c r="C1056" s="876" t="s">
        <v>2132</v>
      </c>
      <c r="D1056" s="889">
        <v>523.26666299999999</v>
      </c>
    </row>
    <row r="1057" spans="2:4" ht="15" x14ac:dyDescent="0.2">
      <c r="B1057" s="888">
        <v>1204</v>
      </c>
      <c r="C1057" s="876" t="s">
        <v>2133</v>
      </c>
      <c r="D1057" s="889">
        <v>525.30000299999995</v>
      </c>
    </row>
    <row r="1058" spans="2:4" ht="15" x14ac:dyDescent="0.2">
      <c r="B1058" s="888">
        <v>1205</v>
      </c>
      <c r="C1058" s="876" t="s">
        <v>2134</v>
      </c>
      <c r="D1058" s="889">
        <v>538.50000999999997</v>
      </c>
    </row>
    <row r="1059" spans="2:4" x14ac:dyDescent="0.2">
      <c r="B1059" s="876">
        <v>1206</v>
      </c>
      <c r="C1059" s="876" t="s">
        <v>2135</v>
      </c>
      <c r="D1059" s="851">
        <v>566.48461899999995</v>
      </c>
    </row>
    <row r="1060" spans="2:4" x14ac:dyDescent="0.2">
      <c r="B1060" s="876">
        <v>1207</v>
      </c>
      <c r="C1060" s="876" t="s">
        <v>2136</v>
      </c>
      <c r="D1060" s="851">
        <v>612.27778499999999</v>
      </c>
    </row>
    <row r="1061" spans="2:4" x14ac:dyDescent="0.2">
      <c r="B1061" s="876">
        <v>1208</v>
      </c>
      <c r="C1061" s="876" t="s">
        <v>2137</v>
      </c>
      <c r="D1061" s="851">
        <v>613.72000700000001</v>
      </c>
    </row>
    <row r="1062" spans="2:4" x14ac:dyDescent="0.2">
      <c r="B1062" s="876">
        <v>1209</v>
      </c>
      <c r="C1062" s="876" t="s">
        <v>2138</v>
      </c>
      <c r="D1062" s="851">
        <v>622.29998799999998</v>
      </c>
    </row>
    <row r="1063" spans="2:4" x14ac:dyDescent="0.2">
      <c r="B1063" s="876">
        <v>1210</v>
      </c>
      <c r="C1063" s="876" t="s">
        <v>2139</v>
      </c>
      <c r="D1063" s="851">
        <v>636.49997599999995</v>
      </c>
    </row>
    <row r="1064" spans="2:4" x14ac:dyDescent="0.2">
      <c r="B1064" s="876">
        <v>1211</v>
      </c>
      <c r="C1064" s="876" t="s">
        <v>2140</v>
      </c>
      <c r="D1064" s="851">
        <v>638.61111100000005</v>
      </c>
    </row>
    <row r="1065" spans="2:4" x14ac:dyDescent="0.2">
      <c r="B1065" s="876">
        <v>1212</v>
      </c>
      <c r="C1065" s="876" t="s">
        <v>2141</v>
      </c>
      <c r="D1065" s="851">
        <v>653</v>
      </c>
    </row>
    <row r="1066" spans="2:4" x14ac:dyDescent="0.2">
      <c r="B1066" s="876">
        <v>1213</v>
      </c>
      <c r="C1066" s="876" t="s">
        <v>2142</v>
      </c>
      <c r="D1066" s="851">
        <v>651.29998799999998</v>
      </c>
    </row>
    <row r="1067" spans="2:4" x14ac:dyDescent="0.2">
      <c r="B1067" s="876">
        <v>1214</v>
      </c>
      <c r="C1067" s="876" t="s">
        <v>2143</v>
      </c>
      <c r="D1067" s="851">
        <v>687.51428199999998</v>
      </c>
    </row>
    <row r="1068" spans="2:4" x14ac:dyDescent="0.2">
      <c r="B1068" s="876">
        <v>1215</v>
      </c>
      <c r="C1068" s="876" t="s">
        <v>2144</v>
      </c>
      <c r="D1068" s="851">
        <v>670.57999299999994</v>
      </c>
    </row>
    <row r="1069" spans="2:4" x14ac:dyDescent="0.2">
      <c r="B1069" s="876">
        <v>1216</v>
      </c>
      <c r="C1069" s="876" t="s">
        <v>2145</v>
      </c>
      <c r="D1069" s="851">
        <v>649.29998799999998</v>
      </c>
    </row>
    <row r="1070" spans="2:4" ht="15" x14ac:dyDescent="0.2">
      <c r="B1070" s="888">
        <v>1217</v>
      </c>
      <c r="C1070" s="876" t="s">
        <v>2146</v>
      </c>
      <c r="D1070" s="889">
        <v>532.633331</v>
      </c>
    </row>
    <row r="1071" spans="2:4" ht="15" x14ac:dyDescent="0.2">
      <c r="B1071" s="888">
        <v>1218</v>
      </c>
      <c r="C1071" s="876" t="s">
        <v>2147</v>
      </c>
      <c r="D1071" s="889">
        <v>541.81999499999995</v>
      </c>
    </row>
    <row r="1072" spans="2:4" x14ac:dyDescent="0.2">
      <c r="B1072" s="876">
        <v>1219</v>
      </c>
      <c r="C1072" s="876" t="s">
        <v>2148</v>
      </c>
      <c r="D1072" s="851">
        <v>557.88334099999997</v>
      </c>
    </row>
    <row r="1073" spans="2:4" x14ac:dyDescent="0.2">
      <c r="B1073" s="876">
        <v>1220</v>
      </c>
      <c r="C1073" s="876" t="s">
        <v>2149</v>
      </c>
      <c r="D1073" s="851">
        <v>567.22500600000001</v>
      </c>
    </row>
    <row r="1074" spans="2:4" x14ac:dyDescent="0.2">
      <c r="B1074" s="876">
        <v>1221</v>
      </c>
      <c r="C1074" s="876" t="s">
        <v>2150</v>
      </c>
      <c r="D1074" s="851">
        <v>579.67999299999997</v>
      </c>
    </row>
    <row r="1075" spans="2:4" x14ac:dyDescent="0.2">
      <c r="B1075" s="876">
        <v>1222</v>
      </c>
      <c r="C1075" s="876" t="s">
        <v>2151</v>
      </c>
      <c r="D1075" s="851">
        <v>607.22222199999999</v>
      </c>
    </row>
    <row r="1076" spans="2:4" x14ac:dyDescent="0.2">
      <c r="B1076" s="876">
        <v>1223</v>
      </c>
      <c r="C1076" s="876" t="s">
        <v>2152</v>
      </c>
      <c r="D1076" s="851">
        <v>627.45455100000004</v>
      </c>
    </row>
    <row r="1077" spans="2:4" x14ac:dyDescent="0.2">
      <c r="B1077" s="876">
        <v>1224</v>
      </c>
      <c r="C1077" s="876" t="s">
        <v>2153</v>
      </c>
      <c r="D1077" s="851">
        <v>641.37501499999996</v>
      </c>
    </row>
    <row r="1078" spans="2:4" x14ac:dyDescent="0.2">
      <c r="B1078" s="876">
        <v>1225</v>
      </c>
      <c r="C1078" s="876" t="s">
        <v>2154</v>
      </c>
      <c r="D1078" s="851">
        <v>632.14999399999999</v>
      </c>
    </row>
    <row r="1079" spans="2:4" x14ac:dyDescent="0.2">
      <c r="B1079" s="876">
        <v>1226</v>
      </c>
      <c r="C1079" s="876" t="s">
        <v>2155</v>
      </c>
      <c r="D1079" s="851">
        <v>636.47499100000005</v>
      </c>
    </row>
    <row r="1080" spans="2:4" x14ac:dyDescent="0.2">
      <c r="B1080" s="876">
        <v>1227</v>
      </c>
      <c r="C1080" s="876" t="s">
        <v>2156</v>
      </c>
      <c r="D1080" s="851">
        <v>676.99999100000002</v>
      </c>
    </row>
    <row r="1081" spans="2:4" x14ac:dyDescent="0.2">
      <c r="B1081" s="876">
        <v>1228</v>
      </c>
      <c r="C1081" s="876" t="s">
        <v>2157</v>
      </c>
      <c r="D1081" s="851">
        <v>684.46665399999995</v>
      </c>
    </row>
    <row r="1082" spans="2:4" x14ac:dyDescent="0.2">
      <c r="B1082" s="876">
        <v>1229</v>
      </c>
      <c r="C1082" s="876" t="s">
        <v>2012</v>
      </c>
      <c r="D1082" s="851">
        <v>656.35000600000001</v>
      </c>
    </row>
    <row r="1083" spans="2:4" x14ac:dyDescent="0.2">
      <c r="B1083" s="876">
        <v>1230</v>
      </c>
      <c r="C1083" s="876" t="s">
        <v>2158</v>
      </c>
      <c r="D1083" s="851">
        <v>561.79998799999998</v>
      </c>
    </row>
    <row r="1084" spans="2:4" x14ac:dyDescent="0.2">
      <c r="B1084" s="876">
        <v>1231</v>
      </c>
      <c r="C1084" s="876" t="s">
        <v>2159</v>
      </c>
      <c r="D1084" s="851">
        <v>573.75</v>
      </c>
    </row>
    <row r="1085" spans="2:4" x14ac:dyDescent="0.2">
      <c r="B1085" s="876">
        <v>1232</v>
      </c>
      <c r="C1085" s="876" t="s">
        <v>2160</v>
      </c>
      <c r="D1085" s="851">
        <v>562.639996</v>
      </c>
    </row>
    <row r="1086" spans="2:4" x14ac:dyDescent="0.2">
      <c r="B1086" s="876">
        <v>1233</v>
      </c>
      <c r="C1086" s="876" t="s">
        <v>2161</v>
      </c>
      <c r="D1086" s="851">
        <v>575.94000200000005</v>
      </c>
    </row>
    <row r="1087" spans="2:4" x14ac:dyDescent="0.2">
      <c r="B1087" s="876">
        <v>1234</v>
      </c>
      <c r="C1087" s="876" t="s">
        <v>2162</v>
      </c>
      <c r="D1087" s="851">
        <v>560.84000200000003</v>
      </c>
    </row>
    <row r="1088" spans="2:4" ht="15" x14ac:dyDescent="0.2">
      <c r="B1088" s="888">
        <v>1235</v>
      </c>
      <c r="C1088" s="876" t="s">
        <v>2163</v>
      </c>
      <c r="D1088" s="889">
        <v>548.07501200000002</v>
      </c>
    </row>
    <row r="1089" spans="2:4" ht="15" x14ac:dyDescent="0.2">
      <c r="B1089" s="888">
        <v>1236</v>
      </c>
      <c r="C1089" s="876" t="s">
        <v>2164</v>
      </c>
      <c r="D1089" s="889">
        <v>535.70001200000002</v>
      </c>
    </row>
    <row r="1090" spans="2:4" x14ac:dyDescent="0.2">
      <c r="B1090" s="876">
        <v>1237</v>
      </c>
      <c r="C1090" s="876" t="s">
        <v>2165</v>
      </c>
      <c r="D1090" s="851">
        <v>563.63751200000002</v>
      </c>
    </row>
    <row r="1091" spans="2:4" x14ac:dyDescent="0.2">
      <c r="B1091" s="876">
        <v>1238</v>
      </c>
      <c r="C1091" s="876" t="s">
        <v>2166</v>
      </c>
      <c r="D1091" s="851">
        <v>586.75</v>
      </c>
    </row>
    <row r="1092" spans="2:4" x14ac:dyDescent="0.2">
      <c r="B1092" s="876">
        <v>1239</v>
      </c>
      <c r="C1092" s="876" t="s">
        <v>2167</v>
      </c>
      <c r="D1092" s="851">
        <v>604.13636399999996</v>
      </c>
    </row>
    <row r="1093" spans="2:4" x14ac:dyDescent="0.2">
      <c r="B1093" s="876">
        <v>1240</v>
      </c>
      <c r="C1093" s="876" t="s">
        <v>2168</v>
      </c>
      <c r="D1093" s="851">
        <v>618.24999400000002</v>
      </c>
    </row>
    <row r="1094" spans="2:4" x14ac:dyDescent="0.2">
      <c r="B1094" s="876">
        <v>1241</v>
      </c>
      <c r="C1094" s="876" t="s">
        <v>2169</v>
      </c>
      <c r="D1094" s="851">
        <v>630.76666299999999</v>
      </c>
    </row>
    <row r="1095" spans="2:4" x14ac:dyDescent="0.2">
      <c r="B1095" s="876">
        <v>1242</v>
      </c>
      <c r="C1095" s="876" t="s">
        <v>2170</v>
      </c>
      <c r="D1095" s="851">
        <v>647.63332100000002</v>
      </c>
    </row>
    <row r="1096" spans="2:4" x14ac:dyDescent="0.2">
      <c r="B1096" s="876">
        <v>1243</v>
      </c>
      <c r="C1096" s="876" t="s">
        <v>2171</v>
      </c>
      <c r="D1096" s="851">
        <v>635.31999900000005</v>
      </c>
    </row>
    <row r="1097" spans="2:4" x14ac:dyDescent="0.2">
      <c r="B1097" s="876">
        <v>1244</v>
      </c>
      <c r="C1097" s="876" t="s">
        <v>2172</v>
      </c>
      <c r="D1097" s="851">
        <v>623.73333700000001</v>
      </c>
    </row>
    <row r="1098" spans="2:4" x14ac:dyDescent="0.2">
      <c r="B1098" s="876">
        <v>1245</v>
      </c>
      <c r="C1098" s="876" t="s">
        <v>2173</v>
      </c>
      <c r="D1098" s="851">
        <v>631.56666099999995</v>
      </c>
    </row>
    <row r="1099" spans="2:4" x14ac:dyDescent="0.2">
      <c r="B1099" s="876">
        <v>1246</v>
      </c>
      <c r="C1099" s="876" t="s">
        <v>2174</v>
      </c>
      <c r="D1099" s="851">
        <v>655.05001800000002</v>
      </c>
    </row>
    <row r="1100" spans="2:4" x14ac:dyDescent="0.2">
      <c r="B1100" s="876">
        <v>1247</v>
      </c>
      <c r="C1100" s="876" t="s">
        <v>2175</v>
      </c>
      <c r="D1100" s="851">
        <v>633.79999999999995</v>
      </c>
    </row>
    <row r="1101" spans="2:4" x14ac:dyDescent="0.2">
      <c r="B1101" s="876">
        <v>1248</v>
      </c>
      <c r="C1101" s="876" t="s">
        <v>302</v>
      </c>
      <c r="D1101" s="851">
        <v>627.55714599999999</v>
      </c>
    </row>
    <row r="1102" spans="2:4" x14ac:dyDescent="0.2">
      <c r="B1102" s="876">
        <v>1249</v>
      </c>
      <c r="C1102" s="876" t="s">
        <v>2176</v>
      </c>
      <c r="D1102" s="851">
        <v>604.34286099999997</v>
      </c>
    </row>
    <row r="1103" spans="2:4" x14ac:dyDescent="0.2">
      <c r="B1103" s="876">
        <v>1250</v>
      </c>
      <c r="C1103" s="876" t="s">
        <v>2177</v>
      </c>
      <c r="D1103" s="851">
        <v>579.54001500000004</v>
      </c>
    </row>
    <row r="1104" spans="2:4" x14ac:dyDescent="0.2">
      <c r="B1104" s="876">
        <v>1251</v>
      </c>
      <c r="C1104" s="876" t="s">
        <v>2178</v>
      </c>
      <c r="D1104" s="851">
        <v>599.34286099999997</v>
      </c>
    </row>
    <row r="1105" spans="2:4" x14ac:dyDescent="0.2">
      <c r="B1105" s="876">
        <v>1252</v>
      </c>
      <c r="C1105" s="876" t="s">
        <v>2179</v>
      </c>
      <c r="D1105" s="851">
        <v>627.54286000000002</v>
      </c>
    </row>
    <row r="1106" spans="2:4" x14ac:dyDescent="0.2">
      <c r="B1106" s="876">
        <v>1253</v>
      </c>
      <c r="C1106" s="876" t="s">
        <v>2180</v>
      </c>
      <c r="D1106" s="851">
        <v>638.18181800000002</v>
      </c>
    </row>
    <row r="1107" spans="2:4" x14ac:dyDescent="0.2">
      <c r="B1107" s="876">
        <v>1254</v>
      </c>
      <c r="C1107" s="876" t="s">
        <v>2181</v>
      </c>
      <c r="D1107" s="851">
        <v>619.47499800000003</v>
      </c>
    </row>
    <row r="1108" spans="2:4" x14ac:dyDescent="0.2">
      <c r="B1108" s="876">
        <v>1255</v>
      </c>
      <c r="C1108" s="876" t="s">
        <v>2182</v>
      </c>
      <c r="D1108" s="851">
        <v>616.79998799999998</v>
      </c>
    </row>
    <row r="1109" spans="2:4" x14ac:dyDescent="0.2">
      <c r="B1109" s="876">
        <v>1256</v>
      </c>
      <c r="C1109" s="876" t="s">
        <v>2183</v>
      </c>
      <c r="D1109" s="851">
        <v>661.67999299999997</v>
      </c>
    </row>
    <row r="1110" spans="2:4" x14ac:dyDescent="0.2">
      <c r="B1110" s="876">
        <v>1301</v>
      </c>
      <c r="C1110" s="876" t="s">
        <v>2184</v>
      </c>
      <c r="D1110" s="851">
        <v>747.15715699999998</v>
      </c>
    </row>
    <row r="1111" spans="2:4" x14ac:dyDescent="0.2">
      <c r="B1111" s="876">
        <v>1302</v>
      </c>
      <c r="C1111" s="876" t="s">
        <v>2185</v>
      </c>
      <c r="D1111" s="851">
        <v>679.74284999999998</v>
      </c>
    </row>
    <row r="1112" spans="2:4" x14ac:dyDescent="0.2">
      <c r="B1112" s="876">
        <v>1303</v>
      </c>
      <c r="C1112" s="876" t="s">
        <v>2186</v>
      </c>
      <c r="D1112" s="851">
        <v>714.14999399999999</v>
      </c>
    </row>
    <row r="1113" spans="2:4" x14ac:dyDescent="0.2">
      <c r="B1113" s="876">
        <v>1304</v>
      </c>
      <c r="C1113" s="876" t="s">
        <v>2187</v>
      </c>
      <c r="D1113" s="851">
        <v>633.65</v>
      </c>
    </row>
    <row r="1114" spans="2:4" x14ac:dyDescent="0.2">
      <c r="B1114" s="876">
        <v>1305</v>
      </c>
      <c r="C1114" s="876" t="s">
        <v>2188</v>
      </c>
      <c r="D1114" s="851">
        <v>653.94166600000005</v>
      </c>
    </row>
    <row r="1115" spans="2:4" x14ac:dyDescent="0.2">
      <c r="B1115" s="876">
        <v>1306</v>
      </c>
      <c r="C1115" s="876" t="s">
        <v>2189</v>
      </c>
      <c r="D1115" s="851">
        <v>612.40000399999997</v>
      </c>
    </row>
    <row r="1116" spans="2:4" x14ac:dyDescent="0.2">
      <c r="B1116" s="876">
        <v>1307</v>
      </c>
      <c r="C1116" s="876" t="s">
        <v>2190</v>
      </c>
      <c r="D1116" s="851">
        <v>669.52857300000005</v>
      </c>
    </row>
    <row r="1117" spans="2:4" x14ac:dyDescent="0.2">
      <c r="B1117" s="876">
        <v>1308</v>
      </c>
      <c r="C1117" s="876" t="s">
        <v>2191</v>
      </c>
      <c r="D1117" s="851">
        <v>634.34999100000005</v>
      </c>
    </row>
    <row r="1118" spans="2:4" x14ac:dyDescent="0.2">
      <c r="B1118" s="876">
        <v>1309</v>
      </c>
      <c r="C1118" s="876" t="s">
        <v>2192</v>
      </c>
      <c r="D1118" s="851">
        <v>668.19999700000005</v>
      </c>
    </row>
    <row r="1119" spans="2:4" x14ac:dyDescent="0.2">
      <c r="B1119" s="876">
        <v>1310</v>
      </c>
      <c r="C1119" s="876" t="s">
        <v>2193</v>
      </c>
      <c r="D1119" s="851">
        <v>710.10000600000001</v>
      </c>
    </row>
    <row r="1120" spans="2:4" x14ac:dyDescent="0.2">
      <c r="B1120" s="876">
        <v>1311</v>
      </c>
      <c r="C1120" s="876" t="s">
        <v>1812</v>
      </c>
      <c r="D1120" s="851">
        <v>640.33332299999995</v>
      </c>
    </row>
    <row r="1121" spans="2:4" x14ac:dyDescent="0.2">
      <c r="B1121" s="876">
        <v>1312</v>
      </c>
      <c r="C1121" s="876" t="s">
        <v>2194</v>
      </c>
      <c r="D1121" s="851">
        <v>646</v>
      </c>
    </row>
    <row r="1122" spans="2:4" x14ac:dyDescent="0.2">
      <c r="B1122" s="876">
        <v>1313</v>
      </c>
      <c r="C1122" s="876" t="s">
        <v>2195</v>
      </c>
      <c r="D1122" s="851">
        <v>755.5</v>
      </c>
    </row>
    <row r="1123" spans="2:4" x14ac:dyDescent="0.2">
      <c r="B1123" s="876">
        <v>1314</v>
      </c>
      <c r="C1123" s="876" t="s">
        <v>1992</v>
      </c>
      <c r="D1123" s="851">
        <v>630.56667100000004</v>
      </c>
    </row>
    <row r="1124" spans="2:4" x14ac:dyDescent="0.2">
      <c r="B1124" s="876">
        <v>1315</v>
      </c>
      <c r="C1124" s="876" t="s">
        <v>2196</v>
      </c>
      <c r="D1124" s="851">
        <v>715.40000399999997</v>
      </c>
    </row>
    <row r="1125" spans="2:4" x14ac:dyDescent="0.2">
      <c r="B1125" s="876">
        <v>1316</v>
      </c>
      <c r="C1125" s="876" t="s">
        <v>2197</v>
      </c>
      <c r="D1125" s="851">
        <v>719</v>
      </c>
    </row>
    <row r="1126" spans="2:4" x14ac:dyDescent="0.2">
      <c r="B1126" s="876">
        <v>1317</v>
      </c>
      <c r="C1126" s="876" t="s">
        <v>2198</v>
      </c>
      <c r="D1126" s="851">
        <v>634.259998</v>
      </c>
    </row>
    <row r="1127" spans="2:4" x14ac:dyDescent="0.2">
      <c r="B1127" s="876">
        <v>1318</v>
      </c>
      <c r="C1127" s="876" t="s">
        <v>2199</v>
      </c>
      <c r="D1127" s="851">
        <v>681.59997599999997</v>
      </c>
    </row>
    <row r="1128" spans="2:4" x14ac:dyDescent="0.2">
      <c r="B1128" s="876">
        <v>1319</v>
      </c>
      <c r="C1128" s="876" t="s">
        <v>2200</v>
      </c>
      <c r="D1128" s="851">
        <v>645.75</v>
      </c>
    </row>
    <row r="1129" spans="2:4" x14ac:dyDescent="0.2">
      <c r="B1129" s="876">
        <v>1320</v>
      </c>
      <c r="C1129" s="876" t="s">
        <v>2201</v>
      </c>
      <c r="D1129" s="851">
        <v>815.56664999999998</v>
      </c>
    </row>
    <row r="1130" spans="2:4" x14ac:dyDescent="0.2">
      <c r="B1130" s="876">
        <v>1321</v>
      </c>
      <c r="C1130" s="876" t="s">
        <v>2202</v>
      </c>
      <c r="D1130" s="851">
        <v>851.29998799999998</v>
      </c>
    </row>
    <row r="1131" spans="2:4" x14ac:dyDescent="0.2">
      <c r="B1131" s="876">
        <v>1322</v>
      </c>
      <c r="C1131" s="876" t="s">
        <v>2203</v>
      </c>
      <c r="D1131" s="851">
        <v>658.96364000000005</v>
      </c>
    </row>
    <row r="1132" spans="2:4" x14ac:dyDescent="0.2">
      <c r="B1132" s="876">
        <v>1323</v>
      </c>
      <c r="C1132" s="876" t="s">
        <v>2204</v>
      </c>
      <c r="D1132" s="851">
        <v>602.09999100000005</v>
      </c>
    </row>
    <row r="1133" spans="2:4" x14ac:dyDescent="0.2">
      <c r="B1133" s="876">
        <v>1324</v>
      </c>
      <c r="C1133" s="876" t="s">
        <v>2205</v>
      </c>
      <c r="D1133" s="851">
        <v>591.70001200000002</v>
      </c>
    </row>
    <row r="1134" spans="2:4" x14ac:dyDescent="0.2">
      <c r="B1134" s="876">
        <v>1326</v>
      </c>
      <c r="C1134" s="876" t="s">
        <v>2206</v>
      </c>
      <c r="D1134" s="851">
        <v>654.60000600000001</v>
      </c>
    </row>
    <row r="1135" spans="2:4" x14ac:dyDescent="0.2">
      <c r="B1135" s="876">
        <v>1327</v>
      </c>
      <c r="C1135" s="876" t="s">
        <v>350</v>
      </c>
      <c r="D1135" s="851">
        <v>694.69999900000005</v>
      </c>
    </row>
    <row r="1136" spans="2:4" x14ac:dyDescent="0.2">
      <c r="B1136" s="876">
        <v>1328</v>
      </c>
      <c r="C1136" s="876" t="s">
        <v>2207</v>
      </c>
      <c r="D1136" s="851">
        <v>714.40002400000003</v>
      </c>
    </row>
    <row r="1137" spans="2:4" x14ac:dyDescent="0.2">
      <c r="B1137" s="876">
        <v>1329</v>
      </c>
      <c r="C1137" s="876" t="s">
        <v>2208</v>
      </c>
      <c r="D1137" s="851">
        <v>721.90002400000003</v>
      </c>
    </row>
    <row r="1138" spans="2:4" x14ac:dyDescent="0.2">
      <c r="B1138" s="876">
        <v>1330</v>
      </c>
      <c r="C1138" s="876" t="s">
        <v>2209</v>
      </c>
      <c r="D1138" s="851">
        <v>664.40002400000003</v>
      </c>
    </row>
    <row r="1139" spans="2:4" x14ac:dyDescent="0.2">
      <c r="B1139" s="876">
        <v>1331</v>
      </c>
      <c r="C1139" s="876" t="s">
        <v>2210</v>
      </c>
      <c r="D1139" s="851">
        <v>675.90002400000003</v>
      </c>
    </row>
    <row r="1140" spans="2:4" x14ac:dyDescent="0.2">
      <c r="B1140" s="876">
        <v>1332</v>
      </c>
      <c r="C1140" s="876" t="s">
        <v>2211</v>
      </c>
      <c r="D1140" s="851">
        <v>603.24285899999995</v>
      </c>
    </row>
    <row r="1141" spans="2:4" x14ac:dyDescent="0.2">
      <c r="B1141" s="876">
        <v>1333</v>
      </c>
      <c r="C1141" s="876" t="s">
        <v>2212</v>
      </c>
      <c r="D1141" s="851">
        <v>706.13334099999997</v>
      </c>
    </row>
    <row r="1142" spans="2:4" x14ac:dyDescent="0.2">
      <c r="B1142" s="876">
        <v>1334</v>
      </c>
      <c r="C1142" s="876" t="s">
        <v>2213</v>
      </c>
      <c r="D1142" s="851">
        <v>645.04998799999998</v>
      </c>
    </row>
    <row r="1143" spans="2:4" x14ac:dyDescent="0.2">
      <c r="B1143" s="876">
        <v>1335</v>
      </c>
      <c r="C1143" s="876" t="s">
        <v>2214</v>
      </c>
      <c r="D1143" s="851">
        <v>608.11429299999998</v>
      </c>
    </row>
    <row r="1144" spans="2:4" x14ac:dyDescent="0.2">
      <c r="B1144" s="876">
        <v>1336</v>
      </c>
      <c r="C1144" s="876" t="s">
        <v>2215</v>
      </c>
      <c r="D1144" s="851">
        <v>564.85000600000001</v>
      </c>
    </row>
    <row r="1145" spans="2:4" x14ac:dyDescent="0.2">
      <c r="B1145" s="876">
        <v>1337</v>
      </c>
      <c r="C1145" s="876" t="s">
        <v>2216</v>
      </c>
      <c r="D1145" s="851">
        <v>733.375</v>
      </c>
    </row>
    <row r="1146" spans="2:4" x14ac:dyDescent="0.2">
      <c r="B1146" s="876">
        <v>1338</v>
      </c>
      <c r="C1146" s="876" t="s">
        <v>2217</v>
      </c>
      <c r="D1146" s="851">
        <v>593.93001100000004</v>
      </c>
    </row>
    <row r="1147" spans="2:4" x14ac:dyDescent="0.2">
      <c r="B1147" s="876">
        <v>1339</v>
      </c>
      <c r="C1147" s="876" t="s">
        <v>2218</v>
      </c>
      <c r="D1147" s="851">
        <v>660.51999499999999</v>
      </c>
    </row>
    <row r="1148" spans="2:4" x14ac:dyDescent="0.2">
      <c r="B1148" s="876">
        <v>1340</v>
      </c>
      <c r="C1148" s="876" t="s">
        <v>2219</v>
      </c>
      <c r="D1148" s="851">
        <v>762.70001200000002</v>
      </c>
    </row>
    <row r="1149" spans="2:4" x14ac:dyDescent="0.2">
      <c r="B1149" s="876">
        <v>1341</v>
      </c>
      <c r="C1149" s="876" t="s">
        <v>2220</v>
      </c>
      <c r="D1149" s="851">
        <v>597.03332499999999</v>
      </c>
    </row>
    <row r="1150" spans="2:4" x14ac:dyDescent="0.2">
      <c r="B1150" s="876">
        <v>1342</v>
      </c>
      <c r="C1150" s="876" t="s">
        <v>2221</v>
      </c>
      <c r="D1150" s="851">
        <v>681.94998199999998</v>
      </c>
    </row>
    <row r="1151" spans="2:4" x14ac:dyDescent="0.2">
      <c r="B1151" s="876">
        <v>1343</v>
      </c>
      <c r="C1151" s="876" t="s">
        <v>2222</v>
      </c>
      <c r="D1151" s="851">
        <v>637.72857699999997</v>
      </c>
    </row>
    <row r="1152" spans="2:4" x14ac:dyDescent="0.2">
      <c r="B1152" s="876">
        <v>1344</v>
      </c>
      <c r="C1152" s="876" t="s">
        <v>2223</v>
      </c>
      <c r="D1152" s="851">
        <v>650.86665900000003</v>
      </c>
    </row>
    <row r="1153" spans="2:4" x14ac:dyDescent="0.2">
      <c r="B1153" s="876">
        <v>1345</v>
      </c>
      <c r="C1153" s="876" t="s">
        <v>2224</v>
      </c>
      <c r="D1153" s="851">
        <v>717.06667100000004</v>
      </c>
    </row>
    <row r="1154" spans="2:4" x14ac:dyDescent="0.2">
      <c r="B1154" s="876">
        <v>1346</v>
      </c>
      <c r="C1154" s="876" t="s">
        <v>2225</v>
      </c>
      <c r="D1154" s="851">
        <v>732.5</v>
      </c>
    </row>
    <row r="1155" spans="2:4" x14ac:dyDescent="0.2">
      <c r="B1155" s="876">
        <v>1347</v>
      </c>
      <c r="C1155" s="876" t="s">
        <v>2226</v>
      </c>
      <c r="D1155" s="851">
        <v>788.23331700000006</v>
      </c>
    </row>
    <row r="1156" spans="2:4" x14ac:dyDescent="0.2">
      <c r="B1156" s="876">
        <v>1348</v>
      </c>
      <c r="C1156" s="876" t="s">
        <v>2227</v>
      </c>
      <c r="D1156" s="851">
        <v>659.38182500000005</v>
      </c>
    </row>
    <row r="1157" spans="2:4" x14ac:dyDescent="0.2">
      <c r="B1157" s="876">
        <v>1349</v>
      </c>
      <c r="C1157" s="876" t="s">
        <v>2228</v>
      </c>
      <c r="D1157" s="851">
        <v>736.16666699999996</v>
      </c>
    </row>
    <row r="1158" spans="2:4" x14ac:dyDescent="0.2">
      <c r="B1158" s="876">
        <v>1350</v>
      </c>
      <c r="C1158" s="876" t="s">
        <v>2229</v>
      </c>
      <c r="D1158" s="851">
        <v>587.10000600000001</v>
      </c>
    </row>
    <row r="1159" spans="2:4" x14ac:dyDescent="0.2">
      <c r="B1159" s="876">
        <v>1351</v>
      </c>
      <c r="C1159" s="876" t="s">
        <v>2230</v>
      </c>
      <c r="D1159" s="851">
        <v>668.70001200000002</v>
      </c>
    </row>
    <row r="1160" spans="2:4" x14ac:dyDescent="0.2">
      <c r="B1160" s="876">
        <v>1352</v>
      </c>
      <c r="C1160" s="876" t="s">
        <v>2231</v>
      </c>
      <c r="D1160" s="851">
        <v>650.81667100000004</v>
      </c>
    </row>
    <row r="1161" spans="2:4" x14ac:dyDescent="0.2">
      <c r="B1161" s="876">
        <v>1353</v>
      </c>
      <c r="C1161" s="876" t="s">
        <v>2232</v>
      </c>
      <c r="D1161" s="851">
        <v>698.06667100000004</v>
      </c>
    </row>
    <row r="1162" spans="2:4" x14ac:dyDescent="0.2">
      <c r="B1162" s="876">
        <v>1354</v>
      </c>
      <c r="C1162" s="876" t="s">
        <v>2233</v>
      </c>
      <c r="D1162" s="851">
        <v>630.90833999999995</v>
      </c>
    </row>
    <row r="1163" spans="2:4" x14ac:dyDescent="0.2">
      <c r="B1163" s="876">
        <v>1355</v>
      </c>
      <c r="C1163" s="876" t="s">
        <v>2234</v>
      </c>
      <c r="D1163" s="851">
        <v>742.66666699999996</v>
      </c>
    </row>
    <row r="1164" spans="2:4" x14ac:dyDescent="0.2">
      <c r="B1164" s="876">
        <v>1356</v>
      </c>
      <c r="C1164" s="876" t="s">
        <v>2235</v>
      </c>
      <c r="D1164" s="851">
        <v>610.96666500000003</v>
      </c>
    </row>
    <row r="1165" spans="2:4" x14ac:dyDescent="0.2">
      <c r="B1165" s="876">
        <v>1357</v>
      </c>
      <c r="C1165" s="876" t="s">
        <v>2236</v>
      </c>
      <c r="D1165" s="851">
        <v>730.89999</v>
      </c>
    </row>
    <row r="1166" spans="2:4" x14ac:dyDescent="0.2">
      <c r="B1166" s="876">
        <v>1358</v>
      </c>
      <c r="C1166" s="876" t="s">
        <v>2237</v>
      </c>
      <c r="D1166" s="851">
        <v>598.63334099999997</v>
      </c>
    </row>
    <row r="1167" spans="2:4" ht="15" x14ac:dyDescent="0.2">
      <c r="B1167" s="888">
        <v>1359</v>
      </c>
      <c r="C1167" s="876" t="s">
        <v>2238</v>
      </c>
      <c r="D1167" s="889">
        <v>521.54000199999996</v>
      </c>
    </row>
    <row r="1168" spans="2:4" x14ac:dyDescent="0.2">
      <c r="B1168" s="876">
        <v>1360</v>
      </c>
      <c r="C1168" s="876" t="s">
        <v>2239</v>
      </c>
      <c r="D1168" s="851">
        <v>642.59997599999997</v>
      </c>
    </row>
    <row r="1169" spans="2:4" x14ac:dyDescent="0.2">
      <c r="B1169" s="876">
        <v>1361</v>
      </c>
      <c r="C1169" s="876" t="s">
        <v>2240</v>
      </c>
      <c r="D1169" s="851">
        <v>740.48748799999998</v>
      </c>
    </row>
    <row r="1170" spans="2:4" x14ac:dyDescent="0.2">
      <c r="B1170" s="876">
        <v>1362</v>
      </c>
      <c r="C1170" s="876" t="s">
        <v>2241</v>
      </c>
      <c r="D1170" s="851">
        <v>703.30000500000006</v>
      </c>
    </row>
    <row r="1171" spans="2:4" x14ac:dyDescent="0.2">
      <c r="B1171" s="876">
        <v>1363</v>
      </c>
      <c r="C1171" s="876" t="s">
        <v>2242</v>
      </c>
      <c r="D1171" s="851">
        <v>614.67500299999995</v>
      </c>
    </row>
    <row r="1172" spans="2:4" x14ac:dyDescent="0.2">
      <c r="B1172" s="876">
        <v>1364</v>
      </c>
      <c r="C1172" s="876" t="s">
        <v>2243</v>
      </c>
      <c r="D1172" s="851">
        <v>631.75</v>
      </c>
    </row>
    <row r="1173" spans="2:4" x14ac:dyDescent="0.2">
      <c r="B1173" s="876">
        <v>1365</v>
      </c>
      <c r="C1173" s="876" t="s">
        <v>2244</v>
      </c>
      <c r="D1173" s="851">
        <v>681.10000600000001</v>
      </c>
    </row>
    <row r="1174" spans="2:4" x14ac:dyDescent="0.2">
      <c r="B1174" s="876">
        <v>1366</v>
      </c>
      <c r="C1174" s="876" t="s">
        <v>2245</v>
      </c>
      <c r="D1174" s="851">
        <v>643.33333300000004</v>
      </c>
    </row>
    <row r="1175" spans="2:4" x14ac:dyDescent="0.2">
      <c r="B1175" s="876">
        <v>1367</v>
      </c>
      <c r="C1175" s="876" t="s">
        <v>2246</v>
      </c>
      <c r="D1175" s="851">
        <v>715.13332100000002</v>
      </c>
    </row>
    <row r="1176" spans="2:4" x14ac:dyDescent="0.2">
      <c r="B1176" s="876">
        <v>1368</v>
      </c>
      <c r="C1176" s="876" t="s">
        <v>2247</v>
      </c>
      <c r="D1176" s="851">
        <v>664.59999600000003</v>
      </c>
    </row>
    <row r="1177" spans="2:4" x14ac:dyDescent="0.2">
      <c r="B1177" s="876">
        <v>1369</v>
      </c>
      <c r="C1177" s="876" t="s">
        <v>2248</v>
      </c>
      <c r="D1177" s="851">
        <v>651.59997599999997</v>
      </c>
    </row>
    <row r="1178" spans="2:4" x14ac:dyDescent="0.2">
      <c r="B1178" s="876">
        <v>1370</v>
      </c>
      <c r="C1178" s="876" t="s">
        <v>2249</v>
      </c>
      <c r="D1178" s="851">
        <v>715.90002400000003</v>
      </c>
    </row>
    <row r="1179" spans="2:4" x14ac:dyDescent="0.2">
      <c r="B1179" s="876">
        <v>1371</v>
      </c>
      <c r="C1179" s="876" t="s">
        <v>2250</v>
      </c>
      <c r="D1179" s="851">
        <v>605.09999600000003</v>
      </c>
    </row>
    <row r="1180" spans="2:4" x14ac:dyDescent="0.2">
      <c r="B1180" s="876">
        <v>1372</v>
      </c>
      <c r="C1180" s="876" t="s">
        <v>2251</v>
      </c>
      <c r="D1180" s="851">
        <v>603.52220999999997</v>
      </c>
    </row>
    <row r="1181" spans="2:4" x14ac:dyDescent="0.2">
      <c r="B1181" s="876">
        <v>1373</v>
      </c>
      <c r="C1181" s="876" t="s">
        <v>2252</v>
      </c>
      <c r="D1181" s="851">
        <v>688.62856599999998</v>
      </c>
    </row>
    <row r="1182" spans="2:4" x14ac:dyDescent="0.2">
      <c r="B1182" s="876">
        <v>1374</v>
      </c>
      <c r="C1182" s="876" t="s">
        <v>2253</v>
      </c>
      <c r="D1182" s="851">
        <v>639.79998799999998</v>
      </c>
    </row>
    <row r="1183" spans="2:4" ht="15" x14ac:dyDescent="0.2">
      <c r="B1183" s="888">
        <v>1375</v>
      </c>
      <c r="C1183" s="876" t="s">
        <v>2254</v>
      </c>
      <c r="D1183" s="889">
        <v>545.08000500000003</v>
      </c>
    </row>
    <row r="1184" spans="2:4" x14ac:dyDescent="0.2">
      <c r="B1184" s="876">
        <v>1376</v>
      </c>
      <c r="C1184" s="876" t="s">
        <v>2255</v>
      </c>
      <c r="D1184" s="851">
        <v>613.95999800000004</v>
      </c>
    </row>
    <row r="1185" spans="2:4" x14ac:dyDescent="0.2">
      <c r="B1185" s="876">
        <v>1377</v>
      </c>
      <c r="C1185" s="876" t="s">
        <v>2256</v>
      </c>
      <c r="D1185" s="851">
        <v>815.75</v>
      </c>
    </row>
    <row r="1186" spans="2:4" x14ac:dyDescent="0.2">
      <c r="B1186" s="876">
        <v>1378</v>
      </c>
      <c r="C1186" s="876" t="s">
        <v>2257</v>
      </c>
      <c r="D1186" s="851">
        <v>716.20001200000002</v>
      </c>
    </row>
    <row r="1187" spans="2:4" x14ac:dyDescent="0.2">
      <c r="B1187" s="876">
        <v>1379</v>
      </c>
      <c r="C1187" s="876" t="s">
        <v>2258</v>
      </c>
      <c r="D1187" s="851">
        <v>747.06664999999998</v>
      </c>
    </row>
    <row r="1188" spans="2:4" x14ac:dyDescent="0.2">
      <c r="B1188" s="876">
        <v>1380</v>
      </c>
      <c r="C1188" s="876" t="s">
        <v>2259</v>
      </c>
      <c r="D1188" s="851">
        <v>615.29998799999998</v>
      </c>
    </row>
    <row r="1189" spans="2:4" x14ac:dyDescent="0.2">
      <c r="B1189" s="876">
        <v>1381</v>
      </c>
      <c r="C1189" s="876" t="s">
        <v>2260</v>
      </c>
      <c r="D1189" s="851">
        <v>656.79999799999996</v>
      </c>
    </row>
    <row r="1190" spans="2:4" ht="15" x14ac:dyDescent="0.2">
      <c r="B1190" s="888">
        <v>1382</v>
      </c>
      <c r="C1190" s="876" t="s">
        <v>2261</v>
      </c>
      <c r="D1190" s="889">
        <v>545.79998799999998</v>
      </c>
    </row>
    <row r="1191" spans="2:4" x14ac:dyDescent="0.2">
      <c r="B1191" s="876">
        <v>1383</v>
      </c>
      <c r="C1191" s="876" t="s">
        <v>2262</v>
      </c>
      <c r="D1191" s="851">
        <v>736.75</v>
      </c>
    </row>
    <row r="1192" spans="2:4" x14ac:dyDescent="0.2">
      <c r="B1192" s="876">
        <v>1384</v>
      </c>
      <c r="C1192" s="876" t="s">
        <v>2263</v>
      </c>
      <c r="D1192" s="851">
        <v>762.09999100000005</v>
      </c>
    </row>
    <row r="1193" spans="2:4" x14ac:dyDescent="0.2">
      <c r="B1193" s="876">
        <v>1385</v>
      </c>
      <c r="C1193" s="876" t="s">
        <v>2264</v>
      </c>
      <c r="D1193" s="851">
        <v>674.14999399999999</v>
      </c>
    </row>
    <row r="1194" spans="2:4" x14ac:dyDescent="0.2">
      <c r="B1194" s="876">
        <v>1386</v>
      </c>
      <c r="C1194" s="876" t="s">
        <v>2265</v>
      </c>
      <c r="D1194" s="851">
        <v>749.75</v>
      </c>
    </row>
    <row r="1195" spans="2:4" x14ac:dyDescent="0.2">
      <c r="B1195" s="876">
        <v>1387</v>
      </c>
      <c r="C1195" s="876" t="s">
        <v>2266</v>
      </c>
      <c r="D1195" s="851">
        <v>668.30001800000002</v>
      </c>
    </row>
    <row r="1196" spans="2:4" x14ac:dyDescent="0.2">
      <c r="B1196" s="876">
        <v>1388</v>
      </c>
      <c r="C1196" s="876" t="s">
        <v>2267</v>
      </c>
      <c r="D1196" s="851">
        <v>727.32501200000002</v>
      </c>
    </row>
    <row r="1197" spans="2:4" x14ac:dyDescent="0.2">
      <c r="B1197" s="876">
        <v>1389</v>
      </c>
      <c r="C1197" s="876" t="s">
        <v>2268</v>
      </c>
      <c r="D1197" s="851">
        <v>649.22500600000001</v>
      </c>
    </row>
    <row r="1198" spans="2:4" x14ac:dyDescent="0.2">
      <c r="B1198" s="876">
        <v>1390</v>
      </c>
      <c r="C1198" s="876" t="s">
        <v>2269</v>
      </c>
      <c r="D1198" s="851">
        <v>640.07142899999997</v>
      </c>
    </row>
    <row r="1199" spans="2:4" x14ac:dyDescent="0.2">
      <c r="B1199" s="876">
        <v>1391</v>
      </c>
      <c r="C1199" s="876" t="s">
        <v>2270</v>
      </c>
      <c r="D1199" s="851">
        <v>678.09997599999997</v>
      </c>
    </row>
    <row r="1200" spans="2:4" x14ac:dyDescent="0.2">
      <c r="B1200" s="876">
        <v>1392</v>
      </c>
      <c r="C1200" s="876" t="s">
        <v>2271</v>
      </c>
      <c r="D1200" s="851">
        <v>637.04998799999998</v>
      </c>
    </row>
    <row r="1201" spans="2:4" x14ac:dyDescent="0.2">
      <c r="B1201" s="876">
        <v>1393</v>
      </c>
      <c r="C1201" s="876" t="s">
        <v>2272</v>
      </c>
      <c r="D1201" s="851">
        <v>602.96667500000001</v>
      </c>
    </row>
    <row r="1202" spans="2:4" x14ac:dyDescent="0.2">
      <c r="B1202" s="876">
        <v>1394</v>
      </c>
      <c r="C1202" s="876" t="s">
        <v>2273</v>
      </c>
      <c r="D1202" s="851">
        <v>761.13748899999996</v>
      </c>
    </row>
    <row r="1203" spans="2:4" x14ac:dyDescent="0.2">
      <c r="B1203" s="876">
        <v>1395</v>
      </c>
      <c r="C1203" s="876" t="s">
        <v>2274</v>
      </c>
      <c r="D1203" s="851">
        <v>686.43332899999996</v>
      </c>
    </row>
    <row r="1204" spans="2:4" x14ac:dyDescent="0.2">
      <c r="B1204" s="876">
        <v>1396</v>
      </c>
      <c r="C1204" s="876" t="s">
        <v>2275</v>
      </c>
      <c r="D1204" s="851">
        <v>775.64999399999999</v>
      </c>
    </row>
    <row r="1205" spans="2:4" x14ac:dyDescent="0.2">
      <c r="B1205" s="876">
        <v>1397</v>
      </c>
      <c r="C1205" s="876" t="s">
        <v>2276</v>
      </c>
      <c r="D1205" s="851">
        <v>559.90000399999997</v>
      </c>
    </row>
    <row r="1206" spans="2:4" x14ac:dyDescent="0.2">
      <c r="B1206" s="876">
        <v>1398</v>
      </c>
      <c r="C1206" s="876" t="s">
        <v>2277</v>
      </c>
      <c r="D1206" s="851">
        <v>659.63333799999998</v>
      </c>
    </row>
    <row r="1207" spans="2:4" x14ac:dyDescent="0.2">
      <c r="B1207" s="876">
        <v>1399</v>
      </c>
      <c r="C1207" s="876" t="s">
        <v>2278</v>
      </c>
      <c r="D1207" s="851">
        <v>745.54998799999998</v>
      </c>
    </row>
    <row r="1208" spans="2:4" x14ac:dyDescent="0.2">
      <c r="B1208" s="876">
        <v>1400</v>
      </c>
      <c r="C1208" s="876" t="s">
        <v>2279</v>
      </c>
      <c r="D1208" s="851">
        <v>637.34999100000005</v>
      </c>
    </row>
    <row r="1209" spans="2:4" x14ac:dyDescent="0.2">
      <c r="B1209" s="876">
        <v>1401</v>
      </c>
      <c r="C1209" s="876" t="s">
        <v>2280</v>
      </c>
      <c r="D1209" s="851">
        <v>681.80001800000002</v>
      </c>
    </row>
    <row r="1210" spans="2:4" x14ac:dyDescent="0.2">
      <c r="B1210" s="876">
        <v>1402</v>
      </c>
      <c r="C1210" s="876" t="s">
        <v>2281</v>
      </c>
      <c r="D1210" s="851">
        <v>643.96666500000003</v>
      </c>
    </row>
    <row r="1211" spans="2:4" x14ac:dyDescent="0.2">
      <c r="B1211" s="876">
        <v>1403</v>
      </c>
      <c r="C1211" s="876" t="s">
        <v>355</v>
      </c>
      <c r="D1211" s="851">
        <v>616.69167100000004</v>
      </c>
    </row>
    <row r="1212" spans="2:4" x14ac:dyDescent="0.2">
      <c r="B1212" s="876">
        <v>1404</v>
      </c>
      <c r="C1212" s="876" t="s">
        <v>2282</v>
      </c>
      <c r="D1212" s="851">
        <v>695.10000600000001</v>
      </c>
    </row>
    <row r="1213" spans="2:4" x14ac:dyDescent="0.2">
      <c r="B1213" s="876">
        <v>1405</v>
      </c>
      <c r="C1213" s="876" t="s">
        <v>2283</v>
      </c>
      <c r="D1213" s="851">
        <v>635.5</v>
      </c>
    </row>
    <row r="1214" spans="2:4" x14ac:dyDescent="0.2">
      <c r="B1214" s="876">
        <v>1406</v>
      </c>
      <c r="C1214" s="876" t="s">
        <v>2284</v>
      </c>
      <c r="D1214" s="851">
        <v>655.59997599999997</v>
      </c>
    </row>
    <row r="1215" spans="2:4" x14ac:dyDescent="0.2">
      <c r="B1215" s="876">
        <v>1407</v>
      </c>
      <c r="C1215" s="876" t="s">
        <v>2285</v>
      </c>
      <c r="D1215" s="851">
        <v>625.86667899999998</v>
      </c>
    </row>
    <row r="1216" spans="2:4" x14ac:dyDescent="0.2">
      <c r="B1216" s="876">
        <v>1408</v>
      </c>
      <c r="C1216" s="876" t="s">
        <v>2286</v>
      </c>
      <c r="D1216" s="851">
        <v>632.23333700000001</v>
      </c>
    </row>
    <row r="1217" spans="2:4" x14ac:dyDescent="0.2">
      <c r="B1217" s="876">
        <v>1409</v>
      </c>
      <c r="C1217" s="876" t="s">
        <v>2287</v>
      </c>
      <c r="D1217" s="851">
        <v>795.75</v>
      </c>
    </row>
    <row r="1218" spans="2:4" x14ac:dyDescent="0.2">
      <c r="B1218" s="876">
        <v>1410</v>
      </c>
      <c r="C1218" s="876" t="s">
        <v>2288</v>
      </c>
      <c r="D1218" s="851">
        <v>663.44000900000003</v>
      </c>
    </row>
    <row r="1219" spans="2:4" x14ac:dyDescent="0.2">
      <c r="B1219" s="876">
        <v>1411</v>
      </c>
      <c r="C1219" s="876" t="s">
        <v>2289</v>
      </c>
      <c r="D1219" s="851">
        <v>623.85000600000001</v>
      </c>
    </row>
    <row r="1220" spans="2:4" x14ac:dyDescent="0.2">
      <c r="B1220" s="876">
        <v>1412</v>
      </c>
      <c r="C1220" s="876" t="s">
        <v>2290</v>
      </c>
      <c r="D1220" s="851">
        <v>652.70001200000002</v>
      </c>
    </row>
    <row r="1221" spans="2:4" x14ac:dyDescent="0.2">
      <c r="B1221" s="876">
        <v>1413</v>
      </c>
      <c r="C1221" s="876" t="s">
        <v>2291</v>
      </c>
      <c r="D1221" s="851">
        <v>620.40002400000003</v>
      </c>
    </row>
    <row r="1222" spans="2:4" x14ac:dyDescent="0.2">
      <c r="B1222" s="876">
        <v>1414</v>
      </c>
      <c r="C1222" s="876" t="s">
        <v>2292</v>
      </c>
      <c r="D1222" s="851">
        <v>601.68748500000004</v>
      </c>
    </row>
    <row r="1223" spans="2:4" x14ac:dyDescent="0.2">
      <c r="B1223" s="876">
        <v>1415</v>
      </c>
      <c r="C1223" s="876" t="s">
        <v>2293</v>
      </c>
      <c r="D1223" s="851">
        <v>779.5</v>
      </c>
    </row>
    <row r="1224" spans="2:4" x14ac:dyDescent="0.2">
      <c r="B1224" s="876">
        <v>1416</v>
      </c>
      <c r="C1224" s="876" t="s">
        <v>2294</v>
      </c>
      <c r="D1224" s="851">
        <v>616.35000600000001</v>
      </c>
    </row>
    <row r="1225" spans="2:4" x14ac:dyDescent="0.2">
      <c r="B1225" s="876">
        <v>1417</v>
      </c>
      <c r="C1225" s="876" t="s">
        <v>2295</v>
      </c>
      <c r="D1225" s="851">
        <v>725.09999600000003</v>
      </c>
    </row>
    <row r="1226" spans="2:4" x14ac:dyDescent="0.2">
      <c r="B1226" s="876">
        <v>1418</v>
      </c>
      <c r="C1226" s="876" t="s">
        <v>2296</v>
      </c>
      <c r="D1226" s="851">
        <v>705.20001200000002</v>
      </c>
    </row>
    <row r="1227" spans="2:4" x14ac:dyDescent="0.2">
      <c r="B1227" s="876">
        <v>1419</v>
      </c>
      <c r="C1227" s="876" t="s">
        <v>2297</v>
      </c>
      <c r="D1227" s="851">
        <v>687.13332100000002</v>
      </c>
    </row>
    <row r="1228" spans="2:4" x14ac:dyDescent="0.2">
      <c r="B1228" s="876">
        <v>1420</v>
      </c>
      <c r="C1228" s="876" t="s">
        <v>2298</v>
      </c>
      <c r="D1228" s="851">
        <v>683.64000199999998</v>
      </c>
    </row>
    <row r="1229" spans="2:4" x14ac:dyDescent="0.2">
      <c r="B1229" s="876">
        <v>1421</v>
      </c>
      <c r="C1229" s="876" t="s">
        <v>2299</v>
      </c>
      <c r="D1229" s="851">
        <v>749.29999799999996</v>
      </c>
    </row>
    <row r="1230" spans="2:4" x14ac:dyDescent="0.2">
      <c r="B1230" s="876">
        <v>1422</v>
      </c>
      <c r="C1230" s="876" t="s">
        <v>2300</v>
      </c>
      <c r="D1230" s="851">
        <v>681.66666699999996</v>
      </c>
    </row>
    <row r="1231" spans="2:4" x14ac:dyDescent="0.2">
      <c r="B1231" s="876">
        <v>1423</v>
      </c>
      <c r="C1231" s="876" t="s">
        <v>2301</v>
      </c>
      <c r="D1231" s="851">
        <v>582.56666099999995</v>
      </c>
    </row>
    <row r="1232" spans="2:4" x14ac:dyDescent="0.2">
      <c r="B1232" s="876">
        <v>1424</v>
      </c>
      <c r="C1232" s="876" t="s">
        <v>2302</v>
      </c>
      <c r="D1232" s="851">
        <v>636.80000299999995</v>
      </c>
    </row>
    <row r="1233" spans="2:4" x14ac:dyDescent="0.2">
      <c r="B1233" s="876">
        <v>1425</v>
      </c>
      <c r="C1233" s="876" t="s">
        <v>2303</v>
      </c>
      <c r="D1233" s="851">
        <v>629.32501200000002</v>
      </c>
    </row>
    <row r="1234" spans="2:4" x14ac:dyDescent="0.2">
      <c r="B1234" s="876">
        <v>1426</v>
      </c>
      <c r="C1234" s="876" t="s">
        <v>2304</v>
      </c>
      <c r="D1234" s="851">
        <v>652.16667700000005</v>
      </c>
    </row>
    <row r="1235" spans="2:4" x14ac:dyDescent="0.2">
      <c r="B1235" s="876">
        <v>1427</v>
      </c>
      <c r="C1235" s="876" t="s">
        <v>2305</v>
      </c>
      <c r="D1235" s="851">
        <v>648.09998800000005</v>
      </c>
    </row>
    <row r="1236" spans="2:4" x14ac:dyDescent="0.2">
      <c r="B1236" s="876">
        <v>1428</v>
      </c>
      <c r="C1236" s="876" t="s">
        <v>2306</v>
      </c>
      <c r="D1236" s="851">
        <v>785.94999700000005</v>
      </c>
    </row>
    <row r="1237" spans="2:4" x14ac:dyDescent="0.2">
      <c r="B1237" s="876">
        <v>1429</v>
      </c>
      <c r="C1237" s="876" t="s">
        <v>2170</v>
      </c>
      <c r="D1237" s="851">
        <v>626.02500899999995</v>
      </c>
    </row>
    <row r="1238" spans="2:4" x14ac:dyDescent="0.2">
      <c r="B1238" s="876">
        <v>1430</v>
      </c>
      <c r="C1238" s="876" t="s">
        <v>2307</v>
      </c>
      <c r="D1238" s="851">
        <v>691.5</v>
      </c>
    </row>
    <row r="1239" spans="2:4" x14ac:dyDescent="0.2">
      <c r="B1239" s="876">
        <v>1431</v>
      </c>
      <c r="C1239" s="876" t="s">
        <v>2308</v>
      </c>
      <c r="D1239" s="851">
        <v>617.93998999999997</v>
      </c>
    </row>
    <row r="1240" spans="2:4" x14ac:dyDescent="0.2">
      <c r="B1240" s="876">
        <v>1432</v>
      </c>
      <c r="C1240" s="876" t="s">
        <v>2309</v>
      </c>
      <c r="D1240" s="851">
        <v>641.30001800000002</v>
      </c>
    </row>
    <row r="1241" spans="2:4" x14ac:dyDescent="0.2">
      <c r="B1241" s="876">
        <v>1433</v>
      </c>
      <c r="C1241" s="876" t="s">
        <v>2310</v>
      </c>
      <c r="D1241" s="851">
        <v>739.92856300000005</v>
      </c>
    </row>
    <row r="1242" spans="2:4" x14ac:dyDescent="0.2">
      <c r="B1242" s="876">
        <v>1434</v>
      </c>
      <c r="C1242" s="876" t="s">
        <v>2311</v>
      </c>
      <c r="D1242" s="851">
        <v>821.05001800000002</v>
      </c>
    </row>
    <row r="1243" spans="2:4" x14ac:dyDescent="0.2">
      <c r="B1243" s="876">
        <v>1435</v>
      </c>
      <c r="C1243" s="876" t="s">
        <v>2312</v>
      </c>
      <c r="D1243" s="851">
        <v>699.43335000000002</v>
      </c>
    </row>
    <row r="1244" spans="2:4" x14ac:dyDescent="0.2">
      <c r="B1244" s="876">
        <v>1436</v>
      </c>
      <c r="C1244" s="876" t="s">
        <v>2313</v>
      </c>
      <c r="D1244" s="851">
        <v>670.73333700000001</v>
      </c>
    </row>
    <row r="1245" spans="2:4" x14ac:dyDescent="0.2">
      <c r="B1245" s="876">
        <v>1437</v>
      </c>
      <c r="C1245" s="876" t="s">
        <v>2314</v>
      </c>
      <c r="D1245" s="851">
        <v>621.45001200000002</v>
      </c>
    </row>
    <row r="1246" spans="2:4" x14ac:dyDescent="0.2">
      <c r="B1246" s="876">
        <v>1438</v>
      </c>
      <c r="C1246" s="876" t="s">
        <v>2315</v>
      </c>
      <c r="D1246" s="851">
        <v>628.59999600000003</v>
      </c>
    </row>
    <row r="1247" spans="2:4" x14ac:dyDescent="0.2">
      <c r="B1247" s="876">
        <v>1439</v>
      </c>
      <c r="C1247" s="876" t="s">
        <v>2316</v>
      </c>
      <c r="D1247" s="851">
        <v>737.759998</v>
      </c>
    </row>
    <row r="1248" spans="2:4" x14ac:dyDescent="0.2">
      <c r="B1248" s="876">
        <v>1440</v>
      </c>
      <c r="C1248" s="876" t="s">
        <v>2317</v>
      </c>
      <c r="D1248" s="851">
        <v>688.30000800000005</v>
      </c>
    </row>
    <row r="1249" spans="2:4" x14ac:dyDescent="0.2">
      <c r="B1249" s="876">
        <v>1441</v>
      </c>
      <c r="C1249" s="876" t="s">
        <v>2318</v>
      </c>
      <c r="D1249" s="851">
        <v>714.13999000000001</v>
      </c>
    </row>
    <row r="1250" spans="2:4" x14ac:dyDescent="0.2">
      <c r="B1250" s="876">
        <v>1442</v>
      </c>
      <c r="C1250" s="876" t="s">
        <v>2319</v>
      </c>
      <c r="D1250" s="851">
        <v>705.12498500000004</v>
      </c>
    </row>
    <row r="1251" spans="2:4" x14ac:dyDescent="0.2">
      <c r="B1251" s="876">
        <v>1443</v>
      </c>
      <c r="C1251" s="876" t="s">
        <v>2320</v>
      </c>
      <c r="D1251" s="851">
        <v>634.84286099999997</v>
      </c>
    </row>
    <row r="1252" spans="2:4" x14ac:dyDescent="0.2">
      <c r="B1252" s="876">
        <v>1444</v>
      </c>
      <c r="C1252" s="876" t="s">
        <v>2321</v>
      </c>
      <c r="D1252" s="851">
        <v>643.76668299999994</v>
      </c>
    </row>
    <row r="1253" spans="2:4" x14ac:dyDescent="0.2">
      <c r="B1253" s="876">
        <v>1445</v>
      </c>
      <c r="C1253" s="876" t="s">
        <v>2322</v>
      </c>
      <c r="D1253" s="851">
        <v>707.44998199999998</v>
      </c>
    </row>
    <row r="1254" spans="2:4" x14ac:dyDescent="0.2">
      <c r="B1254" s="876">
        <v>1446</v>
      </c>
      <c r="C1254" s="876" t="s">
        <v>2323</v>
      </c>
      <c r="D1254" s="851">
        <v>649.08000500000003</v>
      </c>
    </row>
    <row r="1255" spans="2:4" x14ac:dyDescent="0.2">
      <c r="B1255" s="876">
        <v>1447</v>
      </c>
      <c r="C1255" s="876" t="s">
        <v>2324</v>
      </c>
      <c r="D1255" s="851">
        <v>730</v>
      </c>
    </row>
    <row r="1256" spans="2:4" x14ac:dyDescent="0.2">
      <c r="B1256" s="876">
        <v>1448</v>
      </c>
      <c r="C1256" s="876" t="s">
        <v>2325</v>
      </c>
      <c r="D1256" s="851">
        <v>659.19999199999995</v>
      </c>
    </row>
    <row r="1257" spans="2:4" x14ac:dyDescent="0.2">
      <c r="B1257" s="876">
        <v>1449</v>
      </c>
      <c r="C1257" s="876" t="s">
        <v>2326</v>
      </c>
      <c r="D1257" s="851">
        <v>677.375</v>
      </c>
    </row>
    <row r="1258" spans="2:4" x14ac:dyDescent="0.2">
      <c r="B1258" s="876">
        <v>1450</v>
      </c>
      <c r="C1258" s="876" t="s">
        <v>2327</v>
      </c>
      <c r="D1258" s="851">
        <v>726.75454400000001</v>
      </c>
    </row>
    <row r="1259" spans="2:4" x14ac:dyDescent="0.2">
      <c r="B1259" s="876">
        <v>1451</v>
      </c>
      <c r="C1259" s="876" t="s">
        <v>2328</v>
      </c>
      <c r="D1259" s="851">
        <v>736.04998799999998</v>
      </c>
    </row>
    <row r="1260" spans="2:4" x14ac:dyDescent="0.2">
      <c r="B1260" s="876">
        <v>1452</v>
      </c>
      <c r="C1260" s="876" t="s">
        <v>2329</v>
      </c>
      <c r="D1260" s="851">
        <v>632.83998999999994</v>
      </c>
    </row>
    <row r="1261" spans="2:4" x14ac:dyDescent="0.2">
      <c r="B1261" s="876">
        <v>1453</v>
      </c>
      <c r="C1261" s="876" t="s">
        <v>2330</v>
      </c>
      <c r="D1261" s="851">
        <v>630.31426999999996</v>
      </c>
    </row>
    <row r="1262" spans="2:4" x14ac:dyDescent="0.2">
      <c r="B1262" s="876">
        <v>1454</v>
      </c>
      <c r="C1262" s="876" t="s">
        <v>2331</v>
      </c>
      <c r="D1262" s="851">
        <v>572.14999399999999</v>
      </c>
    </row>
    <row r="1263" spans="2:4" x14ac:dyDescent="0.2">
      <c r="B1263" s="876">
        <v>1455</v>
      </c>
      <c r="C1263" s="876" t="s">
        <v>2332</v>
      </c>
      <c r="D1263" s="851">
        <v>655.536833</v>
      </c>
    </row>
    <row r="1264" spans="2:4" x14ac:dyDescent="0.2">
      <c r="B1264" s="876">
        <v>1456</v>
      </c>
      <c r="C1264" s="876" t="s">
        <v>2333</v>
      </c>
      <c r="D1264" s="851">
        <v>714.5</v>
      </c>
    </row>
    <row r="1265" spans="2:4" x14ac:dyDescent="0.2">
      <c r="B1265" s="876">
        <v>1457</v>
      </c>
      <c r="C1265" s="876" t="s">
        <v>1621</v>
      </c>
      <c r="D1265" s="851">
        <v>681.25</v>
      </c>
    </row>
    <row r="1266" spans="2:4" x14ac:dyDescent="0.2">
      <c r="B1266" s="876">
        <v>1458</v>
      </c>
      <c r="C1266" s="876" t="s">
        <v>2334</v>
      </c>
      <c r="D1266" s="851">
        <v>560.57499700000005</v>
      </c>
    </row>
    <row r="1267" spans="2:4" x14ac:dyDescent="0.2">
      <c r="B1267" s="876">
        <v>1459</v>
      </c>
      <c r="C1267" s="876" t="s">
        <v>2335</v>
      </c>
      <c r="D1267" s="851">
        <v>659.77000699999996</v>
      </c>
    </row>
    <row r="1268" spans="2:4" x14ac:dyDescent="0.2">
      <c r="B1268" s="876">
        <v>1460</v>
      </c>
      <c r="C1268" s="876" t="s">
        <v>369</v>
      </c>
      <c r="D1268" s="851">
        <v>630.25</v>
      </c>
    </row>
    <row r="1269" spans="2:4" x14ac:dyDescent="0.2">
      <c r="B1269" s="876">
        <v>1461</v>
      </c>
      <c r="C1269" s="876" t="s">
        <v>2336</v>
      </c>
      <c r="D1269" s="851">
        <v>636.60000600000001</v>
      </c>
    </row>
    <row r="1270" spans="2:4" x14ac:dyDescent="0.2">
      <c r="B1270" s="876">
        <v>1462</v>
      </c>
      <c r="C1270" s="876" t="s">
        <v>1611</v>
      </c>
      <c r="D1270" s="851">
        <v>610.35000600000001</v>
      </c>
    </row>
    <row r="1271" spans="2:4" x14ac:dyDescent="0.2">
      <c r="B1271" s="876">
        <v>1463</v>
      </c>
      <c r="C1271" s="876" t="s">
        <v>2337</v>
      </c>
      <c r="D1271" s="851">
        <v>718.86665900000003</v>
      </c>
    </row>
    <row r="1272" spans="2:4" x14ac:dyDescent="0.2">
      <c r="B1272" s="876">
        <v>1464</v>
      </c>
      <c r="C1272" s="876" t="s">
        <v>2338</v>
      </c>
      <c r="D1272" s="851">
        <v>768.625</v>
      </c>
    </row>
    <row r="1273" spans="2:4" x14ac:dyDescent="0.2">
      <c r="B1273" s="876">
        <v>1465</v>
      </c>
      <c r="C1273" s="876" t="s">
        <v>2339</v>
      </c>
      <c r="D1273" s="851">
        <v>792.61664800000005</v>
      </c>
    </row>
    <row r="1274" spans="2:4" x14ac:dyDescent="0.2">
      <c r="B1274" s="876">
        <v>1466</v>
      </c>
      <c r="C1274" s="876" t="s">
        <v>2340</v>
      </c>
      <c r="D1274" s="851">
        <v>802</v>
      </c>
    </row>
    <row r="1275" spans="2:4" x14ac:dyDescent="0.2">
      <c r="B1275" s="876">
        <v>1467</v>
      </c>
      <c r="C1275" s="876" t="s">
        <v>2341</v>
      </c>
      <c r="D1275" s="851">
        <v>652</v>
      </c>
    </row>
    <row r="1276" spans="2:4" x14ac:dyDescent="0.2">
      <c r="B1276" s="876">
        <v>1468</v>
      </c>
      <c r="C1276" s="876" t="s">
        <v>2342</v>
      </c>
      <c r="D1276" s="851">
        <v>699.45001200000002</v>
      </c>
    </row>
    <row r="1277" spans="2:4" x14ac:dyDescent="0.2">
      <c r="B1277" s="876">
        <v>1469</v>
      </c>
      <c r="C1277" s="876" t="s">
        <v>2343</v>
      </c>
      <c r="D1277" s="851">
        <v>629.07499700000005</v>
      </c>
    </row>
    <row r="1278" spans="2:4" x14ac:dyDescent="0.2">
      <c r="B1278" s="876">
        <v>1470</v>
      </c>
      <c r="C1278" s="876" t="s">
        <v>2344</v>
      </c>
      <c r="D1278" s="851">
        <v>712.47999300000004</v>
      </c>
    </row>
    <row r="1279" spans="2:4" x14ac:dyDescent="0.2">
      <c r="B1279" s="876">
        <v>1471</v>
      </c>
      <c r="C1279" s="876" t="s">
        <v>2345</v>
      </c>
      <c r="D1279" s="851">
        <v>611.6875</v>
      </c>
    </row>
    <row r="1280" spans="2:4" x14ac:dyDescent="0.2">
      <c r="B1280" s="876">
        <v>1472</v>
      </c>
      <c r="C1280" s="876" t="s">
        <v>1943</v>
      </c>
      <c r="D1280" s="851">
        <v>575.69999700000005</v>
      </c>
    </row>
    <row r="1281" spans="2:4" x14ac:dyDescent="0.2">
      <c r="B1281" s="876">
        <v>1473</v>
      </c>
      <c r="C1281" s="876" t="s">
        <v>2346</v>
      </c>
      <c r="D1281" s="851">
        <v>757.79998799999998</v>
      </c>
    </row>
    <row r="1282" spans="2:4" x14ac:dyDescent="0.2">
      <c r="B1282" s="876">
        <v>1474</v>
      </c>
      <c r="C1282" s="876" t="s">
        <v>2347</v>
      </c>
      <c r="D1282" s="851">
        <v>562.26363300000003</v>
      </c>
    </row>
    <row r="1283" spans="2:4" x14ac:dyDescent="0.2">
      <c r="B1283" s="876">
        <v>1475</v>
      </c>
      <c r="C1283" s="876" t="s">
        <v>2348</v>
      </c>
      <c r="D1283" s="851">
        <v>688.30000800000005</v>
      </c>
    </row>
    <row r="1284" spans="2:4" x14ac:dyDescent="0.2">
      <c r="B1284" s="876">
        <v>1476</v>
      </c>
      <c r="C1284" s="876" t="s">
        <v>2349</v>
      </c>
      <c r="D1284" s="851">
        <v>735.96923400000003</v>
      </c>
    </row>
    <row r="1285" spans="2:4" x14ac:dyDescent="0.2">
      <c r="B1285" s="876">
        <v>1477</v>
      </c>
      <c r="C1285" s="876" t="s">
        <v>2350</v>
      </c>
      <c r="D1285" s="851">
        <v>624.46667500000001</v>
      </c>
    </row>
    <row r="1286" spans="2:4" x14ac:dyDescent="0.2">
      <c r="B1286" s="876">
        <v>1478</v>
      </c>
      <c r="C1286" s="876" t="s">
        <v>2351</v>
      </c>
      <c r="D1286" s="851">
        <v>695.5</v>
      </c>
    </row>
    <row r="1287" spans="2:4" x14ac:dyDescent="0.2">
      <c r="B1287" s="876">
        <v>1479</v>
      </c>
      <c r="C1287" s="876" t="s">
        <v>2352</v>
      </c>
      <c r="D1287" s="851">
        <v>625.72941000000003</v>
      </c>
    </row>
    <row r="1288" spans="2:4" x14ac:dyDescent="0.2">
      <c r="B1288" s="876">
        <v>1480</v>
      </c>
      <c r="C1288" s="876" t="s">
        <v>2353</v>
      </c>
      <c r="D1288" s="851">
        <v>616.63332100000002</v>
      </c>
    </row>
    <row r="1289" spans="2:4" x14ac:dyDescent="0.2">
      <c r="B1289" s="876">
        <v>1481</v>
      </c>
      <c r="C1289" s="876" t="s">
        <v>2354</v>
      </c>
      <c r="D1289" s="851">
        <v>675.42857100000003</v>
      </c>
    </row>
    <row r="1290" spans="2:4" x14ac:dyDescent="0.2">
      <c r="B1290" s="876">
        <v>1482</v>
      </c>
      <c r="C1290" s="876" t="s">
        <v>2355</v>
      </c>
      <c r="D1290" s="851">
        <v>726.79998799999998</v>
      </c>
    </row>
    <row r="1291" spans="2:4" x14ac:dyDescent="0.2">
      <c r="B1291" s="876">
        <v>1483</v>
      </c>
      <c r="C1291" s="876" t="s">
        <v>2356</v>
      </c>
      <c r="D1291" s="851">
        <v>673.29998799999998</v>
      </c>
    </row>
    <row r="1292" spans="2:4" x14ac:dyDescent="0.2">
      <c r="B1292" s="876">
        <v>1484</v>
      </c>
      <c r="C1292" s="876" t="s">
        <v>2357</v>
      </c>
      <c r="D1292" s="851">
        <v>674.70001200000002</v>
      </c>
    </row>
    <row r="1293" spans="2:4" x14ac:dyDescent="0.2">
      <c r="B1293" s="876">
        <v>1485</v>
      </c>
      <c r="C1293" s="876" t="s">
        <v>2358</v>
      </c>
      <c r="D1293" s="851">
        <v>698.15002400000003</v>
      </c>
    </row>
    <row r="1294" spans="2:4" x14ac:dyDescent="0.2">
      <c r="B1294" s="876">
        <v>1486</v>
      </c>
      <c r="C1294" s="876" t="s">
        <v>2359</v>
      </c>
      <c r="D1294" s="851">
        <v>562.03333499999997</v>
      </c>
    </row>
    <row r="1295" spans="2:4" x14ac:dyDescent="0.2">
      <c r="B1295" s="876">
        <v>1487</v>
      </c>
      <c r="C1295" s="876" t="s">
        <v>2360</v>
      </c>
      <c r="D1295" s="851">
        <v>568.71250899999995</v>
      </c>
    </row>
    <row r="1296" spans="2:4" x14ac:dyDescent="0.2">
      <c r="B1296" s="876">
        <v>1488</v>
      </c>
      <c r="C1296" s="876" t="s">
        <v>1140</v>
      </c>
      <c r="D1296" s="851">
        <v>643.62499200000002</v>
      </c>
    </row>
    <row r="1297" spans="2:4" x14ac:dyDescent="0.2">
      <c r="B1297" s="876">
        <v>1489</v>
      </c>
      <c r="C1297" s="876" t="s">
        <v>2361</v>
      </c>
      <c r="D1297" s="851">
        <v>661.97500600000001</v>
      </c>
    </row>
    <row r="1298" spans="2:4" x14ac:dyDescent="0.2">
      <c r="B1298" s="876">
        <v>1490</v>
      </c>
      <c r="C1298" s="876" t="s">
        <v>2362</v>
      </c>
      <c r="D1298" s="851">
        <v>695.20000500000003</v>
      </c>
    </row>
    <row r="1299" spans="2:4" x14ac:dyDescent="0.2">
      <c r="B1299" s="876">
        <v>1491</v>
      </c>
      <c r="C1299" s="876" t="s">
        <v>2363</v>
      </c>
      <c r="D1299" s="851">
        <v>654.15000899999995</v>
      </c>
    </row>
    <row r="1300" spans="2:4" x14ac:dyDescent="0.2">
      <c r="B1300" s="876">
        <v>1492</v>
      </c>
      <c r="C1300" s="876" t="s">
        <v>1743</v>
      </c>
      <c r="D1300" s="851">
        <v>633.25</v>
      </c>
    </row>
    <row r="1301" spans="2:4" x14ac:dyDescent="0.2">
      <c r="B1301" s="876">
        <v>1494</v>
      </c>
      <c r="C1301" s="876" t="s">
        <v>2364</v>
      </c>
      <c r="D1301" s="851">
        <v>743.08000500000003</v>
      </c>
    </row>
    <row r="1302" spans="2:4" x14ac:dyDescent="0.2">
      <c r="B1302" s="876">
        <v>1495</v>
      </c>
      <c r="C1302" s="876" t="s">
        <v>2365</v>
      </c>
      <c r="D1302" s="851">
        <v>727.38000499999998</v>
      </c>
    </row>
    <row r="1303" spans="2:4" x14ac:dyDescent="0.2">
      <c r="B1303" s="876">
        <v>1496</v>
      </c>
      <c r="C1303" s="876" t="s">
        <v>2366</v>
      </c>
      <c r="D1303" s="851">
        <v>652.73333700000001</v>
      </c>
    </row>
    <row r="1304" spans="2:4" x14ac:dyDescent="0.2">
      <c r="B1304" s="876">
        <v>1497</v>
      </c>
      <c r="C1304" s="876" t="s">
        <v>2367</v>
      </c>
      <c r="D1304" s="851">
        <v>788.97500600000001</v>
      </c>
    </row>
    <row r="1305" spans="2:4" x14ac:dyDescent="0.2">
      <c r="B1305" s="876">
        <v>1498</v>
      </c>
      <c r="C1305" s="876" t="s">
        <v>2368</v>
      </c>
      <c r="D1305" s="851">
        <v>614.35999800000002</v>
      </c>
    </row>
    <row r="1306" spans="2:4" x14ac:dyDescent="0.2">
      <c r="B1306" s="876">
        <v>1499</v>
      </c>
      <c r="C1306" s="876" t="s">
        <v>2369</v>
      </c>
      <c r="D1306" s="851">
        <v>645.32499700000005</v>
      </c>
    </row>
    <row r="1307" spans="2:4" x14ac:dyDescent="0.2">
      <c r="B1307" s="876">
        <v>1500</v>
      </c>
      <c r="C1307" s="876" t="s">
        <v>2370</v>
      </c>
      <c r="D1307" s="851">
        <v>700.36922000000004</v>
      </c>
    </row>
    <row r="1308" spans="2:4" x14ac:dyDescent="0.2">
      <c r="B1308" s="876">
        <v>1501</v>
      </c>
      <c r="C1308" s="876" t="s">
        <v>2371</v>
      </c>
      <c r="D1308" s="851">
        <v>599.09999100000005</v>
      </c>
    </row>
    <row r="1309" spans="2:4" x14ac:dyDescent="0.2">
      <c r="B1309" s="876">
        <v>1502</v>
      </c>
      <c r="C1309" s="876" t="s">
        <v>2372</v>
      </c>
      <c r="D1309" s="851">
        <v>601.40002400000003</v>
      </c>
    </row>
    <row r="1310" spans="2:4" x14ac:dyDescent="0.2">
      <c r="B1310" s="876">
        <v>1503</v>
      </c>
      <c r="C1310" s="876" t="s">
        <v>2373</v>
      </c>
      <c r="D1310" s="851">
        <v>618.39998400000002</v>
      </c>
    </row>
    <row r="1311" spans="2:4" x14ac:dyDescent="0.2">
      <c r="B1311" s="876">
        <v>1504</v>
      </c>
      <c r="C1311" s="876" t="s">
        <v>2374</v>
      </c>
      <c r="D1311" s="851">
        <v>634.86667899999998</v>
      </c>
    </row>
    <row r="1312" spans="2:4" x14ac:dyDescent="0.2">
      <c r="B1312" s="876">
        <v>1505</v>
      </c>
      <c r="C1312" s="876" t="s">
        <v>2375</v>
      </c>
      <c r="D1312" s="851">
        <v>642.03332499999999</v>
      </c>
    </row>
    <row r="1313" spans="2:4" x14ac:dyDescent="0.2">
      <c r="B1313" s="876">
        <v>1506</v>
      </c>
      <c r="C1313" s="876" t="s">
        <v>2376</v>
      </c>
      <c r="D1313" s="851">
        <v>584.28332499999999</v>
      </c>
    </row>
    <row r="1314" spans="2:4" x14ac:dyDescent="0.2">
      <c r="B1314" s="876">
        <v>1507</v>
      </c>
      <c r="C1314" s="876" t="s">
        <v>2377</v>
      </c>
      <c r="D1314" s="851">
        <v>625.97499100000005</v>
      </c>
    </row>
    <row r="1315" spans="2:4" x14ac:dyDescent="0.2">
      <c r="B1315" s="876">
        <v>1508</v>
      </c>
      <c r="C1315" s="876" t="s">
        <v>2378</v>
      </c>
      <c r="D1315" s="851">
        <v>712.89999399999999</v>
      </c>
    </row>
    <row r="1316" spans="2:4" x14ac:dyDescent="0.2">
      <c r="B1316" s="876">
        <v>1509</v>
      </c>
      <c r="C1316" s="876" t="s">
        <v>2379</v>
      </c>
      <c r="D1316" s="851">
        <v>659.20001200000002</v>
      </c>
    </row>
    <row r="1317" spans="2:4" x14ac:dyDescent="0.2">
      <c r="B1317" s="876">
        <v>1510</v>
      </c>
      <c r="C1317" s="876" t="s">
        <v>2380</v>
      </c>
      <c r="D1317" s="851">
        <v>571.27499399999999</v>
      </c>
    </row>
    <row r="1318" spans="2:4" x14ac:dyDescent="0.2">
      <c r="B1318" s="876">
        <v>1511</v>
      </c>
      <c r="C1318" s="876" t="s">
        <v>1874</v>
      </c>
      <c r="D1318" s="851">
        <v>649.5</v>
      </c>
    </row>
    <row r="1319" spans="2:4" x14ac:dyDescent="0.2">
      <c r="B1319" s="876">
        <v>1512</v>
      </c>
      <c r="C1319" s="876" t="s">
        <v>2381</v>
      </c>
      <c r="D1319" s="851">
        <v>746.04998799999998</v>
      </c>
    </row>
    <row r="1320" spans="2:4" x14ac:dyDescent="0.2">
      <c r="B1320" s="876">
        <v>1513</v>
      </c>
      <c r="C1320" s="876" t="s">
        <v>2382</v>
      </c>
      <c r="D1320" s="851">
        <v>651.90000899999995</v>
      </c>
    </row>
    <row r="1321" spans="2:4" x14ac:dyDescent="0.2">
      <c r="B1321" s="876">
        <v>1514</v>
      </c>
      <c r="C1321" s="876" t="s">
        <v>2383</v>
      </c>
      <c r="D1321" s="851">
        <v>740.70001200000002</v>
      </c>
    </row>
    <row r="1322" spans="2:4" x14ac:dyDescent="0.2">
      <c r="B1322" s="876">
        <v>1515</v>
      </c>
      <c r="C1322" s="876" t="s">
        <v>2384</v>
      </c>
      <c r="D1322" s="851">
        <v>718.90000399999997</v>
      </c>
    </row>
    <row r="1323" spans="2:4" x14ac:dyDescent="0.2">
      <c r="B1323" s="876">
        <v>1516</v>
      </c>
      <c r="C1323" s="876" t="s">
        <v>2385</v>
      </c>
      <c r="D1323" s="851">
        <v>661.57499700000005</v>
      </c>
    </row>
    <row r="1324" spans="2:4" x14ac:dyDescent="0.2">
      <c r="B1324" s="876">
        <v>1517</v>
      </c>
      <c r="C1324" s="876" t="s">
        <v>2386</v>
      </c>
      <c r="D1324" s="851">
        <v>796</v>
      </c>
    </row>
    <row r="1325" spans="2:4" x14ac:dyDescent="0.2">
      <c r="B1325" s="876">
        <v>1518</v>
      </c>
      <c r="C1325" s="876" t="s">
        <v>2387</v>
      </c>
      <c r="D1325" s="851">
        <v>589.30001800000002</v>
      </c>
    </row>
    <row r="1326" spans="2:4" x14ac:dyDescent="0.2">
      <c r="B1326" s="876">
        <v>1519</v>
      </c>
      <c r="C1326" s="876" t="s">
        <v>2388</v>
      </c>
      <c r="D1326" s="851">
        <v>707.64999399999999</v>
      </c>
    </row>
    <row r="1327" spans="2:4" x14ac:dyDescent="0.2">
      <c r="B1327" s="876">
        <v>1520</v>
      </c>
      <c r="C1327" s="876" t="s">
        <v>2389</v>
      </c>
      <c r="D1327" s="851">
        <v>674.30667300000005</v>
      </c>
    </row>
    <row r="1328" spans="2:4" x14ac:dyDescent="0.2">
      <c r="B1328" s="876">
        <v>1521</v>
      </c>
      <c r="C1328" s="876" t="s">
        <v>2390</v>
      </c>
      <c r="D1328" s="851">
        <v>656.5</v>
      </c>
    </row>
    <row r="1329" spans="2:4" x14ac:dyDescent="0.2">
      <c r="B1329" s="876">
        <v>1522</v>
      </c>
      <c r="C1329" s="876" t="s">
        <v>2391</v>
      </c>
      <c r="D1329" s="851">
        <v>771</v>
      </c>
    </row>
    <row r="1330" spans="2:4" x14ac:dyDescent="0.2">
      <c r="B1330" s="876">
        <v>1523</v>
      </c>
      <c r="C1330" s="876" t="s">
        <v>2392</v>
      </c>
      <c r="D1330" s="851">
        <v>743.94999700000005</v>
      </c>
    </row>
    <row r="1331" spans="2:4" x14ac:dyDescent="0.2">
      <c r="B1331" s="876">
        <v>1524</v>
      </c>
      <c r="C1331" s="876" t="s">
        <v>2393</v>
      </c>
      <c r="D1331" s="851">
        <v>592.45001200000002</v>
      </c>
    </row>
    <row r="1332" spans="2:4" x14ac:dyDescent="0.2">
      <c r="B1332" s="876">
        <v>1525</v>
      </c>
      <c r="C1332" s="876" t="s">
        <v>1412</v>
      </c>
      <c r="D1332" s="851">
        <v>598.49998000000005</v>
      </c>
    </row>
    <row r="1333" spans="2:4" x14ac:dyDescent="0.2">
      <c r="B1333" s="876">
        <v>1526</v>
      </c>
      <c r="C1333" s="876" t="s">
        <v>2394</v>
      </c>
      <c r="D1333" s="851">
        <v>643.18001700000002</v>
      </c>
    </row>
    <row r="1334" spans="2:4" x14ac:dyDescent="0.2">
      <c r="B1334" s="876">
        <v>1527</v>
      </c>
      <c r="C1334" s="876" t="s">
        <v>2395</v>
      </c>
      <c r="D1334" s="851">
        <v>744.20001200000002</v>
      </c>
    </row>
    <row r="1335" spans="2:4" x14ac:dyDescent="0.2">
      <c r="B1335" s="876">
        <v>1528</v>
      </c>
      <c r="C1335" s="876" t="s">
        <v>2396</v>
      </c>
      <c r="D1335" s="851">
        <v>685.52499399999999</v>
      </c>
    </row>
    <row r="1336" spans="2:4" x14ac:dyDescent="0.2">
      <c r="B1336" s="876">
        <v>1529</v>
      </c>
      <c r="C1336" s="876" t="s">
        <v>2397</v>
      </c>
      <c r="D1336" s="851">
        <v>725.35000600000001</v>
      </c>
    </row>
    <row r="1337" spans="2:4" x14ac:dyDescent="0.2">
      <c r="B1337" s="876">
        <v>1530</v>
      </c>
      <c r="C1337" s="876" t="s">
        <v>2398</v>
      </c>
      <c r="D1337" s="851">
        <v>658.19999199999995</v>
      </c>
    </row>
    <row r="1338" spans="2:4" x14ac:dyDescent="0.2">
      <c r="B1338" s="876">
        <v>1531</v>
      </c>
      <c r="C1338" s="876" t="s">
        <v>2399</v>
      </c>
      <c r="D1338" s="851">
        <v>639.18750799999998</v>
      </c>
    </row>
    <row r="1339" spans="2:4" x14ac:dyDescent="0.2">
      <c r="B1339" s="876">
        <v>1532</v>
      </c>
      <c r="C1339" s="876" t="s">
        <v>2400</v>
      </c>
      <c r="D1339" s="851">
        <v>653.39999399999999</v>
      </c>
    </row>
    <row r="1340" spans="2:4" x14ac:dyDescent="0.2">
      <c r="B1340" s="876">
        <v>1533</v>
      </c>
      <c r="C1340" s="876" t="s">
        <v>2401</v>
      </c>
      <c r="D1340" s="851">
        <v>725.43330900000001</v>
      </c>
    </row>
    <row r="1341" spans="2:4" x14ac:dyDescent="0.2">
      <c r="B1341" s="876">
        <v>1534</v>
      </c>
      <c r="C1341" s="876" t="s">
        <v>2402</v>
      </c>
      <c r="D1341" s="851">
        <v>733.79998799999998</v>
      </c>
    </row>
    <row r="1342" spans="2:4" x14ac:dyDescent="0.2">
      <c r="B1342" s="876">
        <v>1535</v>
      </c>
      <c r="C1342" s="876" t="s">
        <v>2403</v>
      </c>
      <c r="D1342" s="851">
        <v>667.79998799999998</v>
      </c>
    </row>
    <row r="1343" spans="2:4" x14ac:dyDescent="0.2">
      <c r="B1343" s="876">
        <v>1536</v>
      </c>
      <c r="C1343" s="876" t="s">
        <v>2404</v>
      </c>
      <c r="D1343" s="851">
        <v>610.64999399999999</v>
      </c>
    </row>
    <row r="1344" spans="2:4" x14ac:dyDescent="0.2">
      <c r="B1344" s="876">
        <v>1537</v>
      </c>
      <c r="C1344" s="876" t="s">
        <v>2405</v>
      </c>
      <c r="D1344" s="851">
        <v>643.90002400000003</v>
      </c>
    </row>
    <row r="1345" spans="2:4" x14ac:dyDescent="0.2">
      <c r="B1345" s="876">
        <v>1551</v>
      </c>
      <c r="C1345" s="876" t="s">
        <v>2406</v>
      </c>
      <c r="D1345" s="851">
        <v>751.78333499999997</v>
      </c>
    </row>
    <row r="1346" spans="2:4" x14ac:dyDescent="0.2">
      <c r="B1346" s="876">
        <v>1552</v>
      </c>
      <c r="C1346" s="876" t="s">
        <v>2407</v>
      </c>
      <c r="D1346" s="851">
        <v>787.81664999999998</v>
      </c>
    </row>
    <row r="1347" spans="2:4" x14ac:dyDescent="0.2">
      <c r="B1347" s="876">
        <v>1553</v>
      </c>
      <c r="C1347" s="876" t="s">
        <v>2219</v>
      </c>
      <c r="D1347" s="851">
        <v>824.93570799999998</v>
      </c>
    </row>
    <row r="1348" spans="2:4" x14ac:dyDescent="0.2">
      <c r="B1348" s="876">
        <v>1554</v>
      </c>
      <c r="C1348" s="876" t="s">
        <v>2408</v>
      </c>
      <c r="D1348" s="851">
        <v>840.53333499999997</v>
      </c>
    </row>
    <row r="1349" spans="2:4" x14ac:dyDescent="0.2">
      <c r="B1349" s="876">
        <v>1555</v>
      </c>
      <c r="C1349" s="876" t="s">
        <v>1913</v>
      </c>
      <c r="D1349" s="851">
        <v>798.67500299999995</v>
      </c>
    </row>
    <row r="1350" spans="2:4" x14ac:dyDescent="0.2">
      <c r="B1350" s="876">
        <v>1556</v>
      </c>
      <c r="C1350" s="876" t="s">
        <v>2409</v>
      </c>
      <c r="D1350" s="851">
        <v>910.39999799999998</v>
      </c>
    </row>
    <row r="1351" spans="2:4" x14ac:dyDescent="0.2">
      <c r="B1351" s="876">
        <v>1557</v>
      </c>
      <c r="C1351" s="876" t="s">
        <v>2410</v>
      </c>
      <c r="D1351" s="851">
        <v>947.95000100000004</v>
      </c>
    </row>
    <row r="1352" spans="2:4" x14ac:dyDescent="0.2">
      <c r="B1352" s="876">
        <v>1558</v>
      </c>
      <c r="C1352" s="876" t="s">
        <v>2411</v>
      </c>
      <c r="D1352" s="851">
        <v>925.32000700000003</v>
      </c>
    </row>
    <row r="1353" spans="2:4" x14ac:dyDescent="0.2">
      <c r="B1353" s="876">
        <v>1559</v>
      </c>
      <c r="C1353" s="876" t="s">
        <v>2412</v>
      </c>
      <c r="D1353" s="851">
        <v>961.64445000000001</v>
      </c>
    </row>
    <row r="1354" spans="2:4" x14ac:dyDescent="0.2">
      <c r="B1354" s="876">
        <v>1560</v>
      </c>
      <c r="C1354" s="876" t="s">
        <v>2413</v>
      </c>
      <c r="D1354" s="851">
        <v>927.16250600000001</v>
      </c>
    </row>
    <row r="1355" spans="2:4" x14ac:dyDescent="0.2">
      <c r="B1355" s="876">
        <v>1561</v>
      </c>
      <c r="C1355" s="876" t="s">
        <v>1634</v>
      </c>
      <c r="D1355" s="851">
        <v>932.54999499999997</v>
      </c>
    </row>
    <row r="1356" spans="2:4" x14ac:dyDescent="0.2">
      <c r="B1356" s="876">
        <v>1562</v>
      </c>
      <c r="C1356" s="876" t="s">
        <v>2414</v>
      </c>
      <c r="D1356" s="851">
        <v>914.08890099999996</v>
      </c>
    </row>
    <row r="1357" spans="2:4" x14ac:dyDescent="0.2">
      <c r="B1357" s="876">
        <v>1563</v>
      </c>
      <c r="C1357" s="876" t="s">
        <v>2415</v>
      </c>
      <c r="D1357" s="851">
        <v>914.53333499999997</v>
      </c>
    </row>
    <row r="1358" spans="2:4" x14ac:dyDescent="0.2">
      <c r="B1358" s="876">
        <v>1564</v>
      </c>
      <c r="C1358" s="876" t="s">
        <v>1970</v>
      </c>
      <c r="D1358" s="851">
        <v>917.31427900000006</v>
      </c>
    </row>
    <row r="1359" spans="2:4" x14ac:dyDescent="0.2">
      <c r="B1359" s="876">
        <v>1565</v>
      </c>
      <c r="C1359" s="876" t="s">
        <v>2416</v>
      </c>
      <c r="D1359" s="851">
        <v>915.366669</v>
      </c>
    </row>
    <row r="1360" spans="2:4" x14ac:dyDescent="0.2">
      <c r="B1360" s="876">
        <v>1566</v>
      </c>
      <c r="C1360" s="876" t="s">
        <v>1305</v>
      </c>
      <c r="D1360" s="851">
        <v>917.41111899999999</v>
      </c>
    </row>
    <row r="1361" spans="2:4" x14ac:dyDescent="0.2">
      <c r="B1361" s="876">
        <v>1567</v>
      </c>
      <c r="C1361" s="876" t="s">
        <v>2417</v>
      </c>
      <c r="D1361" s="851">
        <v>894.01874199999997</v>
      </c>
    </row>
    <row r="1362" spans="2:4" x14ac:dyDescent="0.2">
      <c r="B1362" s="876">
        <v>1568</v>
      </c>
      <c r="C1362" s="876" t="s">
        <v>2418</v>
      </c>
      <c r="D1362" s="851">
        <v>890.92500299999995</v>
      </c>
    </row>
    <row r="1363" spans="2:4" x14ac:dyDescent="0.2">
      <c r="B1363" s="876">
        <v>1569</v>
      </c>
      <c r="C1363" s="876" t="s">
        <v>2419</v>
      </c>
      <c r="D1363" s="851">
        <v>908.10000300000002</v>
      </c>
    </row>
    <row r="1364" spans="2:4" x14ac:dyDescent="0.2">
      <c r="B1364" s="876">
        <v>1570</v>
      </c>
      <c r="C1364" s="876" t="s">
        <v>2420</v>
      </c>
      <c r="D1364" s="851">
        <v>912.427775</v>
      </c>
    </row>
    <row r="1365" spans="2:4" x14ac:dyDescent="0.2">
      <c r="B1365" s="876">
        <v>1571</v>
      </c>
      <c r="C1365" s="876" t="s">
        <v>2421</v>
      </c>
      <c r="D1365" s="851">
        <v>922.89999399999999</v>
      </c>
    </row>
    <row r="1366" spans="2:4" x14ac:dyDescent="0.2">
      <c r="B1366" s="876">
        <v>1572</v>
      </c>
      <c r="C1366" s="876" t="s">
        <v>2422</v>
      </c>
      <c r="D1366" s="851">
        <v>957.009998</v>
      </c>
    </row>
    <row r="1367" spans="2:4" x14ac:dyDescent="0.2">
      <c r="B1367" s="876">
        <v>1573</v>
      </c>
      <c r="C1367" s="876" t="s">
        <v>2423</v>
      </c>
      <c r="D1367" s="851">
        <v>960.93748500000004</v>
      </c>
    </row>
    <row r="1368" spans="2:4" x14ac:dyDescent="0.2">
      <c r="B1368" s="876">
        <v>1574</v>
      </c>
      <c r="C1368" s="876" t="s">
        <v>2424</v>
      </c>
      <c r="D1368" s="851">
        <v>930.22500600000001</v>
      </c>
    </row>
    <row r="1369" spans="2:4" x14ac:dyDescent="0.2">
      <c r="B1369" s="876">
        <v>1575</v>
      </c>
      <c r="C1369" s="876" t="s">
        <v>2425</v>
      </c>
      <c r="D1369" s="851">
        <v>894.27999299999999</v>
      </c>
    </row>
    <row r="1370" spans="2:4" x14ac:dyDescent="0.2">
      <c r="B1370" s="876">
        <v>1576</v>
      </c>
      <c r="C1370" s="876" t="s">
        <v>2426</v>
      </c>
      <c r="D1370" s="851">
        <v>934.46667500000001</v>
      </c>
    </row>
    <row r="1371" spans="2:4" x14ac:dyDescent="0.2">
      <c r="B1371" s="876">
        <v>1577</v>
      </c>
      <c r="C1371" s="876" t="s">
        <v>2427</v>
      </c>
      <c r="D1371" s="851">
        <v>943.89999399999999</v>
      </c>
    </row>
    <row r="1372" spans="2:4" x14ac:dyDescent="0.2">
      <c r="B1372" s="876">
        <v>1578</v>
      </c>
      <c r="C1372" s="876" t="s">
        <v>2428</v>
      </c>
      <c r="D1372" s="851">
        <v>839.85000600000001</v>
      </c>
    </row>
    <row r="1373" spans="2:4" x14ac:dyDescent="0.2">
      <c r="B1373" s="876">
        <v>1579</v>
      </c>
      <c r="C1373" s="876" t="s">
        <v>2429</v>
      </c>
      <c r="D1373" s="851">
        <v>886.0625</v>
      </c>
    </row>
    <row r="1374" spans="2:4" x14ac:dyDescent="0.2">
      <c r="B1374" s="876">
        <v>1580</v>
      </c>
      <c r="C1374" s="876" t="s">
        <v>2430</v>
      </c>
      <c r="D1374" s="851">
        <v>840.66666699999996</v>
      </c>
    </row>
    <row r="1375" spans="2:4" x14ac:dyDescent="0.2">
      <c r="B1375" s="876">
        <v>1581</v>
      </c>
      <c r="C1375" s="876" t="s">
        <v>2431</v>
      </c>
      <c r="D1375" s="851">
        <v>890.22666400000003</v>
      </c>
    </row>
    <row r="1376" spans="2:4" x14ac:dyDescent="0.2">
      <c r="B1376" s="876">
        <v>1582</v>
      </c>
      <c r="C1376" s="876" t="s">
        <v>2276</v>
      </c>
      <c r="D1376" s="851">
        <v>851.616669</v>
      </c>
    </row>
    <row r="1377" spans="2:4" x14ac:dyDescent="0.2">
      <c r="B1377" s="876">
        <v>1583</v>
      </c>
      <c r="C1377" s="876" t="s">
        <v>2432</v>
      </c>
      <c r="D1377" s="851">
        <v>818.90000399999997</v>
      </c>
    </row>
    <row r="1378" spans="2:4" x14ac:dyDescent="0.2">
      <c r="B1378" s="876">
        <v>1584</v>
      </c>
      <c r="C1378" s="876" t="s">
        <v>1830</v>
      </c>
      <c r="D1378" s="851">
        <v>802.17143899999996</v>
      </c>
    </row>
    <row r="1379" spans="2:4" x14ac:dyDescent="0.2">
      <c r="B1379" s="876">
        <v>1585</v>
      </c>
      <c r="C1379" s="876" t="s">
        <v>2433</v>
      </c>
      <c r="D1379" s="851">
        <v>892</v>
      </c>
    </row>
    <row r="1380" spans="2:4" x14ac:dyDescent="0.2">
      <c r="B1380" s="876">
        <v>1586</v>
      </c>
      <c r="C1380" s="876" t="s">
        <v>2434</v>
      </c>
      <c r="D1380" s="851">
        <v>833.184617</v>
      </c>
    </row>
    <row r="1381" spans="2:4" x14ac:dyDescent="0.2">
      <c r="B1381" s="876">
        <v>1587</v>
      </c>
      <c r="C1381" s="876" t="s">
        <v>2435</v>
      </c>
      <c r="D1381" s="851">
        <v>834.75</v>
      </c>
    </row>
    <row r="1382" spans="2:4" x14ac:dyDescent="0.2">
      <c r="B1382" s="876">
        <v>1588</v>
      </c>
      <c r="C1382" s="876" t="s">
        <v>2436</v>
      </c>
      <c r="D1382" s="851">
        <v>825.116669</v>
      </c>
    </row>
    <row r="1383" spans="2:4" x14ac:dyDescent="0.2">
      <c r="B1383" s="876">
        <v>1589</v>
      </c>
      <c r="C1383" s="876" t="s">
        <v>2437</v>
      </c>
      <c r="D1383" s="851">
        <v>871.33157500000004</v>
      </c>
    </row>
    <row r="1384" spans="2:4" x14ac:dyDescent="0.2">
      <c r="B1384" s="876">
        <v>1590</v>
      </c>
      <c r="C1384" s="876" t="s">
        <v>2438</v>
      </c>
      <c r="D1384" s="851">
        <v>850.63334099999997</v>
      </c>
    </row>
    <row r="1385" spans="2:4" x14ac:dyDescent="0.2">
      <c r="B1385" s="876">
        <v>1591</v>
      </c>
      <c r="C1385" s="876" t="s">
        <v>2439</v>
      </c>
      <c r="D1385" s="851">
        <v>856.27142800000001</v>
      </c>
    </row>
    <row r="1386" spans="2:4" x14ac:dyDescent="0.2">
      <c r="B1386" s="876">
        <v>1592</v>
      </c>
      <c r="C1386" s="876" t="s">
        <v>2440</v>
      </c>
      <c r="D1386" s="851">
        <v>881.19999800000005</v>
      </c>
    </row>
    <row r="1387" spans="2:4" x14ac:dyDescent="0.2">
      <c r="B1387" s="876">
        <v>1593</v>
      </c>
      <c r="C1387" s="876" t="s">
        <v>2441</v>
      </c>
      <c r="D1387" s="851">
        <v>884.05554900000004</v>
      </c>
    </row>
    <row r="1388" spans="2:4" x14ac:dyDescent="0.2">
      <c r="B1388" s="876">
        <v>1594</v>
      </c>
      <c r="C1388" s="876" t="s">
        <v>2442</v>
      </c>
      <c r="D1388" s="851">
        <v>852.59000900000001</v>
      </c>
    </row>
    <row r="1389" spans="2:4" x14ac:dyDescent="0.2">
      <c r="B1389" s="876">
        <v>1595</v>
      </c>
      <c r="C1389" s="876" t="s">
        <v>2443</v>
      </c>
      <c r="D1389" s="851">
        <v>865.15199500000006</v>
      </c>
    </row>
    <row r="1390" spans="2:4" x14ac:dyDescent="0.2">
      <c r="B1390" s="876">
        <v>1596</v>
      </c>
      <c r="C1390" s="876" t="s">
        <v>2444</v>
      </c>
      <c r="D1390" s="851">
        <v>828.614284</v>
      </c>
    </row>
    <row r="1391" spans="2:4" x14ac:dyDescent="0.2">
      <c r="B1391" s="876">
        <v>1597</v>
      </c>
      <c r="C1391" s="876" t="s">
        <v>1149</v>
      </c>
      <c r="D1391" s="851">
        <v>809.40000399999997</v>
      </c>
    </row>
    <row r="1392" spans="2:4" x14ac:dyDescent="0.2">
      <c r="B1392" s="876">
        <v>1598</v>
      </c>
      <c r="C1392" s="876" t="s">
        <v>2445</v>
      </c>
      <c r="D1392" s="851">
        <v>835.45001200000002</v>
      </c>
    </row>
    <row r="1393" spans="2:4" x14ac:dyDescent="0.2">
      <c r="B1393" s="876">
        <v>1599</v>
      </c>
      <c r="C1393" s="876" t="s">
        <v>2093</v>
      </c>
      <c r="D1393" s="851">
        <v>758.10000600000001</v>
      </c>
    </row>
    <row r="1394" spans="2:4" x14ac:dyDescent="0.2">
      <c r="B1394" s="876">
        <v>1600</v>
      </c>
      <c r="C1394" s="876" t="s">
        <v>2446</v>
      </c>
      <c r="D1394" s="851">
        <v>790.78000499999996</v>
      </c>
    </row>
    <row r="1395" spans="2:4" x14ac:dyDescent="0.2">
      <c r="B1395" s="876">
        <v>1601</v>
      </c>
      <c r="C1395" s="876" t="s">
        <v>2447</v>
      </c>
      <c r="D1395" s="851">
        <v>763</v>
      </c>
    </row>
    <row r="1396" spans="2:4" x14ac:dyDescent="0.2">
      <c r="B1396" s="876">
        <v>1602</v>
      </c>
      <c r="C1396" s="876" t="s">
        <v>2448</v>
      </c>
      <c r="D1396" s="851">
        <v>738.5</v>
      </c>
    </row>
    <row r="1397" spans="2:4" x14ac:dyDescent="0.2">
      <c r="B1397" s="876">
        <v>1603</v>
      </c>
      <c r="C1397" s="876" t="s">
        <v>2449</v>
      </c>
      <c r="D1397" s="851">
        <v>788.63749700000005</v>
      </c>
    </row>
    <row r="1398" spans="2:4" x14ac:dyDescent="0.2">
      <c r="B1398" s="876">
        <v>1604</v>
      </c>
      <c r="C1398" s="876" t="s">
        <v>2450</v>
      </c>
      <c r="D1398" s="851">
        <v>736</v>
      </c>
    </row>
    <row r="1399" spans="2:4" x14ac:dyDescent="0.2">
      <c r="B1399" s="876">
        <v>1605</v>
      </c>
      <c r="C1399" s="876" t="s">
        <v>2451</v>
      </c>
      <c r="D1399" s="851">
        <v>795.18749200000002</v>
      </c>
    </row>
    <row r="1400" spans="2:4" x14ac:dyDescent="0.2">
      <c r="B1400" s="876">
        <v>1606</v>
      </c>
      <c r="C1400" s="876" t="s">
        <v>2452</v>
      </c>
      <c r="D1400" s="851">
        <v>782.29999799999996</v>
      </c>
    </row>
    <row r="1401" spans="2:4" x14ac:dyDescent="0.2">
      <c r="B1401" s="876">
        <v>1607</v>
      </c>
      <c r="C1401" s="876" t="s">
        <v>2453</v>
      </c>
      <c r="D1401" s="851">
        <v>756.25</v>
      </c>
    </row>
    <row r="1402" spans="2:4" x14ac:dyDescent="0.2">
      <c r="B1402" s="876">
        <v>1608</v>
      </c>
      <c r="C1402" s="876" t="s">
        <v>2454</v>
      </c>
      <c r="D1402" s="851">
        <v>802.29998799999998</v>
      </c>
    </row>
    <row r="1403" spans="2:4" x14ac:dyDescent="0.2">
      <c r="B1403" s="876">
        <v>1609</v>
      </c>
      <c r="C1403" s="876" t="s">
        <v>2455</v>
      </c>
      <c r="D1403" s="851">
        <v>807.03332499999999</v>
      </c>
    </row>
    <row r="1404" spans="2:4" x14ac:dyDescent="0.2">
      <c r="B1404" s="876">
        <v>1610</v>
      </c>
      <c r="C1404" s="876" t="s">
        <v>2456</v>
      </c>
      <c r="D1404" s="851">
        <v>837.60000600000001</v>
      </c>
    </row>
    <row r="1405" spans="2:4" x14ac:dyDescent="0.2">
      <c r="B1405" s="876">
        <v>1611</v>
      </c>
      <c r="C1405" s="876" t="s">
        <v>353</v>
      </c>
      <c r="D1405" s="851">
        <v>763.10000600000001</v>
      </c>
    </row>
    <row r="1406" spans="2:4" x14ac:dyDescent="0.2">
      <c r="B1406" s="876">
        <v>1612</v>
      </c>
      <c r="C1406" s="876" t="s">
        <v>2457</v>
      </c>
      <c r="D1406" s="851">
        <v>804.79998799999998</v>
      </c>
    </row>
    <row r="1407" spans="2:4" x14ac:dyDescent="0.2">
      <c r="B1407" s="876">
        <v>1613</v>
      </c>
      <c r="C1407" s="876" t="s">
        <v>2458</v>
      </c>
      <c r="D1407" s="851">
        <v>836.5</v>
      </c>
    </row>
    <row r="1408" spans="2:4" x14ac:dyDescent="0.2">
      <c r="B1408" s="876">
        <v>1614</v>
      </c>
      <c r="C1408" s="876" t="s">
        <v>1793</v>
      </c>
      <c r="D1408" s="851">
        <v>739.37501499999996</v>
      </c>
    </row>
    <row r="1409" spans="2:4" x14ac:dyDescent="0.2">
      <c r="B1409" s="876">
        <v>1615</v>
      </c>
      <c r="C1409" s="876" t="s">
        <v>2459</v>
      </c>
      <c r="D1409" s="851">
        <v>757.75</v>
      </c>
    </row>
    <row r="1410" spans="2:4" x14ac:dyDescent="0.2">
      <c r="B1410" s="876">
        <v>1616</v>
      </c>
      <c r="C1410" s="876" t="s">
        <v>2460</v>
      </c>
      <c r="D1410" s="851">
        <v>777.94998199999998</v>
      </c>
    </row>
    <row r="1411" spans="2:4" x14ac:dyDescent="0.2">
      <c r="B1411" s="876">
        <v>1617</v>
      </c>
      <c r="C1411" s="876" t="s">
        <v>2225</v>
      </c>
      <c r="D1411" s="851">
        <v>772.82223199999999</v>
      </c>
    </row>
    <row r="1412" spans="2:4" x14ac:dyDescent="0.2">
      <c r="B1412" s="876">
        <v>1618</v>
      </c>
      <c r="C1412" s="876" t="s">
        <v>2461</v>
      </c>
      <c r="D1412" s="851">
        <v>760.44000200000005</v>
      </c>
    </row>
    <row r="1413" spans="2:4" x14ac:dyDescent="0.2">
      <c r="B1413" s="876">
        <v>1619</v>
      </c>
      <c r="C1413" s="876" t="s">
        <v>2462</v>
      </c>
      <c r="D1413" s="851">
        <v>915.23333700000001</v>
      </c>
    </row>
    <row r="1414" spans="2:4" x14ac:dyDescent="0.2">
      <c r="B1414" s="876">
        <v>1620</v>
      </c>
      <c r="C1414" s="876" t="s">
        <v>2463</v>
      </c>
      <c r="D1414" s="851">
        <v>921.385716</v>
      </c>
    </row>
    <row r="1415" spans="2:4" x14ac:dyDescent="0.2">
      <c r="B1415" s="876">
        <v>1621</v>
      </c>
      <c r="C1415" s="876" t="s">
        <v>2464</v>
      </c>
      <c r="D1415" s="851">
        <v>893.34000200000003</v>
      </c>
    </row>
    <row r="1416" spans="2:4" x14ac:dyDescent="0.2">
      <c r="B1416" s="876">
        <v>1622</v>
      </c>
      <c r="C1416" s="876" t="s">
        <v>2465</v>
      </c>
      <c r="D1416" s="851">
        <v>859.86818300000004</v>
      </c>
    </row>
    <row r="1417" spans="2:4" x14ac:dyDescent="0.2">
      <c r="B1417" s="876">
        <v>1623</v>
      </c>
      <c r="C1417" s="876" t="s">
        <v>2466</v>
      </c>
      <c r="D1417" s="851">
        <v>869.08571099999995</v>
      </c>
    </row>
    <row r="1418" spans="2:4" x14ac:dyDescent="0.2">
      <c r="B1418" s="876">
        <v>1624</v>
      </c>
      <c r="C1418" s="876" t="s">
        <v>2467</v>
      </c>
      <c r="D1418" s="851">
        <v>920.41666699999996</v>
      </c>
    </row>
    <row r="1419" spans="2:4" x14ac:dyDescent="0.2">
      <c r="B1419" s="876">
        <v>1625</v>
      </c>
      <c r="C1419" s="876" t="s">
        <v>2468</v>
      </c>
      <c r="D1419" s="851">
        <v>858.74165900000003</v>
      </c>
    </row>
    <row r="1420" spans="2:4" x14ac:dyDescent="0.2">
      <c r="B1420" s="876">
        <v>1626</v>
      </c>
      <c r="C1420" s="876" t="s">
        <v>2469</v>
      </c>
      <c r="D1420" s="851">
        <v>744.73333700000001</v>
      </c>
    </row>
    <row r="1421" spans="2:4" x14ac:dyDescent="0.2">
      <c r="B1421" s="876">
        <v>1627</v>
      </c>
      <c r="C1421" s="876" t="s">
        <v>2470</v>
      </c>
      <c r="D1421" s="851">
        <v>776.46001000000001</v>
      </c>
    </row>
    <row r="1422" spans="2:4" x14ac:dyDescent="0.2">
      <c r="B1422" s="876">
        <v>1628</v>
      </c>
      <c r="C1422" s="876" t="s">
        <v>2471</v>
      </c>
      <c r="D1422" s="851">
        <v>775.06667100000004</v>
      </c>
    </row>
    <row r="1423" spans="2:4" x14ac:dyDescent="0.2">
      <c r="B1423" s="876">
        <v>1629</v>
      </c>
      <c r="C1423" s="876" t="s">
        <v>2472</v>
      </c>
      <c r="D1423" s="851">
        <v>807.71999500000004</v>
      </c>
    </row>
    <row r="1424" spans="2:4" x14ac:dyDescent="0.2">
      <c r="B1424" s="876">
        <v>1630</v>
      </c>
      <c r="C1424" s="876" t="s">
        <v>2473</v>
      </c>
      <c r="D1424" s="851">
        <v>706.02500899999995</v>
      </c>
    </row>
    <row r="1425" spans="2:4" x14ac:dyDescent="0.2">
      <c r="B1425" s="876">
        <v>1631</v>
      </c>
      <c r="C1425" s="876" t="s">
        <v>2170</v>
      </c>
      <c r="D1425" s="851">
        <v>700.66666699999996</v>
      </c>
    </row>
    <row r="1426" spans="2:4" x14ac:dyDescent="0.2">
      <c r="B1426" s="876">
        <v>1632</v>
      </c>
      <c r="C1426" s="876" t="s">
        <v>2474</v>
      </c>
      <c r="D1426" s="851">
        <v>686.09997599999997</v>
      </c>
    </row>
    <row r="1427" spans="2:4" x14ac:dyDescent="0.2">
      <c r="B1427" s="876">
        <v>1633</v>
      </c>
      <c r="C1427" s="876" t="s">
        <v>2475</v>
      </c>
      <c r="D1427" s="851">
        <v>727.62498500000004</v>
      </c>
    </row>
    <row r="1428" spans="2:4" x14ac:dyDescent="0.2">
      <c r="B1428" s="876">
        <v>1634</v>
      </c>
      <c r="C1428" s="876" t="s">
        <v>2261</v>
      </c>
      <c r="D1428" s="851">
        <v>736.00001699999996</v>
      </c>
    </row>
    <row r="1429" spans="2:4" x14ac:dyDescent="0.2">
      <c r="B1429" s="876">
        <v>1635</v>
      </c>
      <c r="C1429" s="876" t="s">
        <v>2476</v>
      </c>
      <c r="D1429" s="851">
        <v>782.23333700000001</v>
      </c>
    </row>
    <row r="1430" spans="2:4" x14ac:dyDescent="0.2">
      <c r="B1430" s="876">
        <v>1636</v>
      </c>
      <c r="C1430" s="876" t="s">
        <v>2477</v>
      </c>
      <c r="D1430" s="851">
        <v>686.90002400000003</v>
      </c>
    </row>
    <row r="1431" spans="2:4" x14ac:dyDescent="0.2">
      <c r="B1431" s="876">
        <v>1637</v>
      </c>
      <c r="C1431" s="876" t="s">
        <v>2478</v>
      </c>
      <c r="D1431" s="851">
        <v>720.63334099999997</v>
      </c>
    </row>
    <row r="1432" spans="2:4" x14ac:dyDescent="0.2">
      <c r="B1432" s="876">
        <v>1638</v>
      </c>
      <c r="C1432" s="876" t="s">
        <v>2479</v>
      </c>
      <c r="D1432" s="851">
        <v>742.5</v>
      </c>
    </row>
    <row r="1433" spans="2:4" x14ac:dyDescent="0.2">
      <c r="B1433" s="876">
        <v>1639</v>
      </c>
      <c r="C1433" s="876" t="s">
        <v>2480</v>
      </c>
      <c r="D1433" s="851">
        <v>688.43335000000002</v>
      </c>
    </row>
    <row r="1434" spans="2:4" x14ac:dyDescent="0.2">
      <c r="B1434" s="876">
        <v>1640</v>
      </c>
      <c r="C1434" s="876" t="s">
        <v>2481</v>
      </c>
      <c r="D1434" s="851">
        <v>666.76666299999999</v>
      </c>
    </row>
    <row r="1435" spans="2:4" x14ac:dyDescent="0.2">
      <c r="B1435" s="876">
        <v>1641</v>
      </c>
      <c r="C1435" s="876" t="s">
        <v>2482</v>
      </c>
      <c r="D1435" s="851">
        <v>691.90000399999997</v>
      </c>
    </row>
    <row r="1436" spans="2:4" x14ac:dyDescent="0.2">
      <c r="B1436" s="876">
        <v>1642</v>
      </c>
      <c r="C1436" s="876" t="s">
        <v>2483</v>
      </c>
      <c r="D1436" s="851">
        <v>776.7</v>
      </c>
    </row>
    <row r="1437" spans="2:4" x14ac:dyDescent="0.2">
      <c r="B1437" s="876">
        <v>1643</v>
      </c>
      <c r="C1437" s="876" t="s">
        <v>2484</v>
      </c>
      <c r="D1437" s="851">
        <v>747.54999799999996</v>
      </c>
    </row>
    <row r="1438" spans="2:4" x14ac:dyDescent="0.2">
      <c r="B1438" s="876">
        <v>1644</v>
      </c>
      <c r="C1438" s="876" t="s">
        <v>2485</v>
      </c>
      <c r="D1438" s="851">
        <v>696</v>
      </c>
    </row>
    <row r="1439" spans="2:4" x14ac:dyDescent="0.2">
      <c r="B1439" s="876">
        <v>1645</v>
      </c>
      <c r="C1439" s="876" t="s">
        <v>2486</v>
      </c>
      <c r="D1439" s="851">
        <v>679.73333700000001</v>
      </c>
    </row>
    <row r="1440" spans="2:4" x14ac:dyDescent="0.2">
      <c r="B1440" s="876">
        <v>1646</v>
      </c>
      <c r="C1440" s="876" t="s">
        <v>2487</v>
      </c>
      <c r="D1440" s="851">
        <v>688.80001800000002</v>
      </c>
    </row>
    <row r="1441" spans="2:4" x14ac:dyDescent="0.2">
      <c r="B1441" s="876">
        <v>1647</v>
      </c>
      <c r="C1441" s="876" t="s">
        <v>2488</v>
      </c>
      <c r="D1441" s="851">
        <v>649.67500299999995</v>
      </c>
    </row>
    <row r="1442" spans="2:4" x14ac:dyDescent="0.2">
      <c r="B1442" s="876">
        <v>1648</v>
      </c>
      <c r="C1442" s="876" t="s">
        <v>2489</v>
      </c>
      <c r="D1442" s="851">
        <v>675.59999600000003</v>
      </c>
    </row>
    <row r="1443" spans="2:4" x14ac:dyDescent="0.2">
      <c r="B1443" s="876">
        <v>1649</v>
      </c>
      <c r="C1443" s="876" t="s">
        <v>2490</v>
      </c>
      <c r="D1443" s="851">
        <v>697.47999300000004</v>
      </c>
    </row>
    <row r="1444" spans="2:4" x14ac:dyDescent="0.2">
      <c r="B1444" s="876">
        <v>1650</v>
      </c>
      <c r="C1444" s="876" t="s">
        <v>1827</v>
      </c>
      <c r="D1444" s="851">
        <v>734.43998999999997</v>
      </c>
    </row>
    <row r="1445" spans="2:4" x14ac:dyDescent="0.2">
      <c r="B1445" s="876">
        <v>1651</v>
      </c>
      <c r="C1445" s="876" t="s">
        <v>2491</v>
      </c>
      <c r="D1445" s="851">
        <v>824.20001200000002</v>
      </c>
    </row>
    <row r="1446" spans="2:4" x14ac:dyDescent="0.2">
      <c r="B1446" s="876">
        <v>1652</v>
      </c>
      <c r="C1446" s="876" t="s">
        <v>2492</v>
      </c>
      <c r="D1446" s="851">
        <v>692.35000600000001</v>
      </c>
    </row>
    <row r="1447" spans="2:4" x14ac:dyDescent="0.2">
      <c r="B1447" s="876">
        <v>1653</v>
      </c>
      <c r="C1447" s="876" t="s">
        <v>2493</v>
      </c>
      <c r="D1447" s="851">
        <v>759.10000600000001</v>
      </c>
    </row>
    <row r="1448" spans="2:4" x14ac:dyDescent="0.2">
      <c r="B1448" s="876">
        <v>1654</v>
      </c>
      <c r="C1448" s="876" t="s">
        <v>1536</v>
      </c>
      <c r="D1448" s="851">
        <v>721.24286800000004</v>
      </c>
    </row>
    <row r="1449" spans="2:4" x14ac:dyDescent="0.2">
      <c r="B1449" s="876">
        <v>1655</v>
      </c>
      <c r="C1449" s="876" t="s">
        <v>2494</v>
      </c>
      <c r="D1449" s="851">
        <v>731.40000399999997</v>
      </c>
    </row>
    <row r="1450" spans="2:4" x14ac:dyDescent="0.2">
      <c r="B1450" s="876">
        <v>1656</v>
      </c>
      <c r="C1450" s="876" t="s">
        <v>2495</v>
      </c>
      <c r="D1450" s="851">
        <v>759.02000699999996</v>
      </c>
    </row>
    <row r="1451" spans="2:4" x14ac:dyDescent="0.2">
      <c r="B1451" s="876">
        <v>1657</v>
      </c>
      <c r="C1451" s="876" t="s">
        <v>2496</v>
      </c>
      <c r="D1451" s="851">
        <v>758.44286199999999</v>
      </c>
    </row>
    <row r="1452" spans="2:4" x14ac:dyDescent="0.2">
      <c r="B1452" s="876">
        <v>1701</v>
      </c>
      <c r="C1452" s="876" t="s">
        <v>1305</v>
      </c>
      <c r="D1452" s="851">
        <v>906.13749700000005</v>
      </c>
    </row>
    <row r="1453" spans="2:4" x14ac:dyDescent="0.2">
      <c r="B1453" s="876">
        <v>1702</v>
      </c>
      <c r="C1453" s="876" t="s">
        <v>2497</v>
      </c>
      <c r="D1453" s="851">
        <v>871.29998799999998</v>
      </c>
    </row>
    <row r="1454" spans="2:4" x14ac:dyDescent="0.2">
      <c r="B1454" s="876">
        <v>1703</v>
      </c>
      <c r="C1454" s="876" t="s">
        <v>2498</v>
      </c>
      <c r="D1454" s="851">
        <v>871.17000700000006</v>
      </c>
    </row>
    <row r="1455" spans="2:4" x14ac:dyDescent="0.2">
      <c r="B1455" s="876">
        <v>1704</v>
      </c>
      <c r="C1455" s="876" t="s">
        <v>2499</v>
      </c>
      <c r="D1455" s="851">
        <v>987.09997599999997</v>
      </c>
    </row>
    <row r="1456" spans="2:4" x14ac:dyDescent="0.2">
      <c r="B1456" s="876">
        <v>1705</v>
      </c>
      <c r="C1456" s="876" t="s">
        <v>2500</v>
      </c>
      <c r="D1456" s="851">
        <v>893.26250500000003</v>
      </c>
    </row>
    <row r="1457" spans="2:4" x14ac:dyDescent="0.2">
      <c r="B1457" s="876">
        <v>1706</v>
      </c>
      <c r="C1457" s="876" t="s">
        <v>2501</v>
      </c>
      <c r="D1457" s="851">
        <v>923.44999700000005</v>
      </c>
    </row>
    <row r="1458" spans="2:4" x14ac:dyDescent="0.2">
      <c r="B1458" s="876">
        <v>1707</v>
      </c>
      <c r="C1458" s="876" t="s">
        <v>2502</v>
      </c>
      <c r="D1458" s="851">
        <v>908.25</v>
      </c>
    </row>
    <row r="1459" spans="2:4" x14ac:dyDescent="0.2">
      <c r="B1459" s="876">
        <v>1708</v>
      </c>
      <c r="C1459" s="876" t="s">
        <v>2503</v>
      </c>
      <c r="D1459" s="851">
        <v>880.20001200000002</v>
      </c>
    </row>
    <row r="1460" spans="2:4" x14ac:dyDescent="0.2">
      <c r="B1460" s="876">
        <v>1709</v>
      </c>
      <c r="C1460" s="876" t="s">
        <v>2504</v>
      </c>
      <c r="D1460" s="851">
        <v>841.41665599999999</v>
      </c>
    </row>
    <row r="1461" spans="2:4" x14ac:dyDescent="0.2">
      <c r="B1461" s="876">
        <v>1710</v>
      </c>
      <c r="C1461" s="876" t="s">
        <v>2505</v>
      </c>
      <c r="D1461" s="851">
        <v>879.66666699999996</v>
      </c>
    </row>
    <row r="1462" spans="2:4" x14ac:dyDescent="0.2">
      <c r="B1462" s="876">
        <v>1711</v>
      </c>
      <c r="C1462" s="876" t="s">
        <v>2506</v>
      </c>
      <c r="D1462" s="851">
        <v>806.76666599999999</v>
      </c>
    </row>
    <row r="1463" spans="2:4" x14ac:dyDescent="0.2">
      <c r="B1463" s="876">
        <v>1712</v>
      </c>
      <c r="C1463" s="876" t="s">
        <v>2507</v>
      </c>
      <c r="D1463" s="851">
        <v>865.94444099999998</v>
      </c>
    </row>
    <row r="1464" spans="2:4" x14ac:dyDescent="0.2">
      <c r="B1464" s="876">
        <v>1713</v>
      </c>
      <c r="C1464" s="876" t="s">
        <v>2508</v>
      </c>
      <c r="D1464" s="851">
        <v>751.28333499999997</v>
      </c>
    </row>
    <row r="1465" spans="2:4" x14ac:dyDescent="0.2">
      <c r="B1465" s="876">
        <v>1714</v>
      </c>
      <c r="C1465" s="876" t="s">
        <v>2509</v>
      </c>
      <c r="D1465" s="851">
        <v>792.46665399999995</v>
      </c>
    </row>
    <row r="1466" spans="2:4" x14ac:dyDescent="0.2">
      <c r="B1466" s="876">
        <v>1715</v>
      </c>
      <c r="C1466" s="876" t="s">
        <v>2510</v>
      </c>
      <c r="D1466" s="851">
        <v>836.46665399999995</v>
      </c>
    </row>
    <row r="1467" spans="2:4" x14ac:dyDescent="0.2">
      <c r="B1467" s="876">
        <v>1716</v>
      </c>
      <c r="C1467" s="876" t="s">
        <v>2511</v>
      </c>
      <c r="D1467" s="851">
        <v>778.59285599999998</v>
      </c>
    </row>
    <row r="1468" spans="2:4" x14ac:dyDescent="0.2">
      <c r="B1468" s="876">
        <v>1717</v>
      </c>
      <c r="C1468" s="876" t="s">
        <v>2459</v>
      </c>
      <c r="D1468" s="851">
        <v>871.70001200000002</v>
      </c>
    </row>
    <row r="1469" spans="2:4" x14ac:dyDescent="0.2">
      <c r="B1469" s="876">
        <v>1718</v>
      </c>
      <c r="C1469" s="876" t="s">
        <v>2512</v>
      </c>
      <c r="D1469" s="851">
        <v>850.15999799999997</v>
      </c>
    </row>
    <row r="1470" spans="2:4" x14ac:dyDescent="0.2">
      <c r="B1470" s="876">
        <v>1719</v>
      </c>
      <c r="C1470" s="876" t="s">
        <v>2513</v>
      </c>
      <c r="D1470" s="851">
        <v>867.32499700000005</v>
      </c>
    </row>
    <row r="1471" spans="2:4" x14ac:dyDescent="0.2">
      <c r="B1471" s="876">
        <v>1720</v>
      </c>
      <c r="C1471" s="876" t="s">
        <v>2514</v>
      </c>
      <c r="D1471" s="851">
        <v>875.70001200000002</v>
      </c>
    </row>
    <row r="1472" spans="2:4" x14ac:dyDescent="0.2">
      <c r="B1472" s="876">
        <v>1721</v>
      </c>
      <c r="C1472" s="876" t="s">
        <v>2515</v>
      </c>
      <c r="D1472" s="851">
        <v>885.63334099999997</v>
      </c>
    </row>
    <row r="1473" spans="2:4" x14ac:dyDescent="0.2">
      <c r="B1473" s="876">
        <v>1722</v>
      </c>
      <c r="C1473" s="876" t="s">
        <v>2516</v>
      </c>
      <c r="D1473" s="851">
        <v>889.15002400000003</v>
      </c>
    </row>
    <row r="1474" spans="2:4" x14ac:dyDescent="0.2">
      <c r="B1474" s="876">
        <v>1723</v>
      </c>
      <c r="C1474" s="876" t="s">
        <v>2517</v>
      </c>
      <c r="D1474" s="851">
        <v>906</v>
      </c>
    </row>
    <row r="1475" spans="2:4" x14ac:dyDescent="0.2">
      <c r="B1475" s="876">
        <v>1724</v>
      </c>
      <c r="C1475" s="876" t="s">
        <v>2518</v>
      </c>
      <c r="D1475" s="851">
        <v>863.09997599999997</v>
      </c>
    </row>
    <row r="1476" spans="2:4" x14ac:dyDescent="0.2">
      <c r="B1476" s="876">
        <v>1725</v>
      </c>
      <c r="C1476" s="876" t="s">
        <v>2519</v>
      </c>
      <c r="D1476" s="851">
        <v>813.35000600000001</v>
      </c>
    </row>
    <row r="1477" spans="2:4" x14ac:dyDescent="0.2">
      <c r="B1477" s="876">
        <v>1726</v>
      </c>
      <c r="C1477" s="876" t="s">
        <v>2304</v>
      </c>
      <c r="D1477" s="851">
        <v>835.83333300000004</v>
      </c>
    </row>
    <row r="1478" spans="2:4" x14ac:dyDescent="0.2">
      <c r="B1478" s="876">
        <v>1727</v>
      </c>
      <c r="C1478" s="876" t="s">
        <v>2520</v>
      </c>
      <c r="D1478" s="851">
        <v>846.92500299999995</v>
      </c>
    </row>
    <row r="1479" spans="2:4" x14ac:dyDescent="0.2">
      <c r="B1479" s="876">
        <v>1728</v>
      </c>
      <c r="C1479" s="876" t="s">
        <v>2521</v>
      </c>
      <c r="D1479" s="851">
        <v>823.36154899999997</v>
      </c>
    </row>
    <row r="1480" spans="2:4" x14ac:dyDescent="0.2">
      <c r="B1480" s="876">
        <v>1729</v>
      </c>
      <c r="C1480" s="876" t="s">
        <v>2522</v>
      </c>
      <c r="D1480" s="851">
        <v>839.59997599999997</v>
      </c>
    </row>
    <row r="1481" spans="2:4" x14ac:dyDescent="0.2">
      <c r="B1481" s="876">
        <v>1730</v>
      </c>
      <c r="C1481" s="876" t="s">
        <v>2523</v>
      </c>
      <c r="D1481" s="851">
        <v>842.59998800000005</v>
      </c>
    </row>
    <row r="1482" spans="2:4" x14ac:dyDescent="0.2">
      <c r="B1482" s="876">
        <v>1731</v>
      </c>
      <c r="C1482" s="876" t="s">
        <v>2524</v>
      </c>
      <c r="D1482" s="851">
        <v>728.740002</v>
      </c>
    </row>
    <row r="1483" spans="2:4" x14ac:dyDescent="0.2">
      <c r="B1483" s="876">
        <v>1732</v>
      </c>
      <c r="C1483" s="876" t="s">
        <v>2525</v>
      </c>
      <c r="D1483" s="851">
        <v>690.25998500000003</v>
      </c>
    </row>
    <row r="1484" spans="2:4" x14ac:dyDescent="0.2">
      <c r="B1484" s="876">
        <v>1733</v>
      </c>
      <c r="C1484" s="876" t="s">
        <v>2526</v>
      </c>
      <c r="D1484" s="851">
        <v>658.30001800000002</v>
      </c>
    </row>
    <row r="1485" spans="2:4" x14ac:dyDescent="0.2">
      <c r="B1485" s="876">
        <v>1734</v>
      </c>
      <c r="C1485" s="876" t="s">
        <v>2527</v>
      </c>
      <c r="D1485" s="851">
        <v>650.02499399999999</v>
      </c>
    </row>
    <row r="1486" spans="2:4" x14ac:dyDescent="0.2">
      <c r="B1486" s="876">
        <v>1735</v>
      </c>
      <c r="C1486" s="876" t="s">
        <v>2528</v>
      </c>
      <c r="D1486" s="851">
        <v>630.67999299999997</v>
      </c>
    </row>
    <row r="1487" spans="2:4" x14ac:dyDescent="0.2">
      <c r="B1487" s="876">
        <v>1736</v>
      </c>
      <c r="C1487" s="876" t="s">
        <v>2529</v>
      </c>
      <c r="D1487" s="851">
        <v>627.09997599999997</v>
      </c>
    </row>
    <row r="1488" spans="2:4" x14ac:dyDescent="0.2">
      <c r="B1488" s="876">
        <v>1737</v>
      </c>
      <c r="C1488" s="876" t="s">
        <v>2530</v>
      </c>
      <c r="D1488" s="851">
        <v>642.76666299999999</v>
      </c>
    </row>
    <row r="1489" spans="2:4" x14ac:dyDescent="0.2">
      <c r="B1489" s="876">
        <v>1738</v>
      </c>
      <c r="C1489" s="876" t="s">
        <v>2531</v>
      </c>
      <c r="D1489" s="851">
        <v>630.63332100000002</v>
      </c>
    </row>
    <row r="1490" spans="2:4" x14ac:dyDescent="0.2">
      <c r="B1490" s="876">
        <v>1739</v>
      </c>
      <c r="C1490" s="876" t="s">
        <v>2532</v>
      </c>
      <c r="D1490" s="851">
        <v>611.95999800000004</v>
      </c>
    </row>
    <row r="1491" spans="2:4" x14ac:dyDescent="0.2">
      <c r="B1491" s="876">
        <v>1740</v>
      </c>
      <c r="C1491" s="876" t="s">
        <v>2453</v>
      </c>
      <c r="D1491" s="851">
        <v>694.79998799999998</v>
      </c>
    </row>
    <row r="1492" spans="2:4" x14ac:dyDescent="0.2">
      <c r="B1492" s="876">
        <v>1741</v>
      </c>
      <c r="C1492" s="876" t="s">
        <v>2533</v>
      </c>
      <c r="D1492" s="851">
        <v>678.98332700000003</v>
      </c>
    </row>
    <row r="1493" spans="2:4" x14ac:dyDescent="0.2">
      <c r="B1493" s="876">
        <v>1742</v>
      </c>
      <c r="C1493" s="876" t="s">
        <v>2534</v>
      </c>
      <c r="D1493" s="851">
        <v>684.5</v>
      </c>
    </row>
    <row r="1494" spans="2:4" x14ac:dyDescent="0.2">
      <c r="B1494" s="876">
        <v>1743</v>
      </c>
      <c r="C1494" s="876" t="s">
        <v>2535</v>
      </c>
      <c r="D1494" s="851">
        <v>667.240002</v>
      </c>
    </row>
    <row r="1495" spans="2:4" x14ac:dyDescent="0.2">
      <c r="B1495" s="876">
        <v>1744</v>
      </c>
      <c r="C1495" s="876" t="s">
        <v>2536</v>
      </c>
      <c r="D1495" s="851">
        <v>764.01667299999997</v>
      </c>
    </row>
    <row r="1496" spans="2:4" x14ac:dyDescent="0.2">
      <c r="B1496" s="876">
        <v>1745</v>
      </c>
      <c r="C1496" s="876" t="s">
        <v>2537</v>
      </c>
      <c r="D1496" s="851">
        <v>736.17999299999997</v>
      </c>
    </row>
    <row r="1497" spans="2:4" x14ac:dyDescent="0.2">
      <c r="B1497" s="876">
        <v>1746</v>
      </c>
      <c r="C1497" s="876" t="s">
        <v>2538</v>
      </c>
      <c r="D1497" s="851">
        <v>770.77691200000004</v>
      </c>
    </row>
    <row r="1498" spans="2:4" x14ac:dyDescent="0.2">
      <c r="B1498" s="876">
        <v>1747</v>
      </c>
      <c r="C1498" s="876" t="s">
        <v>2539</v>
      </c>
      <c r="D1498" s="851">
        <v>740.18331899999998</v>
      </c>
    </row>
    <row r="1499" spans="2:4" x14ac:dyDescent="0.2">
      <c r="B1499" s="876">
        <v>1748</v>
      </c>
      <c r="C1499" s="876" t="s">
        <v>2540</v>
      </c>
      <c r="D1499" s="851">
        <v>744.96666500000003</v>
      </c>
    </row>
    <row r="1500" spans="2:4" x14ac:dyDescent="0.2">
      <c r="B1500" s="876">
        <v>1749</v>
      </c>
      <c r="C1500" s="876" t="s">
        <v>2541</v>
      </c>
      <c r="D1500" s="851">
        <v>676.96667500000001</v>
      </c>
    </row>
    <row r="1501" spans="2:4" x14ac:dyDescent="0.2">
      <c r="B1501" s="876">
        <v>1750</v>
      </c>
      <c r="C1501" s="876" t="s">
        <v>2542</v>
      </c>
      <c r="D1501" s="851">
        <v>618.37999300000001</v>
      </c>
    </row>
    <row r="1502" spans="2:4" x14ac:dyDescent="0.2">
      <c r="B1502" s="876">
        <v>1751</v>
      </c>
      <c r="C1502" s="876" t="s">
        <v>2543</v>
      </c>
      <c r="D1502" s="851">
        <v>639.53332499999999</v>
      </c>
    </row>
    <row r="1503" spans="2:4" x14ac:dyDescent="0.2">
      <c r="B1503" s="876">
        <v>1752</v>
      </c>
      <c r="C1503" s="876" t="s">
        <v>2544</v>
      </c>
      <c r="D1503" s="851">
        <v>723.6</v>
      </c>
    </row>
    <row r="1504" spans="2:4" x14ac:dyDescent="0.2">
      <c r="B1504" s="876">
        <v>1753</v>
      </c>
      <c r="C1504" s="876" t="s">
        <v>2545</v>
      </c>
      <c r="D1504" s="851">
        <v>695.26668299999994</v>
      </c>
    </row>
    <row r="1505" spans="2:4" x14ac:dyDescent="0.2">
      <c r="B1505" s="876">
        <v>1754</v>
      </c>
      <c r="C1505" s="876" t="s">
        <v>354</v>
      </c>
      <c r="D1505" s="851">
        <v>657.17999299999997</v>
      </c>
    </row>
    <row r="1506" spans="2:4" x14ac:dyDescent="0.2">
      <c r="B1506" s="876">
        <v>1755</v>
      </c>
      <c r="C1506" s="876" t="s">
        <v>2546</v>
      </c>
      <c r="D1506" s="851">
        <v>612.59998800000005</v>
      </c>
    </row>
    <row r="1507" spans="2:4" x14ac:dyDescent="0.2">
      <c r="B1507" s="876">
        <v>1756</v>
      </c>
      <c r="C1507" s="876" t="s">
        <v>2547</v>
      </c>
      <c r="D1507" s="851">
        <v>657.54998799999998</v>
      </c>
    </row>
    <row r="1508" spans="2:4" x14ac:dyDescent="0.2">
      <c r="B1508" s="876">
        <v>1757</v>
      </c>
      <c r="C1508" s="876" t="s">
        <v>2548</v>
      </c>
      <c r="D1508" s="851">
        <v>730.23331700000006</v>
      </c>
    </row>
    <row r="1509" spans="2:4" x14ac:dyDescent="0.2">
      <c r="B1509" s="876">
        <v>1758</v>
      </c>
      <c r="C1509" s="876" t="s">
        <v>2549</v>
      </c>
      <c r="D1509" s="851">
        <v>643.16666699999996</v>
      </c>
    </row>
    <row r="1510" spans="2:4" x14ac:dyDescent="0.2">
      <c r="B1510" s="876">
        <v>1759</v>
      </c>
      <c r="C1510" s="876" t="s">
        <v>2550</v>
      </c>
      <c r="D1510" s="851">
        <v>643.88571999999999</v>
      </c>
    </row>
    <row r="1511" spans="2:4" x14ac:dyDescent="0.2">
      <c r="B1511" s="876">
        <v>1760</v>
      </c>
      <c r="C1511" s="876" t="s">
        <v>2551</v>
      </c>
      <c r="D1511" s="851">
        <v>749.60909200000003</v>
      </c>
    </row>
    <row r="1512" spans="2:4" x14ac:dyDescent="0.2">
      <c r="B1512" s="876">
        <v>1761</v>
      </c>
      <c r="C1512" s="876" t="s">
        <v>2552</v>
      </c>
      <c r="D1512" s="851">
        <v>826.71539299999995</v>
      </c>
    </row>
    <row r="1513" spans="2:4" x14ac:dyDescent="0.2">
      <c r="B1513" s="876">
        <v>1762</v>
      </c>
      <c r="C1513" s="876" t="s">
        <v>2553</v>
      </c>
      <c r="D1513" s="851">
        <v>849.65000599999996</v>
      </c>
    </row>
    <row r="1514" spans="2:4" x14ac:dyDescent="0.2">
      <c r="B1514" s="876">
        <v>1763</v>
      </c>
      <c r="C1514" s="876" t="s">
        <v>2554</v>
      </c>
      <c r="D1514" s="851">
        <v>756.23334799999998</v>
      </c>
    </row>
    <row r="1515" spans="2:4" x14ac:dyDescent="0.2">
      <c r="B1515" s="876">
        <v>1764</v>
      </c>
      <c r="C1515" s="876" t="s">
        <v>2555</v>
      </c>
      <c r="D1515" s="851">
        <v>732.25</v>
      </c>
    </row>
    <row r="1516" spans="2:4" x14ac:dyDescent="0.2">
      <c r="B1516" s="876">
        <v>1765</v>
      </c>
      <c r="C1516" s="876" t="s">
        <v>2556</v>
      </c>
      <c r="D1516" s="851">
        <v>769.47647300000006</v>
      </c>
    </row>
    <row r="1517" spans="2:4" x14ac:dyDescent="0.2">
      <c r="B1517" s="876">
        <v>1766</v>
      </c>
      <c r="C1517" s="876" t="s">
        <v>2557</v>
      </c>
      <c r="D1517" s="851">
        <v>769.86665900000003</v>
      </c>
    </row>
    <row r="1518" spans="2:4" x14ac:dyDescent="0.2">
      <c r="B1518" s="876">
        <v>1767</v>
      </c>
      <c r="C1518" s="876" t="s">
        <v>2558</v>
      </c>
      <c r="D1518" s="851">
        <v>683.32499700000005</v>
      </c>
    </row>
    <row r="1519" spans="2:4" x14ac:dyDescent="0.2">
      <c r="B1519" s="876">
        <v>1768</v>
      </c>
      <c r="C1519" s="876" t="s">
        <v>2559</v>
      </c>
      <c r="D1519" s="851">
        <v>731.89000199999998</v>
      </c>
    </row>
    <row r="1520" spans="2:4" x14ac:dyDescent="0.2">
      <c r="B1520" s="876">
        <v>1769</v>
      </c>
      <c r="C1520" s="876" t="s">
        <v>2560</v>
      </c>
      <c r="D1520" s="851">
        <v>727.6</v>
      </c>
    </row>
    <row r="1521" spans="2:4" x14ac:dyDescent="0.2">
      <c r="B1521" s="876">
        <v>1770</v>
      </c>
      <c r="C1521" s="876" t="s">
        <v>2561</v>
      </c>
      <c r="D1521" s="851">
        <v>748.01249700000005</v>
      </c>
    </row>
    <row r="1522" spans="2:4" x14ac:dyDescent="0.2">
      <c r="B1522" s="876">
        <v>1771</v>
      </c>
      <c r="C1522" s="876" t="s">
        <v>2562</v>
      </c>
      <c r="D1522" s="851">
        <v>754.50000599999998</v>
      </c>
    </row>
    <row r="1523" spans="2:4" x14ac:dyDescent="0.2">
      <c r="B1523" s="876">
        <v>1772</v>
      </c>
      <c r="C1523" s="876" t="s">
        <v>2442</v>
      </c>
      <c r="D1523" s="851">
        <v>845.55454299999997</v>
      </c>
    </row>
    <row r="1524" spans="2:4" x14ac:dyDescent="0.2">
      <c r="B1524" s="876">
        <v>1773</v>
      </c>
      <c r="C1524" s="876" t="s">
        <v>2563</v>
      </c>
      <c r="D1524" s="851">
        <v>799.16666699999996</v>
      </c>
    </row>
    <row r="1525" spans="2:4" x14ac:dyDescent="0.2">
      <c r="B1525" s="876">
        <v>1774</v>
      </c>
      <c r="C1525" s="876" t="s">
        <v>2564</v>
      </c>
      <c r="D1525" s="851">
        <v>864.90002400000003</v>
      </c>
    </row>
    <row r="1526" spans="2:4" x14ac:dyDescent="0.2">
      <c r="B1526" s="876">
        <v>1775</v>
      </c>
      <c r="C1526" s="876" t="s">
        <v>2565</v>
      </c>
      <c r="D1526" s="851">
        <v>844.97776999999996</v>
      </c>
    </row>
    <row r="1527" spans="2:4" x14ac:dyDescent="0.2">
      <c r="B1527" s="876">
        <v>1776</v>
      </c>
      <c r="C1527" s="876" t="s">
        <v>2566</v>
      </c>
      <c r="D1527" s="851">
        <v>850.13999000000001</v>
      </c>
    </row>
    <row r="1528" spans="2:4" x14ac:dyDescent="0.2">
      <c r="B1528" s="876">
        <v>1777</v>
      </c>
      <c r="C1528" s="876" t="s">
        <v>2567</v>
      </c>
      <c r="D1528" s="851">
        <v>798.25001499999996</v>
      </c>
    </row>
    <row r="1529" spans="2:4" x14ac:dyDescent="0.2">
      <c r="B1529" s="876">
        <v>1778</v>
      </c>
      <c r="C1529" s="876" t="s">
        <v>2568</v>
      </c>
      <c r="D1529" s="851">
        <v>724.00001199999997</v>
      </c>
    </row>
    <row r="1530" spans="2:4" x14ac:dyDescent="0.2">
      <c r="B1530" s="876">
        <v>1779</v>
      </c>
      <c r="C1530" s="876" t="s">
        <v>2569</v>
      </c>
      <c r="D1530" s="851">
        <v>762.41665599999999</v>
      </c>
    </row>
    <row r="1531" spans="2:4" x14ac:dyDescent="0.2">
      <c r="B1531" s="876">
        <v>1780</v>
      </c>
      <c r="C1531" s="876" t="s">
        <v>2570</v>
      </c>
      <c r="D1531" s="851">
        <v>742.19999900000005</v>
      </c>
    </row>
    <row r="1532" spans="2:4" x14ac:dyDescent="0.2">
      <c r="B1532" s="876">
        <v>1781</v>
      </c>
      <c r="C1532" s="876" t="s">
        <v>2571</v>
      </c>
      <c r="D1532" s="851">
        <v>676.57499700000005</v>
      </c>
    </row>
    <row r="1533" spans="2:4" x14ac:dyDescent="0.2">
      <c r="B1533" s="876">
        <v>1782</v>
      </c>
      <c r="C1533" s="876" t="s">
        <v>2572</v>
      </c>
      <c r="D1533" s="851">
        <v>693.79998799999998</v>
      </c>
    </row>
    <row r="1534" spans="2:4" x14ac:dyDescent="0.2">
      <c r="B1534" s="876">
        <v>1783</v>
      </c>
      <c r="C1534" s="876" t="s">
        <v>2573</v>
      </c>
      <c r="D1534" s="851">
        <v>673.80000800000005</v>
      </c>
    </row>
    <row r="1535" spans="2:4" x14ac:dyDescent="0.2">
      <c r="B1535" s="876">
        <v>1784</v>
      </c>
      <c r="C1535" s="876" t="s">
        <v>2574</v>
      </c>
      <c r="D1535" s="851">
        <v>767.72499600000003</v>
      </c>
    </row>
    <row r="1536" spans="2:4" x14ac:dyDescent="0.2">
      <c r="B1536" s="876">
        <v>1785</v>
      </c>
      <c r="C1536" s="876" t="s">
        <v>2575</v>
      </c>
      <c r="D1536" s="851">
        <v>740.177775</v>
      </c>
    </row>
    <row r="1537" spans="2:4" x14ac:dyDescent="0.2">
      <c r="B1537" s="876">
        <v>1786</v>
      </c>
      <c r="C1537" s="876" t="s">
        <v>2576</v>
      </c>
      <c r="D1537" s="851">
        <v>688.29998799999998</v>
      </c>
    </row>
    <row r="1538" spans="2:4" x14ac:dyDescent="0.2">
      <c r="B1538" s="876">
        <v>1787</v>
      </c>
      <c r="C1538" s="876" t="s">
        <v>2577</v>
      </c>
      <c r="D1538" s="851">
        <v>749.86922500000003</v>
      </c>
    </row>
    <row r="1539" spans="2:4" x14ac:dyDescent="0.2">
      <c r="B1539" s="876">
        <v>1788</v>
      </c>
      <c r="C1539" s="876" t="s">
        <v>2578</v>
      </c>
      <c r="D1539" s="851">
        <v>761.06152799999995</v>
      </c>
    </row>
    <row r="1540" spans="2:4" x14ac:dyDescent="0.2">
      <c r="B1540" s="876">
        <v>1789</v>
      </c>
      <c r="C1540" s="876" t="s">
        <v>2579</v>
      </c>
      <c r="D1540" s="851">
        <v>782.84375399999999</v>
      </c>
    </row>
    <row r="1541" spans="2:4" x14ac:dyDescent="0.2">
      <c r="B1541" s="876">
        <v>1790</v>
      </c>
      <c r="C1541" s="876" t="s">
        <v>2580</v>
      </c>
      <c r="D1541" s="851">
        <v>666.31250799999998</v>
      </c>
    </row>
    <row r="1542" spans="2:4" x14ac:dyDescent="0.2">
      <c r="B1542" s="876">
        <v>1791</v>
      </c>
      <c r="C1542" s="876" t="s">
        <v>2581</v>
      </c>
      <c r="D1542" s="851">
        <v>696.81667100000004</v>
      </c>
    </row>
    <row r="1543" spans="2:4" x14ac:dyDescent="0.2">
      <c r="B1543" s="876">
        <v>1792</v>
      </c>
      <c r="C1543" s="876" t="s">
        <v>2582</v>
      </c>
      <c r="D1543" s="851">
        <v>752</v>
      </c>
    </row>
    <row r="1544" spans="2:4" x14ac:dyDescent="0.2">
      <c r="B1544" s="876">
        <v>1793</v>
      </c>
      <c r="C1544" s="876" t="s">
        <v>2583</v>
      </c>
      <c r="D1544" s="851">
        <v>725.41667700000005</v>
      </c>
    </row>
    <row r="1545" spans="2:4" x14ac:dyDescent="0.2">
      <c r="B1545" s="876">
        <v>1794</v>
      </c>
      <c r="C1545" s="876" t="s">
        <v>2584</v>
      </c>
      <c r="D1545" s="851">
        <v>668.95001200000002</v>
      </c>
    </row>
    <row r="1546" spans="2:4" x14ac:dyDescent="0.2">
      <c r="B1546" s="876">
        <v>1795</v>
      </c>
      <c r="C1546" s="876" t="s">
        <v>2585</v>
      </c>
      <c r="D1546" s="851">
        <v>676.09997599999997</v>
      </c>
    </row>
    <row r="1547" spans="2:4" x14ac:dyDescent="0.2">
      <c r="B1547" s="876">
        <v>1796</v>
      </c>
      <c r="C1547" s="876" t="s">
        <v>2586</v>
      </c>
      <c r="D1547" s="851">
        <v>639.45001200000002</v>
      </c>
    </row>
    <row r="1548" spans="2:4" x14ac:dyDescent="0.2">
      <c r="B1548" s="876">
        <v>1797</v>
      </c>
      <c r="C1548" s="876" t="s">
        <v>2587</v>
      </c>
      <c r="D1548" s="851">
        <v>733.14999399999999</v>
      </c>
    </row>
    <row r="1549" spans="2:4" x14ac:dyDescent="0.2">
      <c r="B1549" s="876">
        <v>1798</v>
      </c>
      <c r="C1549" s="876" t="s">
        <v>2588</v>
      </c>
      <c r="D1549" s="851">
        <v>745.80000500000006</v>
      </c>
    </row>
    <row r="1550" spans="2:4" x14ac:dyDescent="0.2">
      <c r="B1550" s="876">
        <v>1799</v>
      </c>
      <c r="C1550" s="876" t="s">
        <v>2589</v>
      </c>
      <c r="D1550" s="851">
        <v>748.67334000000005</v>
      </c>
    </row>
    <row r="1551" spans="2:4" x14ac:dyDescent="0.2">
      <c r="B1551" s="876">
        <v>1800</v>
      </c>
      <c r="C1551" s="876" t="s">
        <v>2590</v>
      </c>
      <c r="D1551" s="851">
        <v>652.27499899999998</v>
      </c>
    </row>
    <row r="1552" spans="2:4" x14ac:dyDescent="0.2">
      <c r="B1552" s="876">
        <v>1801</v>
      </c>
      <c r="C1552" s="876" t="s">
        <v>2591</v>
      </c>
      <c r="D1552" s="851">
        <v>628.32499700000005</v>
      </c>
    </row>
    <row r="1553" spans="2:4" x14ac:dyDescent="0.2">
      <c r="B1553" s="876">
        <v>1802</v>
      </c>
      <c r="C1553" s="876" t="s">
        <v>2592</v>
      </c>
      <c r="D1553" s="851">
        <v>591.79998799999998</v>
      </c>
    </row>
    <row r="1554" spans="2:4" x14ac:dyDescent="0.2">
      <c r="B1554" s="876">
        <v>1803</v>
      </c>
      <c r="C1554" s="876" t="s">
        <v>2593</v>
      </c>
      <c r="D1554" s="851">
        <v>635.43333900000005</v>
      </c>
    </row>
    <row r="1555" spans="2:4" x14ac:dyDescent="0.2">
      <c r="B1555" s="876">
        <v>1804</v>
      </c>
      <c r="C1555" s="876" t="s">
        <v>2594</v>
      </c>
      <c r="D1555" s="851">
        <v>607.14999399999999</v>
      </c>
    </row>
    <row r="1556" spans="2:4" x14ac:dyDescent="0.2">
      <c r="B1556" s="876">
        <v>1805</v>
      </c>
      <c r="C1556" s="876" t="s">
        <v>2595</v>
      </c>
      <c r="D1556" s="851">
        <v>667.46666100000004</v>
      </c>
    </row>
    <row r="1557" spans="2:4" x14ac:dyDescent="0.2">
      <c r="B1557" s="876">
        <v>1806</v>
      </c>
      <c r="C1557" s="876" t="s">
        <v>2596</v>
      </c>
      <c r="D1557" s="851">
        <v>609.69999199999995</v>
      </c>
    </row>
    <row r="1558" spans="2:4" x14ac:dyDescent="0.2">
      <c r="B1558" s="876">
        <v>1807</v>
      </c>
      <c r="C1558" s="876" t="s">
        <v>2597</v>
      </c>
      <c r="D1558" s="851">
        <v>599.74545000000001</v>
      </c>
    </row>
    <row r="1559" spans="2:4" x14ac:dyDescent="0.2">
      <c r="B1559" s="876">
        <v>1808</v>
      </c>
      <c r="C1559" s="876" t="s">
        <v>2598</v>
      </c>
      <c r="D1559" s="851">
        <v>712.26000999999997</v>
      </c>
    </row>
    <row r="1560" spans="2:4" x14ac:dyDescent="0.2">
      <c r="B1560" s="876">
        <v>1809</v>
      </c>
      <c r="C1560" s="876" t="s">
        <v>2599</v>
      </c>
      <c r="D1560" s="851">
        <v>710.83998999999994</v>
      </c>
    </row>
    <row r="1561" spans="2:4" x14ac:dyDescent="0.2">
      <c r="B1561" s="876">
        <v>1810</v>
      </c>
      <c r="C1561" s="876" t="s">
        <v>2600</v>
      </c>
      <c r="D1561" s="851">
        <v>704.16667700000005</v>
      </c>
    </row>
    <row r="1562" spans="2:4" x14ac:dyDescent="0.2">
      <c r="B1562" s="876">
        <v>1811</v>
      </c>
      <c r="C1562" s="876" t="s">
        <v>2601</v>
      </c>
      <c r="D1562" s="851">
        <v>626.14999399999999</v>
      </c>
    </row>
    <row r="1563" spans="2:4" x14ac:dyDescent="0.2">
      <c r="B1563" s="876">
        <v>1812</v>
      </c>
      <c r="C1563" s="876" t="s">
        <v>2602</v>
      </c>
      <c r="D1563" s="851">
        <v>648.79998799999998</v>
      </c>
    </row>
    <row r="1564" spans="2:4" x14ac:dyDescent="0.2">
      <c r="B1564" s="876">
        <v>1813</v>
      </c>
      <c r="C1564" s="876" t="s">
        <v>2603</v>
      </c>
      <c r="D1564" s="851">
        <v>653.41999499999997</v>
      </c>
    </row>
    <row r="1565" spans="2:4" x14ac:dyDescent="0.2">
      <c r="B1565" s="876">
        <v>1814</v>
      </c>
      <c r="C1565" s="876" t="s">
        <v>2604</v>
      </c>
      <c r="D1565" s="851">
        <v>650.60000600000001</v>
      </c>
    </row>
    <row r="1566" spans="2:4" x14ac:dyDescent="0.2">
      <c r="B1566" s="876">
        <v>1815</v>
      </c>
      <c r="C1566" s="876" t="s">
        <v>2605</v>
      </c>
      <c r="D1566" s="851">
        <v>653.88748899999996</v>
      </c>
    </row>
    <row r="1567" spans="2:4" x14ac:dyDescent="0.2">
      <c r="B1567" s="876">
        <v>1816</v>
      </c>
      <c r="C1567" s="876" t="s">
        <v>2606</v>
      </c>
      <c r="D1567" s="851">
        <v>647.20000000000005</v>
      </c>
    </row>
    <row r="1568" spans="2:4" x14ac:dyDescent="0.2">
      <c r="B1568" s="876">
        <v>1817</v>
      </c>
      <c r="C1568" s="876" t="s">
        <v>2607</v>
      </c>
      <c r="D1568" s="851">
        <v>653.75</v>
      </c>
    </row>
    <row r="1569" spans="2:4" x14ac:dyDescent="0.2">
      <c r="B1569" s="876">
        <v>1818</v>
      </c>
      <c r="C1569" s="876" t="s">
        <v>2608</v>
      </c>
      <c r="D1569" s="851">
        <v>650.83998999999994</v>
      </c>
    </row>
    <row r="1570" spans="2:4" x14ac:dyDescent="0.2">
      <c r="B1570" s="876">
        <v>1819</v>
      </c>
      <c r="C1570" s="876" t="s">
        <v>2609</v>
      </c>
      <c r="D1570" s="851">
        <v>723.65998500000001</v>
      </c>
    </row>
    <row r="1571" spans="2:4" x14ac:dyDescent="0.2">
      <c r="B1571" s="876">
        <v>1820</v>
      </c>
      <c r="C1571" s="876" t="s">
        <v>2610</v>
      </c>
      <c r="D1571" s="851">
        <v>639.79999499999997</v>
      </c>
    </row>
    <row r="1572" spans="2:4" x14ac:dyDescent="0.2">
      <c r="B1572" s="876">
        <v>1821</v>
      </c>
      <c r="C1572" s="876" t="s">
        <v>2611</v>
      </c>
      <c r="D1572" s="851">
        <v>636.16666699999996</v>
      </c>
    </row>
    <row r="1573" spans="2:4" x14ac:dyDescent="0.2">
      <c r="B1573" s="876">
        <v>1822</v>
      </c>
      <c r="C1573" s="876" t="s">
        <v>2612</v>
      </c>
      <c r="D1573" s="851">
        <v>707.40625</v>
      </c>
    </row>
    <row r="1574" spans="2:4" x14ac:dyDescent="0.2">
      <c r="B1574" s="876">
        <v>1823</v>
      </c>
      <c r="C1574" s="876" t="s">
        <v>2613</v>
      </c>
      <c r="D1574" s="851">
        <v>734.60001</v>
      </c>
    </row>
    <row r="1575" spans="2:4" x14ac:dyDescent="0.2">
      <c r="B1575" s="876">
        <v>1824</v>
      </c>
      <c r="C1575" s="876" t="s">
        <v>2614</v>
      </c>
      <c r="D1575" s="851">
        <v>726.81666600000005</v>
      </c>
    </row>
    <row r="1576" spans="2:4" x14ac:dyDescent="0.2">
      <c r="B1576" s="876">
        <v>1825</v>
      </c>
      <c r="C1576" s="876" t="s">
        <v>2615</v>
      </c>
      <c r="D1576" s="851">
        <v>753.5</v>
      </c>
    </row>
    <row r="1577" spans="2:4" x14ac:dyDescent="0.2">
      <c r="B1577" s="876">
        <v>1826</v>
      </c>
      <c r="C1577" s="876" t="s">
        <v>2616</v>
      </c>
      <c r="D1577" s="851">
        <v>735.70001200000002</v>
      </c>
    </row>
    <row r="1578" spans="2:4" x14ac:dyDescent="0.2">
      <c r="B1578" s="876">
        <v>1827</v>
      </c>
      <c r="C1578" s="876" t="s">
        <v>2617</v>
      </c>
      <c r="D1578" s="851">
        <v>760.46363399999996</v>
      </c>
    </row>
    <row r="1579" spans="2:4" x14ac:dyDescent="0.2">
      <c r="B1579" s="876">
        <v>1828</v>
      </c>
      <c r="C1579" s="876" t="s">
        <v>2049</v>
      </c>
      <c r="D1579" s="851">
        <v>780.97272799999996</v>
      </c>
    </row>
    <row r="1580" spans="2:4" x14ac:dyDescent="0.2">
      <c r="B1580" s="876">
        <v>1829</v>
      </c>
      <c r="C1580" s="876" t="s">
        <v>1925</v>
      </c>
      <c r="D1580" s="851">
        <v>731.92500299999995</v>
      </c>
    </row>
    <row r="1581" spans="2:4" x14ac:dyDescent="0.2">
      <c r="B1581" s="876">
        <v>1830</v>
      </c>
      <c r="C1581" s="876" t="s">
        <v>2618</v>
      </c>
      <c r="D1581" s="851">
        <v>749.12856599999998</v>
      </c>
    </row>
    <row r="1582" spans="2:4" x14ac:dyDescent="0.2">
      <c r="B1582" s="876">
        <v>1831</v>
      </c>
      <c r="C1582" s="876" t="s">
        <v>2619</v>
      </c>
      <c r="D1582" s="851">
        <v>749.26667299999997</v>
      </c>
    </row>
    <row r="1583" spans="2:4" x14ac:dyDescent="0.2">
      <c r="B1583" s="876">
        <v>1832</v>
      </c>
      <c r="C1583" s="876" t="s">
        <v>2620</v>
      </c>
      <c r="D1583" s="851">
        <v>737.35000600000001</v>
      </c>
    </row>
    <row r="1584" spans="2:4" x14ac:dyDescent="0.2">
      <c r="B1584" s="876">
        <v>1833</v>
      </c>
      <c r="C1584" s="876" t="s">
        <v>2621</v>
      </c>
      <c r="D1584" s="851">
        <v>761.69999199999995</v>
      </c>
    </row>
    <row r="1585" spans="2:4" x14ac:dyDescent="0.2">
      <c r="B1585" s="876">
        <v>1834</v>
      </c>
      <c r="C1585" s="876" t="s">
        <v>2622</v>
      </c>
      <c r="D1585" s="851">
        <v>746.80000299999995</v>
      </c>
    </row>
    <row r="1586" spans="2:4" x14ac:dyDescent="0.2">
      <c r="B1586" s="876">
        <v>1837</v>
      </c>
      <c r="C1586" s="876" t="s">
        <v>2623</v>
      </c>
      <c r="D1586" s="851">
        <v>612.79998799999998</v>
      </c>
    </row>
    <row r="1587" spans="2:4" x14ac:dyDescent="0.2">
      <c r="B1587" s="876">
        <v>1851</v>
      </c>
      <c r="C1587" s="876" t="s">
        <v>2624</v>
      </c>
      <c r="D1587" s="851">
        <v>908.94000200000005</v>
      </c>
    </row>
    <row r="1588" spans="2:4" x14ac:dyDescent="0.2">
      <c r="B1588" s="876">
        <v>1852</v>
      </c>
      <c r="C1588" s="876" t="s">
        <v>2625</v>
      </c>
      <c r="D1588" s="851">
        <v>851.59997599999997</v>
      </c>
    </row>
    <row r="1589" spans="2:4" x14ac:dyDescent="0.2">
      <c r="B1589" s="876">
        <v>1853</v>
      </c>
      <c r="C1589" s="876" t="s">
        <v>2626</v>
      </c>
      <c r="D1589" s="851">
        <v>920.2</v>
      </c>
    </row>
    <row r="1590" spans="2:4" x14ac:dyDescent="0.2">
      <c r="B1590" s="876">
        <v>1854</v>
      </c>
      <c r="C1590" s="876" t="s">
        <v>2627</v>
      </c>
      <c r="D1590" s="851">
        <v>885.96001000000001</v>
      </c>
    </row>
    <row r="1591" spans="2:4" x14ac:dyDescent="0.2">
      <c r="B1591" s="876">
        <v>1855</v>
      </c>
      <c r="C1591" s="876" t="s">
        <v>2628</v>
      </c>
      <c r="D1591" s="851">
        <v>812.34286099999997</v>
      </c>
    </row>
    <row r="1592" spans="2:4" x14ac:dyDescent="0.2">
      <c r="B1592" s="876">
        <v>1856</v>
      </c>
      <c r="C1592" s="876" t="s">
        <v>2629</v>
      </c>
      <c r="D1592" s="851">
        <v>815.883331</v>
      </c>
    </row>
    <row r="1593" spans="2:4" x14ac:dyDescent="0.2">
      <c r="B1593" s="876">
        <v>1857</v>
      </c>
      <c r="C1593" s="876" t="s">
        <v>2630</v>
      </c>
      <c r="D1593" s="851">
        <v>834.21999500000004</v>
      </c>
    </row>
    <row r="1594" spans="2:4" x14ac:dyDescent="0.2">
      <c r="B1594" s="876">
        <v>1858</v>
      </c>
      <c r="C1594" s="876" t="s">
        <v>2631</v>
      </c>
      <c r="D1594" s="851">
        <v>869.31667100000004</v>
      </c>
    </row>
    <row r="1595" spans="2:4" x14ac:dyDescent="0.2">
      <c r="B1595" s="876">
        <v>1859</v>
      </c>
      <c r="C1595" s="876" t="s">
        <v>2632</v>
      </c>
      <c r="D1595" s="851">
        <v>818.13334099999997</v>
      </c>
    </row>
    <row r="1596" spans="2:4" x14ac:dyDescent="0.2">
      <c r="B1596" s="876">
        <v>1860</v>
      </c>
      <c r="C1596" s="876" t="s">
        <v>2633</v>
      </c>
      <c r="D1596" s="851">
        <v>720.86666500000001</v>
      </c>
    </row>
    <row r="1597" spans="2:4" x14ac:dyDescent="0.2">
      <c r="B1597" s="876">
        <v>1861</v>
      </c>
      <c r="C1597" s="876" t="s">
        <v>2634</v>
      </c>
      <c r="D1597" s="851">
        <v>750.54285500000003</v>
      </c>
    </row>
    <row r="1598" spans="2:4" x14ac:dyDescent="0.2">
      <c r="B1598" s="876">
        <v>1862</v>
      </c>
      <c r="C1598" s="876" t="s">
        <v>2635</v>
      </c>
      <c r="D1598" s="851">
        <v>707.31667100000004</v>
      </c>
    </row>
    <row r="1599" spans="2:4" x14ac:dyDescent="0.2">
      <c r="B1599" s="876">
        <v>1863</v>
      </c>
      <c r="C1599" s="876" t="s">
        <v>2636</v>
      </c>
      <c r="D1599" s="851">
        <v>713.40002400000003</v>
      </c>
    </row>
    <row r="1600" spans="2:4" x14ac:dyDescent="0.2">
      <c r="B1600" s="876">
        <v>1864</v>
      </c>
      <c r="C1600" s="876" t="s">
        <v>2637</v>
      </c>
      <c r="D1600" s="851">
        <v>759.60001199999999</v>
      </c>
    </row>
    <row r="1601" spans="2:4" x14ac:dyDescent="0.2">
      <c r="B1601" s="876">
        <v>1865</v>
      </c>
      <c r="C1601" s="876" t="s">
        <v>2638</v>
      </c>
      <c r="D1601" s="851">
        <v>758.21667500000001</v>
      </c>
    </row>
    <row r="1602" spans="2:4" x14ac:dyDescent="0.2">
      <c r="B1602" s="876">
        <v>1866</v>
      </c>
      <c r="C1602" s="876" t="s">
        <v>2639</v>
      </c>
      <c r="D1602" s="851">
        <v>755.85998500000005</v>
      </c>
    </row>
    <row r="1603" spans="2:4" x14ac:dyDescent="0.2">
      <c r="B1603" s="876">
        <v>1867</v>
      </c>
      <c r="C1603" s="876" t="s">
        <v>2640</v>
      </c>
      <c r="D1603" s="851">
        <v>716.94999700000005</v>
      </c>
    </row>
    <row r="1604" spans="2:4" x14ac:dyDescent="0.2">
      <c r="B1604" s="876">
        <v>1868</v>
      </c>
      <c r="C1604" s="876" t="s">
        <v>2641</v>
      </c>
      <c r="D1604" s="851">
        <v>691.15000899999995</v>
      </c>
    </row>
    <row r="1605" spans="2:4" x14ac:dyDescent="0.2">
      <c r="B1605" s="876">
        <v>1869</v>
      </c>
      <c r="C1605" s="876" t="s">
        <v>2642</v>
      </c>
      <c r="D1605" s="851">
        <v>653.67500299999995</v>
      </c>
    </row>
    <row r="1606" spans="2:4" x14ac:dyDescent="0.2">
      <c r="B1606" s="876">
        <v>1870</v>
      </c>
      <c r="C1606" s="876" t="s">
        <v>2643</v>
      </c>
      <c r="D1606" s="851">
        <v>739.19999199999995</v>
      </c>
    </row>
    <row r="1607" spans="2:4" x14ac:dyDescent="0.2">
      <c r="B1607" s="876">
        <v>1871</v>
      </c>
      <c r="C1607" s="876" t="s">
        <v>2644</v>
      </c>
      <c r="D1607" s="851">
        <v>695.69999199999995</v>
      </c>
    </row>
    <row r="1608" spans="2:4" x14ac:dyDescent="0.2">
      <c r="B1608" s="876">
        <v>1872</v>
      </c>
      <c r="C1608" s="876" t="s">
        <v>2645</v>
      </c>
      <c r="D1608" s="851">
        <v>736.61999500000002</v>
      </c>
    </row>
    <row r="1609" spans="2:4" x14ac:dyDescent="0.2">
      <c r="B1609" s="876">
        <v>1873</v>
      </c>
      <c r="C1609" s="876" t="s">
        <v>2646</v>
      </c>
      <c r="D1609" s="851">
        <v>760.15000899999995</v>
      </c>
    </row>
    <row r="1610" spans="2:4" x14ac:dyDescent="0.2">
      <c r="B1610" s="876">
        <v>1874</v>
      </c>
      <c r="C1610" s="876" t="s">
        <v>2647</v>
      </c>
      <c r="D1610" s="851">
        <v>699.78666599999997</v>
      </c>
    </row>
    <row r="1611" spans="2:4" x14ac:dyDescent="0.2">
      <c r="B1611" s="876">
        <v>1875</v>
      </c>
      <c r="C1611" s="876" t="s">
        <v>2648</v>
      </c>
      <c r="D1611" s="851">
        <v>755.59997599999997</v>
      </c>
    </row>
    <row r="1612" spans="2:4" x14ac:dyDescent="0.2">
      <c r="B1612" s="876">
        <v>1876</v>
      </c>
      <c r="C1612" s="876" t="s">
        <v>2649</v>
      </c>
      <c r="D1612" s="851">
        <v>668.59000200000003</v>
      </c>
    </row>
    <row r="1613" spans="2:4" x14ac:dyDescent="0.2">
      <c r="B1613" s="876">
        <v>1877</v>
      </c>
      <c r="C1613" s="876" t="s">
        <v>2650</v>
      </c>
      <c r="D1613" s="851">
        <v>660.30001800000002</v>
      </c>
    </row>
    <row r="1614" spans="2:4" x14ac:dyDescent="0.2">
      <c r="B1614" s="876">
        <v>1878</v>
      </c>
      <c r="C1614" s="876" t="s">
        <v>2651</v>
      </c>
      <c r="D1614" s="851">
        <v>666.02000699999996</v>
      </c>
    </row>
    <row r="1615" spans="2:4" x14ac:dyDescent="0.2">
      <c r="B1615" s="876">
        <v>1879</v>
      </c>
      <c r="C1615" s="876" t="s">
        <v>2652</v>
      </c>
      <c r="D1615" s="851">
        <v>660.67142200000001</v>
      </c>
    </row>
    <row r="1616" spans="2:4" x14ac:dyDescent="0.2">
      <c r="B1616" s="876">
        <v>1880</v>
      </c>
      <c r="C1616" s="876" t="s">
        <v>2653</v>
      </c>
      <c r="D1616" s="851">
        <v>688.11999500000002</v>
      </c>
    </row>
    <row r="1617" spans="2:4" x14ac:dyDescent="0.2">
      <c r="B1617" s="876">
        <v>1881</v>
      </c>
      <c r="C1617" s="876" t="s">
        <v>2654</v>
      </c>
      <c r="D1617" s="851">
        <v>661.91333399999996</v>
      </c>
    </row>
    <row r="1618" spans="2:4" x14ac:dyDescent="0.2">
      <c r="B1618" s="876">
        <v>1882</v>
      </c>
      <c r="C1618" s="876" t="s">
        <v>2655</v>
      </c>
      <c r="D1618" s="851">
        <v>659.04000199999996</v>
      </c>
    </row>
    <row r="1619" spans="2:4" x14ac:dyDescent="0.2">
      <c r="B1619" s="876">
        <v>1883</v>
      </c>
      <c r="C1619" s="876" t="s">
        <v>2656</v>
      </c>
      <c r="D1619" s="851">
        <v>687.54999199999997</v>
      </c>
    </row>
    <row r="1620" spans="2:4" x14ac:dyDescent="0.2">
      <c r="B1620" s="876">
        <v>1884</v>
      </c>
      <c r="C1620" s="876" t="s">
        <v>2657</v>
      </c>
      <c r="D1620" s="851">
        <v>689.5</v>
      </c>
    </row>
    <row r="1621" spans="2:4" x14ac:dyDescent="0.2">
      <c r="B1621" s="876">
        <v>1885</v>
      </c>
      <c r="C1621" s="876" t="s">
        <v>2658</v>
      </c>
      <c r="D1621" s="851">
        <v>674.19000200000005</v>
      </c>
    </row>
    <row r="1622" spans="2:4" x14ac:dyDescent="0.2">
      <c r="B1622" s="876">
        <v>1886</v>
      </c>
      <c r="C1622" s="876" t="s">
        <v>2084</v>
      </c>
      <c r="D1622" s="851">
        <v>677.01000399999998</v>
      </c>
    </row>
    <row r="1623" spans="2:4" x14ac:dyDescent="0.2">
      <c r="B1623" s="876">
        <v>1887</v>
      </c>
      <c r="C1623" s="876" t="s">
        <v>351</v>
      </c>
      <c r="D1623" s="851">
        <v>646.17999899999995</v>
      </c>
    </row>
    <row r="1624" spans="2:4" x14ac:dyDescent="0.2">
      <c r="B1624" s="876">
        <v>1888</v>
      </c>
      <c r="C1624" s="876" t="s">
        <v>2659</v>
      </c>
      <c r="D1624" s="851">
        <v>643.05714599999999</v>
      </c>
    </row>
    <row r="1625" spans="2:4" x14ac:dyDescent="0.2">
      <c r="B1625" s="876">
        <v>1889</v>
      </c>
      <c r="C1625" s="876" t="s">
        <v>2660</v>
      </c>
      <c r="D1625" s="851">
        <v>641.29998799999998</v>
      </c>
    </row>
    <row r="1626" spans="2:4" x14ac:dyDescent="0.2">
      <c r="B1626" s="876">
        <v>1890</v>
      </c>
      <c r="C1626" s="876" t="s">
        <v>2661</v>
      </c>
      <c r="D1626" s="851">
        <v>646.05713800000001</v>
      </c>
    </row>
    <row r="1627" spans="2:4" x14ac:dyDescent="0.2">
      <c r="B1627" s="876">
        <v>1891</v>
      </c>
      <c r="C1627" s="876" t="s">
        <v>2662</v>
      </c>
      <c r="D1627" s="851">
        <v>680.76428199999998</v>
      </c>
    </row>
    <row r="1628" spans="2:4" x14ac:dyDescent="0.2">
      <c r="B1628" s="876">
        <v>1892</v>
      </c>
      <c r="C1628" s="876" t="s">
        <v>2663</v>
      </c>
      <c r="D1628" s="851">
        <v>746.46364000000005</v>
      </c>
    </row>
    <row r="1629" spans="2:4" x14ac:dyDescent="0.2">
      <c r="B1629" s="876">
        <v>1893</v>
      </c>
      <c r="C1629" s="876" t="s">
        <v>2664</v>
      </c>
      <c r="D1629" s="851">
        <v>675.71112100000005</v>
      </c>
    </row>
    <row r="1630" spans="2:4" x14ac:dyDescent="0.2">
      <c r="B1630" s="876">
        <v>1894</v>
      </c>
      <c r="C1630" s="876" t="s">
        <v>2665</v>
      </c>
      <c r="D1630" s="851">
        <v>728.84286099999997</v>
      </c>
    </row>
    <row r="1631" spans="2:4" x14ac:dyDescent="0.2">
      <c r="B1631" s="876">
        <v>1895</v>
      </c>
      <c r="C1631" s="876" t="s">
        <v>2666</v>
      </c>
      <c r="D1631" s="851">
        <v>733.79091000000005</v>
      </c>
    </row>
    <row r="1632" spans="2:4" x14ac:dyDescent="0.2">
      <c r="B1632" s="876">
        <v>1896</v>
      </c>
      <c r="C1632" s="876" t="s">
        <v>2667</v>
      </c>
      <c r="D1632" s="851">
        <v>744.91666699999996</v>
      </c>
    </row>
    <row r="1633" spans="2:4" x14ac:dyDescent="0.2">
      <c r="B1633" s="876">
        <v>1897</v>
      </c>
      <c r="C1633" s="876" t="s">
        <v>2668</v>
      </c>
      <c r="D1633" s="851">
        <v>773.33571500000005</v>
      </c>
    </row>
    <row r="1634" spans="2:4" x14ac:dyDescent="0.2">
      <c r="B1634" s="876">
        <v>1898</v>
      </c>
      <c r="C1634" s="876" t="s">
        <v>2669</v>
      </c>
      <c r="D1634" s="851">
        <v>820.67500299999995</v>
      </c>
    </row>
    <row r="1635" spans="2:4" x14ac:dyDescent="0.2">
      <c r="B1635" s="876">
        <v>1899</v>
      </c>
      <c r="C1635" s="876" t="s">
        <v>2670</v>
      </c>
      <c r="D1635" s="851">
        <v>859.61999500000002</v>
      </c>
    </row>
    <row r="1636" spans="2:4" x14ac:dyDescent="0.2">
      <c r="B1636" s="876">
        <v>1900</v>
      </c>
      <c r="C1636" s="876" t="s">
        <v>2671</v>
      </c>
      <c r="D1636" s="851">
        <v>857.34001499999999</v>
      </c>
    </row>
    <row r="1637" spans="2:4" x14ac:dyDescent="0.2">
      <c r="B1637" s="876">
        <v>1901</v>
      </c>
      <c r="C1637" s="876" t="s">
        <v>2672</v>
      </c>
      <c r="D1637" s="851">
        <v>844.771432</v>
      </c>
    </row>
    <row r="1638" spans="2:4" x14ac:dyDescent="0.2">
      <c r="B1638" s="876">
        <v>1902</v>
      </c>
      <c r="C1638" s="876" t="s">
        <v>2673</v>
      </c>
      <c r="D1638" s="851">
        <v>874.42499499999997</v>
      </c>
    </row>
    <row r="1639" spans="2:4" x14ac:dyDescent="0.2">
      <c r="B1639" s="876">
        <v>1903</v>
      </c>
      <c r="C1639" s="876" t="s">
        <v>2674</v>
      </c>
      <c r="D1639" s="851">
        <v>901.20001200000002</v>
      </c>
    </row>
    <row r="1640" spans="2:4" x14ac:dyDescent="0.2">
      <c r="B1640" s="876">
        <v>1904</v>
      </c>
      <c r="C1640" s="876" t="s">
        <v>2675</v>
      </c>
      <c r="D1640" s="851">
        <v>886.28462100000002</v>
      </c>
    </row>
    <row r="1641" spans="2:4" x14ac:dyDescent="0.2">
      <c r="B1641" s="876">
        <v>1905</v>
      </c>
      <c r="C1641" s="876" t="s">
        <v>2676</v>
      </c>
      <c r="D1641" s="851">
        <v>866.06154200000003</v>
      </c>
    </row>
    <row r="1642" spans="2:4" x14ac:dyDescent="0.2">
      <c r="B1642" s="876">
        <v>1906</v>
      </c>
      <c r="C1642" s="876" t="s">
        <v>2677</v>
      </c>
      <c r="D1642" s="851">
        <v>759.366669</v>
      </c>
    </row>
    <row r="1643" spans="2:4" x14ac:dyDescent="0.2">
      <c r="B1643" s="876">
        <v>1907</v>
      </c>
      <c r="C1643" s="876" t="s">
        <v>2678</v>
      </c>
      <c r="D1643" s="851">
        <v>775.26668299999994</v>
      </c>
    </row>
    <row r="1644" spans="2:4" x14ac:dyDescent="0.2">
      <c r="B1644" s="876">
        <v>1908</v>
      </c>
      <c r="C1644" s="876" t="s">
        <v>2679</v>
      </c>
      <c r="D1644" s="851">
        <v>786.39999399999999</v>
      </c>
    </row>
    <row r="1645" spans="2:4" x14ac:dyDescent="0.2">
      <c r="B1645" s="876">
        <v>1909</v>
      </c>
      <c r="C1645" s="876" t="s">
        <v>2680</v>
      </c>
      <c r="D1645" s="851">
        <v>763.29999299999997</v>
      </c>
    </row>
    <row r="1646" spans="2:4" x14ac:dyDescent="0.2">
      <c r="B1646" s="876">
        <v>1910</v>
      </c>
      <c r="C1646" s="876" t="s">
        <v>2681</v>
      </c>
      <c r="D1646" s="851">
        <v>775.90000399999997</v>
      </c>
    </row>
    <row r="1647" spans="2:4" x14ac:dyDescent="0.2">
      <c r="B1647" s="876">
        <v>1911</v>
      </c>
      <c r="C1647" s="876" t="s">
        <v>2682</v>
      </c>
      <c r="D1647" s="851">
        <v>775.63334099999997</v>
      </c>
    </row>
    <row r="1648" spans="2:4" x14ac:dyDescent="0.2">
      <c r="B1648" s="876">
        <v>1912</v>
      </c>
      <c r="C1648" s="876" t="s">
        <v>2683</v>
      </c>
      <c r="D1648" s="851">
        <v>796.64544699999999</v>
      </c>
    </row>
    <row r="1649" spans="2:4" x14ac:dyDescent="0.2">
      <c r="B1649" s="876">
        <v>1913</v>
      </c>
      <c r="C1649" s="876" t="s">
        <v>2684</v>
      </c>
      <c r="D1649" s="851">
        <v>748.7</v>
      </c>
    </row>
    <row r="1650" spans="2:4" x14ac:dyDescent="0.2">
      <c r="B1650" s="876">
        <v>1914</v>
      </c>
      <c r="C1650" s="876" t="s">
        <v>2685</v>
      </c>
      <c r="D1650" s="851">
        <v>830.92858000000001</v>
      </c>
    </row>
    <row r="1651" spans="2:4" x14ac:dyDescent="0.2">
      <c r="B1651" s="876">
        <v>1915</v>
      </c>
      <c r="C1651" s="876" t="s">
        <v>2686</v>
      </c>
      <c r="D1651" s="851">
        <v>879.15000899999995</v>
      </c>
    </row>
    <row r="1652" spans="2:4" x14ac:dyDescent="0.2">
      <c r="B1652" s="876">
        <v>1916</v>
      </c>
      <c r="C1652" s="876" t="s">
        <v>2687</v>
      </c>
      <c r="D1652" s="851">
        <v>826.29999799999996</v>
      </c>
    </row>
    <row r="1653" spans="2:4" x14ac:dyDescent="0.2">
      <c r="B1653" s="876">
        <v>1917</v>
      </c>
      <c r="C1653" s="876" t="s">
        <v>2688</v>
      </c>
      <c r="D1653" s="851">
        <v>881.580017</v>
      </c>
    </row>
    <row r="1654" spans="2:4" x14ac:dyDescent="0.2">
      <c r="B1654" s="876">
        <v>1918</v>
      </c>
      <c r="C1654" s="876" t="s">
        <v>2689</v>
      </c>
      <c r="D1654" s="851">
        <v>863.92498799999998</v>
      </c>
    </row>
    <row r="1655" spans="2:4" x14ac:dyDescent="0.2">
      <c r="B1655" s="876">
        <v>1919</v>
      </c>
      <c r="C1655" s="876" t="s">
        <v>2690</v>
      </c>
      <c r="D1655" s="851">
        <v>866.96665399999995</v>
      </c>
    </row>
    <row r="1656" spans="2:4" x14ac:dyDescent="0.2">
      <c r="B1656" s="876">
        <v>1920</v>
      </c>
      <c r="C1656" s="876" t="s">
        <v>2691</v>
      </c>
      <c r="D1656" s="851">
        <v>892.54998799999998</v>
      </c>
    </row>
    <row r="1657" spans="2:4" x14ac:dyDescent="0.2">
      <c r="B1657" s="876">
        <v>1921</v>
      </c>
      <c r="C1657" s="876" t="s">
        <v>2692</v>
      </c>
      <c r="D1657" s="851">
        <v>864</v>
      </c>
    </row>
    <row r="1658" spans="2:4" x14ac:dyDescent="0.2">
      <c r="B1658" s="876">
        <v>1922</v>
      </c>
      <c r="C1658" s="876" t="s">
        <v>2693</v>
      </c>
      <c r="D1658" s="851">
        <v>896.95001200000002</v>
      </c>
    </row>
    <row r="1659" spans="2:4" x14ac:dyDescent="0.2">
      <c r="B1659" s="876">
        <v>1923</v>
      </c>
      <c r="C1659" s="876" t="s">
        <v>2694</v>
      </c>
      <c r="D1659" s="851">
        <v>909.39999399999999</v>
      </c>
    </row>
    <row r="1660" spans="2:4" x14ac:dyDescent="0.2">
      <c r="B1660" s="876">
        <v>1924</v>
      </c>
      <c r="C1660" s="876" t="s">
        <v>2695</v>
      </c>
      <c r="D1660" s="851">
        <v>891.04999799999996</v>
      </c>
    </row>
    <row r="1661" spans="2:4" x14ac:dyDescent="0.2">
      <c r="B1661" s="876">
        <v>1925</v>
      </c>
      <c r="C1661" s="876" t="s">
        <v>2696</v>
      </c>
      <c r="D1661" s="851">
        <v>894.46666500000003</v>
      </c>
    </row>
    <row r="1662" spans="2:4" x14ac:dyDescent="0.2">
      <c r="B1662" s="876">
        <v>1926</v>
      </c>
      <c r="C1662" s="876" t="s">
        <v>2697</v>
      </c>
      <c r="D1662" s="851">
        <v>885.04286400000001</v>
      </c>
    </row>
    <row r="1663" spans="2:4" x14ac:dyDescent="0.2">
      <c r="B1663" s="876">
        <v>1927</v>
      </c>
      <c r="C1663" s="876" t="s">
        <v>2698</v>
      </c>
      <c r="D1663" s="851">
        <v>875.19998199999998</v>
      </c>
    </row>
    <row r="1664" spans="2:4" x14ac:dyDescent="0.2">
      <c r="B1664" s="876">
        <v>1928</v>
      </c>
      <c r="C1664" s="876" t="s">
        <v>2699</v>
      </c>
      <c r="D1664" s="851">
        <v>901.59997599999997</v>
      </c>
    </row>
    <row r="1665" spans="2:4" x14ac:dyDescent="0.2">
      <c r="B1665" s="876">
        <v>1929</v>
      </c>
      <c r="C1665" s="876" t="s">
        <v>2700</v>
      </c>
      <c r="D1665" s="851">
        <v>801.5</v>
      </c>
    </row>
    <row r="1666" spans="2:4" x14ac:dyDescent="0.2">
      <c r="B1666" s="876">
        <v>1930</v>
      </c>
      <c r="C1666" s="876" t="s">
        <v>2701</v>
      </c>
      <c r="D1666" s="851">
        <v>810.41999499999997</v>
      </c>
    </row>
    <row r="1667" spans="2:4" x14ac:dyDescent="0.2">
      <c r="B1667" s="876">
        <v>1931</v>
      </c>
      <c r="C1667" s="876" t="s">
        <v>2702</v>
      </c>
      <c r="D1667" s="851">
        <v>795.43332899999996</v>
      </c>
    </row>
    <row r="1668" spans="2:4" x14ac:dyDescent="0.2">
      <c r="B1668" s="876">
        <v>1932</v>
      </c>
      <c r="C1668" s="876" t="s">
        <v>2049</v>
      </c>
      <c r="D1668" s="851">
        <v>801.21818399999995</v>
      </c>
    </row>
    <row r="1669" spans="2:4" x14ac:dyDescent="0.2">
      <c r="B1669" s="876">
        <v>1933</v>
      </c>
      <c r="C1669" s="876" t="s">
        <v>2703</v>
      </c>
      <c r="D1669" s="851">
        <v>844.96667500000001</v>
      </c>
    </row>
    <row r="1670" spans="2:4" x14ac:dyDescent="0.2">
      <c r="B1670" s="876">
        <v>1934</v>
      </c>
      <c r="C1670" s="876" t="s">
        <v>2704</v>
      </c>
      <c r="D1670" s="851">
        <v>783.92498799999998</v>
      </c>
    </row>
    <row r="1671" spans="2:4" x14ac:dyDescent="0.2">
      <c r="B1671" s="876">
        <v>1935</v>
      </c>
      <c r="C1671" s="876" t="s">
        <v>2705</v>
      </c>
      <c r="D1671" s="851">
        <v>765.30000800000005</v>
      </c>
    </row>
    <row r="1672" spans="2:4" x14ac:dyDescent="0.2">
      <c r="B1672" s="876">
        <v>1936</v>
      </c>
      <c r="C1672" s="876" t="s">
        <v>2706</v>
      </c>
      <c r="D1672" s="851">
        <v>835.06250799999998</v>
      </c>
    </row>
    <row r="1673" spans="2:4" x14ac:dyDescent="0.2">
      <c r="B1673" s="876">
        <v>1937</v>
      </c>
      <c r="C1673" s="876" t="s">
        <v>2707</v>
      </c>
      <c r="D1673" s="851">
        <v>811.23500100000001</v>
      </c>
    </row>
    <row r="1674" spans="2:4" x14ac:dyDescent="0.2">
      <c r="B1674" s="876">
        <v>1938</v>
      </c>
      <c r="C1674" s="876" t="s">
        <v>2708</v>
      </c>
      <c r="D1674" s="851">
        <v>774.06667100000004</v>
      </c>
    </row>
    <row r="1675" spans="2:4" x14ac:dyDescent="0.2">
      <c r="B1675" s="876">
        <v>1939</v>
      </c>
      <c r="C1675" s="876" t="s">
        <v>2709</v>
      </c>
      <c r="D1675" s="851">
        <v>780.76999499999999</v>
      </c>
    </row>
    <row r="1676" spans="2:4" x14ac:dyDescent="0.2">
      <c r="B1676" s="876">
        <v>1940</v>
      </c>
      <c r="C1676" s="876" t="s">
        <v>2710</v>
      </c>
      <c r="D1676" s="851">
        <v>860.85000600000001</v>
      </c>
    </row>
    <row r="1677" spans="2:4" x14ac:dyDescent="0.2">
      <c r="B1677" s="876">
        <v>1941</v>
      </c>
      <c r="C1677" s="876" t="s">
        <v>2711</v>
      </c>
      <c r="D1677" s="851">
        <v>823.93500100000006</v>
      </c>
    </row>
    <row r="1678" spans="2:4" x14ac:dyDescent="0.2">
      <c r="B1678" s="876">
        <v>1942</v>
      </c>
      <c r="C1678" s="876" t="s">
        <v>2712</v>
      </c>
      <c r="D1678" s="851">
        <v>856.27500899999995</v>
      </c>
    </row>
    <row r="1679" spans="2:4" x14ac:dyDescent="0.2">
      <c r="B1679" s="876">
        <v>1943</v>
      </c>
      <c r="C1679" s="876" t="s">
        <v>2713</v>
      </c>
      <c r="D1679" s="851">
        <v>869.36998900000003</v>
      </c>
    </row>
    <row r="1680" spans="2:4" x14ac:dyDescent="0.2">
      <c r="B1680" s="876">
        <v>1944</v>
      </c>
      <c r="C1680" s="876" t="s">
        <v>2714</v>
      </c>
      <c r="D1680" s="851">
        <v>816.67142999999999</v>
      </c>
    </row>
    <row r="1681" spans="2:4" x14ac:dyDescent="0.2">
      <c r="B1681" s="876">
        <v>1945</v>
      </c>
      <c r="C1681" s="876" t="s">
        <v>2715</v>
      </c>
      <c r="D1681" s="851">
        <v>845.71250199999997</v>
      </c>
    </row>
    <row r="1682" spans="2:4" x14ac:dyDescent="0.2">
      <c r="B1682" s="876">
        <v>1946</v>
      </c>
      <c r="C1682" s="876" t="s">
        <v>2716</v>
      </c>
      <c r="D1682" s="851">
        <v>793.64999399999999</v>
      </c>
    </row>
    <row r="1683" spans="2:4" x14ac:dyDescent="0.2">
      <c r="B1683" s="876">
        <v>1947</v>
      </c>
      <c r="C1683" s="876" t="s">
        <v>2717</v>
      </c>
      <c r="D1683" s="851">
        <v>839.16666699999996</v>
      </c>
    </row>
    <row r="1684" spans="2:4" x14ac:dyDescent="0.2">
      <c r="B1684" s="876">
        <v>1948</v>
      </c>
      <c r="C1684" s="876" t="s">
        <v>2718</v>
      </c>
      <c r="D1684" s="851">
        <v>823.03333199999997</v>
      </c>
    </row>
    <row r="1685" spans="2:4" x14ac:dyDescent="0.2">
      <c r="B1685" s="876">
        <v>1949</v>
      </c>
      <c r="C1685" s="876" t="s">
        <v>2719</v>
      </c>
      <c r="D1685" s="851">
        <v>778.58333300000004</v>
      </c>
    </row>
    <row r="1686" spans="2:4" x14ac:dyDescent="0.2">
      <c r="B1686" s="876">
        <v>1950</v>
      </c>
      <c r="C1686" s="876" t="s">
        <v>2720</v>
      </c>
      <c r="D1686" s="851">
        <v>804.09999300000004</v>
      </c>
    </row>
    <row r="1687" spans="2:4" x14ac:dyDescent="0.2">
      <c r="B1687" s="876">
        <v>1951</v>
      </c>
      <c r="C1687" s="876" t="s">
        <v>2721</v>
      </c>
      <c r="D1687" s="851">
        <v>771.83635400000003</v>
      </c>
    </row>
    <row r="1688" spans="2:4" x14ac:dyDescent="0.2">
      <c r="B1688" s="876">
        <v>1952</v>
      </c>
      <c r="C1688" s="876" t="s">
        <v>2722</v>
      </c>
      <c r="D1688" s="851">
        <v>751.19998799999996</v>
      </c>
    </row>
    <row r="1689" spans="2:4" x14ac:dyDescent="0.2">
      <c r="B1689" s="876">
        <v>1953</v>
      </c>
      <c r="C1689" s="876" t="s">
        <v>2723</v>
      </c>
      <c r="D1689" s="851">
        <v>743.66668700000002</v>
      </c>
    </row>
    <row r="1690" spans="2:4" x14ac:dyDescent="0.2">
      <c r="B1690" s="876">
        <v>1954</v>
      </c>
      <c r="C1690" s="876" t="s">
        <v>2724</v>
      </c>
      <c r="D1690" s="851">
        <v>756.93330900000001</v>
      </c>
    </row>
    <row r="1691" spans="2:4" x14ac:dyDescent="0.2">
      <c r="B1691" s="876">
        <v>1955</v>
      </c>
      <c r="C1691" s="876" t="s">
        <v>2725</v>
      </c>
      <c r="D1691" s="851">
        <v>722.88888899999995</v>
      </c>
    </row>
    <row r="1692" spans="2:4" x14ac:dyDescent="0.2">
      <c r="B1692" s="876">
        <v>1956</v>
      </c>
      <c r="C1692" s="876" t="s">
        <v>2726</v>
      </c>
      <c r="D1692" s="851">
        <v>767.30713800000001</v>
      </c>
    </row>
    <row r="1693" spans="2:4" x14ac:dyDescent="0.2">
      <c r="B1693" s="876">
        <v>1957</v>
      </c>
      <c r="C1693" s="876" t="s">
        <v>2727</v>
      </c>
      <c r="D1693" s="851">
        <v>691.46000400000003</v>
      </c>
    </row>
    <row r="1694" spans="2:4" x14ac:dyDescent="0.2">
      <c r="B1694" s="876">
        <v>1958</v>
      </c>
      <c r="C1694" s="876" t="s">
        <v>2728</v>
      </c>
      <c r="D1694" s="851">
        <v>704.06000400000005</v>
      </c>
    </row>
    <row r="1695" spans="2:4" x14ac:dyDescent="0.2">
      <c r="B1695" s="876">
        <v>1959</v>
      </c>
      <c r="C1695" s="876" t="s">
        <v>2729</v>
      </c>
      <c r="D1695" s="851">
        <v>694.14999399999999</v>
      </c>
    </row>
    <row r="1696" spans="2:4" x14ac:dyDescent="0.2">
      <c r="B1696" s="876">
        <v>1960</v>
      </c>
      <c r="C1696" s="876" t="s">
        <v>2730</v>
      </c>
      <c r="D1696" s="851">
        <v>705.57999299999994</v>
      </c>
    </row>
    <row r="1697" spans="2:4" x14ac:dyDescent="0.2">
      <c r="B1697" s="876">
        <v>1961</v>
      </c>
      <c r="C1697" s="876" t="s">
        <v>2731</v>
      </c>
      <c r="D1697" s="851">
        <v>717.77500199999997</v>
      </c>
    </row>
    <row r="1698" spans="2:4" x14ac:dyDescent="0.2">
      <c r="B1698" s="876">
        <v>1962</v>
      </c>
      <c r="C1698" s="876" t="s">
        <v>2732</v>
      </c>
      <c r="D1698" s="851">
        <v>822.66666699999996</v>
      </c>
    </row>
    <row r="1699" spans="2:4" x14ac:dyDescent="0.2">
      <c r="B1699" s="876">
        <v>1963</v>
      </c>
      <c r="C1699" s="876" t="s">
        <v>2733</v>
      </c>
      <c r="D1699" s="851">
        <v>659.13332100000002</v>
      </c>
    </row>
    <row r="1700" spans="2:4" x14ac:dyDescent="0.2">
      <c r="B1700" s="876">
        <v>1964</v>
      </c>
      <c r="C1700" s="876" t="s">
        <v>2734</v>
      </c>
      <c r="D1700" s="851">
        <v>695</v>
      </c>
    </row>
    <row r="1701" spans="2:4" x14ac:dyDescent="0.2">
      <c r="B1701" s="876">
        <v>1965</v>
      </c>
      <c r="C1701" s="876" t="s">
        <v>2735</v>
      </c>
      <c r="D1701" s="851">
        <v>672.61764700000003</v>
      </c>
    </row>
    <row r="1702" spans="2:4" x14ac:dyDescent="0.2">
      <c r="B1702" s="876">
        <v>1966</v>
      </c>
      <c r="C1702" s="876" t="s">
        <v>2736</v>
      </c>
      <c r="D1702" s="851">
        <v>772.01249700000005</v>
      </c>
    </row>
    <row r="1703" spans="2:4" x14ac:dyDescent="0.2">
      <c r="B1703" s="876">
        <v>1967</v>
      </c>
      <c r="C1703" s="876" t="s">
        <v>2737</v>
      </c>
      <c r="D1703" s="851">
        <v>683.47142699999995</v>
      </c>
    </row>
    <row r="1704" spans="2:4" x14ac:dyDescent="0.2">
      <c r="B1704" s="876">
        <v>1968</v>
      </c>
      <c r="C1704" s="876" t="s">
        <v>2738</v>
      </c>
      <c r="D1704" s="851">
        <v>678.70001200000002</v>
      </c>
    </row>
    <row r="1705" spans="2:4" x14ac:dyDescent="0.2">
      <c r="B1705" s="876">
        <v>1969</v>
      </c>
      <c r="C1705" s="876" t="s">
        <v>2739</v>
      </c>
      <c r="D1705" s="851">
        <v>708.73333700000001</v>
      </c>
    </row>
    <row r="1706" spans="2:4" x14ac:dyDescent="0.2">
      <c r="B1706" s="876">
        <v>1970</v>
      </c>
      <c r="C1706" s="876" t="s">
        <v>2740</v>
      </c>
      <c r="D1706" s="851">
        <v>676.18823199999997</v>
      </c>
    </row>
    <row r="1707" spans="2:4" x14ac:dyDescent="0.2">
      <c r="B1707" s="876">
        <v>1971</v>
      </c>
      <c r="C1707" s="876" t="s">
        <v>2741</v>
      </c>
      <c r="D1707" s="851">
        <v>681.10000300000002</v>
      </c>
    </row>
    <row r="1708" spans="2:4" x14ac:dyDescent="0.2">
      <c r="B1708" s="876">
        <v>1972</v>
      </c>
      <c r="C1708" s="876" t="s">
        <v>2742</v>
      </c>
      <c r="D1708" s="851">
        <v>711.63334099999997</v>
      </c>
    </row>
    <row r="1709" spans="2:4" x14ac:dyDescent="0.2">
      <c r="B1709" s="876">
        <v>1973</v>
      </c>
      <c r="C1709" s="876" t="s">
        <v>2743</v>
      </c>
      <c r="D1709" s="851">
        <v>687.29000499999995</v>
      </c>
    </row>
    <row r="1710" spans="2:4" x14ac:dyDescent="0.2">
      <c r="B1710" s="876">
        <v>1974</v>
      </c>
      <c r="C1710" s="876" t="s">
        <v>2744</v>
      </c>
      <c r="D1710" s="851">
        <v>671.43333900000005</v>
      </c>
    </row>
    <row r="1711" spans="2:4" x14ac:dyDescent="0.2">
      <c r="B1711" s="876">
        <v>1975</v>
      </c>
      <c r="C1711" s="876" t="s">
        <v>2745</v>
      </c>
      <c r="D1711" s="851">
        <v>654.19999700000005</v>
      </c>
    </row>
    <row r="1712" spans="2:4" x14ac:dyDescent="0.2">
      <c r="B1712" s="876">
        <v>1976</v>
      </c>
      <c r="C1712" s="876" t="s">
        <v>2746</v>
      </c>
      <c r="D1712" s="851">
        <v>656.5</v>
      </c>
    </row>
    <row r="1713" spans="2:4" x14ac:dyDescent="0.2">
      <c r="B1713" s="876">
        <v>1977</v>
      </c>
      <c r="C1713" s="876" t="s">
        <v>2747</v>
      </c>
      <c r="D1713" s="851">
        <v>679.36666500000001</v>
      </c>
    </row>
    <row r="1714" spans="2:4" x14ac:dyDescent="0.2">
      <c r="B1714" s="876">
        <v>1978</v>
      </c>
      <c r="C1714" s="876" t="s">
        <v>2748</v>
      </c>
      <c r="D1714" s="851">
        <v>689.00769500000001</v>
      </c>
    </row>
    <row r="1715" spans="2:4" x14ac:dyDescent="0.2">
      <c r="B1715" s="876">
        <v>1979</v>
      </c>
      <c r="C1715" s="876" t="s">
        <v>2749</v>
      </c>
      <c r="D1715" s="851">
        <v>688.06001000000003</v>
      </c>
    </row>
    <row r="1716" spans="2:4" x14ac:dyDescent="0.2">
      <c r="B1716" s="876">
        <v>1980</v>
      </c>
      <c r="C1716" s="876" t="s">
        <v>2750</v>
      </c>
      <c r="D1716" s="851">
        <v>685.77499399999999</v>
      </c>
    </row>
    <row r="1717" spans="2:4" x14ac:dyDescent="0.2">
      <c r="B1717" s="876">
        <v>1981</v>
      </c>
      <c r="C1717" s="876" t="s">
        <v>2751</v>
      </c>
      <c r="D1717" s="851">
        <v>703.17498799999998</v>
      </c>
    </row>
    <row r="1718" spans="2:4" x14ac:dyDescent="0.2">
      <c r="B1718" s="876">
        <v>1982</v>
      </c>
      <c r="C1718" s="876" t="s">
        <v>2752</v>
      </c>
      <c r="D1718" s="851">
        <v>691.46667500000001</v>
      </c>
    </row>
    <row r="1719" spans="2:4" x14ac:dyDescent="0.2">
      <c r="B1719" s="876">
        <v>1983</v>
      </c>
      <c r="C1719" s="876" t="s">
        <v>2753</v>
      </c>
      <c r="D1719" s="851">
        <v>663.625</v>
      </c>
    </row>
    <row r="1720" spans="2:4" x14ac:dyDescent="0.2">
      <c r="B1720" s="876">
        <v>1984</v>
      </c>
      <c r="C1720" s="876" t="s">
        <v>2754</v>
      </c>
      <c r="D1720" s="851">
        <v>910.60001199999999</v>
      </c>
    </row>
    <row r="1721" spans="2:4" x14ac:dyDescent="0.2">
      <c r="B1721" s="876">
        <v>1985</v>
      </c>
      <c r="C1721" s="876" t="s">
        <v>2755</v>
      </c>
      <c r="D1721" s="851">
        <v>887.54499499999997</v>
      </c>
    </row>
    <row r="1722" spans="2:4" x14ac:dyDescent="0.2">
      <c r="B1722" s="876">
        <v>1986</v>
      </c>
      <c r="C1722" s="876" t="s">
        <v>2756</v>
      </c>
      <c r="D1722" s="851">
        <v>879.48333200000002</v>
      </c>
    </row>
    <row r="1723" spans="2:4" x14ac:dyDescent="0.2">
      <c r="B1723" s="876">
        <v>2001</v>
      </c>
      <c r="C1723" s="876" t="s">
        <v>2757</v>
      </c>
      <c r="D1723" s="851">
        <v>701.76153599999998</v>
      </c>
    </row>
    <row r="1724" spans="2:4" x14ac:dyDescent="0.2">
      <c r="B1724" s="876">
        <v>2002</v>
      </c>
      <c r="C1724" s="876" t="s">
        <v>2758</v>
      </c>
      <c r="D1724" s="851">
        <v>675.71110699999997</v>
      </c>
    </row>
    <row r="1725" spans="2:4" x14ac:dyDescent="0.2">
      <c r="B1725" s="876">
        <v>2003</v>
      </c>
      <c r="C1725" s="876" t="s">
        <v>2415</v>
      </c>
      <c r="D1725" s="851">
        <v>695.59997599999997</v>
      </c>
    </row>
    <row r="1726" spans="2:4" x14ac:dyDescent="0.2">
      <c r="B1726" s="876">
        <v>2004</v>
      </c>
      <c r="C1726" s="876" t="s">
        <v>2759</v>
      </c>
      <c r="D1726" s="851">
        <v>694.32857000000001</v>
      </c>
    </row>
    <row r="1727" spans="2:4" x14ac:dyDescent="0.2">
      <c r="B1727" s="876">
        <v>2005</v>
      </c>
      <c r="C1727" s="876" t="s">
        <v>2760</v>
      </c>
      <c r="D1727" s="851">
        <v>681.33333300000004</v>
      </c>
    </row>
    <row r="1728" spans="2:4" x14ac:dyDescent="0.2">
      <c r="B1728" s="876">
        <v>2006</v>
      </c>
      <c r="C1728" s="876" t="s">
        <v>2761</v>
      </c>
      <c r="D1728" s="851">
        <v>675.22000700000001</v>
      </c>
    </row>
    <row r="1729" spans="2:4" x14ac:dyDescent="0.2">
      <c r="B1729" s="876">
        <v>2007</v>
      </c>
      <c r="C1729" s="876" t="s">
        <v>1213</v>
      </c>
      <c r="D1729" s="851">
        <v>708.35000600000001</v>
      </c>
    </row>
    <row r="1730" spans="2:4" x14ac:dyDescent="0.2">
      <c r="B1730" s="876">
        <v>2008</v>
      </c>
      <c r="C1730" s="876" t="s">
        <v>2762</v>
      </c>
      <c r="D1730" s="851">
        <v>660.81667100000004</v>
      </c>
    </row>
    <row r="1731" spans="2:4" x14ac:dyDescent="0.2">
      <c r="B1731" s="876">
        <v>2009</v>
      </c>
      <c r="C1731" s="876" t="s">
        <v>2763</v>
      </c>
      <c r="D1731" s="851">
        <v>704.32499700000005</v>
      </c>
    </row>
    <row r="1732" spans="2:4" x14ac:dyDescent="0.2">
      <c r="B1732" s="876">
        <v>2010</v>
      </c>
      <c r="C1732" s="876" t="s">
        <v>2764</v>
      </c>
      <c r="D1732" s="851">
        <v>685.40002400000003</v>
      </c>
    </row>
    <row r="1733" spans="2:4" x14ac:dyDescent="0.2">
      <c r="B1733" s="876">
        <v>2011</v>
      </c>
      <c r="C1733" s="876" t="s">
        <v>2765</v>
      </c>
      <c r="D1733" s="851">
        <v>723.30001800000002</v>
      </c>
    </row>
    <row r="1734" spans="2:4" x14ac:dyDescent="0.2">
      <c r="B1734" s="876">
        <v>2012</v>
      </c>
      <c r="C1734" s="876" t="s">
        <v>2675</v>
      </c>
      <c r="D1734" s="851">
        <v>683.40000399999997</v>
      </c>
    </row>
    <row r="1735" spans="2:4" x14ac:dyDescent="0.2">
      <c r="B1735" s="876">
        <v>2013</v>
      </c>
      <c r="C1735" s="876" t="s">
        <v>2766</v>
      </c>
      <c r="D1735" s="851">
        <v>665.45715299999995</v>
      </c>
    </row>
    <row r="1736" spans="2:4" x14ac:dyDescent="0.2">
      <c r="B1736" s="876">
        <v>2014</v>
      </c>
      <c r="C1736" s="876" t="s">
        <v>2767</v>
      </c>
      <c r="D1736" s="851">
        <v>729.52499399999999</v>
      </c>
    </row>
    <row r="1737" spans="2:4" x14ac:dyDescent="0.2">
      <c r="B1737" s="876">
        <v>2015</v>
      </c>
      <c r="C1737" s="876" t="s">
        <v>2768</v>
      </c>
      <c r="D1737" s="851">
        <v>721.77500899999995</v>
      </c>
    </row>
    <row r="1738" spans="2:4" x14ac:dyDescent="0.2">
      <c r="B1738" s="876">
        <v>2016</v>
      </c>
      <c r="C1738" s="876" t="s">
        <v>2666</v>
      </c>
      <c r="D1738" s="851">
        <v>620.10000600000001</v>
      </c>
    </row>
    <row r="1739" spans="2:4" x14ac:dyDescent="0.2">
      <c r="B1739" s="876">
        <v>2017</v>
      </c>
      <c r="C1739" s="876" t="s">
        <v>2769</v>
      </c>
      <c r="D1739" s="851">
        <v>738.20001200000002</v>
      </c>
    </row>
    <row r="1740" spans="2:4" x14ac:dyDescent="0.2">
      <c r="B1740" s="876">
        <v>2018</v>
      </c>
      <c r="C1740" s="876" t="s">
        <v>2770</v>
      </c>
      <c r="D1740" s="851">
        <v>723.36665900000003</v>
      </c>
    </row>
    <row r="1741" spans="2:4" x14ac:dyDescent="0.2">
      <c r="B1741" s="876">
        <v>2019</v>
      </c>
      <c r="C1741" s="876" t="s">
        <v>2771</v>
      </c>
      <c r="D1741" s="851">
        <v>717.22500600000001</v>
      </c>
    </row>
    <row r="1742" spans="2:4" x14ac:dyDescent="0.2">
      <c r="B1742" s="876">
        <v>2020</v>
      </c>
      <c r="C1742" s="876" t="s">
        <v>2772</v>
      </c>
      <c r="D1742" s="851">
        <v>794.26667299999997</v>
      </c>
    </row>
    <row r="1743" spans="2:4" x14ac:dyDescent="0.2">
      <c r="B1743" s="876">
        <v>2021</v>
      </c>
      <c r="C1743" s="876" t="s">
        <v>2773</v>
      </c>
      <c r="D1743" s="851">
        <v>734.14000199999998</v>
      </c>
    </row>
    <row r="1744" spans="2:4" x14ac:dyDescent="0.2">
      <c r="B1744" s="876">
        <v>2022</v>
      </c>
      <c r="C1744" s="876" t="s">
        <v>2774</v>
      </c>
      <c r="D1744" s="851">
        <v>729.07500500000003</v>
      </c>
    </row>
    <row r="1745" spans="2:4" x14ac:dyDescent="0.2">
      <c r="B1745" s="876">
        <v>2023</v>
      </c>
      <c r="C1745" s="876" t="s">
        <v>2775</v>
      </c>
      <c r="D1745" s="851">
        <v>807.17500299999995</v>
      </c>
    </row>
    <row r="1746" spans="2:4" x14ac:dyDescent="0.2">
      <c r="B1746" s="876">
        <v>2024</v>
      </c>
      <c r="C1746" s="876" t="s">
        <v>2776</v>
      </c>
      <c r="D1746" s="851">
        <v>777.66665999999998</v>
      </c>
    </row>
    <row r="1747" spans="2:4" x14ac:dyDescent="0.2">
      <c r="B1747" s="876">
        <v>2025</v>
      </c>
      <c r="C1747" s="876" t="s">
        <v>2777</v>
      </c>
      <c r="D1747" s="851">
        <v>848.88000499999998</v>
      </c>
    </row>
    <row r="1748" spans="2:4" x14ac:dyDescent="0.2">
      <c r="B1748" s="876">
        <v>2027</v>
      </c>
      <c r="C1748" s="876" t="s">
        <v>2778</v>
      </c>
      <c r="D1748" s="851">
        <v>663.26316399999996</v>
      </c>
    </row>
    <row r="1749" spans="2:4" x14ac:dyDescent="0.2">
      <c r="B1749" s="876">
        <v>2028</v>
      </c>
      <c r="C1749" s="876" t="s">
        <v>2779</v>
      </c>
      <c r="D1749" s="851">
        <v>630.50666100000001</v>
      </c>
    </row>
    <row r="1750" spans="2:4" x14ac:dyDescent="0.2">
      <c r="B1750" s="876">
        <v>2029</v>
      </c>
      <c r="C1750" s="876" t="s">
        <v>2780</v>
      </c>
      <c r="D1750" s="851">
        <v>639.64998800000001</v>
      </c>
    </row>
    <row r="1751" spans="2:4" x14ac:dyDescent="0.2">
      <c r="B1751" s="876">
        <v>2030</v>
      </c>
      <c r="C1751" s="876" t="s">
        <v>2781</v>
      </c>
      <c r="D1751" s="851">
        <v>916.15000899999995</v>
      </c>
    </row>
    <row r="1752" spans="2:4" x14ac:dyDescent="0.2">
      <c r="B1752" s="876">
        <v>2031</v>
      </c>
      <c r="C1752" s="876" t="s">
        <v>2782</v>
      </c>
      <c r="D1752" s="851">
        <v>715.52856399999996</v>
      </c>
    </row>
    <row r="1753" spans="2:4" x14ac:dyDescent="0.2">
      <c r="B1753" s="876">
        <v>2032</v>
      </c>
      <c r="C1753" s="876" t="s">
        <v>2783</v>
      </c>
      <c r="D1753" s="851">
        <v>703.17776800000001</v>
      </c>
    </row>
    <row r="1754" spans="2:4" x14ac:dyDescent="0.2">
      <c r="B1754" s="876">
        <v>2033</v>
      </c>
      <c r="C1754" s="876" t="s">
        <v>2784</v>
      </c>
      <c r="D1754" s="851">
        <v>677.50000399999999</v>
      </c>
    </row>
    <row r="1755" spans="2:4" x14ac:dyDescent="0.2">
      <c r="B1755" s="876">
        <v>2034</v>
      </c>
      <c r="C1755" s="876" t="s">
        <v>2785</v>
      </c>
      <c r="D1755" s="851">
        <v>729.04375800000003</v>
      </c>
    </row>
    <row r="1756" spans="2:4" x14ac:dyDescent="0.2">
      <c r="B1756" s="876">
        <v>2035</v>
      </c>
      <c r="C1756" s="876" t="s">
        <v>2786</v>
      </c>
      <c r="D1756" s="851">
        <v>643.95001200000002</v>
      </c>
    </row>
    <row r="1757" spans="2:4" x14ac:dyDescent="0.2">
      <c r="B1757" s="876">
        <v>2036</v>
      </c>
      <c r="C1757" s="876" t="s">
        <v>2787</v>
      </c>
      <c r="D1757" s="851">
        <v>662.20001200000002</v>
      </c>
    </row>
    <row r="1758" spans="2:4" x14ac:dyDescent="0.2">
      <c r="B1758" s="876">
        <v>2037</v>
      </c>
      <c r="C1758" s="876" t="s">
        <v>2788</v>
      </c>
      <c r="D1758" s="851">
        <v>637.40002400000003</v>
      </c>
    </row>
    <row r="1759" spans="2:4" x14ac:dyDescent="0.2">
      <c r="B1759" s="876">
        <v>2038</v>
      </c>
      <c r="C1759" s="876" t="s">
        <v>2789</v>
      </c>
      <c r="D1759" s="851">
        <v>673.19166099999995</v>
      </c>
    </row>
    <row r="1760" spans="2:4" x14ac:dyDescent="0.2">
      <c r="B1760" s="876">
        <v>2039</v>
      </c>
      <c r="C1760" s="876" t="s">
        <v>2790</v>
      </c>
      <c r="D1760" s="851">
        <v>632.86665900000003</v>
      </c>
    </row>
    <row r="1761" spans="2:4" x14ac:dyDescent="0.2">
      <c r="B1761" s="876">
        <v>2040</v>
      </c>
      <c r="C1761" s="876" t="s">
        <v>2791</v>
      </c>
      <c r="D1761" s="851">
        <v>611.79998799999998</v>
      </c>
    </row>
    <row r="1762" spans="2:4" x14ac:dyDescent="0.2">
      <c r="B1762" s="876">
        <v>2041</v>
      </c>
      <c r="C1762" s="876" t="s">
        <v>2792</v>
      </c>
      <c r="D1762" s="851">
        <v>563.70001200000002</v>
      </c>
    </row>
    <row r="1763" spans="2:4" x14ac:dyDescent="0.2">
      <c r="B1763" s="876">
        <v>2042</v>
      </c>
      <c r="C1763" s="876" t="s">
        <v>2793</v>
      </c>
      <c r="D1763" s="851">
        <v>563.42501800000002</v>
      </c>
    </row>
    <row r="1764" spans="2:4" x14ac:dyDescent="0.2">
      <c r="B1764" s="876">
        <v>2043</v>
      </c>
      <c r="C1764" s="876" t="s">
        <v>2794</v>
      </c>
      <c r="D1764" s="851">
        <v>637.06666099999995</v>
      </c>
    </row>
    <row r="1765" spans="2:4" x14ac:dyDescent="0.2">
      <c r="B1765" s="876">
        <v>2044</v>
      </c>
      <c r="C1765" s="876" t="s">
        <v>2795</v>
      </c>
      <c r="D1765" s="851">
        <v>677.32000700000003</v>
      </c>
    </row>
    <row r="1766" spans="2:4" x14ac:dyDescent="0.2">
      <c r="B1766" s="876">
        <v>2045</v>
      </c>
      <c r="C1766" s="876" t="s">
        <v>2796</v>
      </c>
      <c r="D1766" s="851">
        <v>648.50588500000003</v>
      </c>
    </row>
    <row r="1767" spans="2:4" x14ac:dyDescent="0.2">
      <c r="B1767" s="876">
        <v>2046</v>
      </c>
      <c r="C1767" s="876" t="s">
        <v>2797</v>
      </c>
      <c r="D1767" s="851">
        <v>912.01304000000005</v>
      </c>
    </row>
    <row r="1768" spans="2:4" x14ac:dyDescent="0.2">
      <c r="B1768" s="876">
        <v>2047</v>
      </c>
      <c r="C1768" s="876" t="s">
        <v>2798</v>
      </c>
      <c r="D1768" s="851">
        <v>935.71111399999995</v>
      </c>
    </row>
    <row r="1769" spans="2:4" x14ac:dyDescent="0.2">
      <c r="B1769" s="876">
        <v>2048</v>
      </c>
      <c r="C1769" s="876" t="s">
        <v>2799</v>
      </c>
      <c r="D1769" s="851">
        <v>902.66000399999996</v>
      </c>
    </row>
    <row r="1770" spans="2:4" x14ac:dyDescent="0.2">
      <c r="B1770" s="876">
        <v>2049</v>
      </c>
      <c r="C1770" s="876" t="s">
        <v>2800</v>
      </c>
      <c r="D1770" s="851">
        <v>775.49998800000003</v>
      </c>
    </row>
    <row r="1771" spans="2:4" x14ac:dyDescent="0.2">
      <c r="B1771" s="876">
        <v>2050</v>
      </c>
      <c r="C1771" s="876" t="s">
        <v>2801</v>
      </c>
      <c r="D1771" s="851">
        <v>840.59997599999997</v>
      </c>
    </row>
    <row r="1772" spans="2:4" x14ac:dyDescent="0.2">
      <c r="B1772" s="876">
        <v>2051</v>
      </c>
      <c r="C1772" s="876" t="s">
        <v>2802</v>
      </c>
      <c r="D1772" s="851">
        <v>787.49998000000005</v>
      </c>
    </row>
    <row r="1773" spans="2:4" x14ac:dyDescent="0.2">
      <c r="B1773" s="876">
        <v>2052</v>
      </c>
      <c r="C1773" s="876" t="s">
        <v>2803</v>
      </c>
      <c r="D1773" s="851">
        <v>809.85833200000002</v>
      </c>
    </row>
    <row r="1774" spans="2:4" x14ac:dyDescent="0.2">
      <c r="B1774" s="876">
        <v>2053</v>
      </c>
      <c r="C1774" s="876" t="s">
        <v>2804</v>
      </c>
      <c r="D1774" s="851">
        <v>688.32857000000001</v>
      </c>
    </row>
    <row r="1775" spans="2:4" x14ac:dyDescent="0.2">
      <c r="B1775" s="876">
        <v>2054</v>
      </c>
      <c r="C1775" s="876" t="s">
        <v>2805</v>
      </c>
      <c r="D1775" s="851">
        <v>701.82999299999994</v>
      </c>
    </row>
    <row r="1776" spans="2:4" x14ac:dyDescent="0.2">
      <c r="B1776" s="876">
        <v>2055</v>
      </c>
      <c r="C1776" s="876" t="s">
        <v>2806</v>
      </c>
      <c r="D1776" s="851">
        <v>658.13334099999997</v>
      </c>
    </row>
    <row r="1777" spans="2:4" x14ac:dyDescent="0.2">
      <c r="B1777" s="876">
        <v>2056</v>
      </c>
      <c r="C1777" s="876" t="s">
        <v>2807</v>
      </c>
      <c r="D1777" s="851">
        <v>1069.392857</v>
      </c>
    </row>
    <row r="1778" spans="2:4" x14ac:dyDescent="0.2">
      <c r="B1778" s="876">
        <v>2057</v>
      </c>
      <c r="C1778" s="876" t="s">
        <v>2808</v>
      </c>
      <c r="D1778" s="851">
        <v>1031.5500179999999</v>
      </c>
    </row>
    <row r="1779" spans="2:4" x14ac:dyDescent="0.2">
      <c r="B1779" s="876">
        <v>2058</v>
      </c>
      <c r="C1779" s="876" t="s">
        <v>2809</v>
      </c>
      <c r="D1779" s="851">
        <v>1031.355564</v>
      </c>
    </row>
    <row r="1780" spans="2:4" x14ac:dyDescent="0.2">
      <c r="B1780" s="876">
        <v>2059</v>
      </c>
      <c r="C1780" s="876" t="s">
        <v>2810</v>
      </c>
      <c r="D1780" s="851">
        <v>1067.500041</v>
      </c>
    </row>
    <row r="1781" spans="2:4" x14ac:dyDescent="0.2">
      <c r="B1781" s="876">
        <v>2060</v>
      </c>
      <c r="C1781" s="876" t="s">
        <v>2811</v>
      </c>
      <c r="D1781" s="851">
        <v>959.17332799999997</v>
      </c>
    </row>
    <row r="1782" spans="2:4" x14ac:dyDescent="0.2">
      <c r="B1782" s="876">
        <v>2061</v>
      </c>
      <c r="C1782" s="876" t="s">
        <v>2812</v>
      </c>
      <c r="D1782" s="851">
        <v>909.53636600000004</v>
      </c>
    </row>
    <row r="1783" spans="2:4" x14ac:dyDescent="0.2">
      <c r="B1783" s="876">
        <v>2062</v>
      </c>
      <c r="C1783" s="876" t="s">
        <v>2813</v>
      </c>
      <c r="D1783" s="851">
        <v>924.75</v>
      </c>
    </row>
    <row r="1784" spans="2:4" x14ac:dyDescent="0.2">
      <c r="B1784" s="876">
        <v>2063</v>
      </c>
      <c r="C1784" s="876" t="s">
        <v>2814</v>
      </c>
      <c r="D1784" s="851">
        <v>848.64443000000006</v>
      </c>
    </row>
    <row r="1785" spans="2:4" x14ac:dyDescent="0.2">
      <c r="B1785" s="876">
        <v>2064</v>
      </c>
      <c r="C1785" s="876" t="s">
        <v>2815</v>
      </c>
      <c r="D1785" s="851">
        <v>927.52500899999995</v>
      </c>
    </row>
    <row r="1786" spans="2:4" x14ac:dyDescent="0.2">
      <c r="B1786" s="876">
        <v>2065</v>
      </c>
      <c r="C1786" s="876" t="s">
        <v>2816</v>
      </c>
      <c r="D1786" s="851">
        <v>755.88748899999996</v>
      </c>
    </row>
    <row r="1787" spans="2:4" x14ac:dyDescent="0.2">
      <c r="B1787" s="876">
        <v>2066</v>
      </c>
      <c r="C1787" s="876" t="s">
        <v>2479</v>
      </c>
      <c r="D1787" s="851">
        <v>785.67500299999995</v>
      </c>
    </row>
    <row r="1788" spans="2:4" x14ac:dyDescent="0.2">
      <c r="B1788" s="876">
        <v>2067</v>
      </c>
      <c r="C1788" s="876" t="s">
        <v>2817</v>
      </c>
      <c r="D1788" s="851">
        <v>851.18000500000005</v>
      </c>
    </row>
    <row r="1789" spans="2:4" x14ac:dyDescent="0.2">
      <c r="B1789" s="876">
        <v>2068</v>
      </c>
      <c r="C1789" s="876" t="s">
        <v>2818</v>
      </c>
      <c r="D1789" s="851">
        <v>789.43572099999994</v>
      </c>
    </row>
    <row r="1790" spans="2:4" x14ac:dyDescent="0.2">
      <c r="B1790" s="876">
        <v>2069</v>
      </c>
      <c r="C1790" s="876" t="s">
        <v>2819</v>
      </c>
      <c r="D1790" s="851">
        <v>740.10000400000001</v>
      </c>
    </row>
    <row r="1791" spans="2:4" x14ac:dyDescent="0.2">
      <c r="B1791" s="876">
        <v>2070</v>
      </c>
      <c r="C1791" s="876" t="s">
        <v>2820</v>
      </c>
      <c r="D1791" s="851">
        <v>738.411112</v>
      </c>
    </row>
    <row r="1792" spans="2:4" x14ac:dyDescent="0.2">
      <c r="B1792" s="876">
        <v>2071</v>
      </c>
      <c r="C1792" s="876" t="s">
        <v>1943</v>
      </c>
      <c r="D1792" s="851">
        <v>818.50001999999995</v>
      </c>
    </row>
    <row r="1793" spans="2:4" x14ac:dyDescent="0.2">
      <c r="B1793" s="876">
        <v>2072</v>
      </c>
      <c r="C1793" s="876" t="s">
        <v>2821</v>
      </c>
      <c r="D1793" s="851">
        <v>662.59997599999997</v>
      </c>
    </row>
    <row r="1794" spans="2:4" x14ac:dyDescent="0.2">
      <c r="B1794" s="876">
        <v>2073</v>
      </c>
      <c r="C1794" s="876" t="s">
        <v>2822</v>
      </c>
      <c r="D1794" s="851">
        <v>653</v>
      </c>
    </row>
    <row r="1795" spans="2:4" x14ac:dyDescent="0.2">
      <c r="B1795" s="876">
        <v>2074</v>
      </c>
      <c r="C1795" s="876" t="s">
        <v>2823</v>
      </c>
      <c r="D1795" s="851">
        <v>606.73333700000001</v>
      </c>
    </row>
    <row r="1796" spans="2:4" x14ac:dyDescent="0.2">
      <c r="B1796" s="876">
        <v>2075</v>
      </c>
      <c r="C1796" s="876" t="s">
        <v>2824</v>
      </c>
      <c r="D1796" s="851">
        <v>673.38334099999997</v>
      </c>
    </row>
    <row r="1797" spans="2:4" x14ac:dyDescent="0.2">
      <c r="B1797" s="876">
        <v>2076</v>
      </c>
      <c r="C1797" s="876" t="s">
        <v>2825</v>
      </c>
      <c r="D1797" s="851">
        <v>660.26249700000005</v>
      </c>
    </row>
    <row r="1798" spans="2:4" x14ac:dyDescent="0.2">
      <c r="B1798" s="876">
        <v>2077</v>
      </c>
      <c r="C1798" s="876" t="s">
        <v>2826</v>
      </c>
      <c r="D1798" s="851">
        <v>668.54999499999997</v>
      </c>
    </row>
    <row r="1799" spans="2:4" x14ac:dyDescent="0.2">
      <c r="B1799" s="876">
        <v>2078</v>
      </c>
      <c r="C1799" s="876" t="s">
        <v>2827</v>
      </c>
      <c r="D1799" s="851">
        <v>730.240002</v>
      </c>
    </row>
    <row r="1800" spans="2:4" x14ac:dyDescent="0.2">
      <c r="B1800" s="876">
        <v>2079</v>
      </c>
      <c r="C1800" s="876" t="s">
        <v>2828</v>
      </c>
      <c r="D1800" s="851">
        <v>715.13334099999997</v>
      </c>
    </row>
    <row r="1801" spans="2:4" x14ac:dyDescent="0.2">
      <c r="B1801" s="876">
        <v>2080</v>
      </c>
      <c r="C1801" s="876" t="s">
        <v>2829</v>
      </c>
      <c r="D1801" s="851">
        <v>694.36667899999998</v>
      </c>
    </row>
    <row r="1802" spans="2:4" x14ac:dyDescent="0.2">
      <c r="B1802" s="876">
        <v>2081</v>
      </c>
      <c r="C1802" s="876" t="s">
        <v>2830</v>
      </c>
      <c r="D1802" s="851">
        <v>742.19999199999995</v>
      </c>
    </row>
    <row r="1803" spans="2:4" x14ac:dyDescent="0.2">
      <c r="B1803" s="876">
        <v>2082</v>
      </c>
      <c r="C1803" s="876" t="s">
        <v>2831</v>
      </c>
      <c r="D1803" s="851">
        <v>739.90002400000003</v>
      </c>
    </row>
    <row r="1804" spans="2:4" x14ac:dyDescent="0.2">
      <c r="B1804" s="876">
        <v>2083</v>
      </c>
      <c r="C1804" s="876" t="s">
        <v>2832</v>
      </c>
      <c r="D1804" s="851">
        <v>729.70000300000004</v>
      </c>
    </row>
    <row r="1805" spans="2:4" x14ac:dyDescent="0.2">
      <c r="B1805" s="876">
        <v>2084</v>
      </c>
      <c r="C1805" s="876" t="s">
        <v>2833</v>
      </c>
      <c r="D1805" s="851">
        <v>732.177775</v>
      </c>
    </row>
    <row r="1806" spans="2:4" x14ac:dyDescent="0.2">
      <c r="B1806" s="876">
        <v>2085</v>
      </c>
      <c r="C1806" s="876" t="s">
        <v>2834</v>
      </c>
      <c r="D1806" s="851">
        <v>691.40002400000003</v>
      </c>
    </row>
    <row r="1807" spans="2:4" x14ac:dyDescent="0.2">
      <c r="B1807" s="876">
        <v>2087</v>
      </c>
      <c r="C1807" s="876" t="s">
        <v>2835</v>
      </c>
      <c r="D1807" s="851">
        <v>769.5</v>
      </c>
    </row>
    <row r="1808" spans="2:4" x14ac:dyDescent="0.2">
      <c r="B1808" s="876">
        <v>2088</v>
      </c>
      <c r="C1808" s="876" t="s">
        <v>2836</v>
      </c>
      <c r="D1808" s="851">
        <v>714.57499700000005</v>
      </c>
    </row>
    <row r="1809" spans="2:4" x14ac:dyDescent="0.2">
      <c r="B1809" s="876">
        <v>2096</v>
      </c>
      <c r="C1809" s="876" t="s">
        <v>2837</v>
      </c>
      <c r="D1809" s="851">
        <v>668.59997599999997</v>
      </c>
    </row>
    <row r="1810" spans="2:4" x14ac:dyDescent="0.2">
      <c r="B1810" s="876">
        <v>2101</v>
      </c>
      <c r="C1810" s="876" t="s">
        <v>2838</v>
      </c>
      <c r="D1810" s="851">
        <v>664.80000800000005</v>
      </c>
    </row>
    <row r="1811" spans="2:4" x14ac:dyDescent="0.2">
      <c r="B1811" s="876">
        <v>2102</v>
      </c>
      <c r="C1811" s="876" t="s">
        <v>2839</v>
      </c>
      <c r="D1811" s="851">
        <v>630.55000299999995</v>
      </c>
    </row>
    <row r="1812" spans="2:4" x14ac:dyDescent="0.2">
      <c r="B1812" s="876">
        <v>2103</v>
      </c>
      <c r="C1812" s="876" t="s">
        <v>2840</v>
      </c>
      <c r="D1812" s="851">
        <v>628.99998500000004</v>
      </c>
    </row>
    <row r="1813" spans="2:4" x14ac:dyDescent="0.2">
      <c r="B1813" s="876">
        <v>2104</v>
      </c>
      <c r="C1813" s="876" t="s">
        <v>2841</v>
      </c>
      <c r="D1813" s="851">
        <v>694.14999399999999</v>
      </c>
    </row>
    <row r="1814" spans="2:4" x14ac:dyDescent="0.2">
      <c r="B1814" s="876">
        <v>2105</v>
      </c>
      <c r="C1814" s="876" t="s">
        <v>2842</v>
      </c>
      <c r="D1814" s="851">
        <v>615.03332499999999</v>
      </c>
    </row>
    <row r="1815" spans="2:4" x14ac:dyDescent="0.2">
      <c r="B1815" s="876">
        <v>2106</v>
      </c>
      <c r="C1815" s="876" t="s">
        <v>2843</v>
      </c>
      <c r="D1815" s="851">
        <v>627.20000600000003</v>
      </c>
    </row>
    <row r="1816" spans="2:4" x14ac:dyDescent="0.2">
      <c r="B1816" s="876">
        <v>2107</v>
      </c>
      <c r="C1816" s="876" t="s">
        <v>2844</v>
      </c>
      <c r="D1816" s="851">
        <v>643.02500899999995</v>
      </c>
    </row>
    <row r="1817" spans="2:4" x14ac:dyDescent="0.2">
      <c r="B1817" s="876">
        <v>2108</v>
      </c>
      <c r="C1817" s="876" t="s">
        <v>2845</v>
      </c>
      <c r="D1817" s="851">
        <v>641.9375</v>
      </c>
    </row>
    <row r="1818" spans="2:4" x14ac:dyDescent="0.2">
      <c r="B1818" s="876">
        <v>2109</v>
      </c>
      <c r="C1818" s="876" t="s">
        <v>348</v>
      </c>
      <c r="D1818" s="851">
        <v>616.475864</v>
      </c>
    </row>
    <row r="1819" spans="2:4" x14ac:dyDescent="0.2">
      <c r="B1819" s="876">
        <v>2110</v>
      </c>
      <c r="C1819" s="876" t="s">
        <v>2846</v>
      </c>
      <c r="D1819" s="851">
        <v>622.54545499999995</v>
      </c>
    </row>
    <row r="1820" spans="2:4" x14ac:dyDescent="0.2">
      <c r="B1820" s="876">
        <v>2111</v>
      </c>
      <c r="C1820" s="876" t="s">
        <v>1812</v>
      </c>
      <c r="D1820" s="851">
        <v>620.63332600000001</v>
      </c>
    </row>
    <row r="1821" spans="2:4" x14ac:dyDescent="0.2">
      <c r="B1821" s="876">
        <v>2112</v>
      </c>
      <c r="C1821" s="876" t="s">
        <v>2847</v>
      </c>
      <c r="D1821" s="851">
        <v>641</v>
      </c>
    </row>
    <row r="1822" spans="2:4" x14ac:dyDescent="0.2">
      <c r="B1822" s="876">
        <v>2113</v>
      </c>
      <c r="C1822" s="876" t="s">
        <v>1647</v>
      </c>
      <c r="D1822" s="851">
        <v>640.91666699999996</v>
      </c>
    </row>
    <row r="1823" spans="2:4" x14ac:dyDescent="0.2">
      <c r="B1823" s="876">
        <v>2114</v>
      </c>
      <c r="C1823" s="876" t="s">
        <v>2848</v>
      </c>
      <c r="D1823" s="851">
        <v>627.76248899999996</v>
      </c>
    </row>
    <row r="1824" spans="2:4" x14ac:dyDescent="0.2">
      <c r="B1824" s="876">
        <v>2115</v>
      </c>
      <c r="C1824" s="876" t="s">
        <v>2849</v>
      </c>
      <c r="D1824" s="851">
        <v>632.66665999999998</v>
      </c>
    </row>
    <row r="1825" spans="2:4" x14ac:dyDescent="0.2">
      <c r="B1825" s="876">
        <v>2116</v>
      </c>
      <c r="C1825" s="876" t="s">
        <v>2850</v>
      </c>
      <c r="D1825" s="851">
        <v>768.49999100000002</v>
      </c>
    </row>
    <row r="1826" spans="2:4" x14ac:dyDescent="0.2">
      <c r="B1826" s="876">
        <v>2117</v>
      </c>
      <c r="C1826" s="876" t="s">
        <v>2851</v>
      </c>
      <c r="D1826" s="851">
        <v>690.60001599999998</v>
      </c>
    </row>
    <row r="1827" spans="2:4" x14ac:dyDescent="0.2">
      <c r="B1827" s="876">
        <v>2118</v>
      </c>
      <c r="C1827" s="876" t="s">
        <v>2852</v>
      </c>
      <c r="D1827" s="851">
        <v>714.20999800000004</v>
      </c>
    </row>
    <row r="1828" spans="2:4" x14ac:dyDescent="0.2">
      <c r="B1828" s="876">
        <v>2119</v>
      </c>
      <c r="C1828" s="876" t="s">
        <v>2853</v>
      </c>
      <c r="D1828" s="851">
        <v>613.88750500000003</v>
      </c>
    </row>
    <row r="1829" spans="2:4" x14ac:dyDescent="0.2">
      <c r="B1829" s="876">
        <v>2120</v>
      </c>
      <c r="C1829" s="876" t="s">
        <v>1322</v>
      </c>
      <c r="D1829" s="851">
        <v>605.38572499999998</v>
      </c>
    </row>
    <row r="1830" spans="2:4" x14ac:dyDescent="0.2">
      <c r="B1830" s="876">
        <v>2121</v>
      </c>
      <c r="C1830" s="876" t="s">
        <v>2854</v>
      </c>
      <c r="D1830" s="851">
        <v>652.14000199999998</v>
      </c>
    </row>
    <row r="1831" spans="2:4" x14ac:dyDescent="0.2">
      <c r="B1831" s="876">
        <v>2122</v>
      </c>
      <c r="C1831" s="876" t="s">
        <v>2855</v>
      </c>
      <c r="D1831" s="851">
        <v>821.34001499999999</v>
      </c>
    </row>
    <row r="1832" spans="2:4" x14ac:dyDescent="0.2">
      <c r="B1832" s="876">
        <v>2123</v>
      </c>
      <c r="C1832" s="876" t="s">
        <v>1784</v>
      </c>
      <c r="D1832" s="851">
        <v>723.78235199999995</v>
      </c>
    </row>
    <row r="1833" spans="2:4" x14ac:dyDescent="0.2">
      <c r="B1833" s="876">
        <v>2124</v>
      </c>
      <c r="C1833" s="876" t="s">
        <v>2723</v>
      </c>
      <c r="D1833" s="851">
        <v>625.70001200000002</v>
      </c>
    </row>
    <row r="1834" spans="2:4" x14ac:dyDescent="0.2">
      <c r="B1834" s="876">
        <v>2125</v>
      </c>
      <c r="C1834" s="876" t="s">
        <v>2856</v>
      </c>
      <c r="D1834" s="851">
        <v>624.63124500000004</v>
      </c>
    </row>
    <row r="1835" spans="2:4" x14ac:dyDescent="0.2">
      <c r="B1835" s="876">
        <v>2126</v>
      </c>
      <c r="C1835" s="876" t="s">
        <v>2857</v>
      </c>
      <c r="D1835" s="851">
        <v>636.32000700000003</v>
      </c>
    </row>
    <row r="1836" spans="2:4" x14ac:dyDescent="0.2">
      <c r="B1836" s="876">
        <v>2127</v>
      </c>
      <c r="C1836" s="876" t="s">
        <v>2093</v>
      </c>
      <c r="D1836" s="851">
        <v>805.89999399999999</v>
      </c>
    </row>
    <row r="1837" spans="2:4" x14ac:dyDescent="0.2">
      <c r="B1837" s="876">
        <v>2128</v>
      </c>
      <c r="C1837" s="876" t="s">
        <v>2858</v>
      </c>
      <c r="D1837" s="851">
        <v>685.89999399999999</v>
      </c>
    </row>
    <row r="1838" spans="2:4" x14ac:dyDescent="0.2">
      <c r="B1838" s="876">
        <v>2129</v>
      </c>
      <c r="C1838" s="876" t="s">
        <v>2859</v>
      </c>
      <c r="D1838" s="851">
        <v>747.9</v>
      </c>
    </row>
    <row r="1839" spans="2:4" x14ac:dyDescent="0.2">
      <c r="B1839" s="876">
        <v>2130</v>
      </c>
      <c r="C1839" s="876" t="s">
        <v>2860</v>
      </c>
      <c r="D1839" s="851">
        <v>657.03571399999998</v>
      </c>
    </row>
    <row r="1840" spans="2:4" x14ac:dyDescent="0.2">
      <c r="B1840" s="876">
        <v>2131</v>
      </c>
      <c r="C1840" s="876" t="s">
        <v>2861</v>
      </c>
      <c r="D1840" s="851">
        <v>583.25</v>
      </c>
    </row>
    <row r="1841" spans="2:4" x14ac:dyDescent="0.2">
      <c r="B1841" s="876">
        <v>2132</v>
      </c>
      <c r="C1841" s="876" t="s">
        <v>2862</v>
      </c>
      <c r="D1841" s="851">
        <v>666.02856399999996</v>
      </c>
    </row>
    <row r="1842" spans="2:4" x14ac:dyDescent="0.2">
      <c r="B1842" s="876">
        <v>2133</v>
      </c>
      <c r="C1842" s="876" t="s">
        <v>2863</v>
      </c>
      <c r="D1842" s="851">
        <v>637.09997599999997</v>
      </c>
    </row>
    <row r="1843" spans="2:4" x14ac:dyDescent="0.2">
      <c r="B1843" s="876">
        <v>2134</v>
      </c>
      <c r="C1843" s="876" t="s">
        <v>2864</v>
      </c>
      <c r="D1843" s="851">
        <v>683.85999800000002</v>
      </c>
    </row>
    <row r="1844" spans="2:4" x14ac:dyDescent="0.2">
      <c r="B1844" s="876">
        <v>2135</v>
      </c>
      <c r="C1844" s="876" t="s">
        <v>2865</v>
      </c>
      <c r="D1844" s="851">
        <v>649.20001200000002</v>
      </c>
    </row>
    <row r="1845" spans="2:4" x14ac:dyDescent="0.2">
      <c r="B1845" s="876">
        <v>2136</v>
      </c>
      <c r="C1845" s="876" t="s">
        <v>2866</v>
      </c>
      <c r="D1845" s="851">
        <v>650.54998799999998</v>
      </c>
    </row>
    <row r="1846" spans="2:4" x14ac:dyDescent="0.2">
      <c r="B1846" s="876">
        <v>2137</v>
      </c>
      <c r="C1846" s="876" t="s">
        <v>2867</v>
      </c>
      <c r="D1846" s="851">
        <v>635.5</v>
      </c>
    </row>
    <row r="1847" spans="2:4" x14ac:dyDescent="0.2">
      <c r="B1847" s="876">
        <v>2138</v>
      </c>
      <c r="C1847" s="876" t="s">
        <v>2868</v>
      </c>
      <c r="D1847" s="851">
        <v>638.74284999999998</v>
      </c>
    </row>
    <row r="1848" spans="2:4" x14ac:dyDescent="0.2">
      <c r="B1848" s="876">
        <v>2139</v>
      </c>
      <c r="C1848" s="876" t="s">
        <v>2869</v>
      </c>
      <c r="D1848" s="851">
        <v>595.09997599999997</v>
      </c>
    </row>
    <row r="1849" spans="2:4" x14ac:dyDescent="0.2">
      <c r="B1849" s="876">
        <v>2140</v>
      </c>
      <c r="C1849" s="876" t="s">
        <v>2870</v>
      </c>
      <c r="D1849" s="851">
        <v>768.55000299999995</v>
      </c>
    </row>
    <row r="1850" spans="2:4" x14ac:dyDescent="0.2">
      <c r="B1850" s="876">
        <v>2141</v>
      </c>
      <c r="C1850" s="876" t="s">
        <v>2871</v>
      </c>
      <c r="D1850" s="851">
        <v>691.70001200000002</v>
      </c>
    </row>
    <row r="1851" spans="2:4" x14ac:dyDescent="0.2">
      <c r="B1851" s="876">
        <v>2142</v>
      </c>
      <c r="C1851" s="876" t="s">
        <v>2872</v>
      </c>
      <c r="D1851" s="851">
        <v>677.30000800000005</v>
      </c>
    </row>
    <row r="1852" spans="2:4" x14ac:dyDescent="0.2">
      <c r="B1852" s="876">
        <v>2143</v>
      </c>
      <c r="C1852" s="876" t="s">
        <v>2873</v>
      </c>
      <c r="D1852" s="851">
        <v>631.64999399999999</v>
      </c>
    </row>
    <row r="1853" spans="2:4" x14ac:dyDescent="0.2">
      <c r="B1853" s="876">
        <v>2144</v>
      </c>
      <c r="C1853" s="876" t="s">
        <v>2874</v>
      </c>
      <c r="D1853" s="851">
        <v>613.06664999999998</v>
      </c>
    </row>
    <row r="1854" spans="2:4" x14ac:dyDescent="0.2">
      <c r="B1854" s="876">
        <v>2145</v>
      </c>
      <c r="C1854" s="876" t="s">
        <v>2875</v>
      </c>
      <c r="D1854" s="851">
        <v>596.04999499999997</v>
      </c>
    </row>
    <row r="1855" spans="2:4" x14ac:dyDescent="0.2">
      <c r="B1855" s="876">
        <v>2146</v>
      </c>
      <c r="C1855" s="876" t="s">
        <v>2876</v>
      </c>
      <c r="D1855" s="851">
        <v>602.883331</v>
      </c>
    </row>
    <row r="1856" spans="2:4" x14ac:dyDescent="0.2">
      <c r="B1856" s="876">
        <v>2147</v>
      </c>
      <c r="C1856" s="876" t="s">
        <v>2877</v>
      </c>
      <c r="D1856" s="851">
        <v>731.74054000000001</v>
      </c>
    </row>
    <row r="1857" spans="2:4" x14ac:dyDescent="0.2">
      <c r="B1857" s="876">
        <v>2148</v>
      </c>
      <c r="C1857" s="876" t="s">
        <v>1904</v>
      </c>
      <c r="D1857" s="851">
        <v>653.30000299999995</v>
      </c>
    </row>
    <row r="1858" spans="2:4" x14ac:dyDescent="0.2">
      <c r="B1858" s="876">
        <v>2149</v>
      </c>
      <c r="C1858" s="876" t="s">
        <v>2878</v>
      </c>
      <c r="D1858" s="851">
        <v>643.95001200000002</v>
      </c>
    </row>
    <row r="1859" spans="2:4" x14ac:dyDescent="0.2">
      <c r="B1859" s="876">
        <v>2150</v>
      </c>
      <c r="C1859" s="876" t="s">
        <v>2879</v>
      </c>
      <c r="D1859" s="851">
        <v>667.63332100000002</v>
      </c>
    </row>
    <row r="1860" spans="2:4" x14ac:dyDescent="0.2">
      <c r="B1860" s="876">
        <v>2151</v>
      </c>
      <c r="C1860" s="876" t="s">
        <v>2880</v>
      </c>
      <c r="D1860" s="851">
        <v>612.59999600000003</v>
      </c>
    </row>
    <row r="1861" spans="2:4" x14ac:dyDescent="0.2">
      <c r="B1861" s="876">
        <v>2152</v>
      </c>
      <c r="C1861" s="876" t="s">
        <v>2881</v>
      </c>
      <c r="D1861" s="851">
        <v>740.37999300000001</v>
      </c>
    </row>
    <row r="1862" spans="2:4" x14ac:dyDescent="0.2">
      <c r="B1862" s="876">
        <v>2153</v>
      </c>
      <c r="C1862" s="876" t="s">
        <v>2882</v>
      </c>
      <c r="D1862" s="851">
        <v>613.99285899999995</v>
      </c>
    </row>
    <row r="1863" spans="2:4" x14ac:dyDescent="0.2">
      <c r="B1863" s="876">
        <v>2154</v>
      </c>
      <c r="C1863" s="876" t="s">
        <v>1739</v>
      </c>
      <c r="D1863" s="851">
        <v>621.60001599999998</v>
      </c>
    </row>
    <row r="1864" spans="2:4" x14ac:dyDescent="0.2">
      <c r="B1864" s="876">
        <v>2155</v>
      </c>
      <c r="C1864" s="876" t="s">
        <v>2883</v>
      </c>
      <c r="D1864" s="851">
        <v>633.32501200000002</v>
      </c>
    </row>
    <row r="1865" spans="2:4" x14ac:dyDescent="0.2">
      <c r="B1865" s="876">
        <v>2156</v>
      </c>
      <c r="C1865" s="876" t="s">
        <v>2884</v>
      </c>
      <c r="D1865" s="851">
        <v>634.02000099999998</v>
      </c>
    </row>
    <row r="1866" spans="2:4" x14ac:dyDescent="0.2">
      <c r="B1866" s="876">
        <v>2157</v>
      </c>
      <c r="C1866" s="876" t="s">
        <v>2885</v>
      </c>
      <c r="D1866" s="851">
        <v>609.4</v>
      </c>
    </row>
    <row r="1867" spans="2:4" x14ac:dyDescent="0.2">
      <c r="B1867" s="876">
        <v>2158</v>
      </c>
      <c r="C1867" s="876" t="s">
        <v>2225</v>
      </c>
      <c r="D1867" s="851">
        <v>605.39998800000001</v>
      </c>
    </row>
    <row r="1868" spans="2:4" x14ac:dyDescent="0.2">
      <c r="B1868" s="876">
        <v>2159</v>
      </c>
      <c r="C1868" s="876" t="s">
        <v>2886</v>
      </c>
      <c r="D1868" s="851">
        <v>799.23333700000001</v>
      </c>
    </row>
    <row r="1869" spans="2:4" x14ac:dyDescent="0.2">
      <c r="B1869" s="876">
        <v>2160</v>
      </c>
      <c r="C1869" s="876" t="s">
        <v>2887</v>
      </c>
      <c r="D1869" s="851">
        <v>626.163635</v>
      </c>
    </row>
    <row r="1870" spans="2:4" x14ac:dyDescent="0.2">
      <c r="B1870" s="876">
        <v>2161</v>
      </c>
      <c r="C1870" s="876" t="s">
        <v>2452</v>
      </c>
      <c r="D1870" s="851">
        <v>655.44000200000005</v>
      </c>
    </row>
    <row r="1871" spans="2:4" x14ac:dyDescent="0.2">
      <c r="B1871" s="876">
        <v>2162</v>
      </c>
      <c r="C1871" s="876" t="s">
        <v>2888</v>
      </c>
      <c r="D1871" s="851">
        <v>627.89998400000002</v>
      </c>
    </row>
    <row r="1872" spans="2:4" x14ac:dyDescent="0.2">
      <c r="B1872" s="876">
        <v>2163</v>
      </c>
      <c r="C1872" s="876" t="s">
        <v>2889</v>
      </c>
      <c r="D1872" s="851">
        <v>784.74444600000004</v>
      </c>
    </row>
    <row r="1873" spans="2:4" x14ac:dyDescent="0.2">
      <c r="B1873" s="876">
        <v>2164</v>
      </c>
      <c r="C1873" s="876" t="s">
        <v>2890</v>
      </c>
      <c r="D1873" s="851">
        <v>652.27999299999999</v>
      </c>
    </row>
    <row r="1874" spans="2:4" x14ac:dyDescent="0.2">
      <c r="B1874" s="876">
        <v>2165</v>
      </c>
      <c r="C1874" s="876" t="s">
        <v>2891</v>
      </c>
      <c r="D1874" s="851">
        <v>638.58333300000004</v>
      </c>
    </row>
    <row r="1875" spans="2:4" x14ac:dyDescent="0.2">
      <c r="B1875" s="876">
        <v>2166</v>
      </c>
      <c r="C1875" s="876" t="s">
        <v>2892</v>
      </c>
      <c r="D1875" s="851">
        <v>659.20001200000002</v>
      </c>
    </row>
    <row r="1876" spans="2:4" x14ac:dyDescent="0.2">
      <c r="B1876" s="876">
        <v>2167</v>
      </c>
      <c r="C1876" s="876" t="s">
        <v>2893</v>
      </c>
      <c r="D1876" s="851">
        <v>617.3125</v>
      </c>
    </row>
    <row r="1877" spans="2:4" x14ac:dyDescent="0.2">
      <c r="B1877" s="876">
        <v>2168</v>
      </c>
      <c r="C1877" s="876" t="s">
        <v>2894</v>
      </c>
      <c r="D1877" s="851">
        <v>766.57501200000002</v>
      </c>
    </row>
    <row r="1878" spans="2:4" x14ac:dyDescent="0.2">
      <c r="B1878" s="876">
        <v>2169</v>
      </c>
      <c r="C1878" s="876" t="s">
        <v>2895</v>
      </c>
      <c r="D1878" s="851">
        <v>613.03332499999999</v>
      </c>
    </row>
    <row r="1879" spans="2:4" x14ac:dyDescent="0.2">
      <c r="B1879" s="876">
        <v>2170</v>
      </c>
      <c r="C1879" s="876" t="s">
        <v>2896</v>
      </c>
      <c r="D1879" s="851">
        <v>700.21999500000004</v>
      </c>
    </row>
    <row r="1880" spans="2:4" x14ac:dyDescent="0.2">
      <c r="B1880" s="876">
        <v>2171</v>
      </c>
      <c r="C1880" s="876" t="s">
        <v>2897</v>
      </c>
      <c r="D1880" s="851">
        <v>748.85000600000001</v>
      </c>
    </row>
    <row r="1881" spans="2:4" x14ac:dyDescent="0.2">
      <c r="B1881" s="876">
        <v>2172</v>
      </c>
      <c r="C1881" s="876" t="s">
        <v>2898</v>
      </c>
      <c r="D1881" s="851">
        <v>666.5</v>
      </c>
    </row>
    <row r="1882" spans="2:4" x14ac:dyDescent="0.2">
      <c r="B1882" s="876">
        <v>2173</v>
      </c>
      <c r="C1882" s="876" t="s">
        <v>2899</v>
      </c>
      <c r="D1882" s="851">
        <v>641.72500600000001</v>
      </c>
    </row>
    <row r="1883" spans="2:4" x14ac:dyDescent="0.2">
      <c r="B1883" s="876">
        <v>2174</v>
      </c>
      <c r="C1883" s="876" t="s">
        <v>2900</v>
      </c>
      <c r="D1883" s="851">
        <v>629.14445000000001</v>
      </c>
    </row>
    <row r="1884" spans="2:4" x14ac:dyDescent="0.2">
      <c r="B1884" s="876">
        <v>2175</v>
      </c>
      <c r="C1884" s="876" t="s">
        <v>2901</v>
      </c>
      <c r="D1884" s="851">
        <v>611.10000600000001</v>
      </c>
    </row>
    <row r="1885" spans="2:4" x14ac:dyDescent="0.2">
      <c r="B1885" s="876">
        <v>2176</v>
      </c>
      <c r="C1885" s="876" t="s">
        <v>2902</v>
      </c>
      <c r="D1885" s="851">
        <v>709.41999499999997</v>
      </c>
    </row>
    <row r="1886" spans="2:4" x14ac:dyDescent="0.2">
      <c r="B1886" s="876">
        <v>2177</v>
      </c>
      <c r="C1886" s="876" t="s">
        <v>2903</v>
      </c>
      <c r="D1886" s="851">
        <v>651.90000399999997</v>
      </c>
    </row>
    <row r="1887" spans="2:4" x14ac:dyDescent="0.2">
      <c r="B1887" s="876">
        <v>2178</v>
      </c>
      <c r="C1887" s="876" t="s">
        <v>2904</v>
      </c>
      <c r="D1887" s="851">
        <v>659.40000399999997</v>
      </c>
    </row>
    <row r="1888" spans="2:4" x14ac:dyDescent="0.2">
      <c r="B1888" s="876">
        <v>2179</v>
      </c>
      <c r="C1888" s="876" t="s">
        <v>2905</v>
      </c>
      <c r="D1888" s="851">
        <v>600.49285499999996</v>
      </c>
    </row>
    <row r="1889" spans="2:4" x14ac:dyDescent="0.2">
      <c r="B1889" s="876">
        <v>2180</v>
      </c>
      <c r="C1889" s="876" t="s">
        <v>2906</v>
      </c>
      <c r="D1889" s="851">
        <v>652.63334099999997</v>
      </c>
    </row>
    <row r="1890" spans="2:4" x14ac:dyDescent="0.2">
      <c r="B1890" s="876">
        <v>2181</v>
      </c>
      <c r="C1890" s="876" t="s">
        <v>2907</v>
      </c>
      <c r="D1890" s="851">
        <v>677.30000500000006</v>
      </c>
    </row>
    <row r="1891" spans="2:4" x14ac:dyDescent="0.2">
      <c r="B1891" s="876">
        <v>2182</v>
      </c>
      <c r="C1891" s="876" t="s">
        <v>2908</v>
      </c>
      <c r="D1891" s="851">
        <v>687.31429600000001</v>
      </c>
    </row>
    <row r="1892" spans="2:4" x14ac:dyDescent="0.2">
      <c r="B1892" s="876">
        <v>2183</v>
      </c>
      <c r="C1892" s="876" t="s">
        <v>2909</v>
      </c>
      <c r="D1892" s="851">
        <v>648.79998799999998</v>
      </c>
    </row>
    <row r="1893" spans="2:4" x14ac:dyDescent="0.2">
      <c r="B1893" s="876">
        <v>2184</v>
      </c>
      <c r="C1893" s="876" t="s">
        <v>2910</v>
      </c>
      <c r="D1893" s="851">
        <v>630.76428699999997</v>
      </c>
    </row>
    <row r="1894" spans="2:4" x14ac:dyDescent="0.2">
      <c r="B1894" s="876">
        <v>2185</v>
      </c>
      <c r="C1894" s="876" t="s">
        <v>2911</v>
      </c>
      <c r="D1894" s="851">
        <v>876.85000600000001</v>
      </c>
    </row>
    <row r="1895" spans="2:4" x14ac:dyDescent="0.2">
      <c r="B1895" s="876">
        <v>2186</v>
      </c>
      <c r="C1895" s="876" t="s">
        <v>2912</v>
      </c>
      <c r="D1895" s="851">
        <v>611.14210600000001</v>
      </c>
    </row>
    <row r="1896" spans="2:4" x14ac:dyDescent="0.2">
      <c r="B1896" s="876">
        <v>2187</v>
      </c>
      <c r="C1896" s="876" t="s">
        <v>2913</v>
      </c>
      <c r="D1896" s="851">
        <v>853.77999299999999</v>
      </c>
    </row>
    <row r="1897" spans="2:4" x14ac:dyDescent="0.2">
      <c r="B1897" s="876">
        <v>2188</v>
      </c>
      <c r="C1897" s="876" t="s">
        <v>2914</v>
      </c>
      <c r="D1897" s="851">
        <v>623.97500600000001</v>
      </c>
    </row>
    <row r="1898" spans="2:4" x14ac:dyDescent="0.2">
      <c r="B1898" s="876">
        <v>2189</v>
      </c>
      <c r="C1898" s="876" t="s">
        <v>2915</v>
      </c>
      <c r="D1898" s="851">
        <v>633.52222400000005</v>
      </c>
    </row>
    <row r="1899" spans="2:4" x14ac:dyDescent="0.2">
      <c r="B1899" s="876">
        <v>2190</v>
      </c>
      <c r="C1899" s="876" t="s">
        <v>2916</v>
      </c>
      <c r="D1899" s="851">
        <v>616.49999400000002</v>
      </c>
    </row>
    <row r="1900" spans="2:4" x14ac:dyDescent="0.2">
      <c r="B1900" s="876">
        <v>2191</v>
      </c>
      <c r="C1900" s="876" t="s">
        <v>2917</v>
      </c>
      <c r="D1900" s="851">
        <v>629.16666699999996</v>
      </c>
    </row>
    <row r="1901" spans="2:4" x14ac:dyDescent="0.2">
      <c r="B1901" s="876">
        <v>2192</v>
      </c>
      <c r="C1901" s="876" t="s">
        <v>2918</v>
      </c>
      <c r="D1901" s="851">
        <v>623.81999499999995</v>
      </c>
    </row>
    <row r="1902" spans="2:4" x14ac:dyDescent="0.2">
      <c r="B1902" s="876">
        <v>2193</v>
      </c>
      <c r="C1902" s="876" t="s">
        <v>2919</v>
      </c>
      <c r="D1902" s="851">
        <v>783.61429299999998</v>
      </c>
    </row>
    <row r="1903" spans="2:4" x14ac:dyDescent="0.2">
      <c r="B1903" s="876">
        <v>2194</v>
      </c>
      <c r="C1903" s="876" t="s">
        <v>2920</v>
      </c>
      <c r="D1903" s="851">
        <v>663.71667500000001</v>
      </c>
    </row>
    <row r="1904" spans="2:4" x14ac:dyDescent="0.2">
      <c r="B1904" s="876">
        <v>2195</v>
      </c>
      <c r="C1904" s="876" t="s">
        <v>2921</v>
      </c>
      <c r="D1904" s="851">
        <v>801.22499800000003</v>
      </c>
    </row>
    <row r="1905" spans="2:4" x14ac:dyDescent="0.2">
      <c r="B1905" s="876">
        <v>2196</v>
      </c>
      <c r="C1905" s="876" t="s">
        <v>2922</v>
      </c>
      <c r="D1905" s="851">
        <v>809.5</v>
      </c>
    </row>
    <row r="1906" spans="2:4" x14ac:dyDescent="0.2">
      <c r="B1906" s="876">
        <v>2197</v>
      </c>
      <c r="C1906" s="876" t="s">
        <v>2923</v>
      </c>
      <c r="D1906" s="851">
        <v>708.75</v>
      </c>
    </row>
    <row r="1907" spans="2:4" x14ac:dyDescent="0.2">
      <c r="B1907" s="876">
        <v>2198</v>
      </c>
      <c r="C1907" s="876" t="s">
        <v>2924</v>
      </c>
      <c r="D1907" s="851">
        <v>586.96667500000001</v>
      </c>
    </row>
    <row r="1908" spans="2:4" x14ac:dyDescent="0.2">
      <c r="B1908" s="876">
        <v>2199</v>
      </c>
      <c r="C1908" s="876" t="s">
        <v>2925</v>
      </c>
      <c r="D1908" s="851">
        <v>896.83333300000004</v>
      </c>
    </row>
    <row r="1909" spans="2:4" x14ac:dyDescent="0.2">
      <c r="B1909" s="876">
        <v>2200</v>
      </c>
      <c r="C1909" s="876" t="s">
        <v>2926</v>
      </c>
      <c r="D1909" s="851">
        <v>604.51110800000004</v>
      </c>
    </row>
    <row r="1910" spans="2:4" x14ac:dyDescent="0.2">
      <c r="B1910" s="876">
        <v>2201</v>
      </c>
      <c r="C1910" s="876" t="s">
        <v>2264</v>
      </c>
      <c r="D1910" s="851">
        <v>717.07499700000005</v>
      </c>
    </row>
    <row r="1911" spans="2:4" x14ac:dyDescent="0.2">
      <c r="B1911" s="876">
        <v>2202</v>
      </c>
      <c r="C1911" s="876" t="s">
        <v>2927</v>
      </c>
      <c r="D1911" s="851">
        <v>652.39999399999999</v>
      </c>
    </row>
    <row r="1912" spans="2:4" x14ac:dyDescent="0.2">
      <c r="B1912" s="876">
        <v>2203</v>
      </c>
      <c r="C1912" s="876" t="s">
        <v>2928</v>
      </c>
      <c r="D1912" s="851">
        <v>803.26666299999999</v>
      </c>
    </row>
    <row r="1913" spans="2:4" x14ac:dyDescent="0.2">
      <c r="B1913" s="876">
        <v>2204</v>
      </c>
      <c r="C1913" s="876" t="s">
        <v>2929</v>
      </c>
      <c r="D1913" s="851">
        <v>646.38888899999995</v>
      </c>
    </row>
    <row r="1914" spans="2:4" x14ac:dyDescent="0.2">
      <c r="B1914" s="876">
        <v>2205</v>
      </c>
      <c r="C1914" s="876" t="s">
        <v>2930</v>
      </c>
      <c r="D1914" s="851">
        <v>642.32498199999998</v>
      </c>
    </row>
    <row r="1915" spans="2:4" x14ac:dyDescent="0.2">
      <c r="B1915" s="876">
        <v>2206</v>
      </c>
      <c r="C1915" s="876" t="s">
        <v>2931</v>
      </c>
      <c r="D1915" s="851">
        <v>583.54000199999996</v>
      </c>
    </row>
    <row r="1916" spans="2:4" x14ac:dyDescent="0.2">
      <c r="B1916" s="876">
        <v>2207</v>
      </c>
      <c r="C1916" s="876" t="s">
        <v>2932</v>
      </c>
      <c r="D1916" s="851">
        <v>678.53333499999997</v>
      </c>
    </row>
    <row r="1917" spans="2:4" x14ac:dyDescent="0.2">
      <c r="B1917" s="876">
        <v>2208</v>
      </c>
      <c r="C1917" s="876" t="s">
        <v>2933</v>
      </c>
      <c r="D1917" s="851">
        <v>620.740002</v>
      </c>
    </row>
    <row r="1918" spans="2:4" x14ac:dyDescent="0.2">
      <c r="B1918" s="876">
        <v>2209</v>
      </c>
      <c r="C1918" s="876" t="s">
        <v>2934</v>
      </c>
      <c r="D1918" s="851">
        <v>645.11250299999995</v>
      </c>
    </row>
    <row r="1919" spans="2:4" x14ac:dyDescent="0.2">
      <c r="B1919" s="876">
        <v>2210</v>
      </c>
      <c r="C1919" s="876" t="s">
        <v>1314</v>
      </c>
      <c r="D1919" s="851">
        <v>643.4</v>
      </c>
    </row>
    <row r="1920" spans="2:4" x14ac:dyDescent="0.2">
      <c r="B1920" s="876">
        <v>2211</v>
      </c>
      <c r="C1920" s="876" t="s">
        <v>2935</v>
      </c>
      <c r="D1920" s="851">
        <v>614.09997599999997</v>
      </c>
    </row>
    <row r="1921" spans="2:4" x14ac:dyDescent="0.2">
      <c r="B1921" s="876">
        <v>2212</v>
      </c>
      <c r="C1921" s="876" t="s">
        <v>2936</v>
      </c>
      <c r="D1921" s="851">
        <v>668.05555600000002</v>
      </c>
    </row>
    <row r="1922" spans="2:4" x14ac:dyDescent="0.2">
      <c r="B1922" s="876">
        <v>2213</v>
      </c>
      <c r="C1922" s="876" t="s">
        <v>1986</v>
      </c>
      <c r="D1922" s="851">
        <v>839.05001800000002</v>
      </c>
    </row>
    <row r="1923" spans="2:4" x14ac:dyDescent="0.2">
      <c r="B1923" s="876">
        <v>2214</v>
      </c>
      <c r="C1923" s="876" t="s">
        <v>2937</v>
      </c>
      <c r="D1923" s="851">
        <v>633.69998199999998</v>
      </c>
    </row>
    <row r="1924" spans="2:4" x14ac:dyDescent="0.2">
      <c r="B1924" s="876">
        <v>2215</v>
      </c>
      <c r="C1924" s="876" t="s">
        <v>2938</v>
      </c>
      <c r="D1924" s="851">
        <v>673.17500299999995</v>
      </c>
    </row>
    <row r="1925" spans="2:4" x14ac:dyDescent="0.2">
      <c r="B1925" s="876">
        <v>2216</v>
      </c>
      <c r="C1925" s="876" t="s">
        <v>2939</v>
      </c>
      <c r="D1925" s="851">
        <v>686.61998300000005</v>
      </c>
    </row>
    <row r="1926" spans="2:4" x14ac:dyDescent="0.2">
      <c r="B1926" s="876">
        <v>2217</v>
      </c>
      <c r="C1926" s="876" t="s">
        <v>2940</v>
      </c>
      <c r="D1926" s="851">
        <v>751</v>
      </c>
    </row>
    <row r="1927" spans="2:4" x14ac:dyDescent="0.2">
      <c r="B1927" s="876">
        <v>2218</v>
      </c>
      <c r="C1927" s="876" t="s">
        <v>2941</v>
      </c>
      <c r="D1927" s="851">
        <v>574.55000299999995</v>
      </c>
    </row>
    <row r="1928" spans="2:4" x14ac:dyDescent="0.2">
      <c r="B1928" s="876">
        <v>2219</v>
      </c>
      <c r="C1928" s="876" t="s">
        <v>2942</v>
      </c>
      <c r="D1928" s="851">
        <v>620.80001800000002</v>
      </c>
    </row>
    <row r="1929" spans="2:4" x14ac:dyDescent="0.2">
      <c r="B1929" s="876">
        <v>2220</v>
      </c>
      <c r="C1929" s="876" t="s">
        <v>2943</v>
      </c>
      <c r="D1929" s="851">
        <v>760.65713100000005</v>
      </c>
    </row>
    <row r="1930" spans="2:4" x14ac:dyDescent="0.2">
      <c r="B1930" s="876">
        <v>2221</v>
      </c>
      <c r="C1930" s="876" t="s">
        <v>2944</v>
      </c>
      <c r="D1930" s="851">
        <v>709.69999499999994</v>
      </c>
    </row>
    <row r="1931" spans="2:4" x14ac:dyDescent="0.2">
      <c r="B1931" s="876">
        <v>2222</v>
      </c>
      <c r="C1931" s="876" t="s">
        <v>2945</v>
      </c>
      <c r="D1931" s="851">
        <v>593.64999399999999</v>
      </c>
    </row>
    <row r="1932" spans="2:4" x14ac:dyDescent="0.2">
      <c r="B1932" s="876">
        <v>2223</v>
      </c>
      <c r="C1932" s="876" t="s">
        <v>2946</v>
      </c>
      <c r="D1932" s="851">
        <v>637.76666299999999</v>
      </c>
    </row>
    <row r="1933" spans="2:4" x14ac:dyDescent="0.2">
      <c r="B1933" s="876">
        <v>2224</v>
      </c>
      <c r="C1933" s="876" t="s">
        <v>2947</v>
      </c>
      <c r="D1933" s="851">
        <v>607.87999300000001</v>
      </c>
    </row>
    <row r="1934" spans="2:4" x14ac:dyDescent="0.2">
      <c r="B1934" s="876">
        <v>2225</v>
      </c>
      <c r="C1934" s="876" t="s">
        <v>2948</v>
      </c>
      <c r="D1934" s="851">
        <v>645.69999700000005</v>
      </c>
    </row>
    <row r="1935" spans="2:4" x14ac:dyDescent="0.2">
      <c r="B1935" s="876">
        <v>2226</v>
      </c>
      <c r="C1935" s="876" t="s">
        <v>2546</v>
      </c>
      <c r="D1935" s="851">
        <v>729.56667100000004</v>
      </c>
    </row>
    <row r="1936" spans="2:4" x14ac:dyDescent="0.2">
      <c r="B1936" s="876">
        <v>2227</v>
      </c>
      <c r="C1936" s="876" t="s">
        <v>2949</v>
      </c>
      <c r="D1936" s="851">
        <v>614.60001199999999</v>
      </c>
    </row>
    <row r="1937" spans="2:4" x14ac:dyDescent="0.2">
      <c r="B1937" s="876">
        <v>2228</v>
      </c>
      <c r="C1937" s="876" t="s">
        <v>2950</v>
      </c>
      <c r="D1937" s="851">
        <v>580.71666500000003</v>
      </c>
    </row>
    <row r="1938" spans="2:4" x14ac:dyDescent="0.2">
      <c r="B1938" s="876">
        <v>2229</v>
      </c>
      <c r="C1938" s="876" t="s">
        <v>2951</v>
      </c>
      <c r="D1938" s="851">
        <v>639.15715699999998</v>
      </c>
    </row>
    <row r="1939" spans="2:4" x14ac:dyDescent="0.2">
      <c r="B1939" s="876">
        <v>2230</v>
      </c>
      <c r="C1939" s="876" t="s">
        <v>2952</v>
      </c>
      <c r="D1939" s="851">
        <v>682</v>
      </c>
    </row>
    <row r="1940" spans="2:4" x14ac:dyDescent="0.2">
      <c r="B1940" s="876">
        <v>2231</v>
      </c>
      <c r="C1940" s="876" t="s">
        <v>2953</v>
      </c>
      <c r="D1940" s="851">
        <v>643.10000300000002</v>
      </c>
    </row>
    <row r="1941" spans="2:4" x14ac:dyDescent="0.2">
      <c r="B1941" s="876">
        <v>2232</v>
      </c>
      <c r="C1941" s="876" t="s">
        <v>2954</v>
      </c>
      <c r="D1941" s="851">
        <v>643.06665499999997</v>
      </c>
    </row>
    <row r="1942" spans="2:4" x14ac:dyDescent="0.2">
      <c r="B1942" s="876">
        <v>2233</v>
      </c>
      <c r="C1942" s="876" t="s">
        <v>2955</v>
      </c>
      <c r="D1942" s="851">
        <v>637.16001000000006</v>
      </c>
    </row>
    <row r="1943" spans="2:4" x14ac:dyDescent="0.2">
      <c r="B1943" s="876">
        <v>2234</v>
      </c>
      <c r="C1943" s="876" t="s">
        <v>2956</v>
      </c>
      <c r="D1943" s="851">
        <v>628.13333499999999</v>
      </c>
    </row>
    <row r="1944" spans="2:4" x14ac:dyDescent="0.2">
      <c r="B1944" s="876">
        <v>2235</v>
      </c>
      <c r="C1944" s="876" t="s">
        <v>2957</v>
      </c>
      <c r="D1944" s="851">
        <v>661.5</v>
      </c>
    </row>
    <row r="1945" spans="2:4" x14ac:dyDescent="0.2">
      <c r="B1945" s="876">
        <v>2236</v>
      </c>
      <c r="C1945" s="876" t="s">
        <v>2958</v>
      </c>
      <c r="D1945" s="851">
        <v>805.23999000000003</v>
      </c>
    </row>
    <row r="1946" spans="2:4" x14ac:dyDescent="0.2">
      <c r="B1946" s="876">
        <v>2237</v>
      </c>
      <c r="C1946" s="876" t="s">
        <v>2959</v>
      </c>
      <c r="D1946" s="851">
        <v>747.29998799999998</v>
      </c>
    </row>
    <row r="1947" spans="2:4" x14ac:dyDescent="0.2">
      <c r="B1947" s="876">
        <v>2238</v>
      </c>
      <c r="C1947" s="876" t="s">
        <v>2049</v>
      </c>
      <c r="D1947" s="851">
        <v>835.96665399999995</v>
      </c>
    </row>
    <row r="1948" spans="2:4" x14ac:dyDescent="0.2">
      <c r="B1948" s="876">
        <v>2239</v>
      </c>
      <c r="C1948" s="876" t="s">
        <v>2737</v>
      </c>
      <c r="D1948" s="851">
        <v>669.2</v>
      </c>
    </row>
    <row r="1949" spans="2:4" x14ac:dyDescent="0.2">
      <c r="B1949" s="876">
        <v>2240</v>
      </c>
      <c r="C1949" s="876" t="s">
        <v>2960</v>
      </c>
      <c r="D1949" s="851">
        <v>654.89999399999999</v>
      </c>
    </row>
    <row r="1950" spans="2:4" x14ac:dyDescent="0.2">
      <c r="B1950" s="876">
        <v>2241</v>
      </c>
      <c r="C1950" s="876" t="s">
        <v>2961</v>
      </c>
      <c r="D1950" s="851">
        <v>613.69090700000004</v>
      </c>
    </row>
    <row r="1951" spans="2:4" x14ac:dyDescent="0.2">
      <c r="B1951" s="876">
        <v>2242</v>
      </c>
      <c r="C1951" s="876" t="s">
        <v>2962</v>
      </c>
      <c r="D1951" s="851">
        <v>617.32858699999997</v>
      </c>
    </row>
    <row r="1952" spans="2:4" x14ac:dyDescent="0.2">
      <c r="B1952" s="876">
        <v>2243</v>
      </c>
      <c r="C1952" s="876" t="s">
        <v>2963</v>
      </c>
      <c r="D1952" s="851">
        <v>627.45000600000003</v>
      </c>
    </row>
    <row r="1953" spans="2:4" x14ac:dyDescent="0.2">
      <c r="B1953" s="876">
        <v>2244</v>
      </c>
      <c r="C1953" s="876" t="s">
        <v>2964</v>
      </c>
      <c r="D1953" s="851">
        <v>828.60000200000002</v>
      </c>
    </row>
    <row r="1954" spans="2:4" x14ac:dyDescent="0.2">
      <c r="B1954" s="876">
        <v>2245</v>
      </c>
      <c r="C1954" s="876" t="s">
        <v>2965</v>
      </c>
      <c r="D1954" s="851">
        <v>639.52499399999999</v>
      </c>
    </row>
    <row r="1955" spans="2:4" x14ac:dyDescent="0.2">
      <c r="B1955" s="876">
        <v>2246</v>
      </c>
      <c r="C1955" s="876" t="s">
        <v>2966</v>
      </c>
      <c r="D1955" s="851">
        <v>596.33331299999998</v>
      </c>
    </row>
    <row r="1956" spans="2:4" x14ac:dyDescent="0.2">
      <c r="B1956" s="876">
        <v>2247</v>
      </c>
      <c r="C1956" s="876" t="s">
        <v>2967</v>
      </c>
      <c r="D1956" s="851">
        <v>862.27499399999999</v>
      </c>
    </row>
    <row r="1957" spans="2:4" x14ac:dyDescent="0.2">
      <c r="B1957" s="876">
        <v>2248</v>
      </c>
      <c r="C1957" s="876" t="s">
        <v>1639</v>
      </c>
      <c r="D1957" s="851">
        <v>607.88000499999998</v>
      </c>
    </row>
    <row r="1958" spans="2:4" x14ac:dyDescent="0.2">
      <c r="B1958" s="876">
        <v>2249</v>
      </c>
      <c r="C1958" s="876" t="s">
        <v>2968</v>
      </c>
      <c r="D1958" s="851">
        <v>652.29998799999998</v>
      </c>
    </row>
    <row r="1959" spans="2:4" x14ac:dyDescent="0.2">
      <c r="B1959" s="876">
        <v>2250</v>
      </c>
      <c r="C1959" s="876" t="s">
        <v>1885</v>
      </c>
      <c r="D1959" s="851">
        <v>630.45999099999995</v>
      </c>
    </row>
    <row r="1960" spans="2:4" x14ac:dyDescent="0.2">
      <c r="B1960" s="876">
        <v>2251</v>
      </c>
      <c r="C1960" s="876" t="s">
        <v>2969</v>
      </c>
      <c r="D1960" s="851">
        <v>689.81428700000004</v>
      </c>
    </row>
    <row r="1961" spans="2:4" x14ac:dyDescent="0.2">
      <c r="B1961" s="876">
        <v>2252</v>
      </c>
      <c r="C1961" s="876" t="s">
        <v>2609</v>
      </c>
      <c r="D1961" s="851">
        <v>595.64999399999999</v>
      </c>
    </row>
    <row r="1962" spans="2:4" x14ac:dyDescent="0.2">
      <c r="B1962" s="876">
        <v>2253</v>
      </c>
      <c r="C1962" s="876" t="s">
        <v>2970</v>
      </c>
      <c r="D1962" s="851">
        <v>600.52499399999999</v>
      </c>
    </row>
    <row r="1963" spans="2:4" x14ac:dyDescent="0.2">
      <c r="B1963" s="876">
        <v>2254</v>
      </c>
      <c r="C1963" s="876" t="s">
        <v>2971</v>
      </c>
      <c r="D1963" s="851">
        <v>654.45001200000002</v>
      </c>
    </row>
    <row r="1964" spans="2:4" x14ac:dyDescent="0.2">
      <c r="B1964" s="876">
        <v>2255</v>
      </c>
      <c r="C1964" s="876" t="s">
        <v>2972</v>
      </c>
      <c r="D1964" s="851">
        <v>595.15455199999997</v>
      </c>
    </row>
    <row r="1965" spans="2:4" x14ac:dyDescent="0.2">
      <c r="B1965" s="876">
        <v>2256</v>
      </c>
      <c r="C1965" s="876" t="s">
        <v>2973</v>
      </c>
      <c r="D1965" s="851">
        <v>803.19166600000005</v>
      </c>
    </row>
    <row r="1966" spans="2:4" x14ac:dyDescent="0.2">
      <c r="B1966" s="876">
        <v>2257</v>
      </c>
      <c r="C1966" s="876" t="s">
        <v>2974</v>
      </c>
      <c r="D1966" s="851">
        <v>669.95001200000002</v>
      </c>
    </row>
    <row r="1967" spans="2:4" x14ac:dyDescent="0.2">
      <c r="B1967" s="876">
        <v>2258</v>
      </c>
      <c r="C1967" s="876" t="s">
        <v>2975</v>
      </c>
      <c r="D1967" s="851">
        <v>642.38000499999998</v>
      </c>
    </row>
    <row r="1968" spans="2:4" x14ac:dyDescent="0.2">
      <c r="B1968" s="876">
        <v>2259</v>
      </c>
      <c r="C1968" s="876" t="s">
        <v>2976</v>
      </c>
      <c r="D1968" s="851">
        <v>655.52499399999999</v>
      </c>
    </row>
    <row r="1969" spans="2:4" x14ac:dyDescent="0.2">
      <c r="B1969" s="876">
        <v>2260</v>
      </c>
      <c r="C1969" s="876" t="s">
        <v>2977</v>
      </c>
      <c r="D1969" s="851">
        <v>611.35454200000004</v>
      </c>
    </row>
    <row r="1970" spans="2:4" x14ac:dyDescent="0.2">
      <c r="B1970" s="876">
        <v>2261</v>
      </c>
      <c r="C1970" s="876" t="s">
        <v>2978</v>
      </c>
      <c r="D1970" s="851">
        <v>626.51428199999998</v>
      </c>
    </row>
    <row r="1971" spans="2:4" x14ac:dyDescent="0.2">
      <c r="B1971" s="876">
        <v>2262</v>
      </c>
      <c r="C1971" s="876" t="s">
        <v>2979</v>
      </c>
      <c r="D1971" s="851">
        <v>641.68001700000002</v>
      </c>
    </row>
    <row r="1972" spans="2:4" x14ac:dyDescent="0.2">
      <c r="B1972" s="876">
        <v>2263</v>
      </c>
      <c r="C1972" s="876" t="s">
        <v>2980</v>
      </c>
      <c r="D1972" s="851">
        <v>627.85000600000001</v>
      </c>
    </row>
    <row r="1973" spans="2:4" x14ac:dyDescent="0.2">
      <c r="B1973" s="876">
        <v>2264</v>
      </c>
      <c r="C1973" s="876" t="s">
        <v>2981</v>
      </c>
      <c r="D1973" s="851">
        <v>641.01666299999999</v>
      </c>
    </row>
    <row r="1974" spans="2:4" x14ac:dyDescent="0.2">
      <c r="B1974" s="876">
        <v>2265</v>
      </c>
      <c r="C1974" s="876" t="s">
        <v>2982</v>
      </c>
      <c r="D1974" s="851">
        <v>616.44000200000005</v>
      </c>
    </row>
    <row r="1975" spans="2:4" x14ac:dyDescent="0.2">
      <c r="B1975" s="876">
        <v>2266</v>
      </c>
      <c r="C1975" s="876" t="s">
        <v>2983</v>
      </c>
      <c r="D1975" s="851">
        <v>669.30001800000002</v>
      </c>
    </row>
    <row r="1976" spans="2:4" x14ac:dyDescent="0.2">
      <c r="B1976" s="876">
        <v>2267</v>
      </c>
      <c r="C1976" s="876" t="s">
        <v>2331</v>
      </c>
      <c r="D1976" s="851">
        <v>648.389996</v>
      </c>
    </row>
    <row r="1977" spans="2:4" x14ac:dyDescent="0.2">
      <c r="B1977" s="876">
        <v>2268</v>
      </c>
      <c r="C1977" s="876" t="s">
        <v>2984</v>
      </c>
      <c r="D1977" s="851">
        <v>642.20001200000002</v>
      </c>
    </row>
    <row r="1978" spans="2:4" x14ac:dyDescent="0.2">
      <c r="B1978" s="876">
        <v>2269</v>
      </c>
      <c r="C1978" s="876" t="s">
        <v>2985</v>
      </c>
      <c r="D1978" s="851">
        <v>623.29998799999998</v>
      </c>
    </row>
    <row r="1979" spans="2:4" x14ac:dyDescent="0.2">
      <c r="B1979" s="876">
        <v>2270</v>
      </c>
      <c r="C1979" s="876" t="s">
        <v>2986</v>
      </c>
      <c r="D1979" s="851">
        <v>623.32000700000003</v>
      </c>
    </row>
    <row r="1980" spans="2:4" x14ac:dyDescent="0.2">
      <c r="B1980" s="876">
        <v>2271</v>
      </c>
      <c r="C1980" s="876" t="s">
        <v>2987</v>
      </c>
      <c r="D1980" s="851">
        <v>715.01999499999999</v>
      </c>
    </row>
    <row r="1981" spans="2:4" x14ac:dyDescent="0.2">
      <c r="B1981" s="876">
        <v>2272</v>
      </c>
      <c r="C1981" s="876" t="s">
        <v>2988</v>
      </c>
      <c r="D1981" s="851">
        <v>616.93335000000002</v>
      </c>
    </row>
    <row r="1982" spans="2:4" x14ac:dyDescent="0.2">
      <c r="B1982" s="876">
        <v>2273</v>
      </c>
      <c r="C1982" s="876" t="s">
        <v>2989</v>
      </c>
      <c r="D1982" s="851">
        <v>645.20000300000004</v>
      </c>
    </row>
    <row r="1983" spans="2:4" x14ac:dyDescent="0.2">
      <c r="B1983" s="876">
        <v>2274</v>
      </c>
      <c r="C1983" s="876" t="s">
        <v>2990</v>
      </c>
      <c r="D1983" s="851">
        <v>644.25</v>
      </c>
    </row>
    <row r="1984" spans="2:4" x14ac:dyDescent="0.2">
      <c r="B1984" s="876">
        <v>2275</v>
      </c>
      <c r="C1984" s="876" t="s">
        <v>2991</v>
      </c>
      <c r="D1984" s="851">
        <v>603.10000200000002</v>
      </c>
    </row>
    <row r="1985" spans="2:4" x14ac:dyDescent="0.2">
      <c r="B1985" s="876">
        <v>2276</v>
      </c>
      <c r="C1985" s="876" t="s">
        <v>2992</v>
      </c>
      <c r="D1985" s="851">
        <v>618.75</v>
      </c>
    </row>
    <row r="1986" spans="2:4" x14ac:dyDescent="0.2">
      <c r="B1986" s="876">
        <v>2277</v>
      </c>
      <c r="C1986" s="876" t="s">
        <v>2993</v>
      </c>
      <c r="D1986" s="851">
        <v>666.90000399999997</v>
      </c>
    </row>
    <row r="1987" spans="2:4" x14ac:dyDescent="0.2">
      <c r="B1987" s="876">
        <v>2278</v>
      </c>
      <c r="C1987" s="876" t="s">
        <v>2994</v>
      </c>
      <c r="D1987" s="851">
        <v>681.84997599999997</v>
      </c>
    </row>
    <row r="1988" spans="2:4" x14ac:dyDescent="0.2">
      <c r="B1988" s="876">
        <v>2279</v>
      </c>
      <c r="C1988" s="876" t="s">
        <v>2995</v>
      </c>
      <c r="D1988" s="851">
        <v>752.44286199999999</v>
      </c>
    </row>
    <row r="1989" spans="2:4" x14ac:dyDescent="0.2">
      <c r="B1989" s="876">
        <v>2280</v>
      </c>
      <c r="C1989" s="876" t="s">
        <v>2996</v>
      </c>
      <c r="D1989" s="851">
        <v>622.01667299999997</v>
      </c>
    </row>
    <row r="1990" spans="2:4" x14ac:dyDescent="0.2">
      <c r="B1990" s="876">
        <v>2281</v>
      </c>
      <c r="C1990" s="876" t="s">
        <v>2997</v>
      </c>
      <c r="D1990" s="851">
        <v>658.29999499999997</v>
      </c>
    </row>
    <row r="1991" spans="2:4" x14ac:dyDescent="0.2">
      <c r="B1991" s="876">
        <v>2282</v>
      </c>
      <c r="C1991" s="876" t="s">
        <v>2998</v>
      </c>
      <c r="D1991" s="851">
        <v>639.61764700000003</v>
      </c>
    </row>
    <row r="1992" spans="2:4" x14ac:dyDescent="0.2">
      <c r="B1992" s="876">
        <v>2283</v>
      </c>
      <c r="C1992" s="876" t="s">
        <v>2999</v>
      </c>
      <c r="D1992" s="851">
        <v>654.20001200000002</v>
      </c>
    </row>
    <row r="1993" spans="2:4" x14ac:dyDescent="0.2">
      <c r="B1993" s="876">
        <v>2284</v>
      </c>
      <c r="C1993" s="876" t="s">
        <v>3000</v>
      </c>
      <c r="D1993" s="851">
        <v>644.14999399999999</v>
      </c>
    </row>
    <row r="1994" spans="2:4" x14ac:dyDescent="0.2">
      <c r="B1994" s="876">
        <v>2285</v>
      </c>
      <c r="C1994" s="876" t="s">
        <v>3001</v>
      </c>
      <c r="D1994" s="851">
        <v>664.25</v>
      </c>
    </row>
    <row r="1995" spans="2:4" x14ac:dyDescent="0.2">
      <c r="B1995" s="876">
        <v>2286</v>
      </c>
      <c r="C1995" s="876" t="s">
        <v>1615</v>
      </c>
      <c r="D1995" s="851">
        <v>617.19999199999995</v>
      </c>
    </row>
    <row r="1996" spans="2:4" x14ac:dyDescent="0.2">
      <c r="B1996" s="876">
        <v>2287</v>
      </c>
      <c r="C1996" s="876" t="s">
        <v>3002</v>
      </c>
      <c r="D1996" s="851">
        <v>633.22500600000001</v>
      </c>
    </row>
    <row r="1997" spans="2:4" x14ac:dyDescent="0.2">
      <c r="B1997" s="876">
        <v>2288</v>
      </c>
      <c r="C1997" s="876" t="s">
        <v>3003</v>
      </c>
      <c r="D1997" s="851">
        <v>821.09999400000004</v>
      </c>
    </row>
    <row r="1998" spans="2:4" x14ac:dyDescent="0.2">
      <c r="B1998" s="876">
        <v>2289</v>
      </c>
      <c r="C1998" s="876" t="s">
        <v>3004</v>
      </c>
      <c r="D1998" s="851">
        <v>726.93332899999996</v>
      </c>
    </row>
    <row r="1999" spans="2:4" x14ac:dyDescent="0.2">
      <c r="B1999" s="876">
        <v>2290</v>
      </c>
      <c r="C1999" s="876" t="s">
        <v>1631</v>
      </c>
      <c r="D1999" s="851">
        <v>746.74999200000002</v>
      </c>
    </row>
    <row r="2000" spans="2:4" x14ac:dyDescent="0.2">
      <c r="B2000" s="876">
        <v>2291</v>
      </c>
      <c r="C2000" s="876" t="s">
        <v>3005</v>
      </c>
      <c r="D2000" s="851">
        <v>601.24286800000004</v>
      </c>
    </row>
    <row r="2001" spans="2:4" x14ac:dyDescent="0.2">
      <c r="B2001" s="876">
        <v>2292</v>
      </c>
      <c r="C2001" s="876" t="s">
        <v>3006</v>
      </c>
      <c r="D2001" s="851">
        <v>636.94000200000005</v>
      </c>
    </row>
    <row r="2002" spans="2:4" x14ac:dyDescent="0.2">
      <c r="B2002" s="876">
        <v>2293</v>
      </c>
      <c r="C2002" s="876" t="s">
        <v>3007</v>
      </c>
      <c r="D2002" s="851">
        <v>636.79999699999996</v>
      </c>
    </row>
    <row r="2003" spans="2:4" x14ac:dyDescent="0.2">
      <c r="B2003" s="876">
        <v>2294</v>
      </c>
      <c r="C2003" s="876" t="s">
        <v>1620</v>
      </c>
      <c r="D2003" s="851">
        <v>774.20833300000004</v>
      </c>
    </row>
    <row r="2004" spans="2:4" x14ac:dyDescent="0.2">
      <c r="B2004" s="876">
        <v>2295</v>
      </c>
      <c r="C2004" s="876" t="s">
        <v>3008</v>
      </c>
      <c r="D2004" s="851">
        <v>634.70001200000002</v>
      </c>
    </row>
    <row r="2005" spans="2:4" x14ac:dyDescent="0.2">
      <c r="B2005" s="876">
        <v>2296</v>
      </c>
      <c r="C2005" s="876" t="s">
        <v>3009</v>
      </c>
      <c r="D2005" s="851">
        <v>611.03333899999996</v>
      </c>
    </row>
    <row r="2006" spans="2:4" x14ac:dyDescent="0.2">
      <c r="B2006" s="876">
        <v>2297</v>
      </c>
      <c r="C2006" s="876" t="s">
        <v>3010</v>
      </c>
      <c r="D2006" s="851">
        <v>668.15001400000006</v>
      </c>
    </row>
    <row r="2007" spans="2:4" x14ac:dyDescent="0.2">
      <c r="B2007" s="876">
        <v>2298</v>
      </c>
      <c r="C2007" s="876" t="s">
        <v>3011</v>
      </c>
      <c r="D2007" s="851">
        <v>614.30000800000005</v>
      </c>
    </row>
    <row r="2008" spans="2:4" x14ac:dyDescent="0.2">
      <c r="B2008" s="876">
        <v>2299</v>
      </c>
      <c r="C2008" s="876" t="s">
        <v>3012</v>
      </c>
      <c r="D2008" s="851">
        <v>617.75454400000001</v>
      </c>
    </row>
    <row r="2009" spans="2:4" x14ac:dyDescent="0.2">
      <c r="B2009" s="876">
        <v>2300</v>
      </c>
      <c r="C2009" s="876" t="s">
        <v>3013</v>
      </c>
      <c r="D2009" s="851">
        <v>682.89999399999999</v>
      </c>
    </row>
    <row r="2010" spans="2:4" x14ac:dyDescent="0.2">
      <c r="B2010" s="876">
        <v>2301</v>
      </c>
      <c r="C2010" s="876" t="s">
        <v>3014</v>
      </c>
      <c r="D2010" s="851">
        <v>851.68333900000005</v>
      </c>
    </row>
    <row r="2011" spans="2:4" x14ac:dyDescent="0.2">
      <c r="B2011" s="876">
        <v>2302</v>
      </c>
      <c r="C2011" s="876" t="s">
        <v>3015</v>
      </c>
      <c r="D2011" s="851">
        <v>865.42498799999998</v>
      </c>
    </row>
    <row r="2012" spans="2:4" x14ac:dyDescent="0.2">
      <c r="B2012" s="876">
        <v>2303</v>
      </c>
      <c r="C2012" s="876" t="s">
        <v>3016</v>
      </c>
      <c r="D2012" s="851">
        <v>623.870001</v>
      </c>
    </row>
    <row r="2013" spans="2:4" x14ac:dyDescent="0.2">
      <c r="B2013" s="876">
        <v>2304</v>
      </c>
      <c r="C2013" s="876" t="s">
        <v>3017</v>
      </c>
      <c r="D2013" s="851">
        <v>812.29999699999996</v>
      </c>
    </row>
    <row r="2014" spans="2:4" x14ac:dyDescent="0.2">
      <c r="B2014" s="876">
        <v>2305</v>
      </c>
      <c r="C2014" s="876" t="s">
        <v>3018</v>
      </c>
      <c r="D2014" s="851">
        <v>810.78000499999996</v>
      </c>
    </row>
    <row r="2015" spans="2:4" x14ac:dyDescent="0.2">
      <c r="B2015" s="876">
        <v>2306</v>
      </c>
      <c r="C2015" s="876" t="s">
        <v>3019</v>
      </c>
      <c r="D2015" s="851">
        <v>846.92498799999998</v>
      </c>
    </row>
    <row r="2016" spans="2:4" x14ac:dyDescent="0.2">
      <c r="B2016" s="876">
        <v>2307</v>
      </c>
      <c r="C2016" s="876" t="s">
        <v>3020</v>
      </c>
      <c r="D2016" s="851">
        <v>641.02499399999999</v>
      </c>
    </row>
    <row r="2017" spans="2:4" x14ac:dyDescent="0.2">
      <c r="B2017" s="876">
        <v>2308</v>
      </c>
      <c r="C2017" s="876" t="s">
        <v>2522</v>
      </c>
      <c r="D2017" s="851">
        <v>853.90001199999995</v>
      </c>
    </row>
    <row r="2018" spans="2:4" x14ac:dyDescent="0.2">
      <c r="B2018" s="876">
        <v>2309</v>
      </c>
      <c r="C2018" s="876" t="s">
        <v>3021</v>
      </c>
      <c r="D2018" s="851">
        <v>604.94999700000005</v>
      </c>
    </row>
    <row r="2019" spans="2:4" x14ac:dyDescent="0.2">
      <c r="B2019" s="876">
        <v>2310</v>
      </c>
      <c r="C2019" s="876" t="s">
        <v>3022</v>
      </c>
      <c r="D2019" s="851">
        <v>638.36000999999999</v>
      </c>
    </row>
    <row r="2020" spans="2:4" x14ac:dyDescent="0.2">
      <c r="B2020" s="876">
        <v>2311</v>
      </c>
      <c r="C2020" s="876" t="s">
        <v>3023</v>
      </c>
      <c r="D2020" s="851">
        <v>768.35000600000001</v>
      </c>
    </row>
    <row r="2021" spans="2:4" x14ac:dyDescent="0.2">
      <c r="B2021" s="876">
        <v>2312</v>
      </c>
      <c r="C2021" s="876" t="s">
        <v>3024</v>
      </c>
      <c r="D2021" s="851">
        <v>621.92500299999995</v>
      </c>
    </row>
    <row r="2022" spans="2:4" x14ac:dyDescent="0.2">
      <c r="B2022" s="876">
        <v>2313</v>
      </c>
      <c r="C2022" s="876" t="s">
        <v>3025</v>
      </c>
      <c r="D2022" s="851">
        <v>625.05714599999999</v>
      </c>
    </row>
    <row r="2023" spans="2:4" x14ac:dyDescent="0.2">
      <c r="B2023" s="876">
        <v>2314</v>
      </c>
      <c r="C2023" s="876" t="s">
        <v>3026</v>
      </c>
      <c r="D2023" s="851">
        <v>658.19998199999998</v>
      </c>
    </row>
    <row r="2024" spans="2:4" x14ac:dyDescent="0.2">
      <c r="B2024" s="876">
        <v>2315</v>
      </c>
      <c r="C2024" s="876" t="s">
        <v>3027</v>
      </c>
      <c r="D2024" s="851">
        <v>612.0625</v>
      </c>
    </row>
    <row r="2025" spans="2:4" x14ac:dyDescent="0.2">
      <c r="B2025" s="876">
        <v>2316</v>
      </c>
      <c r="C2025" s="876" t="s">
        <v>3028</v>
      </c>
      <c r="D2025" s="851">
        <v>603.55000299999995</v>
      </c>
    </row>
    <row r="2026" spans="2:4" x14ac:dyDescent="0.2">
      <c r="B2026" s="876">
        <v>2317</v>
      </c>
      <c r="C2026" s="876" t="s">
        <v>3029</v>
      </c>
      <c r="D2026" s="851">
        <v>636.69999199999995</v>
      </c>
    </row>
    <row r="2027" spans="2:4" x14ac:dyDescent="0.2">
      <c r="B2027" s="876">
        <v>2318</v>
      </c>
      <c r="C2027" s="876" t="s">
        <v>3030</v>
      </c>
      <c r="D2027" s="851">
        <v>610.74998500000004</v>
      </c>
    </row>
    <row r="2028" spans="2:4" x14ac:dyDescent="0.2">
      <c r="B2028" s="876">
        <v>2319</v>
      </c>
      <c r="C2028" s="876" t="s">
        <v>2376</v>
      </c>
      <c r="D2028" s="851">
        <v>613.03333499999997</v>
      </c>
    </row>
    <row r="2029" spans="2:4" x14ac:dyDescent="0.2">
      <c r="B2029" s="876">
        <v>2320</v>
      </c>
      <c r="C2029" s="876" t="s">
        <v>3031</v>
      </c>
      <c r="D2029" s="851">
        <v>624.09999100000005</v>
      </c>
    </row>
    <row r="2030" spans="2:4" x14ac:dyDescent="0.2">
      <c r="B2030" s="876">
        <v>2321</v>
      </c>
      <c r="C2030" s="876" t="s">
        <v>3032</v>
      </c>
      <c r="D2030" s="851">
        <v>610.875</v>
      </c>
    </row>
    <row r="2031" spans="2:4" x14ac:dyDescent="0.2">
      <c r="B2031" s="876">
        <v>2322</v>
      </c>
      <c r="C2031" s="876" t="s">
        <v>2551</v>
      </c>
      <c r="D2031" s="851">
        <v>663.75713699999994</v>
      </c>
    </row>
    <row r="2032" spans="2:4" x14ac:dyDescent="0.2">
      <c r="B2032" s="876">
        <v>2323</v>
      </c>
      <c r="C2032" s="876" t="s">
        <v>3033</v>
      </c>
      <c r="D2032" s="851">
        <v>678.66667700000005</v>
      </c>
    </row>
    <row r="2033" spans="2:4" x14ac:dyDescent="0.2">
      <c r="B2033" s="876">
        <v>2324</v>
      </c>
      <c r="C2033" s="876" t="s">
        <v>3034</v>
      </c>
      <c r="D2033" s="851">
        <v>619.13750500000003</v>
      </c>
    </row>
    <row r="2034" spans="2:4" x14ac:dyDescent="0.2">
      <c r="B2034" s="876">
        <v>2325</v>
      </c>
      <c r="C2034" s="876" t="s">
        <v>3035</v>
      </c>
      <c r="D2034" s="851">
        <v>609.59999600000003</v>
      </c>
    </row>
    <row r="2035" spans="2:4" x14ac:dyDescent="0.2">
      <c r="B2035" s="876">
        <v>2326</v>
      </c>
      <c r="C2035" s="876" t="s">
        <v>3036</v>
      </c>
      <c r="D2035" s="851">
        <v>778.56666099999995</v>
      </c>
    </row>
    <row r="2036" spans="2:4" x14ac:dyDescent="0.2">
      <c r="B2036" s="876">
        <v>2327</v>
      </c>
      <c r="C2036" s="876" t="s">
        <v>3037</v>
      </c>
      <c r="D2036" s="851">
        <v>624.385716</v>
      </c>
    </row>
    <row r="2037" spans="2:4" x14ac:dyDescent="0.2">
      <c r="B2037" s="876">
        <v>2328</v>
      </c>
      <c r="C2037" s="876" t="s">
        <v>3038</v>
      </c>
      <c r="D2037" s="851">
        <v>645.90002400000003</v>
      </c>
    </row>
    <row r="2038" spans="2:4" x14ac:dyDescent="0.2">
      <c r="B2038" s="876">
        <v>2329</v>
      </c>
      <c r="C2038" s="876" t="s">
        <v>3039</v>
      </c>
      <c r="D2038" s="851">
        <v>640.46250199999997</v>
      </c>
    </row>
    <row r="2039" spans="2:4" x14ac:dyDescent="0.2">
      <c r="B2039" s="876">
        <v>2330</v>
      </c>
      <c r="C2039" s="876" t="s">
        <v>3040</v>
      </c>
      <c r="D2039" s="851">
        <v>636.21999500000004</v>
      </c>
    </row>
    <row r="2040" spans="2:4" x14ac:dyDescent="0.2">
      <c r="B2040" s="876">
        <v>2331</v>
      </c>
      <c r="C2040" s="876" t="s">
        <v>3041</v>
      </c>
      <c r="D2040" s="851">
        <v>763.29999899999996</v>
      </c>
    </row>
    <row r="2041" spans="2:4" x14ac:dyDescent="0.2">
      <c r="B2041" s="876">
        <v>2332</v>
      </c>
      <c r="C2041" s="876" t="s">
        <v>3042</v>
      </c>
      <c r="D2041" s="851">
        <v>625.25</v>
      </c>
    </row>
    <row r="2042" spans="2:4" x14ac:dyDescent="0.2">
      <c r="B2042" s="876">
        <v>2333</v>
      </c>
      <c r="C2042" s="876" t="s">
        <v>3043</v>
      </c>
      <c r="D2042" s="851">
        <v>726.52000699999996</v>
      </c>
    </row>
    <row r="2043" spans="2:4" x14ac:dyDescent="0.2">
      <c r="B2043" s="876">
        <v>2334</v>
      </c>
      <c r="C2043" s="876" t="s">
        <v>2494</v>
      </c>
      <c r="D2043" s="851">
        <v>722.59997599999997</v>
      </c>
    </row>
    <row r="2044" spans="2:4" x14ac:dyDescent="0.2">
      <c r="B2044" s="876">
        <v>2335</v>
      </c>
      <c r="C2044" s="876" t="s">
        <v>3044</v>
      </c>
      <c r="D2044" s="851">
        <v>673.23331700000006</v>
      </c>
    </row>
    <row r="2045" spans="2:4" x14ac:dyDescent="0.2">
      <c r="B2045" s="876">
        <v>2336</v>
      </c>
      <c r="C2045" s="876" t="s">
        <v>3045</v>
      </c>
      <c r="D2045" s="851">
        <v>612.39998400000002</v>
      </c>
    </row>
    <row r="2046" spans="2:4" x14ac:dyDescent="0.2">
      <c r="B2046" s="876">
        <v>2337</v>
      </c>
      <c r="C2046" s="876" t="s">
        <v>3046</v>
      </c>
      <c r="D2046" s="851">
        <v>632.65999799999997</v>
      </c>
    </row>
    <row r="2047" spans="2:4" x14ac:dyDescent="0.2">
      <c r="B2047" s="876">
        <v>2338</v>
      </c>
      <c r="C2047" s="876" t="s">
        <v>3047</v>
      </c>
      <c r="D2047" s="851">
        <v>645.46667500000001</v>
      </c>
    </row>
    <row r="2048" spans="2:4" x14ac:dyDescent="0.2">
      <c r="B2048" s="876">
        <v>2339</v>
      </c>
      <c r="C2048" s="876" t="s">
        <v>3048</v>
      </c>
      <c r="D2048" s="851">
        <v>664.85000600000001</v>
      </c>
    </row>
    <row r="2049" spans="2:4" x14ac:dyDescent="0.2">
      <c r="B2049" s="876">
        <v>2340</v>
      </c>
      <c r="C2049" s="876" t="s">
        <v>3049</v>
      </c>
      <c r="D2049" s="851">
        <v>751.81999499999995</v>
      </c>
    </row>
    <row r="2050" spans="2:4" x14ac:dyDescent="0.2">
      <c r="B2050" s="876">
        <v>2341</v>
      </c>
      <c r="C2050" s="876" t="s">
        <v>3050</v>
      </c>
      <c r="D2050" s="851">
        <v>714.13751200000002</v>
      </c>
    </row>
    <row r="2051" spans="2:4" x14ac:dyDescent="0.2">
      <c r="B2051" s="876">
        <v>2342</v>
      </c>
      <c r="C2051" s="876" t="s">
        <v>3051</v>
      </c>
      <c r="D2051" s="851">
        <v>677.90002400000003</v>
      </c>
    </row>
    <row r="2052" spans="2:4" x14ac:dyDescent="0.2">
      <c r="B2052" s="876">
        <v>2343</v>
      </c>
      <c r="C2052" s="876" t="s">
        <v>3052</v>
      </c>
      <c r="D2052" s="851">
        <v>626.04000199999996</v>
      </c>
    </row>
    <row r="2053" spans="2:4" x14ac:dyDescent="0.2">
      <c r="B2053" s="876">
        <v>2344</v>
      </c>
      <c r="C2053" s="876" t="s">
        <v>3053</v>
      </c>
      <c r="D2053" s="851">
        <v>659.56667100000004</v>
      </c>
    </row>
    <row r="2054" spans="2:4" x14ac:dyDescent="0.2">
      <c r="B2054" s="876">
        <v>2345</v>
      </c>
      <c r="C2054" s="876" t="s">
        <v>3054</v>
      </c>
      <c r="D2054" s="851">
        <v>757.90000399999997</v>
      </c>
    </row>
    <row r="2055" spans="2:4" x14ac:dyDescent="0.2">
      <c r="B2055" s="876">
        <v>2346</v>
      </c>
      <c r="C2055" s="876" t="s">
        <v>3055</v>
      </c>
      <c r="D2055" s="851">
        <v>652.125</v>
      </c>
    </row>
    <row r="2056" spans="2:4" x14ac:dyDescent="0.2">
      <c r="B2056" s="876">
        <v>2347</v>
      </c>
      <c r="C2056" s="876" t="s">
        <v>3056</v>
      </c>
      <c r="D2056" s="851">
        <v>673.03333499999997</v>
      </c>
    </row>
    <row r="2057" spans="2:4" x14ac:dyDescent="0.2">
      <c r="B2057" s="876">
        <v>2348</v>
      </c>
      <c r="C2057" s="876" t="s">
        <v>3057</v>
      </c>
      <c r="D2057" s="851">
        <v>886.61999500000002</v>
      </c>
    </row>
    <row r="2058" spans="2:4" x14ac:dyDescent="0.2">
      <c r="B2058" s="876">
        <v>2349</v>
      </c>
      <c r="C2058" s="876" t="s">
        <v>3058</v>
      </c>
      <c r="D2058" s="851">
        <v>636.31999499999995</v>
      </c>
    </row>
    <row r="2059" spans="2:4" x14ac:dyDescent="0.2">
      <c r="B2059" s="876">
        <v>2350</v>
      </c>
      <c r="C2059" s="876" t="s">
        <v>3059</v>
      </c>
      <c r="D2059" s="851">
        <v>634.53334600000005</v>
      </c>
    </row>
    <row r="2060" spans="2:4" x14ac:dyDescent="0.2">
      <c r="B2060" s="876">
        <v>2351</v>
      </c>
      <c r="C2060" s="876" t="s">
        <v>3060</v>
      </c>
      <c r="D2060" s="851">
        <v>867.02499399999999</v>
      </c>
    </row>
    <row r="2061" spans="2:4" x14ac:dyDescent="0.2">
      <c r="B2061" s="876">
        <v>2352</v>
      </c>
      <c r="C2061" s="876" t="s">
        <v>2404</v>
      </c>
      <c r="D2061" s="851">
        <v>821.77499399999999</v>
      </c>
    </row>
    <row r="2062" spans="2:4" x14ac:dyDescent="0.2">
      <c r="B2062" s="876">
        <v>2353</v>
      </c>
      <c r="C2062" s="876" t="s">
        <v>3061</v>
      </c>
      <c r="D2062" s="851">
        <v>874.05000800000005</v>
      </c>
    </row>
    <row r="2063" spans="2:4" x14ac:dyDescent="0.2">
      <c r="B2063" s="876">
        <v>2354</v>
      </c>
      <c r="C2063" s="876" t="s">
        <v>3062</v>
      </c>
      <c r="D2063" s="851">
        <v>809.44998199999998</v>
      </c>
    </row>
    <row r="2064" spans="2:4" x14ac:dyDescent="0.2">
      <c r="B2064" s="876">
        <v>2355</v>
      </c>
      <c r="C2064" s="876" t="s">
        <v>3063</v>
      </c>
      <c r="D2064" s="851">
        <v>831.77999299999999</v>
      </c>
    </row>
    <row r="2065" spans="2:4" x14ac:dyDescent="0.2">
      <c r="B2065" s="876">
        <v>2356</v>
      </c>
      <c r="C2065" s="876" t="s">
        <v>3064</v>
      </c>
      <c r="D2065" s="851">
        <v>847.47500600000001</v>
      </c>
    </row>
    <row r="2066" spans="2:4" x14ac:dyDescent="0.2">
      <c r="B2066" s="876">
        <v>2357</v>
      </c>
      <c r="C2066" s="876" t="s">
        <v>3065</v>
      </c>
      <c r="D2066" s="851">
        <v>900.40000399999997</v>
      </c>
    </row>
    <row r="2067" spans="2:4" x14ac:dyDescent="0.2">
      <c r="B2067" s="876">
        <v>2358</v>
      </c>
      <c r="C2067" s="876" t="s">
        <v>3066</v>
      </c>
      <c r="D2067" s="851">
        <v>869.88572499999998</v>
      </c>
    </row>
    <row r="2068" spans="2:4" x14ac:dyDescent="0.2">
      <c r="B2068" s="876">
        <v>2359</v>
      </c>
      <c r="C2068" s="876" t="s">
        <v>3067</v>
      </c>
      <c r="D2068" s="851">
        <v>839.09999600000003</v>
      </c>
    </row>
    <row r="2069" spans="2:4" x14ac:dyDescent="0.2">
      <c r="B2069" s="876">
        <v>2360</v>
      </c>
      <c r="C2069" s="876" t="s">
        <v>3068</v>
      </c>
      <c r="D2069" s="851">
        <v>901.41817400000002</v>
      </c>
    </row>
    <row r="2070" spans="2:4" x14ac:dyDescent="0.2">
      <c r="B2070" s="876">
        <v>2361</v>
      </c>
      <c r="C2070" s="876" t="s">
        <v>3069</v>
      </c>
      <c r="D2070" s="851">
        <v>866.10000600000001</v>
      </c>
    </row>
    <row r="2071" spans="2:4" x14ac:dyDescent="0.2">
      <c r="B2071" s="876">
        <v>2362</v>
      </c>
      <c r="C2071" s="876" t="s">
        <v>3070</v>
      </c>
      <c r="D2071" s="851">
        <v>869.94286199999999</v>
      </c>
    </row>
    <row r="2072" spans="2:4" x14ac:dyDescent="0.2">
      <c r="B2072" s="876">
        <v>2363</v>
      </c>
      <c r="C2072" s="876" t="s">
        <v>3071</v>
      </c>
      <c r="D2072" s="851">
        <v>804.99999300000002</v>
      </c>
    </row>
    <row r="2073" spans="2:4" x14ac:dyDescent="0.2">
      <c r="B2073" s="876">
        <v>2364</v>
      </c>
      <c r="C2073" s="876" t="s">
        <v>3072</v>
      </c>
      <c r="D2073" s="851">
        <v>852.56001000000003</v>
      </c>
    </row>
    <row r="2074" spans="2:4" x14ac:dyDescent="0.2">
      <c r="B2074" s="876">
        <v>2365</v>
      </c>
      <c r="C2074" s="876" t="s">
        <v>3073</v>
      </c>
      <c r="D2074" s="851">
        <v>765.06664999999998</v>
      </c>
    </row>
    <row r="2075" spans="2:4" x14ac:dyDescent="0.2">
      <c r="B2075" s="876">
        <v>2366</v>
      </c>
      <c r="C2075" s="876" t="s">
        <v>2049</v>
      </c>
      <c r="D2075" s="851">
        <v>794.53332499999999</v>
      </c>
    </row>
    <row r="2076" spans="2:4" x14ac:dyDescent="0.2">
      <c r="B2076" s="876">
        <v>2367</v>
      </c>
      <c r="C2076" s="876" t="s">
        <v>3074</v>
      </c>
      <c r="D2076" s="851">
        <v>836.29998799999998</v>
      </c>
    </row>
    <row r="2077" spans="2:4" x14ac:dyDescent="0.2">
      <c r="B2077" s="876">
        <v>2368</v>
      </c>
      <c r="C2077" s="876" t="s">
        <v>3075</v>
      </c>
      <c r="D2077" s="851">
        <v>909.20001200000002</v>
      </c>
    </row>
    <row r="2078" spans="2:4" x14ac:dyDescent="0.2">
      <c r="B2078" s="876">
        <v>2369</v>
      </c>
      <c r="C2078" s="876" t="s">
        <v>3076</v>
      </c>
      <c r="D2078" s="851">
        <v>951.94999700000005</v>
      </c>
    </row>
    <row r="2079" spans="2:4" x14ac:dyDescent="0.2">
      <c r="B2079" s="876">
        <v>2370</v>
      </c>
      <c r="C2079" s="876" t="s">
        <v>3077</v>
      </c>
      <c r="D2079" s="851">
        <v>1010.274979</v>
      </c>
    </row>
    <row r="2080" spans="2:4" x14ac:dyDescent="0.2">
      <c r="B2080" s="876">
        <v>2371</v>
      </c>
      <c r="C2080" s="876" t="s">
        <v>3078</v>
      </c>
      <c r="D2080" s="851">
        <v>1037.034623</v>
      </c>
    </row>
    <row r="2081" spans="2:4" x14ac:dyDescent="0.2">
      <c r="B2081" s="876">
        <v>2372</v>
      </c>
      <c r="C2081" s="876" t="s">
        <v>3079</v>
      </c>
      <c r="D2081" s="851">
        <v>1097.128575</v>
      </c>
    </row>
    <row r="2082" spans="2:4" x14ac:dyDescent="0.2">
      <c r="B2082" s="876">
        <v>2373</v>
      </c>
      <c r="C2082" s="876" t="s">
        <v>3080</v>
      </c>
      <c r="D2082" s="851">
        <v>771.22000100000002</v>
      </c>
    </row>
    <row r="2083" spans="2:4" x14ac:dyDescent="0.2">
      <c r="B2083" s="876">
        <v>2374</v>
      </c>
      <c r="C2083" s="876" t="s">
        <v>3081</v>
      </c>
      <c r="D2083" s="851">
        <v>737.87999300000001</v>
      </c>
    </row>
    <row r="2084" spans="2:4" x14ac:dyDescent="0.2">
      <c r="B2084" s="876">
        <v>2375</v>
      </c>
      <c r="C2084" s="876" t="s">
        <v>3082</v>
      </c>
      <c r="D2084" s="851">
        <v>697.5</v>
      </c>
    </row>
    <row r="2085" spans="2:4" x14ac:dyDescent="0.2">
      <c r="B2085" s="876">
        <v>2376</v>
      </c>
      <c r="C2085" s="876" t="s">
        <v>3083</v>
      </c>
      <c r="D2085" s="851">
        <v>710.08181999999999</v>
      </c>
    </row>
    <row r="2086" spans="2:4" x14ac:dyDescent="0.2">
      <c r="B2086" s="876">
        <v>2377</v>
      </c>
      <c r="C2086" s="876" t="s">
        <v>3084</v>
      </c>
      <c r="D2086" s="851">
        <v>740.54999299999997</v>
      </c>
    </row>
    <row r="2087" spans="2:4" x14ac:dyDescent="0.2">
      <c r="B2087" s="876">
        <v>2378</v>
      </c>
      <c r="C2087" s="876" t="s">
        <v>3085</v>
      </c>
      <c r="D2087" s="851">
        <v>779.90000399999997</v>
      </c>
    </row>
    <row r="2088" spans="2:4" x14ac:dyDescent="0.2">
      <c r="B2088" s="876">
        <v>2379</v>
      </c>
      <c r="C2088" s="876" t="s">
        <v>3086</v>
      </c>
      <c r="D2088" s="851">
        <v>896.72499100000005</v>
      </c>
    </row>
    <row r="2089" spans="2:4" x14ac:dyDescent="0.2">
      <c r="B2089" s="876">
        <v>2380</v>
      </c>
      <c r="C2089" s="876" t="s">
        <v>3087</v>
      </c>
      <c r="D2089" s="851">
        <v>821.5</v>
      </c>
    </row>
    <row r="2090" spans="2:4" x14ac:dyDescent="0.2">
      <c r="B2090" s="876">
        <v>2381</v>
      </c>
      <c r="C2090" s="876" t="s">
        <v>3088</v>
      </c>
      <c r="D2090" s="851">
        <v>782.29999699999996</v>
      </c>
    </row>
    <row r="2091" spans="2:4" x14ac:dyDescent="0.2">
      <c r="B2091" s="876">
        <v>2382</v>
      </c>
      <c r="C2091" s="876" t="s">
        <v>3089</v>
      </c>
      <c r="D2091" s="851">
        <v>825.78000499999996</v>
      </c>
    </row>
    <row r="2092" spans="2:4" x14ac:dyDescent="0.2">
      <c r="B2092" s="876">
        <v>2383</v>
      </c>
      <c r="C2092" s="876" t="s">
        <v>3090</v>
      </c>
      <c r="D2092" s="851">
        <v>1049.819045</v>
      </c>
    </row>
    <row r="2093" spans="2:4" x14ac:dyDescent="0.2">
      <c r="B2093" s="876">
        <v>2384</v>
      </c>
      <c r="C2093" s="876" t="s">
        <v>3091</v>
      </c>
      <c r="D2093" s="851">
        <v>1064.9666540000001</v>
      </c>
    </row>
    <row r="2094" spans="2:4" x14ac:dyDescent="0.2">
      <c r="B2094" s="876">
        <v>2385</v>
      </c>
      <c r="C2094" s="876" t="s">
        <v>3092</v>
      </c>
      <c r="D2094" s="851">
        <v>1044.566691</v>
      </c>
    </row>
    <row r="2095" spans="2:4" x14ac:dyDescent="0.2">
      <c r="B2095" s="876">
        <v>2386</v>
      </c>
      <c r="C2095" s="876" t="s">
        <v>3093</v>
      </c>
      <c r="D2095" s="851">
        <v>1056.179993</v>
      </c>
    </row>
    <row r="2096" spans="2:4" x14ac:dyDescent="0.2">
      <c r="B2096" s="876">
        <v>2387</v>
      </c>
      <c r="C2096" s="876" t="s">
        <v>3094</v>
      </c>
      <c r="D2096" s="851">
        <v>1104.6999510000001</v>
      </c>
    </row>
    <row r="2097" spans="2:4" x14ac:dyDescent="0.2">
      <c r="B2097" s="876">
        <v>2388</v>
      </c>
      <c r="C2097" s="876" t="s">
        <v>3095</v>
      </c>
      <c r="D2097" s="851">
        <v>1039.3071379999999</v>
      </c>
    </row>
    <row r="2098" spans="2:4" x14ac:dyDescent="0.2">
      <c r="B2098" s="876">
        <v>2389</v>
      </c>
      <c r="C2098" s="876" t="s">
        <v>3096</v>
      </c>
      <c r="D2098" s="851">
        <v>1040.599976</v>
      </c>
    </row>
    <row r="2099" spans="2:4" x14ac:dyDescent="0.2">
      <c r="B2099" s="876">
        <v>2390</v>
      </c>
      <c r="C2099" s="876" t="s">
        <v>3097</v>
      </c>
      <c r="D2099" s="851">
        <v>958.30909299999996</v>
      </c>
    </row>
    <row r="2100" spans="2:4" x14ac:dyDescent="0.2">
      <c r="B2100" s="876">
        <v>2391</v>
      </c>
      <c r="C2100" s="876" t="s">
        <v>3098</v>
      </c>
      <c r="D2100" s="851">
        <v>738.25714100000005</v>
      </c>
    </row>
    <row r="2101" spans="2:4" x14ac:dyDescent="0.2">
      <c r="B2101" s="876">
        <v>2392</v>
      </c>
      <c r="C2101" s="876" t="s">
        <v>3099</v>
      </c>
      <c r="D2101" s="851">
        <v>746.73750299999995</v>
      </c>
    </row>
    <row r="2102" spans="2:4" x14ac:dyDescent="0.2">
      <c r="B2102" s="876">
        <v>2393</v>
      </c>
      <c r="C2102" s="876" t="s">
        <v>3100</v>
      </c>
      <c r="D2102" s="851">
        <v>735.16666699999996</v>
      </c>
    </row>
    <row r="2103" spans="2:4" x14ac:dyDescent="0.2">
      <c r="B2103" s="876">
        <v>2394</v>
      </c>
      <c r="C2103" s="876" t="s">
        <v>3101</v>
      </c>
      <c r="D2103" s="851">
        <v>733.375</v>
      </c>
    </row>
    <row r="2104" spans="2:4" x14ac:dyDescent="0.2">
      <c r="B2104" s="876">
        <v>2395</v>
      </c>
      <c r="C2104" s="876" t="s">
        <v>3102</v>
      </c>
      <c r="D2104" s="851">
        <v>721.77500899999995</v>
      </c>
    </row>
    <row r="2105" spans="2:4" x14ac:dyDescent="0.2">
      <c r="B2105" s="876">
        <v>2396</v>
      </c>
      <c r="C2105" s="876" t="s">
        <v>3103</v>
      </c>
      <c r="D2105" s="851">
        <v>724.50713699999994</v>
      </c>
    </row>
    <row r="2106" spans="2:4" x14ac:dyDescent="0.2">
      <c r="B2106" s="876">
        <v>2397</v>
      </c>
      <c r="C2106" s="876" t="s">
        <v>3104</v>
      </c>
      <c r="D2106" s="851">
        <v>757.67333599999995</v>
      </c>
    </row>
    <row r="2107" spans="2:4" x14ac:dyDescent="0.2">
      <c r="B2107" s="876">
        <v>2398</v>
      </c>
      <c r="C2107" s="876" t="s">
        <v>3105</v>
      </c>
      <c r="D2107" s="851">
        <v>760.64286600000003</v>
      </c>
    </row>
    <row r="2108" spans="2:4" x14ac:dyDescent="0.2">
      <c r="B2108" s="876">
        <v>2399</v>
      </c>
      <c r="C2108" s="876" t="s">
        <v>3022</v>
      </c>
      <c r="D2108" s="851">
        <v>707.82000700000003</v>
      </c>
    </row>
    <row r="2109" spans="2:4" x14ac:dyDescent="0.2">
      <c r="B2109" s="876">
        <v>2400</v>
      </c>
      <c r="C2109" s="876" t="s">
        <v>3106</v>
      </c>
      <c r="D2109" s="851">
        <v>720.81667100000004</v>
      </c>
    </row>
    <row r="2110" spans="2:4" x14ac:dyDescent="0.2">
      <c r="B2110" s="876">
        <v>2401</v>
      </c>
      <c r="C2110" s="876" t="s">
        <v>3107</v>
      </c>
      <c r="D2110" s="851">
        <v>753.64000199999998</v>
      </c>
    </row>
    <row r="2111" spans="2:4" x14ac:dyDescent="0.2">
      <c r="B2111" s="876">
        <v>2402</v>
      </c>
      <c r="C2111" s="876" t="s">
        <v>2678</v>
      </c>
      <c r="D2111" s="851">
        <v>773.25000999999997</v>
      </c>
    </row>
    <row r="2112" spans="2:4" x14ac:dyDescent="0.2">
      <c r="B2112" s="876">
        <v>2403</v>
      </c>
      <c r="C2112" s="876" t="s">
        <v>3108</v>
      </c>
      <c r="D2112" s="851">
        <v>790.72221500000001</v>
      </c>
    </row>
    <row r="2113" spans="2:4" x14ac:dyDescent="0.2">
      <c r="B2113" s="876">
        <v>2404</v>
      </c>
      <c r="C2113" s="876" t="s">
        <v>3109</v>
      </c>
      <c r="D2113" s="851">
        <v>761.17776800000001</v>
      </c>
    </row>
    <row r="2114" spans="2:4" x14ac:dyDescent="0.2">
      <c r="B2114" s="876">
        <v>2405</v>
      </c>
      <c r="C2114" s="876" t="s">
        <v>3110</v>
      </c>
      <c r="D2114" s="851">
        <v>772</v>
      </c>
    </row>
    <row r="2115" spans="2:4" x14ac:dyDescent="0.2">
      <c r="B2115" s="876">
        <v>2406</v>
      </c>
      <c r="C2115" s="876" t="s">
        <v>3111</v>
      </c>
      <c r="D2115" s="851">
        <v>733.84000200000003</v>
      </c>
    </row>
    <row r="2116" spans="2:4" x14ac:dyDescent="0.2">
      <c r="B2116" s="876">
        <v>2407</v>
      </c>
      <c r="C2116" s="876" t="s">
        <v>3112</v>
      </c>
      <c r="D2116" s="851">
        <v>700.67499499999997</v>
      </c>
    </row>
    <row r="2117" spans="2:4" x14ac:dyDescent="0.2">
      <c r="B2117" s="876">
        <v>2408</v>
      </c>
      <c r="C2117" s="876" t="s">
        <v>3113</v>
      </c>
      <c r="D2117" s="851">
        <v>697.53998999999999</v>
      </c>
    </row>
    <row r="2118" spans="2:4" x14ac:dyDescent="0.2">
      <c r="B2118" s="876">
        <v>2409</v>
      </c>
      <c r="C2118" s="876" t="s">
        <v>3114</v>
      </c>
      <c r="D2118" s="851">
        <v>732.375</v>
      </c>
    </row>
    <row r="2119" spans="2:4" x14ac:dyDescent="0.2">
      <c r="B2119" s="876">
        <v>2410</v>
      </c>
      <c r="C2119" s="876" t="s">
        <v>3115</v>
      </c>
      <c r="D2119" s="851">
        <v>758.14999399999999</v>
      </c>
    </row>
    <row r="2120" spans="2:4" x14ac:dyDescent="0.2">
      <c r="B2120" s="876">
        <v>2411</v>
      </c>
      <c r="C2120" s="876" t="s">
        <v>3116</v>
      </c>
      <c r="D2120" s="851">
        <v>699.57999299999994</v>
      </c>
    </row>
    <row r="2121" spans="2:4" x14ac:dyDescent="0.2">
      <c r="B2121" s="876">
        <v>2412</v>
      </c>
      <c r="C2121" s="876" t="s">
        <v>3117</v>
      </c>
      <c r="D2121" s="851">
        <v>723.70001200000002</v>
      </c>
    </row>
    <row r="2122" spans="2:4" x14ac:dyDescent="0.2">
      <c r="B2122" s="876">
        <v>2413</v>
      </c>
      <c r="C2122" s="876" t="s">
        <v>3118</v>
      </c>
      <c r="D2122" s="851">
        <v>719.271432</v>
      </c>
    </row>
    <row r="2123" spans="2:4" x14ac:dyDescent="0.2">
      <c r="B2123" s="876">
        <v>2414</v>
      </c>
      <c r="C2123" s="876" t="s">
        <v>3119</v>
      </c>
      <c r="D2123" s="851">
        <v>748.81999499999995</v>
      </c>
    </row>
    <row r="2124" spans="2:4" x14ac:dyDescent="0.2">
      <c r="B2124" s="876">
        <v>2415</v>
      </c>
      <c r="C2124" s="876" t="s">
        <v>3120</v>
      </c>
      <c r="D2124" s="851">
        <v>753.16664600000001</v>
      </c>
    </row>
    <row r="2125" spans="2:4" x14ac:dyDescent="0.2">
      <c r="B2125" s="876">
        <v>2416</v>
      </c>
      <c r="C2125" s="876" t="s">
        <v>3121</v>
      </c>
      <c r="D2125" s="851">
        <v>736.82499700000005</v>
      </c>
    </row>
    <row r="2126" spans="2:4" x14ac:dyDescent="0.2">
      <c r="B2126" s="876">
        <v>2417</v>
      </c>
      <c r="C2126" s="876" t="s">
        <v>3122</v>
      </c>
      <c r="D2126" s="851">
        <v>684.47777599999995</v>
      </c>
    </row>
    <row r="2127" spans="2:4" x14ac:dyDescent="0.2">
      <c r="B2127" s="876">
        <v>2418</v>
      </c>
      <c r="C2127" s="876" t="s">
        <v>3123</v>
      </c>
      <c r="D2127" s="851">
        <v>744.10999800000002</v>
      </c>
    </row>
    <row r="2128" spans="2:4" x14ac:dyDescent="0.2">
      <c r="B2128" s="876">
        <v>2419</v>
      </c>
      <c r="C2128" s="876" t="s">
        <v>3124</v>
      </c>
      <c r="D2128" s="851">
        <v>717.6</v>
      </c>
    </row>
    <row r="2129" spans="2:4" x14ac:dyDescent="0.2">
      <c r="B2129" s="876">
        <v>2420</v>
      </c>
      <c r="C2129" s="876" t="s">
        <v>3125</v>
      </c>
      <c r="D2129" s="851">
        <v>708.77499399999999</v>
      </c>
    </row>
    <row r="2130" spans="2:4" x14ac:dyDescent="0.2">
      <c r="B2130" s="876">
        <v>2421</v>
      </c>
      <c r="C2130" s="876" t="s">
        <v>3126</v>
      </c>
      <c r="D2130" s="851">
        <v>675.60000600000001</v>
      </c>
    </row>
    <row r="2131" spans="2:4" x14ac:dyDescent="0.2">
      <c r="B2131" s="876">
        <v>2422</v>
      </c>
      <c r="C2131" s="876" t="s">
        <v>3127</v>
      </c>
      <c r="D2131" s="851">
        <v>695.22857699999997</v>
      </c>
    </row>
    <row r="2132" spans="2:4" x14ac:dyDescent="0.2">
      <c r="B2132" s="876">
        <v>2423</v>
      </c>
      <c r="C2132" s="876" t="s">
        <v>3128</v>
      </c>
      <c r="D2132" s="851">
        <v>668.728568</v>
      </c>
    </row>
    <row r="2133" spans="2:4" x14ac:dyDescent="0.2">
      <c r="B2133" s="876">
        <v>2424</v>
      </c>
      <c r="C2133" s="876" t="s">
        <v>3129</v>
      </c>
      <c r="D2133" s="851">
        <v>685.75714100000005</v>
      </c>
    </row>
    <row r="2134" spans="2:4" x14ac:dyDescent="0.2">
      <c r="B2134" s="876">
        <v>2425</v>
      </c>
      <c r="C2134" s="876" t="s">
        <v>3130</v>
      </c>
      <c r="D2134" s="851">
        <v>618.53334600000005</v>
      </c>
    </row>
    <row r="2135" spans="2:4" x14ac:dyDescent="0.2">
      <c r="B2135" s="876">
        <v>2426</v>
      </c>
      <c r="C2135" s="876" t="s">
        <v>3131</v>
      </c>
      <c r="D2135" s="851">
        <v>645.66001000000006</v>
      </c>
    </row>
    <row r="2136" spans="2:4" x14ac:dyDescent="0.2">
      <c r="B2136" s="876">
        <v>2427</v>
      </c>
      <c r="C2136" s="876" t="s">
        <v>3132</v>
      </c>
      <c r="D2136" s="851">
        <v>644.63332100000002</v>
      </c>
    </row>
    <row r="2137" spans="2:4" x14ac:dyDescent="0.2">
      <c r="B2137" s="876">
        <v>2428</v>
      </c>
      <c r="C2137" s="876" t="s">
        <v>2498</v>
      </c>
      <c r="D2137" s="851">
        <v>638.64999399999999</v>
      </c>
    </row>
    <row r="2138" spans="2:4" x14ac:dyDescent="0.2">
      <c r="B2138" s="876">
        <v>2429</v>
      </c>
      <c r="C2138" s="876" t="s">
        <v>3133</v>
      </c>
      <c r="D2138" s="851">
        <v>750.57999299999994</v>
      </c>
    </row>
    <row r="2139" spans="2:4" x14ac:dyDescent="0.2">
      <c r="B2139" s="876">
        <v>2430</v>
      </c>
      <c r="C2139" s="876" t="s">
        <v>3134</v>
      </c>
      <c r="D2139" s="851">
        <v>680.46666500000003</v>
      </c>
    </row>
    <row r="2140" spans="2:4" x14ac:dyDescent="0.2">
      <c r="B2140" s="876">
        <v>2431</v>
      </c>
      <c r="C2140" s="876" t="s">
        <v>349</v>
      </c>
      <c r="D2140" s="851">
        <v>666.96896700000002</v>
      </c>
    </row>
    <row r="2141" spans="2:4" x14ac:dyDescent="0.2">
      <c r="B2141" s="876">
        <v>2432</v>
      </c>
      <c r="C2141" s="876" t="s">
        <v>3135</v>
      </c>
      <c r="D2141" s="851">
        <v>675.19998199999998</v>
      </c>
    </row>
    <row r="2142" spans="2:4" x14ac:dyDescent="0.2">
      <c r="B2142" s="876">
        <v>2433</v>
      </c>
      <c r="C2142" s="876" t="s">
        <v>3136</v>
      </c>
      <c r="D2142" s="851">
        <v>667.89999399999999</v>
      </c>
    </row>
    <row r="2143" spans="2:4" x14ac:dyDescent="0.2">
      <c r="B2143" s="876">
        <v>2434</v>
      </c>
      <c r="C2143" s="876" t="s">
        <v>3137</v>
      </c>
      <c r="D2143" s="851">
        <v>677.29998799999998</v>
      </c>
    </row>
    <row r="2144" spans="2:4" x14ac:dyDescent="0.2">
      <c r="B2144" s="876">
        <v>2435</v>
      </c>
      <c r="C2144" s="876" t="s">
        <v>2725</v>
      </c>
      <c r="D2144" s="851">
        <v>754.77499399999999</v>
      </c>
    </row>
    <row r="2145" spans="2:4" x14ac:dyDescent="0.2">
      <c r="B2145" s="876">
        <v>2436</v>
      </c>
      <c r="C2145" s="876" t="s">
        <v>3138</v>
      </c>
      <c r="D2145" s="851">
        <v>669.70001200000002</v>
      </c>
    </row>
    <row r="2146" spans="2:4" x14ac:dyDescent="0.2">
      <c r="B2146" s="876">
        <v>2437</v>
      </c>
      <c r="C2146" s="876" t="s">
        <v>3139</v>
      </c>
      <c r="D2146" s="851">
        <v>705.771432</v>
      </c>
    </row>
    <row r="2147" spans="2:4" x14ac:dyDescent="0.2">
      <c r="B2147" s="876">
        <v>2438</v>
      </c>
      <c r="C2147" s="876" t="s">
        <v>3140</v>
      </c>
      <c r="D2147" s="851">
        <v>701.885716</v>
      </c>
    </row>
    <row r="2148" spans="2:4" x14ac:dyDescent="0.2">
      <c r="B2148" s="876">
        <v>2439</v>
      </c>
      <c r="C2148" s="876" t="s">
        <v>3141</v>
      </c>
      <c r="D2148" s="851">
        <v>701.62857499999996</v>
      </c>
    </row>
    <row r="2149" spans="2:4" x14ac:dyDescent="0.2">
      <c r="B2149" s="876">
        <v>2440</v>
      </c>
      <c r="C2149" s="876" t="s">
        <v>3142</v>
      </c>
      <c r="D2149" s="851">
        <v>723.55000299999995</v>
      </c>
    </row>
    <row r="2150" spans="2:4" x14ac:dyDescent="0.2">
      <c r="B2150" s="876">
        <v>2441</v>
      </c>
      <c r="C2150" s="876" t="s">
        <v>3143</v>
      </c>
      <c r="D2150" s="851">
        <v>730.5</v>
      </c>
    </row>
    <row r="2151" spans="2:4" x14ac:dyDescent="0.2">
      <c r="B2151" s="876">
        <v>2442</v>
      </c>
      <c r="C2151" s="876" t="s">
        <v>3144</v>
      </c>
      <c r="D2151" s="851">
        <v>685</v>
      </c>
    </row>
    <row r="2152" spans="2:4" x14ac:dyDescent="0.2">
      <c r="B2152" s="876">
        <v>2443</v>
      </c>
      <c r="C2152" s="876" t="s">
        <v>3145</v>
      </c>
      <c r="D2152" s="851">
        <v>701.42667200000005</v>
      </c>
    </row>
    <row r="2153" spans="2:4" x14ac:dyDescent="0.2">
      <c r="B2153" s="876">
        <v>2444</v>
      </c>
      <c r="C2153" s="876" t="s">
        <v>2551</v>
      </c>
      <c r="D2153" s="851">
        <v>789.84000200000003</v>
      </c>
    </row>
    <row r="2154" spans="2:4" x14ac:dyDescent="0.2">
      <c r="B2154" s="876">
        <v>2445</v>
      </c>
      <c r="C2154" s="876" t="s">
        <v>2745</v>
      </c>
      <c r="D2154" s="851">
        <v>759.39998800000001</v>
      </c>
    </row>
    <row r="2155" spans="2:4" x14ac:dyDescent="0.2">
      <c r="B2155" s="876">
        <v>2446</v>
      </c>
      <c r="C2155" s="876" t="s">
        <v>3146</v>
      </c>
      <c r="D2155" s="851">
        <v>784.19999900000005</v>
      </c>
    </row>
    <row r="2156" spans="2:4" x14ac:dyDescent="0.2">
      <c r="B2156" s="876">
        <v>2447</v>
      </c>
      <c r="C2156" s="876" t="s">
        <v>3147</v>
      </c>
      <c r="D2156" s="851">
        <v>886.95001200000002</v>
      </c>
    </row>
    <row r="2157" spans="2:4" x14ac:dyDescent="0.2">
      <c r="B2157" s="876">
        <v>2448</v>
      </c>
      <c r="C2157" s="876" t="s">
        <v>3148</v>
      </c>
      <c r="D2157" s="851">
        <v>815.55000299999995</v>
      </c>
    </row>
    <row r="2158" spans="2:4" x14ac:dyDescent="0.2">
      <c r="B2158" s="876">
        <v>2449</v>
      </c>
      <c r="C2158" s="876" t="s">
        <v>3149</v>
      </c>
      <c r="D2158" s="851">
        <v>765.15000199999997</v>
      </c>
    </row>
    <row r="2159" spans="2:4" x14ac:dyDescent="0.2">
      <c r="B2159" s="876">
        <v>2450</v>
      </c>
      <c r="C2159" s="876" t="s">
        <v>3150</v>
      </c>
      <c r="D2159" s="851">
        <v>842.07501200000002</v>
      </c>
    </row>
    <row r="2160" spans="2:4" x14ac:dyDescent="0.2">
      <c r="B2160" s="876">
        <v>2451</v>
      </c>
      <c r="C2160" s="876" t="s">
        <v>3151</v>
      </c>
      <c r="D2160" s="851">
        <v>698.86667899999998</v>
      </c>
    </row>
    <row r="2161" spans="2:4" x14ac:dyDescent="0.2">
      <c r="B2161" s="876">
        <v>2452</v>
      </c>
      <c r="C2161" s="876" t="s">
        <v>3152</v>
      </c>
      <c r="D2161" s="851">
        <v>752.67778199999998</v>
      </c>
    </row>
    <row r="2162" spans="2:4" x14ac:dyDescent="0.2">
      <c r="B2162" s="876">
        <v>2453</v>
      </c>
      <c r="C2162" s="876" t="s">
        <v>2225</v>
      </c>
      <c r="D2162" s="851">
        <v>797.23333700000001</v>
      </c>
    </row>
    <row r="2163" spans="2:4" x14ac:dyDescent="0.2">
      <c r="B2163" s="876">
        <v>2454</v>
      </c>
      <c r="C2163" s="876" t="s">
        <v>3153</v>
      </c>
      <c r="D2163" s="851">
        <v>739.84000200000003</v>
      </c>
    </row>
    <row r="2164" spans="2:4" x14ac:dyDescent="0.2">
      <c r="B2164" s="876">
        <v>2455</v>
      </c>
      <c r="C2164" s="876" t="s">
        <v>3154</v>
      </c>
      <c r="D2164" s="851">
        <v>879.94999199999995</v>
      </c>
    </row>
    <row r="2165" spans="2:4" x14ac:dyDescent="0.2">
      <c r="B2165" s="876">
        <v>2456</v>
      </c>
      <c r="C2165" s="876" t="s">
        <v>3155</v>
      </c>
      <c r="D2165" s="851">
        <v>848.33748600000001</v>
      </c>
    </row>
    <row r="2166" spans="2:4" x14ac:dyDescent="0.2">
      <c r="B2166" s="876">
        <v>2457</v>
      </c>
      <c r="C2166" s="876" t="s">
        <v>3156</v>
      </c>
      <c r="D2166" s="851">
        <v>799.75</v>
      </c>
    </row>
    <row r="2167" spans="2:4" x14ac:dyDescent="0.2">
      <c r="B2167" s="876">
        <v>2458</v>
      </c>
      <c r="C2167" s="876" t="s">
        <v>3157</v>
      </c>
      <c r="D2167" s="851">
        <v>790.86665900000003</v>
      </c>
    </row>
    <row r="2168" spans="2:4" x14ac:dyDescent="0.2">
      <c r="B2168" s="876">
        <v>2459</v>
      </c>
      <c r="C2168" s="876" t="s">
        <v>3158</v>
      </c>
      <c r="D2168" s="851">
        <v>738.52500199999997</v>
      </c>
    </row>
    <row r="2169" spans="2:4" x14ac:dyDescent="0.2">
      <c r="B2169" s="876">
        <v>2460</v>
      </c>
      <c r="C2169" s="876" t="s">
        <v>3159</v>
      </c>
      <c r="D2169" s="851">
        <v>1025.8461589999999</v>
      </c>
    </row>
    <row r="2170" spans="2:4" x14ac:dyDescent="0.2">
      <c r="B2170" s="876">
        <v>2461</v>
      </c>
      <c r="C2170" s="876" t="s">
        <v>3160</v>
      </c>
      <c r="D2170" s="851">
        <v>1091.9999760000001</v>
      </c>
    </row>
    <row r="2171" spans="2:4" x14ac:dyDescent="0.2">
      <c r="B2171" s="876">
        <v>2462</v>
      </c>
      <c r="C2171" s="876" t="s">
        <v>3161</v>
      </c>
      <c r="D2171" s="851">
        <v>695.06667100000004</v>
      </c>
    </row>
    <row r="2172" spans="2:4" x14ac:dyDescent="0.2">
      <c r="B2172" s="876">
        <v>2463</v>
      </c>
      <c r="C2172" s="876" t="s">
        <v>3162</v>
      </c>
      <c r="D2172" s="851">
        <v>703.18001700000002</v>
      </c>
    </row>
    <row r="2173" spans="2:4" x14ac:dyDescent="0.2">
      <c r="B2173" s="876">
        <v>2464</v>
      </c>
      <c r="C2173" s="876" t="s">
        <v>3163</v>
      </c>
      <c r="D2173" s="851">
        <v>729.02857300000005</v>
      </c>
    </row>
    <row r="2174" spans="2:4" x14ac:dyDescent="0.2">
      <c r="B2174" s="876">
        <v>2465</v>
      </c>
      <c r="C2174" s="876" t="s">
        <v>3164</v>
      </c>
      <c r="D2174" s="851">
        <v>724.56664999999998</v>
      </c>
    </row>
    <row r="2175" spans="2:4" x14ac:dyDescent="0.2">
      <c r="B2175" s="876">
        <v>2466</v>
      </c>
      <c r="C2175" s="876" t="s">
        <v>3165</v>
      </c>
      <c r="D2175" s="851">
        <v>714.95001200000002</v>
      </c>
    </row>
    <row r="2176" spans="2:4" x14ac:dyDescent="0.2">
      <c r="B2176" s="876">
        <v>2467</v>
      </c>
      <c r="C2176" s="876" t="s">
        <v>3166</v>
      </c>
      <c r="D2176" s="851">
        <v>745.12221999999997</v>
      </c>
    </row>
    <row r="2177" spans="2:4" x14ac:dyDescent="0.2">
      <c r="B2177" s="876">
        <v>2468</v>
      </c>
      <c r="C2177" s="876" t="s">
        <v>3167</v>
      </c>
      <c r="D2177" s="851">
        <v>758.05000800000005</v>
      </c>
    </row>
    <row r="2178" spans="2:4" x14ac:dyDescent="0.2">
      <c r="B2178" s="876">
        <v>2469</v>
      </c>
      <c r="C2178" s="876" t="s">
        <v>3168</v>
      </c>
      <c r="D2178" s="851">
        <v>707.5</v>
      </c>
    </row>
    <row r="2179" spans="2:4" x14ac:dyDescent="0.2">
      <c r="B2179" s="876">
        <v>2470</v>
      </c>
      <c r="C2179" s="876" t="s">
        <v>3169</v>
      </c>
      <c r="D2179" s="851">
        <v>725.27500899999995</v>
      </c>
    </row>
    <row r="2180" spans="2:4" x14ac:dyDescent="0.2">
      <c r="B2180" s="876">
        <v>2471</v>
      </c>
      <c r="C2180" s="876" t="s">
        <v>3170</v>
      </c>
      <c r="D2180" s="851">
        <v>771.34443499999998</v>
      </c>
    </row>
    <row r="2181" spans="2:4" x14ac:dyDescent="0.2">
      <c r="B2181" s="876">
        <v>2472</v>
      </c>
      <c r="C2181" s="876" t="s">
        <v>3171</v>
      </c>
      <c r="D2181" s="851">
        <v>731.13334099999997</v>
      </c>
    </row>
    <row r="2182" spans="2:4" x14ac:dyDescent="0.2">
      <c r="B2182" s="876">
        <v>2473</v>
      </c>
      <c r="C2182" s="876" t="s">
        <v>3172</v>
      </c>
      <c r="D2182" s="851">
        <v>712.259998</v>
      </c>
    </row>
    <row r="2183" spans="2:4" x14ac:dyDescent="0.2">
      <c r="B2183" s="876">
        <v>2474</v>
      </c>
      <c r="C2183" s="876" t="s">
        <v>3173</v>
      </c>
      <c r="D2183" s="851">
        <v>709.57499700000005</v>
      </c>
    </row>
    <row r="2184" spans="2:4" x14ac:dyDescent="0.2">
      <c r="B2184" s="876">
        <v>2475</v>
      </c>
      <c r="C2184" s="876" t="s">
        <v>3174</v>
      </c>
      <c r="D2184" s="851">
        <v>707.51249700000005</v>
      </c>
    </row>
    <row r="2185" spans="2:4" x14ac:dyDescent="0.2">
      <c r="B2185" s="876">
        <v>2476</v>
      </c>
      <c r="C2185" s="876" t="s">
        <v>3175</v>
      </c>
      <c r="D2185" s="851">
        <v>780.14999399999999</v>
      </c>
    </row>
    <row r="2186" spans="2:4" x14ac:dyDescent="0.2">
      <c r="B2186" s="876">
        <v>2477</v>
      </c>
      <c r="C2186" s="876" t="s">
        <v>3176</v>
      </c>
      <c r="D2186" s="851">
        <v>778.62143400000002</v>
      </c>
    </row>
    <row r="2187" spans="2:4" x14ac:dyDescent="0.2">
      <c r="B2187" s="876">
        <v>2478</v>
      </c>
      <c r="C2187" s="876" t="s">
        <v>3177</v>
      </c>
      <c r="D2187" s="851">
        <v>702.69999199999995</v>
      </c>
    </row>
    <row r="2188" spans="2:4" x14ac:dyDescent="0.2">
      <c r="B2188" s="876">
        <v>2479</v>
      </c>
      <c r="C2188" s="876" t="s">
        <v>3178</v>
      </c>
      <c r="D2188" s="851">
        <v>746.90000899999995</v>
      </c>
    </row>
    <row r="2189" spans="2:4" x14ac:dyDescent="0.2">
      <c r="B2189" s="876">
        <v>2480</v>
      </c>
      <c r="C2189" s="876" t="s">
        <v>3179</v>
      </c>
      <c r="D2189" s="851">
        <v>777.30000299999995</v>
      </c>
    </row>
    <row r="2190" spans="2:4" x14ac:dyDescent="0.2">
      <c r="B2190" s="876">
        <v>2481</v>
      </c>
      <c r="C2190" s="876" t="s">
        <v>3180</v>
      </c>
      <c r="D2190" s="851">
        <v>737.45001200000002</v>
      </c>
    </row>
    <row r="2191" spans="2:4" x14ac:dyDescent="0.2">
      <c r="B2191" s="876">
        <v>2482</v>
      </c>
      <c r="C2191" s="876" t="s">
        <v>3181</v>
      </c>
      <c r="D2191" s="851">
        <v>722.16666699999996</v>
      </c>
    </row>
    <row r="2192" spans="2:4" x14ac:dyDescent="0.2">
      <c r="B2192" s="876">
        <v>2483</v>
      </c>
      <c r="C2192" s="876" t="s">
        <v>3182</v>
      </c>
      <c r="D2192" s="851">
        <v>763.20000200000004</v>
      </c>
    </row>
    <row r="2193" spans="2:4" x14ac:dyDescent="0.2">
      <c r="B2193" s="876">
        <v>2484</v>
      </c>
      <c r="C2193" s="876" t="s">
        <v>3183</v>
      </c>
      <c r="D2193" s="851">
        <v>799.33750199999997</v>
      </c>
    </row>
    <row r="2194" spans="2:4" x14ac:dyDescent="0.2">
      <c r="B2194" s="876">
        <v>2485</v>
      </c>
      <c r="C2194" s="876" t="s">
        <v>3184</v>
      </c>
      <c r="D2194" s="851">
        <v>755.35000600000001</v>
      </c>
    </row>
    <row r="2195" spans="2:4" x14ac:dyDescent="0.2">
      <c r="B2195" s="876">
        <v>2486</v>
      </c>
      <c r="C2195" s="876" t="s">
        <v>3185</v>
      </c>
      <c r="D2195" s="851">
        <v>752.14999399999999</v>
      </c>
    </row>
    <row r="2196" spans="2:4" x14ac:dyDescent="0.2">
      <c r="B2196" s="876">
        <v>2487</v>
      </c>
      <c r="C2196" s="876" t="s">
        <v>3186</v>
      </c>
      <c r="D2196" s="851">
        <v>750.17999299999997</v>
      </c>
    </row>
    <row r="2197" spans="2:4" x14ac:dyDescent="0.2">
      <c r="B2197" s="876">
        <v>2488</v>
      </c>
      <c r="C2197" s="876" t="s">
        <v>3187</v>
      </c>
      <c r="D2197" s="851">
        <v>692.16665599999999</v>
      </c>
    </row>
    <row r="2198" spans="2:4" x14ac:dyDescent="0.2">
      <c r="B2198" s="876">
        <v>2489</v>
      </c>
      <c r="C2198" s="876" t="s">
        <v>3188</v>
      </c>
      <c r="D2198" s="851">
        <v>695.90000399999997</v>
      </c>
    </row>
    <row r="2199" spans="2:4" x14ac:dyDescent="0.2">
      <c r="B2199" s="876">
        <v>2490</v>
      </c>
      <c r="C2199" s="876" t="s">
        <v>3189</v>
      </c>
      <c r="D2199" s="851">
        <v>705.15000199999997</v>
      </c>
    </row>
    <row r="2200" spans="2:4" x14ac:dyDescent="0.2">
      <c r="B2200" s="876">
        <v>2491</v>
      </c>
      <c r="C2200" s="876" t="s">
        <v>3190</v>
      </c>
      <c r="D2200" s="851">
        <v>735.25715000000002</v>
      </c>
    </row>
    <row r="2201" spans="2:4" x14ac:dyDescent="0.2">
      <c r="B2201" s="876">
        <v>2492</v>
      </c>
      <c r="C2201" s="876" t="s">
        <v>3191</v>
      </c>
      <c r="D2201" s="851">
        <v>691.59997599999997</v>
      </c>
    </row>
    <row r="2202" spans="2:4" x14ac:dyDescent="0.2">
      <c r="B2202" s="876">
        <v>2493</v>
      </c>
      <c r="C2202" s="876" t="s">
        <v>3192</v>
      </c>
      <c r="D2202" s="851">
        <v>698.34999400000004</v>
      </c>
    </row>
    <row r="2203" spans="2:4" x14ac:dyDescent="0.2">
      <c r="B2203" s="876">
        <v>2494</v>
      </c>
      <c r="C2203" s="876" t="s">
        <v>3193</v>
      </c>
      <c r="D2203" s="851">
        <v>777.37778700000001</v>
      </c>
    </row>
    <row r="2204" spans="2:4" x14ac:dyDescent="0.2">
      <c r="B2204" s="876">
        <v>2495</v>
      </c>
      <c r="C2204" s="876" t="s">
        <v>3194</v>
      </c>
      <c r="D2204" s="851">
        <v>706.20001200000002</v>
      </c>
    </row>
    <row r="2205" spans="2:4" x14ac:dyDescent="0.2">
      <c r="B2205" s="876">
        <v>2496</v>
      </c>
      <c r="C2205" s="876" t="s">
        <v>3195</v>
      </c>
      <c r="D2205" s="851">
        <v>703.43332899999996</v>
      </c>
    </row>
    <row r="2206" spans="2:4" x14ac:dyDescent="0.2">
      <c r="B2206" s="876">
        <v>2497</v>
      </c>
      <c r="C2206" s="876" t="s">
        <v>3196</v>
      </c>
      <c r="D2206" s="851">
        <v>707.22083799999996</v>
      </c>
    </row>
    <row r="2207" spans="2:4" x14ac:dyDescent="0.2">
      <c r="B2207" s="876">
        <v>2498</v>
      </c>
      <c r="C2207" s="876" t="s">
        <v>3197</v>
      </c>
      <c r="D2207" s="851">
        <v>764.13748899999996</v>
      </c>
    </row>
    <row r="2208" spans="2:4" x14ac:dyDescent="0.2">
      <c r="B2208" s="876">
        <v>2499</v>
      </c>
      <c r="C2208" s="876" t="s">
        <v>3198</v>
      </c>
      <c r="D2208" s="851">
        <v>758.5625</v>
      </c>
    </row>
    <row r="2209" spans="2:4" x14ac:dyDescent="0.2">
      <c r="B2209" s="876">
        <v>2500</v>
      </c>
      <c r="C2209" s="876" t="s">
        <v>3199</v>
      </c>
      <c r="D2209" s="851">
        <v>842.79999699999996</v>
      </c>
    </row>
    <row r="2210" spans="2:4" x14ac:dyDescent="0.2">
      <c r="B2210" s="876">
        <v>2502</v>
      </c>
      <c r="C2210" s="876" t="s">
        <v>3200</v>
      </c>
      <c r="D2210" s="851">
        <v>744</v>
      </c>
    </row>
    <row r="2211" spans="2:4" x14ac:dyDescent="0.2">
      <c r="B2211" s="876">
        <v>2503</v>
      </c>
      <c r="C2211" s="876" t="s">
        <v>3201</v>
      </c>
      <c r="D2211" s="851">
        <v>746.59090900000001</v>
      </c>
    </row>
    <row r="2212" spans="2:4" x14ac:dyDescent="0.2">
      <c r="B2212" s="876">
        <v>2504</v>
      </c>
      <c r="C2212" s="876" t="s">
        <v>3202</v>
      </c>
      <c r="D2212" s="851">
        <v>740.22500600000001</v>
      </c>
    </row>
    <row r="2213" spans="2:4" x14ac:dyDescent="0.2">
      <c r="B2213" s="876">
        <v>2505</v>
      </c>
      <c r="C2213" s="876" t="s">
        <v>3203</v>
      </c>
      <c r="D2213" s="851">
        <v>741.08333300000004</v>
      </c>
    </row>
    <row r="2214" spans="2:4" x14ac:dyDescent="0.2">
      <c r="B2214" s="876">
        <v>2506</v>
      </c>
      <c r="C2214" s="876" t="s">
        <v>3204</v>
      </c>
      <c r="D2214" s="851">
        <v>703.65999799999997</v>
      </c>
    </row>
    <row r="2215" spans="2:4" x14ac:dyDescent="0.2">
      <c r="B2215" s="876">
        <v>2507</v>
      </c>
      <c r="C2215" s="876" t="s">
        <v>3205</v>
      </c>
      <c r="D2215" s="851">
        <v>742.96667500000001</v>
      </c>
    </row>
    <row r="2216" spans="2:4" x14ac:dyDescent="0.2">
      <c r="B2216" s="876">
        <v>2508</v>
      </c>
      <c r="C2216" s="876" t="s">
        <v>3206</v>
      </c>
      <c r="D2216" s="851">
        <v>692.35000600000001</v>
      </c>
    </row>
    <row r="2217" spans="2:4" x14ac:dyDescent="0.2">
      <c r="B2217" s="876">
        <v>2509</v>
      </c>
      <c r="C2217" s="876" t="s">
        <v>3207</v>
      </c>
      <c r="D2217" s="851">
        <v>742.46667500000001</v>
      </c>
    </row>
    <row r="2218" spans="2:4" x14ac:dyDescent="0.2">
      <c r="B2218" s="876">
        <v>2510</v>
      </c>
      <c r="C2218" s="876" t="s">
        <v>3208</v>
      </c>
      <c r="D2218" s="851">
        <v>697.94999700000005</v>
      </c>
    </row>
    <row r="2219" spans="2:4" x14ac:dyDescent="0.2">
      <c r="B2219" s="876">
        <v>2511</v>
      </c>
      <c r="C2219" s="876" t="s">
        <v>3209</v>
      </c>
      <c r="D2219" s="851">
        <v>737.43332899999996</v>
      </c>
    </row>
    <row r="2220" spans="2:4" x14ac:dyDescent="0.2">
      <c r="B2220" s="876">
        <v>2512</v>
      </c>
      <c r="C2220" s="876" t="s">
        <v>3210</v>
      </c>
      <c r="D2220" s="851">
        <v>712.86665900000003</v>
      </c>
    </row>
    <row r="2221" spans="2:4" x14ac:dyDescent="0.2">
      <c r="B2221" s="876">
        <v>2513</v>
      </c>
      <c r="C2221" s="876" t="s">
        <v>3211</v>
      </c>
      <c r="D2221" s="851">
        <v>668.86665900000003</v>
      </c>
    </row>
    <row r="2222" spans="2:4" x14ac:dyDescent="0.2">
      <c r="B2222" s="876">
        <v>2514</v>
      </c>
      <c r="C2222" s="876" t="s">
        <v>3212</v>
      </c>
      <c r="D2222" s="851">
        <v>731.78000499999996</v>
      </c>
    </row>
    <row r="2223" spans="2:4" x14ac:dyDescent="0.2">
      <c r="B2223" s="876">
        <v>2515</v>
      </c>
      <c r="C2223" s="876" t="s">
        <v>3213</v>
      </c>
      <c r="D2223" s="851">
        <v>714.53332499999999</v>
      </c>
    </row>
    <row r="2224" spans="2:4" x14ac:dyDescent="0.2">
      <c r="B2224" s="876">
        <v>2516</v>
      </c>
      <c r="C2224" s="876" t="s">
        <v>3214</v>
      </c>
      <c r="D2224" s="851">
        <v>684.56667100000004</v>
      </c>
    </row>
    <row r="2225" spans="2:4" x14ac:dyDescent="0.2">
      <c r="B2225" s="876">
        <v>2517</v>
      </c>
      <c r="C2225" s="876" t="s">
        <v>3215</v>
      </c>
      <c r="D2225" s="851">
        <v>729.43332899999996</v>
      </c>
    </row>
    <row r="2226" spans="2:4" x14ac:dyDescent="0.2">
      <c r="B2226" s="876">
        <v>2518</v>
      </c>
      <c r="C2226" s="876" t="s">
        <v>3216</v>
      </c>
      <c r="D2226" s="851">
        <v>680.90002400000003</v>
      </c>
    </row>
    <row r="2227" spans="2:4" x14ac:dyDescent="0.2">
      <c r="B2227" s="876">
        <v>2519</v>
      </c>
      <c r="C2227" s="876" t="s">
        <v>3217</v>
      </c>
      <c r="D2227" s="851">
        <v>703.29999499999997</v>
      </c>
    </row>
    <row r="2228" spans="2:4" x14ac:dyDescent="0.2">
      <c r="B2228" s="876">
        <v>2520</v>
      </c>
      <c r="C2228" s="876" t="s">
        <v>3218</v>
      </c>
      <c r="D2228" s="851">
        <v>718.14999399999999</v>
      </c>
    </row>
    <row r="2229" spans="2:4" x14ac:dyDescent="0.2">
      <c r="B2229" s="876">
        <v>2521</v>
      </c>
      <c r="C2229" s="876" t="s">
        <v>3219</v>
      </c>
      <c r="D2229" s="851">
        <v>718.16667700000005</v>
      </c>
    </row>
    <row r="2230" spans="2:4" x14ac:dyDescent="0.2">
      <c r="B2230" s="876">
        <v>2522</v>
      </c>
      <c r="C2230" s="876" t="s">
        <v>3220</v>
      </c>
      <c r="D2230" s="851">
        <v>758.69998199999998</v>
      </c>
    </row>
    <row r="2231" spans="2:4" x14ac:dyDescent="0.2">
      <c r="B2231" s="876">
        <v>2523</v>
      </c>
      <c r="C2231" s="876" t="s">
        <v>3221</v>
      </c>
      <c r="D2231" s="851">
        <v>747.15000899999995</v>
      </c>
    </row>
    <row r="2232" spans="2:4" x14ac:dyDescent="0.2">
      <c r="B2232" s="876">
        <v>2524</v>
      </c>
      <c r="C2232" s="876" t="s">
        <v>3222</v>
      </c>
      <c r="D2232" s="851">
        <v>764.29998799999998</v>
      </c>
    </row>
    <row r="2233" spans="2:4" x14ac:dyDescent="0.2">
      <c r="B2233" s="876">
        <v>2525</v>
      </c>
      <c r="C2233" s="876" t="s">
        <v>3223</v>
      </c>
      <c r="D2233" s="851">
        <v>802.11250299999995</v>
      </c>
    </row>
    <row r="2234" spans="2:4" x14ac:dyDescent="0.2">
      <c r="B2234" s="876">
        <v>2526</v>
      </c>
      <c r="C2234" s="876" t="s">
        <v>2416</v>
      </c>
      <c r="D2234" s="851">
        <v>801.79375500000003</v>
      </c>
    </row>
    <row r="2235" spans="2:4" x14ac:dyDescent="0.2">
      <c r="B2235" s="876">
        <v>2527</v>
      </c>
      <c r="C2235" s="876" t="s">
        <v>3224</v>
      </c>
      <c r="D2235" s="851">
        <v>785.19999900000005</v>
      </c>
    </row>
    <row r="2236" spans="2:4" x14ac:dyDescent="0.2">
      <c r="B2236" s="876">
        <v>2528</v>
      </c>
      <c r="C2236" s="876" t="s">
        <v>3225</v>
      </c>
      <c r="D2236" s="851">
        <v>769.97997999999995</v>
      </c>
    </row>
    <row r="2237" spans="2:4" x14ac:dyDescent="0.2">
      <c r="B2237" s="876">
        <v>2529</v>
      </c>
      <c r="C2237" s="876" t="s">
        <v>3226</v>
      </c>
      <c r="D2237" s="851">
        <v>830.51250500000003</v>
      </c>
    </row>
    <row r="2238" spans="2:4" x14ac:dyDescent="0.2">
      <c r="B2238" s="876">
        <v>2530</v>
      </c>
      <c r="C2238" s="876" t="s">
        <v>3227</v>
      </c>
      <c r="D2238" s="851">
        <v>830.76153099999999</v>
      </c>
    </row>
    <row r="2239" spans="2:4" x14ac:dyDescent="0.2">
      <c r="B2239" s="876">
        <v>2531</v>
      </c>
      <c r="C2239" s="876" t="s">
        <v>3228</v>
      </c>
      <c r="D2239" s="851">
        <v>874.07499700000005</v>
      </c>
    </row>
    <row r="2240" spans="2:4" x14ac:dyDescent="0.2">
      <c r="B2240" s="876">
        <v>2532</v>
      </c>
      <c r="C2240" s="876" t="s">
        <v>3229</v>
      </c>
      <c r="D2240" s="851">
        <v>840.40002400000003</v>
      </c>
    </row>
    <row r="2241" spans="2:4" x14ac:dyDescent="0.2">
      <c r="B2241" s="876">
        <v>2533</v>
      </c>
      <c r="C2241" s="876" t="s">
        <v>3230</v>
      </c>
      <c r="D2241" s="851">
        <v>873.69999199999995</v>
      </c>
    </row>
    <row r="2242" spans="2:4" x14ac:dyDescent="0.2">
      <c r="B2242" s="876">
        <v>2534</v>
      </c>
      <c r="C2242" s="876" t="s">
        <v>3231</v>
      </c>
      <c r="D2242" s="851">
        <v>928.95998499999996</v>
      </c>
    </row>
    <row r="2243" spans="2:4" x14ac:dyDescent="0.2">
      <c r="B2243" s="876">
        <v>2535</v>
      </c>
      <c r="C2243" s="876" t="s">
        <v>3232</v>
      </c>
      <c r="D2243" s="851">
        <v>818.64999399999999</v>
      </c>
    </row>
    <row r="2244" spans="2:4" x14ac:dyDescent="0.2">
      <c r="B2244" s="876">
        <v>2536</v>
      </c>
      <c r="C2244" s="876" t="s">
        <v>3233</v>
      </c>
      <c r="D2244" s="851">
        <v>750.59999100000005</v>
      </c>
    </row>
    <row r="2245" spans="2:4" x14ac:dyDescent="0.2">
      <c r="B2245" s="876">
        <v>2537</v>
      </c>
      <c r="C2245" s="876" t="s">
        <v>3234</v>
      </c>
      <c r="D2245" s="851">
        <v>808.65000899999995</v>
      </c>
    </row>
    <row r="2246" spans="2:4" x14ac:dyDescent="0.2">
      <c r="B2246" s="876">
        <v>2538</v>
      </c>
      <c r="C2246" s="876" t="s">
        <v>3235</v>
      </c>
      <c r="D2246" s="851">
        <v>829.10000200000002</v>
      </c>
    </row>
    <row r="2247" spans="2:4" x14ac:dyDescent="0.2">
      <c r="B2247" s="876">
        <v>2539</v>
      </c>
      <c r="C2247" s="876" t="s">
        <v>2533</v>
      </c>
      <c r="D2247" s="851">
        <v>778.5</v>
      </c>
    </row>
    <row r="2248" spans="2:4" x14ac:dyDescent="0.2">
      <c r="B2248" s="876">
        <v>2540</v>
      </c>
      <c r="C2248" s="876" t="s">
        <v>3236</v>
      </c>
      <c r="D2248" s="851">
        <v>802.15555099999995</v>
      </c>
    </row>
    <row r="2249" spans="2:4" x14ac:dyDescent="0.2">
      <c r="B2249" s="876">
        <v>2541</v>
      </c>
      <c r="C2249" s="876" t="s">
        <v>3237</v>
      </c>
      <c r="D2249" s="851">
        <v>843.23333100000002</v>
      </c>
    </row>
    <row r="2250" spans="2:4" x14ac:dyDescent="0.2">
      <c r="B2250" s="876">
        <v>2542</v>
      </c>
      <c r="C2250" s="876" t="s">
        <v>3238</v>
      </c>
      <c r="D2250" s="851">
        <v>829.45000200000004</v>
      </c>
    </row>
    <row r="2251" spans="2:4" x14ac:dyDescent="0.2">
      <c r="B2251" s="876">
        <v>2543</v>
      </c>
      <c r="C2251" s="876" t="s">
        <v>3239</v>
      </c>
      <c r="D2251" s="851">
        <v>786.72855900000002</v>
      </c>
    </row>
    <row r="2252" spans="2:4" x14ac:dyDescent="0.2">
      <c r="B2252" s="876">
        <v>2544</v>
      </c>
      <c r="C2252" s="876" t="s">
        <v>3240</v>
      </c>
      <c r="D2252" s="851">
        <v>814.92857100000003</v>
      </c>
    </row>
    <row r="2253" spans="2:4" x14ac:dyDescent="0.2">
      <c r="B2253" s="876">
        <v>2545</v>
      </c>
      <c r="C2253" s="876" t="s">
        <v>3241</v>
      </c>
      <c r="D2253" s="851">
        <v>826.92500299999995</v>
      </c>
    </row>
    <row r="2254" spans="2:4" x14ac:dyDescent="0.2">
      <c r="B2254" s="876">
        <v>2546</v>
      </c>
      <c r="C2254" s="876" t="s">
        <v>3242</v>
      </c>
      <c r="D2254" s="851">
        <v>831.03749100000005</v>
      </c>
    </row>
    <row r="2255" spans="2:4" x14ac:dyDescent="0.2">
      <c r="B2255" s="876">
        <v>2547</v>
      </c>
      <c r="C2255" s="876" t="s">
        <v>3243</v>
      </c>
      <c r="D2255" s="851">
        <v>900.99998500000004</v>
      </c>
    </row>
    <row r="2256" spans="2:4" x14ac:dyDescent="0.2">
      <c r="B2256" s="876">
        <v>2548</v>
      </c>
      <c r="C2256" s="876" t="s">
        <v>3244</v>
      </c>
      <c r="D2256" s="851">
        <v>907.18000500000005</v>
      </c>
    </row>
    <row r="2257" spans="2:4" x14ac:dyDescent="0.2">
      <c r="B2257" s="876">
        <v>2549</v>
      </c>
      <c r="C2257" s="876" t="s">
        <v>3245</v>
      </c>
      <c r="D2257" s="851">
        <v>862.31819299999995</v>
      </c>
    </row>
    <row r="2258" spans="2:4" x14ac:dyDescent="0.2">
      <c r="B2258" s="876">
        <v>2550</v>
      </c>
      <c r="C2258" s="876" t="s">
        <v>3246</v>
      </c>
      <c r="D2258" s="851">
        <v>941.56664999999998</v>
      </c>
    </row>
    <row r="2259" spans="2:4" x14ac:dyDescent="0.2">
      <c r="B2259" s="876">
        <v>2551</v>
      </c>
      <c r="C2259" s="876" t="s">
        <v>3247</v>
      </c>
      <c r="D2259" s="851">
        <v>939.09999700000003</v>
      </c>
    </row>
    <row r="2260" spans="2:4" x14ac:dyDescent="0.2">
      <c r="B2260" s="876">
        <v>2552</v>
      </c>
      <c r="C2260" s="876" t="s">
        <v>3248</v>
      </c>
      <c r="D2260" s="851">
        <v>915.60001599999998</v>
      </c>
    </row>
    <row r="2261" spans="2:4" x14ac:dyDescent="0.2">
      <c r="B2261" s="876">
        <v>2553</v>
      </c>
      <c r="C2261" s="876" t="s">
        <v>3249</v>
      </c>
      <c r="D2261" s="851">
        <v>930.25385500000004</v>
      </c>
    </row>
    <row r="2262" spans="2:4" x14ac:dyDescent="0.2">
      <c r="B2262" s="876">
        <v>2554</v>
      </c>
      <c r="C2262" s="876" t="s">
        <v>3250</v>
      </c>
      <c r="D2262" s="851">
        <v>874.57778599999995</v>
      </c>
    </row>
    <row r="2263" spans="2:4" x14ac:dyDescent="0.2">
      <c r="B2263" s="876">
        <v>2555</v>
      </c>
      <c r="C2263" s="876" t="s">
        <v>3251</v>
      </c>
      <c r="D2263" s="851">
        <v>884.51429099999996</v>
      </c>
    </row>
    <row r="2264" spans="2:4" x14ac:dyDescent="0.2">
      <c r="B2264" s="876">
        <v>2556</v>
      </c>
      <c r="C2264" s="876" t="s">
        <v>3252</v>
      </c>
      <c r="D2264" s="851">
        <v>832.49824599999999</v>
      </c>
    </row>
    <row r="2265" spans="2:4" x14ac:dyDescent="0.2">
      <c r="B2265" s="876">
        <v>2601</v>
      </c>
      <c r="C2265" s="876" t="s">
        <v>3253</v>
      </c>
      <c r="D2265" s="851">
        <v>791.15555800000004</v>
      </c>
    </row>
    <row r="2266" spans="2:4" x14ac:dyDescent="0.2">
      <c r="B2266" s="876">
        <v>2602</v>
      </c>
      <c r="C2266" s="876" t="s">
        <v>3254</v>
      </c>
      <c r="D2266" s="851">
        <v>836.71666500000003</v>
      </c>
    </row>
    <row r="2267" spans="2:4" x14ac:dyDescent="0.2">
      <c r="B2267" s="876">
        <v>2603</v>
      </c>
      <c r="C2267" s="876" t="s">
        <v>3255</v>
      </c>
      <c r="D2267" s="851">
        <v>808.46666100000004</v>
      </c>
    </row>
    <row r="2268" spans="2:4" x14ac:dyDescent="0.2">
      <c r="B2268" s="876">
        <v>2604</v>
      </c>
      <c r="C2268" s="876" t="s">
        <v>3256</v>
      </c>
      <c r="D2268" s="851">
        <v>807.59999600000003</v>
      </c>
    </row>
    <row r="2269" spans="2:4" x14ac:dyDescent="0.2">
      <c r="B2269" s="876">
        <v>2605</v>
      </c>
      <c r="C2269" s="876" t="s">
        <v>3257</v>
      </c>
      <c r="D2269" s="851">
        <v>769.14000199999998</v>
      </c>
    </row>
    <row r="2270" spans="2:4" x14ac:dyDescent="0.2">
      <c r="B2270" s="876">
        <v>2606</v>
      </c>
      <c r="C2270" s="876" t="s">
        <v>3258</v>
      </c>
      <c r="D2270" s="851">
        <v>818.92000700000006</v>
      </c>
    </row>
    <row r="2271" spans="2:4" x14ac:dyDescent="0.2">
      <c r="B2271" s="876">
        <v>2607</v>
      </c>
      <c r="C2271" s="876" t="s">
        <v>3259</v>
      </c>
      <c r="D2271" s="851">
        <v>884.21999500000004</v>
      </c>
    </row>
    <row r="2272" spans="2:4" x14ac:dyDescent="0.2">
      <c r="B2272" s="876">
        <v>2608</v>
      </c>
      <c r="C2272" s="876" t="s">
        <v>3260</v>
      </c>
      <c r="D2272" s="851">
        <v>854.90000899999995</v>
      </c>
    </row>
    <row r="2273" spans="2:4" x14ac:dyDescent="0.2">
      <c r="B2273" s="876">
        <v>2609</v>
      </c>
      <c r="C2273" s="876" t="s">
        <v>3261</v>
      </c>
      <c r="D2273" s="851">
        <v>836.95001200000002</v>
      </c>
    </row>
    <row r="2274" spans="2:4" x14ac:dyDescent="0.2">
      <c r="B2274" s="876">
        <v>2610</v>
      </c>
      <c r="C2274" s="876" t="s">
        <v>3262</v>
      </c>
      <c r="D2274" s="851">
        <v>838.5</v>
      </c>
    </row>
    <row r="2275" spans="2:4" x14ac:dyDescent="0.2">
      <c r="B2275" s="876">
        <v>2611</v>
      </c>
      <c r="C2275" s="876" t="s">
        <v>3263</v>
      </c>
      <c r="D2275" s="851">
        <v>793.78334600000005</v>
      </c>
    </row>
    <row r="2276" spans="2:4" x14ac:dyDescent="0.2">
      <c r="B2276" s="876">
        <v>2612</v>
      </c>
      <c r="C2276" s="876" t="s">
        <v>3264</v>
      </c>
      <c r="D2276" s="851">
        <v>750.15998500000001</v>
      </c>
    </row>
    <row r="2277" spans="2:4" x14ac:dyDescent="0.2">
      <c r="B2277" s="876">
        <v>2613</v>
      </c>
      <c r="C2277" s="876" t="s">
        <v>3265</v>
      </c>
      <c r="D2277" s="851">
        <v>662.30001800000002</v>
      </c>
    </row>
    <row r="2278" spans="2:4" x14ac:dyDescent="0.2">
      <c r="B2278" s="876">
        <v>2614</v>
      </c>
      <c r="C2278" s="876" t="s">
        <v>3266</v>
      </c>
      <c r="D2278" s="851">
        <v>712.27500899999995</v>
      </c>
    </row>
    <row r="2279" spans="2:4" x14ac:dyDescent="0.2">
      <c r="B2279" s="876">
        <v>2615</v>
      </c>
      <c r="C2279" s="876" t="s">
        <v>3267</v>
      </c>
      <c r="D2279" s="851">
        <v>633.16666699999996</v>
      </c>
    </row>
    <row r="2280" spans="2:4" x14ac:dyDescent="0.2">
      <c r="B2280" s="876">
        <v>2616</v>
      </c>
      <c r="C2280" s="876" t="s">
        <v>3268</v>
      </c>
      <c r="D2280" s="851">
        <v>663.80910400000005</v>
      </c>
    </row>
    <row r="2281" spans="2:4" x14ac:dyDescent="0.2">
      <c r="B2281" s="876">
        <v>2617</v>
      </c>
      <c r="C2281" s="876" t="s">
        <v>3269</v>
      </c>
      <c r="D2281" s="851">
        <v>775.21667500000001</v>
      </c>
    </row>
    <row r="2282" spans="2:4" x14ac:dyDescent="0.2">
      <c r="B2282" s="876">
        <v>2618</v>
      </c>
      <c r="C2282" s="876" t="s">
        <v>3270</v>
      </c>
      <c r="D2282" s="851">
        <v>767.70001200000002</v>
      </c>
    </row>
    <row r="2283" spans="2:4" x14ac:dyDescent="0.2">
      <c r="B2283" s="876">
        <v>2619</v>
      </c>
      <c r="C2283" s="876" t="s">
        <v>3271</v>
      </c>
      <c r="D2283" s="851">
        <v>705.53332499999999</v>
      </c>
    </row>
    <row r="2284" spans="2:4" x14ac:dyDescent="0.2">
      <c r="B2284" s="876">
        <v>2620</v>
      </c>
      <c r="C2284" s="876" t="s">
        <v>3272</v>
      </c>
      <c r="D2284" s="851">
        <v>875.76667299999997</v>
      </c>
    </row>
    <row r="2285" spans="2:4" x14ac:dyDescent="0.2">
      <c r="B2285" s="876">
        <v>2621</v>
      </c>
      <c r="C2285" s="876" t="s">
        <v>3273</v>
      </c>
      <c r="D2285" s="851">
        <v>798.22499800000003</v>
      </c>
    </row>
    <row r="2286" spans="2:4" x14ac:dyDescent="0.2">
      <c r="B2286" s="876">
        <v>2622</v>
      </c>
      <c r="C2286" s="876" t="s">
        <v>3274</v>
      </c>
      <c r="D2286" s="851">
        <v>815.90002400000003</v>
      </c>
    </row>
    <row r="2287" spans="2:4" x14ac:dyDescent="0.2">
      <c r="B2287" s="876">
        <v>2623</v>
      </c>
      <c r="C2287" s="876" t="s">
        <v>3275</v>
      </c>
      <c r="D2287" s="851">
        <v>781.33331299999998</v>
      </c>
    </row>
    <row r="2288" spans="2:4" x14ac:dyDescent="0.2">
      <c r="B2288" s="876">
        <v>2624</v>
      </c>
      <c r="C2288" s="876" t="s">
        <v>1275</v>
      </c>
      <c r="D2288" s="851">
        <v>754.32856100000004</v>
      </c>
    </row>
    <row r="2289" spans="2:4" x14ac:dyDescent="0.2">
      <c r="B2289" s="876">
        <v>2625</v>
      </c>
      <c r="C2289" s="876" t="s">
        <v>3276</v>
      </c>
      <c r="D2289" s="851">
        <v>803.20000200000004</v>
      </c>
    </row>
    <row r="2290" spans="2:4" x14ac:dyDescent="0.2">
      <c r="B2290" s="876">
        <v>2626</v>
      </c>
      <c r="C2290" s="876" t="s">
        <v>3277</v>
      </c>
      <c r="D2290" s="851">
        <v>745.60000600000001</v>
      </c>
    </row>
    <row r="2291" spans="2:4" x14ac:dyDescent="0.2">
      <c r="B2291" s="876">
        <v>2627</v>
      </c>
      <c r="C2291" s="876" t="s">
        <v>1793</v>
      </c>
      <c r="D2291" s="851">
        <v>844.19999199999995</v>
      </c>
    </row>
    <row r="2292" spans="2:4" x14ac:dyDescent="0.2">
      <c r="B2292" s="876">
        <v>2628</v>
      </c>
      <c r="C2292" s="876" t="s">
        <v>3278</v>
      </c>
      <c r="D2292" s="851">
        <v>723.25</v>
      </c>
    </row>
    <row r="2293" spans="2:4" x14ac:dyDescent="0.2">
      <c r="B2293" s="876">
        <v>2629</v>
      </c>
      <c r="C2293" s="876" t="s">
        <v>3279</v>
      </c>
      <c r="D2293" s="851">
        <v>882.83332700000005</v>
      </c>
    </row>
    <row r="2294" spans="2:4" x14ac:dyDescent="0.2">
      <c r="B2294" s="876">
        <v>2630</v>
      </c>
      <c r="C2294" s="876" t="s">
        <v>3280</v>
      </c>
      <c r="D2294" s="851">
        <v>792.47499100000005</v>
      </c>
    </row>
    <row r="2295" spans="2:4" x14ac:dyDescent="0.2">
      <c r="B2295" s="876">
        <v>2631</v>
      </c>
      <c r="C2295" s="876" t="s">
        <v>3281</v>
      </c>
      <c r="D2295" s="851">
        <v>848.43332899999996</v>
      </c>
    </row>
    <row r="2296" spans="2:4" x14ac:dyDescent="0.2">
      <c r="B2296" s="876">
        <v>2632</v>
      </c>
      <c r="C2296" s="876" t="s">
        <v>3282</v>
      </c>
      <c r="D2296" s="851">
        <v>741.21999500000004</v>
      </c>
    </row>
    <row r="2297" spans="2:4" x14ac:dyDescent="0.2">
      <c r="B2297" s="876">
        <v>2633</v>
      </c>
      <c r="C2297" s="876" t="s">
        <v>3283</v>
      </c>
      <c r="D2297" s="851">
        <v>779.69998199999998</v>
      </c>
    </row>
    <row r="2298" spans="2:4" x14ac:dyDescent="0.2">
      <c r="B2298" s="876">
        <v>2634</v>
      </c>
      <c r="C2298" s="876" t="s">
        <v>3284</v>
      </c>
      <c r="D2298" s="851">
        <v>719.64999399999999</v>
      </c>
    </row>
    <row r="2299" spans="2:4" x14ac:dyDescent="0.2">
      <c r="B2299" s="876">
        <v>2635</v>
      </c>
      <c r="C2299" s="876" t="s">
        <v>3285</v>
      </c>
      <c r="D2299" s="851">
        <v>726.59997599999997</v>
      </c>
    </row>
    <row r="2300" spans="2:4" x14ac:dyDescent="0.2">
      <c r="B2300" s="876">
        <v>2636</v>
      </c>
      <c r="C2300" s="876" t="s">
        <v>3286</v>
      </c>
      <c r="D2300" s="851">
        <v>836.98571800000002</v>
      </c>
    </row>
    <row r="2301" spans="2:4" x14ac:dyDescent="0.2">
      <c r="B2301" s="876">
        <v>2637</v>
      </c>
      <c r="C2301" s="876" t="s">
        <v>3287</v>
      </c>
      <c r="D2301" s="851">
        <v>769.9375</v>
      </c>
    </row>
    <row r="2302" spans="2:4" x14ac:dyDescent="0.2">
      <c r="B2302" s="876">
        <v>2638</v>
      </c>
      <c r="C2302" s="876" t="s">
        <v>3288</v>
      </c>
      <c r="D2302" s="851">
        <v>750.92499499999997</v>
      </c>
    </row>
    <row r="2303" spans="2:4" x14ac:dyDescent="0.2">
      <c r="B2303" s="876">
        <v>2639</v>
      </c>
      <c r="C2303" s="876" t="s">
        <v>3289</v>
      </c>
      <c r="D2303" s="851">
        <v>806.54286400000001</v>
      </c>
    </row>
    <row r="2304" spans="2:4" x14ac:dyDescent="0.2">
      <c r="B2304" s="876">
        <v>2640</v>
      </c>
      <c r="C2304" s="876" t="s">
        <v>3290</v>
      </c>
      <c r="D2304" s="851">
        <v>806.77499399999999</v>
      </c>
    </row>
    <row r="2305" spans="2:4" x14ac:dyDescent="0.2">
      <c r="B2305" s="876">
        <v>2641</v>
      </c>
      <c r="C2305" s="876" t="s">
        <v>1631</v>
      </c>
      <c r="D2305" s="851">
        <v>831.60908600000005</v>
      </c>
    </row>
    <row r="2306" spans="2:4" x14ac:dyDescent="0.2">
      <c r="B2306" s="876">
        <v>2642</v>
      </c>
      <c r="C2306" s="876" t="s">
        <v>3291</v>
      </c>
      <c r="D2306" s="851">
        <v>829</v>
      </c>
    </row>
    <row r="2307" spans="2:4" x14ac:dyDescent="0.2">
      <c r="B2307" s="876">
        <v>2643</v>
      </c>
      <c r="C2307" s="876" t="s">
        <v>3292</v>
      </c>
      <c r="D2307" s="851">
        <v>865.96666500000003</v>
      </c>
    </row>
    <row r="2308" spans="2:4" x14ac:dyDescent="0.2">
      <c r="B2308" s="876">
        <v>2644</v>
      </c>
      <c r="C2308" s="876" t="s">
        <v>3293</v>
      </c>
      <c r="D2308" s="851">
        <v>817.05714599999999</v>
      </c>
    </row>
    <row r="2309" spans="2:4" x14ac:dyDescent="0.2">
      <c r="B2309" s="876">
        <v>2645</v>
      </c>
      <c r="C2309" s="876" t="s">
        <v>3294</v>
      </c>
      <c r="D2309" s="851">
        <v>890.51818300000002</v>
      </c>
    </row>
    <row r="2310" spans="2:4" x14ac:dyDescent="0.2">
      <c r="B2310" s="876">
        <v>2646</v>
      </c>
      <c r="C2310" s="876" t="s">
        <v>2464</v>
      </c>
      <c r="D2310" s="851">
        <v>639.5</v>
      </c>
    </row>
    <row r="2311" spans="2:4" x14ac:dyDescent="0.2">
      <c r="B2311" s="876">
        <v>2647</v>
      </c>
      <c r="C2311" s="876" t="s">
        <v>3295</v>
      </c>
      <c r="D2311" s="851">
        <v>635.78333499999997</v>
      </c>
    </row>
    <row r="2312" spans="2:4" x14ac:dyDescent="0.2">
      <c r="B2312" s="876">
        <v>2648</v>
      </c>
      <c r="C2312" s="876" t="s">
        <v>3296</v>
      </c>
      <c r="D2312" s="851">
        <v>649.79998799999998</v>
      </c>
    </row>
    <row r="2313" spans="2:4" x14ac:dyDescent="0.2">
      <c r="B2313" s="876">
        <v>2649</v>
      </c>
      <c r="C2313" s="876" t="s">
        <v>3297</v>
      </c>
      <c r="D2313" s="851">
        <v>617</v>
      </c>
    </row>
    <row r="2314" spans="2:4" x14ac:dyDescent="0.2">
      <c r="B2314" s="876">
        <v>2650</v>
      </c>
      <c r="C2314" s="876" t="s">
        <v>3298</v>
      </c>
      <c r="D2314" s="851">
        <v>643.25</v>
      </c>
    </row>
    <row r="2315" spans="2:4" x14ac:dyDescent="0.2">
      <c r="B2315" s="876">
        <v>2651</v>
      </c>
      <c r="C2315" s="876" t="s">
        <v>3299</v>
      </c>
      <c r="D2315" s="851">
        <v>599.28571399999998</v>
      </c>
    </row>
    <row r="2316" spans="2:4" x14ac:dyDescent="0.2">
      <c r="B2316" s="876">
        <v>2652</v>
      </c>
      <c r="C2316" s="876" t="s">
        <v>3300</v>
      </c>
      <c r="D2316" s="851">
        <v>658.35293799999999</v>
      </c>
    </row>
    <row r="2317" spans="2:4" x14ac:dyDescent="0.2">
      <c r="B2317" s="876">
        <v>2653</v>
      </c>
      <c r="C2317" s="876" t="s">
        <v>3301</v>
      </c>
      <c r="D2317" s="851">
        <v>660.4</v>
      </c>
    </row>
    <row r="2318" spans="2:4" x14ac:dyDescent="0.2">
      <c r="B2318" s="876">
        <v>2654</v>
      </c>
      <c r="C2318" s="876" t="s">
        <v>352</v>
      </c>
      <c r="D2318" s="851">
        <v>686.460869</v>
      </c>
    </row>
    <row r="2319" spans="2:4" x14ac:dyDescent="0.2">
      <c r="B2319" s="876">
        <v>2655</v>
      </c>
      <c r="C2319" s="876" t="s">
        <v>2493</v>
      </c>
      <c r="D2319" s="851">
        <v>673.77499399999999</v>
      </c>
    </row>
    <row r="2320" spans="2:4" x14ac:dyDescent="0.2">
      <c r="B2320" s="876">
        <v>2656</v>
      </c>
      <c r="C2320" s="876" t="s">
        <v>3302</v>
      </c>
      <c r="D2320" s="851">
        <v>662.48000500000001</v>
      </c>
    </row>
    <row r="2321" spans="2:4" x14ac:dyDescent="0.2">
      <c r="B2321" s="876">
        <v>2657</v>
      </c>
      <c r="C2321" s="876" t="s">
        <v>3303</v>
      </c>
      <c r="D2321" s="851">
        <v>648.68335000000002</v>
      </c>
    </row>
    <row r="2322" spans="2:4" x14ac:dyDescent="0.2">
      <c r="B2322" s="876">
        <v>2659</v>
      </c>
      <c r="C2322" s="876" t="s">
        <v>3304</v>
      </c>
      <c r="D2322" s="851">
        <v>711.875</v>
      </c>
    </row>
    <row r="2323" spans="2:4" x14ac:dyDescent="0.2">
      <c r="B2323" s="876">
        <v>2660</v>
      </c>
      <c r="C2323" s="876" t="s">
        <v>3305</v>
      </c>
      <c r="D2323" s="851">
        <v>673.5</v>
      </c>
    </row>
    <row r="2324" spans="2:4" x14ac:dyDescent="0.2">
      <c r="B2324" s="876">
        <v>2661</v>
      </c>
      <c r="C2324" s="876" t="s">
        <v>3306</v>
      </c>
      <c r="D2324" s="851">
        <v>733.53332499999999</v>
      </c>
    </row>
    <row r="2325" spans="2:4" x14ac:dyDescent="0.2">
      <c r="B2325" s="876">
        <v>2662</v>
      </c>
      <c r="C2325" s="876" t="s">
        <v>3307</v>
      </c>
      <c r="D2325" s="851">
        <v>722.34444900000005</v>
      </c>
    </row>
    <row r="2326" spans="2:4" x14ac:dyDescent="0.2">
      <c r="B2326" s="876">
        <v>2663</v>
      </c>
      <c r="C2326" s="876" t="s">
        <v>3308</v>
      </c>
      <c r="D2326" s="851">
        <v>785.32499700000005</v>
      </c>
    </row>
    <row r="2327" spans="2:4" x14ac:dyDescent="0.2">
      <c r="B2327" s="876">
        <v>2664</v>
      </c>
      <c r="C2327" s="876" t="s">
        <v>3309</v>
      </c>
      <c r="D2327" s="851">
        <v>823.01250500000003</v>
      </c>
    </row>
    <row r="2328" spans="2:4" x14ac:dyDescent="0.2">
      <c r="B2328" s="876">
        <v>2665</v>
      </c>
      <c r="C2328" s="876" t="s">
        <v>3310</v>
      </c>
      <c r="D2328" s="851">
        <v>754.00999100000001</v>
      </c>
    </row>
    <row r="2329" spans="2:4" x14ac:dyDescent="0.2">
      <c r="B2329" s="876">
        <v>2666</v>
      </c>
      <c r="C2329" s="876" t="s">
        <v>2193</v>
      </c>
      <c r="D2329" s="851">
        <v>861.54999799999996</v>
      </c>
    </row>
    <row r="2330" spans="2:4" x14ac:dyDescent="0.2">
      <c r="B2330" s="876">
        <v>2667</v>
      </c>
      <c r="C2330" s="876" t="s">
        <v>3311</v>
      </c>
      <c r="D2330" s="851">
        <v>846.75</v>
      </c>
    </row>
    <row r="2331" spans="2:4" x14ac:dyDescent="0.2">
      <c r="B2331" s="876">
        <v>2668</v>
      </c>
      <c r="C2331" s="876" t="s">
        <v>3312</v>
      </c>
      <c r="D2331" s="851">
        <v>816.80000500000006</v>
      </c>
    </row>
    <row r="2332" spans="2:4" x14ac:dyDescent="0.2">
      <c r="B2332" s="876">
        <v>2669</v>
      </c>
      <c r="C2332" s="876" t="s">
        <v>3313</v>
      </c>
      <c r="D2332" s="851">
        <v>846.19999700000005</v>
      </c>
    </row>
    <row r="2333" spans="2:4" x14ac:dyDescent="0.2">
      <c r="B2333" s="876">
        <v>2670</v>
      </c>
      <c r="C2333" s="876" t="s">
        <v>3314</v>
      </c>
      <c r="D2333" s="851">
        <v>894.09997599999997</v>
      </c>
    </row>
    <row r="2334" spans="2:4" x14ac:dyDescent="0.2">
      <c r="B2334" s="876">
        <v>2671</v>
      </c>
      <c r="C2334" s="876" t="s">
        <v>3315</v>
      </c>
      <c r="D2334" s="851">
        <v>878.45714499999997</v>
      </c>
    </row>
    <row r="2335" spans="2:4" x14ac:dyDescent="0.2">
      <c r="B2335" s="876">
        <v>2672</v>
      </c>
      <c r="C2335" s="876" t="s">
        <v>3316</v>
      </c>
      <c r="D2335" s="851">
        <v>896.65555800000004</v>
      </c>
    </row>
    <row r="2336" spans="2:4" x14ac:dyDescent="0.2">
      <c r="B2336" s="876">
        <v>2673</v>
      </c>
      <c r="C2336" s="876" t="s">
        <v>3317</v>
      </c>
      <c r="D2336" s="851">
        <v>645.99165900000003</v>
      </c>
    </row>
    <row r="2337" spans="2:4" x14ac:dyDescent="0.2">
      <c r="B2337" s="876">
        <v>2674</v>
      </c>
      <c r="C2337" s="876" t="s">
        <v>3318</v>
      </c>
      <c r="D2337" s="851">
        <v>642.66666699999996</v>
      </c>
    </row>
    <row r="2338" spans="2:4" x14ac:dyDescent="0.2">
      <c r="B2338" s="876">
        <v>2675</v>
      </c>
      <c r="C2338" s="876" t="s">
        <v>3319</v>
      </c>
      <c r="D2338" s="851">
        <v>645.93332899999996</v>
      </c>
    </row>
    <row r="2339" spans="2:4" x14ac:dyDescent="0.2">
      <c r="B2339" s="876">
        <v>2676</v>
      </c>
      <c r="C2339" s="876" t="s">
        <v>3320</v>
      </c>
      <c r="D2339" s="851">
        <v>687.57499700000005</v>
      </c>
    </row>
    <row r="2340" spans="2:4" x14ac:dyDescent="0.2">
      <c r="B2340" s="876">
        <v>2677</v>
      </c>
      <c r="C2340" s="876" t="s">
        <v>1135</v>
      </c>
      <c r="D2340" s="851">
        <v>644.53749800000003</v>
      </c>
    </row>
    <row r="2341" spans="2:4" x14ac:dyDescent="0.2">
      <c r="B2341" s="876">
        <v>2678</v>
      </c>
      <c r="C2341" s="876" t="s">
        <v>3321</v>
      </c>
      <c r="D2341" s="851">
        <v>712.75</v>
      </c>
    </row>
    <row r="2342" spans="2:4" x14ac:dyDescent="0.2">
      <c r="B2342" s="876">
        <v>2679</v>
      </c>
      <c r="C2342" s="876" t="s">
        <v>3322</v>
      </c>
      <c r="D2342" s="851">
        <v>724.85000600000001</v>
      </c>
    </row>
    <row r="2343" spans="2:4" x14ac:dyDescent="0.2">
      <c r="B2343" s="876">
        <v>2680</v>
      </c>
      <c r="C2343" s="876" t="s">
        <v>3323</v>
      </c>
      <c r="D2343" s="851">
        <v>679.64000199999998</v>
      </c>
    </row>
    <row r="2344" spans="2:4" x14ac:dyDescent="0.2">
      <c r="B2344" s="876">
        <v>2681</v>
      </c>
      <c r="C2344" s="876" t="s">
        <v>3324</v>
      </c>
      <c r="D2344" s="851">
        <v>696.85000600000001</v>
      </c>
    </row>
    <row r="2345" spans="2:4" x14ac:dyDescent="0.2">
      <c r="B2345" s="876">
        <v>2682</v>
      </c>
      <c r="C2345" s="876" t="s">
        <v>3325</v>
      </c>
      <c r="D2345" s="851">
        <v>684.85000600000001</v>
      </c>
    </row>
    <row r="2346" spans="2:4" x14ac:dyDescent="0.2">
      <c r="B2346" s="876">
        <v>2683</v>
      </c>
      <c r="C2346" s="876" t="s">
        <v>3326</v>
      </c>
      <c r="D2346" s="851">
        <v>699.10000600000001</v>
      </c>
    </row>
    <row r="2347" spans="2:4" x14ac:dyDescent="0.2">
      <c r="B2347" s="876">
        <v>2684</v>
      </c>
      <c r="C2347" s="876" t="s">
        <v>3327</v>
      </c>
      <c r="D2347" s="851">
        <v>760.85000600000001</v>
      </c>
    </row>
    <row r="2348" spans="2:4" x14ac:dyDescent="0.2">
      <c r="B2348" s="876">
        <v>2685</v>
      </c>
      <c r="C2348" s="876" t="s">
        <v>2973</v>
      </c>
      <c r="D2348" s="851">
        <v>647.78001700000004</v>
      </c>
    </row>
    <row r="2349" spans="2:4" x14ac:dyDescent="0.2">
      <c r="B2349" s="876">
        <v>2686</v>
      </c>
      <c r="C2349" s="876" t="s">
        <v>3328</v>
      </c>
      <c r="D2349" s="851">
        <v>723.77999299999999</v>
      </c>
    </row>
    <row r="2350" spans="2:4" x14ac:dyDescent="0.2">
      <c r="B2350" s="876">
        <v>2687</v>
      </c>
      <c r="C2350" s="876" t="s">
        <v>3329</v>
      </c>
      <c r="D2350" s="851">
        <v>704.48888499999998</v>
      </c>
    </row>
    <row r="2351" spans="2:4" x14ac:dyDescent="0.2">
      <c r="B2351" s="876">
        <v>2688</v>
      </c>
      <c r="C2351" s="876" t="s">
        <v>3330</v>
      </c>
      <c r="D2351" s="851">
        <v>679.75</v>
      </c>
    </row>
    <row r="2352" spans="2:4" x14ac:dyDescent="0.2">
      <c r="B2352" s="876">
        <v>2689</v>
      </c>
      <c r="C2352" s="876" t="s">
        <v>3331</v>
      </c>
      <c r="D2352" s="851">
        <v>830.76923499999998</v>
      </c>
    </row>
    <row r="2353" spans="2:4" x14ac:dyDescent="0.2">
      <c r="B2353" s="876">
        <v>2690</v>
      </c>
      <c r="C2353" s="876" t="s">
        <v>3332</v>
      </c>
      <c r="D2353" s="851">
        <v>805.65555099999995</v>
      </c>
    </row>
    <row r="2354" spans="2:4" x14ac:dyDescent="0.2">
      <c r="B2354" s="876">
        <v>2691</v>
      </c>
      <c r="C2354" s="876" t="s">
        <v>3333</v>
      </c>
      <c r="D2354" s="851">
        <v>834.10000600000001</v>
      </c>
    </row>
    <row r="2355" spans="2:4" x14ac:dyDescent="0.2">
      <c r="B2355" s="876">
        <v>2692</v>
      </c>
      <c r="C2355" s="876" t="s">
        <v>3334</v>
      </c>
      <c r="D2355" s="851">
        <v>825.06664999999998</v>
      </c>
    </row>
    <row r="2356" spans="2:4" x14ac:dyDescent="0.2">
      <c r="B2356" s="876">
        <v>2693</v>
      </c>
      <c r="C2356" s="876" t="s">
        <v>3335</v>
      </c>
      <c r="D2356" s="851">
        <v>869.36250299999995</v>
      </c>
    </row>
    <row r="2357" spans="2:4" x14ac:dyDescent="0.2">
      <c r="B2357" s="876">
        <v>2694</v>
      </c>
      <c r="C2357" s="876" t="s">
        <v>3336</v>
      </c>
      <c r="D2357" s="851">
        <v>869.75713199999996</v>
      </c>
    </row>
    <row r="2358" spans="2:4" x14ac:dyDescent="0.2">
      <c r="B2358" s="876">
        <v>2695</v>
      </c>
      <c r="C2358" s="876" t="s">
        <v>3337</v>
      </c>
      <c r="D2358" s="851">
        <v>848.57777899999996</v>
      </c>
    </row>
    <row r="2359" spans="2:4" x14ac:dyDescent="0.2">
      <c r="B2359" s="876">
        <v>2696</v>
      </c>
      <c r="C2359" s="876" t="s">
        <v>3338</v>
      </c>
      <c r="D2359" s="851">
        <v>897.41667700000005</v>
      </c>
    </row>
    <row r="2360" spans="2:4" x14ac:dyDescent="0.2">
      <c r="B2360" s="876">
        <v>2697</v>
      </c>
      <c r="C2360" s="876" t="s">
        <v>3339</v>
      </c>
      <c r="D2360" s="851">
        <v>812.72500600000001</v>
      </c>
    </row>
    <row r="2361" spans="2:4" x14ac:dyDescent="0.2">
      <c r="B2361" s="876">
        <v>2698</v>
      </c>
      <c r="C2361" s="876" t="s">
        <v>3340</v>
      </c>
      <c r="D2361" s="851">
        <v>739.69999700000005</v>
      </c>
    </row>
    <row r="2362" spans="2:4" x14ac:dyDescent="0.2">
      <c r="B2362" s="876">
        <v>2699</v>
      </c>
      <c r="C2362" s="876" t="s">
        <v>3341</v>
      </c>
      <c r="D2362" s="851">
        <v>790.94999700000005</v>
      </c>
    </row>
    <row r="2363" spans="2:4" x14ac:dyDescent="0.2">
      <c r="B2363" s="876">
        <v>2700</v>
      </c>
      <c r="C2363" s="876" t="s">
        <v>1797</v>
      </c>
      <c r="D2363" s="851">
        <v>748.65999799999997</v>
      </c>
    </row>
    <row r="2364" spans="2:4" x14ac:dyDescent="0.2">
      <c r="B2364" s="876">
        <v>2701</v>
      </c>
      <c r="C2364" s="876" t="s">
        <v>3342</v>
      </c>
      <c r="D2364" s="851">
        <v>721.37999300000001</v>
      </c>
    </row>
    <row r="2365" spans="2:4" x14ac:dyDescent="0.2">
      <c r="B2365" s="876">
        <v>2702</v>
      </c>
      <c r="C2365" s="876" t="s">
        <v>3343</v>
      </c>
      <c r="D2365" s="851">
        <v>762.80000500000006</v>
      </c>
    </row>
    <row r="2366" spans="2:4" x14ac:dyDescent="0.2">
      <c r="B2366" s="876">
        <v>2703</v>
      </c>
      <c r="C2366" s="876" t="s">
        <v>3344</v>
      </c>
      <c r="D2366" s="851">
        <v>795.63332100000002</v>
      </c>
    </row>
    <row r="2367" spans="2:4" x14ac:dyDescent="0.2">
      <c r="B2367" s="876">
        <v>2704</v>
      </c>
      <c r="C2367" s="876" t="s">
        <v>3345</v>
      </c>
      <c r="D2367" s="851">
        <v>756.592309</v>
      </c>
    </row>
    <row r="2368" spans="2:4" x14ac:dyDescent="0.2">
      <c r="B2368" s="876">
        <v>2705</v>
      </c>
      <c r="C2368" s="876" t="s">
        <v>3346</v>
      </c>
      <c r="D2368" s="851">
        <v>774.33998999999994</v>
      </c>
    </row>
    <row r="2369" spans="2:4" x14ac:dyDescent="0.2">
      <c r="B2369" s="876">
        <v>2706</v>
      </c>
      <c r="C2369" s="876" t="s">
        <v>3347</v>
      </c>
      <c r="D2369" s="851">
        <v>789.60000600000001</v>
      </c>
    </row>
    <row r="2370" spans="2:4" x14ac:dyDescent="0.2">
      <c r="B2370" s="876">
        <v>2707</v>
      </c>
      <c r="C2370" s="876" t="s">
        <v>3348</v>
      </c>
      <c r="D2370" s="851">
        <v>697.52497900000003</v>
      </c>
    </row>
    <row r="2371" spans="2:4" x14ac:dyDescent="0.2">
      <c r="B2371" s="876">
        <v>2708</v>
      </c>
      <c r="C2371" s="876" t="s">
        <v>3349</v>
      </c>
      <c r="D2371" s="851">
        <v>758.72000700000001</v>
      </c>
    </row>
    <row r="2372" spans="2:4" x14ac:dyDescent="0.2">
      <c r="B2372" s="876">
        <v>2709</v>
      </c>
      <c r="C2372" s="876" t="s">
        <v>3350</v>
      </c>
      <c r="D2372" s="851">
        <v>703.14999399999999</v>
      </c>
    </row>
    <row r="2373" spans="2:4" x14ac:dyDescent="0.2">
      <c r="B2373" s="876">
        <v>2710</v>
      </c>
      <c r="C2373" s="876" t="s">
        <v>3351</v>
      </c>
      <c r="D2373" s="851">
        <v>715.30000099999995</v>
      </c>
    </row>
    <row r="2374" spans="2:4" x14ac:dyDescent="0.2">
      <c r="B2374" s="876">
        <v>2711</v>
      </c>
      <c r="C2374" s="876" t="s">
        <v>3352</v>
      </c>
      <c r="D2374" s="851">
        <v>700.95999800000004</v>
      </c>
    </row>
    <row r="2375" spans="2:4" x14ac:dyDescent="0.2">
      <c r="B2375" s="876">
        <v>2751</v>
      </c>
      <c r="C2375" s="876" t="s">
        <v>3353</v>
      </c>
      <c r="D2375" s="851">
        <v>594.13334099999997</v>
      </c>
    </row>
    <row r="2376" spans="2:4" x14ac:dyDescent="0.2">
      <c r="B2376" s="876">
        <v>2752</v>
      </c>
      <c r="C2376" s="876" t="s">
        <v>3220</v>
      </c>
      <c r="D2376" s="851">
        <v>695.39999399999999</v>
      </c>
    </row>
    <row r="2377" spans="2:4" x14ac:dyDescent="0.2">
      <c r="B2377" s="876">
        <v>2753</v>
      </c>
      <c r="C2377" s="876" t="s">
        <v>3354</v>
      </c>
      <c r="D2377" s="851">
        <v>587.58333300000004</v>
      </c>
    </row>
    <row r="2378" spans="2:4" x14ac:dyDescent="0.2">
      <c r="B2378" s="876">
        <v>2754</v>
      </c>
      <c r="C2378" s="876" t="s">
        <v>3355</v>
      </c>
      <c r="D2378" s="851">
        <v>728.96665399999995</v>
      </c>
    </row>
    <row r="2379" spans="2:4" x14ac:dyDescent="0.2">
      <c r="B2379" s="876">
        <v>2755</v>
      </c>
      <c r="C2379" s="876" t="s">
        <v>3356</v>
      </c>
      <c r="D2379" s="851">
        <v>643.13333599999999</v>
      </c>
    </row>
    <row r="2380" spans="2:4" x14ac:dyDescent="0.2">
      <c r="B2380" s="876">
        <v>2756</v>
      </c>
      <c r="C2380" s="876" t="s">
        <v>3357</v>
      </c>
      <c r="D2380" s="851">
        <v>758.56667100000004</v>
      </c>
    </row>
    <row r="2381" spans="2:4" x14ac:dyDescent="0.2">
      <c r="B2381" s="876">
        <v>2757</v>
      </c>
      <c r="C2381" s="876" t="s">
        <v>3358</v>
      </c>
      <c r="D2381" s="851">
        <v>579.36667899999998</v>
      </c>
    </row>
    <row r="2382" spans="2:4" x14ac:dyDescent="0.2">
      <c r="B2382" s="876">
        <v>2758</v>
      </c>
      <c r="C2382" s="876" t="s">
        <v>3359</v>
      </c>
      <c r="D2382" s="851">
        <v>588.07498199999998</v>
      </c>
    </row>
    <row r="2383" spans="2:4" x14ac:dyDescent="0.2">
      <c r="B2383" s="876">
        <v>2759</v>
      </c>
      <c r="C2383" s="876" t="s">
        <v>2830</v>
      </c>
      <c r="D2383" s="851">
        <v>687.65002400000003</v>
      </c>
    </row>
    <row r="2384" spans="2:4" x14ac:dyDescent="0.2">
      <c r="B2384" s="876">
        <v>2760</v>
      </c>
      <c r="C2384" s="876" t="s">
        <v>2646</v>
      </c>
      <c r="D2384" s="851">
        <v>616.64999399999999</v>
      </c>
    </row>
    <row r="2385" spans="2:4" x14ac:dyDescent="0.2">
      <c r="B2385" s="876">
        <v>2761</v>
      </c>
      <c r="C2385" s="876" t="s">
        <v>3360</v>
      </c>
      <c r="D2385" s="851">
        <v>640.63332100000002</v>
      </c>
    </row>
    <row r="2386" spans="2:4" x14ac:dyDescent="0.2">
      <c r="B2386" s="876">
        <v>2762</v>
      </c>
      <c r="C2386" s="876" t="s">
        <v>1784</v>
      </c>
      <c r="D2386" s="851">
        <v>588.65000899999995</v>
      </c>
    </row>
    <row r="2387" spans="2:4" x14ac:dyDescent="0.2">
      <c r="B2387" s="876">
        <v>2763</v>
      </c>
      <c r="C2387" s="876" t="s">
        <v>3361</v>
      </c>
      <c r="D2387" s="851">
        <v>672.85000600000001</v>
      </c>
    </row>
    <row r="2388" spans="2:4" x14ac:dyDescent="0.2">
      <c r="B2388" s="876">
        <v>2764</v>
      </c>
      <c r="C2388" s="876" t="s">
        <v>3362</v>
      </c>
      <c r="D2388" s="851">
        <v>669.24286800000004</v>
      </c>
    </row>
    <row r="2389" spans="2:4" x14ac:dyDescent="0.2">
      <c r="B2389" s="876">
        <v>2765</v>
      </c>
      <c r="C2389" s="876" t="s">
        <v>3235</v>
      </c>
      <c r="D2389" s="851">
        <v>620.15000399999997</v>
      </c>
    </row>
    <row r="2390" spans="2:4" x14ac:dyDescent="0.2">
      <c r="B2390" s="876">
        <v>2766</v>
      </c>
      <c r="C2390" s="876" t="s">
        <v>3363</v>
      </c>
      <c r="D2390" s="851">
        <v>670.59997599999997</v>
      </c>
    </row>
    <row r="2391" spans="2:4" x14ac:dyDescent="0.2">
      <c r="B2391" s="876">
        <v>2767</v>
      </c>
      <c r="C2391" s="876" t="s">
        <v>2476</v>
      </c>
      <c r="D2391" s="851">
        <v>612.03332499999999</v>
      </c>
    </row>
    <row r="2392" spans="2:4" x14ac:dyDescent="0.2">
      <c r="B2392" s="876">
        <v>2768</v>
      </c>
      <c r="C2392" s="876" t="s">
        <v>3364</v>
      </c>
      <c r="D2392" s="851">
        <v>684.78001099999994</v>
      </c>
    </row>
    <row r="2393" spans="2:4" x14ac:dyDescent="0.2">
      <c r="B2393" s="876">
        <v>2769</v>
      </c>
      <c r="C2393" s="876" t="s">
        <v>3365</v>
      </c>
      <c r="D2393" s="851">
        <v>615.5</v>
      </c>
    </row>
    <row r="2394" spans="2:4" x14ac:dyDescent="0.2">
      <c r="B2394" s="876">
        <v>2770</v>
      </c>
      <c r="C2394" s="876" t="s">
        <v>3366</v>
      </c>
      <c r="D2394" s="851">
        <v>694.57499700000005</v>
      </c>
    </row>
    <row r="2395" spans="2:4" x14ac:dyDescent="0.2">
      <c r="B2395" s="876">
        <v>2771</v>
      </c>
      <c r="C2395" s="876" t="s">
        <v>3367</v>
      </c>
      <c r="D2395" s="851">
        <v>599.51666299999999</v>
      </c>
    </row>
    <row r="2396" spans="2:4" x14ac:dyDescent="0.2">
      <c r="B2396" s="876">
        <v>2772</v>
      </c>
      <c r="C2396" s="876" t="s">
        <v>358</v>
      </c>
      <c r="D2396" s="851">
        <v>644.40454699999998</v>
      </c>
    </row>
    <row r="2397" spans="2:4" x14ac:dyDescent="0.2">
      <c r="B2397" s="876">
        <v>2773</v>
      </c>
      <c r="C2397" s="876" t="s">
        <v>3368</v>
      </c>
      <c r="D2397" s="851">
        <v>659.70000200000004</v>
      </c>
    </row>
    <row r="2398" spans="2:4" x14ac:dyDescent="0.2">
      <c r="B2398" s="876">
        <v>2774</v>
      </c>
      <c r="C2398" s="876" t="s">
        <v>1961</v>
      </c>
      <c r="D2398" s="851">
        <v>686.35999800000002</v>
      </c>
    </row>
    <row r="2399" spans="2:4" x14ac:dyDescent="0.2">
      <c r="B2399" s="876">
        <v>2775</v>
      </c>
      <c r="C2399" s="876" t="s">
        <v>3369</v>
      </c>
      <c r="D2399" s="851">
        <v>596.06923300000005</v>
      </c>
    </row>
    <row r="2400" spans="2:4" x14ac:dyDescent="0.2">
      <c r="B2400" s="876">
        <v>2776</v>
      </c>
      <c r="C2400" s="876" t="s">
        <v>3370</v>
      </c>
      <c r="D2400" s="851">
        <v>583.92498799999998</v>
      </c>
    </row>
    <row r="2401" spans="2:4" x14ac:dyDescent="0.2">
      <c r="B2401" s="876">
        <v>2777</v>
      </c>
      <c r="C2401" s="876" t="s">
        <v>3371</v>
      </c>
      <c r="D2401" s="851">
        <v>597.31668100000002</v>
      </c>
    </row>
    <row r="2402" spans="2:4" x14ac:dyDescent="0.2">
      <c r="B2402" s="876">
        <v>2778</v>
      </c>
      <c r="C2402" s="876" t="s">
        <v>3372</v>
      </c>
      <c r="D2402" s="851">
        <v>653.29999899999996</v>
      </c>
    </row>
    <row r="2403" spans="2:4" x14ac:dyDescent="0.2">
      <c r="B2403" s="876">
        <v>2779</v>
      </c>
      <c r="C2403" s="876" t="s">
        <v>3373</v>
      </c>
      <c r="D2403" s="851">
        <v>684.52499399999999</v>
      </c>
    </row>
    <row r="2404" spans="2:4" x14ac:dyDescent="0.2">
      <c r="B2404" s="876">
        <v>2780</v>
      </c>
      <c r="C2404" s="876" t="s">
        <v>3374</v>
      </c>
      <c r="D2404" s="851">
        <v>607.87999300000001</v>
      </c>
    </row>
    <row r="2405" spans="2:4" x14ac:dyDescent="0.2">
      <c r="B2405" s="876">
        <v>2781</v>
      </c>
      <c r="C2405" s="876" t="s">
        <v>3375</v>
      </c>
      <c r="D2405" s="851">
        <v>630.5</v>
      </c>
    </row>
    <row r="2406" spans="2:4" x14ac:dyDescent="0.2">
      <c r="B2406" s="876">
        <v>2782</v>
      </c>
      <c r="C2406" s="876" t="s">
        <v>3376</v>
      </c>
      <c r="D2406" s="851">
        <v>598.09999600000003</v>
      </c>
    </row>
    <row r="2407" spans="2:4" x14ac:dyDescent="0.2">
      <c r="B2407" s="876">
        <v>2783</v>
      </c>
      <c r="C2407" s="876" t="s">
        <v>3377</v>
      </c>
      <c r="D2407" s="851">
        <v>703.911112</v>
      </c>
    </row>
    <row r="2408" spans="2:4" x14ac:dyDescent="0.2">
      <c r="B2408" s="876">
        <v>2784</v>
      </c>
      <c r="C2408" s="876" t="s">
        <v>3378</v>
      </c>
      <c r="D2408" s="851">
        <v>579.62000699999999</v>
      </c>
    </row>
    <row r="2409" spans="2:4" x14ac:dyDescent="0.2">
      <c r="B2409" s="876">
        <v>2785</v>
      </c>
      <c r="C2409" s="876" t="s">
        <v>2100</v>
      </c>
      <c r="D2409" s="851">
        <v>585.72857699999997</v>
      </c>
    </row>
    <row r="2410" spans="2:4" x14ac:dyDescent="0.2">
      <c r="B2410" s="876">
        <v>2786</v>
      </c>
      <c r="C2410" s="876" t="s">
        <v>3379</v>
      </c>
      <c r="D2410" s="851">
        <v>604.53333499999997</v>
      </c>
    </row>
    <row r="2411" spans="2:4" x14ac:dyDescent="0.2">
      <c r="B2411" s="876">
        <v>2787</v>
      </c>
      <c r="C2411" s="876" t="s">
        <v>3380</v>
      </c>
      <c r="D2411" s="851">
        <v>591.14285700000005</v>
      </c>
    </row>
    <row r="2412" spans="2:4" x14ac:dyDescent="0.2">
      <c r="B2412" s="876">
        <v>2788</v>
      </c>
      <c r="C2412" s="876" t="s">
        <v>3381</v>
      </c>
      <c r="D2412" s="851">
        <v>735.69998199999998</v>
      </c>
    </row>
    <row r="2413" spans="2:4" x14ac:dyDescent="0.2">
      <c r="B2413" s="876">
        <v>2789</v>
      </c>
      <c r="C2413" s="876" t="s">
        <v>3382</v>
      </c>
      <c r="D2413" s="851">
        <v>589.68333900000005</v>
      </c>
    </row>
    <row r="2414" spans="2:4" x14ac:dyDescent="0.2">
      <c r="B2414" s="876">
        <v>2790</v>
      </c>
      <c r="C2414" s="876" t="s">
        <v>3174</v>
      </c>
      <c r="D2414" s="851">
        <v>585.81110999999999</v>
      </c>
    </row>
    <row r="2415" spans="2:4" x14ac:dyDescent="0.2">
      <c r="B2415" s="876">
        <v>2791</v>
      </c>
      <c r="C2415" s="876" t="s">
        <v>3383</v>
      </c>
      <c r="D2415" s="851">
        <v>610.15000399999997</v>
      </c>
    </row>
    <row r="2416" spans="2:4" x14ac:dyDescent="0.2">
      <c r="B2416" s="876">
        <v>2792</v>
      </c>
      <c r="C2416" s="876" t="s">
        <v>3384</v>
      </c>
      <c r="D2416" s="851">
        <v>641.5</v>
      </c>
    </row>
    <row r="2417" spans="2:4" x14ac:dyDescent="0.2">
      <c r="B2417" s="876">
        <v>2793</v>
      </c>
      <c r="C2417" s="876" t="s">
        <v>3385</v>
      </c>
      <c r="D2417" s="851">
        <v>612.14999399999999</v>
      </c>
    </row>
    <row r="2418" spans="2:4" x14ac:dyDescent="0.2">
      <c r="B2418" s="876">
        <v>2794</v>
      </c>
      <c r="C2418" s="876" t="s">
        <v>3386</v>
      </c>
      <c r="D2418" s="851">
        <v>685.68332899999996</v>
      </c>
    </row>
    <row r="2419" spans="2:4" x14ac:dyDescent="0.2">
      <c r="B2419" s="876">
        <v>2795</v>
      </c>
      <c r="C2419" s="876" t="s">
        <v>2140</v>
      </c>
      <c r="D2419" s="851">
        <v>685.30001100000004</v>
      </c>
    </row>
    <row r="2420" spans="2:4" x14ac:dyDescent="0.2">
      <c r="B2420" s="876">
        <v>2796</v>
      </c>
      <c r="C2420" s="876" t="s">
        <v>3387</v>
      </c>
      <c r="D2420" s="851">
        <v>599.57500500000003</v>
      </c>
    </row>
    <row r="2421" spans="2:4" x14ac:dyDescent="0.2">
      <c r="B2421" s="876">
        <v>2797</v>
      </c>
      <c r="C2421" s="876" t="s">
        <v>1589</v>
      </c>
      <c r="D2421" s="851">
        <v>597.66363000000001</v>
      </c>
    </row>
    <row r="2422" spans="2:4" x14ac:dyDescent="0.2">
      <c r="B2422" s="876">
        <v>2798</v>
      </c>
      <c r="C2422" s="876" t="s">
        <v>3388</v>
      </c>
      <c r="D2422" s="851">
        <v>582.66001000000006</v>
      </c>
    </row>
    <row r="2423" spans="2:4" x14ac:dyDescent="0.2">
      <c r="B2423" s="876">
        <v>2799</v>
      </c>
      <c r="C2423" s="876" t="s">
        <v>3389</v>
      </c>
      <c r="D2423" s="851">
        <v>581.93572600000005</v>
      </c>
    </row>
    <row r="2424" spans="2:4" x14ac:dyDescent="0.2">
      <c r="B2424" s="876">
        <v>2800</v>
      </c>
      <c r="C2424" s="876" t="s">
        <v>3390</v>
      </c>
      <c r="D2424" s="851">
        <v>599.22499100000005</v>
      </c>
    </row>
    <row r="2425" spans="2:4" x14ac:dyDescent="0.2">
      <c r="B2425" s="876">
        <v>2801</v>
      </c>
      <c r="C2425" s="876" t="s">
        <v>3391</v>
      </c>
      <c r="D2425" s="851">
        <v>589.39999399999999</v>
      </c>
    </row>
    <row r="2426" spans="2:4" x14ac:dyDescent="0.2">
      <c r="B2426" s="876">
        <v>2802</v>
      </c>
      <c r="C2426" s="876" t="s">
        <v>3392</v>
      </c>
      <c r="D2426" s="851">
        <v>573.29999999999995</v>
      </c>
    </row>
    <row r="2427" spans="2:4" x14ac:dyDescent="0.2">
      <c r="B2427" s="876">
        <v>2803</v>
      </c>
      <c r="C2427" s="876" t="s">
        <v>3393</v>
      </c>
      <c r="D2427" s="851">
        <v>709.620001</v>
      </c>
    </row>
    <row r="2428" spans="2:4" x14ac:dyDescent="0.2">
      <c r="B2428" s="876">
        <v>2804</v>
      </c>
      <c r="C2428" s="876" t="s">
        <v>3394</v>
      </c>
      <c r="D2428" s="851">
        <v>678.385716</v>
      </c>
    </row>
    <row r="2429" spans="2:4" x14ac:dyDescent="0.2">
      <c r="B2429" s="876">
        <v>2805</v>
      </c>
      <c r="C2429" s="876" t="s">
        <v>3395</v>
      </c>
      <c r="D2429" s="851">
        <v>743.60000600000001</v>
      </c>
    </row>
    <row r="2430" spans="2:4" x14ac:dyDescent="0.2">
      <c r="B2430" s="876">
        <v>2806</v>
      </c>
      <c r="C2430" s="876" t="s">
        <v>3396</v>
      </c>
      <c r="D2430" s="851">
        <v>643.52000699999996</v>
      </c>
    </row>
    <row r="2431" spans="2:4" x14ac:dyDescent="0.2">
      <c r="B2431" s="876">
        <v>2807</v>
      </c>
      <c r="C2431" s="876" t="s">
        <v>3397</v>
      </c>
      <c r="D2431" s="851">
        <v>635.91332999999997</v>
      </c>
    </row>
    <row r="2432" spans="2:4" x14ac:dyDescent="0.2">
      <c r="B2432" s="876">
        <v>2808</v>
      </c>
      <c r="C2432" s="876" t="s">
        <v>3398</v>
      </c>
      <c r="D2432" s="851">
        <v>617.5</v>
      </c>
    </row>
    <row r="2433" spans="2:4" x14ac:dyDescent="0.2">
      <c r="B2433" s="876">
        <v>2809</v>
      </c>
      <c r="C2433" s="876" t="s">
        <v>3399</v>
      </c>
      <c r="D2433" s="851">
        <v>616.48571800000002</v>
      </c>
    </row>
    <row r="2434" spans="2:4" x14ac:dyDescent="0.2">
      <c r="B2434" s="876">
        <v>2810</v>
      </c>
      <c r="C2434" s="876" t="s">
        <v>3400</v>
      </c>
      <c r="D2434" s="851">
        <v>653.116669</v>
      </c>
    </row>
    <row r="2435" spans="2:4" x14ac:dyDescent="0.2">
      <c r="B2435" s="876">
        <v>2811</v>
      </c>
      <c r="C2435" s="876" t="s">
        <v>3401</v>
      </c>
      <c r="D2435" s="851">
        <v>603.6</v>
      </c>
    </row>
    <row r="2436" spans="2:4" x14ac:dyDescent="0.2">
      <c r="B2436" s="876">
        <v>2812</v>
      </c>
      <c r="C2436" s="876" t="s">
        <v>3402</v>
      </c>
      <c r="D2436" s="851">
        <v>587.83332800000005</v>
      </c>
    </row>
    <row r="2437" spans="2:4" x14ac:dyDescent="0.2">
      <c r="B2437" s="876">
        <v>2813</v>
      </c>
      <c r="C2437" s="876" t="s">
        <v>3403</v>
      </c>
      <c r="D2437" s="851">
        <v>583.21999500000004</v>
      </c>
    </row>
    <row r="2438" spans="2:4" x14ac:dyDescent="0.2">
      <c r="B2438" s="876">
        <v>2814</v>
      </c>
      <c r="C2438" s="876" t="s">
        <v>3404</v>
      </c>
      <c r="D2438" s="851">
        <v>639.070831</v>
      </c>
    </row>
    <row r="2439" spans="2:4" x14ac:dyDescent="0.2">
      <c r="B2439" s="876">
        <v>2815</v>
      </c>
      <c r="C2439" s="876" t="s">
        <v>3405</v>
      </c>
      <c r="D2439" s="851">
        <v>736.66666699999996</v>
      </c>
    </row>
    <row r="2440" spans="2:4" x14ac:dyDescent="0.2">
      <c r="B2440" s="876">
        <v>2816</v>
      </c>
      <c r="C2440" s="876" t="s">
        <v>3406</v>
      </c>
      <c r="D2440" s="851">
        <v>630.52857300000005</v>
      </c>
    </row>
    <row r="2441" spans="2:4" x14ac:dyDescent="0.2">
      <c r="B2441" s="876">
        <v>2817</v>
      </c>
      <c r="C2441" s="876" t="s">
        <v>3407</v>
      </c>
      <c r="D2441" s="851">
        <v>610.97499100000005</v>
      </c>
    </row>
    <row r="2442" spans="2:4" x14ac:dyDescent="0.2">
      <c r="B2442" s="876">
        <v>2818</v>
      </c>
      <c r="C2442" s="876" t="s">
        <v>1691</v>
      </c>
      <c r="D2442" s="851">
        <v>601.30768799999998</v>
      </c>
    </row>
    <row r="2443" spans="2:4" x14ac:dyDescent="0.2">
      <c r="B2443" s="876">
        <v>2819</v>
      </c>
      <c r="C2443" s="876" t="s">
        <v>3408</v>
      </c>
      <c r="D2443" s="851">
        <v>599.42857100000003</v>
      </c>
    </row>
    <row r="2444" spans="2:4" x14ac:dyDescent="0.2">
      <c r="B2444" s="876">
        <v>2820</v>
      </c>
      <c r="C2444" s="876" t="s">
        <v>2678</v>
      </c>
      <c r="D2444" s="851">
        <v>603.54999799999996</v>
      </c>
    </row>
    <row r="2445" spans="2:4" x14ac:dyDescent="0.2">
      <c r="B2445" s="876">
        <v>2821</v>
      </c>
      <c r="C2445" s="876" t="s">
        <v>2170</v>
      </c>
      <c r="D2445" s="851">
        <v>596.09997599999997</v>
      </c>
    </row>
    <row r="2446" spans="2:4" x14ac:dyDescent="0.2">
      <c r="B2446" s="876">
        <v>2822</v>
      </c>
      <c r="C2446" s="876" t="s">
        <v>3409</v>
      </c>
      <c r="D2446" s="851">
        <v>625.44999399999995</v>
      </c>
    </row>
    <row r="2447" spans="2:4" x14ac:dyDescent="0.2">
      <c r="B2447" s="876">
        <v>2823</v>
      </c>
      <c r="C2447" s="876" t="s">
        <v>2130</v>
      </c>
      <c r="D2447" s="851">
        <v>602.06667100000004</v>
      </c>
    </row>
    <row r="2448" spans="2:4" x14ac:dyDescent="0.2">
      <c r="B2448" s="876">
        <v>2824</v>
      </c>
      <c r="C2448" s="876" t="s">
        <v>3410</v>
      </c>
      <c r="D2448" s="851">
        <v>581.32499700000005</v>
      </c>
    </row>
    <row r="2449" spans="2:4" x14ac:dyDescent="0.2">
      <c r="B2449" s="876">
        <v>2825</v>
      </c>
      <c r="C2449" s="876" t="s">
        <v>3411</v>
      </c>
      <c r="D2449" s="851">
        <v>616.17498799999998</v>
      </c>
    </row>
    <row r="2450" spans="2:4" x14ac:dyDescent="0.2">
      <c r="B2450" s="876">
        <v>2826</v>
      </c>
      <c r="C2450" s="876" t="s">
        <v>3412</v>
      </c>
      <c r="D2450" s="851">
        <v>682.39997900000003</v>
      </c>
    </row>
    <row r="2451" spans="2:4" x14ac:dyDescent="0.2">
      <c r="B2451" s="876">
        <v>2827</v>
      </c>
      <c r="C2451" s="876" t="s">
        <v>3413</v>
      </c>
      <c r="D2451" s="851">
        <v>578.64999399999999</v>
      </c>
    </row>
    <row r="2452" spans="2:4" x14ac:dyDescent="0.2">
      <c r="B2452" s="876">
        <v>2828</v>
      </c>
      <c r="C2452" s="876" t="s">
        <v>3414</v>
      </c>
      <c r="D2452" s="851">
        <v>609.83332299999995</v>
      </c>
    </row>
    <row r="2453" spans="2:4" x14ac:dyDescent="0.2">
      <c r="B2453" s="876">
        <v>2829</v>
      </c>
      <c r="C2453" s="876" t="s">
        <v>3415</v>
      </c>
      <c r="D2453" s="851">
        <v>690.90002400000003</v>
      </c>
    </row>
    <row r="2454" spans="2:4" x14ac:dyDescent="0.2">
      <c r="B2454" s="876">
        <v>2830</v>
      </c>
      <c r="C2454" s="876" t="s">
        <v>3416</v>
      </c>
      <c r="D2454" s="851">
        <v>622.95000500000003</v>
      </c>
    </row>
    <row r="2455" spans="2:4" x14ac:dyDescent="0.2">
      <c r="B2455" s="876">
        <v>2831</v>
      </c>
      <c r="C2455" s="876" t="s">
        <v>3417</v>
      </c>
      <c r="D2455" s="851">
        <v>588.53334600000005</v>
      </c>
    </row>
    <row r="2456" spans="2:4" x14ac:dyDescent="0.2">
      <c r="B2456" s="876">
        <v>2832</v>
      </c>
      <c r="C2456" s="876" t="s">
        <v>3418</v>
      </c>
      <c r="D2456" s="851">
        <v>605.37857099999997</v>
      </c>
    </row>
    <row r="2457" spans="2:4" x14ac:dyDescent="0.2">
      <c r="B2457" s="876">
        <v>2833</v>
      </c>
      <c r="C2457" s="876" t="s">
        <v>3419</v>
      </c>
      <c r="D2457" s="851">
        <v>581.51428199999998</v>
      </c>
    </row>
    <row r="2458" spans="2:4" x14ac:dyDescent="0.2">
      <c r="B2458" s="876">
        <v>2834</v>
      </c>
      <c r="C2458" s="876" t="s">
        <v>3420</v>
      </c>
      <c r="D2458" s="851">
        <v>692</v>
      </c>
    </row>
    <row r="2459" spans="2:4" x14ac:dyDescent="0.2">
      <c r="B2459" s="876">
        <v>2835</v>
      </c>
      <c r="C2459" s="876" t="s">
        <v>3421</v>
      </c>
      <c r="D2459" s="851">
        <v>575.51667299999997</v>
      </c>
    </row>
    <row r="2460" spans="2:4" x14ac:dyDescent="0.2">
      <c r="B2460" s="876">
        <v>2836</v>
      </c>
      <c r="C2460" s="876" t="s">
        <v>3422</v>
      </c>
      <c r="D2460" s="851">
        <v>617.866669</v>
      </c>
    </row>
    <row r="2461" spans="2:4" x14ac:dyDescent="0.2">
      <c r="B2461" s="876">
        <v>2837</v>
      </c>
      <c r="C2461" s="876" t="s">
        <v>3423</v>
      </c>
      <c r="D2461" s="851">
        <v>605.17142999999999</v>
      </c>
    </row>
    <row r="2462" spans="2:4" x14ac:dyDescent="0.2">
      <c r="B2462" s="876">
        <v>2838</v>
      </c>
      <c r="C2462" s="876" t="s">
        <v>3424</v>
      </c>
      <c r="D2462" s="851">
        <v>673.03333499999997</v>
      </c>
    </row>
    <row r="2463" spans="2:4" x14ac:dyDescent="0.2">
      <c r="B2463" s="876">
        <v>2839</v>
      </c>
      <c r="C2463" s="876" t="s">
        <v>3425</v>
      </c>
      <c r="D2463" s="851">
        <v>687.57999299999994</v>
      </c>
    </row>
    <row r="2464" spans="2:4" x14ac:dyDescent="0.2">
      <c r="B2464" s="876">
        <v>2840</v>
      </c>
      <c r="C2464" s="876" t="s">
        <v>3426</v>
      </c>
      <c r="D2464" s="851">
        <v>595.25</v>
      </c>
    </row>
    <row r="2465" spans="2:4" x14ac:dyDescent="0.2">
      <c r="B2465" s="876">
        <v>2841</v>
      </c>
      <c r="C2465" s="876" t="s">
        <v>3427</v>
      </c>
      <c r="D2465" s="851">
        <v>606.66666699999996</v>
      </c>
    </row>
    <row r="2466" spans="2:4" x14ac:dyDescent="0.2">
      <c r="B2466" s="876">
        <v>2842</v>
      </c>
      <c r="C2466" s="876" t="s">
        <v>3428</v>
      </c>
      <c r="D2466" s="851">
        <v>602.70588199999997</v>
      </c>
    </row>
    <row r="2467" spans="2:4" x14ac:dyDescent="0.2">
      <c r="B2467" s="876">
        <v>2843</v>
      </c>
      <c r="C2467" s="876" t="s">
        <v>3429</v>
      </c>
      <c r="D2467" s="851">
        <v>626.93332899999996</v>
      </c>
    </row>
    <row r="2468" spans="2:4" x14ac:dyDescent="0.2">
      <c r="B2468" s="876">
        <v>2844</v>
      </c>
      <c r="C2468" s="876" t="s">
        <v>3102</v>
      </c>
      <c r="D2468" s="851">
        <v>670.70001200000002</v>
      </c>
    </row>
    <row r="2469" spans="2:4" x14ac:dyDescent="0.2">
      <c r="B2469" s="876">
        <v>2845</v>
      </c>
      <c r="C2469" s="876" t="s">
        <v>3430</v>
      </c>
      <c r="D2469" s="851">
        <v>613.12501499999996</v>
      </c>
    </row>
    <row r="2470" spans="2:4" x14ac:dyDescent="0.2">
      <c r="B2470" s="876">
        <v>2846</v>
      </c>
      <c r="C2470" s="876" t="s">
        <v>3431</v>
      </c>
      <c r="D2470" s="851">
        <v>587.78333499999997</v>
      </c>
    </row>
    <row r="2471" spans="2:4" x14ac:dyDescent="0.2">
      <c r="B2471" s="876">
        <v>2847</v>
      </c>
      <c r="C2471" s="876" t="s">
        <v>3432</v>
      </c>
      <c r="D2471" s="851">
        <v>630.70001200000002</v>
      </c>
    </row>
    <row r="2472" spans="2:4" x14ac:dyDescent="0.2">
      <c r="B2472" s="876">
        <v>2848</v>
      </c>
      <c r="C2472" s="876" t="s">
        <v>3433</v>
      </c>
      <c r="D2472" s="851">
        <v>585.54284700000005</v>
      </c>
    </row>
    <row r="2473" spans="2:4" x14ac:dyDescent="0.2">
      <c r="B2473" s="876">
        <v>2849</v>
      </c>
      <c r="C2473" s="876" t="s">
        <v>3434</v>
      </c>
      <c r="D2473" s="851">
        <v>602.25</v>
      </c>
    </row>
    <row r="2474" spans="2:4" x14ac:dyDescent="0.2">
      <c r="B2474" s="876">
        <v>2850</v>
      </c>
      <c r="C2474" s="876" t="s">
        <v>3435</v>
      </c>
      <c r="D2474" s="851">
        <v>628.75</v>
      </c>
    </row>
    <row r="2475" spans="2:4" x14ac:dyDescent="0.2">
      <c r="B2475" s="876">
        <v>2851</v>
      </c>
      <c r="C2475" s="876" t="s">
        <v>3436</v>
      </c>
      <c r="D2475" s="851">
        <v>594.60768499999995</v>
      </c>
    </row>
    <row r="2476" spans="2:4" x14ac:dyDescent="0.2">
      <c r="B2476" s="876">
        <v>2852</v>
      </c>
      <c r="C2476" s="876" t="s">
        <v>3437</v>
      </c>
      <c r="D2476" s="851">
        <v>619.49999000000003</v>
      </c>
    </row>
    <row r="2477" spans="2:4" x14ac:dyDescent="0.2">
      <c r="B2477" s="876">
        <v>2901</v>
      </c>
      <c r="C2477" s="876" t="s">
        <v>3438</v>
      </c>
      <c r="D2477" s="851">
        <v>578.85000600000001</v>
      </c>
    </row>
    <row r="2478" spans="2:4" x14ac:dyDescent="0.2">
      <c r="B2478" s="876">
        <v>2902</v>
      </c>
      <c r="C2478" s="876" t="s">
        <v>3439</v>
      </c>
      <c r="D2478" s="851">
        <v>621.74545000000001</v>
      </c>
    </row>
    <row r="2479" spans="2:4" x14ac:dyDescent="0.2">
      <c r="B2479" s="876">
        <v>2903</v>
      </c>
      <c r="C2479" s="876" t="s">
        <v>3440</v>
      </c>
      <c r="D2479" s="851">
        <v>642.00000599999998</v>
      </c>
    </row>
    <row r="2480" spans="2:4" x14ac:dyDescent="0.2">
      <c r="B2480" s="876">
        <v>2904</v>
      </c>
      <c r="C2480" s="876" t="s">
        <v>3441</v>
      </c>
      <c r="D2480" s="851">
        <v>685.70000100000004</v>
      </c>
    </row>
    <row r="2481" spans="2:4" x14ac:dyDescent="0.2">
      <c r="B2481" s="876">
        <v>2905</v>
      </c>
      <c r="C2481" s="876" t="s">
        <v>3442</v>
      </c>
      <c r="D2481" s="851">
        <v>593.04999499999997</v>
      </c>
    </row>
    <row r="2482" spans="2:4" x14ac:dyDescent="0.2">
      <c r="B2482" s="876">
        <v>2906</v>
      </c>
      <c r="C2482" s="876" t="s">
        <v>3443</v>
      </c>
      <c r="D2482" s="851">
        <v>598.42499499999997</v>
      </c>
    </row>
    <row r="2483" spans="2:4" x14ac:dyDescent="0.2">
      <c r="B2483" s="876">
        <v>2907</v>
      </c>
      <c r="C2483" s="876" t="s">
        <v>3444</v>
      </c>
      <c r="D2483" s="851">
        <v>565.68666599999995</v>
      </c>
    </row>
    <row r="2484" spans="2:4" x14ac:dyDescent="0.2">
      <c r="B2484" s="876">
        <v>2908</v>
      </c>
      <c r="C2484" s="876" t="s">
        <v>3445</v>
      </c>
      <c r="D2484" s="851">
        <v>673.01666799999998</v>
      </c>
    </row>
    <row r="2485" spans="2:4" x14ac:dyDescent="0.2">
      <c r="B2485" s="876">
        <v>2909</v>
      </c>
      <c r="C2485" s="876" t="s">
        <v>3446</v>
      </c>
      <c r="D2485" s="851">
        <v>603.37999300000001</v>
      </c>
    </row>
    <row r="2486" spans="2:4" x14ac:dyDescent="0.2">
      <c r="B2486" s="876">
        <v>2910</v>
      </c>
      <c r="C2486" s="876" t="s">
        <v>3447</v>
      </c>
      <c r="D2486" s="851">
        <v>652.57499700000005</v>
      </c>
    </row>
    <row r="2487" spans="2:4" x14ac:dyDescent="0.2">
      <c r="B2487" s="876">
        <v>2911</v>
      </c>
      <c r="C2487" s="876" t="s">
        <v>3448</v>
      </c>
      <c r="D2487" s="851">
        <v>567.60000600000001</v>
      </c>
    </row>
    <row r="2488" spans="2:4" x14ac:dyDescent="0.2">
      <c r="B2488" s="876">
        <v>2912</v>
      </c>
      <c r="C2488" s="876" t="s">
        <v>3449</v>
      </c>
      <c r="D2488" s="851">
        <v>660.53750600000001</v>
      </c>
    </row>
    <row r="2489" spans="2:4" x14ac:dyDescent="0.2">
      <c r="B2489" s="876">
        <v>2913</v>
      </c>
      <c r="C2489" s="876" t="s">
        <v>3450</v>
      </c>
      <c r="D2489" s="851">
        <v>620</v>
      </c>
    </row>
    <row r="2490" spans="2:4" x14ac:dyDescent="0.2">
      <c r="B2490" s="876">
        <v>2914</v>
      </c>
      <c r="C2490" s="876" t="s">
        <v>3451</v>
      </c>
      <c r="D2490" s="851">
        <v>642.12000699999999</v>
      </c>
    </row>
    <row r="2491" spans="2:4" x14ac:dyDescent="0.2">
      <c r="B2491" s="876">
        <v>2915</v>
      </c>
      <c r="C2491" s="876" t="s">
        <v>3452</v>
      </c>
      <c r="D2491" s="851">
        <v>575</v>
      </c>
    </row>
    <row r="2492" spans="2:4" x14ac:dyDescent="0.2">
      <c r="B2492" s="876">
        <v>2916</v>
      </c>
      <c r="C2492" s="876" t="s">
        <v>2198</v>
      </c>
      <c r="D2492" s="851">
        <v>708.86428799999999</v>
      </c>
    </row>
    <row r="2493" spans="2:4" x14ac:dyDescent="0.2">
      <c r="B2493" s="876">
        <v>2917</v>
      </c>
      <c r="C2493" s="876" t="s">
        <v>3453</v>
      </c>
      <c r="D2493" s="851">
        <v>650.65000199999997</v>
      </c>
    </row>
    <row r="2494" spans="2:4" x14ac:dyDescent="0.2">
      <c r="B2494" s="876">
        <v>2918</v>
      </c>
      <c r="C2494" s="876" t="s">
        <v>3454</v>
      </c>
      <c r="D2494" s="851">
        <v>580.84999600000003</v>
      </c>
    </row>
    <row r="2495" spans="2:4" x14ac:dyDescent="0.2">
      <c r="B2495" s="876">
        <v>2919</v>
      </c>
      <c r="C2495" s="876" t="s">
        <v>3455</v>
      </c>
      <c r="D2495" s="851">
        <v>575.80000500000006</v>
      </c>
    </row>
    <row r="2496" spans="2:4" x14ac:dyDescent="0.2">
      <c r="B2496" s="876">
        <v>2920</v>
      </c>
      <c r="C2496" s="876" t="s">
        <v>3456</v>
      </c>
      <c r="D2496" s="851">
        <v>602.77856699999995</v>
      </c>
    </row>
    <row r="2497" spans="2:4" x14ac:dyDescent="0.2">
      <c r="B2497" s="876">
        <v>2921</v>
      </c>
      <c r="C2497" s="876" t="s">
        <v>3302</v>
      </c>
      <c r="D2497" s="851">
        <v>671.23750299999995</v>
      </c>
    </row>
    <row r="2498" spans="2:4" x14ac:dyDescent="0.2">
      <c r="B2498" s="876">
        <v>2922</v>
      </c>
      <c r="C2498" s="876" t="s">
        <v>1316</v>
      </c>
      <c r="D2498" s="851">
        <v>634.49998000000005</v>
      </c>
    </row>
    <row r="2499" spans="2:4" x14ac:dyDescent="0.2">
      <c r="B2499" s="876">
        <v>2923</v>
      </c>
      <c r="C2499" s="876" t="s">
        <v>3457</v>
      </c>
      <c r="D2499" s="851">
        <v>641.32499700000005</v>
      </c>
    </row>
    <row r="2500" spans="2:4" x14ac:dyDescent="0.2">
      <c r="B2500" s="876">
        <v>2924</v>
      </c>
      <c r="C2500" s="876" t="s">
        <v>3458</v>
      </c>
      <c r="D2500" s="851">
        <v>623.01666299999999</v>
      </c>
    </row>
    <row r="2501" spans="2:4" x14ac:dyDescent="0.2">
      <c r="B2501" s="876">
        <v>2925</v>
      </c>
      <c r="C2501" s="876" t="s">
        <v>3459</v>
      </c>
      <c r="D2501" s="851">
        <v>645.07498199999998</v>
      </c>
    </row>
    <row r="2502" spans="2:4" x14ac:dyDescent="0.2">
      <c r="B2502" s="876">
        <v>2926</v>
      </c>
      <c r="C2502" s="876" t="s">
        <v>3460</v>
      </c>
      <c r="D2502" s="851">
        <v>668.61249499999997</v>
      </c>
    </row>
    <row r="2503" spans="2:4" x14ac:dyDescent="0.2">
      <c r="B2503" s="876">
        <v>2927</v>
      </c>
      <c r="C2503" s="876" t="s">
        <v>3461</v>
      </c>
      <c r="D2503" s="851">
        <v>713.36665900000003</v>
      </c>
    </row>
    <row r="2504" spans="2:4" x14ac:dyDescent="0.2">
      <c r="B2504" s="876">
        <v>2928</v>
      </c>
      <c r="C2504" s="876" t="s">
        <v>1374</v>
      </c>
      <c r="D2504" s="851">
        <v>643.53333899999996</v>
      </c>
    </row>
    <row r="2505" spans="2:4" x14ac:dyDescent="0.2">
      <c r="B2505" s="876">
        <v>2929</v>
      </c>
      <c r="C2505" s="876" t="s">
        <v>3462</v>
      </c>
      <c r="D2505" s="851">
        <v>583.61665900000003</v>
      </c>
    </row>
    <row r="2506" spans="2:4" x14ac:dyDescent="0.2">
      <c r="B2506" s="876">
        <v>2930</v>
      </c>
      <c r="C2506" s="876" t="s">
        <v>3463</v>
      </c>
      <c r="D2506" s="851">
        <v>697.81874800000003</v>
      </c>
    </row>
    <row r="2507" spans="2:4" x14ac:dyDescent="0.2">
      <c r="B2507" s="876">
        <v>2931</v>
      </c>
      <c r="C2507" s="876" t="s">
        <v>3464</v>
      </c>
      <c r="D2507" s="851">
        <v>707.35999800000002</v>
      </c>
    </row>
    <row r="2508" spans="2:4" x14ac:dyDescent="0.2">
      <c r="B2508" s="876">
        <v>2932</v>
      </c>
      <c r="C2508" s="876" t="s">
        <v>3465</v>
      </c>
      <c r="D2508" s="851">
        <v>693.13077499999997</v>
      </c>
    </row>
    <row r="2509" spans="2:4" x14ac:dyDescent="0.2">
      <c r="B2509" s="876">
        <v>2933</v>
      </c>
      <c r="C2509" s="876" t="s">
        <v>3466</v>
      </c>
      <c r="D2509" s="851">
        <v>641.65999099999999</v>
      </c>
    </row>
    <row r="2510" spans="2:4" x14ac:dyDescent="0.2">
      <c r="B2510" s="876">
        <v>2934</v>
      </c>
      <c r="C2510" s="876" t="s">
        <v>3467</v>
      </c>
      <c r="D2510" s="851">
        <v>577.49998800000003</v>
      </c>
    </row>
    <row r="2511" spans="2:4" x14ac:dyDescent="0.2">
      <c r="B2511" s="876">
        <v>2935</v>
      </c>
      <c r="C2511" s="876" t="s">
        <v>3468</v>
      </c>
      <c r="D2511" s="851">
        <v>679.78333499999997</v>
      </c>
    </row>
    <row r="2512" spans="2:4" x14ac:dyDescent="0.2">
      <c r="B2512" s="876">
        <v>2936</v>
      </c>
      <c r="C2512" s="876" t="s">
        <v>1889</v>
      </c>
      <c r="D2512" s="851">
        <v>610.55000299999995</v>
      </c>
    </row>
    <row r="2513" spans="2:4" x14ac:dyDescent="0.2">
      <c r="B2513" s="876">
        <v>2937</v>
      </c>
      <c r="C2513" s="876" t="s">
        <v>2880</v>
      </c>
      <c r="D2513" s="851">
        <v>601.33332700000005</v>
      </c>
    </row>
    <row r="2514" spans="2:4" x14ac:dyDescent="0.2">
      <c r="B2514" s="876">
        <v>2938</v>
      </c>
      <c r="C2514" s="876" t="s">
        <v>3469</v>
      </c>
      <c r="D2514" s="851">
        <v>610.32857000000001</v>
      </c>
    </row>
    <row r="2515" spans="2:4" x14ac:dyDescent="0.2">
      <c r="B2515" s="876">
        <v>2939</v>
      </c>
      <c r="C2515" s="876" t="s">
        <v>3470</v>
      </c>
      <c r="D2515" s="851">
        <v>590.84285199999999</v>
      </c>
    </row>
    <row r="2516" spans="2:4" x14ac:dyDescent="0.2">
      <c r="B2516" s="876">
        <v>2940</v>
      </c>
      <c r="C2516" s="876" t="s">
        <v>3471</v>
      </c>
      <c r="D2516" s="851">
        <v>603.14000199999998</v>
      </c>
    </row>
    <row r="2517" spans="2:4" x14ac:dyDescent="0.2">
      <c r="B2517" s="876">
        <v>2941</v>
      </c>
      <c r="C2517" s="876" t="s">
        <v>3472</v>
      </c>
      <c r="D2517" s="851">
        <v>663.79998799999998</v>
      </c>
    </row>
    <row r="2518" spans="2:4" x14ac:dyDescent="0.2">
      <c r="B2518" s="876">
        <v>2942</v>
      </c>
      <c r="C2518" s="876" t="s">
        <v>3473</v>
      </c>
      <c r="D2518" s="851">
        <v>613.40000699999996</v>
      </c>
    </row>
    <row r="2519" spans="2:4" x14ac:dyDescent="0.2">
      <c r="B2519" s="876">
        <v>2943</v>
      </c>
      <c r="C2519" s="876" t="s">
        <v>3474</v>
      </c>
      <c r="D2519" s="851">
        <v>720.60000200000002</v>
      </c>
    </row>
    <row r="2520" spans="2:4" x14ac:dyDescent="0.2">
      <c r="B2520" s="876">
        <v>2944</v>
      </c>
      <c r="C2520" s="876" t="s">
        <v>2223</v>
      </c>
      <c r="D2520" s="851">
        <v>742.5</v>
      </c>
    </row>
    <row r="2521" spans="2:4" x14ac:dyDescent="0.2">
      <c r="B2521" s="876">
        <v>2945</v>
      </c>
      <c r="C2521" s="876" t="s">
        <v>3475</v>
      </c>
      <c r="D2521" s="851">
        <v>684.94285400000001</v>
      </c>
    </row>
    <row r="2522" spans="2:4" x14ac:dyDescent="0.2">
      <c r="B2522" s="876">
        <v>2946</v>
      </c>
      <c r="C2522" s="876" t="s">
        <v>3476</v>
      </c>
      <c r="D2522" s="851">
        <v>647.48571800000002</v>
      </c>
    </row>
    <row r="2523" spans="2:4" x14ac:dyDescent="0.2">
      <c r="B2523" s="876">
        <v>2947</v>
      </c>
      <c r="C2523" s="876" t="s">
        <v>3477</v>
      </c>
      <c r="D2523" s="851">
        <v>623.58572000000004</v>
      </c>
    </row>
    <row r="2524" spans="2:4" x14ac:dyDescent="0.2">
      <c r="B2524" s="876">
        <v>2948</v>
      </c>
      <c r="C2524" s="876" t="s">
        <v>3478</v>
      </c>
      <c r="D2524" s="851">
        <v>700.01666299999999</v>
      </c>
    </row>
    <row r="2525" spans="2:4" x14ac:dyDescent="0.2">
      <c r="B2525" s="876">
        <v>2949</v>
      </c>
      <c r="C2525" s="876" t="s">
        <v>3479</v>
      </c>
      <c r="D2525" s="851">
        <v>730.90000199999997</v>
      </c>
    </row>
    <row r="2526" spans="2:4" x14ac:dyDescent="0.2">
      <c r="B2526" s="876">
        <v>2950</v>
      </c>
      <c r="C2526" s="876" t="s">
        <v>3480</v>
      </c>
      <c r="D2526" s="851">
        <v>583.99998500000004</v>
      </c>
    </row>
    <row r="2527" spans="2:4" x14ac:dyDescent="0.2">
      <c r="B2527" s="876">
        <v>2951</v>
      </c>
      <c r="C2527" s="876" t="s">
        <v>3481</v>
      </c>
      <c r="D2527" s="851">
        <v>664.70832800000005</v>
      </c>
    </row>
    <row r="2528" spans="2:4" x14ac:dyDescent="0.2">
      <c r="B2528" s="876">
        <v>2952</v>
      </c>
      <c r="C2528" s="876" t="s">
        <v>3482</v>
      </c>
      <c r="D2528" s="851">
        <v>619.57500500000003</v>
      </c>
    </row>
    <row r="2529" spans="2:4" x14ac:dyDescent="0.2">
      <c r="B2529" s="876">
        <v>2953</v>
      </c>
      <c r="C2529" s="876" t="s">
        <v>3483</v>
      </c>
      <c r="D2529" s="851">
        <v>617.85999800000002</v>
      </c>
    </row>
    <row r="2530" spans="2:4" x14ac:dyDescent="0.2">
      <c r="B2530" s="876">
        <v>2954</v>
      </c>
      <c r="C2530" s="876" t="s">
        <v>3484</v>
      </c>
      <c r="D2530" s="851">
        <v>580.87999300000001</v>
      </c>
    </row>
    <row r="2531" spans="2:4" x14ac:dyDescent="0.2">
      <c r="B2531" s="876">
        <v>2955</v>
      </c>
      <c r="C2531" s="876" t="s">
        <v>3485</v>
      </c>
      <c r="D2531" s="851">
        <v>569.83333300000004</v>
      </c>
    </row>
    <row r="2532" spans="2:4" x14ac:dyDescent="0.2">
      <c r="B2532" s="876">
        <v>2956</v>
      </c>
      <c r="C2532" s="876" t="s">
        <v>3486</v>
      </c>
      <c r="D2532" s="851">
        <v>632.03333499999997</v>
      </c>
    </row>
    <row r="2533" spans="2:4" x14ac:dyDescent="0.2">
      <c r="B2533" s="876">
        <v>2957</v>
      </c>
      <c r="C2533" s="876" t="s">
        <v>3487</v>
      </c>
      <c r="D2533" s="851">
        <v>570.50001199999997</v>
      </c>
    </row>
    <row r="2534" spans="2:4" x14ac:dyDescent="0.2">
      <c r="B2534" s="876">
        <v>2958</v>
      </c>
      <c r="C2534" s="876" t="s">
        <v>3488</v>
      </c>
      <c r="D2534" s="851">
        <v>573.67500299999995</v>
      </c>
    </row>
    <row r="2535" spans="2:4" x14ac:dyDescent="0.2">
      <c r="B2535" s="876">
        <v>2959</v>
      </c>
      <c r="C2535" s="876" t="s">
        <v>3489</v>
      </c>
      <c r="D2535" s="851">
        <v>608.52857300000005</v>
      </c>
    </row>
    <row r="2536" spans="2:4" x14ac:dyDescent="0.2">
      <c r="B2536" s="876">
        <v>2960</v>
      </c>
      <c r="C2536" s="876" t="s">
        <v>3490</v>
      </c>
      <c r="D2536" s="851">
        <v>567.30000099999995</v>
      </c>
    </row>
    <row r="2537" spans="2:4" x14ac:dyDescent="0.2">
      <c r="B2537" s="876">
        <v>2961</v>
      </c>
      <c r="C2537" s="876" t="s">
        <v>2902</v>
      </c>
      <c r="D2537" s="851">
        <v>623.85714299999995</v>
      </c>
    </row>
    <row r="2538" spans="2:4" x14ac:dyDescent="0.2">
      <c r="B2538" s="876">
        <v>2962</v>
      </c>
      <c r="C2538" s="876" t="s">
        <v>3491</v>
      </c>
      <c r="D2538" s="851">
        <v>598.63332100000002</v>
      </c>
    </row>
    <row r="2539" spans="2:4" x14ac:dyDescent="0.2">
      <c r="B2539" s="876">
        <v>2963</v>
      </c>
      <c r="C2539" s="876" t="s">
        <v>3492</v>
      </c>
      <c r="D2539" s="851">
        <v>657.64445000000001</v>
      </c>
    </row>
    <row r="2540" spans="2:4" x14ac:dyDescent="0.2">
      <c r="B2540" s="876">
        <v>2964</v>
      </c>
      <c r="C2540" s="876" t="s">
        <v>1618</v>
      </c>
      <c r="D2540" s="851">
        <v>701.60000600000001</v>
      </c>
    </row>
    <row r="2541" spans="2:4" x14ac:dyDescent="0.2">
      <c r="B2541" s="876">
        <v>2965</v>
      </c>
      <c r="C2541" s="876" t="s">
        <v>3493</v>
      </c>
      <c r="D2541" s="851">
        <v>596.77500199999997</v>
      </c>
    </row>
    <row r="2542" spans="2:4" x14ac:dyDescent="0.2">
      <c r="B2542" s="876">
        <v>2966</v>
      </c>
      <c r="C2542" s="876" t="s">
        <v>3383</v>
      </c>
      <c r="D2542" s="851">
        <v>733.71428600000002</v>
      </c>
    </row>
    <row r="2543" spans="2:4" x14ac:dyDescent="0.2">
      <c r="B2543" s="876">
        <v>2967</v>
      </c>
      <c r="C2543" s="876" t="s">
        <v>3494</v>
      </c>
      <c r="D2543" s="851">
        <v>681.46001000000001</v>
      </c>
    </row>
    <row r="2544" spans="2:4" x14ac:dyDescent="0.2">
      <c r="B2544" s="876">
        <v>2968</v>
      </c>
      <c r="C2544" s="876" t="s">
        <v>3495</v>
      </c>
      <c r="D2544" s="851">
        <v>655.860004</v>
      </c>
    </row>
    <row r="2545" spans="2:4" x14ac:dyDescent="0.2">
      <c r="B2545" s="876">
        <v>2969</v>
      </c>
      <c r="C2545" s="876" t="s">
        <v>3496</v>
      </c>
      <c r="D2545" s="851">
        <v>701.35998500000005</v>
      </c>
    </row>
    <row r="2546" spans="2:4" x14ac:dyDescent="0.2">
      <c r="B2546" s="876">
        <v>2970</v>
      </c>
      <c r="C2546" s="876" t="s">
        <v>3497</v>
      </c>
      <c r="D2546" s="851">
        <v>577.31250799999998</v>
      </c>
    </row>
    <row r="2547" spans="2:4" x14ac:dyDescent="0.2">
      <c r="B2547" s="876">
        <v>2971</v>
      </c>
      <c r="C2547" s="876" t="s">
        <v>3498</v>
      </c>
      <c r="D2547" s="851">
        <v>597.65713900000003</v>
      </c>
    </row>
    <row r="2548" spans="2:4" x14ac:dyDescent="0.2">
      <c r="B2548" s="876">
        <v>2972</v>
      </c>
      <c r="C2548" s="876" t="s">
        <v>3499</v>
      </c>
      <c r="D2548" s="851">
        <v>567.383331</v>
      </c>
    </row>
    <row r="2549" spans="2:4" x14ac:dyDescent="0.2">
      <c r="B2549" s="876">
        <v>2973</v>
      </c>
      <c r="C2549" s="876" t="s">
        <v>3500</v>
      </c>
      <c r="D2549" s="851">
        <v>590.06666099999995</v>
      </c>
    </row>
    <row r="2550" spans="2:4" x14ac:dyDescent="0.2">
      <c r="B2550" s="876">
        <v>2974</v>
      </c>
      <c r="C2550" s="876" t="s">
        <v>3501</v>
      </c>
      <c r="D2550" s="851">
        <v>591.34999100000005</v>
      </c>
    </row>
    <row r="2551" spans="2:4" x14ac:dyDescent="0.2">
      <c r="B2551" s="876">
        <v>2975</v>
      </c>
      <c r="C2551" s="876" t="s">
        <v>3502</v>
      </c>
      <c r="D2551" s="851">
        <v>573.87142500000004</v>
      </c>
    </row>
    <row r="2552" spans="2:4" x14ac:dyDescent="0.2">
      <c r="B2552" s="876">
        <v>2976</v>
      </c>
      <c r="C2552" s="876" t="s">
        <v>3503</v>
      </c>
      <c r="D2552" s="851">
        <v>556.95999800000004</v>
      </c>
    </row>
    <row r="2553" spans="2:4" x14ac:dyDescent="0.2">
      <c r="B2553" s="876">
        <v>2977</v>
      </c>
      <c r="C2553" s="876" t="s">
        <v>3504</v>
      </c>
      <c r="D2553" s="851">
        <v>655.421426</v>
      </c>
    </row>
    <row r="2554" spans="2:4" x14ac:dyDescent="0.2">
      <c r="B2554" s="876">
        <v>2978</v>
      </c>
      <c r="C2554" s="876" t="s">
        <v>3505</v>
      </c>
      <c r="D2554" s="851">
        <v>564.27777800000001</v>
      </c>
    </row>
    <row r="2555" spans="2:4" x14ac:dyDescent="0.2">
      <c r="B2555" s="876">
        <v>2979</v>
      </c>
      <c r="C2555" s="876" t="s">
        <v>3506</v>
      </c>
      <c r="D2555" s="851">
        <v>576.86154899999997</v>
      </c>
    </row>
    <row r="2556" spans="2:4" x14ac:dyDescent="0.2">
      <c r="B2556" s="876">
        <v>2980</v>
      </c>
      <c r="C2556" s="876" t="s">
        <v>3507</v>
      </c>
      <c r="D2556" s="851">
        <v>580.95999800000004</v>
      </c>
    </row>
    <row r="2557" spans="2:4" x14ac:dyDescent="0.2">
      <c r="B2557" s="876">
        <v>2981</v>
      </c>
      <c r="C2557" s="876" t="s">
        <v>3508</v>
      </c>
      <c r="D2557" s="851">
        <v>640.53333499999997</v>
      </c>
    </row>
    <row r="2558" spans="2:4" x14ac:dyDescent="0.2">
      <c r="B2558" s="876">
        <v>2982</v>
      </c>
      <c r="C2558" s="876" t="s">
        <v>3509</v>
      </c>
      <c r="D2558" s="851">
        <v>695.91427999999996</v>
      </c>
    </row>
    <row r="2559" spans="2:4" x14ac:dyDescent="0.2">
      <c r="B2559" s="876">
        <v>2983</v>
      </c>
      <c r="C2559" s="876" t="s">
        <v>3510</v>
      </c>
      <c r="D2559" s="851">
        <v>668.97691899999995</v>
      </c>
    </row>
    <row r="2560" spans="2:4" x14ac:dyDescent="0.2">
      <c r="B2560" s="876">
        <v>2984</v>
      </c>
      <c r="C2560" s="876" t="s">
        <v>3511</v>
      </c>
      <c r="D2560" s="851">
        <v>557.27500899999995</v>
      </c>
    </row>
    <row r="2561" spans="2:4" x14ac:dyDescent="0.2">
      <c r="B2561" s="876">
        <v>2985</v>
      </c>
      <c r="C2561" s="876" t="s">
        <v>3512</v>
      </c>
      <c r="D2561" s="851">
        <v>594.610004</v>
      </c>
    </row>
    <row r="2562" spans="2:4" x14ac:dyDescent="0.2">
      <c r="B2562" s="876">
        <v>2986</v>
      </c>
      <c r="C2562" s="876" t="s">
        <v>3513</v>
      </c>
      <c r="D2562" s="851">
        <v>737.33333300000004</v>
      </c>
    </row>
    <row r="2563" spans="2:4" x14ac:dyDescent="0.2">
      <c r="B2563" s="876">
        <v>2987</v>
      </c>
      <c r="C2563" s="876" t="s">
        <v>3514</v>
      </c>
      <c r="D2563" s="851">
        <v>708.88750500000003</v>
      </c>
    </row>
    <row r="2564" spans="2:4" x14ac:dyDescent="0.2">
      <c r="B2564" s="876">
        <v>2988</v>
      </c>
      <c r="C2564" s="876" t="s">
        <v>3515</v>
      </c>
      <c r="D2564" s="851">
        <v>724.56667100000004</v>
      </c>
    </row>
    <row r="2565" spans="2:4" x14ac:dyDescent="0.2">
      <c r="B2565" s="876">
        <v>2989</v>
      </c>
      <c r="C2565" s="876" t="s">
        <v>3516</v>
      </c>
      <c r="D2565" s="851">
        <v>570.54444699999999</v>
      </c>
    </row>
    <row r="2566" spans="2:4" x14ac:dyDescent="0.2">
      <c r="B2566" s="876">
        <v>2990</v>
      </c>
      <c r="C2566" s="876" t="s">
        <v>3517</v>
      </c>
      <c r="D2566" s="851">
        <v>666.02499899999998</v>
      </c>
    </row>
    <row r="2567" spans="2:4" x14ac:dyDescent="0.2">
      <c r="B2567" s="876">
        <v>2991</v>
      </c>
      <c r="C2567" s="876" t="s">
        <v>3518</v>
      </c>
      <c r="D2567" s="851">
        <v>561.37501499999996</v>
      </c>
    </row>
    <row r="2568" spans="2:4" x14ac:dyDescent="0.2">
      <c r="B2568" s="876">
        <v>2992</v>
      </c>
      <c r="C2568" s="876" t="s">
        <v>2941</v>
      </c>
      <c r="D2568" s="851">
        <v>635.14285700000005</v>
      </c>
    </row>
    <row r="2569" spans="2:4" x14ac:dyDescent="0.2">
      <c r="B2569" s="876">
        <v>2993</v>
      </c>
      <c r="C2569" s="876" t="s">
        <v>3519</v>
      </c>
      <c r="D2569" s="851">
        <v>587.57999299999994</v>
      </c>
    </row>
    <row r="2570" spans="2:4" x14ac:dyDescent="0.2">
      <c r="B2570" s="876">
        <v>2994</v>
      </c>
      <c r="C2570" s="876" t="s">
        <v>3520</v>
      </c>
      <c r="D2570" s="851">
        <v>618.75</v>
      </c>
    </row>
    <row r="2571" spans="2:4" x14ac:dyDescent="0.2">
      <c r="B2571" s="876">
        <v>2995</v>
      </c>
      <c r="C2571" s="876" t="s">
        <v>3521</v>
      </c>
      <c r="D2571" s="851">
        <v>608.01250500000003</v>
      </c>
    </row>
    <row r="2572" spans="2:4" x14ac:dyDescent="0.2">
      <c r="B2572" s="876">
        <v>2996</v>
      </c>
      <c r="C2572" s="876" t="s">
        <v>3522</v>
      </c>
      <c r="D2572" s="851">
        <v>655.939978</v>
      </c>
    </row>
    <row r="2573" spans="2:4" x14ac:dyDescent="0.2">
      <c r="B2573" s="876">
        <v>2997</v>
      </c>
      <c r="C2573" s="876" t="s">
        <v>3523</v>
      </c>
      <c r="D2573" s="851">
        <v>609.01667299999997</v>
      </c>
    </row>
    <row r="2574" spans="2:4" x14ac:dyDescent="0.2">
      <c r="B2574" s="876">
        <v>2998</v>
      </c>
      <c r="C2574" s="876" t="s">
        <v>3524</v>
      </c>
      <c r="D2574" s="851">
        <v>702.21874600000001</v>
      </c>
    </row>
    <row r="2575" spans="2:4" x14ac:dyDescent="0.2">
      <c r="B2575" s="876">
        <v>2999</v>
      </c>
      <c r="C2575" s="876" t="s">
        <v>3525</v>
      </c>
      <c r="D2575" s="851">
        <v>615.97502099999997</v>
      </c>
    </row>
    <row r="2576" spans="2:4" x14ac:dyDescent="0.2">
      <c r="B2576" s="876">
        <v>3000</v>
      </c>
      <c r="C2576" s="876" t="s">
        <v>1793</v>
      </c>
      <c r="D2576" s="851">
        <v>704.05000299999995</v>
      </c>
    </row>
    <row r="2577" spans="2:4" x14ac:dyDescent="0.2">
      <c r="B2577" s="876">
        <v>3001</v>
      </c>
      <c r="C2577" s="876" t="s">
        <v>3526</v>
      </c>
      <c r="D2577" s="851">
        <v>612.94286199999999</v>
      </c>
    </row>
    <row r="2578" spans="2:4" x14ac:dyDescent="0.2">
      <c r="B2578" s="876">
        <v>3002</v>
      </c>
      <c r="C2578" s="876" t="s">
        <v>3527</v>
      </c>
      <c r="D2578" s="851">
        <v>700.86667899999998</v>
      </c>
    </row>
    <row r="2579" spans="2:4" x14ac:dyDescent="0.2">
      <c r="B2579" s="876">
        <v>3003</v>
      </c>
      <c r="C2579" s="876" t="s">
        <v>3528</v>
      </c>
      <c r="D2579" s="851">
        <v>635.59999600000003</v>
      </c>
    </row>
    <row r="2580" spans="2:4" x14ac:dyDescent="0.2">
      <c r="B2580" s="876">
        <v>3004</v>
      </c>
      <c r="C2580" s="876" t="s">
        <v>3529</v>
      </c>
      <c r="D2580" s="851">
        <v>605.09375399999999</v>
      </c>
    </row>
    <row r="2581" spans="2:4" x14ac:dyDescent="0.2">
      <c r="B2581" s="876">
        <v>3005</v>
      </c>
      <c r="C2581" s="876" t="s">
        <v>3530</v>
      </c>
      <c r="D2581" s="851">
        <v>600.39999899999998</v>
      </c>
    </row>
    <row r="2582" spans="2:4" x14ac:dyDescent="0.2">
      <c r="B2582" s="876">
        <v>3006</v>
      </c>
      <c r="C2582" s="876" t="s">
        <v>3531</v>
      </c>
      <c r="D2582" s="851">
        <v>742.38888899999995</v>
      </c>
    </row>
    <row r="2583" spans="2:4" x14ac:dyDescent="0.2">
      <c r="B2583" s="876">
        <v>3007</v>
      </c>
      <c r="C2583" s="876" t="s">
        <v>3532</v>
      </c>
      <c r="D2583" s="851">
        <v>578</v>
      </c>
    </row>
    <row r="2584" spans="2:4" ht="15" x14ac:dyDescent="0.2">
      <c r="B2584" s="888">
        <v>3008</v>
      </c>
      <c r="C2584" s="876" t="s">
        <v>1639</v>
      </c>
      <c r="D2584" s="889">
        <v>549.41666699999996</v>
      </c>
    </row>
    <row r="2585" spans="2:4" ht="15" x14ac:dyDescent="0.2">
      <c r="B2585" s="876">
        <v>3009</v>
      </c>
      <c r="C2585" s="888" t="s">
        <v>3533</v>
      </c>
      <c r="D2585" s="851">
        <v>630.92000700000006</v>
      </c>
    </row>
    <row r="2586" spans="2:4" x14ac:dyDescent="0.2">
      <c r="B2586" s="876">
        <v>3010</v>
      </c>
      <c r="C2586" s="876" t="s">
        <v>3534</v>
      </c>
      <c r="D2586" s="851">
        <v>584.97999900000002</v>
      </c>
    </row>
    <row r="2587" spans="2:4" x14ac:dyDescent="0.2">
      <c r="B2587" s="876">
        <v>3011</v>
      </c>
      <c r="C2587" s="876" t="s">
        <v>3535</v>
      </c>
      <c r="D2587" s="851">
        <v>583.89999399999999</v>
      </c>
    </row>
    <row r="2588" spans="2:4" x14ac:dyDescent="0.2">
      <c r="B2588" s="876">
        <v>3012</v>
      </c>
      <c r="C2588" s="876" t="s">
        <v>3536</v>
      </c>
      <c r="D2588" s="851">
        <v>740.73333700000001</v>
      </c>
    </row>
    <row r="2589" spans="2:4" x14ac:dyDescent="0.2">
      <c r="B2589" s="876">
        <v>3013</v>
      </c>
      <c r="C2589" s="876" t="s">
        <v>3537</v>
      </c>
      <c r="D2589" s="851">
        <v>614.01666299999999</v>
      </c>
    </row>
    <row r="2590" spans="2:4" x14ac:dyDescent="0.2">
      <c r="B2590" s="876">
        <v>3014</v>
      </c>
      <c r="C2590" s="876" t="s">
        <v>3538</v>
      </c>
      <c r="D2590" s="851">
        <v>612.65000899999995</v>
      </c>
    </row>
    <row r="2591" spans="2:4" x14ac:dyDescent="0.2">
      <c r="B2591" s="876">
        <v>3015</v>
      </c>
      <c r="C2591" s="876" t="s">
        <v>3539</v>
      </c>
      <c r="D2591" s="851">
        <v>657</v>
      </c>
    </row>
    <row r="2592" spans="2:4" x14ac:dyDescent="0.2">
      <c r="B2592" s="876">
        <v>3016</v>
      </c>
      <c r="C2592" s="876" t="s">
        <v>1540</v>
      </c>
      <c r="D2592" s="851">
        <v>599.31666600000005</v>
      </c>
    </row>
    <row r="2593" spans="2:4" x14ac:dyDescent="0.2">
      <c r="B2593" s="876">
        <v>3018</v>
      </c>
      <c r="C2593" s="876" t="s">
        <v>3540</v>
      </c>
      <c r="D2593" s="851">
        <v>573.385716</v>
      </c>
    </row>
    <row r="2594" spans="2:4" x14ac:dyDescent="0.2">
      <c r="B2594" s="876">
        <v>3019</v>
      </c>
      <c r="C2594" s="876" t="s">
        <v>3541</v>
      </c>
      <c r="D2594" s="851">
        <v>610.5</v>
      </c>
    </row>
    <row r="2595" spans="2:4" x14ac:dyDescent="0.2">
      <c r="B2595" s="876">
        <v>3020</v>
      </c>
      <c r="C2595" s="876" t="s">
        <v>3542</v>
      </c>
      <c r="D2595" s="851">
        <v>573.759998</v>
      </c>
    </row>
    <row r="2596" spans="2:4" x14ac:dyDescent="0.2">
      <c r="B2596" s="876">
        <v>3021</v>
      </c>
      <c r="C2596" s="876" t="s">
        <v>3543</v>
      </c>
      <c r="D2596" s="851">
        <v>638.63749700000005</v>
      </c>
    </row>
    <row r="2597" spans="2:4" x14ac:dyDescent="0.2">
      <c r="B2597" s="876">
        <v>3022</v>
      </c>
      <c r="C2597" s="876" t="s">
        <v>3544</v>
      </c>
      <c r="D2597" s="851">
        <v>582.13748899999996</v>
      </c>
    </row>
    <row r="2598" spans="2:4" x14ac:dyDescent="0.2">
      <c r="B2598" s="876">
        <v>3023</v>
      </c>
      <c r="C2598" s="876" t="s">
        <v>3545</v>
      </c>
      <c r="D2598" s="851">
        <v>575.94286199999999</v>
      </c>
    </row>
    <row r="2599" spans="2:4" x14ac:dyDescent="0.2">
      <c r="B2599" s="876">
        <v>3024</v>
      </c>
      <c r="C2599" s="876" t="s">
        <v>3546</v>
      </c>
      <c r="D2599" s="851">
        <v>621.89523799999995</v>
      </c>
    </row>
    <row r="2600" spans="2:4" x14ac:dyDescent="0.2">
      <c r="B2600" s="876">
        <v>3025</v>
      </c>
      <c r="C2600" s="876" t="s">
        <v>3547</v>
      </c>
      <c r="D2600" s="851">
        <v>599.18750799999998</v>
      </c>
    </row>
    <row r="2601" spans="2:4" x14ac:dyDescent="0.2">
      <c r="B2601" s="876">
        <v>3026</v>
      </c>
      <c r="C2601" s="876" t="s">
        <v>3548</v>
      </c>
      <c r="D2601" s="851">
        <v>619.76667299999997</v>
      </c>
    </row>
    <row r="2602" spans="2:4" x14ac:dyDescent="0.2">
      <c r="B2602" s="876">
        <v>3027</v>
      </c>
      <c r="C2602" s="876" t="s">
        <v>3549</v>
      </c>
      <c r="D2602" s="851">
        <v>711.70000200000004</v>
      </c>
    </row>
    <row r="2603" spans="2:4" x14ac:dyDescent="0.2">
      <c r="B2603" s="876">
        <v>3028</v>
      </c>
      <c r="C2603" s="876" t="s">
        <v>3550</v>
      </c>
      <c r="D2603" s="851">
        <v>713.93998999999997</v>
      </c>
    </row>
    <row r="2604" spans="2:4" x14ac:dyDescent="0.2">
      <c r="B2604" s="876">
        <v>3029</v>
      </c>
      <c r="C2604" s="876" t="s">
        <v>3551</v>
      </c>
      <c r="D2604" s="851">
        <v>659.70624899999996</v>
      </c>
    </row>
    <row r="2605" spans="2:4" x14ac:dyDescent="0.2">
      <c r="B2605" s="876">
        <v>3030</v>
      </c>
      <c r="C2605" s="876" t="s">
        <v>1930</v>
      </c>
      <c r="D2605" s="851">
        <v>569.32499700000005</v>
      </c>
    </row>
    <row r="2606" spans="2:4" x14ac:dyDescent="0.2">
      <c r="B2606" s="876">
        <v>3031</v>
      </c>
      <c r="C2606" s="876" t="s">
        <v>3552</v>
      </c>
      <c r="D2606" s="851">
        <v>579.22000700000001</v>
      </c>
    </row>
    <row r="2607" spans="2:4" x14ac:dyDescent="0.2">
      <c r="B2607" s="876">
        <v>3032</v>
      </c>
      <c r="C2607" s="876" t="s">
        <v>3553</v>
      </c>
      <c r="D2607" s="851">
        <v>623.89999399999999</v>
      </c>
    </row>
    <row r="2608" spans="2:4" x14ac:dyDescent="0.2">
      <c r="B2608" s="876">
        <v>3033</v>
      </c>
      <c r="C2608" s="876" t="s">
        <v>3554</v>
      </c>
      <c r="D2608" s="851">
        <v>736.76002200000005</v>
      </c>
    </row>
    <row r="2609" spans="2:4" x14ac:dyDescent="0.2">
      <c r="B2609" s="876">
        <v>3034</v>
      </c>
      <c r="C2609" s="876" t="s">
        <v>3555</v>
      </c>
      <c r="D2609" s="851">
        <v>741.55999799999995</v>
      </c>
    </row>
    <row r="2610" spans="2:4" x14ac:dyDescent="0.2">
      <c r="B2610" s="876">
        <v>3035</v>
      </c>
      <c r="C2610" s="876" t="s">
        <v>3556</v>
      </c>
      <c r="D2610" s="851">
        <v>578.61999500000002</v>
      </c>
    </row>
    <row r="2611" spans="2:4" x14ac:dyDescent="0.2">
      <c r="B2611" s="876">
        <v>3036</v>
      </c>
      <c r="C2611" s="876" t="s">
        <v>3557</v>
      </c>
      <c r="D2611" s="851">
        <v>708.776926</v>
      </c>
    </row>
    <row r="2612" spans="2:4" x14ac:dyDescent="0.2">
      <c r="B2612" s="876">
        <v>3037</v>
      </c>
      <c r="C2612" s="876" t="s">
        <v>3558</v>
      </c>
      <c r="D2612" s="851">
        <v>594.64001499999995</v>
      </c>
    </row>
    <row r="2613" spans="2:4" x14ac:dyDescent="0.2">
      <c r="B2613" s="876">
        <v>3038</v>
      </c>
      <c r="C2613" s="876" t="s">
        <v>3559</v>
      </c>
      <c r="D2613" s="851">
        <v>635.19998199999998</v>
      </c>
    </row>
    <row r="2614" spans="2:4" x14ac:dyDescent="0.2">
      <c r="B2614" s="876">
        <v>3039</v>
      </c>
      <c r="C2614" s="876" t="s">
        <v>1935</v>
      </c>
      <c r="D2614" s="851">
        <v>604.42857100000003</v>
      </c>
    </row>
    <row r="2615" spans="2:4" x14ac:dyDescent="0.2">
      <c r="B2615" s="876">
        <v>3040</v>
      </c>
      <c r="C2615" s="876" t="s">
        <v>3560</v>
      </c>
      <c r="D2615" s="851">
        <v>702.64000899999996</v>
      </c>
    </row>
    <row r="2616" spans="2:4" x14ac:dyDescent="0.2">
      <c r="B2616" s="876">
        <v>3041</v>
      </c>
      <c r="C2616" s="876" t="s">
        <v>3561</v>
      </c>
      <c r="D2616" s="851">
        <v>686.05999799999995</v>
      </c>
    </row>
    <row r="2617" spans="2:4" x14ac:dyDescent="0.2">
      <c r="B2617" s="876">
        <v>3042</v>
      </c>
      <c r="C2617" s="876" t="s">
        <v>3562</v>
      </c>
      <c r="D2617" s="851">
        <v>590.30000800000005</v>
      </c>
    </row>
    <row r="2618" spans="2:4" x14ac:dyDescent="0.2">
      <c r="B2618" s="876">
        <v>3043</v>
      </c>
      <c r="C2618" s="876" t="s">
        <v>3563</v>
      </c>
      <c r="D2618" s="851">
        <v>618.20000000000005</v>
      </c>
    </row>
    <row r="2619" spans="2:4" x14ac:dyDescent="0.2">
      <c r="B2619" s="876">
        <v>3044</v>
      </c>
      <c r="C2619" s="876" t="s">
        <v>3564</v>
      </c>
      <c r="D2619" s="851">
        <v>652.67500299999995</v>
      </c>
    </row>
    <row r="2620" spans="2:4" x14ac:dyDescent="0.2">
      <c r="B2620" s="876">
        <v>3045</v>
      </c>
      <c r="C2620" s="876" t="s">
        <v>3565</v>
      </c>
      <c r="D2620" s="851">
        <v>592.27000699999996</v>
      </c>
    </row>
    <row r="2621" spans="2:4" x14ac:dyDescent="0.2">
      <c r="B2621" s="876">
        <v>3046</v>
      </c>
      <c r="C2621" s="876" t="s">
        <v>3566</v>
      </c>
      <c r="D2621" s="851">
        <v>606.25000599999998</v>
      </c>
    </row>
    <row r="2622" spans="2:4" x14ac:dyDescent="0.2">
      <c r="B2622" s="876">
        <v>3047</v>
      </c>
      <c r="C2622" s="876" t="s">
        <v>3567</v>
      </c>
      <c r="D2622" s="851">
        <v>577.92000099999996</v>
      </c>
    </row>
    <row r="2623" spans="2:4" x14ac:dyDescent="0.2">
      <c r="B2623" s="876">
        <v>3048</v>
      </c>
      <c r="C2623" s="876" t="s">
        <v>3568</v>
      </c>
      <c r="D2623" s="851">
        <v>711.13635799999997</v>
      </c>
    </row>
    <row r="2624" spans="2:4" x14ac:dyDescent="0.2">
      <c r="B2624" s="876">
        <v>3049</v>
      </c>
      <c r="C2624" s="876" t="s">
        <v>3569</v>
      </c>
      <c r="D2624" s="851">
        <v>646.26250500000003</v>
      </c>
    </row>
    <row r="2625" spans="2:4" x14ac:dyDescent="0.2">
      <c r="B2625" s="876">
        <v>3050</v>
      </c>
      <c r="C2625" s="876" t="s">
        <v>3570</v>
      </c>
      <c r="D2625" s="851">
        <v>574.80001800000002</v>
      </c>
    </row>
    <row r="2626" spans="2:4" x14ac:dyDescent="0.2">
      <c r="B2626" s="876">
        <v>3051</v>
      </c>
      <c r="C2626" s="876" t="s">
        <v>3571</v>
      </c>
      <c r="D2626" s="851">
        <v>560.29998799999998</v>
      </c>
    </row>
    <row r="2627" spans="2:4" x14ac:dyDescent="0.2">
      <c r="B2627" s="876">
        <v>3052</v>
      </c>
      <c r="C2627" s="876" t="s">
        <v>3572</v>
      </c>
      <c r="D2627" s="851">
        <v>615.11111100000005</v>
      </c>
    </row>
    <row r="2628" spans="2:4" x14ac:dyDescent="0.2">
      <c r="B2628" s="876">
        <v>3053</v>
      </c>
      <c r="C2628" s="876" t="s">
        <v>3573</v>
      </c>
      <c r="D2628" s="851">
        <v>597.71666500000003</v>
      </c>
    </row>
    <row r="2629" spans="2:4" x14ac:dyDescent="0.2">
      <c r="B2629" s="876">
        <v>3054</v>
      </c>
      <c r="C2629" s="876" t="s">
        <v>3574</v>
      </c>
      <c r="D2629" s="851">
        <v>677.01333399999999</v>
      </c>
    </row>
    <row r="2630" spans="2:4" x14ac:dyDescent="0.2">
      <c r="B2630" s="876">
        <v>3055</v>
      </c>
      <c r="C2630" s="876" t="s">
        <v>3575</v>
      </c>
      <c r="D2630" s="851">
        <v>587.56664999999998</v>
      </c>
    </row>
    <row r="2631" spans="2:4" x14ac:dyDescent="0.2">
      <c r="B2631" s="876">
        <v>3056</v>
      </c>
      <c r="C2631" s="876" t="s">
        <v>3576</v>
      </c>
      <c r="D2631" s="851">
        <v>755.05999799999995</v>
      </c>
    </row>
    <row r="2632" spans="2:4" x14ac:dyDescent="0.2">
      <c r="B2632" s="876">
        <v>3057</v>
      </c>
      <c r="C2632" s="876" t="s">
        <v>3577</v>
      </c>
      <c r="D2632" s="851">
        <v>716.61999500000002</v>
      </c>
    </row>
    <row r="2633" spans="2:4" x14ac:dyDescent="0.2">
      <c r="B2633" s="876">
        <v>3058</v>
      </c>
      <c r="C2633" s="876" t="s">
        <v>3578</v>
      </c>
      <c r="D2633" s="851">
        <v>598.56664999999998</v>
      </c>
    </row>
    <row r="2634" spans="2:4" x14ac:dyDescent="0.2">
      <c r="B2634" s="876">
        <v>3059</v>
      </c>
      <c r="C2634" s="876" t="s">
        <v>3579</v>
      </c>
      <c r="D2634" s="851">
        <v>596.59999600000003</v>
      </c>
    </row>
    <row r="2635" spans="2:4" x14ac:dyDescent="0.2">
      <c r="B2635" s="876">
        <v>3060</v>
      </c>
      <c r="C2635" s="876" t="s">
        <v>3580</v>
      </c>
      <c r="D2635" s="851">
        <v>734.88748899999996</v>
      </c>
    </row>
    <row r="2636" spans="2:4" x14ac:dyDescent="0.2">
      <c r="B2636" s="876">
        <v>3061</v>
      </c>
      <c r="C2636" s="876" t="s">
        <v>3581</v>
      </c>
      <c r="D2636" s="851">
        <v>612.60000100000002</v>
      </c>
    </row>
    <row r="2637" spans="2:4" x14ac:dyDescent="0.2">
      <c r="B2637" s="876">
        <v>3062</v>
      </c>
      <c r="C2637" s="876" t="s">
        <v>1376</v>
      </c>
      <c r="D2637" s="851">
        <v>580.49999500000001</v>
      </c>
    </row>
    <row r="2638" spans="2:4" x14ac:dyDescent="0.2">
      <c r="B2638" s="876">
        <v>3063</v>
      </c>
      <c r="C2638" s="876" t="s">
        <v>3582</v>
      </c>
      <c r="D2638" s="851">
        <v>600.1</v>
      </c>
    </row>
    <row r="2639" spans="2:4" x14ac:dyDescent="0.2">
      <c r="B2639" s="876">
        <v>3064</v>
      </c>
      <c r="C2639" s="876" t="s">
        <v>1801</v>
      </c>
      <c r="D2639" s="851">
        <v>703.42941499999995</v>
      </c>
    </row>
    <row r="2640" spans="2:4" x14ac:dyDescent="0.2">
      <c r="B2640" s="876">
        <v>3065</v>
      </c>
      <c r="C2640" s="876" t="s">
        <v>3583</v>
      </c>
      <c r="D2640" s="851">
        <v>576.51666299999999</v>
      </c>
    </row>
    <row r="2641" spans="2:4" x14ac:dyDescent="0.2">
      <c r="B2641" s="876">
        <v>3066</v>
      </c>
      <c r="C2641" s="876" t="s">
        <v>3584</v>
      </c>
      <c r="D2641" s="851">
        <v>650.34444900000005</v>
      </c>
    </row>
    <row r="2642" spans="2:4" x14ac:dyDescent="0.2">
      <c r="B2642" s="876">
        <v>3067</v>
      </c>
      <c r="C2642" s="876" t="s">
        <v>3585</v>
      </c>
      <c r="D2642" s="851">
        <v>734.03749800000003</v>
      </c>
    </row>
    <row r="2643" spans="2:4" x14ac:dyDescent="0.2">
      <c r="B2643" s="876">
        <v>3068</v>
      </c>
      <c r="C2643" s="876" t="s">
        <v>3586</v>
      </c>
      <c r="D2643" s="851">
        <v>607.55713800000001</v>
      </c>
    </row>
    <row r="2644" spans="2:4" x14ac:dyDescent="0.2">
      <c r="B2644" s="876">
        <v>3069</v>
      </c>
      <c r="C2644" s="876" t="s">
        <v>3587</v>
      </c>
      <c r="D2644" s="851">
        <v>721.5625</v>
      </c>
    </row>
    <row r="2645" spans="2:4" x14ac:dyDescent="0.2">
      <c r="B2645" s="876">
        <v>3070</v>
      </c>
      <c r="C2645" s="876" t="s">
        <v>3588</v>
      </c>
      <c r="D2645" s="851">
        <v>745.21666500000003</v>
      </c>
    </row>
    <row r="2646" spans="2:4" x14ac:dyDescent="0.2">
      <c r="B2646" s="876">
        <v>3071</v>
      </c>
      <c r="C2646" s="876" t="s">
        <v>3589</v>
      </c>
      <c r="D2646" s="851">
        <v>718.89999399999999</v>
      </c>
    </row>
    <row r="2647" spans="2:4" x14ac:dyDescent="0.2">
      <c r="B2647" s="876">
        <v>3101</v>
      </c>
      <c r="C2647" s="876" t="s">
        <v>3590</v>
      </c>
      <c r="D2647" s="851">
        <v>625.29999999999995</v>
      </c>
    </row>
    <row r="2648" spans="2:4" x14ac:dyDescent="0.2">
      <c r="B2648" s="876">
        <v>3102</v>
      </c>
      <c r="C2648" s="876" t="s">
        <v>3591</v>
      </c>
      <c r="D2648" s="851">
        <v>628.822225</v>
      </c>
    </row>
    <row r="2649" spans="2:4" x14ac:dyDescent="0.2">
      <c r="B2649" s="876">
        <v>3103</v>
      </c>
      <c r="C2649" s="876" t="s">
        <v>3592</v>
      </c>
      <c r="D2649" s="851">
        <v>636.5</v>
      </c>
    </row>
    <row r="2650" spans="2:4" x14ac:dyDescent="0.2">
      <c r="B2650" s="876">
        <v>3104</v>
      </c>
      <c r="C2650" s="876" t="s">
        <v>3593</v>
      </c>
      <c r="D2650" s="851">
        <v>642.84001499999999</v>
      </c>
    </row>
    <row r="2651" spans="2:4" x14ac:dyDescent="0.2">
      <c r="B2651" s="876">
        <v>3105</v>
      </c>
      <c r="C2651" s="876" t="s">
        <v>357</v>
      </c>
      <c r="D2651" s="851">
        <v>645.79333499999996</v>
      </c>
    </row>
    <row r="2652" spans="2:4" x14ac:dyDescent="0.2">
      <c r="B2652" s="876">
        <v>3106</v>
      </c>
      <c r="C2652" s="876" t="s">
        <v>3594</v>
      </c>
      <c r="D2652" s="851">
        <v>623.305879</v>
      </c>
    </row>
    <row r="2653" spans="2:4" x14ac:dyDescent="0.2">
      <c r="B2653" s="876">
        <v>3107</v>
      </c>
      <c r="C2653" s="876" t="s">
        <v>3595</v>
      </c>
      <c r="D2653" s="851">
        <v>659.43333900000005</v>
      </c>
    </row>
    <row r="2654" spans="2:4" x14ac:dyDescent="0.2">
      <c r="B2654" s="876">
        <v>3108</v>
      </c>
      <c r="C2654" s="876" t="s">
        <v>3596</v>
      </c>
      <c r="D2654" s="851">
        <v>642.04999099999998</v>
      </c>
    </row>
    <row r="2655" spans="2:4" x14ac:dyDescent="0.2">
      <c r="B2655" s="876">
        <v>3109</v>
      </c>
      <c r="C2655" s="876" t="s">
        <v>3597</v>
      </c>
      <c r="D2655" s="851">
        <v>627.62498500000004</v>
      </c>
    </row>
    <row r="2656" spans="2:4" x14ac:dyDescent="0.2">
      <c r="B2656" s="876">
        <v>3110</v>
      </c>
      <c r="C2656" s="876" t="s">
        <v>3598</v>
      </c>
      <c r="D2656" s="851">
        <v>621.125</v>
      </c>
    </row>
    <row r="2657" spans="2:4" x14ac:dyDescent="0.2">
      <c r="B2657" s="876">
        <v>3111</v>
      </c>
      <c r="C2657" s="876" t="s">
        <v>3599</v>
      </c>
      <c r="D2657" s="851">
        <v>654.88750500000003</v>
      </c>
    </row>
    <row r="2658" spans="2:4" x14ac:dyDescent="0.2">
      <c r="B2658" s="876">
        <v>3112</v>
      </c>
      <c r="C2658" s="876" t="s">
        <v>3600</v>
      </c>
      <c r="D2658" s="851">
        <v>621.56667100000004</v>
      </c>
    </row>
    <row r="2659" spans="2:4" x14ac:dyDescent="0.2">
      <c r="B2659" s="876">
        <v>3113</v>
      </c>
      <c r="C2659" s="876" t="s">
        <v>3601</v>
      </c>
      <c r="D2659" s="851">
        <v>588.66667700000005</v>
      </c>
    </row>
    <row r="2660" spans="2:4" x14ac:dyDescent="0.2">
      <c r="B2660" s="876">
        <v>3114</v>
      </c>
      <c r="C2660" s="876" t="s">
        <v>3602</v>
      </c>
      <c r="D2660" s="851">
        <v>625.09999600000003</v>
      </c>
    </row>
    <row r="2661" spans="2:4" x14ac:dyDescent="0.2">
      <c r="B2661" s="876">
        <v>3115</v>
      </c>
      <c r="C2661" s="876" t="s">
        <v>3603</v>
      </c>
      <c r="D2661" s="851">
        <v>640.19999399999995</v>
      </c>
    </row>
    <row r="2662" spans="2:4" x14ac:dyDescent="0.2">
      <c r="B2662" s="876">
        <v>3116</v>
      </c>
      <c r="C2662" s="876" t="s">
        <v>1812</v>
      </c>
      <c r="D2662" s="851">
        <v>625.95455100000004</v>
      </c>
    </row>
    <row r="2663" spans="2:4" x14ac:dyDescent="0.2">
      <c r="B2663" s="876">
        <v>3117</v>
      </c>
      <c r="C2663" s="876" t="s">
        <v>3604</v>
      </c>
      <c r="D2663" s="851">
        <v>603.48750299999995</v>
      </c>
    </row>
    <row r="2664" spans="2:4" x14ac:dyDescent="0.2">
      <c r="B2664" s="876">
        <v>3118</v>
      </c>
      <c r="C2664" s="876" t="s">
        <v>3605</v>
      </c>
      <c r="D2664" s="851">
        <v>633.67778199999998</v>
      </c>
    </row>
    <row r="2665" spans="2:4" x14ac:dyDescent="0.2">
      <c r="B2665" s="876">
        <v>3119</v>
      </c>
      <c r="C2665" s="876" t="s">
        <v>3606</v>
      </c>
      <c r="D2665" s="851">
        <v>607.32500500000003</v>
      </c>
    </row>
    <row r="2666" spans="2:4" x14ac:dyDescent="0.2">
      <c r="B2666" s="876">
        <v>3120</v>
      </c>
      <c r="C2666" s="876" t="s">
        <v>3607</v>
      </c>
      <c r="D2666" s="851">
        <v>640.70768899999996</v>
      </c>
    </row>
    <row r="2667" spans="2:4" x14ac:dyDescent="0.2">
      <c r="B2667" s="876">
        <v>3121</v>
      </c>
      <c r="C2667" s="876" t="s">
        <v>2855</v>
      </c>
      <c r="D2667" s="851">
        <v>637.33333300000004</v>
      </c>
    </row>
    <row r="2668" spans="2:4" x14ac:dyDescent="0.2">
      <c r="B2668" s="876">
        <v>3122</v>
      </c>
      <c r="C2668" s="876" t="s">
        <v>3608</v>
      </c>
      <c r="D2668" s="851">
        <v>668.31999499999995</v>
      </c>
    </row>
    <row r="2669" spans="2:4" x14ac:dyDescent="0.2">
      <c r="B2669" s="876">
        <v>3123</v>
      </c>
      <c r="C2669" s="876" t="s">
        <v>3609</v>
      </c>
      <c r="D2669" s="851">
        <v>636.01666799999998</v>
      </c>
    </row>
    <row r="2670" spans="2:4" x14ac:dyDescent="0.2">
      <c r="B2670" s="876">
        <v>3124</v>
      </c>
      <c r="C2670" s="876" t="s">
        <v>3610</v>
      </c>
      <c r="D2670" s="851">
        <v>567.17498799999998</v>
      </c>
    </row>
    <row r="2671" spans="2:4" x14ac:dyDescent="0.2">
      <c r="B2671" s="876">
        <v>3125</v>
      </c>
      <c r="C2671" s="876" t="s">
        <v>3611</v>
      </c>
      <c r="D2671" s="851">
        <v>629.07499700000005</v>
      </c>
    </row>
    <row r="2672" spans="2:4" x14ac:dyDescent="0.2">
      <c r="B2672" s="876">
        <v>3126</v>
      </c>
      <c r="C2672" s="876" t="s">
        <v>3612</v>
      </c>
      <c r="D2672" s="851">
        <v>634.10000600000001</v>
      </c>
    </row>
    <row r="2673" spans="2:4" x14ac:dyDescent="0.2">
      <c r="B2673" s="876">
        <v>3127</v>
      </c>
      <c r="C2673" s="876" t="s">
        <v>3613</v>
      </c>
      <c r="D2673" s="851">
        <v>670.54545499999995</v>
      </c>
    </row>
    <row r="2674" spans="2:4" x14ac:dyDescent="0.2">
      <c r="B2674" s="876">
        <v>3128</v>
      </c>
      <c r="C2674" s="876" t="s">
        <v>3614</v>
      </c>
      <c r="D2674" s="851">
        <v>624.95001200000002</v>
      </c>
    </row>
    <row r="2675" spans="2:4" x14ac:dyDescent="0.2">
      <c r="B2675" s="876">
        <v>3129</v>
      </c>
      <c r="C2675" s="876" t="s">
        <v>3615</v>
      </c>
      <c r="D2675" s="851">
        <v>566.78333499999997</v>
      </c>
    </row>
    <row r="2676" spans="2:4" x14ac:dyDescent="0.2">
      <c r="B2676" s="876">
        <v>3130</v>
      </c>
      <c r="C2676" s="876" t="s">
        <v>2219</v>
      </c>
      <c r="D2676" s="851">
        <v>571.85000600000001</v>
      </c>
    </row>
    <row r="2677" spans="2:4" x14ac:dyDescent="0.2">
      <c r="B2677" s="876">
        <v>3131</v>
      </c>
      <c r="C2677" s="876" t="s">
        <v>3616</v>
      </c>
      <c r="D2677" s="851">
        <v>669.15999799999997</v>
      </c>
    </row>
    <row r="2678" spans="2:4" x14ac:dyDescent="0.2">
      <c r="B2678" s="876">
        <v>3132</v>
      </c>
      <c r="C2678" s="876" t="s">
        <v>3617</v>
      </c>
      <c r="D2678" s="851">
        <v>639.08124499999997</v>
      </c>
    </row>
    <row r="2679" spans="2:4" x14ac:dyDescent="0.2">
      <c r="B2679" s="876">
        <v>3133</v>
      </c>
      <c r="C2679" s="876" t="s">
        <v>3618</v>
      </c>
      <c r="D2679" s="851">
        <v>659.45384799999999</v>
      </c>
    </row>
    <row r="2680" spans="2:4" x14ac:dyDescent="0.2">
      <c r="B2680" s="876">
        <v>3134</v>
      </c>
      <c r="C2680" s="876" t="s">
        <v>3619</v>
      </c>
      <c r="D2680" s="851">
        <v>643.95001200000002</v>
      </c>
    </row>
    <row r="2681" spans="2:4" x14ac:dyDescent="0.2">
      <c r="B2681" s="876">
        <v>3135</v>
      </c>
      <c r="C2681" s="876" t="s">
        <v>1739</v>
      </c>
      <c r="D2681" s="851">
        <v>644.89999799999998</v>
      </c>
    </row>
    <row r="2682" spans="2:4" x14ac:dyDescent="0.2">
      <c r="B2682" s="876">
        <v>3136</v>
      </c>
      <c r="C2682" s="876" t="s">
        <v>3620</v>
      </c>
      <c r="D2682" s="851">
        <v>617.02220999999997</v>
      </c>
    </row>
    <row r="2683" spans="2:4" x14ac:dyDescent="0.2">
      <c r="B2683" s="876">
        <v>3137</v>
      </c>
      <c r="C2683" s="876" t="s">
        <v>3621</v>
      </c>
      <c r="D2683" s="851">
        <v>633.9375</v>
      </c>
    </row>
    <row r="2684" spans="2:4" x14ac:dyDescent="0.2">
      <c r="B2684" s="876">
        <v>3138</v>
      </c>
      <c r="C2684" s="876" t="s">
        <v>2225</v>
      </c>
      <c r="D2684" s="851">
        <v>636.77499399999999</v>
      </c>
    </row>
    <row r="2685" spans="2:4" x14ac:dyDescent="0.2">
      <c r="B2685" s="876">
        <v>3139</v>
      </c>
      <c r="C2685" s="876" t="s">
        <v>3622</v>
      </c>
      <c r="D2685" s="851">
        <v>634.66666199999997</v>
      </c>
    </row>
    <row r="2686" spans="2:4" x14ac:dyDescent="0.2">
      <c r="B2686" s="876">
        <v>3140</v>
      </c>
      <c r="C2686" s="876" t="s">
        <v>1891</v>
      </c>
      <c r="D2686" s="851">
        <v>603.64285700000005</v>
      </c>
    </row>
    <row r="2687" spans="2:4" x14ac:dyDescent="0.2">
      <c r="B2687" s="876">
        <v>3141</v>
      </c>
      <c r="C2687" s="876" t="s">
        <v>3623</v>
      </c>
      <c r="D2687" s="851">
        <v>639.42999299999997</v>
      </c>
    </row>
    <row r="2688" spans="2:4" x14ac:dyDescent="0.2">
      <c r="B2688" s="876">
        <v>3142</v>
      </c>
      <c r="C2688" s="876" t="s">
        <v>3624</v>
      </c>
      <c r="D2688" s="851">
        <v>605.86665900000003</v>
      </c>
    </row>
    <row r="2689" spans="2:4" x14ac:dyDescent="0.2">
      <c r="B2689" s="876">
        <v>3143</v>
      </c>
      <c r="C2689" s="876" t="s">
        <v>3625</v>
      </c>
      <c r="D2689" s="851">
        <v>642.04998799999998</v>
      </c>
    </row>
    <row r="2690" spans="2:4" x14ac:dyDescent="0.2">
      <c r="B2690" s="876">
        <v>3144</v>
      </c>
      <c r="C2690" s="876" t="s">
        <v>3626</v>
      </c>
      <c r="D2690" s="851">
        <v>587.32857799999999</v>
      </c>
    </row>
    <row r="2691" spans="2:4" x14ac:dyDescent="0.2">
      <c r="B2691" s="876">
        <v>3145</v>
      </c>
      <c r="C2691" s="876" t="s">
        <v>3627</v>
      </c>
      <c r="D2691" s="851">
        <v>589.78000499999996</v>
      </c>
    </row>
    <row r="2692" spans="2:4" x14ac:dyDescent="0.2">
      <c r="B2692" s="876">
        <v>3146</v>
      </c>
      <c r="C2692" s="876" t="s">
        <v>3628</v>
      </c>
      <c r="D2692" s="851">
        <v>632.16001000000006</v>
      </c>
    </row>
    <row r="2693" spans="2:4" x14ac:dyDescent="0.2">
      <c r="B2693" s="876">
        <v>3147</v>
      </c>
      <c r="C2693" s="876" t="s">
        <v>3629</v>
      </c>
      <c r="D2693" s="851">
        <v>617.56363199999998</v>
      </c>
    </row>
    <row r="2694" spans="2:4" x14ac:dyDescent="0.2">
      <c r="B2694" s="876">
        <v>3148</v>
      </c>
      <c r="C2694" s="876" t="s">
        <v>3630</v>
      </c>
      <c r="D2694" s="851">
        <v>603.39999799999998</v>
      </c>
    </row>
    <row r="2695" spans="2:4" x14ac:dyDescent="0.2">
      <c r="B2695" s="876">
        <v>3149</v>
      </c>
      <c r="C2695" s="876" t="s">
        <v>3631</v>
      </c>
      <c r="D2695" s="851">
        <v>624.61333000000002</v>
      </c>
    </row>
    <row r="2696" spans="2:4" x14ac:dyDescent="0.2">
      <c r="B2696" s="876">
        <v>3150</v>
      </c>
      <c r="C2696" s="876" t="s">
        <v>3632</v>
      </c>
      <c r="D2696" s="851">
        <v>649.03998999999999</v>
      </c>
    </row>
    <row r="2697" spans="2:4" x14ac:dyDescent="0.2">
      <c r="B2697" s="876">
        <v>3151</v>
      </c>
      <c r="C2697" s="876" t="s">
        <v>3186</v>
      </c>
      <c r="D2697" s="851">
        <v>626.18333900000005</v>
      </c>
    </row>
    <row r="2698" spans="2:4" x14ac:dyDescent="0.2">
      <c r="B2698" s="876">
        <v>3152</v>
      </c>
      <c r="C2698" s="876" t="s">
        <v>3633</v>
      </c>
      <c r="D2698" s="851">
        <v>601.48666600000001</v>
      </c>
    </row>
    <row r="2699" spans="2:4" x14ac:dyDescent="0.2">
      <c r="B2699" s="876">
        <v>3153</v>
      </c>
      <c r="C2699" s="876" t="s">
        <v>3634</v>
      </c>
      <c r="D2699" s="851">
        <v>603.5</v>
      </c>
    </row>
    <row r="2700" spans="2:4" x14ac:dyDescent="0.2">
      <c r="B2700" s="876">
        <v>3154</v>
      </c>
      <c r="C2700" s="876" t="s">
        <v>3635</v>
      </c>
      <c r="D2700" s="851">
        <v>629.43846699999995</v>
      </c>
    </row>
    <row r="2701" spans="2:4" x14ac:dyDescent="0.2">
      <c r="B2701" s="876">
        <v>3155</v>
      </c>
      <c r="C2701" s="876" t="s">
        <v>3636</v>
      </c>
      <c r="D2701" s="851">
        <v>630.85293799999999</v>
      </c>
    </row>
    <row r="2702" spans="2:4" x14ac:dyDescent="0.2">
      <c r="B2702" s="876">
        <v>3156</v>
      </c>
      <c r="C2702" s="876" t="s">
        <v>3637</v>
      </c>
      <c r="D2702" s="851">
        <v>632.13332100000002</v>
      </c>
    </row>
    <row r="2703" spans="2:4" x14ac:dyDescent="0.2">
      <c r="B2703" s="876">
        <v>3157</v>
      </c>
      <c r="C2703" s="876" t="s">
        <v>3638</v>
      </c>
      <c r="D2703" s="851">
        <v>568.29999999999995</v>
      </c>
    </row>
    <row r="2704" spans="2:4" x14ac:dyDescent="0.2">
      <c r="B2704" s="876">
        <v>3158</v>
      </c>
      <c r="C2704" s="876" t="s">
        <v>2140</v>
      </c>
      <c r="D2704" s="851">
        <v>653.385716</v>
      </c>
    </row>
    <row r="2705" spans="2:4" x14ac:dyDescent="0.2">
      <c r="B2705" s="876">
        <v>3159</v>
      </c>
      <c r="C2705" s="876" t="s">
        <v>3639</v>
      </c>
      <c r="D2705" s="851">
        <v>627.32857000000001</v>
      </c>
    </row>
    <row r="2706" spans="2:4" x14ac:dyDescent="0.2">
      <c r="B2706" s="876">
        <v>3160</v>
      </c>
      <c r="C2706" s="876" t="s">
        <v>3640</v>
      </c>
      <c r="D2706" s="851">
        <v>640.53333499999997</v>
      </c>
    </row>
    <row r="2707" spans="2:4" x14ac:dyDescent="0.2">
      <c r="B2707" s="876">
        <v>3161</v>
      </c>
      <c r="C2707" s="876" t="s">
        <v>3641</v>
      </c>
      <c r="D2707" s="851">
        <v>614.71428600000002</v>
      </c>
    </row>
    <row r="2708" spans="2:4" x14ac:dyDescent="0.2">
      <c r="B2708" s="876">
        <v>3162</v>
      </c>
      <c r="C2708" s="876" t="s">
        <v>3642</v>
      </c>
      <c r="D2708" s="851">
        <v>591.92857100000003</v>
      </c>
    </row>
    <row r="2709" spans="2:4" x14ac:dyDescent="0.2">
      <c r="B2709" s="876">
        <v>3163</v>
      </c>
      <c r="C2709" s="876" t="s">
        <v>3643</v>
      </c>
      <c r="D2709" s="851">
        <v>602.53333499999997</v>
      </c>
    </row>
    <row r="2710" spans="2:4" x14ac:dyDescent="0.2">
      <c r="B2710" s="876">
        <v>3164</v>
      </c>
      <c r="C2710" s="876" t="s">
        <v>2520</v>
      </c>
      <c r="D2710" s="851">
        <v>640.10909800000002</v>
      </c>
    </row>
    <row r="2711" spans="2:4" x14ac:dyDescent="0.2">
      <c r="B2711" s="876">
        <v>3165</v>
      </c>
      <c r="C2711" s="876" t="s">
        <v>3644</v>
      </c>
      <c r="D2711" s="851">
        <v>632.19999700000005</v>
      </c>
    </row>
    <row r="2712" spans="2:4" x14ac:dyDescent="0.2">
      <c r="B2712" s="876">
        <v>3166</v>
      </c>
      <c r="C2712" s="876" t="s">
        <v>3645</v>
      </c>
      <c r="D2712" s="851">
        <v>647.883331</v>
      </c>
    </row>
    <row r="2713" spans="2:4" x14ac:dyDescent="0.2">
      <c r="B2713" s="876">
        <v>3167</v>
      </c>
      <c r="C2713" s="876" t="s">
        <v>3646</v>
      </c>
      <c r="D2713" s="851">
        <v>630.38570700000002</v>
      </c>
    </row>
    <row r="2714" spans="2:4" x14ac:dyDescent="0.2">
      <c r="B2714" s="876">
        <v>3168</v>
      </c>
      <c r="C2714" s="876" t="s">
        <v>3647</v>
      </c>
      <c r="D2714" s="851">
        <v>634.34000200000003</v>
      </c>
    </row>
    <row r="2715" spans="2:4" x14ac:dyDescent="0.2">
      <c r="B2715" s="876">
        <v>3169</v>
      </c>
      <c r="C2715" s="876" t="s">
        <v>3648</v>
      </c>
      <c r="D2715" s="851">
        <v>555.27999299999999</v>
      </c>
    </row>
    <row r="2716" spans="2:4" x14ac:dyDescent="0.2">
      <c r="B2716" s="876">
        <v>3170</v>
      </c>
      <c r="C2716" s="876" t="s">
        <v>3649</v>
      </c>
      <c r="D2716" s="851">
        <v>651.79998799999998</v>
      </c>
    </row>
    <row r="2717" spans="2:4" x14ac:dyDescent="0.2">
      <c r="B2717" s="876">
        <v>3171</v>
      </c>
      <c r="C2717" s="876" t="s">
        <v>3650</v>
      </c>
      <c r="D2717" s="851">
        <v>612.07501200000002</v>
      </c>
    </row>
    <row r="2718" spans="2:4" x14ac:dyDescent="0.2">
      <c r="B2718" s="876">
        <v>3172</v>
      </c>
      <c r="C2718" s="876" t="s">
        <v>3651</v>
      </c>
      <c r="D2718" s="851">
        <v>646.56428300000005</v>
      </c>
    </row>
    <row r="2719" spans="2:4" x14ac:dyDescent="0.2">
      <c r="B2719" s="876">
        <v>3173</v>
      </c>
      <c r="C2719" s="876" t="s">
        <v>3652</v>
      </c>
      <c r="D2719" s="851">
        <v>583.76667099999997</v>
      </c>
    </row>
    <row r="2720" spans="2:4" x14ac:dyDescent="0.2">
      <c r="B2720" s="876">
        <v>3174</v>
      </c>
      <c r="C2720" s="876" t="s">
        <v>3653</v>
      </c>
      <c r="D2720" s="851">
        <v>655.36667899999998</v>
      </c>
    </row>
    <row r="2721" spans="2:4" x14ac:dyDescent="0.2">
      <c r="B2721" s="876">
        <v>3175</v>
      </c>
      <c r="C2721" s="876" t="s">
        <v>3654</v>
      </c>
      <c r="D2721" s="851">
        <v>644.42857100000003</v>
      </c>
    </row>
    <row r="2722" spans="2:4" x14ac:dyDescent="0.2">
      <c r="B2722" s="876">
        <v>3176</v>
      </c>
      <c r="C2722" s="876" t="s">
        <v>3655</v>
      </c>
      <c r="D2722" s="851">
        <v>624.23333700000001</v>
      </c>
    </row>
    <row r="2723" spans="2:4" x14ac:dyDescent="0.2">
      <c r="B2723" s="876">
        <v>3177</v>
      </c>
      <c r="C2723" s="876" t="s">
        <v>3656</v>
      </c>
      <c r="D2723" s="851">
        <v>635.31052099999999</v>
      </c>
    </row>
    <row r="2724" spans="2:4" x14ac:dyDescent="0.2">
      <c r="B2724" s="876">
        <v>3178</v>
      </c>
      <c r="C2724" s="876" t="s">
        <v>3657</v>
      </c>
      <c r="D2724" s="851">
        <v>598.70769299999995</v>
      </c>
    </row>
    <row r="2725" spans="2:4" x14ac:dyDescent="0.2">
      <c r="B2725" s="876">
        <v>3179</v>
      </c>
      <c r="C2725" s="876" t="s">
        <v>3658</v>
      </c>
      <c r="D2725" s="851">
        <v>561.23331700000006</v>
      </c>
    </row>
    <row r="2726" spans="2:4" x14ac:dyDescent="0.2">
      <c r="B2726" s="876">
        <v>3180</v>
      </c>
      <c r="C2726" s="876" t="s">
        <v>1202</v>
      </c>
      <c r="D2726" s="851">
        <v>620.65999799999997</v>
      </c>
    </row>
    <row r="2727" spans="2:4" x14ac:dyDescent="0.2">
      <c r="B2727" s="876">
        <v>3181</v>
      </c>
      <c r="C2727" s="876" t="s">
        <v>3659</v>
      </c>
      <c r="D2727" s="851">
        <v>631.50000899999998</v>
      </c>
    </row>
    <row r="2728" spans="2:4" x14ac:dyDescent="0.2">
      <c r="B2728" s="876">
        <v>3182</v>
      </c>
      <c r="C2728" s="876" t="s">
        <v>3660</v>
      </c>
      <c r="D2728" s="851">
        <v>625.51999499999999</v>
      </c>
    </row>
    <row r="2729" spans="2:4" x14ac:dyDescent="0.2">
      <c r="B2729" s="876">
        <v>3183</v>
      </c>
      <c r="C2729" s="876" t="s">
        <v>3661</v>
      </c>
      <c r="D2729" s="851">
        <v>635.12000699999999</v>
      </c>
    </row>
    <row r="2730" spans="2:4" x14ac:dyDescent="0.2">
      <c r="B2730" s="876">
        <v>3184</v>
      </c>
      <c r="C2730" s="876" t="s">
        <v>2951</v>
      </c>
      <c r="D2730" s="851">
        <v>612.14286600000003</v>
      </c>
    </row>
    <row r="2731" spans="2:4" x14ac:dyDescent="0.2">
      <c r="B2731" s="876">
        <v>3185</v>
      </c>
      <c r="C2731" s="876" t="s">
        <v>3662</v>
      </c>
      <c r="D2731" s="851">
        <v>622.20999800000004</v>
      </c>
    </row>
    <row r="2732" spans="2:4" x14ac:dyDescent="0.2">
      <c r="B2732" s="876">
        <v>3186</v>
      </c>
      <c r="C2732" s="876" t="s">
        <v>3663</v>
      </c>
      <c r="D2732" s="851">
        <v>669.68181300000003</v>
      </c>
    </row>
    <row r="2733" spans="2:4" x14ac:dyDescent="0.2">
      <c r="B2733" s="876">
        <v>3187</v>
      </c>
      <c r="C2733" s="876" t="s">
        <v>3664</v>
      </c>
      <c r="D2733" s="851">
        <v>652.85554999999999</v>
      </c>
    </row>
    <row r="2734" spans="2:4" x14ac:dyDescent="0.2">
      <c r="B2734" s="876">
        <v>3188</v>
      </c>
      <c r="C2734" s="876" t="s">
        <v>3665</v>
      </c>
      <c r="D2734" s="851">
        <v>597.13334099999997</v>
      </c>
    </row>
    <row r="2735" spans="2:4" x14ac:dyDescent="0.2">
      <c r="B2735" s="876">
        <v>3189</v>
      </c>
      <c r="C2735" s="876" t="s">
        <v>3666</v>
      </c>
      <c r="D2735" s="851">
        <v>608.88334099999997</v>
      </c>
    </row>
    <row r="2736" spans="2:4" x14ac:dyDescent="0.2">
      <c r="B2736" s="876">
        <v>3190</v>
      </c>
      <c r="C2736" s="876" t="s">
        <v>3667</v>
      </c>
      <c r="D2736" s="851">
        <v>640.77500899999995</v>
      </c>
    </row>
    <row r="2737" spans="2:4" x14ac:dyDescent="0.2">
      <c r="B2737" s="876">
        <v>3191</v>
      </c>
      <c r="C2737" s="876" t="s">
        <v>3668</v>
      </c>
      <c r="D2737" s="851">
        <v>595.94000200000005</v>
      </c>
    </row>
    <row r="2738" spans="2:4" x14ac:dyDescent="0.2">
      <c r="B2738" s="876">
        <v>3192</v>
      </c>
      <c r="C2738" s="876" t="s">
        <v>2049</v>
      </c>
      <c r="D2738" s="851">
        <v>574.55999799999995</v>
      </c>
    </row>
    <row r="2739" spans="2:4" x14ac:dyDescent="0.2">
      <c r="B2739" s="876">
        <v>3193</v>
      </c>
      <c r="C2739" s="876" t="s">
        <v>3669</v>
      </c>
      <c r="D2739" s="851">
        <v>625.65713900000003</v>
      </c>
    </row>
    <row r="2740" spans="2:4" x14ac:dyDescent="0.2">
      <c r="B2740" s="876">
        <v>3194</v>
      </c>
      <c r="C2740" s="876" t="s">
        <v>3670</v>
      </c>
      <c r="D2740" s="851">
        <v>657.62727500000005</v>
      </c>
    </row>
    <row r="2741" spans="2:4" x14ac:dyDescent="0.2">
      <c r="B2741" s="876">
        <v>3195</v>
      </c>
      <c r="C2741" s="876" t="s">
        <v>3671</v>
      </c>
      <c r="D2741" s="851">
        <v>625.61667399999999</v>
      </c>
    </row>
    <row r="2742" spans="2:4" x14ac:dyDescent="0.2">
      <c r="B2742" s="876">
        <v>3196</v>
      </c>
      <c r="C2742" s="876" t="s">
        <v>1793</v>
      </c>
      <c r="D2742" s="851">
        <v>632.84997599999997</v>
      </c>
    </row>
    <row r="2743" spans="2:4" x14ac:dyDescent="0.2">
      <c r="B2743" s="876">
        <v>3197</v>
      </c>
      <c r="C2743" s="876" t="s">
        <v>3672</v>
      </c>
      <c r="D2743" s="851">
        <v>630.41110600000002</v>
      </c>
    </row>
    <row r="2744" spans="2:4" x14ac:dyDescent="0.2">
      <c r="B2744" s="876">
        <v>3198</v>
      </c>
      <c r="C2744" s="876" t="s">
        <v>3673</v>
      </c>
      <c r="D2744" s="851">
        <v>641.60001</v>
      </c>
    </row>
    <row r="2745" spans="2:4" x14ac:dyDescent="0.2">
      <c r="B2745" s="876">
        <v>3199</v>
      </c>
      <c r="C2745" s="876" t="s">
        <v>3674</v>
      </c>
      <c r="D2745" s="851">
        <v>610.33333300000004</v>
      </c>
    </row>
    <row r="2746" spans="2:4" x14ac:dyDescent="0.2">
      <c r="B2746" s="876">
        <v>3200</v>
      </c>
      <c r="C2746" s="876" t="s">
        <v>3675</v>
      </c>
      <c r="D2746" s="851">
        <v>616.41250600000001</v>
      </c>
    </row>
    <row r="2747" spans="2:4" x14ac:dyDescent="0.2">
      <c r="B2747" s="876">
        <v>3201</v>
      </c>
      <c r="C2747" s="876" t="s">
        <v>3676</v>
      </c>
      <c r="D2747" s="851">
        <v>654.67999299999997</v>
      </c>
    </row>
    <row r="2748" spans="2:4" x14ac:dyDescent="0.2">
      <c r="B2748" s="876">
        <v>3202</v>
      </c>
      <c r="C2748" s="876" t="s">
        <v>3677</v>
      </c>
      <c r="D2748" s="851">
        <v>641.52857300000005</v>
      </c>
    </row>
    <row r="2749" spans="2:4" x14ac:dyDescent="0.2">
      <c r="B2749" s="876">
        <v>3203</v>
      </c>
      <c r="C2749" s="876" t="s">
        <v>3678</v>
      </c>
      <c r="D2749" s="851">
        <v>653.33333300000004</v>
      </c>
    </row>
    <row r="2750" spans="2:4" x14ac:dyDescent="0.2">
      <c r="B2750" s="876">
        <v>3204</v>
      </c>
      <c r="C2750" s="876" t="s">
        <v>3679</v>
      </c>
      <c r="D2750" s="851">
        <v>580.58332299999995</v>
      </c>
    </row>
    <row r="2751" spans="2:4" x14ac:dyDescent="0.2">
      <c r="B2751" s="876">
        <v>3205</v>
      </c>
      <c r="C2751" s="876" t="s">
        <v>3680</v>
      </c>
      <c r="D2751" s="851">
        <v>649.93636300000003</v>
      </c>
    </row>
    <row r="2752" spans="2:4" x14ac:dyDescent="0.2">
      <c r="B2752" s="876">
        <v>3206</v>
      </c>
      <c r="C2752" s="876" t="s">
        <v>3681</v>
      </c>
      <c r="D2752" s="851">
        <v>642.09999600000003</v>
      </c>
    </row>
    <row r="2753" spans="2:4" x14ac:dyDescent="0.2">
      <c r="B2753" s="876">
        <v>3207</v>
      </c>
      <c r="C2753" s="876" t="s">
        <v>3682</v>
      </c>
      <c r="D2753" s="851">
        <v>633.69998799999996</v>
      </c>
    </row>
    <row r="2754" spans="2:4" x14ac:dyDescent="0.2">
      <c r="B2754" s="876">
        <v>3208</v>
      </c>
      <c r="C2754" s="876" t="s">
        <v>3683</v>
      </c>
      <c r="D2754" s="851">
        <v>633</v>
      </c>
    </row>
    <row r="2755" spans="2:4" x14ac:dyDescent="0.2">
      <c r="B2755" s="876">
        <v>3209</v>
      </c>
      <c r="C2755" s="876" t="s">
        <v>3684</v>
      </c>
      <c r="D2755" s="851">
        <v>635.96922900000004</v>
      </c>
    </row>
    <row r="2756" spans="2:4" x14ac:dyDescent="0.2">
      <c r="B2756" s="876">
        <v>3210</v>
      </c>
      <c r="C2756" s="876" t="s">
        <v>3685</v>
      </c>
      <c r="D2756" s="851">
        <v>637.72499100000005</v>
      </c>
    </row>
    <row r="2757" spans="2:4" x14ac:dyDescent="0.2">
      <c r="B2757" s="876">
        <v>3211</v>
      </c>
      <c r="C2757" s="876" t="s">
        <v>3686</v>
      </c>
      <c r="D2757" s="851">
        <v>652.4</v>
      </c>
    </row>
    <row r="2758" spans="2:4" x14ac:dyDescent="0.2">
      <c r="B2758" s="876">
        <v>3212</v>
      </c>
      <c r="C2758" s="876" t="s">
        <v>3687</v>
      </c>
      <c r="D2758" s="851">
        <v>611.03997800000002</v>
      </c>
    </row>
    <row r="2759" spans="2:4" x14ac:dyDescent="0.2">
      <c r="B2759" s="876">
        <v>3213</v>
      </c>
      <c r="C2759" s="876" t="s">
        <v>3688</v>
      </c>
      <c r="D2759" s="851">
        <v>641.22499800000003</v>
      </c>
    </row>
    <row r="2760" spans="2:4" x14ac:dyDescent="0.2">
      <c r="B2760" s="876">
        <v>3214</v>
      </c>
      <c r="C2760" s="876" t="s">
        <v>3689</v>
      </c>
      <c r="D2760" s="851">
        <v>636.25998500000003</v>
      </c>
    </row>
    <row r="2761" spans="2:4" x14ac:dyDescent="0.2">
      <c r="B2761" s="876">
        <v>3215</v>
      </c>
      <c r="C2761" s="876" t="s">
        <v>3690</v>
      </c>
      <c r="D2761" s="851">
        <v>633.59998599999994</v>
      </c>
    </row>
    <row r="2762" spans="2:4" x14ac:dyDescent="0.2">
      <c r="B2762" s="876">
        <v>3216</v>
      </c>
      <c r="C2762" s="876" t="s">
        <v>3691</v>
      </c>
      <c r="D2762" s="851">
        <v>645.18571299999996</v>
      </c>
    </row>
    <row r="2763" spans="2:4" x14ac:dyDescent="0.2">
      <c r="B2763" s="876">
        <v>3217</v>
      </c>
      <c r="C2763" s="876" t="s">
        <v>3692</v>
      </c>
      <c r="D2763" s="851">
        <v>621.5</v>
      </c>
    </row>
    <row r="2764" spans="2:4" x14ac:dyDescent="0.2">
      <c r="B2764" s="876">
        <v>3218</v>
      </c>
      <c r="C2764" s="876" t="s">
        <v>3693</v>
      </c>
      <c r="D2764" s="851">
        <v>617.02498600000001</v>
      </c>
    </row>
    <row r="2765" spans="2:4" x14ac:dyDescent="0.2">
      <c r="B2765" s="876">
        <v>3219</v>
      </c>
      <c r="C2765" s="876" t="s">
        <v>3694</v>
      </c>
      <c r="D2765" s="851">
        <v>646.95999800000004</v>
      </c>
    </row>
    <row r="2766" spans="2:4" x14ac:dyDescent="0.2">
      <c r="B2766" s="876">
        <v>3220</v>
      </c>
      <c r="C2766" s="876" t="s">
        <v>3695</v>
      </c>
      <c r="D2766" s="851">
        <v>575.5625</v>
      </c>
    </row>
    <row r="2767" spans="2:4" x14ac:dyDescent="0.2">
      <c r="B2767" s="876">
        <v>3221</v>
      </c>
      <c r="C2767" s="876" t="s">
        <v>3696</v>
      </c>
      <c r="D2767" s="851">
        <v>600.70001200000002</v>
      </c>
    </row>
    <row r="2768" spans="2:4" x14ac:dyDescent="0.2">
      <c r="B2768" s="876">
        <v>3222</v>
      </c>
      <c r="C2768" s="876" t="s">
        <v>3697</v>
      </c>
      <c r="D2768" s="851">
        <v>583.66666699999996</v>
      </c>
    </row>
    <row r="2769" spans="2:4" x14ac:dyDescent="0.2">
      <c r="B2769" s="876">
        <v>3223</v>
      </c>
      <c r="C2769" s="876" t="s">
        <v>2359</v>
      </c>
      <c r="D2769" s="851">
        <v>618.02000699999996</v>
      </c>
    </row>
    <row r="2770" spans="2:4" x14ac:dyDescent="0.2">
      <c r="B2770" s="876">
        <v>3224</v>
      </c>
      <c r="C2770" s="876" t="s">
        <v>3698</v>
      </c>
      <c r="D2770" s="851">
        <v>629.06669099999999</v>
      </c>
    </row>
    <row r="2771" spans="2:4" x14ac:dyDescent="0.2">
      <c r="B2771" s="876">
        <v>3225</v>
      </c>
      <c r="C2771" s="876" t="s">
        <v>2364</v>
      </c>
      <c r="D2771" s="851">
        <v>611.86665900000003</v>
      </c>
    </row>
    <row r="2772" spans="2:4" x14ac:dyDescent="0.2">
      <c r="B2772" s="876">
        <v>3226</v>
      </c>
      <c r="C2772" s="876" t="s">
        <v>1381</v>
      </c>
      <c r="D2772" s="851">
        <v>649.99999000000003</v>
      </c>
    </row>
    <row r="2773" spans="2:4" x14ac:dyDescent="0.2">
      <c r="B2773" s="876">
        <v>3227</v>
      </c>
      <c r="C2773" s="876" t="s">
        <v>3699</v>
      </c>
      <c r="D2773" s="851">
        <v>608.34999900000003</v>
      </c>
    </row>
    <row r="2774" spans="2:4" x14ac:dyDescent="0.2">
      <c r="B2774" s="876">
        <v>3228</v>
      </c>
      <c r="C2774" s="876" t="s">
        <v>3700</v>
      </c>
      <c r="D2774" s="851">
        <v>626.85999800000002</v>
      </c>
    </row>
    <row r="2775" spans="2:4" x14ac:dyDescent="0.2">
      <c r="B2775" s="876">
        <v>3229</v>
      </c>
      <c r="C2775" s="876" t="s">
        <v>3701</v>
      </c>
      <c r="D2775" s="851">
        <v>629.58000500000003</v>
      </c>
    </row>
    <row r="2776" spans="2:4" x14ac:dyDescent="0.2">
      <c r="B2776" s="876">
        <v>3230</v>
      </c>
      <c r="C2776" s="876" t="s">
        <v>3702</v>
      </c>
      <c r="D2776" s="851">
        <v>634.16249800000003</v>
      </c>
    </row>
    <row r="2777" spans="2:4" x14ac:dyDescent="0.2">
      <c r="B2777" s="876">
        <v>3231</v>
      </c>
      <c r="C2777" s="876" t="s">
        <v>3703</v>
      </c>
      <c r="D2777" s="851">
        <v>620.74001499999997</v>
      </c>
    </row>
    <row r="2778" spans="2:4" x14ac:dyDescent="0.2">
      <c r="B2778" s="876">
        <v>3232</v>
      </c>
      <c r="C2778" s="876" t="s">
        <v>3704</v>
      </c>
      <c r="D2778" s="851">
        <v>609.29999999999995</v>
      </c>
    </row>
    <row r="2779" spans="2:4" x14ac:dyDescent="0.2">
      <c r="B2779" s="876">
        <v>3233</v>
      </c>
      <c r="C2779" s="876" t="s">
        <v>3705</v>
      </c>
      <c r="D2779" s="851">
        <v>637.39999399999999</v>
      </c>
    </row>
    <row r="2780" spans="2:4" x14ac:dyDescent="0.2">
      <c r="B2780" s="876">
        <v>3234</v>
      </c>
      <c r="C2780" s="876" t="s">
        <v>3706</v>
      </c>
      <c r="D2780" s="851">
        <v>642.64999399999999</v>
      </c>
    </row>
    <row r="2781" spans="2:4" x14ac:dyDescent="0.2">
      <c r="B2781" s="876">
        <v>3235</v>
      </c>
      <c r="C2781" s="876" t="s">
        <v>3707</v>
      </c>
      <c r="D2781" s="851">
        <v>580.32499700000005</v>
      </c>
    </row>
    <row r="2782" spans="2:4" x14ac:dyDescent="0.2">
      <c r="B2782" s="876">
        <v>3236</v>
      </c>
      <c r="C2782" s="876" t="s">
        <v>3708</v>
      </c>
      <c r="D2782" s="851">
        <v>602.69091800000001</v>
      </c>
    </row>
    <row r="2783" spans="2:4" x14ac:dyDescent="0.2">
      <c r="B2783" s="876">
        <v>3237</v>
      </c>
      <c r="C2783" s="876" t="s">
        <v>3709</v>
      </c>
      <c r="D2783" s="851">
        <v>678.45000300000004</v>
      </c>
    </row>
    <row r="2784" spans="2:4" x14ac:dyDescent="0.2">
      <c r="B2784" s="876">
        <v>3238</v>
      </c>
      <c r="C2784" s="876" t="s">
        <v>3710</v>
      </c>
      <c r="D2784" s="851">
        <v>620.11249499999997</v>
      </c>
    </row>
    <row r="2785" spans="2:4" x14ac:dyDescent="0.2">
      <c r="B2785" s="876">
        <v>3239</v>
      </c>
      <c r="C2785" s="876" t="s">
        <v>3711</v>
      </c>
      <c r="D2785" s="851">
        <v>615</v>
      </c>
    </row>
    <row r="2786" spans="2:4" x14ac:dyDescent="0.2">
      <c r="B2786" s="876">
        <v>3240</v>
      </c>
      <c r="C2786" s="876" t="s">
        <v>3712</v>
      </c>
      <c r="D2786" s="851">
        <v>638.68750799999998</v>
      </c>
    </row>
    <row r="2787" spans="2:4" x14ac:dyDescent="0.2">
      <c r="B2787" s="876">
        <v>3241</v>
      </c>
      <c r="C2787" s="876" t="s">
        <v>3713</v>
      </c>
      <c r="D2787" s="851">
        <v>605.08333300000004</v>
      </c>
    </row>
    <row r="2788" spans="2:4" x14ac:dyDescent="0.2">
      <c r="B2788" s="876">
        <v>3242</v>
      </c>
      <c r="C2788" s="876" t="s">
        <v>3714</v>
      </c>
      <c r="D2788" s="851">
        <v>626.45001200000002</v>
      </c>
    </row>
    <row r="2789" spans="2:4" x14ac:dyDescent="0.2">
      <c r="B2789" s="876">
        <v>3243</v>
      </c>
      <c r="C2789" s="876" t="s">
        <v>3715</v>
      </c>
      <c r="D2789" s="851">
        <v>609.07499700000005</v>
      </c>
    </row>
    <row r="2790" spans="2:4" x14ac:dyDescent="0.2">
      <c r="B2790" s="876">
        <v>3244</v>
      </c>
      <c r="C2790" s="876" t="s">
        <v>3716</v>
      </c>
      <c r="D2790" s="851">
        <v>641.66666699999996</v>
      </c>
    </row>
    <row r="2791" spans="2:4" x14ac:dyDescent="0.2">
      <c r="B2791" s="876">
        <v>3245</v>
      </c>
      <c r="C2791" s="876" t="s">
        <v>3717</v>
      </c>
      <c r="D2791" s="851">
        <v>656.15999799999997</v>
      </c>
    </row>
    <row r="2792" spans="2:4" x14ac:dyDescent="0.2">
      <c r="B2792" s="876">
        <v>3246</v>
      </c>
      <c r="C2792" s="876" t="s">
        <v>3718</v>
      </c>
      <c r="D2792" s="851">
        <v>644.389996</v>
      </c>
    </row>
    <row r="2793" spans="2:4" x14ac:dyDescent="0.2">
      <c r="B2793" s="876">
        <v>3247</v>
      </c>
      <c r="C2793" s="876" t="s">
        <v>3719</v>
      </c>
      <c r="D2793" s="851">
        <v>623.76667299999997</v>
      </c>
    </row>
    <row r="2794" spans="2:4" x14ac:dyDescent="0.2">
      <c r="B2794" s="876">
        <v>3251</v>
      </c>
      <c r="C2794" s="876" t="s">
        <v>3720</v>
      </c>
      <c r="D2794" s="851">
        <v>633.75</v>
      </c>
    </row>
    <row r="2795" spans="2:4" x14ac:dyDescent="0.2">
      <c r="B2795" s="876">
        <v>3252</v>
      </c>
      <c r="C2795" s="876" t="s">
        <v>3721</v>
      </c>
      <c r="D2795" s="851">
        <v>609.25</v>
      </c>
    </row>
    <row r="2796" spans="2:4" x14ac:dyDescent="0.2">
      <c r="B2796" s="876">
        <v>3253</v>
      </c>
      <c r="C2796" s="876" t="s">
        <v>1311</v>
      </c>
      <c r="D2796" s="851">
        <v>657.19999199999995</v>
      </c>
    </row>
    <row r="2797" spans="2:4" x14ac:dyDescent="0.2">
      <c r="B2797" s="876">
        <v>3254</v>
      </c>
      <c r="C2797" s="876" t="s">
        <v>3722</v>
      </c>
      <c r="D2797" s="851">
        <v>649.86665900000003</v>
      </c>
    </row>
    <row r="2798" spans="2:4" x14ac:dyDescent="0.2">
      <c r="B2798" s="876">
        <v>3255</v>
      </c>
      <c r="C2798" s="876" t="s">
        <v>3723</v>
      </c>
      <c r="D2798" s="851">
        <v>601.6</v>
      </c>
    </row>
    <row r="2799" spans="2:4" x14ac:dyDescent="0.2">
      <c r="B2799" s="876">
        <v>3256</v>
      </c>
      <c r="C2799" s="876" t="s">
        <v>3724</v>
      </c>
      <c r="D2799" s="851">
        <v>622.94999399999995</v>
      </c>
    </row>
    <row r="2800" spans="2:4" x14ac:dyDescent="0.2">
      <c r="B2800" s="876">
        <v>3257</v>
      </c>
      <c r="C2800" s="876" t="s">
        <v>3725</v>
      </c>
      <c r="D2800" s="851">
        <v>644.96666500000003</v>
      </c>
    </row>
    <row r="2801" spans="2:4" x14ac:dyDescent="0.2">
      <c r="B2801" s="876">
        <v>3258</v>
      </c>
      <c r="C2801" s="876" t="s">
        <v>1881</v>
      </c>
      <c r="D2801" s="851">
        <v>645.67142999999999</v>
      </c>
    </row>
    <row r="2802" spans="2:4" x14ac:dyDescent="0.2">
      <c r="B2802" s="876">
        <v>3259</v>
      </c>
      <c r="C2802" s="876" t="s">
        <v>3726</v>
      </c>
      <c r="D2802" s="851">
        <v>635.625</v>
      </c>
    </row>
    <row r="2803" spans="2:4" x14ac:dyDescent="0.2">
      <c r="B2803" s="876">
        <v>3260</v>
      </c>
      <c r="C2803" s="876" t="s">
        <v>3727</v>
      </c>
      <c r="D2803" s="851">
        <v>599.53636600000004</v>
      </c>
    </row>
    <row r="2804" spans="2:4" x14ac:dyDescent="0.2">
      <c r="B2804" s="876">
        <v>3261</v>
      </c>
      <c r="C2804" s="876" t="s">
        <v>3728</v>
      </c>
      <c r="D2804" s="851">
        <v>618.40002400000003</v>
      </c>
    </row>
    <row r="2805" spans="2:4" x14ac:dyDescent="0.2">
      <c r="B2805" s="876">
        <v>3262</v>
      </c>
      <c r="C2805" s="876" t="s">
        <v>1685</v>
      </c>
      <c r="D2805" s="851">
        <v>605.80000800000005</v>
      </c>
    </row>
    <row r="2806" spans="2:4" x14ac:dyDescent="0.2">
      <c r="B2806" s="876">
        <v>3263</v>
      </c>
      <c r="C2806" s="876" t="s">
        <v>3729</v>
      </c>
      <c r="D2806" s="851">
        <v>588.69999700000005</v>
      </c>
    </row>
    <row r="2807" spans="2:4" x14ac:dyDescent="0.2">
      <c r="B2807" s="876">
        <v>3264</v>
      </c>
      <c r="C2807" s="876" t="s">
        <v>3730</v>
      </c>
      <c r="D2807" s="851">
        <v>578.66666699999996</v>
      </c>
    </row>
    <row r="2808" spans="2:4" x14ac:dyDescent="0.2">
      <c r="B2808" s="876">
        <v>3265</v>
      </c>
      <c r="C2808" s="876" t="s">
        <v>3731</v>
      </c>
      <c r="D2808" s="851">
        <v>579.33999600000004</v>
      </c>
    </row>
    <row r="2809" spans="2:4" x14ac:dyDescent="0.2">
      <c r="B2809" s="876">
        <v>3266</v>
      </c>
      <c r="C2809" s="876" t="s">
        <v>3732</v>
      </c>
      <c r="D2809" s="851">
        <v>601.01249700000005</v>
      </c>
    </row>
    <row r="2810" spans="2:4" x14ac:dyDescent="0.2">
      <c r="B2810" s="876">
        <v>3267</v>
      </c>
      <c r="C2810" s="876" t="s">
        <v>3733</v>
      </c>
      <c r="D2810" s="851">
        <v>592.52500899999995</v>
      </c>
    </row>
    <row r="2811" spans="2:4" x14ac:dyDescent="0.2">
      <c r="B2811" s="876">
        <v>3268</v>
      </c>
      <c r="C2811" s="876" t="s">
        <v>3734</v>
      </c>
      <c r="D2811" s="851">
        <v>596.03999599999997</v>
      </c>
    </row>
    <row r="2812" spans="2:4" x14ac:dyDescent="0.2">
      <c r="B2812" s="876">
        <v>3269</v>
      </c>
      <c r="C2812" s="876" t="s">
        <v>3735</v>
      </c>
      <c r="D2812" s="851">
        <v>611.28889300000003</v>
      </c>
    </row>
    <row r="2813" spans="2:4" x14ac:dyDescent="0.2">
      <c r="B2813" s="876">
        <v>3270</v>
      </c>
      <c r="C2813" s="876" t="s">
        <v>3736</v>
      </c>
      <c r="D2813" s="851">
        <v>597.16666699999996</v>
      </c>
    </row>
    <row r="2814" spans="2:4" x14ac:dyDescent="0.2">
      <c r="B2814" s="876">
        <v>3271</v>
      </c>
      <c r="C2814" s="876" t="s">
        <v>3737</v>
      </c>
      <c r="D2814" s="851">
        <v>571.42000700000006</v>
      </c>
    </row>
    <row r="2815" spans="2:4" x14ac:dyDescent="0.2">
      <c r="B2815" s="876">
        <v>3272</v>
      </c>
      <c r="C2815" s="876" t="s">
        <v>3738</v>
      </c>
      <c r="D2815" s="851">
        <v>590.08334400000001</v>
      </c>
    </row>
    <row r="2816" spans="2:4" x14ac:dyDescent="0.2">
      <c r="B2816" s="876">
        <v>3273</v>
      </c>
      <c r="C2816" s="876" t="s">
        <v>3739</v>
      </c>
      <c r="D2816" s="851">
        <v>572.75001499999996</v>
      </c>
    </row>
    <row r="2817" spans="2:4" x14ac:dyDescent="0.2">
      <c r="B2817" s="876">
        <v>3274</v>
      </c>
      <c r="C2817" s="876" t="s">
        <v>3740</v>
      </c>
      <c r="D2817" s="851">
        <v>607.04998799999998</v>
      </c>
    </row>
    <row r="2818" spans="2:4" x14ac:dyDescent="0.2">
      <c r="B2818" s="876">
        <v>3275</v>
      </c>
      <c r="C2818" s="876" t="s">
        <v>3741</v>
      </c>
      <c r="D2818" s="851">
        <v>581.94999700000005</v>
      </c>
    </row>
    <row r="2819" spans="2:4" x14ac:dyDescent="0.2">
      <c r="B2819" s="876">
        <v>3276</v>
      </c>
      <c r="C2819" s="876" t="s">
        <v>3742</v>
      </c>
      <c r="D2819" s="851">
        <v>596.37499200000002</v>
      </c>
    </row>
    <row r="2820" spans="2:4" x14ac:dyDescent="0.2">
      <c r="B2820" s="876">
        <v>3277</v>
      </c>
      <c r="C2820" s="876" t="s">
        <v>3743</v>
      </c>
      <c r="D2820" s="851">
        <v>582.93571699999995</v>
      </c>
    </row>
    <row r="2821" spans="2:4" x14ac:dyDescent="0.2">
      <c r="B2821" s="876">
        <v>3278</v>
      </c>
      <c r="C2821" s="876" t="s">
        <v>2440</v>
      </c>
      <c r="D2821" s="851">
        <v>591.53332499999999</v>
      </c>
    </row>
    <row r="2822" spans="2:4" x14ac:dyDescent="0.2">
      <c r="B2822" s="876">
        <v>3279</v>
      </c>
      <c r="C2822" s="876" t="s">
        <v>3744</v>
      </c>
      <c r="D2822" s="851">
        <v>610.00000899999998</v>
      </c>
    </row>
    <row r="2823" spans="2:4" x14ac:dyDescent="0.2">
      <c r="B2823" s="876">
        <v>3280</v>
      </c>
      <c r="C2823" s="876" t="s">
        <v>3745</v>
      </c>
      <c r="D2823" s="851">
        <v>606.85000600000001</v>
      </c>
    </row>
    <row r="2824" spans="2:4" x14ac:dyDescent="0.2">
      <c r="B2824" s="876">
        <v>3281</v>
      </c>
      <c r="C2824" s="876" t="s">
        <v>3746</v>
      </c>
      <c r="D2824" s="851">
        <v>600.5</v>
      </c>
    </row>
    <row r="2825" spans="2:4" x14ac:dyDescent="0.2">
      <c r="B2825" s="876">
        <v>3282</v>
      </c>
      <c r="C2825" s="876" t="s">
        <v>3747</v>
      </c>
      <c r="D2825" s="851">
        <v>599.50499600000001</v>
      </c>
    </row>
    <row r="2826" spans="2:4" x14ac:dyDescent="0.2">
      <c r="B2826" s="876">
        <v>3283</v>
      </c>
      <c r="C2826" s="876" t="s">
        <v>1374</v>
      </c>
      <c r="D2826" s="851">
        <v>608.73333700000001</v>
      </c>
    </row>
    <row r="2827" spans="2:4" x14ac:dyDescent="0.2">
      <c r="B2827" s="876">
        <v>3284</v>
      </c>
      <c r="C2827" s="876" t="s">
        <v>3748</v>
      </c>
      <c r="D2827" s="851">
        <v>604.87141599999995</v>
      </c>
    </row>
    <row r="2828" spans="2:4" x14ac:dyDescent="0.2">
      <c r="B2828" s="876">
        <v>3285</v>
      </c>
      <c r="C2828" s="876" t="s">
        <v>1647</v>
      </c>
      <c r="D2828" s="851">
        <v>582.89999399999999</v>
      </c>
    </row>
    <row r="2829" spans="2:4" x14ac:dyDescent="0.2">
      <c r="B2829" s="876">
        <v>3286</v>
      </c>
      <c r="C2829" s="876" t="s">
        <v>3749</v>
      </c>
      <c r="D2829" s="851">
        <v>606.05000299999995</v>
      </c>
    </row>
    <row r="2830" spans="2:4" x14ac:dyDescent="0.2">
      <c r="B2830" s="876">
        <v>3287</v>
      </c>
      <c r="C2830" s="876" t="s">
        <v>3750</v>
      </c>
      <c r="D2830" s="851">
        <v>603.116669</v>
      </c>
    </row>
    <row r="2831" spans="2:4" x14ac:dyDescent="0.2">
      <c r="B2831" s="876">
        <v>3288</v>
      </c>
      <c r="C2831" s="876" t="s">
        <v>3751</v>
      </c>
      <c r="D2831" s="851">
        <v>617.14999399999999</v>
      </c>
    </row>
    <row r="2832" spans="2:4" x14ac:dyDescent="0.2">
      <c r="B2832" s="876">
        <v>3289</v>
      </c>
      <c r="C2832" s="876" t="s">
        <v>3752</v>
      </c>
      <c r="D2832" s="851">
        <v>591.65555099999995</v>
      </c>
    </row>
    <row r="2833" spans="2:4" x14ac:dyDescent="0.2">
      <c r="B2833" s="876">
        <v>3290</v>
      </c>
      <c r="C2833" s="876" t="s">
        <v>3753</v>
      </c>
      <c r="D2833" s="851">
        <v>616.97143600000004</v>
      </c>
    </row>
    <row r="2834" spans="2:4" x14ac:dyDescent="0.2">
      <c r="B2834" s="876">
        <v>3291</v>
      </c>
      <c r="C2834" s="876" t="s">
        <v>2855</v>
      </c>
      <c r="D2834" s="851">
        <v>595.9</v>
      </c>
    </row>
    <row r="2835" spans="2:4" x14ac:dyDescent="0.2">
      <c r="B2835" s="876">
        <v>3292</v>
      </c>
      <c r="C2835" s="876" t="s">
        <v>3754</v>
      </c>
      <c r="D2835" s="851">
        <v>618.811103</v>
      </c>
    </row>
    <row r="2836" spans="2:4" x14ac:dyDescent="0.2">
      <c r="B2836" s="876">
        <v>3293</v>
      </c>
      <c r="C2836" s="876" t="s">
        <v>3755</v>
      </c>
      <c r="D2836" s="851">
        <v>603.93998999999997</v>
      </c>
    </row>
    <row r="2837" spans="2:4" x14ac:dyDescent="0.2">
      <c r="B2837" s="876">
        <v>3294</v>
      </c>
      <c r="C2837" s="876" t="s">
        <v>3756</v>
      </c>
      <c r="D2837" s="851">
        <v>591</v>
      </c>
    </row>
    <row r="2838" spans="2:4" x14ac:dyDescent="0.2">
      <c r="B2838" s="876">
        <v>3295</v>
      </c>
      <c r="C2838" s="876" t="s">
        <v>3757</v>
      </c>
      <c r="D2838" s="851">
        <v>595.64999399999999</v>
      </c>
    </row>
    <row r="2839" spans="2:4" x14ac:dyDescent="0.2">
      <c r="B2839" s="876">
        <v>3296</v>
      </c>
      <c r="C2839" s="876" t="s">
        <v>2902</v>
      </c>
      <c r="D2839" s="851">
        <v>600.13334099999997</v>
      </c>
    </row>
    <row r="2840" spans="2:4" x14ac:dyDescent="0.2">
      <c r="B2840" s="876">
        <v>3297</v>
      </c>
      <c r="C2840" s="876" t="s">
        <v>3758</v>
      </c>
      <c r="D2840" s="851">
        <v>606.46250199999997</v>
      </c>
    </row>
    <row r="2841" spans="2:4" x14ac:dyDescent="0.2">
      <c r="B2841" s="876">
        <v>3298</v>
      </c>
      <c r="C2841" s="876" t="s">
        <v>3759</v>
      </c>
      <c r="D2841" s="851">
        <v>601.33333300000004</v>
      </c>
    </row>
    <row r="2842" spans="2:4" x14ac:dyDescent="0.2">
      <c r="B2842" s="876">
        <v>3299</v>
      </c>
      <c r="C2842" s="876" t="s">
        <v>3760</v>
      </c>
      <c r="D2842" s="851">
        <v>602.29999799999996</v>
      </c>
    </row>
    <row r="2843" spans="2:4" x14ac:dyDescent="0.2">
      <c r="B2843" s="876">
        <v>3300</v>
      </c>
      <c r="C2843" s="876" t="s">
        <v>2104</v>
      </c>
      <c r="D2843" s="851">
        <v>593.46001000000001</v>
      </c>
    </row>
    <row r="2844" spans="2:4" x14ac:dyDescent="0.2">
      <c r="B2844" s="876">
        <v>3301</v>
      </c>
      <c r="C2844" s="876" t="s">
        <v>3761</v>
      </c>
      <c r="D2844" s="851">
        <v>597</v>
      </c>
    </row>
    <row r="2845" spans="2:4" x14ac:dyDescent="0.2">
      <c r="B2845" s="876">
        <v>3302</v>
      </c>
      <c r="C2845" s="876" t="s">
        <v>1487</v>
      </c>
      <c r="D2845" s="851">
        <v>616.81667100000004</v>
      </c>
    </row>
    <row r="2846" spans="2:4" x14ac:dyDescent="0.2">
      <c r="B2846" s="876">
        <v>3303</v>
      </c>
      <c r="C2846" s="876" t="s">
        <v>3762</v>
      </c>
      <c r="D2846" s="851">
        <v>578.18572099999994</v>
      </c>
    </row>
    <row r="2847" spans="2:4" x14ac:dyDescent="0.2">
      <c r="B2847" s="876">
        <v>3304</v>
      </c>
      <c r="C2847" s="876" t="s">
        <v>3763</v>
      </c>
      <c r="D2847" s="851">
        <v>580.39999399999999</v>
      </c>
    </row>
    <row r="2848" spans="2:4" x14ac:dyDescent="0.2">
      <c r="B2848" s="876">
        <v>3305</v>
      </c>
      <c r="C2848" s="876" t="s">
        <v>3764</v>
      </c>
      <c r="D2848" s="851">
        <v>602.61429299999998</v>
      </c>
    </row>
    <row r="2849" spans="2:4" x14ac:dyDescent="0.2">
      <c r="B2849" s="876">
        <v>3306</v>
      </c>
      <c r="C2849" s="876" t="s">
        <v>3765</v>
      </c>
      <c r="D2849" s="851">
        <v>603.87999300000001</v>
      </c>
    </row>
    <row r="2850" spans="2:4" x14ac:dyDescent="0.2">
      <c r="B2850" s="876">
        <v>3307</v>
      </c>
      <c r="C2850" s="876" t="s">
        <v>3766</v>
      </c>
      <c r="D2850" s="851">
        <v>607.30000800000005</v>
      </c>
    </row>
    <row r="2851" spans="2:4" x14ac:dyDescent="0.2">
      <c r="B2851" s="876">
        <v>3308</v>
      </c>
      <c r="C2851" s="876" t="s">
        <v>3767</v>
      </c>
      <c r="D2851" s="851">
        <v>600.84001499999999</v>
      </c>
    </row>
    <row r="2852" spans="2:4" x14ac:dyDescent="0.2">
      <c r="B2852" s="876">
        <v>3309</v>
      </c>
      <c r="C2852" s="876" t="s">
        <v>3768</v>
      </c>
      <c r="D2852" s="851">
        <v>605.92500299999995</v>
      </c>
    </row>
    <row r="2853" spans="2:4" x14ac:dyDescent="0.2">
      <c r="B2853" s="876">
        <v>3310</v>
      </c>
      <c r="C2853" s="876" t="s">
        <v>3769</v>
      </c>
      <c r="D2853" s="851">
        <v>595.22857699999997</v>
      </c>
    </row>
    <row r="2854" spans="2:4" x14ac:dyDescent="0.2">
      <c r="B2854" s="876">
        <v>3311</v>
      </c>
      <c r="C2854" s="876" t="s">
        <v>3770</v>
      </c>
      <c r="D2854" s="851">
        <v>599.73637299999996</v>
      </c>
    </row>
    <row r="2855" spans="2:4" x14ac:dyDescent="0.2">
      <c r="B2855" s="876">
        <v>3312</v>
      </c>
      <c r="C2855" s="876" t="s">
        <v>3771</v>
      </c>
      <c r="D2855" s="851">
        <v>608.63332100000002</v>
      </c>
    </row>
    <row r="2856" spans="2:4" x14ac:dyDescent="0.2">
      <c r="B2856" s="876">
        <v>3313</v>
      </c>
      <c r="C2856" s="876" t="s">
        <v>3772</v>
      </c>
      <c r="D2856" s="851">
        <v>606.31667100000004</v>
      </c>
    </row>
    <row r="2857" spans="2:4" x14ac:dyDescent="0.2">
      <c r="B2857" s="876">
        <v>3314</v>
      </c>
      <c r="C2857" s="876" t="s">
        <v>1965</v>
      </c>
      <c r="D2857" s="851">
        <v>585.84286899999995</v>
      </c>
    </row>
    <row r="2858" spans="2:4" x14ac:dyDescent="0.2">
      <c r="B2858" s="876">
        <v>3315</v>
      </c>
      <c r="C2858" s="876" t="s">
        <v>3773</v>
      </c>
      <c r="D2858" s="851">
        <v>594.53333899999996</v>
      </c>
    </row>
    <row r="2859" spans="2:4" x14ac:dyDescent="0.2">
      <c r="B2859" s="876">
        <v>3316</v>
      </c>
      <c r="C2859" s="876" t="s">
        <v>1784</v>
      </c>
      <c r="D2859" s="851">
        <v>575.53636600000004</v>
      </c>
    </row>
    <row r="2860" spans="2:4" x14ac:dyDescent="0.2">
      <c r="B2860" s="876">
        <v>3317</v>
      </c>
      <c r="C2860" s="876" t="s">
        <v>3774</v>
      </c>
      <c r="D2860" s="851">
        <v>566.04666299999997</v>
      </c>
    </row>
    <row r="2861" spans="2:4" x14ac:dyDescent="0.2">
      <c r="B2861" s="876">
        <v>3318</v>
      </c>
      <c r="C2861" s="876" t="s">
        <v>3775</v>
      </c>
      <c r="D2861" s="851">
        <v>599.40002400000003</v>
      </c>
    </row>
    <row r="2862" spans="2:4" x14ac:dyDescent="0.2">
      <c r="B2862" s="876">
        <v>3319</v>
      </c>
      <c r="C2862" s="876" t="s">
        <v>3776</v>
      </c>
      <c r="D2862" s="851">
        <v>578.72221500000001</v>
      </c>
    </row>
    <row r="2863" spans="2:4" x14ac:dyDescent="0.2">
      <c r="B2863" s="876">
        <v>3320</v>
      </c>
      <c r="C2863" s="876" t="s">
        <v>3777</v>
      </c>
      <c r="D2863" s="851">
        <v>568.93332899999996</v>
      </c>
    </row>
    <row r="2864" spans="2:4" x14ac:dyDescent="0.2">
      <c r="B2864" s="876">
        <v>3321</v>
      </c>
      <c r="C2864" s="876" t="s">
        <v>3778</v>
      </c>
      <c r="D2864" s="851">
        <v>569.85554999999999</v>
      </c>
    </row>
    <row r="2865" spans="2:4" x14ac:dyDescent="0.2">
      <c r="B2865" s="876">
        <v>3322</v>
      </c>
      <c r="C2865" s="876" t="s">
        <v>3779</v>
      </c>
      <c r="D2865" s="851">
        <v>577.68572099999994</v>
      </c>
    </row>
    <row r="2866" spans="2:4" x14ac:dyDescent="0.2">
      <c r="B2866" s="876">
        <v>3323</v>
      </c>
      <c r="C2866" s="876" t="s">
        <v>3780</v>
      </c>
      <c r="D2866" s="851">
        <v>579.64285700000005</v>
      </c>
    </row>
    <row r="2867" spans="2:4" x14ac:dyDescent="0.2">
      <c r="B2867" s="876">
        <v>3324</v>
      </c>
      <c r="C2867" s="876" t="s">
        <v>3781</v>
      </c>
      <c r="D2867" s="851">
        <v>577.12857499999996</v>
      </c>
    </row>
    <row r="2868" spans="2:4" x14ac:dyDescent="0.2">
      <c r="B2868" s="876">
        <v>3325</v>
      </c>
      <c r="C2868" s="876" t="s">
        <v>3782</v>
      </c>
      <c r="D2868" s="851">
        <v>561.41818499999999</v>
      </c>
    </row>
    <row r="2869" spans="2:4" x14ac:dyDescent="0.2">
      <c r="B2869" s="876">
        <v>3326</v>
      </c>
      <c r="C2869" s="876" t="s">
        <v>3783</v>
      </c>
      <c r="D2869" s="851">
        <v>565.84546499999999</v>
      </c>
    </row>
    <row r="2870" spans="2:4" x14ac:dyDescent="0.2">
      <c r="B2870" s="876">
        <v>3327</v>
      </c>
      <c r="C2870" s="876" t="s">
        <v>3784</v>
      </c>
      <c r="D2870" s="851">
        <v>577.17999299999997</v>
      </c>
    </row>
    <row r="2871" spans="2:4" x14ac:dyDescent="0.2">
      <c r="B2871" s="876">
        <v>3328</v>
      </c>
      <c r="C2871" s="876" t="s">
        <v>2516</v>
      </c>
      <c r="D2871" s="851">
        <v>574.14285700000005</v>
      </c>
    </row>
    <row r="2872" spans="2:4" x14ac:dyDescent="0.2">
      <c r="B2872" s="876">
        <v>3329</v>
      </c>
      <c r="C2872" s="876" t="s">
        <v>3785</v>
      </c>
      <c r="D2872" s="851">
        <v>584.72500100000002</v>
      </c>
    </row>
    <row r="2873" spans="2:4" x14ac:dyDescent="0.2">
      <c r="B2873" s="876">
        <v>3330</v>
      </c>
      <c r="C2873" s="876" t="s">
        <v>3786</v>
      </c>
      <c r="D2873" s="851">
        <v>608.73333700000001</v>
      </c>
    </row>
    <row r="2874" spans="2:4" x14ac:dyDescent="0.2">
      <c r="B2874" s="876">
        <v>3331</v>
      </c>
      <c r="C2874" s="876" t="s">
        <v>3787</v>
      </c>
      <c r="D2874" s="851">
        <v>605.93636300000003</v>
      </c>
    </row>
    <row r="2875" spans="2:4" x14ac:dyDescent="0.2">
      <c r="B2875" s="876">
        <v>3332</v>
      </c>
      <c r="C2875" s="876" t="s">
        <v>3788</v>
      </c>
      <c r="D2875" s="851">
        <v>588.09090900000001</v>
      </c>
    </row>
    <row r="2876" spans="2:4" x14ac:dyDescent="0.2">
      <c r="B2876" s="876">
        <v>3333</v>
      </c>
      <c r="C2876" s="876" t="s">
        <v>3789</v>
      </c>
      <c r="D2876" s="851">
        <v>613.54999999999995</v>
      </c>
    </row>
    <row r="2877" spans="2:4" x14ac:dyDescent="0.2">
      <c r="B2877" s="876">
        <v>3334</v>
      </c>
      <c r="C2877" s="876" t="s">
        <v>3790</v>
      </c>
      <c r="D2877" s="851">
        <v>583.82500500000003</v>
      </c>
    </row>
    <row r="2878" spans="2:4" x14ac:dyDescent="0.2">
      <c r="B2878" s="876">
        <v>3335</v>
      </c>
      <c r="C2878" s="876" t="s">
        <v>360</v>
      </c>
      <c r="D2878" s="851">
        <v>571.55453799999998</v>
      </c>
    </row>
    <row r="2879" spans="2:4" x14ac:dyDescent="0.2">
      <c r="B2879" s="876">
        <v>3336</v>
      </c>
      <c r="C2879" s="876" t="s">
        <v>3791</v>
      </c>
      <c r="D2879" s="851">
        <v>595.23750299999995</v>
      </c>
    </row>
    <row r="2880" spans="2:4" x14ac:dyDescent="0.2">
      <c r="B2880" s="876">
        <v>3337</v>
      </c>
      <c r="C2880" s="876" t="s">
        <v>3792</v>
      </c>
      <c r="D2880" s="851">
        <v>575.18332899999996</v>
      </c>
    </row>
    <row r="2881" spans="2:4" x14ac:dyDescent="0.2">
      <c r="B2881" s="876">
        <v>3338</v>
      </c>
      <c r="C2881" s="876" t="s">
        <v>3793</v>
      </c>
      <c r="D2881" s="851">
        <v>577.59997599999997</v>
      </c>
    </row>
    <row r="2882" spans="2:4" x14ac:dyDescent="0.2">
      <c r="B2882" s="876">
        <v>3339</v>
      </c>
      <c r="C2882" s="876" t="s">
        <v>3794</v>
      </c>
      <c r="D2882" s="851">
        <v>582.33749399999999</v>
      </c>
    </row>
    <row r="2883" spans="2:4" x14ac:dyDescent="0.2">
      <c r="B2883" s="876">
        <v>3340</v>
      </c>
      <c r="C2883" s="876" t="s">
        <v>3795</v>
      </c>
      <c r="D2883" s="851">
        <v>577.09999400000004</v>
      </c>
    </row>
    <row r="2884" spans="2:4" x14ac:dyDescent="0.2">
      <c r="B2884" s="876">
        <v>3341</v>
      </c>
      <c r="C2884" s="876" t="s">
        <v>3796</v>
      </c>
      <c r="D2884" s="851">
        <v>575.32501200000002</v>
      </c>
    </row>
    <row r="2885" spans="2:4" x14ac:dyDescent="0.2">
      <c r="B2885" s="876">
        <v>3342</v>
      </c>
      <c r="C2885" s="876" t="s">
        <v>2706</v>
      </c>
      <c r="D2885" s="851">
        <v>571.92500299999995</v>
      </c>
    </row>
    <row r="2886" spans="2:4" x14ac:dyDescent="0.2">
      <c r="B2886" s="876">
        <v>3343</v>
      </c>
      <c r="C2886" s="876" t="s">
        <v>3797</v>
      </c>
      <c r="D2886" s="851">
        <v>599.25</v>
      </c>
    </row>
    <row r="2887" spans="2:4" x14ac:dyDescent="0.2">
      <c r="B2887" s="876">
        <v>3344</v>
      </c>
      <c r="C2887" s="876" t="s">
        <v>3798</v>
      </c>
      <c r="D2887" s="851">
        <v>571.72858499999995</v>
      </c>
    </row>
    <row r="2888" spans="2:4" x14ac:dyDescent="0.2">
      <c r="B2888" s="876">
        <v>3345</v>
      </c>
      <c r="C2888" s="876" t="s">
        <v>3799</v>
      </c>
      <c r="D2888" s="851">
        <v>592.616669</v>
      </c>
    </row>
    <row r="2889" spans="2:4" x14ac:dyDescent="0.2">
      <c r="B2889" s="876">
        <v>3346</v>
      </c>
      <c r="C2889" s="876" t="s">
        <v>3800</v>
      </c>
      <c r="D2889" s="851">
        <v>577.48181199999999</v>
      </c>
    </row>
    <row r="2890" spans="2:4" x14ac:dyDescent="0.2">
      <c r="B2890" s="876">
        <v>3347</v>
      </c>
      <c r="C2890" s="876" t="s">
        <v>3801</v>
      </c>
      <c r="D2890" s="851">
        <v>580.93124799999998</v>
      </c>
    </row>
    <row r="2891" spans="2:4" x14ac:dyDescent="0.2">
      <c r="B2891" s="876">
        <v>3348</v>
      </c>
      <c r="C2891" s="876" t="s">
        <v>1444</v>
      </c>
      <c r="D2891" s="851">
        <v>592.72351800000001</v>
      </c>
    </row>
    <row r="2892" spans="2:4" x14ac:dyDescent="0.2">
      <c r="B2892" s="876">
        <v>3349</v>
      </c>
      <c r="C2892" s="876" t="s">
        <v>3802</v>
      </c>
      <c r="D2892" s="851">
        <v>586</v>
      </c>
    </row>
    <row r="2893" spans="2:4" x14ac:dyDescent="0.2">
      <c r="B2893" s="876">
        <v>3350</v>
      </c>
      <c r="C2893" s="876" t="s">
        <v>3803</v>
      </c>
      <c r="D2893" s="851">
        <v>592.08571099999995</v>
      </c>
    </row>
    <row r="2894" spans="2:4" x14ac:dyDescent="0.2">
      <c r="B2894" s="876">
        <v>3351</v>
      </c>
      <c r="C2894" s="876" t="s">
        <v>3804</v>
      </c>
      <c r="D2894" s="851">
        <v>552.21334200000001</v>
      </c>
    </row>
    <row r="2895" spans="2:4" x14ac:dyDescent="0.2">
      <c r="B2895" s="876">
        <v>3352</v>
      </c>
      <c r="C2895" s="876" t="s">
        <v>3805</v>
      </c>
      <c r="D2895" s="851">
        <v>574.09167500000001</v>
      </c>
    </row>
    <row r="2896" spans="2:4" x14ac:dyDescent="0.2">
      <c r="B2896" s="876">
        <v>3353</v>
      </c>
      <c r="C2896" s="876" t="s">
        <v>3806</v>
      </c>
      <c r="D2896" s="851">
        <v>573.25453900000002</v>
      </c>
    </row>
    <row r="2897" spans="2:4" x14ac:dyDescent="0.2">
      <c r="B2897" s="876">
        <v>3354</v>
      </c>
      <c r="C2897" s="876" t="s">
        <v>3807</v>
      </c>
      <c r="D2897" s="851">
        <v>555.22220900000002</v>
      </c>
    </row>
    <row r="2898" spans="2:4" x14ac:dyDescent="0.2">
      <c r="B2898" s="876">
        <v>3355</v>
      </c>
      <c r="C2898" s="876" t="s">
        <v>3808</v>
      </c>
      <c r="D2898" s="851">
        <v>577.07000100000005</v>
      </c>
    </row>
    <row r="2899" spans="2:4" x14ac:dyDescent="0.2">
      <c r="B2899" s="876">
        <v>3356</v>
      </c>
      <c r="C2899" s="876" t="s">
        <v>3809</v>
      </c>
      <c r="D2899" s="851">
        <v>562.276926</v>
      </c>
    </row>
    <row r="2900" spans="2:4" ht="15" x14ac:dyDescent="0.2">
      <c r="B2900" s="888">
        <v>3357</v>
      </c>
      <c r="C2900" s="876" t="s">
        <v>3810</v>
      </c>
      <c r="D2900" s="889">
        <v>542.77499399999999</v>
      </c>
    </row>
    <row r="2901" spans="2:4" x14ac:dyDescent="0.2">
      <c r="B2901" s="876">
        <v>3358</v>
      </c>
      <c r="C2901" s="876" t="s">
        <v>3811</v>
      </c>
      <c r="D2901" s="851">
        <v>570.08571099999995</v>
      </c>
    </row>
    <row r="2902" spans="2:4" x14ac:dyDescent="0.2">
      <c r="B2902" s="876">
        <v>3359</v>
      </c>
      <c r="C2902" s="876" t="s">
        <v>3812</v>
      </c>
      <c r="D2902" s="851">
        <v>578.44285400000001</v>
      </c>
    </row>
    <row r="2903" spans="2:4" ht="15" x14ac:dyDescent="0.2">
      <c r="B2903" s="876">
        <v>3360</v>
      </c>
      <c r="C2903" s="888" t="s">
        <v>3813</v>
      </c>
      <c r="D2903" s="851">
        <v>579.71538799999996</v>
      </c>
    </row>
    <row r="2904" spans="2:4" x14ac:dyDescent="0.2">
      <c r="B2904" s="876">
        <v>3361</v>
      </c>
      <c r="C2904" s="876" t="s">
        <v>3814</v>
      </c>
      <c r="D2904" s="851">
        <v>620.18572099999994</v>
      </c>
    </row>
    <row r="2905" spans="2:4" x14ac:dyDescent="0.2">
      <c r="B2905" s="876">
        <v>3362</v>
      </c>
      <c r="C2905" s="876" t="s">
        <v>3815</v>
      </c>
      <c r="D2905" s="851">
        <v>591.86666400000001</v>
      </c>
    </row>
    <row r="2906" spans="2:4" x14ac:dyDescent="0.2">
      <c r="B2906" s="876">
        <v>3363</v>
      </c>
      <c r="C2906" s="876" t="s">
        <v>3816</v>
      </c>
      <c r="D2906" s="851">
        <v>606.214294</v>
      </c>
    </row>
    <row r="2907" spans="2:4" x14ac:dyDescent="0.2">
      <c r="B2907" s="876">
        <v>3401</v>
      </c>
      <c r="C2907" s="876" t="s">
        <v>3817</v>
      </c>
      <c r="D2907" s="851">
        <v>592.33333300000004</v>
      </c>
    </row>
    <row r="2908" spans="2:4" x14ac:dyDescent="0.2">
      <c r="B2908" s="876">
        <v>3402</v>
      </c>
      <c r="C2908" s="876" t="s">
        <v>3818</v>
      </c>
      <c r="D2908" s="851">
        <v>769.69091200000003</v>
      </c>
    </row>
    <row r="2909" spans="2:4" x14ac:dyDescent="0.2">
      <c r="B2909" s="876">
        <v>3403</v>
      </c>
      <c r="C2909" s="876" t="s">
        <v>3819</v>
      </c>
      <c r="D2909" s="851">
        <v>763</v>
      </c>
    </row>
    <row r="2910" spans="2:4" x14ac:dyDescent="0.2">
      <c r="B2910" s="876">
        <v>3404</v>
      </c>
      <c r="C2910" s="876" t="s">
        <v>3820</v>
      </c>
      <c r="D2910" s="851">
        <v>657.75</v>
      </c>
    </row>
    <row r="2911" spans="2:4" x14ac:dyDescent="0.2">
      <c r="B2911" s="876">
        <v>3405</v>
      </c>
      <c r="C2911" s="876" t="s">
        <v>3821</v>
      </c>
      <c r="D2911" s="851">
        <v>579.52500899999995</v>
      </c>
    </row>
    <row r="2912" spans="2:4" x14ac:dyDescent="0.2">
      <c r="B2912" s="876">
        <v>3406</v>
      </c>
      <c r="C2912" s="876" t="s">
        <v>2855</v>
      </c>
      <c r="D2912" s="851">
        <v>765.82143299999996</v>
      </c>
    </row>
    <row r="2913" spans="2:4" x14ac:dyDescent="0.2">
      <c r="B2913" s="876">
        <v>3407</v>
      </c>
      <c r="C2913" s="876" t="s">
        <v>1784</v>
      </c>
      <c r="D2913" s="851">
        <v>567.69999199999995</v>
      </c>
    </row>
    <row r="2914" spans="2:4" x14ac:dyDescent="0.2">
      <c r="B2914" s="876">
        <v>3408</v>
      </c>
      <c r="C2914" s="876" t="s">
        <v>3822</v>
      </c>
      <c r="D2914" s="851">
        <v>744.46000400000003</v>
      </c>
    </row>
    <row r="2915" spans="2:4" x14ac:dyDescent="0.2">
      <c r="B2915" s="876">
        <v>3409</v>
      </c>
      <c r="C2915" s="876" t="s">
        <v>3823</v>
      </c>
      <c r="D2915" s="851">
        <v>851.82499700000005</v>
      </c>
    </row>
    <row r="2916" spans="2:4" x14ac:dyDescent="0.2">
      <c r="B2916" s="876">
        <v>3410</v>
      </c>
      <c r="C2916" s="876" t="s">
        <v>3824</v>
      </c>
      <c r="D2916" s="851">
        <v>765.65999799999997</v>
      </c>
    </row>
    <row r="2917" spans="2:4" x14ac:dyDescent="0.2">
      <c r="B2917" s="876">
        <v>3411</v>
      </c>
      <c r="C2917" s="876" t="s">
        <v>3825</v>
      </c>
      <c r="D2917" s="851">
        <v>580.84444199999996</v>
      </c>
    </row>
    <row r="2918" spans="2:4" x14ac:dyDescent="0.2">
      <c r="B2918" s="876">
        <v>3412</v>
      </c>
      <c r="C2918" s="876" t="s">
        <v>3826</v>
      </c>
      <c r="D2918" s="851">
        <v>606.771432</v>
      </c>
    </row>
    <row r="2919" spans="2:4" x14ac:dyDescent="0.2">
      <c r="B2919" s="876">
        <v>3413</v>
      </c>
      <c r="C2919" s="876" t="s">
        <v>3827</v>
      </c>
      <c r="D2919" s="851">
        <v>839.78333499999997</v>
      </c>
    </row>
    <row r="2920" spans="2:4" x14ac:dyDescent="0.2">
      <c r="B2920" s="876">
        <v>3414</v>
      </c>
      <c r="C2920" s="876" t="s">
        <v>3828</v>
      </c>
      <c r="D2920" s="851">
        <v>849.90002400000003</v>
      </c>
    </row>
    <row r="2921" spans="2:4" x14ac:dyDescent="0.2">
      <c r="B2921" s="876">
        <v>3415</v>
      </c>
      <c r="C2921" s="876" t="s">
        <v>3829</v>
      </c>
      <c r="D2921" s="851">
        <v>632.90000899999995</v>
      </c>
    </row>
    <row r="2922" spans="2:4" x14ac:dyDescent="0.2">
      <c r="B2922" s="876">
        <v>3416</v>
      </c>
      <c r="C2922" s="876" t="s">
        <v>3830</v>
      </c>
      <c r="D2922" s="851">
        <v>780.83334400000001</v>
      </c>
    </row>
    <row r="2923" spans="2:4" x14ac:dyDescent="0.2">
      <c r="B2923" s="876">
        <v>3417</v>
      </c>
      <c r="C2923" s="876" t="s">
        <v>3831</v>
      </c>
      <c r="D2923" s="851">
        <v>675.95714499999997</v>
      </c>
    </row>
    <row r="2924" spans="2:4" x14ac:dyDescent="0.2">
      <c r="B2924" s="876">
        <v>3418</v>
      </c>
      <c r="C2924" s="876" t="s">
        <v>3832</v>
      </c>
      <c r="D2924" s="851">
        <v>705.03214400000002</v>
      </c>
    </row>
    <row r="2925" spans="2:4" x14ac:dyDescent="0.2">
      <c r="B2925" s="876">
        <v>3419</v>
      </c>
      <c r="C2925" s="876" t="s">
        <v>3833</v>
      </c>
      <c r="D2925" s="851">
        <v>604.09997599999997</v>
      </c>
    </row>
    <row r="2926" spans="2:4" x14ac:dyDescent="0.2">
      <c r="B2926" s="876">
        <v>3420</v>
      </c>
      <c r="C2926" s="876" t="s">
        <v>3834</v>
      </c>
      <c r="D2926" s="851">
        <v>612.59997599999997</v>
      </c>
    </row>
    <row r="2927" spans="2:4" x14ac:dyDescent="0.2">
      <c r="B2927" s="876">
        <v>3421</v>
      </c>
      <c r="C2927" s="876" t="s">
        <v>3835</v>
      </c>
      <c r="D2927" s="851">
        <v>592.40002400000003</v>
      </c>
    </row>
    <row r="2928" spans="2:4" x14ac:dyDescent="0.2">
      <c r="B2928" s="876">
        <v>3422</v>
      </c>
      <c r="C2928" s="876" t="s">
        <v>3836</v>
      </c>
      <c r="D2928" s="851">
        <v>789.86249499999997</v>
      </c>
    </row>
    <row r="2929" spans="2:4" x14ac:dyDescent="0.2">
      <c r="B2929" s="876">
        <v>3423</v>
      </c>
      <c r="C2929" s="876" t="s">
        <v>3837</v>
      </c>
      <c r="D2929" s="851">
        <v>596.24375499999996</v>
      </c>
    </row>
    <row r="2930" spans="2:4" x14ac:dyDescent="0.2">
      <c r="B2930" s="876">
        <v>3424</v>
      </c>
      <c r="C2930" s="876" t="s">
        <v>3838</v>
      </c>
      <c r="D2930" s="851">
        <v>610.51999499999999</v>
      </c>
    </row>
    <row r="2931" spans="2:4" x14ac:dyDescent="0.2">
      <c r="B2931" s="876">
        <v>3425</v>
      </c>
      <c r="C2931" s="876" t="s">
        <v>3839</v>
      </c>
      <c r="D2931" s="851">
        <v>578.93332899999996</v>
      </c>
    </row>
    <row r="2932" spans="2:4" x14ac:dyDescent="0.2">
      <c r="B2932" s="876">
        <v>3426</v>
      </c>
      <c r="C2932" s="876" t="s">
        <v>3840</v>
      </c>
      <c r="D2932" s="851">
        <v>592.62000699999999</v>
      </c>
    </row>
    <row r="2933" spans="2:4" x14ac:dyDescent="0.2">
      <c r="B2933" s="876">
        <v>3427</v>
      </c>
      <c r="C2933" s="876" t="s">
        <v>3841</v>
      </c>
      <c r="D2933" s="851">
        <v>570.91666699999996</v>
      </c>
    </row>
    <row r="2934" spans="2:4" x14ac:dyDescent="0.2">
      <c r="B2934" s="876">
        <v>3428</v>
      </c>
      <c r="C2934" s="876" t="s">
        <v>3842</v>
      </c>
      <c r="D2934" s="851">
        <v>627.76000999999997</v>
      </c>
    </row>
    <row r="2935" spans="2:4" x14ac:dyDescent="0.2">
      <c r="B2935" s="876">
        <v>3429</v>
      </c>
      <c r="C2935" s="876" t="s">
        <v>2898</v>
      </c>
      <c r="D2935" s="851">
        <v>832.82000700000003</v>
      </c>
    </row>
    <row r="2936" spans="2:4" x14ac:dyDescent="0.2">
      <c r="B2936" s="876">
        <v>3430</v>
      </c>
      <c r="C2936" s="876" t="s">
        <v>3843</v>
      </c>
      <c r="D2936" s="851">
        <v>770.85000600000001</v>
      </c>
    </row>
    <row r="2937" spans="2:4" x14ac:dyDescent="0.2">
      <c r="B2937" s="876">
        <v>3431</v>
      </c>
      <c r="C2937" s="876" t="s">
        <v>3844</v>
      </c>
      <c r="D2937" s="851">
        <v>759.64000199999998</v>
      </c>
    </row>
    <row r="2938" spans="2:4" x14ac:dyDescent="0.2">
      <c r="B2938" s="876">
        <v>3432</v>
      </c>
      <c r="C2938" s="876" t="s">
        <v>2917</v>
      </c>
      <c r="D2938" s="851">
        <v>573.73332700000003</v>
      </c>
    </row>
    <row r="2939" spans="2:4" x14ac:dyDescent="0.2">
      <c r="B2939" s="876">
        <v>3433</v>
      </c>
      <c r="C2939" s="876" t="s">
        <v>2460</v>
      </c>
      <c r="D2939" s="851">
        <v>573.54998799999998</v>
      </c>
    </row>
    <row r="2940" spans="2:4" x14ac:dyDescent="0.2">
      <c r="B2940" s="876">
        <v>3434</v>
      </c>
      <c r="C2940" s="876" t="s">
        <v>3845</v>
      </c>
      <c r="D2940" s="851">
        <v>582</v>
      </c>
    </row>
    <row r="2941" spans="2:4" x14ac:dyDescent="0.2">
      <c r="B2941" s="876">
        <v>3435</v>
      </c>
      <c r="C2941" s="876" t="s">
        <v>3846</v>
      </c>
      <c r="D2941" s="851">
        <v>587.81429600000001</v>
      </c>
    </row>
    <row r="2942" spans="2:4" x14ac:dyDescent="0.2">
      <c r="B2942" s="876">
        <v>3436</v>
      </c>
      <c r="C2942" s="876" t="s">
        <v>3847</v>
      </c>
      <c r="D2942" s="851">
        <v>609.42500299999995</v>
      </c>
    </row>
    <row r="2943" spans="2:4" x14ac:dyDescent="0.2">
      <c r="B2943" s="876">
        <v>3437</v>
      </c>
      <c r="C2943" s="876" t="s">
        <v>3848</v>
      </c>
      <c r="D2943" s="851">
        <v>580.55001800000002</v>
      </c>
    </row>
    <row r="2944" spans="2:4" x14ac:dyDescent="0.2">
      <c r="B2944" s="876">
        <v>3438</v>
      </c>
      <c r="C2944" s="876" t="s">
        <v>3849</v>
      </c>
      <c r="D2944" s="851">
        <v>608.97502099999997</v>
      </c>
    </row>
    <row r="2945" spans="2:4" x14ac:dyDescent="0.2">
      <c r="B2945" s="876">
        <v>3439</v>
      </c>
      <c r="C2945" s="876" t="s">
        <v>3850</v>
      </c>
      <c r="D2945" s="851">
        <v>579.75</v>
      </c>
    </row>
    <row r="2946" spans="2:4" x14ac:dyDescent="0.2">
      <c r="B2946" s="876">
        <v>3440</v>
      </c>
      <c r="C2946" s="876" t="s">
        <v>3851</v>
      </c>
      <c r="D2946" s="851">
        <v>636.75</v>
      </c>
    </row>
    <row r="2947" spans="2:4" x14ac:dyDescent="0.2">
      <c r="B2947" s="876">
        <v>3441</v>
      </c>
      <c r="C2947" s="876" t="s">
        <v>3852</v>
      </c>
      <c r="D2947" s="851">
        <v>639.759998</v>
      </c>
    </row>
    <row r="2948" spans="2:4" x14ac:dyDescent="0.2">
      <c r="B2948" s="876">
        <v>3442</v>
      </c>
      <c r="C2948" s="876" t="s">
        <v>3853</v>
      </c>
      <c r="D2948" s="851">
        <v>782.84444199999996</v>
      </c>
    </row>
    <row r="2949" spans="2:4" x14ac:dyDescent="0.2">
      <c r="B2949" s="876">
        <v>3443</v>
      </c>
      <c r="C2949" s="876" t="s">
        <v>3854</v>
      </c>
      <c r="D2949" s="851">
        <v>720.55713800000001</v>
      </c>
    </row>
    <row r="2950" spans="2:4" x14ac:dyDescent="0.2">
      <c r="B2950" s="876">
        <v>3444</v>
      </c>
      <c r="C2950" s="876" t="s">
        <v>3855</v>
      </c>
      <c r="D2950" s="851">
        <v>617.29998799999998</v>
      </c>
    </row>
    <row r="2951" spans="2:4" x14ac:dyDescent="0.2">
      <c r="B2951" s="876">
        <v>3445</v>
      </c>
      <c r="C2951" s="876" t="s">
        <v>3856</v>
      </c>
      <c r="D2951" s="851">
        <v>628.85714299999995</v>
      </c>
    </row>
    <row r="2952" spans="2:4" x14ac:dyDescent="0.2">
      <c r="B2952" s="876">
        <v>3446</v>
      </c>
      <c r="C2952" s="876" t="s">
        <v>3667</v>
      </c>
      <c r="D2952" s="851">
        <v>743.76666299999999</v>
      </c>
    </row>
    <row r="2953" spans="2:4" x14ac:dyDescent="0.2">
      <c r="B2953" s="876">
        <v>3447</v>
      </c>
      <c r="C2953" s="876" t="s">
        <v>3857</v>
      </c>
      <c r="D2953" s="851">
        <v>604.45001200000002</v>
      </c>
    </row>
    <row r="2954" spans="2:4" x14ac:dyDescent="0.2">
      <c r="B2954" s="876">
        <v>3448</v>
      </c>
      <c r="C2954" s="876" t="s">
        <v>3858</v>
      </c>
      <c r="D2954" s="851">
        <v>599.64999399999999</v>
      </c>
    </row>
    <row r="2955" spans="2:4" x14ac:dyDescent="0.2">
      <c r="B2955" s="876">
        <v>3449</v>
      </c>
      <c r="C2955" s="876" t="s">
        <v>3859</v>
      </c>
      <c r="D2955" s="851">
        <v>588.59997599999997</v>
      </c>
    </row>
    <row r="2956" spans="2:4" x14ac:dyDescent="0.2">
      <c r="B2956" s="876">
        <v>3450</v>
      </c>
      <c r="C2956" s="876" t="s">
        <v>3860</v>
      </c>
      <c r="D2956" s="851">
        <v>590</v>
      </c>
    </row>
    <row r="2957" spans="2:4" x14ac:dyDescent="0.2">
      <c r="B2957" s="876">
        <v>3451</v>
      </c>
      <c r="C2957" s="876" t="s">
        <v>3861</v>
      </c>
      <c r="D2957" s="851">
        <v>754.33331299999998</v>
      </c>
    </row>
    <row r="2958" spans="2:4" x14ac:dyDescent="0.2">
      <c r="B2958" s="876">
        <v>3452</v>
      </c>
      <c r="C2958" s="876" t="s">
        <v>3862</v>
      </c>
      <c r="D2958" s="851">
        <v>787</v>
      </c>
    </row>
    <row r="2959" spans="2:4" x14ac:dyDescent="0.2">
      <c r="B2959" s="876">
        <v>3453</v>
      </c>
      <c r="C2959" s="876" t="s">
        <v>3863</v>
      </c>
      <c r="D2959" s="851">
        <v>767.49998000000005</v>
      </c>
    </row>
    <row r="2960" spans="2:4" x14ac:dyDescent="0.2">
      <c r="B2960" s="876">
        <v>3454</v>
      </c>
      <c r="C2960" s="876" t="s">
        <v>3864</v>
      </c>
      <c r="D2960" s="851">
        <v>596.90002400000003</v>
      </c>
    </row>
    <row r="2961" spans="2:4" x14ac:dyDescent="0.2">
      <c r="B2961" s="876">
        <v>3455</v>
      </c>
      <c r="C2961" s="876" t="s">
        <v>3865</v>
      </c>
      <c r="D2961" s="851">
        <v>849.96666500000003</v>
      </c>
    </row>
    <row r="2962" spans="2:4" x14ac:dyDescent="0.2">
      <c r="B2962" s="876">
        <v>3456</v>
      </c>
      <c r="C2962" s="876" t="s">
        <v>3866</v>
      </c>
      <c r="D2962" s="851">
        <v>766.83334400000001</v>
      </c>
    </row>
    <row r="2963" spans="2:4" x14ac:dyDescent="0.2">
      <c r="B2963" s="876">
        <v>3457</v>
      </c>
      <c r="C2963" s="876" t="s">
        <v>3867</v>
      </c>
      <c r="D2963" s="851">
        <v>581.43335000000002</v>
      </c>
    </row>
    <row r="2964" spans="2:4" x14ac:dyDescent="0.2">
      <c r="B2964" s="876">
        <v>3458</v>
      </c>
      <c r="C2964" s="876" t="s">
        <v>3868</v>
      </c>
      <c r="D2964" s="851">
        <v>613.69998199999998</v>
      </c>
    </row>
    <row r="2965" spans="2:4" x14ac:dyDescent="0.2">
      <c r="B2965" s="876">
        <v>3459</v>
      </c>
      <c r="C2965" s="876" t="s">
        <v>1675</v>
      </c>
      <c r="D2965" s="851">
        <v>814.04285500000003</v>
      </c>
    </row>
    <row r="2966" spans="2:4" x14ac:dyDescent="0.2">
      <c r="B2966" s="876">
        <v>3460</v>
      </c>
      <c r="C2966" s="876" t="s">
        <v>3869</v>
      </c>
      <c r="D2966" s="851">
        <v>774.53332499999999</v>
      </c>
    </row>
    <row r="2967" spans="2:4" x14ac:dyDescent="0.2">
      <c r="B2967" s="876">
        <v>3461</v>
      </c>
      <c r="C2967" s="876" t="s">
        <v>3870</v>
      </c>
      <c r="D2967" s="851">
        <v>574.86667899999998</v>
      </c>
    </row>
    <row r="2968" spans="2:4" x14ac:dyDescent="0.2">
      <c r="B2968" s="876">
        <v>3462</v>
      </c>
      <c r="C2968" s="876" t="s">
        <v>3871</v>
      </c>
      <c r="D2968" s="851">
        <v>582.80001800000002</v>
      </c>
    </row>
    <row r="2969" spans="2:4" x14ac:dyDescent="0.2">
      <c r="B2969" s="876">
        <v>3463</v>
      </c>
      <c r="C2969" s="876" t="s">
        <v>3872</v>
      </c>
      <c r="D2969" s="851">
        <v>583.29998799999998</v>
      </c>
    </row>
    <row r="2970" spans="2:4" x14ac:dyDescent="0.2">
      <c r="B2970" s="876">
        <v>3464</v>
      </c>
      <c r="C2970" s="876" t="s">
        <v>3873</v>
      </c>
      <c r="D2970" s="851">
        <v>624.26666299999999</v>
      </c>
    </row>
    <row r="2971" spans="2:4" x14ac:dyDescent="0.2">
      <c r="B2971" s="876">
        <v>3465</v>
      </c>
      <c r="C2971" s="876" t="s">
        <v>3874</v>
      </c>
      <c r="D2971" s="851">
        <v>668.5</v>
      </c>
    </row>
    <row r="2972" spans="2:4" x14ac:dyDescent="0.2">
      <c r="B2972" s="876">
        <v>3466</v>
      </c>
      <c r="C2972" s="876" t="s">
        <v>3419</v>
      </c>
      <c r="D2972" s="851">
        <v>773.14999399999999</v>
      </c>
    </row>
    <row r="2973" spans="2:4" x14ac:dyDescent="0.2">
      <c r="B2973" s="876">
        <v>3467</v>
      </c>
      <c r="C2973" s="876" t="s">
        <v>3875</v>
      </c>
      <c r="D2973" s="851">
        <v>704.14443600000004</v>
      </c>
    </row>
    <row r="2974" spans="2:4" x14ac:dyDescent="0.2">
      <c r="B2974" s="876">
        <v>3468</v>
      </c>
      <c r="C2974" s="876" t="s">
        <v>3876</v>
      </c>
      <c r="D2974" s="851">
        <v>580</v>
      </c>
    </row>
    <row r="2975" spans="2:4" x14ac:dyDescent="0.2">
      <c r="B2975" s="876">
        <v>3469</v>
      </c>
      <c r="C2975" s="876" t="s">
        <v>3877</v>
      </c>
      <c r="D2975" s="851">
        <v>584.04001500000004</v>
      </c>
    </row>
    <row r="2976" spans="2:4" x14ac:dyDescent="0.2">
      <c r="B2976" s="876">
        <v>3470</v>
      </c>
      <c r="C2976" s="876" t="s">
        <v>3878</v>
      </c>
      <c r="D2976" s="851">
        <v>577.06667100000004</v>
      </c>
    </row>
    <row r="2977" spans="2:4" x14ac:dyDescent="0.2">
      <c r="B2977" s="876">
        <v>3471</v>
      </c>
      <c r="C2977" s="876" t="s">
        <v>3879</v>
      </c>
      <c r="D2977" s="851">
        <v>588.59997599999997</v>
      </c>
    </row>
    <row r="2978" spans="2:4" x14ac:dyDescent="0.2">
      <c r="B2978" s="876">
        <v>3472</v>
      </c>
      <c r="C2978" s="876" t="s">
        <v>3880</v>
      </c>
      <c r="D2978" s="851">
        <v>602.64999399999999</v>
      </c>
    </row>
    <row r="2979" spans="2:4" x14ac:dyDescent="0.2">
      <c r="B2979" s="876">
        <v>3473</v>
      </c>
      <c r="C2979" s="876" t="s">
        <v>3881</v>
      </c>
      <c r="D2979" s="851">
        <v>752.82999900000004</v>
      </c>
    </row>
    <row r="2980" spans="2:4" x14ac:dyDescent="0.2">
      <c r="B2980" s="876">
        <v>3474</v>
      </c>
      <c r="C2980" s="876" t="s">
        <v>3882</v>
      </c>
      <c r="D2980" s="851">
        <v>810.05001800000002</v>
      </c>
    </row>
    <row r="2981" spans="2:4" x14ac:dyDescent="0.2">
      <c r="B2981" s="876">
        <v>3475</v>
      </c>
      <c r="C2981" s="876" t="s">
        <v>2494</v>
      </c>
      <c r="D2981" s="851">
        <v>802.375</v>
      </c>
    </row>
    <row r="2982" spans="2:4" x14ac:dyDescent="0.2">
      <c r="B2982" s="876">
        <v>3476</v>
      </c>
      <c r="C2982" s="876" t="s">
        <v>3883</v>
      </c>
      <c r="D2982" s="851">
        <v>585.15000899999995</v>
      </c>
    </row>
    <row r="2983" spans="2:4" x14ac:dyDescent="0.2">
      <c r="B2983" s="876">
        <v>3477</v>
      </c>
      <c r="C2983" s="876" t="s">
        <v>3717</v>
      </c>
      <c r="D2983" s="851">
        <v>768.39048000000003</v>
      </c>
    </row>
    <row r="2984" spans="2:4" x14ac:dyDescent="0.2">
      <c r="B2984" s="876">
        <v>3478</v>
      </c>
      <c r="C2984" s="876" t="s">
        <v>3884</v>
      </c>
      <c r="D2984" s="851">
        <v>605.79998799999998</v>
      </c>
    </row>
    <row r="2985" spans="2:4" x14ac:dyDescent="0.2">
      <c r="B2985" s="876">
        <v>3479</v>
      </c>
      <c r="C2985" s="876" t="s">
        <v>3885</v>
      </c>
      <c r="D2985" s="851">
        <v>596.70000300000004</v>
      </c>
    </row>
    <row r="2986" spans="2:4" x14ac:dyDescent="0.2">
      <c r="B2986" s="876">
        <v>3480</v>
      </c>
      <c r="C2986" s="876" t="s">
        <v>3886</v>
      </c>
      <c r="D2986" s="851">
        <v>634.11110399999995</v>
      </c>
    </row>
    <row r="2987" spans="2:4" x14ac:dyDescent="0.2">
      <c r="B2987" s="876">
        <v>3481</v>
      </c>
      <c r="C2987" s="876" t="s">
        <v>3887</v>
      </c>
      <c r="D2987" s="851">
        <v>868.40002400000003</v>
      </c>
    </row>
    <row r="2988" spans="2:4" x14ac:dyDescent="0.2">
      <c r="B2988" s="876">
        <v>3482</v>
      </c>
      <c r="C2988" s="876" t="s">
        <v>3888</v>
      </c>
      <c r="D2988" s="851">
        <v>725.87142800000004</v>
      </c>
    </row>
    <row r="2989" spans="2:4" x14ac:dyDescent="0.2">
      <c r="B2989" s="876">
        <v>3483</v>
      </c>
      <c r="C2989" s="876" t="s">
        <v>3889</v>
      </c>
      <c r="D2989" s="851">
        <v>655.02856399999996</v>
      </c>
    </row>
    <row r="2990" spans="2:4" x14ac:dyDescent="0.2">
      <c r="B2990" s="876">
        <v>3484</v>
      </c>
      <c r="C2990" s="876" t="s">
        <v>3890</v>
      </c>
      <c r="D2990" s="851">
        <v>735.01250500000003</v>
      </c>
    </row>
    <row r="2991" spans="2:4" x14ac:dyDescent="0.2">
      <c r="B2991" s="876">
        <v>3485</v>
      </c>
      <c r="C2991" s="876" t="s">
        <v>3891</v>
      </c>
      <c r="D2991" s="851">
        <v>681.79999799999996</v>
      </c>
    </row>
    <row r="2992" spans="2:4" x14ac:dyDescent="0.2">
      <c r="B2992" s="876">
        <v>3486</v>
      </c>
      <c r="C2992" s="876" t="s">
        <v>3892</v>
      </c>
      <c r="D2992" s="851">
        <v>656.84999600000003</v>
      </c>
    </row>
    <row r="2993" spans="2:4" x14ac:dyDescent="0.2">
      <c r="B2993" s="876">
        <v>3501</v>
      </c>
      <c r="C2993" s="876" t="s">
        <v>3893</v>
      </c>
      <c r="D2993" s="851">
        <v>797.58332299999995</v>
      </c>
    </row>
    <row r="2994" spans="2:4" x14ac:dyDescent="0.2">
      <c r="B2994" s="876">
        <v>3502</v>
      </c>
      <c r="C2994" s="876" t="s">
        <v>3894</v>
      </c>
      <c r="D2994" s="851">
        <v>786.44998899999996</v>
      </c>
    </row>
    <row r="2995" spans="2:4" x14ac:dyDescent="0.2">
      <c r="B2995" s="876">
        <v>3503</v>
      </c>
      <c r="C2995" s="876" t="s">
        <v>3895</v>
      </c>
      <c r="D2995" s="851">
        <v>891.57692299999997</v>
      </c>
    </row>
    <row r="2996" spans="2:4" x14ac:dyDescent="0.2">
      <c r="B2996" s="876">
        <v>3504</v>
      </c>
      <c r="C2996" s="876" t="s">
        <v>3896</v>
      </c>
      <c r="D2996" s="851">
        <v>773.98333700000001</v>
      </c>
    </row>
    <row r="2997" spans="2:4" x14ac:dyDescent="0.2">
      <c r="B2997" s="876">
        <v>3505</v>
      </c>
      <c r="C2997" s="876" t="s">
        <v>3897</v>
      </c>
      <c r="D2997" s="851">
        <v>871.31999499999995</v>
      </c>
    </row>
    <row r="2998" spans="2:4" x14ac:dyDescent="0.2">
      <c r="B2998" s="876">
        <v>3506</v>
      </c>
      <c r="C2998" s="876" t="s">
        <v>3898</v>
      </c>
      <c r="D2998" s="851">
        <v>761.95999800000004</v>
      </c>
    </row>
    <row r="2999" spans="2:4" x14ac:dyDescent="0.2">
      <c r="B2999" s="876">
        <v>3507</v>
      </c>
      <c r="C2999" s="876" t="s">
        <v>3899</v>
      </c>
      <c r="D2999" s="851">
        <v>827.20001200000002</v>
      </c>
    </row>
    <row r="3000" spans="2:4" x14ac:dyDescent="0.2">
      <c r="B3000" s="876">
        <v>3508</v>
      </c>
      <c r="C3000" s="876" t="s">
        <v>3446</v>
      </c>
      <c r="D3000" s="851">
        <v>718.57499700000005</v>
      </c>
    </row>
    <row r="3001" spans="2:4" x14ac:dyDescent="0.2">
      <c r="B3001" s="876">
        <v>3509</v>
      </c>
      <c r="C3001" s="876" t="s">
        <v>3900</v>
      </c>
      <c r="D3001" s="851">
        <v>684.66666699999996</v>
      </c>
    </row>
    <row r="3002" spans="2:4" x14ac:dyDescent="0.2">
      <c r="B3002" s="876">
        <v>3510</v>
      </c>
      <c r="C3002" s="876" t="s">
        <v>3901</v>
      </c>
      <c r="D3002" s="851">
        <v>910.64999399999999</v>
      </c>
    </row>
    <row r="3003" spans="2:4" x14ac:dyDescent="0.2">
      <c r="B3003" s="876">
        <v>3511</v>
      </c>
      <c r="C3003" s="876" t="s">
        <v>1523</v>
      </c>
      <c r="D3003" s="851">
        <v>840.65713900000003</v>
      </c>
    </row>
    <row r="3004" spans="2:4" x14ac:dyDescent="0.2">
      <c r="B3004" s="876">
        <v>3512</v>
      </c>
      <c r="C3004" s="876" t="s">
        <v>3902</v>
      </c>
      <c r="D3004" s="851">
        <v>703.5</v>
      </c>
    </row>
    <row r="3005" spans="2:4" x14ac:dyDescent="0.2">
      <c r="B3005" s="876">
        <v>3513</v>
      </c>
      <c r="C3005" s="876" t="s">
        <v>3903</v>
      </c>
      <c r="D3005" s="851">
        <v>736.42498799999998</v>
      </c>
    </row>
    <row r="3006" spans="2:4" x14ac:dyDescent="0.2">
      <c r="B3006" s="876">
        <v>3514</v>
      </c>
      <c r="C3006" s="876" t="s">
        <v>3904</v>
      </c>
      <c r="D3006" s="851">
        <v>870.67500299999995</v>
      </c>
    </row>
    <row r="3007" spans="2:4" x14ac:dyDescent="0.2">
      <c r="B3007" s="876">
        <v>3515</v>
      </c>
      <c r="C3007" s="876" t="s">
        <v>3905</v>
      </c>
      <c r="D3007" s="851">
        <v>826.385716</v>
      </c>
    </row>
    <row r="3008" spans="2:4" x14ac:dyDescent="0.2">
      <c r="B3008" s="876">
        <v>3516</v>
      </c>
      <c r="C3008" s="876" t="s">
        <v>3906</v>
      </c>
      <c r="D3008" s="851">
        <v>804.53333499999997</v>
      </c>
    </row>
    <row r="3009" spans="2:4" x14ac:dyDescent="0.2">
      <c r="B3009" s="876">
        <v>3517</v>
      </c>
      <c r="C3009" s="876" t="s">
        <v>3907</v>
      </c>
      <c r="D3009" s="851">
        <v>904.50000799999998</v>
      </c>
    </row>
    <row r="3010" spans="2:4" x14ac:dyDescent="0.2">
      <c r="B3010" s="876">
        <v>3518</v>
      </c>
      <c r="C3010" s="876" t="s">
        <v>1965</v>
      </c>
      <c r="D3010" s="851">
        <v>830.5</v>
      </c>
    </row>
    <row r="3011" spans="2:4" x14ac:dyDescent="0.2">
      <c r="B3011" s="876">
        <v>3519</v>
      </c>
      <c r="C3011" s="876" t="s">
        <v>3908</v>
      </c>
      <c r="D3011" s="851">
        <v>776.70000100000004</v>
      </c>
    </row>
    <row r="3012" spans="2:4" x14ac:dyDescent="0.2">
      <c r="B3012" s="876">
        <v>3520</v>
      </c>
      <c r="C3012" s="876" t="s">
        <v>3909</v>
      </c>
      <c r="D3012" s="851">
        <v>794.59999100000005</v>
      </c>
    </row>
    <row r="3013" spans="2:4" x14ac:dyDescent="0.2">
      <c r="B3013" s="876">
        <v>3521</v>
      </c>
      <c r="C3013" s="876" t="s">
        <v>3910</v>
      </c>
      <c r="D3013" s="851">
        <v>692.14000199999998</v>
      </c>
    </row>
    <row r="3014" spans="2:4" x14ac:dyDescent="0.2">
      <c r="B3014" s="876">
        <v>3522</v>
      </c>
      <c r="C3014" s="876" t="s">
        <v>3911</v>
      </c>
      <c r="D3014" s="851">
        <v>729.95999800000004</v>
      </c>
    </row>
    <row r="3015" spans="2:4" x14ac:dyDescent="0.2">
      <c r="B3015" s="876">
        <v>3523</v>
      </c>
      <c r="C3015" s="876" t="s">
        <v>3912</v>
      </c>
      <c r="D3015" s="851">
        <v>928.64545799999996</v>
      </c>
    </row>
    <row r="3016" spans="2:4" x14ac:dyDescent="0.2">
      <c r="B3016" s="876">
        <v>3524</v>
      </c>
      <c r="C3016" s="876" t="s">
        <v>3913</v>
      </c>
      <c r="D3016" s="851">
        <v>862.125</v>
      </c>
    </row>
    <row r="3017" spans="2:4" x14ac:dyDescent="0.2">
      <c r="B3017" s="876">
        <v>3525</v>
      </c>
      <c r="C3017" s="876" t="s">
        <v>3914</v>
      </c>
      <c r="D3017" s="851">
        <v>744.79998799999998</v>
      </c>
    </row>
    <row r="3018" spans="2:4" x14ac:dyDescent="0.2">
      <c r="B3018" s="876">
        <v>3526</v>
      </c>
      <c r="C3018" s="876" t="s">
        <v>3915</v>
      </c>
      <c r="D3018" s="851">
        <v>703.94000200000005</v>
      </c>
    </row>
    <row r="3019" spans="2:4" x14ac:dyDescent="0.2">
      <c r="B3019" s="876">
        <v>3527</v>
      </c>
      <c r="C3019" s="876" t="s">
        <v>3916</v>
      </c>
      <c r="D3019" s="851">
        <v>907.14999399999999</v>
      </c>
    </row>
    <row r="3020" spans="2:4" x14ac:dyDescent="0.2">
      <c r="B3020" s="876">
        <v>3528</v>
      </c>
      <c r="C3020" s="876" t="s">
        <v>3917</v>
      </c>
      <c r="D3020" s="851">
        <v>822.86665900000003</v>
      </c>
    </row>
    <row r="3021" spans="2:4" x14ac:dyDescent="0.2">
      <c r="B3021" s="876">
        <v>3529</v>
      </c>
      <c r="C3021" s="876" t="s">
        <v>3918</v>
      </c>
      <c r="D3021" s="851">
        <v>811.63076999999998</v>
      </c>
    </row>
    <row r="3022" spans="2:4" x14ac:dyDescent="0.2">
      <c r="B3022" s="876">
        <v>3530</v>
      </c>
      <c r="C3022" s="876" t="s">
        <v>3919</v>
      </c>
      <c r="D3022" s="851">
        <v>880.17000099999996</v>
      </c>
    </row>
    <row r="3023" spans="2:4" x14ac:dyDescent="0.2">
      <c r="B3023" s="876">
        <v>3531</v>
      </c>
      <c r="C3023" s="876" t="s">
        <v>3920</v>
      </c>
      <c r="D3023" s="851">
        <v>734.16666699999996</v>
      </c>
    </row>
    <row r="3024" spans="2:4" x14ac:dyDescent="0.2">
      <c r="B3024" s="876">
        <v>3532</v>
      </c>
      <c r="C3024" s="876" t="s">
        <v>3921</v>
      </c>
      <c r="D3024" s="851">
        <v>779.45999800000004</v>
      </c>
    </row>
    <row r="3025" spans="2:4" x14ac:dyDescent="0.2">
      <c r="B3025" s="876">
        <v>3533</v>
      </c>
      <c r="C3025" s="876" t="s">
        <v>3922</v>
      </c>
      <c r="D3025" s="851">
        <v>739.41427999999996</v>
      </c>
    </row>
    <row r="3026" spans="2:4" x14ac:dyDescent="0.2">
      <c r="B3026" s="876">
        <v>3534</v>
      </c>
      <c r="C3026" s="876" t="s">
        <v>3923</v>
      </c>
      <c r="D3026" s="851">
        <v>756.05712900000003</v>
      </c>
    </row>
    <row r="3027" spans="2:4" x14ac:dyDescent="0.2">
      <c r="B3027" s="876">
        <v>3535</v>
      </c>
      <c r="C3027" s="876" t="s">
        <v>3924</v>
      </c>
      <c r="D3027" s="851">
        <v>746.52500199999997</v>
      </c>
    </row>
    <row r="3028" spans="2:4" x14ac:dyDescent="0.2">
      <c r="B3028" s="876">
        <v>3536</v>
      </c>
      <c r="C3028" s="876" t="s">
        <v>3925</v>
      </c>
      <c r="D3028" s="851">
        <v>740.50001499999996</v>
      </c>
    </row>
    <row r="3029" spans="2:4" x14ac:dyDescent="0.2">
      <c r="B3029" s="876">
        <v>3537</v>
      </c>
      <c r="C3029" s="876" t="s">
        <v>2917</v>
      </c>
      <c r="D3029" s="851">
        <v>800.41427999999996</v>
      </c>
    </row>
    <row r="3030" spans="2:4" x14ac:dyDescent="0.2">
      <c r="B3030" s="876">
        <v>3538</v>
      </c>
      <c r="C3030" s="876" t="s">
        <v>3926</v>
      </c>
      <c r="D3030" s="851">
        <v>797.12499200000002</v>
      </c>
    </row>
    <row r="3031" spans="2:4" x14ac:dyDescent="0.2">
      <c r="B3031" s="876">
        <v>3539</v>
      </c>
      <c r="C3031" s="876" t="s">
        <v>3927</v>
      </c>
      <c r="D3031" s="851">
        <v>916.088888</v>
      </c>
    </row>
    <row r="3032" spans="2:4" x14ac:dyDescent="0.2">
      <c r="B3032" s="876">
        <v>3540</v>
      </c>
      <c r="C3032" s="876" t="s">
        <v>3928</v>
      </c>
      <c r="D3032" s="851">
        <v>834.66154100000006</v>
      </c>
    </row>
    <row r="3033" spans="2:4" x14ac:dyDescent="0.2">
      <c r="B3033" s="876">
        <v>3541</v>
      </c>
      <c r="C3033" s="876" t="s">
        <v>3929</v>
      </c>
      <c r="D3033" s="851">
        <v>859.99998500000004</v>
      </c>
    </row>
    <row r="3034" spans="2:4" x14ac:dyDescent="0.2">
      <c r="B3034" s="876">
        <v>3542</v>
      </c>
      <c r="C3034" s="876" t="s">
        <v>3930</v>
      </c>
      <c r="D3034" s="851">
        <v>828.97000100000002</v>
      </c>
    </row>
    <row r="3035" spans="2:4" x14ac:dyDescent="0.2">
      <c r="B3035" s="876">
        <v>3543</v>
      </c>
      <c r="C3035" s="876" t="s">
        <v>3303</v>
      </c>
      <c r="D3035" s="851">
        <v>832.66666699999996</v>
      </c>
    </row>
    <row r="3036" spans="2:4" x14ac:dyDescent="0.2">
      <c r="B3036" s="876">
        <v>3544</v>
      </c>
      <c r="C3036" s="876" t="s">
        <v>3931</v>
      </c>
      <c r="D3036" s="851">
        <v>851.375</v>
      </c>
    </row>
    <row r="3037" spans="2:4" x14ac:dyDescent="0.2">
      <c r="B3037" s="876">
        <v>3545</v>
      </c>
      <c r="C3037" s="876" t="s">
        <v>3932</v>
      </c>
      <c r="D3037" s="851">
        <v>732.90002400000003</v>
      </c>
    </row>
    <row r="3038" spans="2:4" x14ac:dyDescent="0.2">
      <c r="B3038" s="876">
        <v>3546</v>
      </c>
      <c r="C3038" s="876" t="s">
        <v>3933</v>
      </c>
      <c r="D3038" s="851">
        <v>816.5</v>
      </c>
    </row>
    <row r="3039" spans="2:4" x14ac:dyDescent="0.2">
      <c r="B3039" s="876">
        <v>3547</v>
      </c>
      <c r="C3039" s="876" t="s">
        <v>3934</v>
      </c>
      <c r="D3039" s="851">
        <v>780.82857000000001</v>
      </c>
    </row>
    <row r="3040" spans="2:4" x14ac:dyDescent="0.2">
      <c r="B3040" s="876">
        <v>3548</v>
      </c>
      <c r="C3040" s="876" t="s">
        <v>3935</v>
      </c>
      <c r="D3040" s="851">
        <v>841.92000700000006</v>
      </c>
    </row>
    <row r="3041" spans="2:4" x14ac:dyDescent="0.2">
      <c r="B3041" s="876">
        <v>3549</v>
      </c>
      <c r="C3041" s="876" t="s">
        <v>3936</v>
      </c>
      <c r="D3041" s="851">
        <v>833.29998799999998</v>
      </c>
    </row>
    <row r="3042" spans="2:4" x14ac:dyDescent="0.2">
      <c r="B3042" s="876">
        <v>3550</v>
      </c>
      <c r="C3042" s="876" t="s">
        <v>3937</v>
      </c>
      <c r="D3042" s="851">
        <v>727.83333300000004</v>
      </c>
    </row>
    <row r="3043" spans="2:4" x14ac:dyDescent="0.2">
      <c r="B3043" s="876">
        <v>3551</v>
      </c>
      <c r="C3043" s="876" t="s">
        <v>3938</v>
      </c>
      <c r="D3043" s="851">
        <v>786.73999000000003</v>
      </c>
    </row>
    <row r="3044" spans="2:4" x14ac:dyDescent="0.2">
      <c r="B3044" s="876">
        <v>3552</v>
      </c>
      <c r="C3044" s="876" t="s">
        <v>3858</v>
      </c>
      <c r="D3044" s="851">
        <v>723.35999800000002</v>
      </c>
    </row>
    <row r="3045" spans="2:4" x14ac:dyDescent="0.2">
      <c r="B3045" s="876">
        <v>3553</v>
      </c>
      <c r="C3045" s="876" t="s">
        <v>3939</v>
      </c>
      <c r="D3045" s="851">
        <v>719.96667500000001</v>
      </c>
    </row>
    <row r="3046" spans="2:4" x14ac:dyDescent="0.2">
      <c r="B3046" s="876">
        <v>3554</v>
      </c>
      <c r="C3046" s="876" t="s">
        <v>3940</v>
      </c>
      <c r="D3046" s="851">
        <v>844.66666699999996</v>
      </c>
    </row>
    <row r="3047" spans="2:4" x14ac:dyDescent="0.2">
      <c r="B3047" s="876">
        <v>3555</v>
      </c>
      <c r="C3047" s="876" t="s">
        <v>1639</v>
      </c>
      <c r="D3047" s="851">
        <v>889.26666899999998</v>
      </c>
    </row>
    <row r="3048" spans="2:4" x14ac:dyDescent="0.2">
      <c r="B3048" s="876">
        <v>3556</v>
      </c>
      <c r="C3048" s="876" t="s">
        <v>3941</v>
      </c>
      <c r="D3048" s="851">
        <v>731.09997599999997</v>
      </c>
    </row>
    <row r="3049" spans="2:4" x14ac:dyDescent="0.2">
      <c r="B3049" s="876">
        <v>3557</v>
      </c>
      <c r="C3049" s="876" t="s">
        <v>3942</v>
      </c>
      <c r="D3049" s="851">
        <v>816.48999600000002</v>
      </c>
    </row>
    <row r="3050" spans="2:4" x14ac:dyDescent="0.2">
      <c r="B3050" s="876">
        <v>3558</v>
      </c>
      <c r="C3050" s="876" t="s">
        <v>3943</v>
      </c>
      <c r="D3050" s="851">
        <v>870.9</v>
      </c>
    </row>
    <row r="3051" spans="2:4" x14ac:dyDescent="0.2">
      <c r="B3051" s="876">
        <v>3559</v>
      </c>
      <c r="C3051" s="876" t="s">
        <v>3944</v>
      </c>
      <c r="D3051" s="851">
        <v>720.40000699999996</v>
      </c>
    </row>
    <row r="3052" spans="2:4" x14ac:dyDescent="0.2">
      <c r="B3052" s="876">
        <v>3560</v>
      </c>
      <c r="C3052" s="876" t="s">
        <v>3945</v>
      </c>
      <c r="D3052" s="851">
        <v>801.52666399999998</v>
      </c>
    </row>
    <row r="3053" spans="2:4" x14ac:dyDescent="0.2">
      <c r="B3053" s="876">
        <v>3561</v>
      </c>
      <c r="C3053" s="876" t="s">
        <v>3946</v>
      </c>
      <c r="D3053" s="851">
        <v>802.78332499999999</v>
      </c>
    </row>
    <row r="3054" spans="2:4" x14ac:dyDescent="0.2">
      <c r="B3054" s="876">
        <v>3562</v>
      </c>
      <c r="C3054" s="876" t="s">
        <v>3947</v>
      </c>
      <c r="D3054" s="851">
        <v>866.56667100000004</v>
      </c>
    </row>
    <row r="3055" spans="2:4" x14ac:dyDescent="0.2">
      <c r="B3055" s="876">
        <v>3563</v>
      </c>
      <c r="C3055" s="876" t="s">
        <v>3948</v>
      </c>
      <c r="D3055" s="851">
        <v>774.77500199999997</v>
      </c>
    </row>
    <row r="3056" spans="2:4" x14ac:dyDescent="0.2">
      <c r="B3056" s="876">
        <v>3564</v>
      </c>
      <c r="C3056" s="876" t="s">
        <v>3949</v>
      </c>
      <c r="D3056" s="851">
        <v>721.76363900000001</v>
      </c>
    </row>
    <row r="3057" spans="2:4" x14ac:dyDescent="0.2">
      <c r="B3057" s="876">
        <v>3565</v>
      </c>
      <c r="C3057" s="876" t="s">
        <v>3950</v>
      </c>
      <c r="D3057" s="851">
        <v>730.75</v>
      </c>
    </row>
    <row r="3058" spans="2:4" x14ac:dyDescent="0.2">
      <c r="B3058" s="876">
        <v>3566</v>
      </c>
      <c r="C3058" s="876" t="s">
        <v>3951</v>
      </c>
      <c r="D3058" s="851">
        <v>813.55000299999995</v>
      </c>
    </row>
    <row r="3059" spans="2:4" x14ac:dyDescent="0.2">
      <c r="B3059" s="876">
        <v>3567</v>
      </c>
      <c r="C3059" s="876" t="s">
        <v>3952</v>
      </c>
      <c r="D3059" s="851">
        <v>696.36667899999998</v>
      </c>
    </row>
    <row r="3060" spans="2:4" x14ac:dyDescent="0.2">
      <c r="B3060" s="876">
        <v>3568</v>
      </c>
      <c r="C3060" s="876" t="s">
        <v>3953</v>
      </c>
      <c r="D3060" s="851">
        <v>718.53332499999999</v>
      </c>
    </row>
    <row r="3061" spans="2:4" x14ac:dyDescent="0.2">
      <c r="B3061" s="876">
        <v>3569</v>
      </c>
      <c r="C3061" s="876" t="s">
        <v>3954</v>
      </c>
      <c r="D3061" s="851">
        <v>768.11249499999997</v>
      </c>
    </row>
    <row r="3062" spans="2:4" x14ac:dyDescent="0.2">
      <c r="B3062" s="876">
        <v>3570</v>
      </c>
      <c r="C3062" s="876" t="s">
        <v>3955</v>
      </c>
      <c r="D3062" s="851">
        <v>746.10001399999999</v>
      </c>
    </row>
    <row r="3063" spans="2:4" x14ac:dyDescent="0.2">
      <c r="B3063" s="876">
        <v>3571</v>
      </c>
      <c r="C3063" s="876" t="s">
        <v>1615</v>
      </c>
      <c r="D3063" s="851">
        <v>763.09999600000003</v>
      </c>
    </row>
    <row r="3064" spans="2:4" x14ac:dyDescent="0.2">
      <c r="B3064" s="876">
        <v>3572</v>
      </c>
      <c r="C3064" s="876" t="s">
        <v>3956</v>
      </c>
      <c r="D3064" s="851">
        <v>890.10000600000001</v>
      </c>
    </row>
    <row r="3065" spans="2:4" x14ac:dyDescent="0.2">
      <c r="B3065" s="876">
        <v>3573</v>
      </c>
      <c r="C3065" s="876" t="s">
        <v>3957</v>
      </c>
      <c r="D3065" s="851">
        <v>777.53332499999999</v>
      </c>
    </row>
    <row r="3066" spans="2:4" x14ac:dyDescent="0.2">
      <c r="B3066" s="876">
        <v>3574</v>
      </c>
      <c r="C3066" s="876" t="s">
        <v>3958</v>
      </c>
      <c r="D3066" s="851">
        <v>720.28000499999996</v>
      </c>
    </row>
    <row r="3067" spans="2:4" x14ac:dyDescent="0.2">
      <c r="B3067" s="876">
        <v>3575</v>
      </c>
      <c r="C3067" s="876" t="s">
        <v>3959</v>
      </c>
      <c r="D3067" s="851">
        <v>748.64999399999999</v>
      </c>
    </row>
    <row r="3068" spans="2:4" x14ac:dyDescent="0.2">
      <c r="B3068" s="876">
        <v>3576</v>
      </c>
      <c r="C3068" s="876" t="s">
        <v>3960</v>
      </c>
      <c r="D3068" s="851">
        <v>753.32499700000005</v>
      </c>
    </row>
    <row r="3069" spans="2:4" x14ac:dyDescent="0.2">
      <c r="B3069" s="876">
        <v>3577</v>
      </c>
      <c r="C3069" s="876" t="s">
        <v>3961</v>
      </c>
      <c r="D3069" s="851">
        <v>930.56666700000005</v>
      </c>
    </row>
    <row r="3070" spans="2:4" x14ac:dyDescent="0.2">
      <c r="B3070" s="876">
        <v>3578</v>
      </c>
      <c r="C3070" s="876" t="s">
        <v>3962</v>
      </c>
      <c r="D3070" s="851">
        <v>934.70001200000002</v>
      </c>
    </row>
    <row r="3071" spans="2:4" x14ac:dyDescent="0.2">
      <c r="B3071" s="876">
        <v>3579</v>
      </c>
      <c r="C3071" s="876" t="s">
        <v>3963</v>
      </c>
      <c r="D3071" s="851">
        <v>867.40000399999997</v>
      </c>
    </row>
    <row r="3072" spans="2:4" x14ac:dyDescent="0.2">
      <c r="B3072" s="876">
        <v>3580</v>
      </c>
      <c r="C3072" s="876" t="s">
        <v>3964</v>
      </c>
      <c r="D3072" s="851">
        <v>723.66667700000005</v>
      </c>
    </row>
    <row r="3073" spans="2:4" x14ac:dyDescent="0.2">
      <c r="B3073" s="876">
        <v>3581</v>
      </c>
      <c r="C3073" s="876" t="s">
        <v>3965</v>
      </c>
      <c r="D3073" s="851">
        <v>875.81111699999997</v>
      </c>
    </row>
    <row r="3074" spans="2:4" x14ac:dyDescent="0.2">
      <c r="B3074" s="876">
        <v>3582</v>
      </c>
      <c r="C3074" s="876" t="s">
        <v>3966</v>
      </c>
      <c r="D3074" s="851">
        <v>853.41818499999999</v>
      </c>
    </row>
    <row r="3075" spans="2:4" x14ac:dyDescent="0.2">
      <c r="B3075" s="876">
        <v>3583</v>
      </c>
      <c r="C3075" s="876" t="s">
        <v>3967</v>
      </c>
      <c r="D3075" s="851">
        <v>907.07499700000005</v>
      </c>
    </row>
    <row r="3076" spans="2:4" x14ac:dyDescent="0.2">
      <c r="B3076" s="876">
        <v>3584</v>
      </c>
      <c r="C3076" s="876" t="s">
        <v>3968</v>
      </c>
      <c r="D3076" s="851">
        <v>764.83749399999999</v>
      </c>
    </row>
    <row r="3077" spans="2:4" x14ac:dyDescent="0.2">
      <c r="B3077" s="876">
        <v>3585</v>
      </c>
      <c r="C3077" s="876" t="s">
        <v>3883</v>
      </c>
      <c r="D3077" s="851">
        <v>733.96667500000001</v>
      </c>
    </row>
    <row r="3078" spans="2:4" x14ac:dyDescent="0.2">
      <c r="B3078" s="876">
        <v>3586</v>
      </c>
      <c r="C3078" s="876" t="s">
        <v>3969</v>
      </c>
      <c r="D3078" s="851">
        <v>896.16665599999999</v>
      </c>
    </row>
    <row r="3079" spans="2:4" x14ac:dyDescent="0.2">
      <c r="B3079" s="876">
        <v>3587</v>
      </c>
      <c r="C3079" s="876" t="s">
        <v>3970</v>
      </c>
      <c r="D3079" s="851">
        <v>876.29998799999998</v>
      </c>
    </row>
    <row r="3080" spans="2:4" x14ac:dyDescent="0.2">
      <c r="B3080" s="876">
        <v>3601</v>
      </c>
      <c r="C3080" s="876" t="s">
        <v>3971</v>
      </c>
      <c r="D3080" s="851">
        <v>622.62221999999997</v>
      </c>
    </row>
    <row r="3081" spans="2:4" x14ac:dyDescent="0.2">
      <c r="B3081" s="876">
        <v>3602</v>
      </c>
      <c r="C3081" s="876" t="s">
        <v>3972</v>
      </c>
      <c r="D3081" s="851">
        <v>618.35555699999998</v>
      </c>
    </row>
    <row r="3082" spans="2:4" x14ac:dyDescent="0.2">
      <c r="B3082" s="876">
        <v>3603</v>
      </c>
      <c r="C3082" s="876" t="s">
        <v>3609</v>
      </c>
      <c r="D3082" s="851">
        <v>609.43335000000002</v>
      </c>
    </row>
    <row r="3083" spans="2:4" x14ac:dyDescent="0.2">
      <c r="B3083" s="876">
        <v>3604</v>
      </c>
      <c r="C3083" s="876" t="s">
        <v>3973</v>
      </c>
      <c r="D3083" s="851">
        <v>602.89999799999998</v>
      </c>
    </row>
    <row r="3084" spans="2:4" x14ac:dyDescent="0.2">
      <c r="B3084" s="876">
        <v>3605</v>
      </c>
      <c r="C3084" s="876" t="s">
        <v>3974</v>
      </c>
      <c r="D3084" s="851">
        <v>601.19998199999998</v>
      </c>
    </row>
    <row r="3085" spans="2:4" x14ac:dyDescent="0.2">
      <c r="B3085" s="876">
        <v>3606</v>
      </c>
      <c r="C3085" s="876" t="s">
        <v>3975</v>
      </c>
      <c r="D3085" s="851">
        <v>610.31000400000005</v>
      </c>
    </row>
    <row r="3086" spans="2:4" x14ac:dyDescent="0.2">
      <c r="B3086" s="876">
        <v>3607</v>
      </c>
      <c r="C3086" s="876" t="s">
        <v>3976</v>
      </c>
      <c r="D3086" s="851">
        <v>632.65000899999995</v>
      </c>
    </row>
    <row r="3087" spans="2:4" x14ac:dyDescent="0.2">
      <c r="B3087" s="876">
        <v>3608</v>
      </c>
      <c r="C3087" s="876" t="s">
        <v>3977</v>
      </c>
      <c r="D3087" s="851">
        <v>651.44445099999996</v>
      </c>
    </row>
    <row r="3088" spans="2:4" x14ac:dyDescent="0.2">
      <c r="B3088" s="876">
        <v>3609</v>
      </c>
      <c r="C3088" s="876" t="s">
        <v>3978</v>
      </c>
      <c r="D3088" s="851">
        <v>626.17501100000004</v>
      </c>
    </row>
    <row r="3089" spans="2:4" x14ac:dyDescent="0.2">
      <c r="B3089" s="876">
        <v>3610</v>
      </c>
      <c r="C3089" s="876" t="s">
        <v>3979</v>
      </c>
      <c r="D3089" s="851">
        <v>619.61427500000002</v>
      </c>
    </row>
    <row r="3090" spans="2:4" x14ac:dyDescent="0.2">
      <c r="B3090" s="876">
        <v>3611</v>
      </c>
      <c r="C3090" s="876" t="s">
        <v>3806</v>
      </c>
      <c r="D3090" s="851">
        <v>645.89999399999999</v>
      </c>
    </row>
    <row r="3091" spans="2:4" x14ac:dyDescent="0.2">
      <c r="B3091" s="876">
        <v>3612</v>
      </c>
      <c r="C3091" s="876" t="s">
        <v>1140</v>
      </c>
      <c r="D3091" s="851">
        <v>645.77499399999999</v>
      </c>
    </row>
    <row r="3092" spans="2:4" x14ac:dyDescent="0.2">
      <c r="B3092" s="876">
        <v>3613</v>
      </c>
      <c r="C3092" s="876" t="s">
        <v>3980</v>
      </c>
      <c r="D3092" s="851">
        <v>636.43332899999996</v>
      </c>
    </row>
    <row r="3093" spans="2:4" x14ac:dyDescent="0.2">
      <c r="B3093" s="876">
        <v>3614</v>
      </c>
      <c r="C3093" s="876" t="s">
        <v>3981</v>
      </c>
      <c r="D3093" s="851">
        <v>647.259998</v>
      </c>
    </row>
    <row r="3094" spans="2:4" x14ac:dyDescent="0.2">
      <c r="B3094" s="876">
        <v>3615</v>
      </c>
      <c r="C3094" s="876" t="s">
        <v>3982</v>
      </c>
      <c r="D3094" s="851">
        <v>605</v>
      </c>
    </row>
    <row r="3095" spans="2:4" x14ac:dyDescent="0.2">
      <c r="B3095" s="876">
        <v>3616</v>
      </c>
      <c r="C3095" s="876" t="s">
        <v>3983</v>
      </c>
      <c r="D3095" s="851">
        <v>607.28749800000003</v>
      </c>
    </row>
    <row r="3096" spans="2:4" x14ac:dyDescent="0.2">
      <c r="B3096" s="876">
        <v>3617</v>
      </c>
      <c r="C3096" s="876" t="s">
        <v>3984</v>
      </c>
      <c r="D3096" s="851">
        <v>604.44998199999998</v>
      </c>
    </row>
    <row r="3097" spans="2:4" x14ac:dyDescent="0.2">
      <c r="B3097" s="876">
        <v>3618</v>
      </c>
      <c r="C3097" s="876" t="s">
        <v>3383</v>
      </c>
      <c r="D3097" s="851">
        <v>669.16666199999997</v>
      </c>
    </row>
    <row r="3098" spans="2:4" x14ac:dyDescent="0.2">
      <c r="B3098" s="876">
        <v>3619</v>
      </c>
      <c r="C3098" s="876" t="s">
        <v>3985</v>
      </c>
      <c r="D3098" s="851">
        <v>701</v>
      </c>
    </row>
    <row r="3099" spans="2:4" x14ac:dyDescent="0.2">
      <c r="B3099" s="876">
        <v>3620</v>
      </c>
      <c r="C3099" s="876" t="s">
        <v>3986</v>
      </c>
      <c r="D3099" s="851">
        <v>654.00454200000001</v>
      </c>
    </row>
    <row r="3100" spans="2:4" x14ac:dyDescent="0.2">
      <c r="B3100" s="876">
        <v>3621</v>
      </c>
      <c r="C3100" s="876" t="s">
        <v>3987</v>
      </c>
      <c r="D3100" s="851">
        <v>707.12222599999996</v>
      </c>
    </row>
    <row r="3101" spans="2:4" x14ac:dyDescent="0.2">
      <c r="B3101" s="876">
        <v>3622</v>
      </c>
      <c r="C3101" s="876" t="s">
        <v>3988</v>
      </c>
      <c r="D3101" s="851">
        <v>633.22499800000003</v>
      </c>
    </row>
    <row r="3102" spans="2:4" x14ac:dyDescent="0.2">
      <c r="B3102" s="876">
        <v>3623</v>
      </c>
      <c r="C3102" s="876" t="s">
        <v>3989</v>
      </c>
      <c r="D3102" s="851">
        <v>638.52857300000005</v>
      </c>
    </row>
    <row r="3103" spans="2:4" x14ac:dyDescent="0.2">
      <c r="B3103" s="876">
        <v>3624</v>
      </c>
      <c r="C3103" s="876" t="s">
        <v>3990</v>
      </c>
      <c r="D3103" s="851">
        <v>626.21998900000006</v>
      </c>
    </row>
    <row r="3104" spans="2:4" x14ac:dyDescent="0.2">
      <c r="B3104" s="876">
        <v>3625</v>
      </c>
      <c r="C3104" s="876" t="s">
        <v>3466</v>
      </c>
      <c r="D3104" s="851">
        <v>631.9</v>
      </c>
    </row>
    <row r="3105" spans="2:4" x14ac:dyDescent="0.2">
      <c r="B3105" s="876">
        <v>3626</v>
      </c>
      <c r="C3105" s="876" t="s">
        <v>3991</v>
      </c>
      <c r="D3105" s="851">
        <v>637.83331299999998</v>
      </c>
    </row>
    <row r="3106" spans="2:4" x14ac:dyDescent="0.2">
      <c r="B3106" s="876">
        <v>3627</v>
      </c>
      <c r="C3106" s="876" t="s">
        <v>3992</v>
      </c>
      <c r="D3106" s="851">
        <v>659.73331700000006</v>
      </c>
    </row>
    <row r="3107" spans="2:4" x14ac:dyDescent="0.2">
      <c r="B3107" s="876">
        <v>3628</v>
      </c>
      <c r="C3107" s="876" t="s">
        <v>3993</v>
      </c>
      <c r="D3107" s="851">
        <v>620.54000199999996</v>
      </c>
    </row>
    <row r="3108" spans="2:4" x14ac:dyDescent="0.2">
      <c r="B3108" s="876">
        <v>3629</v>
      </c>
      <c r="C3108" s="876" t="s">
        <v>3994</v>
      </c>
      <c r="D3108" s="851">
        <v>636.66666699999996</v>
      </c>
    </row>
    <row r="3109" spans="2:4" x14ac:dyDescent="0.2">
      <c r="B3109" s="876">
        <v>3630</v>
      </c>
      <c r="C3109" s="876" t="s">
        <v>3995</v>
      </c>
      <c r="D3109" s="851">
        <v>606.53998999999999</v>
      </c>
    </row>
    <row r="3110" spans="2:4" x14ac:dyDescent="0.2">
      <c r="B3110" s="876">
        <v>3631</v>
      </c>
      <c r="C3110" s="876" t="s">
        <v>3996</v>
      </c>
      <c r="D3110" s="851">
        <v>686</v>
      </c>
    </row>
    <row r="3111" spans="2:4" x14ac:dyDescent="0.2">
      <c r="B3111" s="876">
        <v>3632</v>
      </c>
      <c r="C3111" s="876" t="s">
        <v>3997</v>
      </c>
      <c r="D3111" s="851">
        <v>635.86154899999997</v>
      </c>
    </row>
    <row r="3112" spans="2:4" x14ac:dyDescent="0.2">
      <c r="B3112" s="876">
        <v>3633</v>
      </c>
      <c r="C3112" s="876" t="s">
        <v>3998</v>
      </c>
      <c r="D3112" s="851">
        <v>654.85000600000001</v>
      </c>
    </row>
    <row r="3113" spans="2:4" x14ac:dyDescent="0.2">
      <c r="B3113" s="876">
        <v>3634</v>
      </c>
      <c r="C3113" s="876" t="s">
        <v>3999</v>
      </c>
      <c r="D3113" s="851">
        <v>674.26923099999999</v>
      </c>
    </row>
    <row r="3114" spans="2:4" x14ac:dyDescent="0.2">
      <c r="B3114" s="876">
        <v>3635</v>
      </c>
      <c r="C3114" s="876" t="s">
        <v>4000</v>
      </c>
      <c r="D3114" s="851">
        <v>603.56667100000004</v>
      </c>
    </row>
    <row r="3115" spans="2:4" x14ac:dyDescent="0.2">
      <c r="B3115" s="876">
        <v>3636</v>
      </c>
      <c r="C3115" s="876" t="s">
        <v>4001</v>
      </c>
      <c r="D3115" s="851">
        <v>609.30000099999995</v>
      </c>
    </row>
    <row r="3116" spans="2:4" x14ac:dyDescent="0.2">
      <c r="B3116" s="876">
        <v>3637</v>
      </c>
      <c r="C3116" s="876" t="s">
        <v>4002</v>
      </c>
      <c r="D3116" s="851">
        <v>619.67500299999995</v>
      </c>
    </row>
    <row r="3117" spans="2:4" x14ac:dyDescent="0.2">
      <c r="B3117" s="876">
        <v>3638</v>
      </c>
      <c r="C3117" s="876" t="s">
        <v>4003</v>
      </c>
      <c r="D3117" s="851">
        <v>690.360006</v>
      </c>
    </row>
    <row r="3118" spans="2:4" x14ac:dyDescent="0.2">
      <c r="B3118" s="876">
        <v>3639</v>
      </c>
      <c r="C3118" s="876" t="s">
        <v>4004</v>
      </c>
      <c r="D3118" s="851">
        <v>694.06154200000003</v>
      </c>
    </row>
    <row r="3119" spans="2:4" x14ac:dyDescent="0.2">
      <c r="B3119" s="876">
        <v>3640</v>
      </c>
      <c r="C3119" s="876" t="s">
        <v>1835</v>
      </c>
      <c r="D3119" s="851">
        <v>659.28000499999996</v>
      </c>
    </row>
    <row r="3120" spans="2:4" x14ac:dyDescent="0.2">
      <c r="B3120" s="876">
        <v>3641</v>
      </c>
      <c r="C3120" s="876" t="s">
        <v>1376</v>
      </c>
      <c r="D3120" s="851">
        <v>612.87691600000005</v>
      </c>
    </row>
    <row r="3121" spans="2:4" x14ac:dyDescent="0.2">
      <c r="B3121" s="876">
        <v>3642</v>
      </c>
      <c r="C3121" s="876" t="s">
        <v>4005</v>
      </c>
      <c r="D3121" s="851">
        <v>666.01430000000005</v>
      </c>
    </row>
    <row r="3122" spans="2:4" x14ac:dyDescent="0.2">
      <c r="B3122" s="876">
        <v>3643</v>
      </c>
      <c r="C3122" s="876" t="s">
        <v>4006</v>
      </c>
      <c r="D3122" s="851">
        <v>736.18946900000003</v>
      </c>
    </row>
    <row r="3123" spans="2:4" x14ac:dyDescent="0.2">
      <c r="B3123" s="876">
        <v>3644</v>
      </c>
      <c r="C3123" s="876" t="s">
        <v>4007</v>
      </c>
      <c r="D3123" s="851">
        <v>637.633331</v>
      </c>
    </row>
    <row r="3124" spans="2:4" x14ac:dyDescent="0.2">
      <c r="B3124" s="876">
        <v>3645</v>
      </c>
      <c r="C3124" s="876" t="s">
        <v>4008</v>
      </c>
      <c r="D3124" s="851">
        <v>723.87500399999999</v>
      </c>
    </row>
    <row r="3125" spans="2:4" x14ac:dyDescent="0.2">
      <c r="B3125" s="876">
        <v>3646</v>
      </c>
      <c r="C3125" s="876" t="s">
        <v>4009</v>
      </c>
      <c r="D3125" s="851">
        <v>777.19999600000006</v>
      </c>
    </row>
    <row r="3126" spans="2:4" x14ac:dyDescent="0.2">
      <c r="B3126" s="876">
        <v>3647</v>
      </c>
      <c r="C3126" s="876" t="s">
        <v>4010</v>
      </c>
      <c r="D3126" s="851">
        <v>699.17999299999997</v>
      </c>
    </row>
    <row r="3127" spans="2:4" x14ac:dyDescent="0.2">
      <c r="B3127" s="876">
        <v>3648</v>
      </c>
      <c r="C3127" s="876" t="s">
        <v>4011</v>
      </c>
      <c r="D3127" s="851">
        <v>765.15713900000003</v>
      </c>
    </row>
    <row r="3128" spans="2:4" x14ac:dyDescent="0.2">
      <c r="B3128" s="876">
        <v>3649</v>
      </c>
      <c r="C3128" s="876" t="s">
        <v>4012</v>
      </c>
      <c r="D3128" s="851">
        <v>638.82498199999998</v>
      </c>
    </row>
    <row r="3129" spans="2:4" x14ac:dyDescent="0.2">
      <c r="B3129" s="876">
        <v>3650</v>
      </c>
      <c r="C3129" s="876" t="s">
        <v>4013</v>
      </c>
      <c r="D3129" s="851">
        <v>673.57142899999997</v>
      </c>
    </row>
    <row r="3130" spans="2:4" x14ac:dyDescent="0.2">
      <c r="B3130" s="876">
        <v>3651</v>
      </c>
      <c r="C3130" s="876" t="s">
        <v>4014</v>
      </c>
      <c r="D3130" s="851">
        <v>669.93333399999995</v>
      </c>
    </row>
    <row r="3131" spans="2:4" x14ac:dyDescent="0.2">
      <c r="B3131" s="876">
        <v>3652</v>
      </c>
      <c r="C3131" s="876" t="s">
        <v>4015</v>
      </c>
      <c r="D3131" s="851">
        <v>691.08333300000004</v>
      </c>
    </row>
    <row r="3132" spans="2:4" x14ac:dyDescent="0.2">
      <c r="B3132" s="876">
        <v>3653</v>
      </c>
      <c r="C3132" s="876" t="s">
        <v>4016</v>
      </c>
      <c r="D3132" s="851">
        <v>669.97499100000005</v>
      </c>
    </row>
    <row r="3133" spans="2:4" x14ac:dyDescent="0.2">
      <c r="B3133" s="876">
        <v>3654</v>
      </c>
      <c r="C3133" s="876" t="s">
        <v>4017</v>
      </c>
      <c r="D3133" s="851">
        <v>683.66666699999996</v>
      </c>
    </row>
    <row r="3134" spans="2:4" x14ac:dyDescent="0.2">
      <c r="B3134" s="876">
        <v>3655</v>
      </c>
      <c r="C3134" s="876" t="s">
        <v>4018</v>
      </c>
      <c r="D3134" s="851">
        <v>692.87499600000001</v>
      </c>
    </row>
    <row r="3135" spans="2:4" x14ac:dyDescent="0.2">
      <c r="B3135" s="876">
        <v>3656</v>
      </c>
      <c r="C3135" s="876" t="s">
        <v>3798</v>
      </c>
      <c r="D3135" s="851">
        <v>655.64999399999999</v>
      </c>
    </row>
    <row r="3136" spans="2:4" x14ac:dyDescent="0.2">
      <c r="B3136" s="876">
        <v>3657</v>
      </c>
      <c r="C3136" s="876" t="s">
        <v>4019</v>
      </c>
      <c r="D3136" s="851">
        <v>668.02000099999998</v>
      </c>
    </row>
    <row r="3137" spans="2:4" x14ac:dyDescent="0.2">
      <c r="B3137" s="876">
        <v>3658</v>
      </c>
      <c r="C3137" s="876" t="s">
        <v>4020</v>
      </c>
      <c r="D3137" s="851">
        <v>644.08333300000004</v>
      </c>
    </row>
    <row r="3138" spans="2:4" x14ac:dyDescent="0.2">
      <c r="B3138" s="876">
        <v>3659</v>
      </c>
      <c r="C3138" s="876" t="s">
        <v>4021</v>
      </c>
      <c r="D3138" s="851">
        <v>657</v>
      </c>
    </row>
    <row r="3139" spans="2:4" x14ac:dyDescent="0.2">
      <c r="B3139" s="876">
        <v>3660</v>
      </c>
      <c r="C3139" s="876" t="s">
        <v>4022</v>
      </c>
      <c r="D3139" s="851">
        <v>648.02000699999996</v>
      </c>
    </row>
    <row r="3140" spans="2:4" x14ac:dyDescent="0.2">
      <c r="B3140" s="876">
        <v>3661</v>
      </c>
      <c r="C3140" s="876" t="s">
        <v>4023</v>
      </c>
      <c r="D3140" s="851">
        <v>663.36665900000003</v>
      </c>
    </row>
    <row r="3141" spans="2:4" x14ac:dyDescent="0.2">
      <c r="B3141" s="876">
        <v>3662</v>
      </c>
      <c r="C3141" s="876" t="s">
        <v>4024</v>
      </c>
      <c r="D3141" s="851">
        <v>693.86667899999998</v>
      </c>
    </row>
    <row r="3142" spans="2:4" x14ac:dyDescent="0.2">
      <c r="B3142" s="876">
        <v>3663</v>
      </c>
      <c r="C3142" s="876" t="s">
        <v>4025</v>
      </c>
      <c r="D3142" s="851">
        <v>666.58000500000003</v>
      </c>
    </row>
    <row r="3143" spans="2:4" x14ac:dyDescent="0.2">
      <c r="B3143" s="876">
        <v>3664</v>
      </c>
      <c r="C3143" s="876" t="s">
        <v>4026</v>
      </c>
      <c r="D3143" s="851">
        <v>708.36000999999999</v>
      </c>
    </row>
    <row r="3144" spans="2:4" x14ac:dyDescent="0.2">
      <c r="B3144" s="876">
        <v>3665</v>
      </c>
      <c r="C3144" s="876" t="s">
        <v>3789</v>
      </c>
      <c r="D3144" s="851">
        <v>690.94999700000005</v>
      </c>
    </row>
    <row r="3145" spans="2:4" x14ac:dyDescent="0.2">
      <c r="B3145" s="876">
        <v>3666</v>
      </c>
      <c r="C3145" s="876" t="s">
        <v>4027</v>
      </c>
      <c r="D3145" s="851">
        <v>661.97500600000001</v>
      </c>
    </row>
    <row r="3146" spans="2:4" x14ac:dyDescent="0.2">
      <c r="B3146" s="876">
        <v>3667</v>
      </c>
      <c r="C3146" s="876" t="s">
        <v>4028</v>
      </c>
      <c r="D3146" s="851">
        <v>696.58334400000001</v>
      </c>
    </row>
    <row r="3147" spans="2:4" x14ac:dyDescent="0.2">
      <c r="B3147" s="876">
        <v>3668</v>
      </c>
      <c r="C3147" s="876" t="s">
        <v>4029</v>
      </c>
      <c r="D3147" s="851">
        <v>664.03332499999999</v>
      </c>
    </row>
    <row r="3148" spans="2:4" x14ac:dyDescent="0.2">
      <c r="B3148" s="876">
        <v>3669</v>
      </c>
      <c r="C3148" s="876" t="s">
        <v>4030</v>
      </c>
      <c r="D3148" s="851">
        <v>695.50001999999995</v>
      </c>
    </row>
    <row r="3149" spans="2:4" x14ac:dyDescent="0.2">
      <c r="B3149" s="876">
        <v>3670</v>
      </c>
      <c r="C3149" s="876" t="s">
        <v>4031</v>
      </c>
      <c r="D3149" s="851">
        <v>670.45</v>
      </c>
    </row>
    <row r="3150" spans="2:4" x14ac:dyDescent="0.2">
      <c r="B3150" s="876">
        <v>3672</v>
      </c>
      <c r="C3150" s="876" t="s">
        <v>4032</v>
      </c>
      <c r="D3150" s="851">
        <v>684.65002400000003</v>
      </c>
    </row>
    <row r="3151" spans="2:4" x14ac:dyDescent="0.2">
      <c r="B3151" s="876">
        <v>3673</v>
      </c>
      <c r="C3151" s="876" t="s">
        <v>4033</v>
      </c>
      <c r="D3151" s="851">
        <v>701.72857699999997</v>
      </c>
    </row>
    <row r="3152" spans="2:4" x14ac:dyDescent="0.2">
      <c r="B3152" s="876">
        <v>3674</v>
      </c>
      <c r="C3152" s="876" t="s">
        <v>4034</v>
      </c>
      <c r="D3152" s="851">
        <v>704.81428700000004</v>
      </c>
    </row>
    <row r="3153" spans="2:4" x14ac:dyDescent="0.2">
      <c r="B3153" s="876">
        <v>3675</v>
      </c>
      <c r="C3153" s="876" t="s">
        <v>4035</v>
      </c>
      <c r="D3153" s="851">
        <v>693.75454999999999</v>
      </c>
    </row>
    <row r="3154" spans="2:4" x14ac:dyDescent="0.2">
      <c r="B3154" s="876">
        <v>3676</v>
      </c>
      <c r="C3154" s="876" t="s">
        <v>4036</v>
      </c>
      <c r="D3154" s="851">
        <v>724.44999700000005</v>
      </c>
    </row>
    <row r="3155" spans="2:4" x14ac:dyDescent="0.2">
      <c r="B3155" s="876">
        <v>3677</v>
      </c>
      <c r="C3155" s="876" t="s">
        <v>4037</v>
      </c>
      <c r="D3155" s="851">
        <v>725.65999799999997</v>
      </c>
    </row>
    <row r="3156" spans="2:4" x14ac:dyDescent="0.2">
      <c r="B3156" s="876">
        <v>3678</v>
      </c>
      <c r="C3156" s="876" t="s">
        <v>4038</v>
      </c>
      <c r="D3156" s="851">
        <v>739.54998799999998</v>
      </c>
    </row>
    <row r="3157" spans="2:4" x14ac:dyDescent="0.2">
      <c r="B3157" s="876">
        <v>3679</v>
      </c>
      <c r="C3157" s="876" t="s">
        <v>4039</v>
      </c>
      <c r="D3157" s="851">
        <v>686</v>
      </c>
    </row>
    <row r="3158" spans="2:4" x14ac:dyDescent="0.2">
      <c r="B3158" s="876">
        <v>3680</v>
      </c>
      <c r="C3158" s="876" t="s">
        <v>4040</v>
      </c>
      <c r="D3158" s="851">
        <v>707.54444699999999</v>
      </c>
    </row>
    <row r="3159" spans="2:4" x14ac:dyDescent="0.2">
      <c r="B3159" s="876">
        <v>3681</v>
      </c>
      <c r="C3159" s="876" t="s">
        <v>4041</v>
      </c>
      <c r="D3159" s="851">
        <v>702.38000499999998</v>
      </c>
    </row>
    <row r="3160" spans="2:4" x14ac:dyDescent="0.2">
      <c r="B3160" s="876">
        <v>3682</v>
      </c>
      <c r="C3160" s="876" t="s">
        <v>4042</v>
      </c>
      <c r="D3160" s="851">
        <v>724.92500299999995</v>
      </c>
    </row>
    <row r="3161" spans="2:4" x14ac:dyDescent="0.2">
      <c r="B3161" s="876">
        <v>3684</v>
      </c>
      <c r="C3161" s="876" t="s">
        <v>4043</v>
      </c>
      <c r="D3161" s="851">
        <v>667.97777599999995</v>
      </c>
    </row>
    <row r="3162" spans="2:4" x14ac:dyDescent="0.2">
      <c r="B3162" s="876">
        <v>3685</v>
      </c>
      <c r="C3162" s="876" t="s">
        <v>4044</v>
      </c>
      <c r="D3162" s="851">
        <v>660.9</v>
      </c>
    </row>
    <row r="3163" spans="2:4" x14ac:dyDescent="0.2">
      <c r="B3163" s="876">
        <v>3686</v>
      </c>
      <c r="C3163" s="876" t="s">
        <v>4045</v>
      </c>
      <c r="D3163" s="851">
        <v>677.38461500000005</v>
      </c>
    </row>
    <row r="3164" spans="2:4" x14ac:dyDescent="0.2">
      <c r="B3164" s="876">
        <v>3687</v>
      </c>
      <c r="C3164" s="876" t="s">
        <v>4046</v>
      </c>
      <c r="D3164" s="851">
        <v>661.56667100000004</v>
      </c>
    </row>
    <row r="3165" spans="2:4" x14ac:dyDescent="0.2">
      <c r="B3165" s="876">
        <v>3688</v>
      </c>
      <c r="C3165" s="876" t="s">
        <v>4047</v>
      </c>
      <c r="D3165" s="851">
        <v>669.41817400000002</v>
      </c>
    </row>
    <row r="3166" spans="2:4" x14ac:dyDescent="0.2">
      <c r="B3166" s="876">
        <v>3689</v>
      </c>
      <c r="C3166" s="876" t="s">
        <v>4048</v>
      </c>
      <c r="D3166" s="851">
        <v>706.90001099999995</v>
      </c>
    </row>
    <row r="3167" spans="2:4" x14ac:dyDescent="0.2">
      <c r="B3167" s="876">
        <v>3690</v>
      </c>
      <c r="C3167" s="876" t="s">
        <v>1305</v>
      </c>
      <c r="D3167" s="851">
        <v>665.10000600000001</v>
      </c>
    </row>
    <row r="3168" spans="2:4" x14ac:dyDescent="0.2">
      <c r="B3168" s="876">
        <v>3701</v>
      </c>
      <c r="C3168" s="876" t="s">
        <v>4049</v>
      </c>
      <c r="D3168" s="851">
        <v>649.68571299999996</v>
      </c>
    </row>
    <row r="3169" spans="2:4" x14ac:dyDescent="0.2">
      <c r="B3169" s="876">
        <v>3702</v>
      </c>
      <c r="C3169" s="876" t="s">
        <v>4050</v>
      </c>
      <c r="D3169" s="851">
        <v>619.879999</v>
      </c>
    </row>
    <row r="3170" spans="2:4" x14ac:dyDescent="0.2">
      <c r="B3170" s="876">
        <v>3703</v>
      </c>
      <c r="C3170" s="876" t="s">
        <v>4051</v>
      </c>
      <c r="D3170" s="851">
        <v>632.55713800000001</v>
      </c>
    </row>
    <row r="3171" spans="2:4" x14ac:dyDescent="0.2">
      <c r="B3171" s="876">
        <v>3704</v>
      </c>
      <c r="C3171" s="876" t="s">
        <v>4052</v>
      </c>
      <c r="D3171" s="851">
        <v>644.5</v>
      </c>
    </row>
    <row r="3172" spans="2:4" x14ac:dyDescent="0.2">
      <c r="B3172" s="876">
        <v>3705</v>
      </c>
      <c r="C3172" s="876" t="s">
        <v>4053</v>
      </c>
      <c r="D3172" s="851">
        <v>631.14445000000001</v>
      </c>
    </row>
    <row r="3173" spans="2:4" x14ac:dyDescent="0.2">
      <c r="B3173" s="876">
        <v>3706</v>
      </c>
      <c r="C3173" s="876" t="s">
        <v>4054</v>
      </c>
      <c r="D3173" s="851">
        <v>614.87778000000003</v>
      </c>
    </row>
    <row r="3174" spans="2:4" x14ac:dyDescent="0.2">
      <c r="B3174" s="876">
        <v>3707</v>
      </c>
      <c r="C3174" s="876" t="s">
        <v>4055</v>
      </c>
      <c r="D3174" s="851">
        <v>646.77499899999998</v>
      </c>
    </row>
    <row r="3175" spans="2:4" x14ac:dyDescent="0.2">
      <c r="B3175" s="876">
        <v>3708</v>
      </c>
      <c r="C3175" s="876" t="s">
        <v>4056</v>
      </c>
      <c r="D3175" s="851">
        <v>728.29998799999998</v>
      </c>
    </row>
    <row r="3176" spans="2:4" x14ac:dyDescent="0.2">
      <c r="B3176" s="876">
        <v>3709</v>
      </c>
      <c r="C3176" s="876" t="s">
        <v>4057</v>
      </c>
      <c r="D3176" s="851">
        <v>702.23749499999997</v>
      </c>
    </row>
    <row r="3177" spans="2:4" x14ac:dyDescent="0.2">
      <c r="B3177" s="876">
        <v>3710</v>
      </c>
      <c r="C3177" s="876" t="s">
        <v>4058</v>
      </c>
      <c r="D3177" s="851">
        <v>642.48461399999997</v>
      </c>
    </row>
    <row r="3178" spans="2:4" x14ac:dyDescent="0.2">
      <c r="B3178" s="876">
        <v>3711</v>
      </c>
      <c r="C3178" s="876" t="s">
        <v>4059</v>
      </c>
      <c r="D3178" s="851">
        <v>634.13332100000002</v>
      </c>
    </row>
    <row r="3179" spans="2:4" x14ac:dyDescent="0.2">
      <c r="B3179" s="876">
        <v>3712</v>
      </c>
      <c r="C3179" s="876" t="s">
        <v>4060</v>
      </c>
      <c r="D3179" s="851">
        <v>632.94167600000003</v>
      </c>
    </row>
    <row r="3180" spans="2:4" x14ac:dyDescent="0.2">
      <c r="B3180" s="876">
        <v>3713</v>
      </c>
      <c r="C3180" s="876" t="s">
        <v>1764</v>
      </c>
      <c r="D3180" s="851">
        <v>670.70000600000003</v>
      </c>
    </row>
    <row r="3181" spans="2:4" x14ac:dyDescent="0.2">
      <c r="B3181" s="876">
        <v>3714</v>
      </c>
      <c r="C3181" s="876" t="s">
        <v>4061</v>
      </c>
      <c r="D3181" s="851">
        <v>683.82857000000001</v>
      </c>
    </row>
    <row r="3182" spans="2:4" x14ac:dyDescent="0.2">
      <c r="B3182" s="876">
        <v>3715</v>
      </c>
      <c r="C3182" s="876" t="s">
        <v>4062</v>
      </c>
      <c r="D3182" s="851">
        <v>696.71665399999995</v>
      </c>
    </row>
    <row r="3183" spans="2:4" x14ac:dyDescent="0.2">
      <c r="B3183" s="876">
        <v>3716</v>
      </c>
      <c r="C3183" s="876" t="s">
        <v>4063</v>
      </c>
      <c r="D3183" s="851">
        <v>715.728568</v>
      </c>
    </row>
    <row r="3184" spans="2:4" x14ac:dyDescent="0.2">
      <c r="B3184" s="876">
        <v>3717</v>
      </c>
      <c r="C3184" s="876" t="s">
        <v>4064</v>
      </c>
      <c r="D3184" s="851">
        <v>722.85998500000005</v>
      </c>
    </row>
    <row r="3185" spans="2:4" x14ac:dyDescent="0.2">
      <c r="B3185" s="876">
        <v>3718</v>
      </c>
      <c r="C3185" s="876" t="s">
        <v>4065</v>
      </c>
      <c r="D3185" s="851">
        <v>780.72000700000001</v>
      </c>
    </row>
    <row r="3186" spans="2:4" x14ac:dyDescent="0.2">
      <c r="B3186" s="876">
        <v>3719</v>
      </c>
      <c r="C3186" s="876" t="s">
        <v>4066</v>
      </c>
      <c r="D3186" s="851">
        <v>749.40000899999995</v>
      </c>
    </row>
    <row r="3187" spans="2:4" x14ac:dyDescent="0.2">
      <c r="B3187" s="876">
        <v>3720</v>
      </c>
      <c r="C3187" s="876" t="s">
        <v>4067</v>
      </c>
      <c r="D3187" s="851">
        <v>738.02500199999997</v>
      </c>
    </row>
    <row r="3188" spans="2:4" x14ac:dyDescent="0.2">
      <c r="B3188" s="876">
        <v>3721</v>
      </c>
      <c r="C3188" s="876" t="s">
        <v>4068</v>
      </c>
      <c r="D3188" s="851">
        <v>775.32857000000001</v>
      </c>
    </row>
    <row r="3189" spans="2:4" x14ac:dyDescent="0.2">
      <c r="B3189" s="876">
        <v>3722</v>
      </c>
      <c r="C3189" s="876" t="s">
        <v>4069</v>
      </c>
      <c r="D3189" s="851">
        <v>836.89999399999999</v>
      </c>
    </row>
    <row r="3190" spans="2:4" x14ac:dyDescent="0.2">
      <c r="B3190" s="876">
        <v>3723</v>
      </c>
      <c r="C3190" s="876" t="s">
        <v>4070</v>
      </c>
      <c r="D3190" s="851">
        <v>799</v>
      </c>
    </row>
    <row r="3191" spans="2:4" x14ac:dyDescent="0.2">
      <c r="B3191" s="876">
        <v>3724</v>
      </c>
      <c r="C3191" s="876" t="s">
        <v>4071</v>
      </c>
      <c r="D3191" s="851">
        <v>780.48332700000003</v>
      </c>
    </row>
    <row r="3192" spans="2:4" x14ac:dyDescent="0.2">
      <c r="B3192" s="876">
        <v>3725</v>
      </c>
      <c r="C3192" s="876" t="s">
        <v>4072</v>
      </c>
      <c r="D3192" s="851">
        <v>791.45713999999998</v>
      </c>
    </row>
    <row r="3193" spans="2:4" x14ac:dyDescent="0.2">
      <c r="B3193" s="876">
        <v>3726</v>
      </c>
      <c r="C3193" s="876" t="s">
        <v>4073</v>
      </c>
      <c r="D3193" s="851">
        <v>735.62500799999998</v>
      </c>
    </row>
    <row r="3194" spans="2:4" x14ac:dyDescent="0.2">
      <c r="B3194" s="876">
        <v>3727</v>
      </c>
      <c r="C3194" s="876" t="s">
        <v>4074</v>
      </c>
      <c r="D3194" s="851">
        <v>770.80000299999995</v>
      </c>
    </row>
    <row r="3195" spans="2:4" x14ac:dyDescent="0.2">
      <c r="B3195" s="876">
        <v>3728</v>
      </c>
      <c r="C3195" s="876" t="s">
        <v>3836</v>
      </c>
      <c r="D3195" s="851">
        <v>742.38334099999997</v>
      </c>
    </row>
    <row r="3196" spans="2:4" x14ac:dyDescent="0.2">
      <c r="B3196" s="876">
        <v>3729</v>
      </c>
      <c r="C3196" s="876" t="s">
        <v>4075</v>
      </c>
      <c r="D3196" s="851">
        <v>772.13332100000002</v>
      </c>
    </row>
    <row r="3197" spans="2:4" x14ac:dyDescent="0.2">
      <c r="B3197" s="876">
        <v>3730</v>
      </c>
      <c r="C3197" s="876" t="s">
        <v>4076</v>
      </c>
      <c r="D3197" s="851">
        <v>760.32501200000002</v>
      </c>
    </row>
    <row r="3198" spans="2:4" x14ac:dyDescent="0.2">
      <c r="B3198" s="876">
        <v>3731</v>
      </c>
      <c r="C3198" s="876" t="s">
        <v>4077</v>
      </c>
      <c r="D3198" s="851">
        <v>776.70001200000002</v>
      </c>
    </row>
    <row r="3199" spans="2:4" x14ac:dyDescent="0.2">
      <c r="B3199" s="876">
        <v>3732</v>
      </c>
      <c r="C3199" s="876" t="s">
        <v>4078</v>
      </c>
      <c r="D3199" s="851">
        <v>782.57332599999995</v>
      </c>
    </row>
    <row r="3200" spans="2:4" x14ac:dyDescent="0.2">
      <c r="B3200" s="876">
        <v>3733</v>
      </c>
      <c r="C3200" s="876" t="s">
        <v>4079</v>
      </c>
      <c r="D3200" s="851">
        <v>780.17498799999998</v>
      </c>
    </row>
    <row r="3201" spans="2:4" x14ac:dyDescent="0.2">
      <c r="B3201" s="876">
        <v>3734</v>
      </c>
      <c r="C3201" s="876" t="s">
        <v>4080</v>
      </c>
      <c r="D3201" s="851">
        <v>639.35000600000001</v>
      </c>
    </row>
    <row r="3202" spans="2:4" x14ac:dyDescent="0.2">
      <c r="B3202" s="876">
        <v>3735</v>
      </c>
      <c r="C3202" s="876" t="s">
        <v>4081</v>
      </c>
      <c r="D3202" s="851">
        <v>724.41935699999999</v>
      </c>
    </row>
    <row r="3203" spans="2:4" x14ac:dyDescent="0.2">
      <c r="B3203" s="876">
        <v>3736</v>
      </c>
      <c r="C3203" s="876" t="s">
        <v>4082</v>
      </c>
      <c r="D3203" s="851">
        <v>776.09997599999997</v>
      </c>
    </row>
    <row r="3204" spans="2:4" x14ac:dyDescent="0.2">
      <c r="B3204" s="876">
        <v>3737</v>
      </c>
      <c r="C3204" s="876" t="s">
        <v>4083</v>
      </c>
      <c r="D3204" s="851">
        <v>778.46109999999999</v>
      </c>
    </row>
    <row r="3205" spans="2:4" x14ac:dyDescent="0.2">
      <c r="B3205" s="876">
        <v>3738</v>
      </c>
      <c r="C3205" s="876" t="s">
        <v>4084</v>
      </c>
      <c r="D3205" s="851">
        <v>628.22499100000005</v>
      </c>
    </row>
    <row r="3206" spans="2:4" x14ac:dyDescent="0.2">
      <c r="B3206" s="876">
        <v>3739</v>
      </c>
      <c r="C3206" s="876" t="s">
        <v>4085</v>
      </c>
      <c r="D3206" s="851">
        <v>633.25998500000003</v>
      </c>
    </row>
    <row r="3207" spans="2:4" x14ac:dyDescent="0.2">
      <c r="B3207" s="876">
        <v>3740</v>
      </c>
      <c r="C3207" s="876" t="s">
        <v>4086</v>
      </c>
      <c r="D3207" s="851">
        <v>627.11999500000002</v>
      </c>
    </row>
    <row r="3208" spans="2:4" x14ac:dyDescent="0.2">
      <c r="B3208" s="876">
        <v>3741</v>
      </c>
      <c r="C3208" s="876" t="s">
        <v>4087</v>
      </c>
      <c r="D3208" s="851">
        <v>687.27500199999997</v>
      </c>
    </row>
    <row r="3209" spans="2:4" x14ac:dyDescent="0.2">
      <c r="B3209" s="876">
        <v>3742</v>
      </c>
      <c r="C3209" s="876" t="s">
        <v>4088</v>
      </c>
      <c r="D3209" s="851">
        <v>773.45001200000002</v>
      </c>
    </row>
    <row r="3210" spans="2:4" x14ac:dyDescent="0.2">
      <c r="B3210" s="876">
        <v>3743</v>
      </c>
      <c r="C3210" s="876" t="s">
        <v>4089</v>
      </c>
      <c r="D3210" s="851">
        <v>768.875</v>
      </c>
    </row>
    <row r="3211" spans="2:4" x14ac:dyDescent="0.2">
      <c r="B3211" s="876">
        <v>3744</v>
      </c>
      <c r="C3211" s="876" t="s">
        <v>4090</v>
      </c>
      <c r="D3211" s="851">
        <v>702.60588900000005</v>
      </c>
    </row>
    <row r="3212" spans="2:4" x14ac:dyDescent="0.2">
      <c r="B3212" s="876">
        <v>3745</v>
      </c>
      <c r="C3212" s="876" t="s">
        <v>4091</v>
      </c>
      <c r="D3212" s="851">
        <v>644.08000500000003</v>
      </c>
    </row>
    <row r="3213" spans="2:4" x14ac:dyDescent="0.2">
      <c r="B3213" s="876">
        <v>3746</v>
      </c>
      <c r="C3213" s="876" t="s">
        <v>4092</v>
      </c>
      <c r="D3213" s="851">
        <v>656.47499100000005</v>
      </c>
    </row>
    <row r="3214" spans="2:4" x14ac:dyDescent="0.2">
      <c r="B3214" s="876">
        <v>3747</v>
      </c>
      <c r="C3214" s="876" t="s">
        <v>4093</v>
      </c>
      <c r="D3214" s="851">
        <v>650.29998799999998</v>
      </c>
    </row>
    <row r="3215" spans="2:4" x14ac:dyDescent="0.2">
      <c r="B3215" s="876">
        <v>3748</v>
      </c>
      <c r="C3215" s="876" t="s">
        <v>4094</v>
      </c>
      <c r="D3215" s="851">
        <v>759.94666700000005</v>
      </c>
    </row>
    <row r="3216" spans="2:4" x14ac:dyDescent="0.2">
      <c r="B3216" s="876">
        <v>3749</v>
      </c>
      <c r="C3216" s="876" t="s">
        <v>4095</v>
      </c>
      <c r="D3216" s="851">
        <v>736.629999</v>
      </c>
    </row>
    <row r="3217" spans="2:4" x14ac:dyDescent="0.2">
      <c r="B3217" s="876">
        <v>3750</v>
      </c>
      <c r="C3217" s="876" t="s">
        <v>4096</v>
      </c>
      <c r="D3217" s="851">
        <v>709.90000199999997</v>
      </c>
    </row>
    <row r="3218" spans="2:4" x14ac:dyDescent="0.2">
      <c r="B3218" s="876">
        <v>3751</v>
      </c>
      <c r="C3218" s="876" t="s">
        <v>4097</v>
      </c>
      <c r="D3218" s="851">
        <v>704.63750500000003</v>
      </c>
    </row>
    <row r="3219" spans="2:4" x14ac:dyDescent="0.2">
      <c r="B3219" s="876">
        <v>3752</v>
      </c>
      <c r="C3219" s="876" t="s">
        <v>4098</v>
      </c>
      <c r="D3219" s="851">
        <v>729.59090400000002</v>
      </c>
    </row>
    <row r="3220" spans="2:4" x14ac:dyDescent="0.2">
      <c r="B3220" s="876">
        <v>3753</v>
      </c>
      <c r="C3220" s="876" t="s">
        <v>4099</v>
      </c>
      <c r="D3220" s="851">
        <v>727.51999499999999</v>
      </c>
    </row>
    <row r="3221" spans="2:4" x14ac:dyDescent="0.2">
      <c r="B3221" s="876">
        <v>3754</v>
      </c>
      <c r="C3221" s="876" t="s">
        <v>4100</v>
      </c>
      <c r="D3221" s="851">
        <v>672.36665900000003</v>
      </c>
    </row>
    <row r="3222" spans="2:4" x14ac:dyDescent="0.2">
      <c r="B3222" s="876">
        <v>3755</v>
      </c>
      <c r="C3222" s="876" t="s">
        <v>2901</v>
      </c>
      <c r="D3222" s="851">
        <v>721.91249800000003</v>
      </c>
    </row>
    <row r="3223" spans="2:4" x14ac:dyDescent="0.2">
      <c r="B3223" s="876">
        <v>3756</v>
      </c>
      <c r="C3223" s="876" t="s">
        <v>4101</v>
      </c>
      <c r="D3223" s="851">
        <v>763.56666099999995</v>
      </c>
    </row>
    <row r="3224" spans="2:4" x14ac:dyDescent="0.2">
      <c r="B3224" s="876">
        <v>3757</v>
      </c>
      <c r="C3224" s="876" t="s">
        <v>4102</v>
      </c>
      <c r="D3224" s="851">
        <v>795.5</v>
      </c>
    </row>
    <row r="3225" spans="2:4" x14ac:dyDescent="0.2">
      <c r="B3225" s="876">
        <v>3758</v>
      </c>
      <c r="C3225" s="876" t="s">
        <v>2049</v>
      </c>
      <c r="D3225" s="851">
        <v>779.31875200000002</v>
      </c>
    </row>
    <row r="3226" spans="2:4" x14ac:dyDescent="0.2">
      <c r="B3226" s="876">
        <v>3759</v>
      </c>
      <c r="C3226" s="876" t="s">
        <v>4103</v>
      </c>
      <c r="D3226" s="851">
        <v>748.73846400000002</v>
      </c>
    </row>
    <row r="3227" spans="2:4" x14ac:dyDescent="0.2">
      <c r="B3227" s="876">
        <v>3760</v>
      </c>
      <c r="C3227" s="876" t="s">
        <v>4104</v>
      </c>
      <c r="D3227" s="851">
        <v>794.59999100000005</v>
      </c>
    </row>
    <row r="3228" spans="2:4" x14ac:dyDescent="0.2">
      <c r="B3228" s="876">
        <v>3761</v>
      </c>
      <c r="C3228" s="876" t="s">
        <v>4105</v>
      </c>
      <c r="D3228" s="851">
        <v>819.27272200000004</v>
      </c>
    </row>
    <row r="3229" spans="2:4" x14ac:dyDescent="0.2">
      <c r="B3229" s="876">
        <v>3762</v>
      </c>
      <c r="C3229" s="876" t="s">
        <v>4106</v>
      </c>
      <c r="D3229" s="851">
        <v>781.633331</v>
      </c>
    </row>
    <row r="3230" spans="2:4" x14ac:dyDescent="0.2">
      <c r="B3230" s="876">
        <v>3763</v>
      </c>
      <c r="C3230" s="876" t="s">
        <v>1635</v>
      </c>
      <c r="D3230" s="851">
        <v>751.64999399999999</v>
      </c>
    </row>
    <row r="3231" spans="2:4" x14ac:dyDescent="0.2">
      <c r="B3231" s="876">
        <v>3764</v>
      </c>
      <c r="C3231" s="876" t="s">
        <v>4107</v>
      </c>
      <c r="D3231" s="851">
        <v>799.27499399999999</v>
      </c>
    </row>
    <row r="3232" spans="2:4" x14ac:dyDescent="0.2">
      <c r="B3232" s="876">
        <v>3765</v>
      </c>
      <c r="C3232" s="876" t="s">
        <v>4108</v>
      </c>
      <c r="D3232" s="851">
        <v>749.08333300000004</v>
      </c>
    </row>
    <row r="3233" spans="2:4" x14ac:dyDescent="0.2">
      <c r="B3233" s="876">
        <v>3766</v>
      </c>
      <c r="C3233" s="876" t="s">
        <v>4109</v>
      </c>
      <c r="D3233" s="851">
        <v>743.13334099999997</v>
      </c>
    </row>
    <row r="3234" spans="2:4" x14ac:dyDescent="0.2">
      <c r="B3234" s="876">
        <v>3767</v>
      </c>
      <c r="C3234" s="876" t="s">
        <v>4110</v>
      </c>
      <c r="D3234" s="851">
        <v>811.30000600000005</v>
      </c>
    </row>
    <row r="3235" spans="2:4" x14ac:dyDescent="0.2">
      <c r="B3235" s="876">
        <v>3768</v>
      </c>
      <c r="C3235" s="876" t="s">
        <v>4111</v>
      </c>
      <c r="D3235" s="851">
        <v>831.76664200000005</v>
      </c>
    </row>
    <row r="3236" spans="2:4" x14ac:dyDescent="0.2">
      <c r="B3236" s="876">
        <v>3769</v>
      </c>
      <c r="C3236" s="876" t="s">
        <v>4112</v>
      </c>
      <c r="D3236" s="851">
        <v>802.93333600000005</v>
      </c>
    </row>
    <row r="3237" spans="2:4" x14ac:dyDescent="0.2">
      <c r="B3237" s="876">
        <v>3770</v>
      </c>
      <c r="C3237" s="876" t="s">
        <v>4113</v>
      </c>
      <c r="D3237" s="851">
        <v>811.84999100000005</v>
      </c>
    </row>
    <row r="3238" spans="2:4" x14ac:dyDescent="0.2">
      <c r="B3238" s="876">
        <v>3801</v>
      </c>
      <c r="C3238" s="876" t="s">
        <v>4114</v>
      </c>
      <c r="D3238" s="851">
        <v>613.85716000000002</v>
      </c>
    </row>
    <row r="3239" spans="2:4" x14ac:dyDescent="0.2">
      <c r="B3239" s="876">
        <v>3802</v>
      </c>
      <c r="C3239" s="876" t="s">
        <v>4115</v>
      </c>
      <c r="D3239" s="851">
        <v>621.16666699999996</v>
      </c>
    </row>
    <row r="3240" spans="2:4" x14ac:dyDescent="0.2">
      <c r="B3240" s="876">
        <v>3803</v>
      </c>
      <c r="C3240" s="876" t="s">
        <v>4116</v>
      </c>
      <c r="D3240" s="851">
        <v>704.76666299999999</v>
      </c>
    </row>
    <row r="3241" spans="2:4" x14ac:dyDescent="0.2">
      <c r="B3241" s="876">
        <v>3804</v>
      </c>
      <c r="C3241" s="876" t="s">
        <v>4117</v>
      </c>
      <c r="D3241" s="851">
        <v>696.85715200000004</v>
      </c>
    </row>
    <row r="3242" spans="2:4" x14ac:dyDescent="0.2">
      <c r="B3242" s="876">
        <v>3805</v>
      </c>
      <c r="C3242" s="876" t="s">
        <v>4118</v>
      </c>
      <c r="D3242" s="851">
        <v>699.58181999999999</v>
      </c>
    </row>
    <row r="3243" spans="2:4" x14ac:dyDescent="0.2">
      <c r="B3243" s="876">
        <v>3806</v>
      </c>
      <c r="C3243" s="876" t="s">
        <v>4119</v>
      </c>
      <c r="D3243" s="851">
        <v>702.84614899999997</v>
      </c>
    </row>
    <row r="3244" spans="2:4" x14ac:dyDescent="0.2">
      <c r="B3244" s="876">
        <v>3807</v>
      </c>
      <c r="C3244" s="876" t="s">
        <v>4120</v>
      </c>
      <c r="D3244" s="851">
        <v>722.67999299999997</v>
      </c>
    </row>
    <row r="3245" spans="2:4" x14ac:dyDescent="0.2">
      <c r="B3245" s="876">
        <v>3808</v>
      </c>
      <c r="C3245" s="876" t="s">
        <v>4121</v>
      </c>
      <c r="D3245" s="851">
        <v>616.15713900000003</v>
      </c>
    </row>
    <row r="3246" spans="2:4" x14ac:dyDescent="0.2">
      <c r="B3246" s="876">
        <v>3809</v>
      </c>
      <c r="C3246" s="876" t="s">
        <v>4122</v>
      </c>
      <c r="D3246" s="851">
        <v>619.02221699999996</v>
      </c>
    </row>
    <row r="3247" spans="2:4" x14ac:dyDescent="0.2">
      <c r="B3247" s="876">
        <v>3810</v>
      </c>
      <c r="C3247" s="876" t="s">
        <v>3446</v>
      </c>
      <c r="D3247" s="851">
        <v>617.85999800000002</v>
      </c>
    </row>
    <row r="3248" spans="2:4" x14ac:dyDescent="0.2">
      <c r="B3248" s="876">
        <v>3811</v>
      </c>
      <c r="C3248" s="876" t="s">
        <v>4123</v>
      </c>
      <c r="D3248" s="851">
        <v>628.20588999999995</v>
      </c>
    </row>
    <row r="3249" spans="2:4" x14ac:dyDescent="0.2">
      <c r="B3249" s="876">
        <v>3812</v>
      </c>
      <c r="C3249" s="876" t="s">
        <v>4124</v>
      </c>
      <c r="D3249" s="851">
        <v>605.17500299999995</v>
      </c>
    </row>
    <row r="3250" spans="2:4" x14ac:dyDescent="0.2">
      <c r="B3250" s="876">
        <v>3813</v>
      </c>
      <c r="C3250" s="876" t="s">
        <v>1812</v>
      </c>
      <c r="D3250" s="851">
        <v>674.66000399999996</v>
      </c>
    </row>
    <row r="3251" spans="2:4" x14ac:dyDescent="0.2">
      <c r="B3251" s="876">
        <v>3814</v>
      </c>
      <c r="C3251" s="876" t="s">
        <v>4125</v>
      </c>
      <c r="D3251" s="851">
        <v>664.04166699999996</v>
      </c>
    </row>
    <row r="3252" spans="2:4" x14ac:dyDescent="0.2">
      <c r="B3252" s="876">
        <v>3815</v>
      </c>
      <c r="C3252" s="876" t="s">
        <v>3235</v>
      </c>
      <c r="D3252" s="851">
        <v>627.10000300000002</v>
      </c>
    </row>
    <row r="3253" spans="2:4" x14ac:dyDescent="0.2">
      <c r="B3253" s="876">
        <v>3816</v>
      </c>
      <c r="C3253" s="876" t="s">
        <v>4126</v>
      </c>
      <c r="D3253" s="851">
        <v>715.53334600000005</v>
      </c>
    </row>
    <row r="3254" spans="2:4" x14ac:dyDescent="0.2">
      <c r="B3254" s="876">
        <v>3817</v>
      </c>
      <c r="C3254" s="876" t="s">
        <v>4127</v>
      </c>
      <c r="D3254" s="851">
        <v>626.32857799999999</v>
      </c>
    </row>
    <row r="3255" spans="2:4" x14ac:dyDescent="0.2">
      <c r="B3255" s="876">
        <v>3818</v>
      </c>
      <c r="C3255" s="876" t="s">
        <v>4128</v>
      </c>
      <c r="D3255" s="851">
        <v>708.99333100000001</v>
      </c>
    </row>
    <row r="3256" spans="2:4" x14ac:dyDescent="0.2">
      <c r="B3256" s="876">
        <v>3819</v>
      </c>
      <c r="C3256" s="876" t="s">
        <v>1487</v>
      </c>
      <c r="D3256" s="851">
        <v>624.61667899999998</v>
      </c>
    </row>
    <row r="3257" spans="2:4" x14ac:dyDescent="0.2">
      <c r="B3257" s="876">
        <v>3820</v>
      </c>
      <c r="C3257" s="876" t="s">
        <v>4129</v>
      </c>
      <c r="D3257" s="851">
        <v>645.70714899999996</v>
      </c>
    </row>
    <row r="3258" spans="2:4" x14ac:dyDescent="0.2">
      <c r="B3258" s="876">
        <v>3821</v>
      </c>
      <c r="C3258" s="876" t="s">
        <v>4130</v>
      </c>
      <c r="D3258" s="851">
        <v>652.05554900000004</v>
      </c>
    </row>
    <row r="3259" spans="2:4" x14ac:dyDescent="0.2">
      <c r="B3259" s="876">
        <v>3822</v>
      </c>
      <c r="C3259" s="876" t="s">
        <v>4131</v>
      </c>
      <c r="D3259" s="851">
        <v>762.78332499999999</v>
      </c>
    </row>
    <row r="3260" spans="2:4" x14ac:dyDescent="0.2">
      <c r="B3260" s="876">
        <v>3823</v>
      </c>
      <c r="C3260" s="876" t="s">
        <v>4132</v>
      </c>
      <c r="D3260" s="851">
        <v>745.58333300000004</v>
      </c>
    </row>
    <row r="3261" spans="2:4" x14ac:dyDescent="0.2">
      <c r="B3261" s="876">
        <v>3824</v>
      </c>
      <c r="C3261" s="876" t="s">
        <v>4133</v>
      </c>
      <c r="D3261" s="851">
        <v>690.23332700000003</v>
      </c>
    </row>
    <row r="3262" spans="2:4" x14ac:dyDescent="0.2">
      <c r="B3262" s="876">
        <v>3825</v>
      </c>
      <c r="C3262" s="876" t="s">
        <v>4134</v>
      </c>
      <c r="D3262" s="851">
        <v>642.95832800000005</v>
      </c>
    </row>
    <row r="3263" spans="2:4" x14ac:dyDescent="0.2">
      <c r="B3263" s="876">
        <v>3826</v>
      </c>
      <c r="C3263" s="876" t="s">
        <v>4135</v>
      </c>
      <c r="D3263" s="851">
        <v>694.25000999999997</v>
      </c>
    </row>
    <row r="3264" spans="2:4" x14ac:dyDescent="0.2">
      <c r="B3264" s="876">
        <v>3827</v>
      </c>
      <c r="C3264" s="876" t="s">
        <v>4136</v>
      </c>
      <c r="D3264" s="851">
        <v>611.63999799999999</v>
      </c>
    </row>
    <row r="3265" spans="2:4" x14ac:dyDescent="0.2">
      <c r="B3265" s="876">
        <v>3828</v>
      </c>
      <c r="C3265" s="876" t="s">
        <v>4137</v>
      </c>
      <c r="D3265" s="851">
        <v>687.93332899999996</v>
      </c>
    </row>
    <row r="3266" spans="2:4" x14ac:dyDescent="0.2">
      <c r="B3266" s="876">
        <v>3829</v>
      </c>
      <c r="C3266" s="876" t="s">
        <v>4138</v>
      </c>
      <c r="D3266" s="851">
        <v>742.93332899999996</v>
      </c>
    </row>
    <row r="3267" spans="2:4" x14ac:dyDescent="0.2">
      <c r="B3267" s="876">
        <v>3830</v>
      </c>
      <c r="C3267" s="876" t="s">
        <v>4139</v>
      </c>
      <c r="D3267" s="851">
        <v>677.32142899999997</v>
      </c>
    </row>
    <row r="3268" spans="2:4" x14ac:dyDescent="0.2">
      <c r="B3268" s="876">
        <v>3831</v>
      </c>
      <c r="C3268" s="876" t="s">
        <v>4140</v>
      </c>
      <c r="D3268" s="851">
        <v>666.94000200000005</v>
      </c>
    </row>
    <row r="3269" spans="2:4" x14ac:dyDescent="0.2">
      <c r="B3269" s="876">
        <v>3832</v>
      </c>
      <c r="C3269" s="876" t="s">
        <v>4141</v>
      </c>
      <c r="D3269" s="851">
        <v>619.04999799999996</v>
      </c>
    </row>
    <row r="3270" spans="2:4" x14ac:dyDescent="0.2">
      <c r="B3270" s="876">
        <v>3833</v>
      </c>
      <c r="C3270" s="876" t="s">
        <v>4142</v>
      </c>
      <c r="D3270" s="851">
        <v>643.86364200000003</v>
      </c>
    </row>
    <row r="3271" spans="2:4" x14ac:dyDescent="0.2">
      <c r="B3271" s="876">
        <v>3834</v>
      </c>
      <c r="C3271" s="876" t="s">
        <v>4143</v>
      </c>
      <c r="D3271" s="851">
        <v>631.776926</v>
      </c>
    </row>
    <row r="3272" spans="2:4" x14ac:dyDescent="0.2">
      <c r="B3272" s="876">
        <v>3835</v>
      </c>
      <c r="C3272" s="876" t="s">
        <v>4144</v>
      </c>
      <c r="D3272" s="851">
        <v>611.32221800000002</v>
      </c>
    </row>
    <row r="3273" spans="2:4" x14ac:dyDescent="0.2">
      <c r="B3273" s="876">
        <v>3836</v>
      </c>
      <c r="C3273" s="876" t="s">
        <v>4145</v>
      </c>
      <c r="D3273" s="851">
        <v>621.32499700000005</v>
      </c>
    </row>
    <row r="3274" spans="2:4" x14ac:dyDescent="0.2">
      <c r="B3274" s="876">
        <v>3837</v>
      </c>
      <c r="C3274" s="876" t="s">
        <v>4146</v>
      </c>
      <c r="D3274" s="851">
        <v>691.53334600000005</v>
      </c>
    </row>
    <row r="3275" spans="2:4" x14ac:dyDescent="0.2">
      <c r="B3275" s="876">
        <v>3838</v>
      </c>
      <c r="C3275" s="876" t="s">
        <v>4147</v>
      </c>
      <c r="D3275" s="851">
        <v>675.30000800000005</v>
      </c>
    </row>
    <row r="3276" spans="2:4" x14ac:dyDescent="0.2">
      <c r="B3276" s="876">
        <v>3839</v>
      </c>
      <c r="C3276" s="876" t="s">
        <v>1135</v>
      </c>
      <c r="D3276" s="851">
        <v>669.5</v>
      </c>
    </row>
    <row r="3277" spans="2:4" x14ac:dyDescent="0.2">
      <c r="B3277" s="876">
        <v>3840</v>
      </c>
      <c r="C3277" s="876" t="s">
        <v>4148</v>
      </c>
      <c r="D3277" s="851">
        <v>686.21999500000004</v>
      </c>
    </row>
    <row r="3278" spans="2:4" x14ac:dyDescent="0.2">
      <c r="B3278" s="876">
        <v>3841</v>
      </c>
      <c r="C3278" s="876" t="s">
        <v>4149</v>
      </c>
      <c r="D3278" s="851">
        <v>721</v>
      </c>
    </row>
    <row r="3279" spans="2:4" x14ac:dyDescent="0.2">
      <c r="B3279" s="876">
        <v>3842</v>
      </c>
      <c r="C3279" s="876" t="s">
        <v>4150</v>
      </c>
      <c r="D3279" s="851">
        <v>717.48331700000006</v>
      </c>
    </row>
    <row r="3280" spans="2:4" x14ac:dyDescent="0.2">
      <c r="B3280" s="876">
        <v>3843</v>
      </c>
      <c r="C3280" s="876" t="s">
        <v>3641</v>
      </c>
      <c r="D3280" s="851">
        <v>679.95999800000004</v>
      </c>
    </row>
    <row r="3281" spans="2:4" x14ac:dyDescent="0.2">
      <c r="B3281" s="876">
        <v>3844</v>
      </c>
      <c r="C3281" s="876" t="s">
        <v>4151</v>
      </c>
      <c r="D3281" s="851">
        <v>664</v>
      </c>
    </row>
    <row r="3282" spans="2:4" x14ac:dyDescent="0.2">
      <c r="B3282" s="876">
        <v>3845</v>
      </c>
      <c r="C3282" s="876" t="s">
        <v>1498</v>
      </c>
      <c r="D3282" s="851">
        <v>657.50908300000003</v>
      </c>
    </row>
    <row r="3283" spans="2:4" x14ac:dyDescent="0.2">
      <c r="B3283" s="876">
        <v>3846</v>
      </c>
      <c r="C3283" s="876" t="s">
        <v>4152</v>
      </c>
      <c r="D3283" s="851">
        <v>702.18332899999996</v>
      </c>
    </row>
    <row r="3284" spans="2:4" x14ac:dyDescent="0.2">
      <c r="B3284" s="876">
        <v>3847</v>
      </c>
      <c r="C3284" s="876" t="s">
        <v>4153</v>
      </c>
      <c r="D3284" s="851">
        <v>735.56667100000004</v>
      </c>
    </row>
    <row r="3285" spans="2:4" x14ac:dyDescent="0.2">
      <c r="B3285" s="876">
        <v>3848</v>
      </c>
      <c r="C3285" s="876" t="s">
        <v>4154</v>
      </c>
      <c r="D3285" s="851">
        <v>626.85455300000001</v>
      </c>
    </row>
    <row r="3286" spans="2:4" x14ac:dyDescent="0.2">
      <c r="B3286" s="876">
        <v>3849</v>
      </c>
      <c r="C3286" s="876" t="s">
        <v>4155</v>
      </c>
      <c r="D3286" s="851">
        <v>638.25001499999996</v>
      </c>
    </row>
    <row r="3287" spans="2:4" x14ac:dyDescent="0.2">
      <c r="B3287" s="876">
        <v>3850</v>
      </c>
      <c r="C3287" s="876" t="s">
        <v>4156</v>
      </c>
      <c r="D3287" s="851">
        <v>668.36665900000003</v>
      </c>
    </row>
    <row r="3288" spans="2:4" x14ac:dyDescent="0.2">
      <c r="B3288" s="876">
        <v>3851</v>
      </c>
      <c r="C3288" s="876" t="s">
        <v>4157</v>
      </c>
      <c r="D3288" s="851">
        <v>712.58333300000004</v>
      </c>
    </row>
    <row r="3289" spans="2:4" x14ac:dyDescent="0.2">
      <c r="B3289" s="876">
        <v>3852</v>
      </c>
      <c r="C3289" s="876" t="s">
        <v>4158</v>
      </c>
      <c r="D3289" s="851">
        <v>605.84286099999997</v>
      </c>
    </row>
    <row r="3290" spans="2:4" x14ac:dyDescent="0.2">
      <c r="B3290" s="876">
        <v>3853</v>
      </c>
      <c r="C3290" s="876" t="s">
        <v>4159</v>
      </c>
      <c r="D3290" s="851">
        <v>737.81667100000004</v>
      </c>
    </row>
    <row r="3291" spans="2:4" x14ac:dyDescent="0.2">
      <c r="B3291" s="876">
        <v>3854</v>
      </c>
      <c r="C3291" s="876" t="s">
        <v>4160</v>
      </c>
      <c r="D3291" s="851">
        <v>663.100008</v>
      </c>
    </row>
    <row r="3292" spans="2:4" x14ac:dyDescent="0.2">
      <c r="B3292" s="876">
        <v>3855</v>
      </c>
      <c r="C3292" s="876" t="s">
        <v>4161</v>
      </c>
      <c r="D3292" s="851">
        <v>722.27500899999995</v>
      </c>
    </row>
    <row r="3293" spans="2:4" x14ac:dyDescent="0.2">
      <c r="B3293" s="876">
        <v>3856</v>
      </c>
      <c r="C3293" s="876" t="s">
        <v>4162</v>
      </c>
      <c r="D3293" s="851">
        <v>707.79999799999996</v>
      </c>
    </row>
    <row r="3294" spans="2:4" x14ac:dyDescent="0.2">
      <c r="B3294" s="876">
        <v>3857</v>
      </c>
      <c r="C3294" s="876" t="s">
        <v>4163</v>
      </c>
      <c r="D3294" s="851">
        <v>744.32000700000003</v>
      </c>
    </row>
    <row r="3295" spans="2:4" x14ac:dyDescent="0.2">
      <c r="B3295" s="876">
        <v>3858</v>
      </c>
      <c r="C3295" s="876" t="s">
        <v>4164</v>
      </c>
      <c r="D3295" s="851">
        <v>744.42221400000005</v>
      </c>
    </row>
    <row r="3296" spans="2:4" x14ac:dyDescent="0.2">
      <c r="B3296" s="876">
        <v>3859</v>
      </c>
      <c r="C3296" s="876" t="s">
        <v>4165</v>
      </c>
      <c r="D3296" s="851">
        <v>652.29999999999995</v>
      </c>
    </row>
    <row r="3297" spans="2:4" x14ac:dyDescent="0.2">
      <c r="B3297" s="876">
        <v>3860</v>
      </c>
      <c r="C3297" s="876" t="s">
        <v>4166</v>
      </c>
      <c r="D3297" s="851">
        <v>645.985004</v>
      </c>
    </row>
    <row r="3298" spans="2:4" x14ac:dyDescent="0.2">
      <c r="B3298" s="876">
        <v>3861</v>
      </c>
      <c r="C3298" s="876" t="s">
        <v>4167</v>
      </c>
      <c r="D3298" s="851">
        <v>688.383331</v>
      </c>
    </row>
    <row r="3299" spans="2:4" x14ac:dyDescent="0.2">
      <c r="B3299" s="876">
        <v>3862</v>
      </c>
      <c r="C3299" s="876" t="s">
        <v>4168</v>
      </c>
      <c r="D3299" s="851">
        <v>707.39999399999999</v>
      </c>
    </row>
    <row r="3300" spans="2:4" x14ac:dyDescent="0.2">
      <c r="B3300" s="876">
        <v>3863</v>
      </c>
      <c r="C3300" s="876" t="s">
        <v>4169</v>
      </c>
      <c r="D3300" s="851">
        <v>666.40000399999997</v>
      </c>
    </row>
    <row r="3301" spans="2:4" x14ac:dyDescent="0.2">
      <c r="B3301" s="876">
        <v>3864</v>
      </c>
      <c r="C3301" s="876" t="s">
        <v>4170</v>
      </c>
      <c r="D3301" s="851">
        <v>670.98571800000002</v>
      </c>
    </row>
    <row r="3302" spans="2:4" x14ac:dyDescent="0.2">
      <c r="B3302" s="876">
        <v>3865</v>
      </c>
      <c r="C3302" s="876" t="s">
        <v>4171</v>
      </c>
      <c r="D3302" s="851">
        <v>658.125</v>
      </c>
    </row>
    <row r="3303" spans="2:4" x14ac:dyDescent="0.2">
      <c r="B3303" s="876">
        <v>3866</v>
      </c>
      <c r="C3303" s="876" t="s">
        <v>4172</v>
      </c>
      <c r="D3303" s="851">
        <v>662.875</v>
      </c>
    </row>
    <row r="3304" spans="2:4" x14ac:dyDescent="0.2">
      <c r="B3304" s="876">
        <v>3867</v>
      </c>
      <c r="C3304" s="876" t="s">
        <v>3665</v>
      </c>
      <c r="D3304" s="851">
        <v>687.63334099999997</v>
      </c>
    </row>
    <row r="3305" spans="2:4" x14ac:dyDescent="0.2">
      <c r="B3305" s="876">
        <v>3868</v>
      </c>
      <c r="C3305" s="876" t="s">
        <v>3524</v>
      </c>
      <c r="D3305" s="851">
        <v>638.47272799999996</v>
      </c>
    </row>
    <row r="3306" spans="2:4" x14ac:dyDescent="0.2">
      <c r="B3306" s="876">
        <v>3869</v>
      </c>
      <c r="C3306" s="876" t="s">
        <v>4173</v>
      </c>
      <c r="D3306" s="851">
        <v>610.78750600000001</v>
      </c>
    </row>
    <row r="3307" spans="2:4" x14ac:dyDescent="0.2">
      <c r="B3307" s="876">
        <v>3870</v>
      </c>
      <c r="C3307" s="876" t="s">
        <v>4174</v>
      </c>
      <c r="D3307" s="851">
        <v>637.02858200000003</v>
      </c>
    </row>
    <row r="3308" spans="2:4" x14ac:dyDescent="0.2">
      <c r="B3308" s="876">
        <v>3871</v>
      </c>
      <c r="C3308" s="876" t="s">
        <v>4175</v>
      </c>
      <c r="D3308" s="851">
        <v>623.92499299999997</v>
      </c>
    </row>
    <row r="3309" spans="2:4" x14ac:dyDescent="0.2">
      <c r="B3309" s="876">
        <v>3872</v>
      </c>
      <c r="C3309" s="876" t="s">
        <v>4176</v>
      </c>
      <c r="D3309" s="851">
        <v>723.34997599999997</v>
      </c>
    </row>
    <row r="3310" spans="2:4" x14ac:dyDescent="0.2">
      <c r="B3310" s="876">
        <v>3873</v>
      </c>
      <c r="C3310" s="876" t="s">
        <v>4177</v>
      </c>
      <c r="D3310" s="851">
        <v>711.383331</v>
      </c>
    </row>
    <row r="3311" spans="2:4" x14ac:dyDescent="0.2">
      <c r="B3311" s="876">
        <v>3874</v>
      </c>
      <c r="C3311" s="876" t="s">
        <v>4178</v>
      </c>
      <c r="D3311" s="851">
        <v>759.77499399999999</v>
      </c>
    </row>
    <row r="3312" spans="2:4" x14ac:dyDescent="0.2">
      <c r="B3312" s="876">
        <v>3875</v>
      </c>
      <c r="C3312" s="876" t="s">
        <v>4179</v>
      </c>
      <c r="D3312" s="851">
        <v>637.71764399999995</v>
      </c>
    </row>
    <row r="3313" spans="2:4" x14ac:dyDescent="0.2">
      <c r="B3313" s="876">
        <v>3876</v>
      </c>
      <c r="C3313" s="876" t="s">
        <v>4180</v>
      </c>
      <c r="D3313" s="851">
        <v>666.68333900000005</v>
      </c>
    </row>
    <row r="3314" spans="2:4" x14ac:dyDescent="0.2">
      <c r="B3314" s="876">
        <v>3877</v>
      </c>
      <c r="C3314" s="876" t="s">
        <v>4181</v>
      </c>
      <c r="D3314" s="851">
        <v>601.47499100000005</v>
      </c>
    </row>
    <row r="3315" spans="2:4" x14ac:dyDescent="0.2">
      <c r="B3315" s="876">
        <v>3878</v>
      </c>
      <c r="C3315" s="876" t="s">
        <v>4182</v>
      </c>
      <c r="D3315" s="851">
        <v>608.22500600000001</v>
      </c>
    </row>
    <row r="3316" spans="2:4" x14ac:dyDescent="0.2">
      <c r="B3316" s="876">
        <v>3879</v>
      </c>
      <c r="C3316" s="876" t="s">
        <v>3541</v>
      </c>
      <c r="D3316" s="851">
        <v>643.34286099999997</v>
      </c>
    </row>
    <row r="3317" spans="2:4" x14ac:dyDescent="0.2">
      <c r="B3317" s="876">
        <v>3880</v>
      </c>
      <c r="C3317" s="876" t="s">
        <v>4183</v>
      </c>
      <c r="D3317" s="851">
        <v>689.02499399999999</v>
      </c>
    </row>
    <row r="3318" spans="2:4" x14ac:dyDescent="0.2">
      <c r="B3318" s="876">
        <v>3881</v>
      </c>
      <c r="C3318" s="876" t="s">
        <v>4184</v>
      </c>
      <c r="D3318" s="851">
        <v>620.57500500000003</v>
      </c>
    </row>
    <row r="3319" spans="2:4" x14ac:dyDescent="0.2">
      <c r="B3319" s="876">
        <v>3882</v>
      </c>
      <c r="C3319" s="876" t="s">
        <v>4185</v>
      </c>
      <c r="D3319" s="851">
        <v>670.05000299999995</v>
      </c>
    </row>
    <row r="3320" spans="2:4" x14ac:dyDescent="0.2">
      <c r="B3320" s="876">
        <v>3883</v>
      </c>
      <c r="C3320" s="876" t="s">
        <v>4186</v>
      </c>
      <c r="D3320" s="851">
        <v>684.84999800000003</v>
      </c>
    </row>
    <row r="3321" spans="2:4" x14ac:dyDescent="0.2">
      <c r="B3321" s="876">
        <v>3884</v>
      </c>
      <c r="C3321" s="876" t="s">
        <v>4187</v>
      </c>
      <c r="D3321" s="851">
        <v>616.47143600000004</v>
      </c>
    </row>
    <row r="3322" spans="2:4" x14ac:dyDescent="0.2">
      <c r="B3322" s="876">
        <v>3885</v>
      </c>
      <c r="C3322" s="876" t="s">
        <v>4188</v>
      </c>
      <c r="D3322" s="851">
        <v>620.96666000000005</v>
      </c>
    </row>
    <row r="3323" spans="2:4" x14ac:dyDescent="0.2">
      <c r="B3323" s="876">
        <v>3886</v>
      </c>
      <c r="C3323" s="876" t="s">
        <v>4189</v>
      </c>
      <c r="D3323" s="851">
        <v>839.54998799999998</v>
      </c>
    </row>
    <row r="3324" spans="2:4" x14ac:dyDescent="0.2">
      <c r="B3324" s="876">
        <v>3887</v>
      </c>
      <c r="C3324" s="876" t="s">
        <v>4190</v>
      </c>
      <c r="D3324" s="851">
        <v>626.54999999999995</v>
      </c>
    </row>
    <row r="3325" spans="2:4" x14ac:dyDescent="0.2">
      <c r="B3325" s="876">
        <v>3888</v>
      </c>
      <c r="C3325" s="876" t="s">
        <v>4191</v>
      </c>
      <c r="D3325" s="851">
        <v>732.37143400000002</v>
      </c>
    </row>
    <row r="3326" spans="2:4" x14ac:dyDescent="0.2">
      <c r="B3326" s="876">
        <v>3889</v>
      </c>
      <c r="C3326" s="876" t="s">
        <v>4192</v>
      </c>
      <c r="D3326" s="851">
        <v>669.740002</v>
      </c>
    </row>
    <row r="3327" spans="2:4" x14ac:dyDescent="0.2">
      <c r="B3327" s="876">
        <v>3890</v>
      </c>
      <c r="C3327" s="876" t="s">
        <v>3416</v>
      </c>
      <c r="D3327" s="851">
        <v>620.05385200000001</v>
      </c>
    </row>
    <row r="3328" spans="2:4" x14ac:dyDescent="0.2">
      <c r="B3328" s="876">
        <v>3891</v>
      </c>
      <c r="C3328" s="876" t="s">
        <v>4193</v>
      </c>
      <c r="D3328" s="851">
        <v>586.39166299999999</v>
      </c>
    </row>
    <row r="3329" spans="2:4" x14ac:dyDescent="0.2">
      <c r="B3329" s="876">
        <v>3892</v>
      </c>
      <c r="C3329" s="876" t="s">
        <v>369</v>
      </c>
      <c r="D3329" s="851">
        <v>641.55384200000003</v>
      </c>
    </row>
    <row r="3330" spans="2:4" x14ac:dyDescent="0.2">
      <c r="B3330" s="876">
        <v>3893</v>
      </c>
      <c r="C3330" s="876" t="s">
        <v>4194</v>
      </c>
      <c r="D3330" s="851">
        <v>634.91665599999999</v>
      </c>
    </row>
    <row r="3331" spans="2:4" x14ac:dyDescent="0.2">
      <c r="B3331" s="876">
        <v>3894</v>
      </c>
      <c r="C3331" s="876" t="s">
        <v>4195</v>
      </c>
      <c r="D3331" s="851">
        <v>724.25</v>
      </c>
    </row>
    <row r="3332" spans="2:4" x14ac:dyDescent="0.2">
      <c r="B3332" s="876">
        <v>3895</v>
      </c>
      <c r="C3332" s="876" t="s">
        <v>4196</v>
      </c>
      <c r="D3332" s="851">
        <v>808.1875</v>
      </c>
    </row>
    <row r="3333" spans="2:4" x14ac:dyDescent="0.2">
      <c r="B3333" s="876">
        <v>3896</v>
      </c>
      <c r="C3333" s="876" t="s">
        <v>4197</v>
      </c>
      <c r="D3333" s="851">
        <v>756.14000199999998</v>
      </c>
    </row>
    <row r="3334" spans="2:4" x14ac:dyDescent="0.2">
      <c r="B3334" s="876">
        <v>3897</v>
      </c>
      <c r="C3334" s="876" t="s">
        <v>4198</v>
      </c>
      <c r="D3334" s="851">
        <v>762.5</v>
      </c>
    </row>
    <row r="3335" spans="2:4" x14ac:dyDescent="0.2">
      <c r="B3335" s="876">
        <v>3898</v>
      </c>
      <c r="C3335" s="876" t="s">
        <v>363</v>
      </c>
      <c r="D3335" s="851">
        <v>615.69999900000005</v>
      </c>
    </row>
    <row r="3336" spans="2:4" x14ac:dyDescent="0.2">
      <c r="B3336" s="876">
        <v>3899</v>
      </c>
      <c r="C3336" s="876" t="s">
        <v>4199</v>
      </c>
      <c r="D3336" s="851">
        <v>655.39285299999995</v>
      </c>
    </row>
    <row r="3337" spans="2:4" x14ac:dyDescent="0.2">
      <c r="B3337" s="876">
        <v>3900</v>
      </c>
      <c r="C3337" s="876" t="s">
        <v>4200</v>
      </c>
      <c r="D3337" s="851">
        <v>694.15999799999997</v>
      </c>
    </row>
    <row r="3338" spans="2:4" x14ac:dyDescent="0.2">
      <c r="B3338" s="876">
        <v>3901</v>
      </c>
      <c r="C3338" s="876" t="s">
        <v>4201</v>
      </c>
      <c r="D3338" s="851">
        <v>708.91999499999997</v>
      </c>
    </row>
    <row r="3339" spans="2:4" x14ac:dyDescent="0.2">
      <c r="B3339" s="876">
        <v>3902</v>
      </c>
      <c r="C3339" s="876" t="s">
        <v>4202</v>
      </c>
      <c r="D3339" s="851">
        <v>681.09997599999997</v>
      </c>
    </row>
    <row r="3340" spans="2:4" x14ac:dyDescent="0.2">
      <c r="B3340" s="876">
        <v>3903</v>
      </c>
      <c r="C3340" s="876" t="s">
        <v>4203</v>
      </c>
      <c r="D3340" s="851">
        <v>690.69999700000005</v>
      </c>
    </row>
    <row r="3341" spans="2:4" x14ac:dyDescent="0.2">
      <c r="B3341" s="876">
        <v>3904</v>
      </c>
      <c r="C3341" s="876" t="s">
        <v>4204</v>
      </c>
      <c r="D3341" s="851">
        <v>641.02999899999998</v>
      </c>
    </row>
    <row r="3342" spans="2:4" x14ac:dyDescent="0.2">
      <c r="B3342" s="876">
        <v>3905</v>
      </c>
      <c r="C3342" s="876" t="s">
        <v>4205</v>
      </c>
      <c r="D3342" s="851">
        <v>730.63999000000001</v>
      </c>
    </row>
    <row r="3343" spans="2:4" x14ac:dyDescent="0.2">
      <c r="B3343" s="876">
        <v>3906</v>
      </c>
      <c r="C3343" s="876" t="s">
        <v>4206</v>
      </c>
      <c r="D3343" s="851">
        <v>699.06667100000004</v>
      </c>
    </row>
    <row r="3344" spans="2:4" x14ac:dyDescent="0.2">
      <c r="B3344" s="876">
        <v>3907</v>
      </c>
      <c r="C3344" s="876" t="s">
        <v>4207</v>
      </c>
      <c r="D3344" s="851">
        <v>638.6875</v>
      </c>
    </row>
    <row r="3345" spans="2:4" x14ac:dyDescent="0.2">
      <c r="B3345" s="876">
        <v>3908</v>
      </c>
      <c r="C3345" s="876" t="s">
        <v>4208</v>
      </c>
      <c r="D3345" s="851">
        <v>658.87999300000001</v>
      </c>
    </row>
    <row r="3346" spans="2:4" x14ac:dyDescent="0.2">
      <c r="B3346" s="876">
        <v>3909</v>
      </c>
      <c r="C3346" s="876" t="s">
        <v>4209</v>
      </c>
      <c r="D3346" s="851">
        <v>640.12380800000005</v>
      </c>
    </row>
    <row r="3347" spans="2:4" x14ac:dyDescent="0.2">
      <c r="B3347" s="876">
        <v>3910</v>
      </c>
      <c r="C3347" s="876" t="s">
        <v>4210</v>
      </c>
      <c r="D3347" s="851">
        <v>648.54000199999996</v>
      </c>
    </row>
    <row r="3348" spans="2:4" x14ac:dyDescent="0.2">
      <c r="B3348" s="876">
        <v>3911</v>
      </c>
      <c r="C3348" s="876" t="s">
        <v>4211</v>
      </c>
      <c r="D3348" s="851">
        <v>818.85999800000002</v>
      </c>
    </row>
    <row r="3349" spans="2:4" x14ac:dyDescent="0.2">
      <c r="B3349" s="876">
        <v>3912</v>
      </c>
      <c r="C3349" s="876" t="s">
        <v>3423</v>
      </c>
      <c r="D3349" s="851">
        <v>614.17499299999997</v>
      </c>
    </row>
    <row r="3350" spans="2:4" x14ac:dyDescent="0.2">
      <c r="B3350" s="876">
        <v>3913</v>
      </c>
      <c r="C3350" s="876" t="s">
        <v>4212</v>
      </c>
      <c r="D3350" s="851">
        <v>620.87143400000002</v>
      </c>
    </row>
    <row r="3351" spans="2:4" x14ac:dyDescent="0.2">
      <c r="B3351" s="876">
        <v>3914</v>
      </c>
      <c r="C3351" s="876" t="s">
        <v>4213</v>
      </c>
      <c r="D3351" s="851">
        <v>649.62857499999996</v>
      </c>
    </row>
    <row r="3352" spans="2:4" x14ac:dyDescent="0.2">
      <c r="B3352" s="876">
        <v>3915</v>
      </c>
      <c r="C3352" s="876" t="s">
        <v>4214</v>
      </c>
      <c r="D3352" s="851">
        <v>662.99998500000004</v>
      </c>
    </row>
    <row r="3353" spans="2:4" x14ac:dyDescent="0.2">
      <c r="B3353" s="876">
        <v>3916</v>
      </c>
      <c r="C3353" s="876" t="s">
        <v>4215</v>
      </c>
      <c r="D3353" s="851">
        <v>643.82857799999999</v>
      </c>
    </row>
    <row r="3354" spans="2:4" x14ac:dyDescent="0.2">
      <c r="B3354" s="876">
        <v>3917</v>
      </c>
      <c r="C3354" s="876" t="s">
        <v>4216</v>
      </c>
      <c r="D3354" s="851">
        <v>673.66666699999996</v>
      </c>
    </row>
    <row r="3355" spans="2:4" x14ac:dyDescent="0.2">
      <c r="B3355" s="876">
        <v>3918</v>
      </c>
      <c r="C3355" s="876" t="s">
        <v>4217</v>
      </c>
      <c r="D3355" s="851">
        <v>611.58572000000004</v>
      </c>
    </row>
    <row r="3356" spans="2:4" x14ac:dyDescent="0.2">
      <c r="B3356" s="876">
        <v>3919</v>
      </c>
      <c r="C3356" s="876" t="s">
        <v>1843</v>
      </c>
      <c r="D3356" s="851">
        <v>665</v>
      </c>
    </row>
    <row r="3357" spans="2:4" x14ac:dyDescent="0.2">
      <c r="B3357" s="876">
        <v>3951</v>
      </c>
      <c r="C3357" s="876" t="s">
        <v>4218</v>
      </c>
      <c r="D3357" s="851">
        <v>752.28000499999996</v>
      </c>
    </row>
    <row r="3358" spans="2:4" x14ac:dyDescent="0.2">
      <c r="B3358" s="876">
        <v>3952</v>
      </c>
      <c r="C3358" s="876" t="s">
        <v>4219</v>
      </c>
      <c r="D3358" s="851">
        <v>688.94999199999995</v>
      </c>
    </row>
    <row r="3359" spans="2:4" x14ac:dyDescent="0.2">
      <c r="B3359" s="876">
        <v>3953</v>
      </c>
      <c r="C3359" s="876" t="s">
        <v>4220</v>
      </c>
      <c r="D3359" s="851">
        <v>730.76000599999998</v>
      </c>
    </row>
    <row r="3360" spans="2:4" x14ac:dyDescent="0.2">
      <c r="B3360" s="876">
        <v>3954</v>
      </c>
      <c r="C3360" s="876" t="s">
        <v>4221</v>
      </c>
      <c r="D3360" s="851">
        <v>771.29998799999998</v>
      </c>
    </row>
    <row r="3361" spans="2:4" x14ac:dyDescent="0.2">
      <c r="B3361" s="876">
        <v>3955</v>
      </c>
      <c r="C3361" s="876" t="s">
        <v>4222</v>
      </c>
      <c r="D3361" s="851">
        <v>675.00001999999995</v>
      </c>
    </row>
    <row r="3362" spans="2:4" x14ac:dyDescent="0.2">
      <c r="B3362" s="876">
        <v>3956</v>
      </c>
      <c r="C3362" s="876" t="s">
        <v>4223</v>
      </c>
      <c r="D3362" s="851">
        <v>648.47273399999995</v>
      </c>
    </row>
    <row r="3363" spans="2:4" x14ac:dyDescent="0.2">
      <c r="B3363" s="876">
        <v>3957</v>
      </c>
      <c r="C3363" s="876" t="s">
        <v>4224</v>
      </c>
      <c r="D3363" s="851">
        <v>643.88888199999997</v>
      </c>
    </row>
    <row r="3364" spans="2:4" x14ac:dyDescent="0.2">
      <c r="B3364" s="876">
        <v>3958</v>
      </c>
      <c r="C3364" s="876" t="s">
        <v>4225</v>
      </c>
      <c r="D3364" s="851">
        <v>715.92856300000005</v>
      </c>
    </row>
    <row r="3365" spans="2:4" x14ac:dyDescent="0.2">
      <c r="B3365" s="876">
        <v>3959</v>
      </c>
      <c r="C3365" s="876" t="s">
        <v>4226</v>
      </c>
      <c r="D3365" s="851">
        <v>692.64443600000004</v>
      </c>
    </row>
    <row r="3366" spans="2:4" x14ac:dyDescent="0.2">
      <c r="B3366" s="876">
        <v>3960</v>
      </c>
      <c r="C3366" s="876" t="s">
        <v>4227</v>
      </c>
      <c r="D3366" s="851">
        <v>701.20001200000002</v>
      </c>
    </row>
    <row r="3367" spans="2:4" x14ac:dyDescent="0.2">
      <c r="B3367" s="876">
        <v>3961</v>
      </c>
      <c r="C3367" s="876" t="s">
        <v>4228</v>
      </c>
      <c r="D3367" s="851">
        <v>696.79998799999998</v>
      </c>
    </row>
    <row r="3368" spans="2:4" x14ac:dyDescent="0.2">
      <c r="B3368" s="876">
        <v>3962</v>
      </c>
      <c r="C3368" s="876" t="s">
        <v>4229</v>
      </c>
      <c r="D3368" s="851">
        <v>679.60000600000001</v>
      </c>
    </row>
    <row r="3369" spans="2:4" x14ac:dyDescent="0.2">
      <c r="B3369" s="876">
        <v>3963</v>
      </c>
      <c r="C3369" s="876" t="s">
        <v>4230</v>
      </c>
      <c r="D3369" s="851">
        <v>692.14999399999999</v>
      </c>
    </row>
    <row r="3370" spans="2:4" x14ac:dyDescent="0.2">
      <c r="B3370" s="876">
        <v>3964</v>
      </c>
      <c r="C3370" s="876" t="s">
        <v>4231</v>
      </c>
      <c r="D3370" s="851">
        <v>654.31000400000005</v>
      </c>
    </row>
    <row r="3371" spans="2:4" x14ac:dyDescent="0.2">
      <c r="B3371" s="876">
        <v>3965</v>
      </c>
      <c r="C3371" s="876" t="s">
        <v>4232</v>
      </c>
      <c r="D3371" s="851">
        <v>679.19999700000005</v>
      </c>
    </row>
    <row r="3372" spans="2:4" x14ac:dyDescent="0.2">
      <c r="B3372" s="876">
        <v>3966</v>
      </c>
      <c r="C3372" s="876" t="s">
        <v>4233</v>
      </c>
      <c r="D3372" s="851">
        <v>676.55999799999995</v>
      </c>
    </row>
    <row r="3373" spans="2:4" x14ac:dyDescent="0.2">
      <c r="B3373" s="876">
        <v>3967</v>
      </c>
      <c r="C3373" s="876" t="s">
        <v>4234</v>
      </c>
      <c r="D3373" s="851">
        <v>768.01428199999998</v>
      </c>
    </row>
    <row r="3374" spans="2:4" x14ac:dyDescent="0.2">
      <c r="B3374" s="876">
        <v>3968</v>
      </c>
      <c r="C3374" s="876" t="s">
        <v>1631</v>
      </c>
      <c r="D3374" s="851">
        <v>769.10000600000001</v>
      </c>
    </row>
    <row r="3375" spans="2:4" x14ac:dyDescent="0.2">
      <c r="B3375" s="876">
        <v>3969</v>
      </c>
      <c r="C3375" s="876" t="s">
        <v>4235</v>
      </c>
      <c r="D3375" s="851">
        <v>750.42857100000003</v>
      </c>
    </row>
    <row r="3376" spans="2:4" x14ac:dyDescent="0.2">
      <c r="B3376" s="876">
        <v>3970</v>
      </c>
      <c r="C3376" s="876" t="s">
        <v>4236</v>
      </c>
      <c r="D3376" s="851">
        <v>715.50001499999996</v>
      </c>
    </row>
    <row r="3377" spans="2:4" x14ac:dyDescent="0.2">
      <c r="B3377" s="876">
        <v>3971</v>
      </c>
      <c r="C3377" s="876" t="s">
        <v>4237</v>
      </c>
      <c r="D3377" s="851">
        <v>725.60000600000001</v>
      </c>
    </row>
    <row r="3378" spans="2:4" x14ac:dyDescent="0.2">
      <c r="B3378" s="876">
        <v>3972</v>
      </c>
      <c r="C3378" s="876" t="s">
        <v>4238</v>
      </c>
      <c r="D3378" s="851">
        <v>725.24286800000004</v>
      </c>
    </row>
    <row r="3379" spans="2:4" x14ac:dyDescent="0.2">
      <c r="B3379" s="876">
        <v>3973</v>
      </c>
      <c r="C3379" s="876" t="s">
        <v>4239</v>
      </c>
      <c r="D3379" s="851">
        <v>693.90000699999996</v>
      </c>
    </row>
    <row r="3380" spans="2:4" x14ac:dyDescent="0.2">
      <c r="B3380" s="876">
        <v>3974</v>
      </c>
      <c r="C3380" s="876" t="s">
        <v>4240</v>
      </c>
      <c r="D3380" s="851">
        <v>686.56001000000003</v>
      </c>
    </row>
    <row r="3381" spans="2:4" x14ac:dyDescent="0.2">
      <c r="B3381" s="876">
        <v>3975</v>
      </c>
      <c r="C3381" s="876" t="s">
        <v>4241</v>
      </c>
      <c r="D3381" s="851">
        <v>752.35999800000002</v>
      </c>
    </row>
    <row r="3382" spans="2:4" x14ac:dyDescent="0.2">
      <c r="B3382" s="876">
        <v>3976</v>
      </c>
      <c r="C3382" s="876" t="s">
        <v>4242</v>
      </c>
      <c r="D3382" s="851">
        <v>709.68332899999996</v>
      </c>
    </row>
    <row r="3383" spans="2:4" x14ac:dyDescent="0.2">
      <c r="B3383" s="876">
        <v>3977</v>
      </c>
      <c r="C3383" s="876" t="s">
        <v>4243</v>
      </c>
      <c r="D3383" s="851">
        <v>744.95000500000003</v>
      </c>
    </row>
    <row r="3384" spans="2:4" x14ac:dyDescent="0.2">
      <c r="B3384" s="876">
        <v>3978</v>
      </c>
      <c r="C3384" s="876" t="s">
        <v>4244</v>
      </c>
      <c r="D3384" s="851">
        <v>720.87333599999999</v>
      </c>
    </row>
    <row r="3385" spans="2:4" x14ac:dyDescent="0.2">
      <c r="B3385" s="876">
        <v>3979</v>
      </c>
      <c r="C3385" s="876" t="s">
        <v>4245</v>
      </c>
      <c r="D3385" s="851">
        <v>600.29998799999998</v>
      </c>
    </row>
    <row r="3386" spans="2:4" x14ac:dyDescent="0.2">
      <c r="B3386" s="876">
        <v>3980</v>
      </c>
      <c r="C3386" s="876" t="s">
        <v>4246</v>
      </c>
      <c r="D3386" s="851">
        <v>684.10001599999998</v>
      </c>
    </row>
    <row r="3387" spans="2:4" x14ac:dyDescent="0.2">
      <c r="B3387" s="876">
        <v>3981</v>
      </c>
      <c r="C3387" s="876" t="s">
        <v>4247</v>
      </c>
      <c r="D3387" s="851">
        <v>681.133331</v>
      </c>
    </row>
    <row r="3388" spans="2:4" x14ac:dyDescent="0.2">
      <c r="B3388" s="876">
        <v>3982</v>
      </c>
      <c r="C3388" s="876" t="s">
        <v>4248</v>
      </c>
      <c r="D3388" s="851">
        <v>710.125</v>
      </c>
    </row>
    <row r="3389" spans="2:4" x14ac:dyDescent="0.2">
      <c r="B3389" s="876">
        <v>3983</v>
      </c>
      <c r="C3389" s="876" t="s">
        <v>4249</v>
      </c>
      <c r="D3389" s="851">
        <v>642.96667500000001</v>
      </c>
    </row>
    <row r="3390" spans="2:4" x14ac:dyDescent="0.2">
      <c r="B3390" s="876">
        <v>3984</v>
      </c>
      <c r="C3390" s="876" t="s">
        <v>4250</v>
      </c>
      <c r="D3390" s="851">
        <v>653.07777899999996</v>
      </c>
    </row>
    <row r="3391" spans="2:4" x14ac:dyDescent="0.2">
      <c r="B3391" s="876">
        <v>3985</v>
      </c>
      <c r="C3391" s="876" t="s">
        <v>4251</v>
      </c>
      <c r="D3391" s="851">
        <v>647.22499100000005</v>
      </c>
    </row>
    <row r="3392" spans="2:4" x14ac:dyDescent="0.2">
      <c r="B3392" s="876">
        <v>3986</v>
      </c>
      <c r="C3392" s="876" t="s">
        <v>4252</v>
      </c>
      <c r="D3392" s="851">
        <v>692.44999700000005</v>
      </c>
    </row>
    <row r="3393" spans="2:4" x14ac:dyDescent="0.2">
      <c r="B3393" s="876">
        <v>3987</v>
      </c>
      <c r="C3393" s="876" t="s">
        <v>4253</v>
      </c>
      <c r="D3393" s="851">
        <v>726.30000800000005</v>
      </c>
    </row>
    <row r="3394" spans="2:4" x14ac:dyDescent="0.2">
      <c r="B3394" s="876">
        <v>3988</v>
      </c>
      <c r="C3394" s="876" t="s">
        <v>4254</v>
      </c>
      <c r="D3394" s="851">
        <v>698.60000600000001</v>
      </c>
    </row>
    <row r="3395" spans="2:4" x14ac:dyDescent="0.2">
      <c r="B3395" s="876">
        <v>3989</v>
      </c>
      <c r="C3395" s="876" t="s">
        <v>4255</v>
      </c>
      <c r="D3395" s="851">
        <v>728.366669</v>
      </c>
    </row>
    <row r="3396" spans="2:4" x14ac:dyDescent="0.2">
      <c r="B3396" s="876">
        <v>3990</v>
      </c>
      <c r="C3396" s="876" t="s">
        <v>4256</v>
      </c>
      <c r="D3396" s="851">
        <v>713.692858</v>
      </c>
    </row>
    <row r="3397" spans="2:4" x14ac:dyDescent="0.2">
      <c r="B3397" s="876">
        <v>3991</v>
      </c>
      <c r="C3397" s="876" t="s">
        <v>4257</v>
      </c>
      <c r="D3397" s="851">
        <v>679.10000300000002</v>
      </c>
    </row>
    <row r="3398" spans="2:4" x14ac:dyDescent="0.2">
      <c r="B3398" s="876">
        <v>3992</v>
      </c>
      <c r="C3398" s="876" t="s">
        <v>4258</v>
      </c>
      <c r="D3398" s="851">
        <v>611.79998799999998</v>
      </c>
    </row>
    <row r="3399" spans="2:4" x14ac:dyDescent="0.2">
      <c r="B3399" s="876">
        <v>3993</v>
      </c>
      <c r="C3399" s="876" t="s">
        <v>4259</v>
      </c>
      <c r="D3399" s="851">
        <v>672.52499399999999</v>
      </c>
    </row>
    <row r="3400" spans="2:4" x14ac:dyDescent="0.2">
      <c r="B3400" s="876">
        <v>3994</v>
      </c>
      <c r="C3400" s="876" t="s">
        <v>4260</v>
      </c>
      <c r="D3400" s="851">
        <v>692.55001800000002</v>
      </c>
    </row>
    <row r="3401" spans="2:4" x14ac:dyDescent="0.2">
      <c r="B3401" s="876">
        <v>3995</v>
      </c>
      <c r="C3401" s="876" t="s">
        <v>1784</v>
      </c>
      <c r="D3401" s="851">
        <v>682.95001200000002</v>
      </c>
    </row>
    <row r="3402" spans="2:4" x14ac:dyDescent="0.2">
      <c r="B3402" s="876">
        <v>3996</v>
      </c>
      <c r="C3402" s="876" t="s">
        <v>4261</v>
      </c>
      <c r="D3402" s="851">
        <v>566</v>
      </c>
    </row>
    <row r="3403" spans="2:4" x14ac:dyDescent="0.2">
      <c r="B3403" s="876">
        <v>3997</v>
      </c>
      <c r="C3403" s="876" t="s">
        <v>4262</v>
      </c>
      <c r="D3403" s="851">
        <v>646.55001800000002</v>
      </c>
    </row>
    <row r="3404" spans="2:4" x14ac:dyDescent="0.2">
      <c r="B3404" s="876">
        <v>3998</v>
      </c>
      <c r="C3404" s="876" t="s">
        <v>4263</v>
      </c>
      <c r="D3404" s="851">
        <v>628.740002</v>
      </c>
    </row>
    <row r="3405" spans="2:4" x14ac:dyDescent="0.2">
      <c r="B3405" s="876">
        <v>3999</v>
      </c>
      <c r="C3405" s="876" t="s">
        <v>4097</v>
      </c>
      <c r="D3405" s="851">
        <v>593.95001200000002</v>
      </c>
    </row>
    <row r="3406" spans="2:4" x14ac:dyDescent="0.2">
      <c r="B3406" s="876">
        <v>4000</v>
      </c>
      <c r="C3406" s="876" t="s">
        <v>4264</v>
      </c>
      <c r="D3406" s="851">
        <v>605.34286099999997</v>
      </c>
    </row>
    <row r="3407" spans="2:4" x14ac:dyDescent="0.2">
      <c r="B3407" s="876">
        <v>4001</v>
      </c>
      <c r="C3407" s="876" t="s">
        <v>4265</v>
      </c>
      <c r="D3407" s="851">
        <v>615.23333700000001</v>
      </c>
    </row>
    <row r="3408" spans="2:4" x14ac:dyDescent="0.2">
      <c r="B3408" s="876">
        <v>4002</v>
      </c>
      <c r="C3408" s="876" t="s">
        <v>4266</v>
      </c>
      <c r="D3408" s="851">
        <v>623.25</v>
      </c>
    </row>
    <row r="3409" spans="2:4" x14ac:dyDescent="0.2">
      <c r="B3409" s="876">
        <v>4003</v>
      </c>
      <c r="C3409" s="876" t="s">
        <v>4267</v>
      </c>
      <c r="D3409" s="851">
        <v>632.64999399999999</v>
      </c>
    </row>
    <row r="3410" spans="2:4" x14ac:dyDescent="0.2">
      <c r="B3410" s="876">
        <v>4004</v>
      </c>
      <c r="C3410" s="876" t="s">
        <v>4268</v>
      </c>
      <c r="D3410" s="851">
        <v>614.79999999999995</v>
      </c>
    </row>
    <row r="3411" spans="2:4" x14ac:dyDescent="0.2">
      <c r="B3411" s="876">
        <v>4005</v>
      </c>
      <c r="C3411" s="876" t="s">
        <v>4269</v>
      </c>
      <c r="D3411" s="851">
        <v>776.84999300000004</v>
      </c>
    </row>
    <row r="3412" spans="2:4" x14ac:dyDescent="0.2">
      <c r="B3412" s="876">
        <v>4006</v>
      </c>
      <c r="C3412" s="876" t="s">
        <v>4270</v>
      </c>
      <c r="D3412" s="851">
        <v>791.05882699999995</v>
      </c>
    </row>
    <row r="3413" spans="2:4" x14ac:dyDescent="0.2">
      <c r="B3413" s="876">
        <v>4007</v>
      </c>
      <c r="C3413" s="876" t="s">
        <v>4271</v>
      </c>
      <c r="D3413" s="851">
        <v>744.85000600000001</v>
      </c>
    </row>
    <row r="3414" spans="2:4" x14ac:dyDescent="0.2">
      <c r="B3414" s="876">
        <v>4008</v>
      </c>
      <c r="C3414" s="876" t="s">
        <v>4272</v>
      </c>
      <c r="D3414" s="851">
        <v>777.3</v>
      </c>
    </row>
    <row r="3415" spans="2:4" x14ac:dyDescent="0.2">
      <c r="B3415" s="876">
        <v>4009</v>
      </c>
      <c r="C3415" s="876" t="s">
        <v>4273</v>
      </c>
      <c r="D3415" s="851">
        <v>785.30000800000005</v>
      </c>
    </row>
    <row r="3416" spans="2:4" x14ac:dyDescent="0.2">
      <c r="B3416" s="876">
        <v>4010</v>
      </c>
      <c r="C3416" s="876" t="s">
        <v>3104</v>
      </c>
      <c r="D3416" s="851">
        <v>758.07141999999999</v>
      </c>
    </row>
    <row r="3417" spans="2:4" x14ac:dyDescent="0.2">
      <c r="B3417" s="876">
        <v>4011</v>
      </c>
      <c r="C3417" s="876" t="s">
        <v>4274</v>
      </c>
      <c r="D3417" s="851">
        <v>753.59090900000001</v>
      </c>
    </row>
    <row r="3418" spans="2:4" x14ac:dyDescent="0.2">
      <c r="B3418" s="876">
        <v>4012</v>
      </c>
      <c r="C3418" s="876" t="s">
        <v>4275</v>
      </c>
      <c r="D3418" s="851">
        <v>703.24285899999995</v>
      </c>
    </row>
    <row r="3419" spans="2:4" x14ac:dyDescent="0.2">
      <c r="B3419" s="876">
        <v>4013</v>
      </c>
      <c r="C3419" s="876" t="s">
        <v>4276</v>
      </c>
      <c r="D3419" s="851">
        <v>707.21250199999997</v>
      </c>
    </row>
    <row r="3420" spans="2:4" x14ac:dyDescent="0.2">
      <c r="B3420" s="876">
        <v>4014</v>
      </c>
      <c r="C3420" s="876" t="s">
        <v>4277</v>
      </c>
      <c r="D3420" s="851">
        <v>705.57499700000005</v>
      </c>
    </row>
    <row r="3421" spans="2:4" x14ac:dyDescent="0.2">
      <c r="B3421" s="876">
        <v>4015</v>
      </c>
      <c r="C3421" s="876" t="s">
        <v>4278</v>
      </c>
      <c r="D3421" s="851">
        <v>737.32499700000005</v>
      </c>
    </row>
    <row r="3422" spans="2:4" x14ac:dyDescent="0.2">
      <c r="B3422" s="876">
        <v>4016</v>
      </c>
      <c r="C3422" s="876" t="s">
        <v>4279</v>
      </c>
      <c r="D3422" s="851">
        <v>698.61428000000001</v>
      </c>
    </row>
    <row r="3423" spans="2:4" x14ac:dyDescent="0.2">
      <c r="B3423" s="876">
        <v>4017</v>
      </c>
      <c r="C3423" s="876" t="s">
        <v>4280</v>
      </c>
      <c r="D3423" s="851">
        <v>665.08000500000003</v>
      </c>
    </row>
    <row r="3424" spans="2:4" x14ac:dyDescent="0.2">
      <c r="B3424" s="876">
        <v>4018</v>
      </c>
      <c r="C3424" s="876" t="s">
        <v>4281</v>
      </c>
      <c r="D3424" s="851">
        <v>663.66666699999996</v>
      </c>
    </row>
    <row r="3425" spans="2:4" x14ac:dyDescent="0.2">
      <c r="B3425" s="876">
        <v>4019</v>
      </c>
      <c r="C3425" s="876" t="s">
        <v>4282</v>
      </c>
      <c r="D3425" s="851">
        <v>664.14999399999999</v>
      </c>
    </row>
    <row r="3426" spans="2:4" x14ac:dyDescent="0.2">
      <c r="B3426" s="876">
        <v>4020</v>
      </c>
      <c r="C3426" s="876" t="s">
        <v>4283</v>
      </c>
      <c r="D3426" s="851">
        <v>632.33332299999995</v>
      </c>
    </row>
    <row r="3427" spans="2:4" x14ac:dyDescent="0.2">
      <c r="B3427" s="876">
        <v>4021</v>
      </c>
      <c r="C3427" s="876" t="s">
        <v>4284</v>
      </c>
      <c r="D3427" s="851">
        <v>631.71427700000004</v>
      </c>
    </row>
    <row r="3428" spans="2:4" x14ac:dyDescent="0.2">
      <c r="B3428" s="876">
        <v>4022</v>
      </c>
      <c r="C3428" s="876" t="s">
        <v>4057</v>
      </c>
      <c r="D3428" s="851">
        <v>606.61818100000005</v>
      </c>
    </row>
    <row r="3429" spans="2:4" x14ac:dyDescent="0.2">
      <c r="B3429" s="876">
        <v>4023</v>
      </c>
      <c r="C3429" s="876" t="s">
        <v>4285</v>
      </c>
      <c r="D3429" s="851">
        <v>575.14999399999999</v>
      </c>
    </row>
    <row r="3430" spans="2:4" x14ac:dyDescent="0.2">
      <c r="B3430" s="876">
        <v>4024</v>
      </c>
      <c r="C3430" s="876" t="s">
        <v>4286</v>
      </c>
      <c r="D3430" s="851">
        <v>597.60000600000001</v>
      </c>
    </row>
    <row r="3431" spans="2:4" x14ac:dyDescent="0.2">
      <c r="B3431" s="876">
        <v>4025</v>
      </c>
      <c r="C3431" s="876" t="s">
        <v>4287</v>
      </c>
      <c r="D3431" s="851">
        <v>646.05714599999999</v>
      </c>
    </row>
    <row r="3432" spans="2:4" x14ac:dyDescent="0.2">
      <c r="B3432" s="876">
        <v>4026</v>
      </c>
      <c r="C3432" s="876" t="s">
        <v>4288</v>
      </c>
      <c r="D3432" s="851">
        <v>654.66001000000006</v>
      </c>
    </row>
    <row r="3433" spans="2:4" x14ac:dyDescent="0.2">
      <c r="B3433" s="876">
        <v>4027</v>
      </c>
      <c r="C3433" s="876" t="s">
        <v>4289</v>
      </c>
      <c r="D3433" s="851">
        <v>681.93333900000005</v>
      </c>
    </row>
    <row r="3434" spans="2:4" x14ac:dyDescent="0.2">
      <c r="B3434" s="876">
        <v>4028</v>
      </c>
      <c r="C3434" s="876" t="s">
        <v>4290</v>
      </c>
      <c r="D3434" s="851">
        <v>610.66666699999996</v>
      </c>
    </row>
    <row r="3435" spans="2:4" x14ac:dyDescent="0.2">
      <c r="B3435" s="876">
        <v>4029</v>
      </c>
      <c r="C3435" s="876" t="s">
        <v>4291</v>
      </c>
      <c r="D3435" s="851">
        <v>624.10000600000001</v>
      </c>
    </row>
    <row r="3436" spans="2:4" x14ac:dyDescent="0.2">
      <c r="B3436" s="876">
        <v>4030</v>
      </c>
      <c r="C3436" s="876" t="s">
        <v>4292</v>
      </c>
      <c r="D3436" s="851">
        <v>613.17142999999999</v>
      </c>
    </row>
    <row r="3437" spans="2:4" x14ac:dyDescent="0.2">
      <c r="B3437" s="876">
        <v>4031</v>
      </c>
      <c r="C3437" s="876" t="s">
        <v>1943</v>
      </c>
      <c r="D3437" s="851">
        <v>605.13636399999996</v>
      </c>
    </row>
    <row r="3438" spans="2:4" x14ac:dyDescent="0.2">
      <c r="B3438" s="876">
        <v>4032</v>
      </c>
      <c r="C3438" s="876" t="s">
        <v>4293</v>
      </c>
      <c r="D3438" s="851">
        <v>767.40000399999997</v>
      </c>
    </row>
    <row r="3439" spans="2:4" x14ac:dyDescent="0.2">
      <c r="B3439" s="876">
        <v>4033</v>
      </c>
      <c r="C3439" s="876" t="s">
        <v>4294</v>
      </c>
      <c r="D3439" s="851">
        <v>635.37501499999996</v>
      </c>
    </row>
    <row r="3440" spans="2:4" x14ac:dyDescent="0.2">
      <c r="B3440" s="876">
        <v>4034</v>
      </c>
      <c r="C3440" s="876" t="s">
        <v>4295</v>
      </c>
      <c r="D3440" s="851">
        <v>691.33998999999994</v>
      </c>
    </row>
    <row r="3441" spans="2:4" x14ac:dyDescent="0.2">
      <c r="B3441" s="876">
        <v>4035</v>
      </c>
      <c r="C3441" s="876" t="s">
        <v>314</v>
      </c>
      <c r="D3441" s="851">
        <v>648.37143400000002</v>
      </c>
    </row>
    <row r="3442" spans="2:4" x14ac:dyDescent="0.2">
      <c r="B3442" s="876">
        <v>4036</v>
      </c>
      <c r="C3442" s="876" t="s">
        <v>4296</v>
      </c>
      <c r="D3442" s="851">
        <v>597.31666099999995</v>
      </c>
    </row>
    <row r="3443" spans="2:4" x14ac:dyDescent="0.2">
      <c r="B3443" s="876">
        <v>4037</v>
      </c>
      <c r="C3443" s="876" t="s">
        <v>4297</v>
      </c>
      <c r="D3443" s="851">
        <v>735.5</v>
      </c>
    </row>
    <row r="3444" spans="2:4" x14ac:dyDescent="0.2">
      <c r="B3444" s="876">
        <v>4038</v>
      </c>
      <c r="C3444" s="876" t="s">
        <v>4298</v>
      </c>
      <c r="D3444" s="851">
        <v>700.31666600000005</v>
      </c>
    </row>
    <row r="3445" spans="2:4" x14ac:dyDescent="0.2">
      <c r="B3445" s="876">
        <v>4039</v>
      </c>
      <c r="C3445" s="876" t="s">
        <v>1498</v>
      </c>
      <c r="D3445" s="851">
        <v>641.68333399999995</v>
      </c>
    </row>
    <row r="3446" spans="2:4" x14ac:dyDescent="0.2">
      <c r="B3446" s="876">
        <v>4040</v>
      </c>
      <c r="C3446" s="876" t="s">
        <v>4299</v>
      </c>
      <c r="D3446" s="851">
        <v>651.33333300000004</v>
      </c>
    </row>
    <row r="3447" spans="2:4" x14ac:dyDescent="0.2">
      <c r="B3447" s="876">
        <v>4041</v>
      </c>
      <c r="C3447" s="876" t="s">
        <v>4300</v>
      </c>
      <c r="D3447" s="851">
        <v>641.16664600000001</v>
      </c>
    </row>
    <row r="3448" spans="2:4" x14ac:dyDescent="0.2">
      <c r="B3448" s="876">
        <v>4042</v>
      </c>
      <c r="C3448" s="876" t="s">
        <v>4301</v>
      </c>
      <c r="D3448" s="851">
        <v>603.33332900000005</v>
      </c>
    </row>
    <row r="3449" spans="2:4" x14ac:dyDescent="0.2">
      <c r="B3449" s="876">
        <v>4043</v>
      </c>
      <c r="C3449" s="876" t="s">
        <v>4302</v>
      </c>
      <c r="D3449" s="851">
        <v>647.45000500000003</v>
      </c>
    </row>
    <row r="3450" spans="2:4" x14ac:dyDescent="0.2">
      <c r="B3450" s="876">
        <v>4044</v>
      </c>
      <c r="C3450" s="876" t="s">
        <v>4303</v>
      </c>
      <c r="D3450" s="851">
        <v>618.261526</v>
      </c>
    </row>
    <row r="3451" spans="2:4" x14ac:dyDescent="0.2">
      <c r="B3451" s="876">
        <v>4045</v>
      </c>
      <c r="C3451" s="876" t="s">
        <v>4304</v>
      </c>
      <c r="D3451" s="851">
        <v>635.43570799999998</v>
      </c>
    </row>
    <row r="3452" spans="2:4" x14ac:dyDescent="0.2">
      <c r="B3452" s="876">
        <v>4046</v>
      </c>
      <c r="C3452" s="876" t="s">
        <v>4305</v>
      </c>
      <c r="D3452" s="851">
        <v>874.50999100000001</v>
      </c>
    </row>
    <row r="3453" spans="2:4" x14ac:dyDescent="0.2">
      <c r="B3453" s="876">
        <v>4047</v>
      </c>
      <c r="C3453" s="876" t="s">
        <v>4306</v>
      </c>
      <c r="D3453" s="851">
        <v>877.28000499999996</v>
      </c>
    </row>
    <row r="3454" spans="2:4" x14ac:dyDescent="0.2">
      <c r="B3454" s="876">
        <v>4048</v>
      </c>
      <c r="C3454" s="876" t="s">
        <v>2840</v>
      </c>
      <c r="D3454" s="851">
        <v>777.09999100000005</v>
      </c>
    </row>
    <row r="3455" spans="2:4" x14ac:dyDescent="0.2">
      <c r="B3455" s="876">
        <v>4049</v>
      </c>
      <c r="C3455" s="876" t="s">
        <v>4307</v>
      </c>
      <c r="D3455" s="851">
        <v>772.870001</v>
      </c>
    </row>
    <row r="3456" spans="2:4" x14ac:dyDescent="0.2">
      <c r="B3456" s="876">
        <v>4050</v>
      </c>
      <c r="C3456" s="876" t="s">
        <v>4308</v>
      </c>
      <c r="D3456" s="851">
        <v>792.02223000000004</v>
      </c>
    </row>
    <row r="3457" spans="2:4" x14ac:dyDescent="0.2">
      <c r="B3457" s="876">
        <v>4051</v>
      </c>
      <c r="C3457" s="876" t="s">
        <v>4309</v>
      </c>
      <c r="D3457" s="851">
        <v>773.22001999999998</v>
      </c>
    </row>
    <row r="3458" spans="2:4" x14ac:dyDescent="0.2">
      <c r="B3458" s="876">
        <v>4052</v>
      </c>
      <c r="C3458" s="876" t="s">
        <v>4310</v>
      </c>
      <c r="D3458" s="851">
        <v>696.10000600000001</v>
      </c>
    </row>
    <row r="3459" spans="2:4" x14ac:dyDescent="0.2">
      <c r="B3459" s="876">
        <v>4053</v>
      </c>
      <c r="C3459" s="876" t="s">
        <v>4311</v>
      </c>
      <c r="D3459" s="851">
        <v>712.421426</v>
      </c>
    </row>
    <row r="3460" spans="2:4" x14ac:dyDescent="0.2">
      <c r="B3460" s="876">
        <v>4054</v>
      </c>
      <c r="C3460" s="876" t="s">
        <v>4312</v>
      </c>
      <c r="D3460" s="851">
        <v>711.31818199999998</v>
      </c>
    </row>
    <row r="3461" spans="2:4" x14ac:dyDescent="0.2">
      <c r="B3461" s="876">
        <v>4055</v>
      </c>
      <c r="C3461" s="876" t="s">
        <v>4313</v>
      </c>
      <c r="D3461" s="851">
        <v>633.92941099999996</v>
      </c>
    </row>
    <row r="3462" spans="2:4" x14ac:dyDescent="0.2">
      <c r="B3462" s="876">
        <v>4056</v>
      </c>
      <c r="C3462" s="876" t="s">
        <v>4314</v>
      </c>
      <c r="D3462" s="851">
        <v>665.61250299999995</v>
      </c>
    </row>
    <row r="3463" spans="2:4" x14ac:dyDescent="0.2">
      <c r="B3463" s="876">
        <v>4057</v>
      </c>
      <c r="C3463" s="876" t="s">
        <v>4315</v>
      </c>
      <c r="D3463" s="851">
        <v>677.54210499999999</v>
      </c>
    </row>
    <row r="3464" spans="2:4" x14ac:dyDescent="0.2">
      <c r="B3464" s="876">
        <v>4058</v>
      </c>
      <c r="C3464" s="876" t="s">
        <v>4316</v>
      </c>
      <c r="D3464" s="851">
        <v>660.64286600000003</v>
      </c>
    </row>
    <row r="3465" spans="2:4" x14ac:dyDescent="0.2">
      <c r="B3465" s="876">
        <v>4059</v>
      </c>
      <c r="C3465" s="876" t="s">
        <v>4317</v>
      </c>
      <c r="D3465" s="851">
        <v>637.06249200000002</v>
      </c>
    </row>
    <row r="3466" spans="2:4" x14ac:dyDescent="0.2">
      <c r="B3466" s="876">
        <v>4060</v>
      </c>
      <c r="C3466" s="876" t="s">
        <v>4318</v>
      </c>
      <c r="D3466" s="851">
        <v>655.68571299999996</v>
      </c>
    </row>
    <row r="3467" spans="2:4" x14ac:dyDescent="0.2">
      <c r="B3467" s="876">
        <v>4061</v>
      </c>
      <c r="C3467" s="876" t="s">
        <v>4319</v>
      </c>
      <c r="D3467" s="851">
        <v>632.32000700000003</v>
      </c>
    </row>
    <row r="3468" spans="2:4" x14ac:dyDescent="0.2">
      <c r="B3468" s="876">
        <v>4062</v>
      </c>
      <c r="C3468" s="876" t="s">
        <v>4320</v>
      </c>
      <c r="D3468" s="851">
        <v>635.44999700000005</v>
      </c>
    </row>
    <row r="3469" spans="2:4" x14ac:dyDescent="0.2">
      <c r="B3469" s="876">
        <v>4063</v>
      </c>
      <c r="C3469" s="876" t="s">
        <v>4321</v>
      </c>
      <c r="D3469" s="851">
        <v>663.40001199999995</v>
      </c>
    </row>
    <row r="3470" spans="2:4" x14ac:dyDescent="0.2">
      <c r="B3470" s="876">
        <v>4064</v>
      </c>
      <c r="C3470" s="876" t="s">
        <v>4322</v>
      </c>
      <c r="D3470" s="851">
        <v>650.32142899999997</v>
      </c>
    </row>
    <row r="3471" spans="2:4" x14ac:dyDescent="0.2">
      <c r="B3471" s="876">
        <v>4065</v>
      </c>
      <c r="C3471" s="876" t="s">
        <v>4323</v>
      </c>
      <c r="D3471" s="851">
        <v>662.78571399999998</v>
      </c>
    </row>
    <row r="3472" spans="2:4" x14ac:dyDescent="0.2">
      <c r="B3472" s="876">
        <v>4066</v>
      </c>
      <c r="C3472" s="876" t="s">
        <v>4324</v>
      </c>
      <c r="D3472" s="851">
        <v>725.93998999999997</v>
      </c>
    </row>
    <row r="3473" spans="2:4" x14ac:dyDescent="0.2">
      <c r="B3473" s="876">
        <v>4101</v>
      </c>
      <c r="C3473" s="876" t="s">
        <v>2653</v>
      </c>
      <c r="D3473" s="851">
        <v>644.58928400000002</v>
      </c>
    </row>
    <row r="3474" spans="2:4" x14ac:dyDescent="0.2">
      <c r="B3474" s="876">
        <v>4102</v>
      </c>
      <c r="C3474" s="876" t="s">
        <v>4325</v>
      </c>
      <c r="D3474" s="851">
        <v>656.39999799999998</v>
      </c>
    </row>
    <row r="3475" spans="2:4" x14ac:dyDescent="0.2">
      <c r="B3475" s="876">
        <v>4103</v>
      </c>
      <c r="C3475" s="876" t="s">
        <v>4326</v>
      </c>
      <c r="D3475" s="851">
        <v>704.23331700000006</v>
      </c>
    </row>
    <row r="3476" spans="2:4" x14ac:dyDescent="0.2">
      <c r="B3476" s="876">
        <v>4104</v>
      </c>
      <c r="C3476" s="876" t="s">
        <v>4327</v>
      </c>
      <c r="D3476" s="851">
        <v>589.95999800000004</v>
      </c>
    </row>
    <row r="3477" spans="2:4" x14ac:dyDescent="0.2">
      <c r="B3477" s="876">
        <v>4105</v>
      </c>
      <c r="C3477" s="876" t="s">
        <v>4328</v>
      </c>
      <c r="D3477" s="851">
        <v>614.06666299999995</v>
      </c>
    </row>
    <row r="3478" spans="2:4" x14ac:dyDescent="0.2">
      <c r="B3478" s="876">
        <v>4106</v>
      </c>
      <c r="C3478" s="876" t="s">
        <v>4329</v>
      </c>
      <c r="D3478" s="851">
        <v>900.40002400000003</v>
      </c>
    </row>
    <row r="3479" spans="2:4" x14ac:dyDescent="0.2">
      <c r="B3479" s="876">
        <v>4107</v>
      </c>
      <c r="C3479" s="876" t="s">
        <v>4330</v>
      </c>
      <c r="D3479" s="851">
        <v>846.28572299999996</v>
      </c>
    </row>
    <row r="3480" spans="2:4" x14ac:dyDescent="0.2">
      <c r="B3480" s="876">
        <v>4108</v>
      </c>
      <c r="C3480" s="876" t="s">
        <v>4331</v>
      </c>
      <c r="D3480" s="851">
        <v>753.34999800000003</v>
      </c>
    </row>
    <row r="3481" spans="2:4" x14ac:dyDescent="0.2">
      <c r="B3481" s="876">
        <v>4109</v>
      </c>
      <c r="C3481" s="876" t="s">
        <v>4332</v>
      </c>
      <c r="D3481" s="851">
        <v>759.45</v>
      </c>
    </row>
    <row r="3482" spans="2:4" x14ac:dyDescent="0.2">
      <c r="B3482" s="876">
        <v>4110</v>
      </c>
      <c r="C3482" s="876" t="s">
        <v>2670</v>
      </c>
      <c r="D3482" s="851">
        <v>807.38334099999997</v>
      </c>
    </row>
    <row r="3483" spans="2:4" x14ac:dyDescent="0.2">
      <c r="B3483" s="876">
        <v>4111</v>
      </c>
      <c r="C3483" s="876" t="s">
        <v>4333</v>
      </c>
      <c r="D3483" s="851">
        <v>775.41666699999996</v>
      </c>
    </row>
    <row r="3484" spans="2:4" x14ac:dyDescent="0.2">
      <c r="B3484" s="876">
        <v>4112</v>
      </c>
      <c r="C3484" s="876" t="s">
        <v>2706</v>
      </c>
      <c r="D3484" s="851">
        <v>816.81999499999995</v>
      </c>
    </row>
    <row r="3485" spans="2:4" x14ac:dyDescent="0.2">
      <c r="B3485" s="876">
        <v>4113</v>
      </c>
      <c r="C3485" s="876" t="s">
        <v>4334</v>
      </c>
      <c r="D3485" s="851">
        <v>834.52777800000001</v>
      </c>
    </row>
    <row r="3486" spans="2:4" x14ac:dyDescent="0.2">
      <c r="B3486" s="876">
        <v>4114</v>
      </c>
      <c r="C3486" s="876" t="s">
        <v>4335</v>
      </c>
      <c r="D3486" s="851">
        <v>665.73999600000002</v>
      </c>
    </row>
    <row r="3487" spans="2:4" x14ac:dyDescent="0.2">
      <c r="B3487" s="876">
        <v>4115</v>
      </c>
      <c r="C3487" s="876" t="s">
        <v>4336</v>
      </c>
      <c r="D3487" s="851">
        <v>722.33333300000004</v>
      </c>
    </row>
    <row r="3488" spans="2:4" x14ac:dyDescent="0.2">
      <c r="B3488" s="876">
        <v>4116</v>
      </c>
      <c r="C3488" s="876" t="s">
        <v>4337</v>
      </c>
      <c r="D3488" s="851">
        <v>724.54634499999997</v>
      </c>
    </row>
    <row r="3489" spans="2:4" x14ac:dyDescent="0.2">
      <c r="B3489" s="876">
        <v>4117</v>
      </c>
      <c r="C3489" s="876" t="s">
        <v>4338</v>
      </c>
      <c r="D3489" s="851">
        <v>682.28332499999999</v>
      </c>
    </row>
    <row r="3490" spans="2:4" x14ac:dyDescent="0.2">
      <c r="B3490" s="876">
        <v>4118</v>
      </c>
      <c r="C3490" s="876" t="s">
        <v>4339</v>
      </c>
      <c r="D3490" s="851">
        <v>654.47501399999999</v>
      </c>
    </row>
    <row r="3491" spans="2:4" x14ac:dyDescent="0.2">
      <c r="B3491" s="876">
        <v>4119</v>
      </c>
      <c r="C3491" s="876" t="s">
        <v>4340</v>
      </c>
      <c r="D3491" s="851">
        <v>656.31071499999996</v>
      </c>
    </row>
    <row r="3492" spans="2:4" x14ac:dyDescent="0.2">
      <c r="B3492" s="876">
        <v>4120</v>
      </c>
      <c r="C3492" s="876" t="s">
        <v>4341</v>
      </c>
      <c r="D3492" s="851">
        <v>666.41875100000004</v>
      </c>
    </row>
    <row r="3493" spans="2:4" x14ac:dyDescent="0.2">
      <c r="B3493" s="876">
        <v>4121</v>
      </c>
      <c r="C3493" s="876" t="s">
        <v>4342</v>
      </c>
      <c r="D3493" s="851">
        <v>680.51429099999996</v>
      </c>
    </row>
    <row r="3494" spans="2:4" x14ac:dyDescent="0.2">
      <c r="B3494" s="876">
        <v>4122</v>
      </c>
      <c r="C3494" s="876" t="s">
        <v>4343</v>
      </c>
      <c r="D3494" s="851">
        <v>641.22962600000005</v>
      </c>
    </row>
    <row r="3495" spans="2:4" x14ac:dyDescent="0.2">
      <c r="B3495" s="876">
        <v>4123</v>
      </c>
      <c r="C3495" s="876" t="s">
        <v>4344</v>
      </c>
      <c r="D3495" s="851">
        <v>694.76363900000001</v>
      </c>
    </row>
    <row r="3496" spans="2:4" x14ac:dyDescent="0.2">
      <c r="B3496" s="876">
        <v>4124</v>
      </c>
      <c r="C3496" s="876" t="s">
        <v>4345</v>
      </c>
      <c r="D3496" s="851">
        <v>677.74999600000001</v>
      </c>
    </row>
    <row r="3497" spans="2:4" x14ac:dyDescent="0.2">
      <c r="B3497" s="876">
        <v>4125</v>
      </c>
      <c r="C3497" s="876" t="s">
        <v>4346</v>
      </c>
      <c r="D3497" s="851">
        <v>752.20714899999996</v>
      </c>
    </row>
    <row r="3498" spans="2:4" x14ac:dyDescent="0.2">
      <c r="B3498" s="876">
        <v>4126</v>
      </c>
      <c r="C3498" s="876" t="s">
        <v>4347</v>
      </c>
      <c r="D3498" s="851">
        <v>704.24583399999995</v>
      </c>
    </row>
    <row r="3499" spans="2:4" x14ac:dyDescent="0.2">
      <c r="B3499" s="876">
        <v>4127</v>
      </c>
      <c r="C3499" s="876" t="s">
        <v>4348</v>
      </c>
      <c r="D3499" s="851">
        <v>687.47499600000003</v>
      </c>
    </row>
    <row r="3500" spans="2:4" x14ac:dyDescent="0.2">
      <c r="B3500" s="876">
        <v>4128</v>
      </c>
      <c r="C3500" s="876" t="s">
        <v>4349</v>
      </c>
      <c r="D3500" s="851">
        <v>796.03332499999999</v>
      </c>
    </row>
    <row r="3501" spans="2:4" x14ac:dyDescent="0.2">
      <c r="B3501" s="876">
        <v>4129</v>
      </c>
      <c r="C3501" s="876" t="s">
        <v>4350</v>
      </c>
      <c r="D3501" s="851">
        <v>731.64545199999998</v>
      </c>
    </row>
    <row r="3502" spans="2:4" x14ac:dyDescent="0.2">
      <c r="B3502" s="876">
        <v>4130</v>
      </c>
      <c r="C3502" s="876" t="s">
        <v>4351</v>
      </c>
      <c r="D3502" s="851">
        <v>705.258331</v>
      </c>
    </row>
    <row r="3503" spans="2:4" x14ac:dyDescent="0.2">
      <c r="B3503" s="876">
        <v>4131</v>
      </c>
      <c r="C3503" s="876" t="s">
        <v>4352</v>
      </c>
      <c r="D3503" s="851">
        <v>675.51817200000005</v>
      </c>
    </row>
    <row r="3504" spans="2:4" x14ac:dyDescent="0.2">
      <c r="B3504" s="876">
        <v>4132</v>
      </c>
      <c r="C3504" s="876" t="s">
        <v>4353</v>
      </c>
      <c r="D3504" s="851">
        <v>687.98333200000002</v>
      </c>
    </row>
    <row r="3505" spans="2:4" x14ac:dyDescent="0.2">
      <c r="B3505" s="876">
        <v>4133</v>
      </c>
      <c r="C3505" s="876" t="s">
        <v>4354</v>
      </c>
      <c r="D3505" s="851">
        <v>848.64999399999999</v>
      </c>
    </row>
    <row r="3506" spans="2:4" x14ac:dyDescent="0.2">
      <c r="B3506" s="876">
        <v>4134</v>
      </c>
      <c r="C3506" s="876" t="s">
        <v>4355</v>
      </c>
      <c r="D3506" s="851">
        <v>806.629999</v>
      </c>
    </row>
    <row r="3507" spans="2:4" x14ac:dyDescent="0.2">
      <c r="B3507" s="876">
        <v>4135</v>
      </c>
      <c r="C3507" s="876" t="s">
        <v>4356</v>
      </c>
      <c r="D3507" s="851">
        <v>770.70000900000002</v>
      </c>
    </row>
    <row r="3508" spans="2:4" x14ac:dyDescent="0.2">
      <c r="B3508" s="876">
        <v>4136</v>
      </c>
      <c r="C3508" s="876" t="s">
        <v>4357</v>
      </c>
      <c r="D3508" s="851">
        <v>757.76666299999999</v>
      </c>
    </row>
    <row r="3509" spans="2:4" x14ac:dyDescent="0.2">
      <c r="B3509" s="876">
        <v>4137</v>
      </c>
      <c r="C3509" s="876" t="s">
        <v>4358</v>
      </c>
      <c r="D3509" s="851">
        <v>784.07367899999997</v>
      </c>
    </row>
    <row r="3510" spans="2:4" x14ac:dyDescent="0.2">
      <c r="B3510" s="876">
        <v>4138</v>
      </c>
      <c r="C3510" s="876" t="s">
        <v>4359</v>
      </c>
      <c r="D3510" s="851">
        <v>712.42000700000006</v>
      </c>
    </row>
    <row r="3511" spans="2:4" x14ac:dyDescent="0.2">
      <c r="B3511" s="876">
        <v>4139</v>
      </c>
      <c r="C3511" s="876" t="s">
        <v>4360</v>
      </c>
      <c r="D3511" s="851">
        <v>700.25</v>
      </c>
    </row>
    <row r="3512" spans="2:4" x14ac:dyDescent="0.2">
      <c r="B3512" s="876">
        <v>4140</v>
      </c>
      <c r="C3512" s="876" t="s">
        <v>4361</v>
      </c>
      <c r="D3512" s="851">
        <v>748.94999700000005</v>
      </c>
    </row>
    <row r="3513" spans="2:4" x14ac:dyDescent="0.2">
      <c r="B3513" s="876">
        <v>4141</v>
      </c>
      <c r="C3513" s="876" t="s">
        <v>4362</v>
      </c>
      <c r="D3513" s="851">
        <v>721.44998199999998</v>
      </c>
    </row>
    <row r="3514" spans="2:4" x14ac:dyDescent="0.2">
      <c r="B3514" s="876">
        <v>4142</v>
      </c>
      <c r="C3514" s="876" t="s">
        <v>4363</v>
      </c>
      <c r="D3514" s="851">
        <v>704.70000800000003</v>
      </c>
    </row>
    <row r="3515" spans="2:4" x14ac:dyDescent="0.2">
      <c r="B3515" s="876">
        <v>4143</v>
      </c>
      <c r="C3515" s="876" t="s">
        <v>4364</v>
      </c>
      <c r="D3515" s="851">
        <v>701.41666699999996</v>
      </c>
    </row>
    <row r="3516" spans="2:4" x14ac:dyDescent="0.2">
      <c r="B3516" s="876">
        <v>4144</v>
      </c>
      <c r="C3516" s="876" t="s">
        <v>4365</v>
      </c>
      <c r="D3516" s="851">
        <v>702.36363100000005</v>
      </c>
    </row>
    <row r="3517" spans="2:4" x14ac:dyDescent="0.2">
      <c r="B3517" s="876">
        <v>4145</v>
      </c>
      <c r="C3517" s="876" t="s">
        <v>4366</v>
      </c>
      <c r="D3517" s="851">
        <v>666.72999900000002</v>
      </c>
    </row>
    <row r="3518" spans="2:4" x14ac:dyDescent="0.2">
      <c r="B3518" s="876">
        <v>4146</v>
      </c>
      <c r="C3518" s="876" t="s">
        <v>4367</v>
      </c>
      <c r="D3518" s="851">
        <v>690.01428199999998</v>
      </c>
    </row>
    <row r="3519" spans="2:4" x14ac:dyDescent="0.2">
      <c r="B3519" s="876">
        <v>4147</v>
      </c>
      <c r="C3519" s="876" t="s">
        <v>4368</v>
      </c>
      <c r="D3519" s="851">
        <v>652.77500399999997</v>
      </c>
    </row>
    <row r="3520" spans="2:4" x14ac:dyDescent="0.2">
      <c r="B3520" s="876">
        <v>4148</v>
      </c>
      <c r="C3520" s="876" t="s">
        <v>4369</v>
      </c>
      <c r="D3520" s="851">
        <v>668.21428600000002</v>
      </c>
    </row>
    <row r="3521" spans="2:4" x14ac:dyDescent="0.2">
      <c r="B3521" s="876">
        <v>4149</v>
      </c>
      <c r="C3521" s="876" t="s">
        <v>347</v>
      </c>
      <c r="D3521" s="851">
        <v>649.29048399999999</v>
      </c>
    </row>
    <row r="3522" spans="2:4" x14ac:dyDescent="0.2">
      <c r="B3522" s="876">
        <v>4150</v>
      </c>
      <c r="C3522" s="876" t="s">
        <v>4370</v>
      </c>
      <c r="D3522" s="851">
        <v>690.70666900000003</v>
      </c>
    </row>
    <row r="3523" spans="2:4" x14ac:dyDescent="0.2">
      <c r="B3523" s="876">
        <v>4151</v>
      </c>
      <c r="C3523" s="876" t="s">
        <v>4371</v>
      </c>
      <c r="D3523" s="851">
        <v>700.04117699999995</v>
      </c>
    </row>
    <row r="3524" spans="2:4" x14ac:dyDescent="0.2">
      <c r="B3524" s="876">
        <v>4152</v>
      </c>
      <c r="C3524" s="876" t="s">
        <v>4372</v>
      </c>
      <c r="D3524" s="851">
        <v>727.42800299999999</v>
      </c>
    </row>
    <row r="3525" spans="2:4" x14ac:dyDescent="0.2">
      <c r="B3525" s="876">
        <v>4153</v>
      </c>
      <c r="C3525" s="876" t="s">
        <v>3094</v>
      </c>
      <c r="D3525" s="851">
        <v>749.73076900000001</v>
      </c>
    </row>
    <row r="3526" spans="2:4" x14ac:dyDescent="0.2">
      <c r="B3526" s="876">
        <v>4154</v>
      </c>
      <c r="C3526" s="876" t="s">
        <v>4373</v>
      </c>
      <c r="D3526" s="851">
        <v>711.80000600000005</v>
      </c>
    </row>
    <row r="3527" spans="2:4" x14ac:dyDescent="0.2">
      <c r="B3527" s="876">
        <v>4155</v>
      </c>
      <c r="C3527" s="876" t="s">
        <v>4374</v>
      </c>
      <c r="D3527" s="851">
        <v>778.02257899999995</v>
      </c>
    </row>
    <row r="3528" spans="2:4" x14ac:dyDescent="0.2">
      <c r="B3528" s="876">
        <v>4156</v>
      </c>
      <c r="C3528" s="876" t="s">
        <v>3419</v>
      </c>
      <c r="D3528" s="851">
        <v>735.89999399999999</v>
      </c>
    </row>
    <row r="3529" spans="2:4" x14ac:dyDescent="0.2">
      <c r="B3529" s="876">
        <v>4157</v>
      </c>
      <c r="C3529" s="876" t="s">
        <v>4375</v>
      </c>
      <c r="D3529" s="851">
        <v>793.81999900000005</v>
      </c>
    </row>
    <row r="3530" spans="2:4" x14ac:dyDescent="0.2">
      <c r="B3530" s="876">
        <v>4158</v>
      </c>
      <c r="C3530" s="876" t="s">
        <v>4376</v>
      </c>
      <c r="D3530" s="851">
        <v>785.67273499999999</v>
      </c>
    </row>
    <row r="3531" spans="2:4" x14ac:dyDescent="0.2">
      <c r="B3531" s="876">
        <v>4159</v>
      </c>
      <c r="C3531" s="876" t="s">
        <v>4377</v>
      </c>
      <c r="D3531" s="851">
        <v>762.00713900000005</v>
      </c>
    </row>
    <row r="3532" spans="2:4" x14ac:dyDescent="0.2">
      <c r="B3532" s="876">
        <v>4160</v>
      </c>
      <c r="C3532" s="876" t="s">
        <v>4378</v>
      </c>
      <c r="D3532" s="851">
        <v>763.66250600000001</v>
      </c>
    </row>
    <row r="3533" spans="2:4" x14ac:dyDescent="0.2">
      <c r="B3533" s="876">
        <v>4161</v>
      </c>
      <c r="C3533" s="876" t="s">
        <v>4379</v>
      </c>
      <c r="D3533" s="851">
        <v>696.16874700000005</v>
      </c>
    </row>
    <row r="3534" spans="2:4" x14ac:dyDescent="0.2">
      <c r="B3534" s="876">
        <v>4162</v>
      </c>
      <c r="C3534" s="876" t="s">
        <v>4380</v>
      </c>
      <c r="D3534" s="851">
        <v>703.09997599999997</v>
      </c>
    </row>
    <row r="3535" spans="2:4" x14ac:dyDescent="0.2">
      <c r="B3535" s="876">
        <v>4163</v>
      </c>
      <c r="C3535" s="876" t="s">
        <v>4381</v>
      </c>
      <c r="D3535" s="851">
        <v>696.64165800000001</v>
      </c>
    </row>
    <row r="3536" spans="2:4" x14ac:dyDescent="0.2">
      <c r="B3536" s="876">
        <v>4164</v>
      </c>
      <c r="C3536" s="876" t="s">
        <v>4382</v>
      </c>
      <c r="D3536" s="851">
        <v>700.10555399999998</v>
      </c>
    </row>
    <row r="3537" spans="2:4" x14ac:dyDescent="0.2">
      <c r="B3537" s="876">
        <v>4165</v>
      </c>
      <c r="C3537" s="876" t="s">
        <v>4383</v>
      </c>
      <c r="D3537" s="851">
        <v>712.63999000000001</v>
      </c>
    </row>
    <row r="3538" spans="2:4" x14ac:dyDescent="0.2">
      <c r="B3538" s="876">
        <v>4166</v>
      </c>
      <c r="C3538" s="876" t="s">
        <v>4384</v>
      </c>
      <c r="D3538" s="851">
        <v>714.71111399999995</v>
      </c>
    </row>
    <row r="3539" spans="2:4" x14ac:dyDescent="0.2">
      <c r="B3539" s="876">
        <v>4167</v>
      </c>
      <c r="C3539" s="876" t="s">
        <v>4385</v>
      </c>
      <c r="D3539" s="851">
        <v>738.97499600000003</v>
      </c>
    </row>
    <row r="3540" spans="2:4" x14ac:dyDescent="0.2">
      <c r="B3540" s="876">
        <v>4201</v>
      </c>
      <c r="C3540" s="876" t="s">
        <v>2830</v>
      </c>
      <c r="D3540" s="851">
        <v>917.16999499999997</v>
      </c>
    </row>
    <row r="3541" spans="2:4" x14ac:dyDescent="0.2">
      <c r="B3541" s="876">
        <v>4202</v>
      </c>
      <c r="C3541" s="876" t="s">
        <v>4386</v>
      </c>
      <c r="D3541" s="851">
        <v>884.47499600000003</v>
      </c>
    </row>
    <row r="3542" spans="2:4" x14ac:dyDescent="0.2">
      <c r="B3542" s="876">
        <v>4203</v>
      </c>
      <c r="C3542" s="876" t="s">
        <v>4387</v>
      </c>
      <c r="D3542" s="851">
        <v>858.55384200000003</v>
      </c>
    </row>
    <row r="3543" spans="2:4" x14ac:dyDescent="0.2">
      <c r="B3543" s="876">
        <v>4204</v>
      </c>
      <c r="C3543" s="876" t="s">
        <v>4388</v>
      </c>
      <c r="D3543" s="851">
        <v>780.44000200000005</v>
      </c>
    </row>
    <row r="3544" spans="2:4" x14ac:dyDescent="0.2">
      <c r="B3544" s="876">
        <v>4205</v>
      </c>
      <c r="C3544" s="876" t="s">
        <v>4389</v>
      </c>
      <c r="D3544" s="851">
        <v>882.75</v>
      </c>
    </row>
    <row r="3545" spans="2:4" x14ac:dyDescent="0.2">
      <c r="B3545" s="876">
        <v>4206</v>
      </c>
      <c r="C3545" s="876" t="s">
        <v>4390</v>
      </c>
      <c r="D3545" s="851">
        <v>845.46667500000001</v>
      </c>
    </row>
    <row r="3546" spans="2:4" x14ac:dyDescent="0.2">
      <c r="B3546" s="876">
        <v>4207</v>
      </c>
      <c r="C3546" s="876" t="s">
        <v>2739</v>
      </c>
      <c r="D3546" s="851">
        <v>804.64999399999999</v>
      </c>
    </row>
    <row r="3547" spans="2:4" x14ac:dyDescent="0.2">
      <c r="B3547" s="876">
        <v>4208</v>
      </c>
      <c r="C3547" s="876" t="s">
        <v>3150</v>
      </c>
      <c r="D3547" s="851">
        <v>792.79998799999998</v>
      </c>
    </row>
    <row r="3548" spans="2:4" x14ac:dyDescent="0.2">
      <c r="B3548" s="876">
        <v>4209</v>
      </c>
      <c r="C3548" s="876" t="s">
        <v>4391</v>
      </c>
      <c r="D3548" s="851">
        <v>839.14999399999999</v>
      </c>
    </row>
    <row r="3549" spans="2:4" x14ac:dyDescent="0.2">
      <c r="B3549" s="876">
        <v>4210</v>
      </c>
      <c r="C3549" s="876" t="s">
        <v>4392</v>
      </c>
      <c r="D3549" s="851">
        <v>853.31538699999999</v>
      </c>
    </row>
    <row r="3550" spans="2:4" x14ac:dyDescent="0.2">
      <c r="B3550" s="876">
        <v>4211</v>
      </c>
      <c r="C3550" s="876" t="s">
        <v>4393</v>
      </c>
      <c r="D3550" s="851">
        <v>799.13999000000001</v>
      </c>
    </row>
    <row r="3551" spans="2:4" x14ac:dyDescent="0.2">
      <c r="B3551" s="876">
        <v>4212</v>
      </c>
      <c r="C3551" s="876" t="s">
        <v>4394</v>
      </c>
      <c r="D3551" s="851">
        <v>780.43076699999995</v>
      </c>
    </row>
    <row r="3552" spans="2:4" x14ac:dyDescent="0.2">
      <c r="B3552" s="876">
        <v>4213</v>
      </c>
      <c r="C3552" s="876" t="s">
        <v>4395</v>
      </c>
      <c r="D3552" s="851">
        <v>807.79998799999998</v>
      </c>
    </row>
    <row r="3553" spans="2:4" x14ac:dyDescent="0.2">
      <c r="B3553" s="876">
        <v>4214</v>
      </c>
      <c r="C3553" s="876" t="s">
        <v>2669</v>
      </c>
      <c r="D3553" s="851">
        <v>946.19230300000004</v>
      </c>
    </row>
    <row r="3554" spans="2:4" x14ac:dyDescent="0.2">
      <c r="B3554" s="876">
        <v>4215</v>
      </c>
      <c r="C3554" s="876" t="s">
        <v>4396</v>
      </c>
      <c r="D3554" s="851">
        <v>843.55998499999998</v>
      </c>
    </row>
    <row r="3555" spans="2:4" x14ac:dyDescent="0.2">
      <c r="B3555" s="876">
        <v>4216</v>
      </c>
      <c r="C3555" s="876" t="s">
        <v>4397</v>
      </c>
      <c r="D3555" s="851">
        <v>768.04285500000003</v>
      </c>
    </row>
    <row r="3556" spans="2:4" x14ac:dyDescent="0.2">
      <c r="B3556" s="876">
        <v>4217</v>
      </c>
      <c r="C3556" s="876" t="s">
        <v>4398</v>
      </c>
      <c r="D3556" s="851">
        <v>907.00714500000004</v>
      </c>
    </row>
    <row r="3557" spans="2:4" x14ac:dyDescent="0.2">
      <c r="B3557" s="876">
        <v>4218</v>
      </c>
      <c r="C3557" s="876" t="s">
        <v>4399</v>
      </c>
      <c r="D3557" s="851">
        <v>730.79998799999998</v>
      </c>
    </row>
    <row r="3558" spans="2:4" x14ac:dyDescent="0.2">
      <c r="B3558" s="876">
        <v>4219</v>
      </c>
      <c r="C3558" s="876" t="s">
        <v>4400</v>
      </c>
      <c r="D3558" s="851">
        <v>781.92501100000004</v>
      </c>
    </row>
    <row r="3559" spans="2:4" x14ac:dyDescent="0.2">
      <c r="B3559" s="876">
        <v>4220</v>
      </c>
      <c r="C3559" s="876" t="s">
        <v>4401</v>
      </c>
      <c r="D3559" s="851">
        <v>758.86000999999999</v>
      </c>
    </row>
    <row r="3560" spans="2:4" x14ac:dyDescent="0.2">
      <c r="B3560" s="876">
        <v>4221</v>
      </c>
      <c r="C3560" s="876" t="s">
        <v>4402</v>
      </c>
      <c r="D3560" s="851">
        <v>825.51999499999999</v>
      </c>
    </row>
    <row r="3561" spans="2:4" x14ac:dyDescent="0.2">
      <c r="B3561" s="876">
        <v>4222</v>
      </c>
      <c r="C3561" s="876" t="s">
        <v>4403</v>
      </c>
      <c r="D3561" s="851">
        <v>730.84997599999997</v>
      </c>
    </row>
    <row r="3562" spans="2:4" x14ac:dyDescent="0.2">
      <c r="B3562" s="876">
        <v>4223</v>
      </c>
      <c r="C3562" s="876" t="s">
        <v>2583</v>
      </c>
      <c r="D3562" s="851">
        <v>750.29998799999998</v>
      </c>
    </row>
    <row r="3563" spans="2:4" x14ac:dyDescent="0.2">
      <c r="B3563" s="876">
        <v>4224</v>
      </c>
      <c r="C3563" s="876" t="s">
        <v>4404</v>
      </c>
      <c r="D3563" s="851">
        <v>698.59997599999997</v>
      </c>
    </row>
    <row r="3564" spans="2:4" x14ac:dyDescent="0.2">
      <c r="B3564" s="876">
        <v>4225</v>
      </c>
      <c r="C3564" s="876" t="s">
        <v>4405</v>
      </c>
      <c r="D3564" s="851">
        <v>692.26667299999997</v>
      </c>
    </row>
    <row r="3565" spans="2:4" x14ac:dyDescent="0.2">
      <c r="B3565" s="876">
        <v>4226</v>
      </c>
      <c r="C3565" s="876" t="s">
        <v>4406</v>
      </c>
      <c r="D3565" s="851">
        <v>726.1</v>
      </c>
    </row>
    <row r="3566" spans="2:4" x14ac:dyDescent="0.2">
      <c r="B3566" s="876">
        <v>4227</v>
      </c>
      <c r="C3566" s="876" t="s">
        <v>4407</v>
      </c>
      <c r="D3566" s="851">
        <v>728.56664999999998</v>
      </c>
    </row>
    <row r="3567" spans="2:4" x14ac:dyDescent="0.2">
      <c r="B3567" s="876">
        <v>4228</v>
      </c>
      <c r="C3567" s="876" t="s">
        <v>4408</v>
      </c>
      <c r="D3567" s="851">
        <v>736.04999799999996</v>
      </c>
    </row>
    <row r="3568" spans="2:4" x14ac:dyDescent="0.2">
      <c r="B3568" s="876">
        <v>4229</v>
      </c>
      <c r="C3568" s="876" t="s">
        <v>3576</v>
      </c>
      <c r="D3568" s="851">
        <v>754.06001000000003</v>
      </c>
    </row>
    <row r="3569" spans="2:4" x14ac:dyDescent="0.2">
      <c r="B3569" s="876">
        <v>4230</v>
      </c>
      <c r="C3569" s="876" t="s">
        <v>4409</v>
      </c>
      <c r="D3569" s="851">
        <v>803.65999799999997</v>
      </c>
    </row>
    <row r="3570" spans="2:4" x14ac:dyDescent="0.2">
      <c r="B3570" s="876">
        <v>4231</v>
      </c>
      <c r="C3570" s="876" t="s">
        <v>4410</v>
      </c>
      <c r="D3570" s="851">
        <v>710.59999600000003</v>
      </c>
    </row>
    <row r="3571" spans="2:4" x14ac:dyDescent="0.2">
      <c r="B3571" s="876">
        <v>4232</v>
      </c>
      <c r="C3571" s="876" t="s">
        <v>4411</v>
      </c>
      <c r="D3571" s="851">
        <v>693.73333700000001</v>
      </c>
    </row>
    <row r="3572" spans="2:4" x14ac:dyDescent="0.2">
      <c r="B3572" s="876">
        <v>4233</v>
      </c>
      <c r="C3572" s="876" t="s">
        <v>4412</v>
      </c>
      <c r="D3572" s="851">
        <v>718.09997599999997</v>
      </c>
    </row>
    <row r="3573" spans="2:4" x14ac:dyDescent="0.2">
      <c r="B3573" s="876">
        <v>4234</v>
      </c>
      <c r="C3573" s="876" t="s">
        <v>4413</v>
      </c>
      <c r="D3573" s="851">
        <v>726.61427500000002</v>
      </c>
    </row>
    <row r="3574" spans="2:4" x14ac:dyDescent="0.2">
      <c r="B3574" s="876">
        <v>4235</v>
      </c>
      <c r="C3574" s="876" t="s">
        <v>2552</v>
      </c>
      <c r="D3574" s="851">
        <v>765.60000300000002</v>
      </c>
    </row>
    <row r="3575" spans="2:4" x14ac:dyDescent="0.2">
      <c r="B3575" s="876">
        <v>4237</v>
      </c>
      <c r="C3575" s="876" t="s">
        <v>4414</v>
      </c>
      <c r="D3575" s="851">
        <v>707.10001599999998</v>
      </c>
    </row>
    <row r="3576" spans="2:4" x14ac:dyDescent="0.2">
      <c r="B3576" s="876">
        <v>4238</v>
      </c>
      <c r="C3576" s="876" t="s">
        <v>4415</v>
      </c>
      <c r="D3576" s="851">
        <v>660.70001200000002</v>
      </c>
    </row>
    <row r="3577" spans="2:4" x14ac:dyDescent="0.2">
      <c r="B3577" s="876">
        <v>4239</v>
      </c>
      <c r="C3577" s="876" t="s">
        <v>4416</v>
      </c>
      <c r="D3577" s="851">
        <v>697.57691799999998</v>
      </c>
    </row>
    <row r="3578" spans="2:4" x14ac:dyDescent="0.2">
      <c r="B3578" s="876">
        <v>4240</v>
      </c>
      <c r="C3578" s="876" t="s">
        <v>4417</v>
      </c>
      <c r="D3578" s="851">
        <v>645.83333300000004</v>
      </c>
    </row>
    <row r="3579" spans="2:4" x14ac:dyDescent="0.2">
      <c r="B3579" s="876">
        <v>4241</v>
      </c>
      <c r="C3579" s="876" t="s">
        <v>2498</v>
      </c>
      <c r="D3579" s="851">
        <v>768.16154100000006</v>
      </c>
    </row>
    <row r="3580" spans="2:4" x14ac:dyDescent="0.2">
      <c r="B3580" s="876">
        <v>4242</v>
      </c>
      <c r="C3580" s="876" t="s">
        <v>4418</v>
      </c>
      <c r="D3580" s="851">
        <v>818.74999200000002</v>
      </c>
    </row>
    <row r="3581" spans="2:4" x14ac:dyDescent="0.2">
      <c r="B3581" s="876">
        <v>4243</v>
      </c>
      <c r="C3581" s="876" t="s">
        <v>4419</v>
      </c>
      <c r="D3581" s="851">
        <v>749.89999399999999</v>
      </c>
    </row>
    <row r="3582" spans="2:4" x14ac:dyDescent="0.2">
      <c r="B3582" s="876">
        <v>4244</v>
      </c>
      <c r="C3582" s="876" t="s">
        <v>4420</v>
      </c>
      <c r="D3582" s="851">
        <v>820.18333399999995</v>
      </c>
    </row>
    <row r="3583" spans="2:4" x14ac:dyDescent="0.2">
      <c r="B3583" s="876">
        <v>4245</v>
      </c>
      <c r="C3583" s="876" t="s">
        <v>4421</v>
      </c>
      <c r="D3583" s="851">
        <v>752.18181800000002</v>
      </c>
    </row>
    <row r="3584" spans="2:4" x14ac:dyDescent="0.2">
      <c r="B3584" s="876">
        <v>4246</v>
      </c>
      <c r="C3584" s="876" t="s">
        <v>4422</v>
      </c>
      <c r="D3584" s="851">
        <v>720.83332299999995</v>
      </c>
    </row>
    <row r="3585" spans="2:4" x14ac:dyDescent="0.2">
      <c r="B3585" s="876">
        <v>4247</v>
      </c>
      <c r="C3585" s="876" t="s">
        <v>4423</v>
      </c>
      <c r="D3585" s="851">
        <v>688.86665900000003</v>
      </c>
    </row>
    <row r="3586" spans="2:4" x14ac:dyDescent="0.2">
      <c r="B3586" s="876">
        <v>4248</v>
      </c>
      <c r="C3586" s="876" t="s">
        <v>4424</v>
      </c>
      <c r="D3586" s="851">
        <v>680.44286199999999</v>
      </c>
    </row>
    <row r="3587" spans="2:4" x14ac:dyDescent="0.2">
      <c r="B3587" s="876">
        <v>4249</v>
      </c>
      <c r="C3587" s="876" t="s">
        <v>3297</v>
      </c>
      <c r="D3587" s="851">
        <v>689.5625</v>
      </c>
    </row>
    <row r="3588" spans="2:4" x14ac:dyDescent="0.2">
      <c r="B3588" s="876">
        <v>4250</v>
      </c>
      <c r="C3588" s="876" t="s">
        <v>1740</v>
      </c>
      <c r="D3588" s="851">
        <v>682.60714299999995</v>
      </c>
    </row>
    <row r="3589" spans="2:4" x14ac:dyDescent="0.2">
      <c r="B3589" s="876">
        <v>4251</v>
      </c>
      <c r="C3589" s="876" t="s">
        <v>4405</v>
      </c>
      <c r="D3589" s="851">
        <v>680.70001200000002</v>
      </c>
    </row>
    <row r="3590" spans="2:4" x14ac:dyDescent="0.2">
      <c r="B3590" s="876">
        <v>4252</v>
      </c>
      <c r="C3590" s="876" t="s">
        <v>3038</v>
      </c>
      <c r="D3590" s="851">
        <v>685.24998500000004</v>
      </c>
    </row>
    <row r="3591" spans="2:4" x14ac:dyDescent="0.2">
      <c r="B3591" s="876">
        <v>4253</v>
      </c>
      <c r="C3591" s="876" t="s">
        <v>4425</v>
      </c>
      <c r="D3591" s="851">
        <v>668.83749399999999</v>
      </c>
    </row>
    <row r="3592" spans="2:4" x14ac:dyDescent="0.2">
      <c r="B3592" s="876">
        <v>4254</v>
      </c>
      <c r="C3592" s="876" t="s">
        <v>4426</v>
      </c>
      <c r="D3592" s="851">
        <v>684.78000499999996</v>
      </c>
    </row>
    <row r="3593" spans="2:4" x14ac:dyDescent="0.2">
      <c r="B3593" s="876">
        <v>4255</v>
      </c>
      <c r="C3593" s="876" t="s">
        <v>4427</v>
      </c>
      <c r="D3593" s="851">
        <v>665.57999299999994</v>
      </c>
    </row>
    <row r="3594" spans="2:4" x14ac:dyDescent="0.2">
      <c r="B3594" s="876">
        <v>4256</v>
      </c>
      <c r="C3594" s="876" t="s">
        <v>4428</v>
      </c>
      <c r="D3594" s="851">
        <v>664.116669</v>
      </c>
    </row>
    <row r="3595" spans="2:4" x14ac:dyDescent="0.2">
      <c r="B3595" s="876">
        <v>4257</v>
      </c>
      <c r="C3595" s="876" t="s">
        <v>4429</v>
      </c>
      <c r="D3595" s="851">
        <v>665.221047</v>
      </c>
    </row>
    <row r="3596" spans="2:4" x14ac:dyDescent="0.2">
      <c r="B3596" s="876">
        <v>4258</v>
      </c>
      <c r="C3596" s="876" t="s">
        <v>4430</v>
      </c>
      <c r="D3596" s="851">
        <v>648.08333300000004</v>
      </c>
    </row>
    <row r="3597" spans="2:4" x14ac:dyDescent="0.2">
      <c r="B3597" s="876">
        <v>4259</v>
      </c>
      <c r="C3597" s="876" t="s">
        <v>4431</v>
      </c>
      <c r="D3597" s="851">
        <v>660.19999900000005</v>
      </c>
    </row>
    <row r="3598" spans="2:4" x14ac:dyDescent="0.2">
      <c r="B3598" s="876">
        <v>4260</v>
      </c>
      <c r="C3598" s="876" t="s">
        <v>4432</v>
      </c>
      <c r="D3598" s="851">
        <v>654.23332500000004</v>
      </c>
    </row>
    <row r="3599" spans="2:4" x14ac:dyDescent="0.2">
      <c r="B3599" s="876">
        <v>4261</v>
      </c>
      <c r="C3599" s="876" t="s">
        <v>4433</v>
      </c>
      <c r="D3599" s="851">
        <v>642.942858</v>
      </c>
    </row>
    <row r="3600" spans="2:4" x14ac:dyDescent="0.2">
      <c r="B3600" s="876">
        <v>4262</v>
      </c>
      <c r="C3600" s="876" t="s">
        <v>4434</v>
      </c>
      <c r="D3600" s="851">
        <v>660.87273100000004</v>
      </c>
    </row>
    <row r="3601" spans="2:4" x14ac:dyDescent="0.2">
      <c r="B3601" s="876">
        <v>4263</v>
      </c>
      <c r="C3601" s="876" t="s">
        <v>4435</v>
      </c>
      <c r="D3601" s="851">
        <v>658.32500500000003</v>
      </c>
    </row>
    <row r="3602" spans="2:4" x14ac:dyDescent="0.2">
      <c r="B3602" s="876">
        <v>4264</v>
      </c>
      <c r="C3602" s="876" t="s">
        <v>4436</v>
      </c>
      <c r="D3602" s="851">
        <v>677.67500299999995</v>
      </c>
    </row>
    <row r="3603" spans="2:4" x14ac:dyDescent="0.2">
      <c r="B3603" s="876">
        <v>4265</v>
      </c>
      <c r="C3603" s="876" t="s">
        <v>4437</v>
      </c>
      <c r="D3603" s="851">
        <v>651.21666500000003</v>
      </c>
    </row>
    <row r="3604" spans="2:4" x14ac:dyDescent="0.2">
      <c r="B3604" s="876">
        <v>4266</v>
      </c>
      <c r="C3604" s="876" t="s">
        <v>4438</v>
      </c>
      <c r="D3604" s="851">
        <v>669.68332899999996</v>
      </c>
    </row>
    <row r="3605" spans="2:4" x14ac:dyDescent="0.2">
      <c r="B3605" s="876">
        <v>4267</v>
      </c>
      <c r="C3605" s="876" t="s">
        <v>4439</v>
      </c>
      <c r="D3605" s="851">
        <v>712.29069500000003</v>
      </c>
    </row>
    <row r="3606" spans="2:4" x14ac:dyDescent="0.2">
      <c r="B3606" s="876">
        <v>4268</v>
      </c>
      <c r="C3606" s="876" t="s">
        <v>4440</v>
      </c>
      <c r="D3606" s="851">
        <v>700.26666299999999</v>
      </c>
    </row>
    <row r="3607" spans="2:4" x14ac:dyDescent="0.2">
      <c r="B3607" s="876">
        <v>4269</v>
      </c>
      <c r="C3607" s="876" t="s">
        <v>4441</v>
      </c>
      <c r="D3607" s="851">
        <v>697.01999899999998</v>
      </c>
    </row>
    <row r="3608" spans="2:4" x14ac:dyDescent="0.2">
      <c r="B3608" s="876">
        <v>4270</v>
      </c>
      <c r="C3608" s="876" t="s">
        <v>4442</v>
      </c>
      <c r="D3608" s="851">
        <v>641.72499800000003</v>
      </c>
    </row>
    <row r="3609" spans="2:4" x14ac:dyDescent="0.2">
      <c r="B3609" s="876">
        <v>4271</v>
      </c>
      <c r="C3609" s="876" t="s">
        <v>4443</v>
      </c>
      <c r="D3609" s="851">
        <v>707.65174100000002</v>
      </c>
    </row>
    <row r="3610" spans="2:4" x14ac:dyDescent="0.2">
      <c r="B3610" s="876">
        <v>4272</v>
      </c>
      <c r="C3610" s="876" t="s">
        <v>4444</v>
      </c>
      <c r="D3610" s="851">
        <v>637.70000000000005</v>
      </c>
    </row>
    <row r="3611" spans="2:4" x14ac:dyDescent="0.2">
      <c r="B3611" s="876">
        <v>4273</v>
      </c>
      <c r="C3611" s="876" t="s">
        <v>4445</v>
      </c>
      <c r="D3611" s="851">
        <v>625.93332899999996</v>
      </c>
    </row>
    <row r="3612" spans="2:4" x14ac:dyDescent="0.2">
      <c r="B3612" s="876">
        <v>4274</v>
      </c>
      <c r="C3612" s="876" t="s">
        <v>4446</v>
      </c>
      <c r="D3612" s="851">
        <v>831.64999399999999</v>
      </c>
    </row>
    <row r="3613" spans="2:4" x14ac:dyDescent="0.2">
      <c r="B3613" s="876">
        <v>4275</v>
      </c>
      <c r="C3613" s="876" t="s">
        <v>2902</v>
      </c>
      <c r="D3613" s="851">
        <v>856.10999800000002</v>
      </c>
    </row>
    <row r="3614" spans="2:4" x14ac:dyDescent="0.2">
      <c r="B3614" s="876">
        <v>4276</v>
      </c>
      <c r="C3614" s="876" t="s">
        <v>4447</v>
      </c>
      <c r="D3614" s="851">
        <v>807.11998300000005</v>
      </c>
    </row>
    <row r="3615" spans="2:4" x14ac:dyDescent="0.2">
      <c r="B3615" s="876">
        <v>4277</v>
      </c>
      <c r="C3615" s="876" t="s">
        <v>4448</v>
      </c>
      <c r="D3615" s="851">
        <v>835.64998400000002</v>
      </c>
    </row>
    <row r="3616" spans="2:4" x14ac:dyDescent="0.2">
      <c r="B3616" s="876">
        <v>4278</v>
      </c>
      <c r="C3616" s="876" t="s">
        <v>4449</v>
      </c>
      <c r="D3616" s="851">
        <v>868.19999199999995</v>
      </c>
    </row>
    <row r="3617" spans="2:4" x14ac:dyDescent="0.2">
      <c r="B3617" s="876">
        <v>4279</v>
      </c>
      <c r="C3617" s="876" t="s">
        <v>4450</v>
      </c>
      <c r="D3617" s="851">
        <v>841.19999199999995</v>
      </c>
    </row>
    <row r="3618" spans="2:4" x14ac:dyDescent="0.2">
      <c r="B3618" s="876">
        <v>4280</v>
      </c>
      <c r="C3618" s="876" t="s">
        <v>2134</v>
      </c>
      <c r="D3618" s="851">
        <v>784.01666599999999</v>
      </c>
    </row>
    <row r="3619" spans="2:4" x14ac:dyDescent="0.2">
      <c r="B3619" s="876">
        <v>4281</v>
      </c>
      <c r="C3619" s="876" t="s">
        <v>4451</v>
      </c>
      <c r="D3619" s="851">
        <v>727.96667500000001</v>
      </c>
    </row>
    <row r="3620" spans="2:4" x14ac:dyDescent="0.2">
      <c r="B3620" s="876">
        <v>4282</v>
      </c>
      <c r="C3620" s="876" t="s">
        <v>4452</v>
      </c>
      <c r="D3620" s="851">
        <v>806.72500400000001</v>
      </c>
    </row>
    <row r="3621" spans="2:4" x14ac:dyDescent="0.2">
      <c r="B3621" s="876">
        <v>4283</v>
      </c>
      <c r="C3621" s="876" t="s">
        <v>4453</v>
      </c>
      <c r="D3621" s="851">
        <v>834.5</v>
      </c>
    </row>
    <row r="3622" spans="2:4" x14ac:dyDescent="0.2">
      <c r="B3622" s="876">
        <v>4284</v>
      </c>
      <c r="C3622" s="876" t="s">
        <v>312</v>
      </c>
      <c r="D3622" s="851">
        <v>800.5</v>
      </c>
    </row>
    <row r="3623" spans="2:4" x14ac:dyDescent="0.2">
      <c r="B3623" s="876">
        <v>4301</v>
      </c>
      <c r="C3623" s="876" t="s">
        <v>2819</v>
      </c>
      <c r="D3623" s="851">
        <v>700.44545100000005</v>
      </c>
    </row>
    <row r="3624" spans="2:4" x14ac:dyDescent="0.2">
      <c r="B3624" s="876">
        <v>4302</v>
      </c>
      <c r="C3624" s="876" t="s">
        <v>4454</v>
      </c>
      <c r="D3624" s="851">
        <v>719.65000399999997</v>
      </c>
    </row>
    <row r="3625" spans="2:4" x14ac:dyDescent="0.2">
      <c r="B3625" s="876">
        <v>4303</v>
      </c>
      <c r="C3625" s="876" t="s">
        <v>2678</v>
      </c>
      <c r="D3625" s="851">
        <v>699.47142699999995</v>
      </c>
    </row>
    <row r="3626" spans="2:4" x14ac:dyDescent="0.2">
      <c r="B3626" s="876">
        <v>4304</v>
      </c>
      <c r="C3626" s="876" t="s">
        <v>4455</v>
      </c>
      <c r="D3626" s="851">
        <v>707.06249200000002</v>
      </c>
    </row>
    <row r="3627" spans="2:4" x14ac:dyDescent="0.2">
      <c r="B3627" s="876">
        <v>4305</v>
      </c>
      <c r="C3627" s="876" t="s">
        <v>2211</v>
      </c>
      <c r="D3627" s="851">
        <v>709.60000600000001</v>
      </c>
    </row>
    <row r="3628" spans="2:4" x14ac:dyDescent="0.2">
      <c r="B3628" s="876">
        <v>4306</v>
      </c>
      <c r="C3628" s="876" t="s">
        <v>2507</v>
      </c>
      <c r="D3628" s="851">
        <v>706.33998999999994</v>
      </c>
    </row>
    <row r="3629" spans="2:4" x14ac:dyDescent="0.2">
      <c r="B3629" s="876">
        <v>4307</v>
      </c>
      <c r="C3629" s="876" t="s">
        <v>4456</v>
      </c>
      <c r="D3629" s="851">
        <v>686.04999799999996</v>
      </c>
    </row>
    <row r="3630" spans="2:4" x14ac:dyDescent="0.2">
      <c r="B3630" s="876">
        <v>4308</v>
      </c>
      <c r="C3630" s="876" t="s">
        <v>4457</v>
      </c>
      <c r="D3630" s="851">
        <v>674.56667100000004</v>
      </c>
    </row>
    <row r="3631" spans="2:4" x14ac:dyDescent="0.2">
      <c r="B3631" s="876">
        <v>4309</v>
      </c>
      <c r="C3631" s="876" t="s">
        <v>4458</v>
      </c>
      <c r="D3631" s="851">
        <v>677.13749700000005</v>
      </c>
    </row>
    <row r="3632" spans="2:4" x14ac:dyDescent="0.2">
      <c r="B3632" s="876">
        <v>4310</v>
      </c>
      <c r="C3632" s="876" t="s">
        <v>4459</v>
      </c>
      <c r="D3632" s="851">
        <v>708.22500600000001</v>
      </c>
    </row>
    <row r="3633" spans="2:4" x14ac:dyDescent="0.2">
      <c r="B3633" s="876">
        <v>4311</v>
      </c>
      <c r="C3633" s="876" t="s">
        <v>4460</v>
      </c>
      <c r="D3633" s="851">
        <v>739.58000500000003</v>
      </c>
    </row>
    <row r="3634" spans="2:4" x14ac:dyDescent="0.2">
      <c r="B3634" s="876">
        <v>4312</v>
      </c>
      <c r="C3634" s="876" t="s">
        <v>4461</v>
      </c>
      <c r="D3634" s="851">
        <v>694.70001200000002</v>
      </c>
    </row>
    <row r="3635" spans="2:4" x14ac:dyDescent="0.2">
      <c r="B3635" s="876">
        <v>4313</v>
      </c>
      <c r="C3635" s="876" t="s">
        <v>4462</v>
      </c>
      <c r="D3635" s="851">
        <v>680.27500899999995</v>
      </c>
    </row>
    <row r="3636" spans="2:4" x14ac:dyDescent="0.2">
      <c r="B3636" s="876">
        <v>4314</v>
      </c>
      <c r="C3636" s="876" t="s">
        <v>4463</v>
      </c>
      <c r="D3636" s="851">
        <v>693.81999499999995</v>
      </c>
    </row>
    <row r="3637" spans="2:4" x14ac:dyDescent="0.2">
      <c r="B3637" s="876">
        <v>4315</v>
      </c>
      <c r="C3637" s="876" t="s">
        <v>4464</v>
      </c>
      <c r="D3637" s="851">
        <v>671.16001000000006</v>
      </c>
    </row>
    <row r="3638" spans="2:4" x14ac:dyDescent="0.2">
      <c r="B3638" s="876">
        <v>4316</v>
      </c>
      <c r="C3638" s="876" t="s">
        <v>2513</v>
      </c>
      <c r="D3638" s="851">
        <v>687.40769599999999</v>
      </c>
    </row>
    <row r="3639" spans="2:4" x14ac:dyDescent="0.2">
      <c r="B3639" s="876">
        <v>4317</v>
      </c>
      <c r="C3639" s="876" t="s">
        <v>4465</v>
      </c>
      <c r="D3639" s="851">
        <v>703.54998799999998</v>
      </c>
    </row>
    <row r="3640" spans="2:4" x14ac:dyDescent="0.2">
      <c r="B3640" s="876">
        <v>4318</v>
      </c>
      <c r="C3640" s="876" t="s">
        <v>4466</v>
      </c>
      <c r="D3640" s="851">
        <v>707.48000500000001</v>
      </c>
    </row>
    <row r="3641" spans="2:4" x14ac:dyDescent="0.2">
      <c r="B3641" s="876">
        <v>4319</v>
      </c>
      <c r="C3641" s="876" t="s">
        <v>4467</v>
      </c>
      <c r="D3641" s="851">
        <v>674.53333499999997</v>
      </c>
    </row>
    <row r="3642" spans="2:4" x14ac:dyDescent="0.2">
      <c r="B3642" s="876">
        <v>4320</v>
      </c>
      <c r="C3642" s="876" t="s">
        <v>4468</v>
      </c>
      <c r="D3642" s="851">
        <v>673.740002</v>
      </c>
    </row>
    <row r="3643" spans="2:4" x14ac:dyDescent="0.2">
      <c r="B3643" s="876">
        <v>4321</v>
      </c>
      <c r="C3643" s="876" t="s">
        <v>4469</v>
      </c>
      <c r="D3643" s="851">
        <v>702.16001000000006</v>
      </c>
    </row>
    <row r="3644" spans="2:4" x14ac:dyDescent="0.2">
      <c r="B3644" s="876">
        <v>4322</v>
      </c>
      <c r="C3644" s="876" t="s">
        <v>4470</v>
      </c>
      <c r="D3644" s="851">
        <v>708.78750600000001</v>
      </c>
    </row>
    <row r="3645" spans="2:4" x14ac:dyDescent="0.2">
      <c r="B3645" s="876">
        <v>4323</v>
      </c>
      <c r="C3645" s="876" t="s">
        <v>4471</v>
      </c>
      <c r="D3645" s="851">
        <v>742.86249499999997</v>
      </c>
    </row>
    <row r="3646" spans="2:4" x14ac:dyDescent="0.2">
      <c r="B3646" s="876">
        <v>4324</v>
      </c>
      <c r="C3646" s="876" t="s">
        <v>4472</v>
      </c>
      <c r="D3646" s="851">
        <v>749.1875</v>
      </c>
    </row>
    <row r="3647" spans="2:4" x14ac:dyDescent="0.2">
      <c r="B3647" s="876">
        <v>4325</v>
      </c>
      <c r="C3647" s="876" t="s">
        <v>4473</v>
      </c>
      <c r="D3647" s="851">
        <v>703.28332499999999</v>
      </c>
    </row>
    <row r="3648" spans="2:4" x14ac:dyDescent="0.2">
      <c r="B3648" s="876">
        <v>4326</v>
      </c>
      <c r="C3648" s="876" t="s">
        <v>4474</v>
      </c>
      <c r="D3648" s="851">
        <v>718.87143400000002</v>
      </c>
    </row>
    <row r="3649" spans="2:4" x14ac:dyDescent="0.2">
      <c r="B3649" s="876">
        <v>4327</v>
      </c>
      <c r="C3649" s="876" t="s">
        <v>4475</v>
      </c>
      <c r="D3649" s="851">
        <v>741</v>
      </c>
    </row>
    <row r="3650" spans="2:4" x14ac:dyDescent="0.2">
      <c r="B3650" s="876">
        <v>4328</v>
      </c>
      <c r="C3650" s="876" t="s">
        <v>4476</v>
      </c>
      <c r="D3650" s="851">
        <v>747.29999799999996</v>
      </c>
    </row>
    <row r="3651" spans="2:4" x14ac:dyDescent="0.2">
      <c r="B3651" s="876">
        <v>4329</v>
      </c>
      <c r="C3651" s="876" t="s">
        <v>4477</v>
      </c>
      <c r="D3651" s="851">
        <v>689.73331700000006</v>
      </c>
    </row>
    <row r="3652" spans="2:4" x14ac:dyDescent="0.2">
      <c r="B3652" s="876">
        <v>4330</v>
      </c>
      <c r="C3652" s="876" t="s">
        <v>1943</v>
      </c>
      <c r="D3652" s="851">
        <v>725.889996</v>
      </c>
    </row>
    <row r="3653" spans="2:4" x14ac:dyDescent="0.2">
      <c r="B3653" s="876">
        <v>4331</v>
      </c>
      <c r="C3653" s="876" t="s">
        <v>4478</v>
      </c>
      <c r="D3653" s="851">
        <v>712.51428199999998</v>
      </c>
    </row>
    <row r="3654" spans="2:4" x14ac:dyDescent="0.2">
      <c r="B3654" s="876">
        <v>4332</v>
      </c>
      <c r="C3654" s="876" t="s">
        <v>2805</v>
      </c>
      <c r="D3654" s="851">
        <v>726.32499700000005</v>
      </c>
    </row>
    <row r="3655" spans="2:4" x14ac:dyDescent="0.2">
      <c r="B3655" s="876">
        <v>4333</v>
      </c>
      <c r="C3655" s="876" t="s">
        <v>4479</v>
      </c>
      <c r="D3655" s="851">
        <v>784.90869399999997</v>
      </c>
    </row>
    <row r="3656" spans="2:4" x14ac:dyDescent="0.2">
      <c r="B3656" s="876">
        <v>4334</v>
      </c>
      <c r="C3656" s="876" t="s">
        <v>2767</v>
      </c>
      <c r="D3656" s="851">
        <v>750.72222199999999</v>
      </c>
    </row>
    <row r="3657" spans="2:4" x14ac:dyDescent="0.2">
      <c r="B3657" s="876">
        <v>4335</v>
      </c>
      <c r="C3657" s="876" t="s">
        <v>4480</v>
      </c>
      <c r="D3657" s="851">
        <v>693.327271</v>
      </c>
    </row>
    <row r="3658" spans="2:4" x14ac:dyDescent="0.2">
      <c r="B3658" s="876">
        <v>4336</v>
      </c>
      <c r="C3658" s="876" t="s">
        <v>4481</v>
      </c>
      <c r="D3658" s="851">
        <v>731.95713599999999</v>
      </c>
    </row>
    <row r="3659" spans="2:4" x14ac:dyDescent="0.2">
      <c r="B3659" s="876">
        <v>4337</v>
      </c>
      <c r="C3659" s="876" t="s">
        <v>4482</v>
      </c>
      <c r="D3659" s="851">
        <v>773.93636800000002</v>
      </c>
    </row>
    <row r="3660" spans="2:4" x14ac:dyDescent="0.2">
      <c r="B3660" s="876">
        <v>4338</v>
      </c>
      <c r="C3660" s="876" t="s">
        <v>4483</v>
      </c>
      <c r="D3660" s="851">
        <v>793.09999600000003</v>
      </c>
    </row>
    <row r="3661" spans="2:4" x14ac:dyDescent="0.2">
      <c r="B3661" s="876">
        <v>4339</v>
      </c>
      <c r="C3661" s="876" t="s">
        <v>2049</v>
      </c>
      <c r="D3661" s="851">
        <v>786.92941099999996</v>
      </c>
    </row>
    <row r="3662" spans="2:4" x14ac:dyDescent="0.2">
      <c r="B3662" s="876">
        <v>4340</v>
      </c>
      <c r="C3662" s="876" t="s">
        <v>4484</v>
      </c>
      <c r="D3662" s="851">
        <v>767.5</v>
      </c>
    </row>
    <row r="3663" spans="2:4" x14ac:dyDescent="0.2">
      <c r="B3663" s="876">
        <v>4341</v>
      </c>
      <c r="C3663" s="876" t="s">
        <v>4485</v>
      </c>
      <c r="D3663" s="851">
        <v>775.616669</v>
      </c>
    </row>
    <row r="3664" spans="2:4" x14ac:dyDescent="0.2">
      <c r="B3664" s="876">
        <v>4342</v>
      </c>
      <c r="C3664" s="876" t="s">
        <v>3607</v>
      </c>
      <c r="D3664" s="851">
        <v>786.75</v>
      </c>
    </row>
    <row r="3665" spans="2:4" x14ac:dyDescent="0.2">
      <c r="B3665" s="876">
        <v>4343</v>
      </c>
      <c r="C3665" s="876" t="s">
        <v>4486</v>
      </c>
      <c r="D3665" s="851">
        <v>763.52141900000004</v>
      </c>
    </row>
    <row r="3666" spans="2:4" x14ac:dyDescent="0.2">
      <c r="B3666" s="876">
        <v>4344</v>
      </c>
      <c r="C3666" s="876" t="s">
        <v>4487</v>
      </c>
      <c r="D3666" s="851">
        <v>719.30000399999994</v>
      </c>
    </row>
    <row r="3667" spans="2:4" x14ac:dyDescent="0.2">
      <c r="B3667" s="876">
        <v>4345</v>
      </c>
      <c r="C3667" s="876" t="s">
        <v>4488</v>
      </c>
      <c r="D3667" s="851">
        <v>719.55999799999995</v>
      </c>
    </row>
    <row r="3668" spans="2:4" x14ac:dyDescent="0.2">
      <c r="B3668" s="876">
        <v>4346</v>
      </c>
      <c r="C3668" s="876" t="s">
        <v>4489</v>
      </c>
      <c r="D3668" s="851">
        <v>671.20001200000002</v>
      </c>
    </row>
    <row r="3669" spans="2:4" x14ac:dyDescent="0.2">
      <c r="B3669" s="876">
        <v>4347</v>
      </c>
      <c r="C3669" s="876" t="s">
        <v>4490</v>
      </c>
      <c r="D3669" s="851">
        <v>682.21250199999997</v>
      </c>
    </row>
    <row r="3670" spans="2:4" x14ac:dyDescent="0.2">
      <c r="B3670" s="876">
        <v>4348</v>
      </c>
      <c r="C3670" s="876" t="s">
        <v>4491</v>
      </c>
      <c r="D3670" s="851">
        <v>733.44546000000003</v>
      </c>
    </row>
    <row r="3671" spans="2:4" x14ac:dyDescent="0.2">
      <c r="B3671" s="876">
        <v>4349</v>
      </c>
      <c r="C3671" s="876" t="s">
        <v>4492</v>
      </c>
      <c r="D3671" s="851">
        <v>694.25384499999996</v>
      </c>
    </row>
    <row r="3672" spans="2:4" x14ac:dyDescent="0.2">
      <c r="B3672" s="876">
        <v>4350</v>
      </c>
      <c r="C3672" s="876" t="s">
        <v>4493</v>
      </c>
      <c r="D3672" s="851">
        <v>632.79998799999998</v>
      </c>
    </row>
    <row r="3673" spans="2:4" x14ac:dyDescent="0.2">
      <c r="B3673" s="876">
        <v>4351</v>
      </c>
      <c r="C3673" s="876" t="s">
        <v>3419</v>
      </c>
      <c r="D3673" s="851">
        <v>652.94210699999996</v>
      </c>
    </row>
    <row r="3674" spans="2:4" x14ac:dyDescent="0.2">
      <c r="B3674" s="876">
        <v>4352</v>
      </c>
      <c r="C3674" s="876" t="s">
        <v>4494</v>
      </c>
      <c r="D3674" s="851">
        <v>637.25160700000004</v>
      </c>
    </row>
    <row r="3675" spans="2:4" x14ac:dyDescent="0.2">
      <c r="B3675" s="876">
        <v>4353</v>
      </c>
      <c r="C3675" s="876" t="s">
        <v>4495</v>
      </c>
      <c r="D3675" s="851">
        <v>657.84737399999995</v>
      </c>
    </row>
    <row r="3676" spans="2:4" x14ac:dyDescent="0.2">
      <c r="B3676" s="876">
        <v>4354</v>
      </c>
      <c r="C3676" s="876" t="s">
        <v>4496</v>
      </c>
      <c r="D3676" s="851">
        <v>670.03001099999994</v>
      </c>
    </row>
    <row r="3677" spans="2:4" x14ac:dyDescent="0.2">
      <c r="B3677" s="876">
        <v>4355</v>
      </c>
      <c r="C3677" s="876" t="s">
        <v>345</v>
      </c>
      <c r="D3677" s="851">
        <v>674.53333899999996</v>
      </c>
    </row>
    <row r="3678" spans="2:4" x14ac:dyDescent="0.2">
      <c r="B3678" s="876">
        <v>4356</v>
      </c>
      <c r="C3678" s="876" t="s">
        <v>4497</v>
      </c>
      <c r="D3678" s="851">
        <v>656.18332899999996</v>
      </c>
    </row>
    <row r="3679" spans="2:4" x14ac:dyDescent="0.2">
      <c r="B3679" s="876">
        <v>4357</v>
      </c>
      <c r="C3679" s="876" t="s">
        <v>4498</v>
      </c>
      <c r="D3679" s="851">
        <v>656.20000300000004</v>
      </c>
    </row>
    <row r="3680" spans="2:4" x14ac:dyDescent="0.2">
      <c r="B3680" s="876">
        <v>4358</v>
      </c>
      <c r="C3680" s="876" t="s">
        <v>4499</v>
      </c>
      <c r="D3680" s="851">
        <v>665.17999299999997</v>
      </c>
    </row>
    <row r="3681" spans="2:4" x14ac:dyDescent="0.2">
      <c r="B3681" s="876">
        <v>4359</v>
      </c>
      <c r="C3681" s="876" t="s">
        <v>4500</v>
      </c>
      <c r="D3681" s="851">
        <v>624.4375</v>
      </c>
    </row>
    <row r="3682" spans="2:4" x14ac:dyDescent="0.2">
      <c r="B3682" s="876">
        <v>4360</v>
      </c>
      <c r="C3682" s="876" t="s">
        <v>341</v>
      </c>
      <c r="D3682" s="851">
        <v>648.49443900000006</v>
      </c>
    </row>
    <row r="3683" spans="2:4" x14ac:dyDescent="0.2">
      <c r="B3683" s="876">
        <v>4361</v>
      </c>
      <c r="C3683" s="876" t="s">
        <v>4501</v>
      </c>
      <c r="D3683" s="851">
        <v>773.63334099999997</v>
      </c>
    </row>
    <row r="3684" spans="2:4" x14ac:dyDescent="0.2">
      <c r="B3684" s="876">
        <v>4362</v>
      </c>
      <c r="C3684" s="876" t="s">
        <v>4502</v>
      </c>
      <c r="D3684" s="851">
        <v>728.37143400000002</v>
      </c>
    </row>
    <row r="3685" spans="2:4" x14ac:dyDescent="0.2">
      <c r="B3685" s="876">
        <v>4363</v>
      </c>
      <c r="C3685" s="876" t="s">
        <v>4503</v>
      </c>
      <c r="D3685" s="851">
        <v>685.53846599999997</v>
      </c>
    </row>
    <row r="3686" spans="2:4" x14ac:dyDescent="0.2">
      <c r="B3686" s="876">
        <v>4364</v>
      </c>
      <c r="C3686" s="876" t="s">
        <v>4504</v>
      </c>
      <c r="D3686" s="851">
        <v>717.39999699999998</v>
      </c>
    </row>
    <row r="3687" spans="2:4" x14ac:dyDescent="0.2">
      <c r="B3687" s="876">
        <v>4365</v>
      </c>
      <c r="C3687" s="876" t="s">
        <v>4505</v>
      </c>
      <c r="D3687" s="851">
        <v>717.65882099999999</v>
      </c>
    </row>
    <row r="3688" spans="2:4" x14ac:dyDescent="0.2">
      <c r="B3688" s="876">
        <v>4366</v>
      </c>
      <c r="C3688" s="876" t="s">
        <v>4506</v>
      </c>
      <c r="D3688" s="851">
        <v>748.29998799999998</v>
      </c>
    </row>
    <row r="3689" spans="2:4" x14ac:dyDescent="0.2">
      <c r="B3689" s="876">
        <v>4367</v>
      </c>
      <c r="C3689" s="876" t="s">
        <v>4507</v>
      </c>
      <c r="D3689" s="851">
        <v>705.16667700000005</v>
      </c>
    </row>
    <row r="3690" spans="2:4" x14ac:dyDescent="0.2">
      <c r="B3690" s="876">
        <v>4368</v>
      </c>
      <c r="C3690" s="876" t="s">
        <v>4508</v>
      </c>
      <c r="D3690" s="851">
        <v>696.75</v>
      </c>
    </row>
    <row r="3691" spans="2:4" x14ac:dyDescent="0.2">
      <c r="B3691" s="876">
        <v>4369</v>
      </c>
      <c r="C3691" s="876" t="s">
        <v>4509</v>
      </c>
      <c r="D3691" s="851">
        <v>667.59997599999997</v>
      </c>
    </row>
    <row r="3692" spans="2:4" x14ac:dyDescent="0.2">
      <c r="B3692" s="876">
        <v>4370</v>
      </c>
      <c r="C3692" s="876" t="s">
        <v>4510</v>
      </c>
      <c r="D3692" s="851">
        <v>673.87999300000001</v>
      </c>
    </row>
    <row r="3693" spans="2:4" x14ac:dyDescent="0.2">
      <c r="B3693" s="876">
        <v>4371</v>
      </c>
      <c r="C3693" s="876" t="s">
        <v>4511</v>
      </c>
      <c r="D3693" s="851">
        <v>689.1875</v>
      </c>
    </row>
    <row r="3694" spans="2:4" x14ac:dyDescent="0.2">
      <c r="B3694" s="876">
        <v>4372</v>
      </c>
      <c r="C3694" s="876" t="s">
        <v>4512</v>
      </c>
      <c r="D3694" s="851">
        <v>732.20001200000002</v>
      </c>
    </row>
    <row r="3695" spans="2:4" x14ac:dyDescent="0.2">
      <c r="B3695" s="876">
        <v>4373</v>
      </c>
      <c r="C3695" s="876" t="s">
        <v>4513</v>
      </c>
      <c r="D3695" s="851">
        <v>685.80000800000005</v>
      </c>
    </row>
    <row r="3696" spans="2:4" x14ac:dyDescent="0.2">
      <c r="B3696" s="876">
        <v>4374</v>
      </c>
      <c r="C3696" s="876" t="s">
        <v>4514</v>
      </c>
      <c r="D3696" s="851">
        <v>684.08332299999995</v>
      </c>
    </row>
    <row r="3697" spans="2:4" x14ac:dyDescent="0.2">
      <c r="B3697" s="876">
        <v>4375</v>
      </c>
      <c r="C3697" s="876" t="s">
        <v>4515</v>
      </c>
      <c r="D3697" s="851">
        <v>699.59999400000004</v>
      </c>
    </row>
    <row r="3698" spans="2:4" x14ac:dyDescent="0.2">
      <c r="B3698" s="876">
        <v>4376</v>
      </c>
      <c r="C3698" s="876" t="s">
        <v>3667</v>
      </c>
      <c r="D3698" s="851">
        <v>698.02857300000005</v>
      </c>
    </row>
    <row r="3699" spans="2:4" x14ac:dyDescent="0.2">
      <c r="B3699" s="876">
        <v>4377</v>
      </c>
      <c r="C3699" s="876" t="s">
        <v>4516</v>
      </c>
      <c r="D3699" s="851">
        <v>712.44000200000005</v>
      </c>
    </row>
    <row r="3700" spans="2:4" x14ac:dyDescent="0.2">
      <c r="B3700" s="876">
        <v>4378</v>
      </c>
      <c r="C3700" s="876" t="s">
        <v>4517</v>
      </c>
      <c r="D3700" s="851">
        <v>750.11665900000003</v>
      </c>
    </row>
    <row r="3701" spans="2:4" x14ac:dyDescent="0.2">
      <c r="B3701" s="876">
        <v>4379</v>
      </c>
      <c r="C3701" s="876" t="s">
        <v>4518</v>
      </c>
      <c r="D3701" s="851">
        <v>739.18332899999996</v>
      </c>
    </row>
    <row r="3702" spans="2:4" x14ac:dyDescent="0.2">
      <c r="B3702" s="876">
        <v>4380</v>
      </c>
      <c r="C3702" s="876" t="s">
        <v>4519</v>
      </c>
      <c r="D3702" s="851">
        <v>781.85000600000001</v>
      </c>
    </row>
    <row r="3703" spans="2:4" x14ac:dyDescent="0.2">
      <c r="B3703" s="876">
        <v>4381</v>
      </c>
      <c r="C3703" s="876" t="s">
        <v>4520</v>
      </c>
      <c r="D3703" s="851">
        <v>758.30000500000006</v>
      </c>
    </row>
    <row r="3704" spans="2:4" x14ac:dyDescent="0.2">
      <c r="B3704" s="876">
        <v>4382</v>
      </c>
      <c r="C3704" s="876" t="s">
        <v>4521</v>
      </c>
      <c r="D3704" s="851">
        <v>749.97142699999995</v>
      </c>
    </row>
    <row r="3705" spans="2:4" x14ac:dyDescent="0.2">
      <c r="B3705" s="876">
        <v>4383</v>
      </c>
      <c r="C3705" s="876" t="s">
        <v>4522</v>
      </c>
      <c r="D3705" s="851">
        <v>751.05714599999999</v>
      </c>
    </row>
    <row r="3706" spans="2:4" x14ac:dyDescent="0.2">
      <c r="B3706" s="876">
        <v>4384</v>
      </c>
      <c r="C3706" s="876" t="s">
        <v>4523</v>
      </c>
      <c r="D3706" s="851">
        <v>632.75</v>
      </c>
    </row>
    <row r="3707" spans="2:4" x14ac:dyDescent="0.2">
      <c r="B3707" s="876">
        <v>4385</v>
      </c>
      <c r="C3707" s="876" t="s">
        <v>4524</v>
      </c>
      <c r="D3707" s="851">
        <v>638.13334099999997</v>
      </c>
    </row>
    <row r="3708" spans="2:4" x14ac:dyDescent="0.2">
      <c r="B3708" s="876">
        <v>4386</v>
      </c>
      <c r="C3708" s="876" t="s">
        <v>4525</v>
      </c>
      <c r="D3708" s="851">
        <v>621.06667100000004</v>
      </c>
    </row>
    <row r="3709" spans="2:4" x14ac:dyDescent="0.2">
      <c r="B3709" s="876">
        <v>4387</v>
      </c>
      <c r="C3709" s="876" t="s">
        <v>2261</v>
      </c>
      <c r="D3709" s="851">
        <v>657.75262799999996</v>
      </c>
    </row>
    <row r="3710" spans="2:4" x14ac:dyDescent="0.2">
      <c r="B3710" s="876">
        <v>4388</v>
      </c>
      <c r="C3710" s="876" t="s">
        <v>2824</v>
      </c>
      <c r="D3710" s="851">
        <v>650.41333399999996</v>
      </c>
    </row>
    <row r="3711" spans="2:4" x14ac:dyDescent="0.2">
      <c r="B3711" s="876">
        <v>4389</v>
      </c>
      <c r="C3711" s="876" t="s">
        <v>4526</v>
      </c>
      <c r="D3711" s="851">
        <v>625.783997</v>
      </c>
    </row>
    <row r="3712" spans="2:4" x14ac:dyDescent="0.2">
      <c r="B3712" s="876">
        <v>4390</v>
      </c>
      <c r="C3712" s="876" t="s">
        <v>4527</v>
      </c>
      <c r="D3712" s="851">
        <v>677.45001200000002</v>
      </c>
    </row>
    <row r="3713" spans="2:4" x14ac:dyDescent="0.2">
      <c r="B3713" s="876">
        <v>4391</v>
      </c>
      <c r="C3713" s="876" t="s">
        <v>4528</v>
      </c>
      <c r="D3713" s="851">
        <v>674.85555699999998</v>
      </c>
    </row>
    <row r="3714" spans="2:4" x14ac:dyDescent="0.2">
      <c r="B3714" s="876">
        <v>4392</v>
      </c>
      <c r="C3714" s="876" t="s">
        <v>4529</v>
      </c>
      <c r="D3714" s="851">
        <v>676.60909800000002</v>
      </c>
    </row>
    <row r="3715" spans="2:4" x14ac:dyDescent="0.2">
      <c r="B3715" s="876">
        <v>4393</v>
      </c>
      <c r="C3715" s="876" t="s">
        <v>4530</v>
      </c>
      <c r="D3715" s="851">
        <v>636.759998</v>
      </c>
    </row>
    <row r="3716" spans="2:4" x14ac:dyDescent="0.2">
      <c r="B3716" s="876">
        <v>4394</v>
      </c>
      <c r="C3716" s="876" t="s">
        <v>4531</v>
      </c>
      <c r="D3716" s="851">
        <v>607.95001200000002</v>
      </c>
    </row>
    <row r="3717" spans="2:4" x14ac:dyDescent="0.2">
      <c r="B3717" s="876">
        <v>4395</v>
      </c>
      <c r="C3717" s="876" t="s">
        <v>4532</v>
      </c>
      <c r="D3717" s="851">
        <v>643.70000200000004</v>
      </c>
    </row>
    <row r="3718" spans="2:4" x14ac:dyDescent="0.2">
      <c r="B3718" s="876">
        <v>4396</v>
      </c>
      <c r="C3718" s="876" t="s">
        <v>4533</v>
      </c>
      <c r="D3718" s="851">
        <v>627.93999599999995</v>
      </c>
    </row>
    <row r="3719" spans="2:4" x14ac:dyDescent="0.2">
      <c r="B3719" s="876">
        <v>4397</v>
      </c>
      <c r="C3719" s="876" t="s">
        <v>4534</v>
      </c>
      <c r="D3719" s="851">
        <v>633.69374500000004</v>
      </c>
    </row>
    <row r="3720" spans="2:4" x14ac:dyDescent="0.2">
      <c r="B3720" s="876">
        <v>4398</v>
      </c>
      <c r="C3720" s="876" t="s">
        <v>4535</v>
      </c>
      <c r="D3720" s="851">
        <v>639.42500299999995</v>
      </c>
    </row>
    <row r="3721" spans="2:4" x14ac:dyDescent="0.2">
      <c r="B3721" s="876">
        <v>4399</v>
      </c>
      <c r="C3721" s="876" t="s">
        <v>4536</v>
      </c>
      <c r="D3721" s="851">
        <v>686.07499700000005</v>
      </c>
    </row>
    <row r="3722" spans="2:4" x14ac:dyDescent="0.2">
      <c r="B3722" s="876">
        <v>4400</v>
      </c>
      <c r="C3722" s="876" t="s">
        <v>4537</v>
      </c>
      <c r="D3722" s="851">
        <v>670.34997599999997</v>
      </c>
    </row>
    <row r="3723" spans="2:4" x14ac:dyDescent="0.2">
      <c r="B3723" s="876">
        <v>4401</v>
      </c>
      <c r="C3723" s="876" t="s">
        <v>4538</v>
      </c>
      <c r="D3723" s="851">
        <v>660.875</v>
      </c>
    </row>
    <row r="3724" spans="2:4" x14ac:dyDescent="0.2">
      <c r="B3724" s="876">
        <v>4402</v>
      </c>
      <c r="C3724" s="876" t="s">
        <v>4539</v>
      </c>
      <c r="D3724" s="851">
        <v>627.37272499999995</v>
      </c>
    </row>
    <row r="3725" spans="2:4" x14ac:dyDescent="0.2">
      <c r="B3725" s="876">
        <v>4403</v>
      </c>
      <c r="C3725" s="876" t="s">
        <v>4540</v>
      </c>
      <c r="D3725" s="851">
        <v>657.35554999999999</v>
      </c>
    </row>
    <row r="3726" spans="2:4" x14ac:dyDescent="0.2">
      <c r="B3726" s="876">
        <v>4404</v>
      </c>
      <c r="C3726" s="876" t="s">
        <v>4541</v>
      </c>
      <c r="D3726" s="851">
        <v>651.677775</v>
      </c>
    </row>
    <row r="3727" spans="2:4" x14ac:dyDescent="0.2">
      <c r="B3727" s="876">
        <v>4405</v>
      </c>
      <c r="C3727" s="876" t="s">
        <v>4542</v>
      </c>
      <c r="D3727" s="851">
        <v>674.35714299999995</v>
      </c>
    </row>
    <row r="3728" spans="2:4" x14ac:dyDescent="0.2">
      <c r="B3728" s="876">
        <v>4406</v>
      </c>
      <c r="C3728" s="876" t="s">
        <v>4543</v>
      </c>
      <c r="D3728" s="851">
        <v>686.44998799999996</v>
      </c>
    </row>
    <row r="3729" spans="2:4" x14ac:dyDescent="0.2">
      <c r="B3729" s="876">
        <v>4407</v>
      </c>
      <c r="C3729" s="876" t="s">
        <v>4544</v>
      </c>
      <c r="D3729" s="851">
        <v>709.91999499999997</v>
      </c>
    </row>
    <row r="3730" spans="2:4" x14ac:dyDescent="0.2">
      <c r="B3730" s="876">
        <v>4408</v>
      </c>
      <c r="C3730" s="876" t="s">
        <v>2573</v>
      </c>
      <c r="D3730" s="851">
        <v>680.08000500000003</v>
      </c>
    </row>
    <row r="3731" spans="2:4" x14ac:dyDescent="0.2">
      <c r="B3731" s="876">
        <v>4409</v>
      </c>
      <c r="C3731" s="876" t="s">
        <v>4545</v>
      </c>
      <c r="D3731" s="851">
        <v>679.44000200000005</v>
      </c>
    </row>
    <row r="3732" spans="2:4" x14ac:dyDescent="0.2">
      <c r="B3732" s="876">
        <v>4410</v>
      </c>
      <c r="C3732" s="876" t="s">
        <v>4546</v>
      </c>
      <c r="D3732" s="851">
        <v>699.52500899999995</v>
      </c>
    </row>
    <row r="3733" spans="2:4" x14ac:dyDescent="0.2">
      <c r="B3733" s="876">
        <v>4411</v>
      </c>
      <c r="C3733" s="876" t="s">
        <v>4547</v>
      </c>
      <c r="D3733" s="851">
        <v>680.72857699999997</v>
      </c>
    </row>
    <row r="3734" spans="2:4" x14ac:dyDescent="0.2">
      <c r="B3734" s="876">
        <v>4412</v>
      </c>
      <c r="C3734" s="876" t="s">
        <v>4548</v>
      </c>
      <c r="D3734" s="851">
        <v>753.69686899999999</v>
      </c>
    </row>
    <row r="3735" spans="2:4" x14ac:dyDescent="0.2">
      <c r="B3735" s="876">
        <v>4451</v>
      </c>
      <c r="C3735" s="876" t="s">
        <v>4549</v>
      </c>
      <c r="D3735" s="851">
        <v>826.635716</v>
      </c>
    </row>
    <row r="3736" spans="2:4" x14ac:dyDescent="0.2">
      <c r="B3736" s="876">
        <v>4452</v>
      </c>
      <c r="C3736" s="876" t="s">
        <v>4550</v>
      </c>
      <c r="D3736" s="851">
        <v>792.63750500000003</v>
      </c>
    </row>
    <row r="3737" spans="2:4" x14ac:dyDescent="0.2">
      <c r="B3737" s="876">
        <v>4453</v>
      </c>
      <c r="C3737" s="876" t="s">
        <v>4551</v>
      </c>
      <c r="D3737" s="851">
        <v>744.55001800000002</v>
      </c>
    </row>
    <row r="3738" spans="2:4" x14ac:dyDescent="0.2">
      <c r="B3738" s="876">
        <v>4454</v>
      </c>
      <c r="C3738" s="876" t="s">
        <v>4552</v>
      </c>
      <c r="D3738" s="851">
        <v>765.80908799999997</v>
      </c>
    </row>
    <row r="3739" spans="2:4" x14ac:dyDescent="0.2">
      <c r="B3739" s="876">
        <v>4455</v>
      </c>
      <c r="C3739" s="876" t="s">
        <v>4553</v>
      </c>
      <c r="D3739" s="851">
        <v>717.11333400000001</v>
      </c>
    </row>
    <row r="3740" spans="2:4" x14ac:dyDescent="0.2">
      <c r="B3740" s="876">
        <v>4456</v>
      </c>
      <c r="C3740" s="876" t="s">
        <v>4554</v>
      </c>
      <c r="D3740" s="851">
        <v>668.91110600000002</v>
      </c>
    </row>
    <row r="3741" spans="2:4" x14ac:dyDescent="0.2">
      <c r="B3741" s="876">
        <v>4457</v>
      </c>
      <c r="C3741" s="876" t="s">
        <v>4555</v>
      </c>
      <c r="D3741" s="851">
        <v>700.49999500000001</v>
      </c>
    </row>
    <row r="3742" spans="2:4" x14ac:dyDescent="0.2">
      <c r="B3742" s="876">
        <v>4458</v>
      </c>
      <c r="C3742" s="876" t="s">
        <v>4556</v>
      </c>
      <c r="D3742" s="851">
        <v>689.24445900000001</v>
      </c>
    </row>
    <row r="3743" spans="2:4" x14ac:dyDescent="0.2">
      <c r="B3743" s="876">
        <v>4459</v>
      </c>
      <c r="C3743" s="876" t="s">
        <v>4557</v>
      </c>
      <c r="D3743" s="851">
        <v>656.34999100000005</v>
      </c>
    </row>
    <row r="3744" spans="2:4" x14ac:dyDescent="0.2">
      <c r="B3744" s="876">
        <v>4460</v>
      </c>
      <c r="C3744" s="876" t="s">
        <v>4558</v>
      </c>
      <c r="D3744" s="851">
        <v>655.48095999999998</v>
      </c>
    </row>
    <row r="3745" spans="2:4" x14ac:dyDescent="0.2">
      <c r="B3745" s="876">
        <v>4461</v>
      </c>
      <c r="C3745" s="876" t="s">
        <v>4559</v>
      </c>
      <c r="D3745" s="851">
        <v>665.09999100000005</v>
      </c>
    </row>
    <row r="3746" spans="2:4" x14ac:dyDescent="0.2">
      <c r="B3746" s="876">
        <v>4462</v>
      </c>
      <c r="C3746" s="876" t="s">
        <v>4560</v>
      </c>
      <c r="D3746" s="851">
        <v>663.79998799999998</v>
      </c>
    </row>
    <row r="3747" spans="2:4" x14ac:dyDescent="0.2">
      <c r="B3747" s="876">
        <v>4463</v>
      </c>
      <c r="C3747" s="876" t="s">
        <v>4561</v>
      </c>
      <c r="D3747" s="851">
        <v>668.33845899999994</v>
      </c>
    </row>
    <row r="3748" spans="2:4" x14ac:dyDescent="0.2">
      <c r="B3748" s="876">
        <v>4464</v>
      </c>
      <c r="C3748" s="876" t="s">
        <v>4562</v>
      </c>
      <c r="D3748" s="851">
        <v>663.04998799999998</v>
      </c>
    </row>
    <row r="3749" spans="2:4" x14ac:dyDescent="0.2">
      <c r="B3749" s="876">
        <v>4465</v>
      </c>
      <c r="C3749" s="876" t="s">
        <v>4563</v>
      </c>
      <c r="D3749" s="851">
        <v>692.66923599999996</v>
      </c>
    </row>
    <row r="3750" spans="2:4" x14ac:dyDescent="0.2">
      <c r="B3750" s="876">
        <v>4466</v>
      </c>
      <c r="C3750" s="876" t="s">
        <v>4564</v>
      </c>
      <c r="D3750" s="851">
        <v>809.95417499999996</v>
      </c>
    </row>
    <row r="3751" spans="2:4" x14ac:dyDescent="0.2">
      <c r="B3751" s="876">
        <v>4467</v>
      </c>
      <c r="C3751" s="876" t="s">
        <v>4565</v>
      </c>
      <c r="D3751" s="851">
        <v>811.80001800000002</v>
      </c>
    </row>
    <row r="3752" spans="2:4" x14ac:dyDescent="0.2">
      <c r="B3752" s="876">
        <v>4468</v>
      </c>
      <c r="C3752" s="876" t="s">
        <v>4566</v>
      </c>
      <c r="D3752" s="851">
        <v>771.06249200000002</v>
      </c>
    </row>
    <row r="3753" spans="2:4" x14ac:dyDescent="0.2">
      <c r="B3753" s="876">
        <v>4469</v>
      </c>
      <c r="C3753" s="876" t="s">
        <v>4567</v>
      </c>
      <c r="D3753" s="851">
        <v>763.23333100000002</v>
      </c>
    </row>
    <row r="3754" spans="2:4" x14ac:dyDescent="0.2">
      <c r="B3754" s="876">
        <v>4470</v>
      </c>
      <c r="C3754" s="876" t="s">
        <v>4568</v>
      </c>
      <c r="D3754" s="851">
        <v>757.17142200000001</v>
      </c>
    </row>
    <row r="3755" spans="2:4" x14ac:dyDescent="0.2">
      <c r="B3755" s="876">
        <v>4471</v>
      </c>
      <c r="C3755" s="876" t="s">
        <v>4569</v>
      </c>
      <c r="D3755" s="851">
        <v>739.32499700000005</v>
      </c>
    </row>
    <row r="3756" spans="2:4" x14ac:dyDescent="0.2">
      <c r="B3756" s="876">
        <v>4472</v>
      </c>
      <c r="C3756" s="876" t="s">
        <v>4570</v>
      </c>
      <c r="D3756" s="851">
        <v>693.15713900000003</v>
      </c>
    </row>
    <row r="3757" spans="2:4" x14ac:dyDescent="0.2">
      <c r="B3757" s="876">
        <v>4473</v>
      </c>
      <c r="C3757" s="876" t="s">
        <v>4571</v>
      </c>
      <c r="D3757" s="851">
        <v>660.42500299999995</v>
      </c>
    </row>
    <row r="3758" spans="2:4" x14ac:dyDescent="0.2">
      <c r="B3758" s="876">
        <v>4474</v>
      </c>
      <c r="C3758" s="876" t="s">
        <v>4572</v>
      </c>
      <c r="D3758" s="851">
        <v>713.75454400000001</v>
      </c>
    </row>
    <row r="3759" spans="2:4" x14ac:dyDescent="0.2">
      <c r="B3759" s="876">
        <v>4475</v>
      </c>
      <c r="C3759" s="876" t="s">
        <v>4573</v>
      </c>
      <c r="D3759" s="851">
        <v>698.34667200000001</v>
      </c>
    </row>
    <row r="3760" spans="2:4" x14ac:dyDescent="0.2">
      <c r="B3760" s="876">
        <v>4476</v>
      </c>
      <c r="C3760" s="876" t="s">
        <v>4574</v>
      </c>
      <c r="D3760" s="851">
        <v>699.57500700000003</v>
      </c>
    </row>
    <row r="3761" spans="2:4" x14ac:dyDescent="0.2">
      <c r="B3761" s="876">
        <v>4477</v>
      </c>
      <c r="C3761" s="876" t="s">
        <v>4575</v>
      </c>
      <c r="D3761" s="851">
        <v>832.57498199999998</v>
      </c>
    </row>
    <row r="3762" spans="2:4" x14ac:dyDescent="0.2">
      <c r="B3762" s="876">
        <v>4478</v>
      </c>
      <c r="C3762" s="876" t="s">
        <v>4576</v>
      </c>
      <c r="D3762" s="851">
        <v>787.54444699999999</v>
      </c>
    </row>
    <row r="3763" spans="2:4" x14ac:dyDescent="0.2">
      <c r="B3763" s="876">
        <v>4479</v>
      </c>
      <c r="C3763" s="876" t="s">
        <v>4577</v>
      </c>
      <c r="D3763" s="851">
        <v>763.49998800000003</v>
      </c>
    </row>
    <row r="3764" spans="2:4" x14ac:dyDescent="0.2">
      <c r="B3764" s="876">
        <v>4480</v>
      </c>
      <c r="C3764" s="876" t="s">
        <v>4578</v>
      </c>
      <c r="D3764" s="851">
        <v>736.59999300000004</v>
      </c>
    </row>
    <row r="3765" spans="2:4" x14ac:dyDescent="0.2">
      <c r="B3765" s="876">
        <v>4481</v>
      </c>
      <c r="C3765" s="876" t="s">
        <v>4579</v>
      </c>
      <c r="D3765" s="851">
        <v>716.95000200000004</v>
      </c>
    </row>
    <row r="3766" spans="2:4" x14ac:dyDescent="0.2">
      <c r="B3766" s="876">
        <v>4482</v>
      </c>
      <c r="C3766" s="876" t="s">
        <v>4580</v>
      </c>
      <c r="D3766" s="851">
        <v>730.22857199999999</v>
      </c>
    </row>
    <row r="3767" spans="2:4" x14ac:dyDescent="0.2">
      <c r="B3767" s="876">
        <v>4483</v>
      </c>
      <c r="C3767" s="876" t="s">
        <v>4581</v>
      </c>
      <c r="D3767" s="851">
        <v>729.72307899999998</v>
      </c>
    </row>
    <row r="3768" spans="2:4" x14ac:dyDescent="0.2">
      <c r="B3768" s="876">
        <v>4484</v>
      </c>
      <c r="C3768" s="876" t="s">
        <v>4582</v>
      </c>
      <c r="D3768" s="851">
        <v>691.97857699999997</v>
      </c>
    </row>
    <row r="3769" spans="2:4" x14ac:dyDescent="0.2">
      <c r="B3769" s="876">
        <v>4485</v>
      </c>
      <c r="C3769" s="876" t="s">
        <v>4583</v>
      </c>
      <c r="D3769" s="851">
        <v>668.98334799999998</v>
      </c>
    </row>
    <row r="3770" spans="2:4" x14ac:dyDescent="0.2">
      <c r="B3770" s="876">
        <v>4486</v>
      </c>
      <c r="C3770" s="876" t="s">
        <v>4584</v>
      </c>
      <c r="D3770" s="851">
        <v>686.42222100000004</v>
      </c>
    </row>
    <row r="3771" spans="2:4" x14ac:dyDescent="0.2">
      <c r="B3771" s="876">
        <v>4487</v>
      </c>
      <c r="C3771" s="876" t="s">
        <v>4585</v>
      </c>
      <c r="D3771" s="851">
        <v>702.90000399999997</v>
      </c>
    </row>
    <row r="3772" spans="2:4" x14ac:dyDescent="0.2">
      <c r="B3772" s="876">
        <v>4488</v>
      </c>
      <c r="C3772" s="876" t="s">
        <v>4586</v>
      </c>
      <c r="D3772" s="851">
        <v>707.65</v>
      </c>
    </row>
    <row r="3773" spans="2:4" x14ac:dyDescent="0.2">
      <c r="B3773" s="876">
        <v>4489</v>
      </c>
      <c r="C3773" s="876" t="s">
        <v>4587</v>
      </c>
      <c r="D3773" s="851">
        <v>686.06667100000004</v>
      </c>
    </row>
    <row r="3774" spans="2:4" x14ac:dyDescent="0.2">
      <c r="B3774" s="876">
        <v>4490</v>
      </c>
      <c r="C3774" s="876" t="s">
        <v>4588</v>
      </c>
      <c r="D3774" s="851">
        <v>663.94643099999996</v>
      </c>
    </row>
    <row r="3775" spans="2:4" x14ac:dyDescent="0.2">
      <c r="B3775" s="876">
        <v>4491</v>
      </c>
      <c r="C3775" s="876" t="s">
        <v>4589</v>
      </c>
      <c r="D3775" s="851">
        <v>639.59997599999997</v>
      </c>
    </row>
    <row r="3776" spans="2:4" x14ac:dyDescent="0.2">
      <c r="B3776" s="876">
        <v>4492</v>
      </c>
      <c r="C3776" s="876" t="s">
        <v>4590</v>
      </c>
      <c r="D3776" s="851">
        <v>649.53889000000004</v>
      </c>
    </row>
    <row r="3777" spans="2:4" x14ac:dyDescent="0.2">
      <c r="B3777" s="876">
        <v>4493</v>
      </c>
      <c r="C3777" s="876" t="s">
        <v>1891</v>
      </c>
      <c r="D3777" s="851">
        <v>679.28749100000005</v>
      </c>
    </row>
    <row r="3778" spans="2:4" x14ac:dyDescent="0.2">
      <c r="B3778" s="876">
        <v>4494</v>
      </c>
      <c r="C3778" s="876" t="s">
        <v>4591</v>
      </c>
      <c r="D3778" s="851">
        <v>637.375</v>
      </c>
    </row>
    <row r="3779" spans="2:4" x14ac:dyDescent="0.2">
      <c r="B3779" s="876">
        <v>4495</v>
      </c>
      <c r="C3779" s="876" t="s">
        <v>4592</v>
      </c>
      <c r="D3779" s="851">
        <v>729.12307999999996</v>
      </c>
    </row>
    <row r="3780" spans="2:4" x14ac:dyDescent="0.2">
      <c r="B3780" s="876">
        <v>4496</v>
      </c>
      <c r="C3780" s="876" t="s">
        <v>4593</v>
      </c>
      <c r="D3780" s="851">
        <v>706.64616000000001</v>
      </c>
    </row>
    <row r="3781" spans="2:4" x14ac:dyDescent="0.2">
      <c r="B3781" s="876">
        <v>4497</v>
      </c>
      <c r="C3781" s="876" t="s">
        <v>4594</v>
      </c>
      <c r="D3781" s="851">
        <v>700.29091000000005</v>
      </c>
    </row>
    <row r="3782" spans="2:4" x14ac:dyDescent="0.2">
      <c r="B3782" s="876">
        <v>4498</v>
      </c>
      <c r="C3782" s="876" t="s">
        <v>1809</v>
      </c>
      <c r="D3782" s="851">
        <v>718.01110200000005</v>
      </c>
    </row>
    <row r="3783" spans="2:4" x14ac:dyDescent="0.2">
      <c r="B3783" s="876">
        <v>4499</v>
      </c>
      <c r="C3783" s="876" t="s">
        <v>4595</v>
      </c>
      <c r="D3783" s="851">
        <v>679.077766</v>
      </c>
    </row>
    <row r="3784" spans="2:4" x14ac:dyDescent="0.2">
      <c r="B3784" s="876">
        <v>4500</v>
      </c>
      <c r="C3784" s="876" t="s">
        <v>4596</v>
      </c>
      <c r="D3784" s="851">
        <v>670.75556099999994</v>
      </c>
    </row>
    <row r="3785" spans="2:4" x14ac:dyDescent="0.2">
      <c r="B3785" s="876">
        <v>4501</v>
      </c>
      <c r="C3785" s="876" t="s">
        <v>4597</v>
      </c>
      <c r="D3785" s="851">
        <v>666.64999399999999</v>
      </c>
    </row>
    <row r="3786" spans="2:4" x14ac:dyDescent="0.2">
      <c r="B3786" s="876">
        <v>4502</v>
      </c>
      <c r="C3786" s="876" t="s">
        <v>4598</v>
      </c>
      <c r="D3786" s="851">
        <v>699.12222599999996</v>
      </c>
    </row>
    <row r="3787" spans="2:4" x14ac:dyDescent="0.2">
      <c r="B3787" s="876">
        <v>4503</v>
      </c>
      <c r="C3787" s="876" t="s">
        <v>3102</v>
      </c>
      <c r="D3787" s="851">
        <v>717.28888600000005</v>
      </c>
    </row>
    <row r="3788" spans="2:4" x14ac:dyDescent="0.2">
      <c r="B3788" s="876">
        <v>4504</v>
      </c>
      <c r="C3788" s="876" t="s">
        <v>4599</v>
      </c>
      <c r="D3788" s="851">
        <v>735.05998499999998</v>
      </c>
    </row>
    <row r="3789" spans="2:4" x14ac:dyDescent="0.2">
      <c r="B3789" s="876">
        <v>4505</v>
      </c>
      <c r="C3789" s="876" t="s">
        <v>4600</v>
      </c>
      <c r="D3789" s="851">
        <v>736.21111399999995</v>
      </c>
    </row>
    <row r="3790" spans="2:4" x14ac:dyDescent="0.2">
      <c r="B3790" s="876">
        <v>4506</v>
      </c>
      <c r="C3790" s="876" t="s">
        <v>4601</v>
      </c>
      <c r="D3790" s="851">
        <v>797.50000499999999</v>
      </c>
    </row>
    <row r="3791" spans="2:4" x14ac:dyDescent="0.2">
      <c r="B3791" s="876">
        <v>4507</v>
      </c>
      <c r="C3791" s="876" t="s">
        <v>4602</v>
      </c>
      <c r="D3791" s="851">
        <v>769.03333999999995</v>
      </c>
    </row>
    <row r="3792" spans="2:4" x14ac:dyDescent="0.2">
      <c r="B3792" s="876">
        <v>4508</v>
      </c>
      <c r="C3792" s="876" t="s">
        <v>4603</v>
      </c>
      <c r="D3792" s="851">
        <v>718.41874700000005</v>
      </c>
    </row>
    <row r="3793" spans="2:4" x14ac:dyDescent="0.2">
      <c r="B3793" s="876">
        <v>4509</v>
      </c>
      <c r="C3793" s="876" t="s">
        <v>4604</v>
      </c>
      <c r="D3793" s="851">
        <v>731.13635799999997</v>
      </c>
    </row>
    <row r="3794" spans="2:4" x14ac:dyDescent="0.2">
      <c r="B3794" s="876">
        <v>4510</v>
      </c>
      <c r="C3794" s="876" t="s">
        <v>4605</v>
      </c>
      <c r="D3794" s="851">
        <v>686.23333200000002</v>
      </c>
    </row>
    <row r="3795" spans="2:4" x14ac:dyDescent="0.2">
      <c r="B3795" s="876">
        <v>4511</v>
      </c>
      <c r="C3795" s="876" t="s">
        <v>4606</v>
      </c>
      <c r="D3795" s="851">
        <v>699.25714100000005</v>
      </c>
    </row>
    <row r="3796" spans="2:4" x14ac:dyDescent="0.2">
      <c r="B3796" s="876">
        <v>4512</v>
      </c>
      <c r="C3796" s="876" t="s">
        <v>4607</v>
      </c>
      <c r="D3796" s="851">
        <v>664.66667700000005</v>
      </c>
    </row>
    <row r="3797" spans="2:4" x14ac:dyDescent="0.2">
      <c r="B3797" s="876">
        <v>4513</v>
      </c>
      <c r="C3797" s="876" t="s">
        <v>4608</v>
      </c>
      <c r="D3797" s="851">
        <v>678.63332100000002</v>
      </c>
    </row>
    <row r="3798" spans="2:4" x14ac:dyDescent="0.2">
      <c r="B3798" s="876">
        <v>4514</v>
      </c>
      <c r="C3798" s="876" t="s">
        <v>4609</v>
      </c>
      <c r="D3798" s="851">
        <v>651.15999799999997</v>
      </c>
    </row>
    <row r="3799" spans="2:4" x14ac:dyDescent="0.2">
      <c r="B3799" s="876">
        <v>4515</v>
      </c>
      <c r="C3799" s="876" t="s">
        <v>4610</v>
      </c>
      <c r="D3799" s="851">
        <v>640.46249399999999</v>
      </c>
    </row>
    <row r="3800" spans="2:4" x14ac:dyDescent="0.2">
      <c r="B3800" s="876">
        <v>4516</v>
      </c>
      <c r="C3800" s="876" t="s">
        <v>4611</v>
      </c>
      <c r="D3800" s="851">
        <v>650.08333300000004</v>
      </c>
    </row>
    <row r="3801" spans="2:4" x14ac:dyDescent="0.2">
      <c r="B3801" s="876">
        <v>4517</v>
      </c>
      <c r="C3801" s="876" t="s">
        <v>339</v>
      </c>
      <c r="D3801" s="851">
        <v>639.879999</v>
      </c>
    </row>
    <row r="3802" spans="2:4" x14ac:dyDescent="0.2">
      <c r="B3802" s="876">
        <v>4518</v>
      </c>
      <c r="C3802" s="876" t="s">
        <v>4612</v>
      </c>
      <c r="D3802" s="851">
        <v>649.40002400000003</v>
      </c>
    </row>
    <row r="3803" spans="2:4" x14ac:dyDescent="0.2">
      <c r="B3803" s="876">
        <v>4519</v>
      </c>
      <c r="C3803" s="876" t="s">
        <v>1302</v>
      </c>
      <c r="D3803" s="851">
        <v>695.56363699999997</v>
      </c>
    </row>
    <row r="3804" spans="2:4" x14ac:dyDescent="0.2">
      <c r="B3804" s="876">
        <v>4520</v>
      </c>
      <c r="C3804" s="876" t="s">
        <v>4613</v>
      </c>
      <c r="D3804" s="851">
        <v>665.36665900000003</v>
      </c>
    </row>
    <row r="3805" spans="2:4" x14ac:dyDescent="0.2">
      <c r="B3805" s="876">
        <v>4521</v>
      </c>
      <c r="C3805" s="876" t="s">
        <v>4614</v>
      </c>
      <c r="D3805" s="851">
        <v>686.614284</v>
      </c>
    </row>
    <row r="3806" spans="2:4" x14ac:dyDescent="0.2">
      <c r="B3806" s="876">
        <v>4522</v>
      </c>
      <c r="C3806" s="876" t="s">
        <v>4615</v>
      </c>
      <c r="D3806" s="851">
        <v>727.33076800000003</v>
      </c>
    </row>
    <row r="3807" spans="2:4" x14ac:dyDescent="0.2">
      <c r="B3807" s="876">
        <v>4523</v>
      </c>
      <c r="C3807" s="876" t="s">
        <v>4616</v>
      </c>
      <c r="D3807" s="851">
        <v>741.46668299999999</v>
      </c>
    </row>
    <row r="3808" spans="2:4" x14ac:dyDescent="0.2">
      <c r="B3808" s="876">
        <v>4524</v>
      </c>
      <c r="C3808" s="876" t="s">
        <v>4617</v>
      </c>
      <c r="D3808" s="851">
        <v>674.93685100000005</v>
      </c>
    </row>
    <row r="3809" spans="2:4" x14ac:dyDescent="0.2">
      <c r="B3809" s="876">
        <v>4525</v>
      </c>
      <c r="C3809" s="876" t="s">
        <v>4618</v>
      </c>
      <c r="D3809" s="851">
        <v>775.86667199999999</v>
      </c>
    </row>
    <row r="3810" spans="2:4" x14ac:dyDescent="0.2">
      <c r="B3810" s="876">
        <v>4526</v>
      </c>
      <c r="C3810" s="876" t="s">
        <v>4619</v>
      </c>
      <c r="D3810" s="851">
        <v>800.12222599999996</v>
      </c>
    </row>
    <row r="3811" spans="2:4" x14ac:dyDescent="0.2">
      <c r="B3811" s="876">
        <v>4527</v>
      </c>
      <c r="C3811" s="876" t="s">
        <v>4620</v>
      </c>
      <c r="D3811" s="851">
        <v>789.91334199999994</v>
      </c>
    </row>
    <row r="3812" spans="2:4" x14ac:dyDescent="0.2">
      <c r="B3812" s="876">
        <v>4528</v>
      </c>
      <c r="C3812" s="876" t="s">
        <v>4621</v>
      </c>
      <c r="D3812" s="851">
        <v>745</v>
      </c>
    </row>
    <row r="3813" spans="2:4" x14ac:dyDescent="0.2">
      <c r="B3813" s="876">
        <v>4529</v>
      </c>
      <c r="C3813" s="876" t="s">
        <v>4622</v>
      </c>
      <c r="D3813" s="851">
        <v>718.33845899999994</v>
      </c>
    </row>
    <row r="3814" spans="2:4" x14ac:dyDescent="0.2">
      <c r="B3814" s="876">
        <v>4530</v>
      </c>
      <c r="C3814" s="876" t="s">
        <v>3262</v>
      </c>
      <c r="D3814" s="851">
        <v>705.77272700000003</v>
      </c>
    </row>
    <row r="3815" spans="2:4" x14ac:dyDescent="0.2">
      <c r="B3815" s="876">
        <v>4531</v>
      </c>
      <c r="C3815" s="876" t="s">
        <v>4623</v>
      </c>
      <c r="D3815" s="851">
        <v>669.77500199999997</v>
      </c>
    </row>
    <row r="3816" spans="2:4" x14ac:dyDescent="0.2">
      <c r="B3816" s="876">
        <v>4532</v>
      </c>
      <c r="C3816" s="876" t="s">
        <v>4624</v>
      </c>
      <c r="D3816" s="851">
        <v>687.03334600000005</v>
      </c>
    </row>
    <row r="3817" spans="2:4" x14ac:dyDescent="0.2">
      <c r="B3817" s="876">
        <v>4533</v>
      </c>
      <c r="C3817" s="876" t="s">
        <v>4625</v>
      </c>
      <c r="D3817" s="851">
        <v>675.52499399999999</v>
      </c>
    </row>
    <row r="3818" spans="2:4" x14ac:dyDescent="0.2">
      <c r="B3818" s="876">
        <v>4534</v>
      </c>
      <c r="C3818" s="876" t="s">
        <v>3186</v>
      </c>
      <c r="D3818" s="851">
        <v>648.00000799999998</v>
      </c>
    </row>
    <row r="3819" spans="2:4" x14ac:dyDescent="0.2">
      <c r="B3819" s="876">
        <v>4535</v>
      </c>
      <c r="C3819" s="876" t="s">
        <v>4626</v>
      </c>
      <c r="D3819" s="851">
        <v>632.64999399999999</v>
      </c>
    </row>
    <row r="3820" spans="2:4" x14ac:dyDescent="0.2">
      <c r="B3820" s="876">
        <v>4536</v>
      </c>
      <c r="C3820" s="876" t="s">
        <v>4627</v>
      </c>
      <c r="D3820" s="851">
        <v>627.63888499999996</v>
      </c>
    </row>
    <row r="3821" spans="2:4" x14ac:dyDescent="0.2">
      <c r="B3821" s="876">
        <v>4537</v>
      </c>
      <c r="C3821" s="876" t="s">
        <v>4628</v>
      </c>
      <c r="D3821" s="851">
        <v>636.21000400000003</v>
      </c>
    </row>
    <row r="3822" spans="2:4" x14ac:dyDescent="0.2">
      <c r="B3822" s="876">
        <v>4538</v>
      </c>
      <c r="C3822" s="876" t="s">
        <v>4629</v>
      </c>
      <c r="D3822" s="851">
        <v>630.27500199999997</v>
      </c>
    </row>
    <row r="3823" spans="2:4" x14ac:dyDescent="0.2">
      <c r="B3823" s="876">
        <v>4539</v>
      </c>
      <c r="C3823" s="876" t="s">
        <v>4630</v>
      </c>
      <c r="D3823" s="851">
        <v>630.90952600000003</v>
      </c>
    </row>
    <row r="3824" spans="2:4" x14ac:dyDescent="0.2">
      <c r="B3824" s="876">
        <v>4540</v>
      </c>
      <c r="C3824" s="876" t="s">
        <v>4631</v>
      </c>
      <c r="D3824" s="851">
        <v>625.31000400000005</v>
      </c>
    </row>
    <row r="3825" spans="2:4" x14ac:dyDescent="0.2">
      <c r="B3825" s="876">
        <v>4541</v>
      </c>
      <c r="C3825" s="876" t="s">
        <v>4632</v>
      </c>
      <c r="D3825" s="851">
        <v>655.77856899999995</v>
      </c>
    </row>
    <row r="3826" spans="2:4" x14ac:dyDescent="0.2">
      <c r="B3826" s="876">
        <v>4542</v>
      </c>
      <c r="C3826" s="876" t="s">
        <v>3541</v>
      </c>
      <c r="D3826" s="851">
        <v>764.41666699999996</v>
      </c>
    </row>
    <row r="3827" spans="2:4" x14ac:dyDescent="0.2">
      <c r="B3827" s="876">
        <v>4543</v>
      </c>
      <c r="C3827" s="876" t="s">
        <v>4416</v>
      </c>
      <c r="D3827" s="851">
        <v>735.40909099999999</v>
      </c>
    </row>
    <row r="3828" spans="2:4" x14ac:dyDescent="0.2">
      <c r="B3828" s="876">
        <v>4544</v>
      </c>
      <c r="C3828" s="876" t="s">
        <v>4633</v>
      </c>
      <c r="D3828" s="851">
        <v>714.33333700000003</v>
      </c>
    </row>
    <row r="3829" spans="2:4" x14ac:dyDescent="0.2">
      <c r="B3829" s="876">
        <v>4545</v>
      </c>
      <c r="C3829" s="876" t="s">
        <v>1135</v>
      </c>
      <c r="D3829" s="851">
        <v>686.366669</v>
      </c>
    </row>
    <row r="3830" spans="2:4" x14ac:dyDescent="0.2">
      <c r="B3830" s="876">
        <v>4546</v>
      </c>
      <c r="C3830" s="876" t="s">
        <v>4634</v>
      </c>
      <c r="D3830" s="851">
        <v>682.34999400000004</v>
      </c>
    </row>
    <row r="3831" spans="2:4" x14ac:dyDescent="0.2">
      <c r="B3831" s="876">
        <v>4547</v>
      </c>
      <c r="C3831" s="876" t="s">
        <v>4635</v>
      </c>
      <c r="D3831" s="851">
        <v>675.16060600000003</v>
      </c>
    </row>
    <row r="3832" spans="2:4" x14ac:dyDescent="0.2">
      <c r="B3832" s="876">
        <v>4548</v>
      </c>
      <c r="C3832" s="876" t="s">
        <v>4636</v>
      </c>
      <c r="D3832" s="851">
        <v>717.79998799999998</v>
      </c>
    </row>
    <row r="3833" spans="2:4" x14ac:dyDescent="0.2">
      <c r="B3833" s="876">
        <v>4549</v>
      </c>
      <c r="C3833" s="876" t="s">
        <v>3141</v>
      </c>
      <c r="D3833" s="851">
        <v>647.35833200000002</v>
      </c>
    </row>
    <row r="3834" spans="2:4" x14ac:dyDescent="0.2">
      <c r="B3834" s="876">
        <v>4550</v>
      </c>
      <c r="C3834" s="876" t="s">
        <v>4637</v>
      </c>
      <c r="D3834" s="851">
        <v>690.08570599999996</v>
      </c>
    </row>
    <row r="3835" spans="2:4" x14ac:dyDescent="0.2">
      <c r="B3835" s="876">
        <v>4551</v>
      </c>
      <c r="C3835" s="876" t="s">
        <v>4638</v>
      </c>
      <c r="D3835" s="851">
        <v>665</v>
      </c>
    </row>
    <row r="3836" spans="2:4" x14ac:dyDescent="0.2">
      <c r="B3836" s="876">
        <v>4552</v>
      </c>
      <c r="C3836" s="876" t="s">
        <v>4639</v>
      </c>
      <c r="D3836" s="851">
        <v>634.33999600000004</v>
      </c>
    </row>
    <row r="3837" spans="2:4" x14ac:dyDescent="0.2">
      <c r="B3837" s="876">
        <v>4553</v>
      </c>
      <c r="C3837" s="876" t="s">
        <v>4640</v>
      </c>
      <c r="D3837" s="851">
        <v>608.88260600000001</v>
      </c>
    </row>
    <row r="3838" spans="2:4" x14ac:dyDescent="0.2">
      <c r="B3838" s="876">
        <v>4554</v>
      </c>
      <c r="C3838" s="876" t="s">
        <v>2487</v>
      </c>
      <c r="D3838" s="851">
        <v>633.77499399999999</v>
      </c>
    </row>
    <row r="3839" spans="2:4" x14ac:dyDescent="0.2">
      <c r="B3839" s="876">
        <v>4555</v>
      </c>
      <c r="C3839" s="876" t="s">
        <v>1523</v>
      </c>
      <c r="D3839" s="851">
        <v>627</v>
      </c>
    </row>
    <row r="3840" spans="2:4" x14ac:dyDescent="0.2">
      <c r="B3840" s="876">
        <v>4556</v>
      </c>
      <c r="C3840" s="876" t="s">
        <v>4641</v>
      </c>
      <c r="D3840" s="851">
        <v>727.65</v>
      </c>
    </row>
    <row r="3841" spans="2:4" x14ac:dyDescent="0.2">
      <c r="B3841" s="876">
        <v>4557</v>
      </c>
      <c r="C3841" s="876" t="s">
        <v>4642</v>
      </c>
      <c r="D3841" s="851">
        <v>702.53332499999999</v>
      </c>
    </row>
    <row r="3842" spans="2:4" x14ac:dyDescent="0.2">
      <c r="B3842" s="876">
        <v>4558</v>
      </c>
      <c r="C3842" s="876" t="s">
        <v>4643</v>
      </c>
      <c r="D3842" s="851">
        <v>668.02856399999996</v>
      </c>
    </row>
    <row r="3843" spans="2:4" x14ac:dyDescent="0.2">
      <c r="B3843" s="876">
        <v>4559</v>
      </c>
      <c r="C3843" s="876" t="s">
        <v>4644</v>
      </c>
      <c r="D3843" s="851">
        <v>649.71176700000001</v>
      </c>
    </row>
    <row r="3844" spans="2:4" x14ac:dyDescent="0.2">
      <c r="B3844" s="876">
        <v>4560</v>
      </c>
      <c r="C3844" s="876" t="s">
        <v>4645</v>
      </c>
      <c r="D3844" s="851">
        <v>582.90002400000003</v>
      </c>
    </row>
    <row r="3845" spans="2:4" x14ac:dyDescent="0.2">
      <c r="B3845" s="876">
        <v>4561</v>
      </c>
      <c r="C3845" s="876" t="s">
        <v>4646</v>
      </c>
      <c r="D3845" s="851">
        <v>612.53332499999999</v>
      </c>
    </row>
    <row r="3846" spans="2:4" x14ac:dyDescent="0.2">
      <c r="B3846" s="876">
        <v>4562</v>
      </c>
      <c r="C3846" s="876" t="s">
        <v>4647</v>
      </c>
      <c r="D3846" s="851">
        <v>636.54284700000005</v>
      </c>
    </row>
    <row r="3847" spans="2:4" x14ac:dyDescent="0.2">
      <c r="B3847" s="876">
        <v>4563</v>
      </c>
      <c r="C3847" s="876" t="s">
        <v>4648</v>
      </c>
      <c r="D3847" s="851">
        <v>641.35000600000001</v>
      </c>
    </row>
    <row r="3848" spans="2:4" x14ac:dyDescent="0.2">
      <c r="B3848" s="876">
        <v>4564</v>
      </c>
      <c r="C3848" s="876" t="s">
        <v>4649</v>
      </c>
      <c r="D3848" s="851">
        <v>677.86428799999999</v>
      </c>
    </row>
    <row r="3849" spans="2:4" x14ac:dyDescent="0.2">
      <c r="B3849" s="876">
        <v>4565</v>
      </c>
      <c r="C3849" s="876" t="s">
        <v>4650</v>
      </c>
      <c r="D3849" s="851">
        <v>653.58750199999997</v>
      </c>
    </row>
    <row r="3850" spans="2:4" x14ac:dyDescent="0.2">
      <c r="B3850" s="876">
        <v>4566</v>
      </c>
      <c r="C3850" s="876" t="s">
        <v>1675</v>
      </c>
      <c r="D3850" s="851">
        <v>665.47142699999995</v>
      </c>
    </row>
    <row r="3851" spans="2:4" x14ac:dyDescent="0.2">
      <c r="B3851" s="876">
        <v>4567</v>
      </c>
      <c r="C3851" s="876" t="s">
        <v>4651</v>
      </c>
      <c r="D3851" s="851">
        <v>647.17500299999995</v>
      </c>
    </row>
    <row r="3852" spans="2:4" x14ac:dyDescent="0.2">
      <c r="B3852" s="876">
        <v>4568</v>
      </c>
      <c r="C3852" s="876" t="s">
        <v>4652</v>
      </c>
      <c r="D3852" s="851">
        <v>645.49091099999998</v>
      </c>
    </row>
    <row r="3853" spans="2:4" x14ac:dyDescent="0.2">
      <c r="B3853" s="876">
        <v>4569</v>
      </c>
      <c r="C3853" s="876" t="s">
        <v>4653</v>
      </c>
      <c r="D3853" s="851">
        <v>656.106673</v>
      </c>
    </row>
    <row r="3854" spans="2:4" x14ac:dyDescent="0.2">
      <c r="B3854" s="876">
        <v>4570</v>
      </c>
      <c r="C3854" s="876" t="s">
        <v>4654</v>
      </c>
      <c r="D3854" s="851">
        <v>667.82501200000002</v>
      </c>
    </row>
    <row r="3855" spans="2:4" x14ac:dyDescent="0.2">
      <c r="B3855" s="876">
        <v>4601</v>
      </c>
      <c r="C3855" s="876" t="s">
        <v>4655</v>
      </c>
      <c r="D3855" s="851">
        <v>732.18000500000005</v>
      </c>
    </row>
    <row r="3856" spans="2:4" x14ac:dyDescent="0.2">
      <c r="B3856" s="876">
        <v>4602</v>
      </c>
      <c r="C3856" s="876" t="s">
        <v>4656</v>
      </c>
      <c r="D3856" s="851">
        <v>712.3</v>
      </c>
    </row>
    <row r="3857" spans="2:4" x14ac:dyDescent="0.2">
      <c r="B3857" s="876">
        <v>4603</v>
      </c>
      <c r="C3857" s="876" t="s">
        <v>4657</v>
      </c>
      <c r="D3857" s="851">
        <v>668.15999799999997</v>
      </c>
    </row>
    <row r="3858" spans="2:4" x14ac:dyDescent="0.2">
      <c r="B3858" s="876">
        <v>4604</v>
      </c>
      <c r="C3858" s="876" t="s">
        <v>4658</v>
      </c>
      <c r="D3858" s="851">
        <v>705.71999500000004</v>
      </c>
    </row>
    <row r="3859" spans="2:4" x14ac:dyDescent="0.2">
      <c r="B3859" s="876">
        <v>4605</v>
      </c>
      <c r="C3859" s="876" t="s">
        <v>4659</v>
      </c>
      <c r="D3859" s="851">
        <v>737.366669</v>
      </c>
    </row>
    <row r="3860" spans="2:4" x14ac:dyDescent="0.2">
      <c r="B3860" s="876">
        <v>4606</v>
      </c>
      <c r="C3860" s="876" t="s">
        <v>4660</v>
      </c>
      <c r="D3860" s="851">
        <v>734.77856399999996</v>
      </c>
    </row>
    <row r="3861" spans="2:4" x14ac:dyDescent="0.2">
      <c r="B3861" s="876">
        <v>4607</v>
      </c>
      <c r="C3861" s="876" t="s">
        <v>2855</v>
      </c>
      <c r="D3861" s="851">
        <v>788.11249499999997</v>
      </c>
    </row>
    <row r="3862" spans="2:4" x14ac:dyDescent="0.2">
      <c r="B3862" s="876">
        <v>4608</v>
      </c>
      <c r="C3862" s="876" t="s">
        <v>1784</v>
      </c>
      <c r="D3862" s="851">
        <v>743.05001800000002</v>
      </c>
    </row>
    <row r="3863" spans="2:4" x14ac:dyDescent="0.2">
      <c r="B3863" s="876">
        <v>4609</v>
      </c>
      <c r="C3863" s="876" t="s">
        <v>4661</v>
      </c>
      <c r="D3863" s="851">
        <v>693.78749800000003</v>
      </c>
    </row>
    <row r="3864" spans="2:4" x14ac:dyDescent="0.2">
      <c r="B3864" s="876">
        <v>4610</v>
      </c>
      <c r="C3864" s="876" t="s">
        <v>4662</v>
      </c>
      <c r="D3864" s="851">
        <v>740</v>
      </c>
    </row>
    <row r="3865" spans="2:4" x14ac:dyDescent="0.2">
      <c r="B3865" s="876">
        <v>4611</v>
      </c>
      <c r="C3865" s="876" t="s">
        <v>4663</v>
      </c>
      <c r="D3865" s="851">
        <v>852.75715000000002</v>
      </c>
    </row>
    <row r="3866" spans="2:4" x14ac:dyDescent="0.2">
      <c r="B3866" s="876">
        <v>4612</v>
      </c>
      <c r="C3866" s="876" t="s">
        <v>4664</v>
      </c>
      <c r="D3866" s="851">
        <v>768.38750500000003</v>
      </c>
    </row>
    <row r="3867" spans="2:4" x14ac:dyDescent="0.2">
      <c r="B3867" s="876">
        <v>4613</v>
      </c>
      <c r="C3867" s="876" t="s">
        <v>4665</v>
      </c>
      <c r="D3867" s="851">
        <v>846.01668299999994</v>
      </c>
    </row>
    <row r="3868" spans="2:4" x14ac:dyDescent="0.2">
      <c r="B3868" s="876">
        <v>4614</v>
      </c>
      <c r="C3868" s="876" t="s">
        <v>4666</v>
      </c>
      <c r="D3868" s="851">
        <v>745.75453900000002</v>
      </c>
    </row>
    <row r="3869" spans="2:4" x14ac:dyDescent="0.2">
      <c r="B3869" s="876">
        <v>4615</v>
      </c>
      <c r="C3869" s="876" t="s">
        <v>4667</v>
      </c>
      <c r="D3869" s="851">
        <v>807.03999399999998</v>
      </c>
    </row>
    <row r="3870" spans="2:4" x14ac:dyDescent="0.2">
      <c r="B3870" s="876">
        <v>4616</v>
      </c>
      <c r="C3870" s="876" t="s">
        <v>4668</v>
      </c>
      <c r="D3870" s="851">
        <v>707.62856599999998</v>
      </c>
    </row>
    <row r="3871" spans="2:4" x14ac:dyDescent="0.2">
      <c r="B3871" s="876">
        <v>4617</v>
      </c>
      <c r="C3871" s="876" t="s">
        <v>4669</v>
      </c>
      <c r="D3871" s="851">
        <v>774.375</v>
      </c>
    </row>
    <row r="3872" spans="2:4" x14ac:dyDescent="0.2">
      <c r="B3872" s="876">
        <v>4618</v>
      </c>
      <c r="C3872" s="876" t="s">
        <v>352</v>
      </c>
      <c r="D3872" s="851">
        <v>641.17499499999997</v>
      </c>
    </row>
    <row r="3873" spans="2:4" x14ac:dyDescent="0.2">
      <c r="B3873" s="876">
        <v>4619</v>
      </c>
      <c r="C3873" s="876" t="s">
        <v>1891</v>
      </c>
      <c r="D3873" s="851">
        <v>684.82726500000001</v>
      </c>
    </row>
    <row r="3874" spans="2:4" x14ac:dyDescent="0.2">
      <c r="B3874" s="876">
        <v>4620</v>
      </c>
      <c r="C3874" s="876" t="s">
        <v>4670</v>
      </c>
      <c r="D3874" s="851">
        <v>681.82499700000005</v>
      </c>
    </row>
    <row r="3875" spans="2:4" x14ac:dyDescent="0.2">
      <c r="B3875" s="876">
        <v>4621</v>
      </c>
      <c r="C3875" s="876" t="s">
        <v>4671</v>
      </c>
      <c r="D3875" s="851">
        <v>797.82000700000003</v>
      </c>
    </row>
    <row r="3876" spans="2:4" x14ac:dyDescent="0.2">
      <c r="B3876" s="876">
        <v>4622</v>
      </c>
      <c r="C3876" s="876" t="s">
        <v>4672</v>
      </c>
      <c r="D3876" s="851">
        <v>813.47141799999997</v>
      </c>
    </row>
    <row r="3877" spans="2:4" x14ac:dyDescent="0.2">
      <c r="B3877" s="876">
        <v>4623</v>
      </c>
      <c r="C3877" s="876" t="s">
        <v>4673</v>
      </c>
      <c r="D3877" s="851">
        <v>764.47058500000003</v>
      </c>
    </row>
    <row r="3878" spans="2:4" x14ac:dyDescent="0.2">
      <c r="B3878" s="876">
        <v>4624</v>
      </c>
      <c r="C3878" s="876" t="s">
        <v>4674</v>
      </c>
      <c r="D3878" s="851">
        <v>854.57999299999994</v>
      </c>
    </row>
    <row r="3879" spans="2:4" x14ac:dyDescent="0.2">
      <c r="B3879" s="876">
        <v>4625</v>
      </c>
      <c r="C3879" s="876" t="s">
        <v>4675</v>
      </c>
      <c r="D3879" s="851">
        <v>755.63750500000003</v>
      </c>
    </row>
    <row r="3880" spans="2:4" x14ac:dyDescent="0.2">
      <c r="B3880" s="876">
        <v>4626</v>
      </c>
      <c r="C3880" s="876" t="s">
        <v>4676</v>
      </c>
      <c r="D3880" s="851">
        <v>695.34999100000005</v>
      </c>
    </row>
    <row r="3881" spans="2:4" x14ac:dyDescent="0.2">
      <c r="B3881" s="876">
        <v>4627</v>
      </c>
      <c r="C3881" s="876" t="s">
        <v>4677</v>
      </c>
      <c r="D3881" s="851">
        <v>775.31818199999998</v>
      </c>
    </row>
    <row r="3882" spans="2:4" x14ac:dyDescent="0.2">
      <c r="B3882" s="876">
        <v>4628</v>
      </c>
      <c r="C3882" s="876" t="s">
        <v>4678</v>
      </c>
      <c r="D3882" s="851">
        <v>795.40002400000003</v>
      </c>
    </row>
    <row r="3883" spans="2:4" x14ac:dyDescent="0.2">
      <c r="B3883" s="876">
        <v>4629</v>
      </c>
      <c r="C3883" s="876" t="s">
        <v>4679</v>
      </c>
      <c r="D3883" s="851">
        <v>793.14000199999998</v>
      </c>
    </row>
    <row r="3884" spans="2:4" x14ac:dyDescent="0.2">
      <c r="B3884" s="876">
        <v>4630</v>
      </c>
      <c r="C3884" s="876" t="s">
        <v>4680</v>
      </c>
      <c r="D3884" s="851">
        <v>831.97142699999995</v>
      </c>
    </row>
    <row r="3885" spans="2:4" x14ac:dyDescent="0.2">
      <c r="B3885" s="876">
        <v>4631</v>
      </c>
      <c r="C3885" s="876" t="s">
        <v>4681</v>
      </c>
      <c r="D3885" s="851">
        <v>788.13076100000001</v>
      </c>
    </row>
    <row r="3886" spans="2:4" x14ac:dyDescent="0.2">
      <c r="B3886" s="876">
        <v>4632</v>
      </c>
      <c r="C3886" s="876" t="s">
        <v>4682</v>
      </c>
      <c r="D3886" s="851">
        <v>803.96667000000002</v>
      </c>
    </row>
    <row r="3887" spans="2:4" x14ac:dyDescent="0.2">
      <c r="B3887" s="876">
        <v>4633</v>
      </c>
      <c r="C3887" s="876" t="s">
        <v>4683</v>
      </c>
      <c r="D3887" s="851">
        <v>780.38570700000002</v>
      </c>
    </row>
    <row r="3888" spans="2:4" x14ac:dyDescent="0.2">
      <c r="B3888" s="876">
        <v>4634</v>
      </c>
      <c r="C3888" s="876" t="s">
        <v>2917</v>
      </c>
      <c r="D3888" s="851">
        <v>633.23333700000001</v>
      </c>
    </row>
    <row r="3889" spans="2:4" x14ac:dyDescent="0.2">
      <c r="B3889" s="876">
        <v>4635</v>
      </c>
      <c r="C3889" s="876" t="s">
        <v>4567</v>
      </c>
      <c r="D3889" s="851">
        <v>713.78571399999998</v>
      </c>
    </row>
    <row r="3890" spans="2:4" x14ac:dyDescent="0.2">
      <c r="B3890" s="876">
        <v>4636</v>
      </c>
      <c r="C3890" s="876" t="s">
        <v>4684</v>
      </c>
      <c r="D3890" s="851">
        <v>761.69999199999995</v>
      </c>
    </row>
    <row r="3891" spans="2:4" x14ac:dyDescent="0.2">
      <c r="B3891" s="876">
        <v>4637</v>
      </c>
      <c r="C3891" s="876" t="s">
        <v>3935</v>
      </c>
      <c r="D3891" s="851">
        <v>689.45715299999995</v>
      </c>
    </row>
    <row r="3892" spans="2:4" x14ac:dyDescent="0.2">
      <c r="B3892" s="876">
        <v>4638</v>
      </c>
      <c r="C3892" s="876" t="s">
        <v>4685</v>
      </c>
      <c r="D3892" s="851">
        <v>869.46250899999995</v>
      </c>
    </row>
    <row r="3893" spans="2:4" x14ac:dyDescent="0.2">
      <c r="B3893" s="876">
        <v>4639</v>
      </c>
      <c r="C3893" s="876" t="s">
        <v>4686</v>
      </c>
      <c r="D3893" s="851">
        <v>795.75001499999996</v>
      </c>
    </row>
    <row r="3894" spans="2:4" x14ac:dyDescent="0.2">
      <c r="B3894" s="876">
        <v>4640</v>
      </c>
      <c r="C3894" s="876" t="s">
        <v>2758</v>
      </c>
      <c r="D3894" s="851">
        <v>607.59999600000003</v>
      </c>
    </row>
    <row r="3895" spans="2:4" x14ac:dyDescent="0.2">
      <c r="B3895" s="876">
        <v>4641</v>
      </c>
      <c r="C3895" s="876" t="s">
        <v>4687</v>
      </c>
      <c r="D3895" s="851">
        <v>792.59167000000002</v>
      </c>
    </row>
    <row r="3896" spans="2:4" x14ac:dyDescent="0.2">
      <c r="B3896" s="876">
        <v>4642</v>
      </c>
      <c r="C3896" s="876" t="s">
        <v>4688</v>
      </c>
      <c r="D3896" s="851">
        <v>755.47691899999995</v>
      </c>
    </row>
    <row r="3897" spans="2:4" x14ac:dyDescent="0.2">
      <c r="B3897" s="876">
        <v>4643</v>
      </c>
      <c r="C3897" s="876" t="s">
        <v>3308</v>
      </c>
      <c r="D3897" s="851">
        <v>774.83076800000003</v>
      </c>
    </row>
    <row r="3898" spans="2:4" x14ac:dyDescent="0.2">
      <c r="B3898" s="876">
        <v>4644</v>
      </c>
      <c r="C3898" s="876" t="s">
        <v>4689</v>
      </c>
      <c r="D3898" s="851">
        <v>816.58570199999997</v>
      </c>
    </row>
    <row r="3899" spans="2:4" x14ac:dyDescent="0.2">
      <c r="B3899" s="876">
        <v>4645</v>
      </c>
      <c r="C3899" s="876" t="s">
        <v>4690</v>
      </c>
      <c r="D3899" s="851">
        <v>844.69167100000004</v>
      </c>
    </row>
    <row r="3900" spans="2:4" x14ac:dyDescent="0.2">
      <c r="B3900" s="876">
        <v>4646</v>
      </c>
      <c r="C3900" s="876" t="s">
        <v>4691</v>
      </c>
      <c r="D3900" s="851">
        <v>749.97499100000005</v>
      </c>
    </row>
    <row r="3901" spans="2:4" x14ac:dyDescent="0.2">
      <c r="B3901" s="876">
        <v>4647</v>
      </c>
      <c r="C3901" s="876" t="s">
        <v>4692</v>
      </c>
      <c r="D3901" s="851">
        <v>743.875</v>
      </c>
    </row>
    <row r="3902" spans="2:4" x14ac:dyDescent="0.2">
      <c r="B3902" s="876">
        <v>4648</v>
      </c>
      <c r="C3902" s="876" t="s">
        <v>1400</v>
      </c>
      <c r="D3902" s="851">
        <v>678.73333700000001</v>
      </c>
    </row>
    <row r="3903" spans="2:4" x14ac:dyDescent="0.2">
      <c r="B3903" s="876">
        <v>4649</v>
      </c>
      <c r="C3903" s="876" t="s">
        <v>4693</v>
      </c>
      <c r="D3903" s="851">
        <v>708.36665900000003</v>
      </c>
    </row>
    <row r="3904" spans="2:4" x14ac:dyDescent="0.2">
      <c r="B3904" s="876">
        <v>4650</v>
      </c>
      <c r="C3904" s="876" t="s">
        <v>4694</v>
      </c>
      <c r="D3904" s="851">
        <v>756.192858</v>
      </c>
    </row>
    <row r="3905" spans="2:4" x14ac:dyDescent="0.2">
      <c r="B3905" s="876">
        <v>4651</v>
      </c>
      <c r="C3905" s="876" t="s">
        <v>4695</v>
      </c>
      <c r="D3905" s="851">
        <v>723</v>
      </c>
    </row>
    <row r="3906" spans="2:4" x14ac:dyDescent="0.2">
      <c r="B3906" s="876">
        <v>4652</v>
      </c>
      <c r="C3906" s="876" t="s">
        <v>4696</v>
      </c>
      <c r="D3906" s="851">
        <v>699.78572299999996</v>
      </c>
    </row>
    <row r="3907" spans="2:4" x14ac:dyDescent="0.2">
      <c r="B3907" s="876">
        <v>4653</v>
      </c>
      <c r="C3907" s="876" t="s">
        <v>4697</v>
      </c>
      <c r="D3907" s="851">
        <v>776.95000500000003</v>
      </c>
    </row>
    <row r="3908" spans="2:4" x14ac:dyDescent="0.2">
      <c r="B3908" s="876">
        <v>4654</v>
      </c>
      <c r="C3908" s="876" t="s">
        <v>1691</v>
      </c>
      <c r="D3908" s="851">
        <v>703.52499399999999</v>
      </c>
    </row>
    <row r="3909" spans="2:4" x14ac:dyDescent="0.2">
      <c r="B3909" s="876">
        <v>4655</v>
      </c>
      <c r="C3909" s="876" t="s">
        <v>344</v>
      </c>
      <c r="D3909" s="851">
        <v>741.82142399999998</v>
      </c>
    </row>
    <row r="3910" spans="2:4" x14ac:dyDescent="0.2">
      <c r="B3910" s="876">
        <v>4656</v>
      </c>
      <c r="C3910" s="876" t="s">
        <v>4698</v>
      </c>
      <c r="D3910" s="851">
        <v>788.642875</v>
      </c>
    </row>
    <row r="3911" spans="2:4" x14ac:dyDescent="0.2">
      <c r="B3911" s="876">
        <v>4657</v>
      </c>
      <c r="C3911" s="876" t="s">
        <v>4699</v>
      </c>
      <c r="D3911" s="851">
        <v>699.38000199999999</v>
      </c>
    </row>
    <row r="3912" spans="2:4" x14ac:dyDescent="0.2">
      <c r="B3912" s="876">
        <v>4658</v>
      </c>
      <c r="C3912" s="876" t="s">
        <v>1639</v>
      </c>
      <c r="D3912" s="851">
        <v>672.54285500000003</v>
      </c>
    </row>
    <row r="3913" spans="2:4" x14ac:dyDescent="0.2">
      <c r="B3913" s="876">
        <v>4659</v>
      </c>
      <c r="C3913" s="876" t="s">
        <v>4700</v>
      </c>
      <c r="D3913" s="851">
        <v>738.56250799999998</v>
      </c>
    </row>
    <row r="3914" spans="2:4" x14ac:dyDescent="0.2">
      <c r="B3914" s="876">
        <v>4660</v>
      </c>
      <c r="C3914" s="876" t="s">
        <v>4701</v>
      </c>
      <c r="D3914" s="851">
        <v>729.5</v>
      </c>
    </row>
    <row r="3915" spans="2:4" x14ac:dyDescent="0.2">
      <c r="B3915" s="876">
        <v>4661</v>
      </c>
      <c r="C3915" s="876" t="s">
        <v>4702</v>
      </c>
      <c r="D3915" s="851">
        <v>811.27499699999998</v>
      </c>
    </row>
    <row r="3916" spans="2:4" x14ac:dyDescent="0.2">
      <c r="B3916" s="876">
        <v>4662</v>
      </c>
      <c r="C3916" s="876" t="s">
        <v>4703</v>
      </c>
      <c r="D3916" s="851">
        <v>723.419983</v>
      </c>
    </row>
    <row r="3917" spans="2:4" x14ac:dyDescent="0.2">
      <c r="B3917" s="876">
        <v>4663</v>
      </c>
      <c r="C3917" s="876" t="s">
        <v>4704</v>
      </c>
      <c r="D3917" s="851">
        <v>729.91111899999999</v>
      </c>
    </row>
    <row r="3918" spans="2:4" x14ac:dyDescent="0.2">
      <c r="B3918" s="876">
        <v>4664</v>
      </c>
      <c r="C3918" s="876" t="s">
        <v>4705</v>
      </c>
      <c r="D3918" s="851">
        <v>846.79999799999996</v>
      </c>
    </row>
    <row r="3919" spans="2:4" x14ac:dyDescent="0.2">
      <c r="B3919" s="876">
        <v>4665</v>
      </c>
      <c r="C3919" s="876" t="s">
        <v>4706</v>
      </c>
      <c r="D3919" s="851">
        <v>834.42999299999997</v>
      </c>
    </row>
    <row r="3920" spans="2:4" x14ac:dyDescent="0.2">
      <c r="B3920" s="876">
        <v>4666</v>
      </c>
      <c r="C3920" s="876" t="s">
        <v>4707</v>
      </c>
      <c r="D3920" s="851">
        <v>847.990002</v>
      </c>
    </row>
    <row r="3921" spans="2:4" x14ac:dyDescent="0.2">
      <c r="B3921" s="876">
        <v>4667</v>
      </c>
      <c r="C3921" s="876" t="s">
        <v>4708</v>
      </c>
      <c r="D3921" s="851">
        <v>808.81428700000004</v>
      </c>
    </row>
    <row r="3922" spans="2:4" x14ac:dyDescent="0.2">
      <c r="B3922" s="876">
        <v>4668</v>
      </c>
      <c r="C3922" s="876" t="s">
        <v>4709</v>
      </c>
      <c r="D3922" s="851">
        <v>697.62000699999999</v>
      </c>
    </row>
    <row r="3923" spans="2:4" x14ac:dyDescent="0.2">
      <c r="B3923" s="876">
        <v>4669</v>
      </c>
      <c r="C3923" s="876" t="s">
        <v>4710</v>
      </c>
      <c r="D3923" s="851">
        <v>741.253333</v>
      </c>
    </row>
    <row r="3924" spans="2:4" x14ac:dyDescent="0.2">
      <c r="B3924" s="876">
        <v>4670</v>
      </c>
      <c r="C3924" s="876" t="s">
        <v>4711</v>
      </c>
      <c r="D3924" s="851">
        <v>758.54444699999999</v>
      </c>
    </row>
    <row r="3925" spans="2:4" x14ac:dyDescent="0.2">
      <c r="B3925" s="876">
        <v>4671</v>
      </c>
      <c r="C3925" s="876" t="s">
        <v>4712</v>
      </c>
      <c r="D3925" s="851">
        <v>794.759998</v>
      </c>
    </row>
    <row r="3926" spans="2:4" x14ac:dyDescent="0.2">
      <c r="B3926" s="876">
        <v>4672</v>
      </c>
      <c r="C3926" s="876" t="s">
        <v>4713</v>
      </c>
      <c r="D3926" s="851">
        <v>744.51333</v>
      </c>
    </row>
    <row r="3927" spans="2:4" x14ac:dyDescent="0.2">
      <c r="B3927" s="876">
        <v>4673</v>
      </c>
      <c r="C3927" s="876" t="s">
        <v>4714</v>
      </c>
      <c r="D3927" s="851">
        <v>726.31666399999995</v>
      </c>
    </row>
    <row r="3928" spans="2:4" x14ac:dyDescent="0.2">
      <c r="B3928" s="876">
        <v>4674</v>
      </c>
      <c r="C3928" s="876" t="s">
        <v>4078</v>
      </c>
      <c r="D3928" s="851">
        <v>714.21999500000004</v>
      </c>
    </row>
    <row r="3929" spans="2:4" x14ac:dyDescent="0.2">
      <c r="B3929" s="876">
        <v>4675</v>
      </c>
      <c r="C3929" s="876" t="s">
        <v>4715</v>
      </c>
      <c r="D3929" s="851">
        <v>711.10000600000001</v>
      </c>
    </row>
    <row r="3930" spans="2:4" x14ac:dyDescent="0.2">
      <c r="B3930" s="876">
        <v>4676</v>
      </c>
      <c r="C3930" s="876" t="s">
        <v>4716</v>
      </c>
      <c r="D3930" s="851">
        <v>763.57692799999995</v>
      </c>
    </row>
    <row r="3931" spans="2:4" x14ac:dyDescent="0.2">
      <c r="B3931" s="876">
        <v>4677</v>
      </c>
      <c r="C3931" s="876" t="s">
        <v>4717</v>
      </c>
      <c r="D3931" s="851">
        <v>720.30000800000005</v>
      </c>
    </row>
    <row r="3932" spans="2:4" x14ac:dyDescent="0.2">
      <c r="B3932" s="876">
        <v>4678</v>
      </c>
      <c r="C3932" s="876" t="s">
        <v>4718</v>
      </c>
      <c r="D3932" s="851">
        <v>727.10000600000001</v>
      </c>
    </row>
    <row r="3933" spans="2:4" x14ac:dyDescent="0.2">
      <c r="B3933" s="876">
        <v>4679</v>
      </c>
      <c r="C3933" s="876" t="s">
        <v>4719</v>
      </c>
      <c r="D3933" s="851">
        <v>742.92999899999995</v>
      </c>
    </row>
    <row r="3934" spans="2:4" x14ac:dyDescent="0.2">
      <c r="B3934" s="876">
        <v>4680</v>
      </c>
      <c r="C3934" s="876" t="s">
        <v>4720</v>
      </c>
      <c r="D3934" s="851">
        <v>783.14285700000005</v>
      </c>
    </row>
    <row r="3935" spans="2:4" x14ac:dyDescent="0.2">
      <c r="B3935" s="876">
        <v>4681</v>
      </c>
      <c r="C3935" s="876" t="s">
        <v>4721</v>
      </c>
      <c r="D3935" s="851">
        <v>593.14999399999999</v>
      </c>
    </row>
    <row r="3936" spans="2:4" x14ac:dyDescent="0.2">
      <c r="B3936" s="876">
        <v>4682</v>
      </c>
      <c r="C3936" s="876" t="s">
        <v>4722</v>
      </c>
      <c r="D3936" s="851">
        <v>715.77499399999999</v>
      </c>
    </row>
    <row r="3937" spans="2:4" x14ac:dyDescent="0.2">
      <c r="B3937" s="876">
        <v>4683</v>
      </c>
      <c r="C3937" s="876" t="s">
        <v>4723</v>
      </c>
      <c r="D3937" s="851">
        <v>735.23999600000002</v>
      </c>
    </row>
    <row r="3938" spans="2:4" x14ac:dyDescent="0.2">
      <c r="B3938" s="876">
        <v>4684</v>
      </c>
      <c r="C3938" s="876" t="s">
        <v>4724</v>
      </c>
      <c r="D3938" s="851">
        <v>821.91818000000001</v>
      </c>
    </row>
    <row r="3939" spans="2:4" x14ac:dyDescent="0.2">
      <c r="B3939" s="876">
        <v>4685</v>
      </c>
      <c r="C3939" s="876" t="s">
        <v>4725</v>
      </c>
      <c r="D3939" s="851">
        <v>746.639996</v>
      </c>
    </row>
    <row r="3940" spans="2:4" x14ac:dyDescent="0.2">
      <c r="B3940" s="876">
        <v>4686</v>
      </c>
      <c r="C3940" s="876" t="s">
        <v>4726</v>
      </c>
      <c r="D3940" s="851">
        <v>697.25556800000004</v>
      </c>
    </row>
    <row r="3941" spans="2:4" x14ac:dyDescent="0.2">
      <c r="B3941" s="876">
        <v>4687</v>
      </c>
      <c r="C3941" s="876" t="s">
        <v>4205</v>
      </c>
      <c r="D3941" s="851">
        <v>737.26248899999996</v>
      </c>
    </row>
    <row r="3942" spans="2:4" x14ac:dyDescent="0.2">
      <c r="B3942" s="876">
        <v>4688</v>
      </c>
      <c r="C3942" s="876" t="s">
        <v>4727</v>
      </c>
      <c r="D3942" s="851">
        <v>723.77272700000003</v>
      </c>
    </row>
    <row r="3943" spans="2:4" x14ac:dyDescent="0.2">
      <c r="B3943" s="876">
        <v>4689</v>
      </c>
      <c r="C3943" s="876" t="s">
        <v>4728</v>
      </c>
      <c r="D3943" s="851">
        <v>766.67500299999995</v>
      </c>
    </row>
    <row r="3944" spans="2:4" x14ac:dyDescent="0.2">
      <c r="B3944" s="876">
        <v>4690</v>
      </c>
      <c r="C3944" s="876" t="s">
        <v>4729</v>
      </c>
      <c r="D3944" s="851">
        <v>811.21112100000005</v>
      </c>
    </row>
    <row r="3945" spans="2:4" x14ac:dyDescent="0.2">
      <c r="B3945" s="876">
        <v>4691</v>
      </c>
      <c r="C3945" s="876" t="s">
        <v>4730</v>
      </c>
      <c r="D3945" s="851">
        <v>719.90000399999997</v>
      </c>
    </row>
    <row r="3946" spans="2:4" x14ac:dyDescent="0.2">
      <c r="B3946" s="876">
        <v>4692</v>
      </c>
      <c r="C3946" s="876" t="s">
        <v>4731</v>
      </c>
      <c r="D3946" s="851">
        <v>658.27500899999995</v>
      </c>
    </row>
    <row r="3947" spans="2:4" x14ac:dyDescent="0.2">
      <c r="B3947" s="876">
        <v>4693</v>
      </c>
      <c r="C3947" s="876" t="s">
        <v>2364</v>
      </c>
      <c r="D3947" s="851">
        <v>748.62857499999996</v>
      </c>
    </row>
    <row r="3948" spans="2:4" x14ac:dyDescent="0.2">
      <c r="B3948" s="876">
        <v>4694</v>
      </c>
      <c r="C3948" s="876" t="s">
        <v>3990</v>
      </c>
      <c r="D3948" s="851">
        <v>671.125</v>
      </c>
    </row>
    <row r="3949" spans="2:4" x14ac:dyDescent="0.2">
      <c r="B3949" s="876">
        <v>4695</v>
      </c>
      <c r="C3949" s="876" t="s">
        <v>4732</v>
      </c>
      <c r="D3949" s="851">
        <v>698</v>
      </c>
    </row>
    <row r="3950" spans="2:4" x14ac:dyDescent="0.2">
      <c r="B3950" s="876">
        <v>4696</v>
      </c>
      <c r="C3950" s="876" t="s">
        <v>4733</v>
      </c>
      <c r="D3950" s="851">
        <v>854.49999100000002</v>
      </c>
    </row>
    <row r="3951" spans="2:4" x14ac:dyDescent="0.2">
      <c r="B3951" s="876">
        <v>4697</v>
      </c>
      <c r="C3951" s="876" t="s">
        <v>4734</v>
      </c>
      <c r="D3951" s="851">
        <v>844.20000500000003</v>
      </c>
    </row>
    <row r="3952" spans="2:4" x14ac:dyDescent="0.2">
      <c r="B3952" s="876">
        <v>4698</v>
      </c>
      <c r="C3952" s="876" t="s">
        <v>4735</v>
      </c>
      <c r="D3952" s="851">
        <v>768.09999600000003</v>
      </c>
    </row>
    <row r="3953" spans="2:4" x14ac:dyDescent="0.2">
      <c r="B3953" s="876">
        <v>4699</v>
      </c>
      <c r="C3953" s="876" t="s">
        <v>4736</v>
      </c>
      <c r="D3953" s="851">
        <v>725</v>
      </c>
    </row>
    <row r="3954" spans="2:4" x14ac:dyDescent="0.2">
      <c r="B3954" s="876">
        <v>4700</v>
      </c>
      <c r="C3954" s="876" t="s">
        <v>4737</v>
      </c>
      <c r="D3954" s="851">
        <v>763.45000600000003</v>
      </c>
    </row>
    <row r="3955" spans="2:4" x14ac:dyDescent="0.2">
      <c r="B3955" s="876">
        <v>4701</v>
      </c>
      <c r="C3955" s="876" t="s">
        <v>4738</v>
      </c>
      <c r="D3955" s="851">
        <v>734.83749399999999</v>
      </c>
    </row>
    <row r="3956" spans="2:4" x14ac:dyDescent="0.2">
      <c r="B3956" s="876">
        <v>4702</v>
      </c>
      <c r="C3956" s="876" t="s">
        <v>4739</v>
      </c>
      <c r="D3956" s="851">
        <v>711.07142899999997</v>
      </c>
    </row>
    <row r="3957" spans="2:4" x14ac:dyDescent="0.2">
      <c r="B3957" s="876">
        <v>4703</v>
      </c>
      <c r="C3957" s="876" t="s">
        <v>4740</v>
      </c>
      <c r="D3957" s="851">
        <v>729.04999799999996</v>
      </c>
    </row>
    <row r="3958" spans="2:4" x14ac:dyDescent="0.2">
      <c r="B3958" s="876">
        <v>4704</v>
      </c>
      <c r="C3958" s="876" t="s">
        <v>4741</v>
      </c>
      <c r="D3958" s="851">
        <v>760.79998799999998</v>
      </c>
    </row>
    <row r="3959" spans="2:4" x14ac:dyDescent="0.2">
      <c r="B3959" s="876">
        <v>4705</v>
      </c>
      <c r="C3959" s="876" t="s">
        <v>4742</v>
      </c>
      <c r="D3959" s="851">
        <v>794.61999500000002</v>
      </c>
    </row>
    <row r="3960" spans="2:4" x14ac:dyDescent="0.2">
      <c r="B3960" s="876">
        <v>4706</v>
      </c>
      <c r="C3960" s="876" t="s">
        <v>4743</v>
      </c>
      <c r="D3960" s="851">
        <v>718.240002</v>
      </c>
    </row>
    <row r="3961" spans="2:4" x14ac:dyDescent="0.2">
      <c r="B3961" s="876">
        <v>4751</v>
      </c>
      <c r="C3961" s="876" t="s">
        <v>4744</v>
      </c>
      <c r="D3961" s="851">
        <v>602.08000100000004</v>
      </c>
    </row>
    <row r="3962" spans="2:4" x14ac:dyDescent="0.2">
      <c r="B3962" s="876">
        <v>4752</v>
      </c>
      <c r="C3962" s="876" t="s">
        <v>4745</v>
      </c>
      <c r="D3962" s="851">
        <v>604.33333300000004</v>
      </c>
    </row>
    <row r="3963" spans="2:4" x14ac:dyDescent="0.2">
      <c r="B3963" s="876">
        <v>4753</v>
      </c>
      <c r="C3963" s="876" t="s">
        <v>4746</v>
      </c>
      <c r="D3963" s="851">
        <v>617.02500599999996</v>
      </c>
    </row>
    <row r="3964" spans="2:4" x14ac:dyDescent="0.2">
      <c r="B3964" s="876">
        <v>4754</v>
      </c>
      <c r="C3964" s="876" t="s">
        <v>4747</v>
      </c>
      <c r="D3964" s="851">
        <v>611.23750299999995</v>
      </c>
    </row>
    <row r="3965" spans="2:4" x14ac:dyDescent="0.2">
      <c r="B3965" s="876">
        <v>4755</v>
      </c>
      <c r="C3965" s="876" t="s">
        <v>4748</v>
      </c>
      <c r="D3965" s="851">
        <v>585.55714599999999</v>
      </c>
    </row>
    <row r="3966" spans="2:4" x14ac:dyDescent="0.2">
      <c r="B3966" s="876">
        <v>4756</v>
      </c>
      <c r="C3966" s="876" t="s">
        <v>4749</v>
      </c>
      <c r="D3966" s="851">
        <v>658.90000499999996</v>
      </c>
    </row>
    <row r="3967" spans="2:4" x14ac:dyDescent="0.2">
      <c r="B3967" s="876">
        <v>4757</v>
      </c>
      <c r="C3967" s="876" t="s">
        <v>4750</v>
      </c>
      <c r="D3967" s="851">
        <v>648.09999100000005</v>
      </c>
    </row>
    <row r="3968" spans="2:4" x14ac:dyDescent="0.2">
      <c r="B3968" s="876">
        <v>4758</v>
      </c>
      <c r="C3968" s="876" t="s">
        <v>2306</v>
      </c>
      <c r="D3968" s="851">
        <v>642.75454999999999</v>
      </c>
    </row>
    <row r="3969" spans="2:4" x14ac:dyDescent="0.2">
      <c r="B3969" s="876">
        <v>4759</v>
      </c>
      <c r="C3969" s="876" t="s">
        <v>4751</v>
      </c>
      <c r="D3969" s="851">
        <v>598.41665599999999</v>
      </c>
    </row>
    <row r="3970" spans="2:4" x14ac:dyDescent="0.2">
      <c r="B3970" s="876">
        <v>4760</v>
      </c>
      <c r="C3970" s="876" t="s">
        <v>346</v>
      </c>
      <c r="D3970" s="851">
        <v>600.311103</v>
      </c>
    </row>
    <row r="3971" spans="2:4" x14ac:dyDescent="0.2">
      <c r="B3971" s="876">
        <v>4761</v>
      </c>
      <c r="C3971" s="876" t="s">
        <v>3591</v>
      </c>
      <c r="D3971" s="851">
        <v>619.133331</v>
      </c>
    </row>
    <row r="3972" spans="2:4" x14ac:dyDescent="0.2">
      <c r="B3972" s="876">
        <v>4762</v>
      </c>
      <c r="C3972" s="876" t="s">
        <v>4752</v>
      </c>
      <c r="D3972" s="851">
        <v>676.75714100000005</v>
      </c>
    </row>
    <row r="3973" spans="2:4" x14ac:dyDescent="0.2">
      <c r="B3973" s="876">
        <v>4763</v>
      </c>
      <c r="C3973" s="876" t="s">
        <v>4753</v>
      </c>
      <c r="D3973" s="851">
        <v>671.58571500000005</v>
      </c>
    </row>
    <row r="3974" spans="2:4" x14ac:dyDescent="0.2">
      <c r="B3974" s="876">
        <v>4764</v>
      </c>
      <c r="C3974" s="876" t="s">
        <v>4754</v>
      </c>
      <c r="D3974" s="851">
        <v>653.77500899999995</v>
      </c>
    </row>
    <row r="3975" spans="2:4" x14ac:dyDescent="0.2">
      <c r="B3975" s="876">
        <v>4765</v>
      </c>
      <c r="C3975" s="876" t="s">
        <v>4755</v>
      </c>
      <c r="D3975" s="851">
        <v>583.02727200000004</v>
      </c>
    </row>
    <row r="3976" spans="2:4" x14ac:dyDescent="0.2">
      <c r="B3976" s="876">
        <v>4766</v>
      </c>
      <c r="C3976" s="876" t="s">
        <v>4756</v>
      </c>
      <c r="D3976" s="851">
        <v>652.34999100000005</v>
      </c>
    </row>
    <row r="3977" spans="2:4" x14ac:dyDescent="0.2">
      <c r="B3977" s="876">
        <v>4767</v>
      </c>
      <c r="C3977" s="876" t="s">
        <v>4757</v>
      </c>
      <c r="D3977" s="851">
        <v>660.51665200000002</v>
      </c>
    </row>
    <row r="3978" spans="2:4" x14ac:dyDescent="0.2">
      <c r="B3978" s="876">
        <v>4768</v>
      </c>
      <c r="C3978" s="876" t="s">
        <v>4758</v>
      </c>
      <c r="D3978" s="851">
        <v>586.70000500000003</v>
      </c>
    </row>
    <row r="3979" spans="2:4" x14ac:dyDescent="0.2">
      <c r="B3979" s="876">
        <v>4769</v>
      </c>
      <c r="C3979" s="876" t="s">
        <v>4759</v>
      </c>
      <c r="D3979" s="851">
        <v>631.79374700000005</v>
      </c>
    </row>
    <row r="3980" spans="2:4" x14ac:dyDescent="0.2">
      <c r="B3980" s="876">
        <v>4770</v>
      </c>
      <c r="C3980" s="876" t="s">
        <v>2434</v>
      </c>
      <c r="D3980" s="851">
        <v>624.75</v>
      </c>
    </row>
    <row r="3981" spans="2:4" x14ac:dyDescent="0.2">
      <c r="B3981" s="876">
        <v>4771</v>
      </c>
      <c r="C3981" s="876" t="s">
        <v>4760</v>
      </c>
      <c r="D3981" s="851">
        <v>665.30000299999995</v>
      </c>
    </row>
    <row r="3982" spans="2:4" x14ac:dyDescent="0.2">
      <c r="B3982" s="876">
        <v>4772</v>
      </c>
      <c r="C3982" s="876" t="s">
        <v>4761</v>
      </c>
      <c r="D3982" s="851">
        <v>672.633331</v>
      </c>
    </row>
    <row r="3983" spans="2:4" x14ac:dyDescent="0.2">
      <c r="B3983" s="876">
        <v>4773</v>
      </c>
      <c r="C3983" s="876" t="s">
        <v>4762</v>
      </c>
      <c r="D3983" s="851">
        <v>609.93749200000002</v>
      </c>
    </row>
    <row r="3984" spans="2:4" x14ac:dyDescent="0.2">
      <c r="B3984" s="876">
        <v>4774</v>
      </c>
      <c r="C3984" s="876" t="s">
        <v>4763</v>
      </c>
      <c r="D3984" s="851">
        <v>598.41499899999997</v>
      </c>
    </row>
    <row r="3985" spans="2:4" x14ac:dyDescent="0.2">
      <c r="B3985" s="876">
        <v>4775</v>
      </c>
      <c r="C3985" s="876" t="s">
        <v>4764</v>
      </c>
      <c r="D3985" s="851">
        <v>654.92500299999995</v>
      </c>
    </row>
    <row r="3986" spans="2:4" x14ac:dyDescent="0.2">
      <c r="B3986" s="876">
        <v>4776</v>
      </c>
      <c r="C3986" s="876" t="s">
        <v>4765</v>
      </c>
      <c r="D3986" s="851">
        <v>645.21818399999995</v>
      </c>
    </row>
    <row r="3987" spans="2:4" x14ac:dyDescent="0.2">
      <c r="B3987" s="876">
        <v>4777</v>
      </c>
      <c r="C3987" s="876" t="s">
        <v>4766</v>
      </c>
      <c r="D3987" s="851">
        <v>613.94000200000005</v>
      </c>
    </row>
    <row r="3988" spans="2:4" x14ac:dyDescent="0.2">
      <c r="B3988" s="876">
        <v>4778</v>
      </c>
      <c r="C3988" s="876" t="s">
        <v>4767</v>
      </c>
      <c r="D3988" s="851">
        <v>631.30001800000002</v>
      </c>
    </row>
    <row r="3989" spans="2:4" x14ac:dyDescent="0.2">
      <c r="B3989" s="876">
        <v>4779</v>
      </c>
      <c r="C3989" s="876" t="s">
        <v>4768</v>
      </c>
      <c r="D3989" s="851">
        <v>582.01999499999999</v>
      </c>
    </row>
    <row r="3990" spans="2:4" x14ac:dyDescent="0.2">
      <c r="B3990" s="876">
        <v>4780</v>
      </c>
      <c r="C3990" s="876" t="s">
        <v>4769</v>
      </c>
      <c r="D3990" s="851">
        <v>589.11998300000005</v>
      </c>
    </row>
    <row r="3991" spans="2:4" x14ac:dyDescent="0.2">
      <c r="B3991" s="876">
        <v>4781</v>
      </c>
      <c r="C3991" s="876" t="s">
        <v>4770</v>
      </c>
      <c r="D3991" s="851">
        <v>648.89999399999999</v>
      </c>
    </row>
    <row r="3992" spans="2:4" x14ac:dyDescent="0.2">
      <c r="B3992" s="876">
        <v>4782</v>
      </c>
      <c r="C3992" s="876" t="s">
        <v>4771</v>
      </c>
      <c r="D3992" s="851">
        <v>633.97500600000001</v>
      </c>
    </row>
    <row r="3993" spans="2:4" x14ac:dyDescent="0.2">
      <c r="B3993" s="876">
        <v>4783</v>
      </c>
      <c r="C3993" s="876" t="s">
        <v>4772</v>
      </c>
      <c r="D3993" s="851">
        <v>603.79583700000001</v>
      </c>
    </row>
    <row r="3994" spans="2:4" x14ac:dyDescent="0.2">
      <c r="B3994" s="876">
        <v>4784</v>
      </c>
      <c r="C3994" s="876" t="s">
        <v>4773</v>
      </c>
      <c r="D3994" s="851">
        <v>612.63571200000001</v>
      </c>
    </row>
    <row r="3995" spans="2:4" x14ac:dyDescent="0.2">
      <c r="B3995" s="876">
        <v>4785</v>
      </c>
      <c r="C3995" s="876" t="s">
        <v>4774</v>
      </c>
      <c r="D3995" s="851">
        <v>635.04284700000005</v>
      </c>
    </row>
    <row r="3996" spans="2:4" x14ac:dyDescent="0.2">
      <c r="B3996" s="876">
        <v>4786</v>
      </c>
      <c r="C3996" s="876" t="s">
        <v>4339</v>
      </c>
      <c r="D3996" s="851">
        <v>640.03750600000001</v>
      </c>
    </row>
    <row r="3997" spans="2:4" x14ac:dyDescent="0.2">
      <c r="B3997" s="876">
        <v>4787</v>
      </c>
      <c r="C3997" s="876" t="s">
        <v>4775</v>
      </c>
      <c r="D3997" s="851">
        <v>597.64999399999999</v>
      </c>
    </row>
    <row r="3998" spans="2:4" x14ac:dyDescent="0.2">
      <c r="B3998" s="876">
        <v>4788</v>
      </c>
      <c r="C3998" s="876" t="s">
        <v>4776</v>
      </c>
      <c r="D3998" s="851">
        <v>606.40002400000003</v>
      </c>
    </row>
    <row r="3999" spans="2:4" x14ac:dyDescent="0.2">
      <c r="B3999" s="876">
        <v>4789</v>
      </c>
      <c r="C3999" s="876" t="s">
        <v>4777</v>
      </c>
      <c r="D3999" s="851">
        <v>605.46665399999995</v>
      </c>
    </row>
    <row r="4000" spans="2:4" x14ac:dyDescent="0.2">
      <c r="B4000" s="876">
        <v>4801</v>
      </c>
      <c r="C4000" s="876" t="s">
        <v>4778</v>
      </c>
      <c r="D4000" s="851">
        <v>678.84999600000003</v>
      </c>
    </row>
    <row r="4001" spans="2:4" x14ac:dyDescent="0.2">
      <c r="B4001" s="876">
        <v>4802</v>
      </c>
      <c r="C4001" s="876" t="s">
        <v>4779</v>
      </c>
      <c r="D4001" s="851">
        <v>698.59999800000003</v>
      </c>
    </row>
    <row r="4002" spans="2:4" x14ac:dyDescent="0.2">
      <c r="B4002" s="876">
        <v>4803</v>
      </c>
      <c r="C4002" s="876" t="s">
        <v>4780</v>
      </c>
      <c r="D4002" s="851">
        <v>628.40909599999998</v>
      </c>
    </row>
    <row r="4003" spans="2:4" x14ac:dyDescent="0.2">
      <c r="B4003" s="876">
        <v>4804</v>
      </c>
      <c r="C4003" s="876" t="s">
        <v>4781</v>
      </c>
      <c r="D4003" s="851">
        <v>644.17999299999997</v>
      </c>
    </row>
    <row r="4004" spans="2:4" x14ac:dyDescent="0.2">
      <c r="B4004" s="876">
        <v>4805</v>
      </c>
      <c r="C4004" s="876" t="s">
        <v>4782</v>
      </c>
      <c r="D4004" s="851">
        <v>717.66666699999996</v>
      </c>
    </row>
    <row r="4005" spans="2:4" x14ac:dyDescent="0.2">
      <c r="B4005" s="876">
        <v>4806</v>
      </c>
      <c r="C4005" s="876" t="s">
        <v>4783</v>
      </c>
      <c r="D4005" s="851">
        <v>627.82501200000002</v>
      </c>
    </row>
    <row r="4006" spans="2:4" x14ac:dyDescent="0.2">
      <c r="B4006" s="876">
        <v>4807</v>
      </c>
      <c r="C4006" s="876" t="s">
        <v>4784</v>
      </c>
      <c r="D4006" s="851">
        <v>655.16316300000005</v>
      </c>
    </row>
    <row r="4007" spans="2:4" x14ac:dyDescent="0.2">
      <c r="B4007" s="876">
        <v>4808</v>
      </c>
      <c r="C4007" s="876" t="s">
        <v>4785</v>
      </c>
      <c r="D4007" s="851">
        <v>672.66666699999996</v>
      </c>
    </row>
    <row r="4008" spans="2:4" x14ac:dyDescent="0.2">
      <c r="B4008" s="876">
        <v>4809</v>
      </c>
      <c r="C4008" s="876" t="s">
        <v>4786</v>
      </c>
      <c r="D4008" s="851">
        <v>694.01110200000005</v>
      </c>
    </row>
    <row r="4009" spans="2:4" x14ac:dyDescent="0.2">
      <c r="B4009" s="876">
        <v>4810</v>
      </c>
      <c r="C4009" s="876" t="s">
        <v>4787</v>
      </c>
      <c r="D4009" s="851">
        <v>647.94999700000005</v>
      </c>
    </row>
    <row r="4010" spans="2:4" x14ac:dyDescent="0.2">
      <c r="B4010" s="876">
        <v>4811</v>
      </c>
      <c r="C4010" s="876" t="s">
        <v>4788</v>
      </c>
      <c r="D4010" s="851">
        <v>665.82501200000002</v>
      </c>
    </row>
    <row r="4011" spans="2:4" x14ac:dyDescent="0.2">
      <c r="B4011" s="876">
        <v>4812</v>
      </c>
      <c r="C4011" s="876" t="s">
        <v>4789</v>
      </c>
      <c r="D4011" s="851">
        <v>657.99999400000002</v>
      </c>
    </row>
    <row r="4012" spans="2:4" x14ac:dyDescent="0.2">
      <c r="B4012" s="876">
        <v>4813</v>
      </c>
      <c r="C4012" s="876" t="s">
        <v>3815</v>
      </c>
      <c r="D4012" s="851">
        <v>658.13999000000001</v>
      </c>
    </row>
    <row r="4013" spans="2:4" x14ac:dyDescent="0.2">
      <c r="B4013" s="876">
        <v>4814</v>
      </c>
      <c r="C4013" s="876" t="s">
        <v>4790</v>
      </c>
      <c r="D4013" s="851">
        <v>712.56667100000004</v>
      </c>
    </row>
    <row r="4014" spans="2:4" x14ac:dyDescent="0.2">
      <c r="B4014" s="876">
        <v>4815</v>
      </c>
      <c r="C4014" s="876" t="s">
        <v>4791</v>
      </c>
      <c r="D4014" s="851">
        <v>663.72499100000005</v>
      </c>
    </row>
    <row r="4015" spans="2:4" x14ac:dyDescent="0.2">
      <c r="B4015" s="876">
        <v>4816</v>
      </c>
      <c r="C4015" s="876" t="s">
        <v>4792</v>
      </c>
      <c r="D4015" s="851">
        <v>633.40909599999998</v>
      </c>
    </row>
    <row r="4016" spans="2:4" x14ac:dyDescent="0.2">
      <c r="B4016" s="876">
        <v>4817</v>
      </c>
      <c r="C4016" s="876" t="s">
        <v>4793</v>
      </c>
      <c r="D4016" s="851">
        <v>696.135716</v>
      </c>
    </row>
    <row r="4017" spans="2:4" x14ac:dyDescent="0.2">
      <c r="B4017" s="876">
        <v>4818</v>
      </c>
      <c r="C4017" s="876" t="s">
        <v>4794</v>
      </c>
      <c r="D4017" s="851">
        <v>679.19999199999995</v>
      </c>
    </row>
    <row r="4018" spans="2:4" x14ac:dyDescent="0.2">
      <c r="B4018" s="876">
        <v>4819</v>
      </c>
      <c r="C4018" s="876" t="s">
        <v>4795</v>
      </c>
      <c r="D4018" s="851">
        <v>699.71250199999997</v>
      </c>
    </row>
    <row r="4019" spans="2:4" x14ac:dyDescent="0.2">
      <c r="B4019" s="876">
        <v>4820</v>
      </c>
      <c r="C4019" s="876" t="s">
        <v>4796</v>
      </c>
      <c r="D4019" s="851">
        <v>771.89090799999997</v>
      </c>
    </row>
    <row r="4020" spans="2:4" x14ac:dyDescent="0.2">
      <c r="B4020" s="876">
        <v>4821</v>
      </c>
      <c r="C4020" s="876" t="s">
        <v>4797</v>
      </c>
      <c r="D4020" s="851">
        <v>754.11250299999995</v>
      </c>
    </row>
    <row r="4021" spans="2:4" x14ac:dyDescent="0.2">
      <c r="B4021" s="876">
        <v>4822</v>
      </c>
      <c r="C4021" s="876" t="s">
        <v>4798</v>
      </c>
      <c r="D4021" s="851">
        <v>718.75001499999996</v>
      </c>
    </row>
    <row r="4022" spans="2:4" x14ac:dyDescent="0.2">
      <c r="B4022" s="876">
        <v>4823</v>
      </c>
      <c r="C4022" s="876" t="s">
        <v>4799</v>
      </c>
      <c r="D4022" s="851">
        <v>683.67142999999999</v>
      </c>
    </row>
    <row r="4023" spans="2:4" x14ac:dyDescent="0.2">
      <c r="B4023" s="876">
        <v>4824</v>
      </c>
      <c r="C4023" s="876" t="s">
        <v>4800</v>
      </c>
      <c r="D4023" s="851">
        <v>706.93077200000005</v>
      </c>
    </row>
    <row r="4024" spans="2:4" x14ac:dyDescent="0.2">
      <c r="B4024" s="876">
        <v>4825</v>
      </c>
      <c r="C4024" s="876" t="s">
        <v>4801</v>
      </c>
      <c r="D4024" s="851">
        <v>675.43332899999996</v>
      </c>
    </row>
    <row r="4025" spans="2:4" x14ac:dyDescent="0.2">
      <c r="B4025" s="876">
        <v>4826</v>
      </c>
      <c r="C4025" s="876" t="s">
        <v>4802</v>
      </c>
      <c r="D4025" s="851">
        <v>701.20000200000004</v>
      </c>
    </row>
    <row r="4026" spans="2:4" x14ac:dyDescent="0.2">
      <c r="B4026" s="876">
        <v>4827</v>
      </c>
      <c r="C4026" s="876" t="s">
        <v>4803</v>
      </c>
      <c r="D4026" s="851">
        <v>680.25</v>
      </c>
    </row>
    <row r="4027" spans="2:4" x14ac:dyDescent="0.2">
      <c r="B4027" s="876">
        <v>4828</v>
      </c>
      <c r="C4027" s="876" t="s">
        <v>4804</v>
      </c>
      <c r="D4027" s="851">
        <v>720.90000199999997</v>
      </c>
    </row>
    <row r="4028" spans="2:4" x14ac:dyDescent="0.2">
      <c r="B4028" s="876">
        <v>4829</v>
      </c>
      <c r="C4028" s="876" t="s">
        <v>1548</v>
      </c>
      <c r="D4028" s="851">
        <v>750.80000299999995</v>
      </c>
    </row>
    <row r="4029" spans="2:4" x14ac:dyDescent="0.2">
      <c r="B4029" s="876">
        <v>4830</v>
      </c>
      <c r="C4029" s="876" t="s">
        <v>4805</v>
      </c>
      <c r="D4029" s="851">
        <v>787.20001200000002</v>
      </c>
    </row>
    <row r="4030" spans="2:4" x14ac:dyDescent="0.2">
      <c r="B4030" s="876">
        <v>4831</v>
      </c>
      <c r="C4030" s="876" t="s">
        <v>4806</v>
      </c>
      <c r="D4030" s="851">
        <v>706.29090499999995</v>
      </c>
    </row>
    <row r="4031" spans="2:4" x14ac:dyDescent="0.2">
      <c r="B4031" s="876">
        <v>4832</v>
      </c>
      <c r="C4031" s="876" t="s">
        <v>4807</v>
      </c>
      <c r="D4031" s="851">
        <v>737.49090000000001</v>
      </c>
    </row>
    <row r="4032" spans="2:4" x14ac:dyDescent="0.2">
      <c r="B4032" s="876">
        <v>4833</v>
      </c>
      <c r="C4032" s="876" t="s">
        <v>4808</v>
      </c>
      <c r="D4032" s="851">
        <v>735.58572000000004</v>
      </c>
    </row>
    <row r="4033" spans="2:4" x14ac:dyDescent="0.2">
      <c r="B4033" s="876">
        <v>4834</v>
      </c>
      <c r="C4033" s="876" t="s">
        <v>3186</v>
      </c>
      <c r="D4033" s="851">
        <v>776.22499100000005</v>
      </c>
    </row>
    <row r="4034" spans="2:4" x14ac:dyDescent="0.2">
      <c r="B4034" s="876">
        <v>4835</v>
      </c>
      <c r="C4034" s="876" t="s">
        <v>4809</v>
      </c>
      <c r="D4034" s="851">
        <v>786.07272599999999</v>
      </c>
    </row>
    <row r="4035" spans="2:4" x14ac:dyDescent="0.2">
      <c r="B4035" s="876">
        <v>4836</v>
      </c>
      <c r="C4035" s="876" t="s">
        <v>4810</v>
      </c>
      <c r="D4035" s="851">
        <v>749.06664999999998</v>
      </c>
    </row>
    <row r="4036" spans="2:4" x14ac:dyDescent="0.2">
      <c r="B4036" s="876">
        <v>4837</v>
      </c>
      <c r="C4036" s="876" t="s">
        <v>4811</v>
      </c>
      <c r="D4036" s="851">
        <v>760.59999600000003</v>
      </c>
    </row>
    <row r="4037" spans="2:4" x14ac:dyDescent="0.2">
      <c r="B4037" s="876">
        <v>4838</v>
      </c>
      <c r="C4037" s="876" t="s">
        <v>4812</v>
      </c>
      <c r="D4037" s="851">
        <v>755.06000200000005</v>
      </c>
    </row>
    <row r="4038" spans="2:4" x14ac:dyDescent="0.2">
      <c r="B4038" s="876">
        <v>4839</v>
      </c>
      <c r="C4038" s="876" t="s">
        <v>351</v>
      </c>
      <c r="D4038" s="851">
        <v>688.67999299999997</v>
      </c>
    </row>
    <row r="4039" spans="2:4" x14ac:dyDescent="0.2">
      <c r="B4039" s="876">
        <v>4840</v>
      </c>
      <c r="C4039" s="876" t="s">
        <v>4813</v>
      </c>
      <c r="D4039" s="851">
        <v>692.130765</v>
      </c>
    </row>
    <row r="4040" spans="2:4" x14ac:dyDescent="0.2">
      <c r="B4040" s="876">
        <v>4841</v>
      </c>
      <c r="C4040" s="876" t="s">
        <v>4814</v>
      </c>
      <c r="D4040" s="851">
        <v>707.54000199999996</v>
      </c>
    </row>
    <row r="4041" spans="2:4" x14ac:dyDescent="0.2">
      <c r="B4041" s="876">
        <v>4842</v>
      </c>
      <c r="C4041" s="876" t="s">
        <v>4815</v>
      </c>
      <c r="D4041" s="851">
        <v>691.26668299999994</v>
      </c>
    </row>
    <row r="4042" spans="2:4" x14ac:dyDescent="0.2">
      <c r="B4042" s="876">
        <v>4843</v>
      </c>
      <c r="C4042" s="876" t="s">
        <v>4816</v>
      </c>
      <c r="D4042" s="851">
        <v>712.93335000000002</v>
      </c>
    </row>
    <row r="4043" spans="2:4" x14ac:dyDescent="0.2">
      <c r="B4043" s="876">
        <v>4844</v>
      </c>
      <c r="C4043" s="876" t="s">
        <v>4817</v>
      </c>
      <c r="D4043" s="851">
        <v>828.54998799999998</v>
      </c>
    </row>
    <row r="4044" spans="2:4" x14ac:dyDescent="0.2">
      <c r="B4044" s="876">
        <v>4845</v>
      </c>
      <c r="C4044" s="876" t="s">
        <v>2211</v>
      </c>
      <c r="D4044" s="851">
        <v>853.20001200000002</v>
      </c>
    </row>
    <row r="4045" spans="2:4" x14ac:dyDescent="0.2">
      <c r="B4045" s="876">
        <v>4846</v>
      </c>
      <c r="C4045" s="876" t="s">
        <v>2507</v>
      </c>
      <c r="D4045" s="851">
        <v>845.13750500000003</v>
      </c>
    </row>
    <row r="4046" spans="2:4" x14ac:dyDescent="0.2">
      <c r="B4046" s="876">
        <v>4847</v>
      </c>
      <c r="C4046" s="876" t="s">
        <v>4818</v>
      </c>
      <c r="D4046" s="851">
        <v>852.31817899999999</v>
      </c>
    </row>
    <row r="4047" spans="2:4" x14ac:dyDescent="0.2">
      <c r="B4047" s="876">
        <v>4848</v>
      </c>
      <c r="C4047" s="876" t="s">
        <v>4819</v>
      </c>
      <c r="D4047" s="851">
        <v>784.09999100000005</v>
      </c>
    </row>
    <row r="4048" spans="2:4" x14ac:dyDescent="0.2">
      <c r="B4048" s="876">
        <v>4849</v>
      </c>
      <c r="C4048" s="876" t="s">
        <v>4820</v>
      </c>
      <c r="D4048" s="851">
        <v>824.99545599999999</v>
      </c>
    </row>
    <row r="4049" spans="2:4" x14ac:dyDescent="0.2">
      <c r="B4049" s="876">
        <v>4850</v>
      </c>
      <c r="C4049" s="876" t="s">
        <v>4821</v>
      </c>
      <c r="D4049" s="851">
        <v>829.12221999999997</v>
      </c>
    </row>
    <row r="4050" spans="2:4" x14ac:dyDescent="0.2">
      <c r="B4050" s="876">
        <v>4851</v>
      </c>
      <c r="C4050" s="876" t="s">
        <v>1712</v>
      </c>
      <c r="D4050" s="851">
        <v>658.24614999999994</v>
      </c>
    </row>
    <row r="4051" spans="2:4" x14ac:dyDescent="0.2">
      <c r="B4051" s="876">
        <v>4852</v>
      </c>
      <c r="C4051" s="876" t="s">
        <v>4822</v>
      </c>
      <c r="D4051" s="851">
        <v>665.375</v>
      </c>
    </row>
    <row r="4052" spans="2:4" x14ac:dyDescent="0.2">
      <c r="B4052" s="876">
        <v>4853</v>
      </c>
      <c r="C4052" s="876" t="s">
        <v>4823</v>
      </c>
      <c r="D4052" s="851">
        <v>643.36999500000002</v>
      </c>
    </row>
    <row r="4053" spans="2:4" x14ac:dyDescent="0.2">
      <c r="B4053" s="876">
        <v>4854</v>
      </c>
      <c r="C4053" s="876" t="s">
        <v>4824</v>
      </c>
      <c r="D4053" s="851">
        <v>628.93000500000005</v>
      </c>
    </row>
    <row r="4054" spans="2:4" x14ac:dyDescent="0.2">
      <c r="B4054" s="876">
        <v>4855</v>
      </c>
      <c r="C4054" s="876" t="s">
        <v>4825</v>
      </c>
      <c r="D4054" s="851">
        <v>605.64167299999997</v>
      </c>
    </row>
    <row r="4055" spans="2:4" x14ac:dyDescent="0.2">
      <c r="B4055" s="876">
        <v>4856</v>
      </c>
      <c r="C4055" s="876" t="s">
        <v>4826</v>
      </c>
      <c r="D4055" s="851">
        <v>633.64999399999999</v>
      </c>
    </row>
    <row r="4056" spans="2:4" x14ac:dyDescent="0.2">
      <c r="B4056" s="876">
        <v>4857</v>
      </c>
      <c r="C4056" s="876" t="s">
        <v>4827</v>
      </c>
      <c r="D4056" s="851">
        <v>604.33750199999997</v>
      </c>
    </row>
    <row r="4057" spans="2:4" x14ac:dyDescent="0.2">
      <c r="B4057" s="876">
        <v>4858</v>
      </c>
      <c r="C4057" s="876" t="s">
        <v>4828</v>
      </c>
      <c r="D4057" s="851">
        <v>606.75999100000001</v>
      </c>
    </row>
    <row r="4058" spans="2:4" x14ac:dyDescent="0.2">
      <c r="B4058" s="876">
        <v>4859</v>
      </c>
      <c r="C4058" s="876" t="s">
        <v>4829</v>
      </c>
      <c r="D4058" s="851">
        <v>628.95001200000002</v>
      </c>
    </row>
    <row r="4059" spans="2:4" x14ac:dyDescent="0.2">
      <c r="B4059" s="876">
        <v>4860</v>
      </c>
      <c r="C4059" s="876" t="s">
        <v>4830</v>
      </c>
      <c r="D4059" s="851">
        <v>635.85000600000001</v>
      </c>
    </row>
    <row r="4060" spans="2:4" x14ac:dyDescent="0.2">
      <c r="B4060" s="876">
        <v>4861</v>
      </c>
      <c r="C4060" s="876" t="s">
        <v>4831</v>
      </c>
      <c r="D4060" s="851">
        <v>704.72000100000002</v>
      </c>
    </row>
    <row r="4061" spans="2:4" x14ac:dyDescent="0.2">
      <c r="B4061" s="876">
        <v>4862</v>
      </c>
      <c r="C4061" s="876" t="s">
        <v>4832</v>
      </c>
      <c r="D4061" s="851">
        <v>671.85714700000005</v>
      </c>
    </row>
    <row r="4062" spans="2:4" x14ac:dyDescent="0.2">
      <c r="B4062" s="876">
        <v>4863</v>
      </c>
      <c r="C4062" s="876" t="s">
        <v>4833</v>
      </c>
      <c r="D4062" s="851">
        <v>652.06666099999995</v>
      </c>
    </row>
    <row r="4063" spans="2:4" x14ac:dyDescent="0.2">
      <c r="B4063" s="876">
        <v>4864</v>
      </c>
      <c r="C4063" s="876" t="s">
        <v>4834</v>
      </c>
      <c r="D4063" s="851">
        <v>665.02940799999999</v>
      </c>
    </row>
    <row r="4064" spans="2:4" x14ac:dyDescent="0.2">
      <c r="B4064" s="876">
        <v>4865</v>
      </c>
      <c r="C4064" s="876" t="s">
        <v>4835</v>
      </c>
      <c r="D4064" s="851">
        <v>703.81666600000005</v>
      </c>
    </row>
    <row r="4065" spans="2:4" x14ac:dyDescent="0.2">
      <c r="B4065" s="876">
        <v>4866</v>
      </c>
      <c r="C4065" s="876" t="s">
        <v>4836</v>
      </c>
      <c r="D4065" s="851">
        <v>719.37143400000002</v>
      </c>
    </row>
    <row r="4066" spans="2:4" x14ac:dyDescent="0.2">
      <c r="B4066" s="876">
        <v>4867</v>
      </c>
      <c r="C4066" s="876" t="s">
        <v>4837</v>
      </c>
      <c r="D4066" s="851">
        <v>714.04285500000003</v>
      </c>
    </row>
    <row r="4067" spans="2:4" x14ac:dyDescent="0.2">
      <c r="B4067" s="876">
        <v>4868</v>
      </c>
      <c r="C4067" s="876" t="s">
        <v>4838</v>
      </c>
      <c r="D4067" s="851">
        <v>688.73749499999997</v>
      </c>
    </row>
    <row r="4068" spans="2:4" x14ac:dyDescent="0.2">
      <c r="B4068" s="876">
        <v>4869</v>
      </c>
      <c r="C4068" s="876" t="s">
        <v>4839</v>
      </c>
      <c r="D4068" s="851">
        <v>705.44999700000005</v>
      </c>
    </row>
    <row r="4069" spans="2:4" x14ac:dyDescent="0.2">
      <c r="B4069" s="876">
        <v>4870</v>
      </c>
      <c r="C4069" s="876" t="s">
        <v>2840</v>
      </c>
      <c r="D4069" s="851">
        <v>693.01999499999999</v>
      </c>
    </row>
    <row r="4070" spans="2:4" x14ac:dyDescent="0.2">
      <c r="B4070" s="876">
        <v>4871</v>
      </c>
      <c r="C4070" s="876" t="s">
        <v>4840</v>
      </c>
      <c r="D4070" s="851">
        <v>710.70001200000002</v>
      </c>
    </row>
    <row r="4071" spans="2:4" x14ac:dyDescent="0.2">
      <c r="B4071" s="876">
        <v>4872</v>
      </c>
      <c r="C4071" s="876" t="s">
        <v>4841</v>
      </c>
      <c r="D4071" s="851">
        <v>624.57332399999996</v>
      </c>
    </row>
    <row r="4072" spans="2:4" x14ac:dyDescent="0.2">
      <c r="B4072" s="876">
        <v>4873</v>
      </c>
      <c r="C4072" s="876" t="s">
        <v>4842</v>
      </c>
      <c r="D4072" s="851">
        <v>624.36251100000004</v>
      </c>
    </row>
    <row r="4073" spans="2:4" x14ac:dyDescent="0.2">
      <c r="B4073" s="876">
        <v>4874</v>
      </c>
      <c r="C4073" s="876" t="s">
        <v>4843</v>
      </c>
      <c r="D4073" s="851">
        <v>630.71666500000003</v>
      </c>
    </row>
    <row r="4074" spans="2:4" x14ac:dyDescent="0.2">
      <c r="B4074" s="876">
        <v>4875</v>
      </c>
      <c r="C4074" s="876" t="s">
        <v>4844</v>
      </c>
      <c r="D4074" s="851">
        <v>659.08888100000001</v>
      </c>
    </row>
    <row r="4075" spans="2:4" x14ac:dyDescent="0.2">
      <c r="B4075" s="876">
        <v>4876</v>
      </c>
      <c r="C4075" s="876" t="s">
        <v>4845</v>
      </c>
      <c r="D4075" s="851">
        <v>657.70000300000004</v>
      </c>
    </row>
    <row r="4076" spans="2:4" x14ac:dyDescent="0.2">
      <c r="B4076" s="876">
        <v>4877</v>
      </c>
      <c r="C4076" s="876" t="s">
        <v>4846</v>
      </c>
      <c r="D4076" s="851">
        <v>680.97999300000004</v>
      </c>
    </row>
    <row r="4077" spans="2:4" x14ac:dyDescent="0.2">
      <c r="B4077" s="876">
        <v>4878</v>
      </c>
      <c r="C4077" s="876" t="s">
        <v>4847</v>
      </c>
      <c r="D4077" s="851">
        <v>707.06667100000004</v>
      </c>
    </row>
    <row r="4078" spans="2:4" x14ac:dyDescent="0.2">
      <c r="B4078" s="876">
        <v>4879</v>
      </c>
      <c r="C4078" s="876" t="s">
        <v>4848</v>
      </c>
      <c r="D4078" s="851">
        <v>646.66666699999996</v>
      </c>
    </row>
    <row r="4079" spans="2:4" x14ac:dyDescent="0.2">
      <c r="B4079" s="876">
        <v>4901</v>
      </c>
      <c r="C4079" s="876" t="s">
        <v>4849</v>
      </c>
      <c r="D4079" s="851">
        <v>712.90000399999997</v>
      </c>
    </row>
    <row r="4080" spans="2:4" x14ac:dyDescent="0.2">
      <c r="B4080" s="876">
        <v>4902</v>
      </c>
      <c r="C4080" s="876" t="s">
        <v>4850</v>
      </c>
      <c r="D4080" s="851">
        <v>759.85714299999995</v>
      </c>
    </row>
    <row r="4081" spans="2:4" x14ac:dyDescent="0.2">
      <c r="B4081" s="876">
        <v>4903</v>
      </c>
      <c r="C4081" s="876" t="s">
        <v>4851</v>
      </c>
      <c r="D4081" s="851">
        <v>742.36250299999995</v>
      </c>
    </row>
    <row r="4082" spans="2:4" x14ac:dyDescent="0.2">
      <c r="B4082" s="876">
        <v>4904</v>
      </c>
      <c r="C4082" s="876" t="s">
        <v>4852</v>
      </c>
      <c r="D4082" s="851">
        <v>719.69999700000005</v>
      </c>
    </row>
    <row r="4083" spans="2:4" x14ac:dyDescent="0.2">
      <c r="B4083" s="876">
        <v>4905</v>
      </c>
      <c r="C4083" s="876" t="s">
        <v>4853</v>
      </c>
      <c r="D4083" s="851">
        <v>703.31110999999999</v>
      </c>
    </row>
    <row r="4084" spans="2:4" x14ac:dyDescent="0.2">
      <c r="B4084" s="876">
        <v>4906</v>
      </c>
      <c r="C4084" s="876" t="s">
        <v>4854</v>
      </c>
      <c r="D4084" s="851">
        <v>683.2</v>
      </c>
    </row>
    <row r="4085" spans="2:4" x14ac:dyDescent="0.2">
      <c r="B4085" s="876">
        <v>4907</v>
      </c>
      <c r="C4085" s="876" t="s">
        <v>4855</v>
      </c>
      <c r="D4085" s="851">
        <v>721.72222199999999</v>
      </c>
    </row>
    <row r="4086" spans="2:4" x14ac:dyDescent="0.2">
      <c r="B4086" s="876">
        <v>4908</v>
      </c>
      <c r="C4086" s="876" t="s">
        <v>4856</v>
      </c>
      <c r="D4086" s="851">
        <v>758.35454800000002</v>
      </c>
    </row>
    <row r="4087" spans="2:4" x14ac:dyDescent="0.2">
      <c r="B4087" s="876">
        <v>4909</v>
      </c>
      <c r="C4087" s="876" t="s">
        <v>4857</v>
      </c>
      <c r="D4087" s="851">
        <v>743.80000800000005</v>
      </c>
    </row>
    <row r="4088" spans="2:4" x14ac:dyDescent="0.2">
      <c r="B4088" s="876">
        <v>4910</v>
      </c>
      <c r="C4088" s="876" t="s">
        <v>4858</v>
      </c>
      <c r="D4088" s="851">
        <v>747.02499399999999</v>
      </c>
    </row>
    <row r="4089" spans="2:4" x14ac:dyDescent="0.2">
      <c r="B4089" s="876">
        <v>4911</v>
      </c>
      <c r="C4089" s="876" t="s">
        <v>4859</v>
      </c>
      <c r="D4089" s="851">
        <v>780.58571099999995</v>
      </c>
    </row>
    <row r="4090" spans="2:4" x14ac:dyDescent="0.2">
      <c r="B4090" s="876">
        <v>4912</v>
      </c>
      <c r="C4090" s="876" t="s">
        <v>2638</v>
      </c>
      <c r="D4090" s="851">
        <v>733.10000600000001</v>
      </c>
    </row>
    <row r="4091" spans="2:4" x14ac:dyDescent="0.2">
      <c r="B4091" s="876">
        <v>4913</v>
      </c>
      <c r="C4091" s="876" t="s">
        <v>4860</v>
      </c>
      <c r="D4091" s="851">
        <v>773.84285199999999</v>
      </c>
    </row>
    <row r="4092" spans="2:4" x14ac:dyDescent="0.2">
      <c r="B4092" s="876">
        <v>4914</v>
      </c>
      <c r="C4092" s="876" t="s">
        <v>4861</v>
      </c>
      <c r="D4092" s="851">
        <v>734.98889199999996</v>
      </c>
    </row>
    <row r="4093" spans="2:4" x14ac:dyDescent="0.2">
      <c r="B4093" s="876">
        <v>4915</v>
      </c>
      <c r="C4093" s="876" t="s">
        <v>4862</v>
      </c>
      <c r="D4093" s="851">
        <v>730.37500499999999</v>
      </c>
    </row>
    <row r="4094" spans="2:4" x14ac:dyDescent="0.2">
      <c r="B4094" s="876">
        <v>4916</v>
      </c>
      <c r="C4094" s="876" t="s">
        <v>4863</v>
      </c>
      <c r="D4094" s="851">
        <v>741.01667299999997</v>
      </c>
    </row>
    <row r="4095" spans="2:4" x14ac:dyDescent="0.2">
      <c r="B4095" s="876">
        <v>4917</v>
      </c>
      <c r="C4095" s="876" t="s">
        <v>4864</v>
      </c>
      <c r="D4095" s="851">
        <v>722.92666799999995</v>
      </c>
    </row>
    <row r="4096" spans="2:4" x14ac:dyDescent="0.2">
      <c r="B4096" s="876">
        <v>4918</v>
      </c>
      <c r="C4096" s="876" t="s">
        <v>4865</v>
      </c>
      <c r="D4096" s="851">
        <v>724.59997599999997</v>
      </c>
    </row>
    <row r="4097" spans="2:4" x14ac:dyDescent="0.2">
      <c r="B4097" s="876">
        <v>4919</v>
      </c>
      <c r="C4097" s="876" t="s">
        <v>4866</v>
      </c>
      <c r="D4097" s="851">
        <v>713.11666500000001</v>
      </c>
    </row>
    <row r="4098" spans="2:4" x14ac:dyDescent="0.2">
      <c r="B4098" s="876">
        <v>4920</v>
      </c>
      <c r="C4098" s="876" t="s">
        <v>4867</v>
      </c>
      <c r="D4098" s="851">
        <v>743.64999399999999</v>
      </c>
    </row>
    <row r="4099" spans="2:4" x14ac:dyDescent="0.2">
      <c r="B4099" s="876">
        <v>4921</v>
      </c>
      <c r="C4099" s="876" t="s">
        <v>1711</v>
      </c>
      <c r="D4099" s="851">
        <v>761.10000600000001</v>
      </c>
    </row>
    <row r="4100" spans="2:4" x14ac:dyDescent="0.2">
      <c r="B4100" s="876">
        <v>4922</v>
      </c>
      <c r="C4100" s="876" t="s">
        <v>4868</v>
      </c>
      <c r="D4100" s="851">
        <v>716</v>
      </c>
    </row>
    <row r="4101" spans="2:4" x14ac:dyDescent="0.2">
      <c r="B4101" s="876">
        <v>4923</v>
      </c>
      <c r="C4101" s="876" t="s">
        <v>4869</v>
      </c>
      <c r="D4101" s="851">
        <v>734.9375</v>
      </c>
    </row>
    <row r="4102" spans="2:4" x14ac:dyDescent="0.2">
      <c r="B4102" s="876">
        <v>4924</v>
      </c>
      <c r="C4102" s="876" t="s">
        <v>4870</v>
      </c>
      <c r="D4102" s="851">
        <v>757.860004</v>
      </c>
    </row>
    <row r="4103" spans="2:4" x14ac:dyDescent="0.2">
      <c r="B4103" s="876">
        <v>4925</v>
      </c>
      <c r="C4103" s="876" t="s">
        <v>4871</v>
      </c>
      <c r="D4103" s="851">
        <v>737.866669</v>
      </c>
    </row>
    <row r="4104" spans="2:4" x14ac:dyDescent="0.2">
      <c r="B4104" s="876">
        <v>4926</v>
      </c>
      <c r="C4104" s="876" t="s">
        <v>2364</v>
      </c>
      <c r="D4104" s="851">
        <v>751.26666299999999</v>
      </c>
    </row>
    <row r="4105" spans="2:4" x14ac:dyDescent="0.2">
      <c r="B4105" s="876">
        <v>4927</v>
      </c>
      <c r="C4105" s="876" t="s">
        <v>4872</v>
      </c>
      <c r="D4105" s="851">
        <v>719.19999199999995</v>
      </c>
    </row>
    <row r="4106" spans="2:4" x14ac:dyDescent="0.2">
      <c r="B4106" s="876">
        <v>4928</v>
      </c>
      <c r="C4106" s="876" t="s">
        <v>4873</v>
      </c>
      <c r="D4106" s="851">
        <v>664.64286200000004</v>
      </c>
    </row>
    <row r="4107" spans="2:4" x14ac:dyDescent="0.2">
      <c r="B4107" s="876">
        <v>4929</v>
      </c>
      <c r="C4107" s="876" t="s">
        <v>4874</v>
      </c>
      <c r="D4107" s="851">
        <v>664.51666299999999</v>
      </c>
    </row>
    <row r="4108" spans="2:4" x14ac:dyDescent="0.2">
      <c r="B4108" s="876">
        <v>4930</v>
      </c>
      <c r="C4108" s="876" t="s">
        <v>4875</v>
      </c>
      <c r="D4108" s="851">
        <v>725.42000700000006</v>
      </c>
    </row>
    <row r="4109" spans="2:4" x14ac:dyDescent="0.2">
      <c r="B4109" s="876">
        <v>4931</v>
      </c>
      <c r="C4109" s="876" t="s">
        <v>4876</v>
      </c>
      <c r="D4109" s="851">
        <v>696.44999199999995</v>
      </c>
    </row>
    <row r="4110" spans="2:4" x14ac:dyDescent="0.2">
      <c r="B4110" s="876">
        <v>4932</v>
      </c>
      <c r="C4110" s="876" t="s">
        <v>4877</v>
      </c>
      <c r="D4110" s="851">
        <v>681.26315499999998</v>
      </c>
    </row>
    <row r="4111" spans="2:4" x14ac:dyDescent="0.2">
      <c r="B4111" s="876">
        <v>4933</v>
      </c>
      <c r="C4111" s="876" t="s">
        <v>4878</v>
      </c>
      <c r="D4111" s="851">
        <v>709</v>
      </c>
    </row>
    <row r="4112" spans="2:4" x14ac:dyDescent="0.2">
      <c r="B4112" s="876">
        <v>4934</v>
      </c>
      <c r="C4112" s="876" t="s">
        <v>3187</v>
      </c>
      <c r="D4112" s="851">
        <v>711.51111500000002</v>
      </c>
    </row>
    <row r="4113" spans="2:4" x14ac:dyDescent="0.2">
      <c r="B4113" s="876">
        <v>4935</v>
      </c>
      <c r="C4113" s="876" t="s">
        <v>4879</v>
      </c>
      <c r="D4113" s="851">
        <v>699.36000100000001</v>
      </c>
    </row>
    <row r="4114" spans="2:4" x14ac:dyDescent="0.2">
      <c r="B4114" s="876">
        <v>4936</v>
      </c>
      <c r="C4114" s="876" t="s">
        <v>4880</v>
      </c>
      <c r="D4114" s="851">
        <v>644.17498799999998</v>
      </c>
    </row>
    <row r="4115" spans="2:4" x14ac:dyDescent="0.2">
      <c r="B4115" s="876">
        <v>4937</v>
      </c>
      <c r="C4115" s="876" t="s">
        <v>4881</v>
      </c>
      <c r="D4115" s="851">
        <v>715.95001200000002</v>
      </c>
    </row>
    <row r="4116" spans="2:4" x14ac:dyDescent="0.2">
      <c r="B4116" s="876">
        <v>4938</v>
      </c>
      <c r="C4116" s="876" t="s">
        <v>4882</v>
      </c>
      <c r="D4116" s="851">
        <v>663.15714800000001</v>
      </c>
    </row>
    <row r="4117" spans="2:4" x14ac:dyDescent="0.2">
      <c r="B4117" s="876">
        <v>4939</v>
      </c>
      <c r="C4117" s="876" t="s">
        <v>4883</v>
      </c>
      <c r="D4117" s="851">
        <v>687.28181600000005</v>
      </c>
    </row>
    <row r="4118" spans="2:4" x14ac:dyDescent="0.2">
      <c r="B4118" s="876">
        <v>4940</v>
      </c>
      <c r="C4118" s="876" t="s">
        <v>4884</v>
      </c>
      <c r="D4118" s="851">
        <v>659.36667899999998</v>
      </c>
    </row>
    <row r="4119" spans="2:4" x14ac:dyDescent="0.2">
      <c r="B4119" s="876">
        <v>4941</v>
      </c>
      <c r="C4119" s="876" t="s">
        <v>4885</v>
      </c>
      <c r="D4119" s="851">
        <v>666.04614700000002</v>
      </c>
    </row>
    <row r="4120" spans="2:4" x14ac:dyDescent="0.2">
      <c r="B4120" s="876">
        <v>4942</v>
      </c>
      <c r="C4120" s="876" t="s">
        <v>4886</v>
      </c>
      <c r="D4120" s="851">
        <v>650.70000000000005</v>
      </c>
    </row>
    <row r="4121" spans="2:4" x14ac:dyDescent="0.2">
      <c r="B4121" s="876">
        <v>4943</v>
      </c>
      <c r="C4121" s="876" t="s">
        <v>4887</v>
      </c>
      <c r="D4121" s="851">
        <v>684.82000100000005</v>
      </c>
    </row>
    <row r="4122" spans="2:4" x14ac:dyDescent="0.2">
      <c r="B4122" s="876">
        <v>4944</v>
      </c>
      <c r="C4122" s="876" t="s">
        <v>4888</v>
      </c>
      <c r="D4122" s="851">
        <v>657.77778499999999</v>
      </c>
    </row>
    <row r="4123" spans="2:4" x14ac:dyDescent="0.2">
      <c r="B4123" s="876">
        <v>4945</v>
      </c>
      <c r="C4123" s="876" t="s">
        <v>4889</v>
      </c>
      <c r="D4123" s="851">
        <v>640.14666299999999</v>
      </c>
    </row>
    <row r="4124" spans="2:4" x14ac:dyDescent="0.2">
      <c r="B4124" s="876">
        <v>4946</v>
      </c>
      <c r="C4124" s="876" t="s">
        <v>4890</v>
      </c>
      <c r="D4124" s="851">
        <v>608.63334099999997</v>
      </c>
    </row>
    <row r="4125" spans="2:4" x14ac:dyDescent="0.2">
      <c r="B4125" s="876">
        <v>4947</v>
      </c>
      <c r="C4125" s="876" t="s">
        <v>4891</v>
      </c>
      <c r="D4125" s="851">
        <v>631.42500299999995</v>
      </c>
    </row>
    <row r="4126" spans="2:4" x14ac:dyDescent="0.2">
      <c r="B4126" s="876">
        <v>4948</v>
      </c>
      <c r="C4126" s="876" t="s">
        <v>4892</v>
      </c>
      <c r="D4126" s="851">
        <v>672.51430800000003</v>
      </c>
    </row>
    <row r="4127" spans="2:4" x14ac:dyDescent="0.2">
      <c r="B4127" s="876">
        <v>4949</v>
      </c>
      <c r="C4127" s="876" t="s">
        <v>2225</v>
      </c>
      <c r="D4127" s="851">
        <v>668.31363499999998</v>
      </c>
    </row>
    <row r="4128" spans="2:4" x14ac:dyDescent="0.2">
      <c r="B4128" s="876">
        <v>4950</v>
      </c>
      <c r="C4128" s="876" t="s">
        <v>4893</v>
      </c>
      <c r="D4128" s="851">
        <v>675.29998799999998</v>
      </c>
    </row>
    <row r="4129" spans="2:4" x14ac:dyDescent="0.2">
      <c r="B4129" s="876">
        <v>4951</v>
      </c>
      <c r="C4129" s="876" t="s">
        <v>2678</v>
      </c>
      <c r="D4129" s="851">
        <v>590.59997599999997</v>
      </c>
    </row>
    <row r="4130" spans="2:4" x14ac:dyDescent="0.2">
      <c r="B4130" s="876">
        <v>4952</v>
      </c>
      <c r="C4130" s="876" t="s">
        <v>4894</v>
      </c>
      <c r="D4130" s="851">
        <v>676.66249800000003</v>
      </c>
    </row>
    <row r="4131" spans="2:4" x14ac:dyDescent="0.2">
      <c r="B4131" s="876">
        <v>4953</v>
      </c>
      <c r="C4131" s="876" t="s">
        <v>4895</v>
      </c>
      <c r="D4131" s="851">
        <v>653.89999699999998</v>
      </c>
    </row>
    <row r="4132" spans="2:4" x14ac:dyDescent="0.2">
      <c r="B4132" s="876">
        <v>4954</v>
      </c>
      <c r="C4132" s="876" t="s">
        <v>4896</v>
      </c>
      <c r="D4132" s="851">
        <v>636.733341</v>
      </c>
    </row>
    <row r="4133" spans="2:4" x14ac:dyDescent="0.2">
      <c r="B4133" s="876">
        <v>4955</v>
      </c>
      <c r="C4133" s="876" t="s">
        <v>4897</v>
      </c>
      <c r="D4133" s="851">
        <v>727.25714100000005</v>
      </c>
    </row>
    <row r="4134" spans="2:4" x14ac:dyDescent="0.2">
      <c r="B4134" s="876">
        <v>4956</v>
      </c>
      <c r="C4134" s="876" t="s">
        <v>2583</v>
      </c>
      <c r="D4134" s="851">
        <v>712.10000600000001</v>
      </c>
    </row>
    <row r="4135" spans="2:4" x14ac:dyDescent="0.2">
      <c r="B4135" s="876">
        <v>4957</v>
      </c>
      <c r="C4135" s="876" t="s">
        <v>4898</v>
      </c>
      <c r="D4135" s="851">
        <v>761.09999800000003</v>
      </c>
    </row>
    <row r="4136" spans="2:4" x14ac:dyDescent="0.2">
      <c r="B4136" s="876">
        <v>4958</v>
      </c>
      <c r="C4136" s="876" t="s">
        <v>4899</v>
      </c>
      <c r="D4136" s="851">
        <v>755.25</v>
      </c>
    </row>
    <row r="4137" spans="2:4" x14ac:dyDescent="0.2">
      <c r="B4137" s="876">
        <v>4959</v>
      </c>
      <c r="C4137" s="876" t="s">
        <v>4900</v>
      </c>
      <c r="D4137" s="851">
        <v>712.55000299999995</v>
      </c>
    </row>
    <row r="4138" spans="2:4" x14ac:dyDescent="0.2">
      <c r="B4138" s="876">
        <v>4960</v>
      </c>
      <c r="C4138" s="876" t="s">
        <v>4444</v>
      </c>
      <c r="D4138" s="851">
        <v>721.39998400000002</v>
      </c>
    </row>
    <row r="4139" spans="2:4" x14ac:dyDescent="0.2">
      <c r="B4139" s="876">
        <v>4961</v>
      </c>
      <c r="C4139" s="876" t="s">
        <v>4901</v>
      </c>
      <c r="D4139" s="851">
        <v>712.27499399999999</v>
      </c>
    </row>
    <row r="4140" spans="2:4" x14ac:dyDescent="0.2">
      <c r="B4140" s="876">
        <v>4962</v>
      </c>
      <c r="C4140" s="876" t="s">
        <v>4902</v>
      </c>
      <c r="D4140" s="851">
        <v>724.43332899999996</v>
      </c>
    </row>
    <row r="4141" spans="2:4" x14ac:dyDescent="0.2">
      <c r="B4141" s="876">
        <v>4963</v>
      </c>
      <c r="C4141" s="876" t="s">
        <v>4903</v>
      </c>
      <c r="D4141" s="851">
        <v>743.56667100000004</v>
      </c>
    </row>
    <row r="4142" spans="2:4" x14ac:dyDescent="0.2">
      <c r="B4142" s="876">
        <v>4964</v>
      </c>
      <c r="C4142" s="876" t="s">
        <v>4904</v>
      </c>
      <c r="D4142" s="851">
        <v>748.77499399999999</v>
      </c>
    </row>
    <row r="4143" spans="2:4" x14ac:dyDescent="0.2">
      <c r="B4143" s="876">
        <v>4965</v>
      </c>
      <c r="C4143" s="876" t="s">
        <v>4905</v>
      </c>
      <c r="D4143" s="851">
        <v>714.85999800000002</v>
      </c>
    </row>
    <row r="4144" spans="2:4" x14ac:dyDescent="0.2">
      <c r="B4144" s="876">
        <v>4966</v>
      </c>
      <c r="C4144" s="876" t="s">
        <v>4906</v>
      </c>
      <c r="D4144" s="851">
        <v>718.77499399999999</v>
      </c>
    </row>
    <row r="4145" spans="2:4" x14ac:dyDescent="0.2">
      <c r="B4145" s="876">
        <v>4967</v>
      </c>
      <c r="C4145" s="876" t="s">
        <v>4907</v>
      </c>
      <c r="D4145" s="851">
        <v>767.13334099999997</v>
      </c>
    </row>
    <row r="4146" spans="2:4" x14ac:dyDescent="0.2">
      <c r="B4146" s="876">
        <v>4968</v>
      </c>
      <c r="C4146" s="876" t="s">
        <v>4908</v>
      </c>
      <c r="D4146" s="851">
        <v>760.79999799999996</v>
      </c>
    </row>
    <row r="4147" spans="2:4" x14ac:dyDescent="0.2">
      <c r="B4147" s="876">
        <v>4969</v>
      </c>
      <c r="C4147" s="876" t="s">
        <v>4909</v>
      </c>
      <c r="D4147" s="851">
        <v>709.96667500000001</v>
      </c>
    </row>
    <row r="4148" spans="2:4" x14ac:dyDescent="0.2">
      <c r="B4148" s="876">
        <v>4970</v>
      </c>
      <c r="C4148" s="876" t="s">
        <v>4910</v>
      </c>
      <c r="D4148" s="851">
        <v>710.514274</v>
      </c>
    </row>
    <row r="4149" spans="2:4" x14ac:dyDescent="0.2">
      <c r="B4149" s="876">
        <v>4971</v>
      </c>
      <c r="C4149" s="876" t="s">
        <v>4911</v>
      </c>
      <c r="D4149" s="851">
        <v>744.63332600000001</v>
      </c>
    </row>
    <row r="4150" spans="2:4" x14ac:dyDescent="0.2">
      <c r="B4150" s="876">
        <v>4972</v>
      </c>
      <c r="C4150" s="876" t="s">
        <v>4912</v>
      </c>
      <c r="D4150" s="851">
        <v>702.69999199999995</v>
      </c>
    </row>
    <row r="4151" spans="2:4" x14ac:dyDescent="0.2">
      <c r="B4151" s="876">
        <v>4973</v>
      </c>
      <c r="C4151" s="876" t="s">
        <v>4913</v>
      </c>
      <c r="D4151" s="851">
        <v>699.65713900000003</v>
      </c>
    </row>
    <row r="4152" spans="2:4" x14ac:dyDescent="0.2">
      <c r="B4152" s="876">
        <v>4974</v>
      </c>
      <c r="C4152" s="876" t="s">
        <v>4914</v>
      </c>
      <c r="D4152" s="851">
        <v>706.59999600000003</v>
      </c>
    </row>
    <row r="4153" spans="2:4" x14ac:dyDescent="0.2">
      <c r="B4153" s="876">
        <v>4975</v>
      </c>
      <c r="C4153" s="876" t="s">
        <v>4915</v>
      </c>
      <c r="D4153" s="851">
        <v>786.64000199999998</v>
      </c>
    </row>
    <row r="4154" spans="2:4" x14ac:dyDescent="0.2">
      <c r="B4154" s="876">
        <v>4976</v>
      </c>
      <c r="C4154" s="876" t="s">
        <v>4916</v>
      </c>
      <c r="D4154" s="851">
        <v>708.60000600000001</v>
      </c>
    </row>
    <row r="4155" spans="2:4" x14ac:dyDescent="0.2">
      <c r="B4155" s="876">
        <v>5001</v>
      </c>
      <c r="C4155" s="876" t="s">
        <v>4273</v>
      </c>
      <c r="D4155" s="851">
        <v>769.98001099999999</v>
      </c>
    </row>
    <row r="4156" spans="2:4" x14ac:dyDescent="0.2">
      <c r="B4156" s="876">
        <v>5002</v>
      </c>
      <c r="C4156" s="876" t="s">
        <v>4917</v>
      </c>
      <c r="D4156" s="851">
        <v>799.39999399999999</v>
      </c>
    </row>
    <row r="4157" spans="2:4" x14ac:dyDescent="0.2">
      <c r="B4157" s="876">
        <v>5003</v>
      </c>
      <c r="C4157" s="876" t="s">
        <v>4918</v>
      </c>
      <c r="D4157" s="851">
        <v>798.2</v>
      </c>
    </row>
    <row r="4158" spans="2:4" x14ac:dyDescent="0.2">
      <c r="B4158" s="876">
        <v>5004</v>
      </c>
      <c r="C4158" s="876" t="s">
        <v>4919</v>
      </c>
      <c r="D4158" s="851">
        <v>791.28333499999997</v>
      </c>
    </row>
    <row r="4159" spans="2:4" x14ac:dyDescent="0.2">
      <c r="B4159" s="876">
        <v>5005</v>
      </c>
      <c r="C4159" s="876" t="s">
        <v>4920</v>
      </c>
      <c r="D4159" s="851">
        <v>849.80001800000002</v>
      </c>
    </row>
    <row r="4160" spans="2:4" x14ac:dyDescent="0.2">
      <c r="B4160" s="876">
        <v>5006</v>
      </c>
      <c r="C4160" s="876" t="s">
        <v>4208</v>
      </c>
      <c r="D4160" s="851">
        <v>816.70769800000005</v>
      </c>
    </row>
    <row r="4161" spans="2:4" x14ac:dyDescent="0.2">
      <c r="B4161" s="876">
        <v>5007</v>
      </c>
      <c r="C4161" s="876" t="s">
        <v>4921</v>
      </c>
      <c r="D4161" s="851">
        <v>791.875</v>
      </c>
    </row>
    <row r="4162" spans="2:4" x14ac:dyDescent="0.2">
      <c r="B4162" s="876">
        <v>5008</v>
      </c>
      <c r="C4162" s="876" t="s">
        <v>4922</v>
      </c>
      <c r="D4162" s="851">
        <v>717.89999399999999</v>
      </c>
    </row>
    <row r="4163" spans="2:4" x14ac:dyDescent="0.2">
      <c r="B4163" s="876">
        <v>5009</v>
      </c>
      <c r="C4163" s="876" t="s">
        <v>4923</v>
      </c>
      <c r="D4163" s="851">
        <v>759.8125</v>
      </c>
    </row>
    <row r="4164" spans="2:4" x14ac:dyDescent="0.2">
      <c r="B4164" s="876">
        <v>5010</v>
      </c>
      <c r="C4164" s="876" t="s">
        <v>4219</v>
      </c>
      <c r="D4164" s="851">
        <v>717.07777199999998</v>
      </c>
    </row>
    <row r="4165" spans="2:4" x14ac:dyDescent="0.2">
      <c r="B4165" s="876">
        <v>5011</v>
      </c>
      <c r="C4165" s="876" t="s">
        <v>4924</v>
      </c>
      <c r="D4165" s="851">
        <v>786.07499700000005</v>
      </c>
    </row>
    <row r="4166" spans="2:4" x14ac:dyDescent="0.2">
      <c r="B4166" s="876">
        <v>5012</v>
      </c>
      <c r="C4166" s="876" t="s">
        <v>2767</v>
      </c>
      <c r="D4166" s="851">
        <v>743.87142500000004</v>
      </c>
    </row>
    <row r="4167" spans="2:4" x14ac:dyDescent="0.2">
      <c r="B4167" s="876">
        <v>5013</v>
      </c>
      <c r="C4167" s="876" t="s">
        <v>4925</v>
      </c>
      <c r="D4167" s="851">
        <v>749.39999399999999</v>
      </c>
    </row>
    <row r="4168" spans="2:4" x14ac:dyDescent="0.2">
      <c r="B4168" s="876">
        <v>5014</v>
      </c>
      <c r="C4168" s="876" t="s">
        <v>1925</v>
      </c>
      <c r="D4168" s="851">
        <v>852.866669</v>
      </c>
    </row>
    <row r="4169" spans="2:4" x14ac:dyDescent="0.2">
      <c r="B4169" s="876">
        <v>5015</v>
      </c>
      <c r="C4169" s="876" t="s">
        <v>4926</v>
      </c>
      <c r="D4169" s="851">
        <v>738.44999700000005</v>
      </c>
    </row>
    <row r="4170" spans="2:4" x14ac:dyDescent="0.2">
      <c r="B4170" s="876">
        <v>5016</v>
      </c>
      <c r="C4170" s="876" t="s">
        <v>4927</v>
      </c>
      <c r="D4170" s="851">
        <v>713.04998799999998</v>
      </c>
    </row>
    <row r="4171" spans="2:4" x14ac:dyDescent="0.2">
      <c r="B4171" s="876">
        <v>5017</v>
      </c>
      <c r="C4171" s="876" t="s">
        <v>4928</v>
      </c>
      <c r="D4171" s="851">
        <v>733.85000600000001</v>
      </c>
    </row>
    <row r="4172" spans="2:4" x14ac:dyDescent="0.2">
      <c r="B4172" s="876">
        <v>5018</v>
      </c>
      <c r="C4172" s="876" t="s">
        <v>4929</v>
      </c>
      <c r="D4172" s="851">
        <v>795.53636600000004</v>
      </c>
    </row>
    <row r="4173" spans="2:4" x14ac:dyDescent="0.2">
      <c r="B4173" s="876">
        <v>5019</v>
      </c>
      <c r="C4173" s="876" t="s">
        <v>4930</v>
      </c>
      <c r="D4173" s="851">
        <v>789.40001199999995</v>
      </c>
    </row>
    <row r="4174" spans="2:4" x14ac:dyDescent="0.2">
      <c r="B4174" s="876">
        <v>5020</v>
      </c>
      <c r="C4174" s="876" t="s">
        <v>4931</v>
      </c>
      <c r="D4174" s="851">
        <v>785.64999399999999</v>
      </c>
    </row>
    <row r="4175" spans="2:4" x14ac:dyDescent="0.2">
      <c r="B4175" s="876">
        <v>5021</v>
      </c>
      <c r="C4175" s="876" t="s">
        <v>4932</v>
      </c>
      <c r="D4175" s="851">
        <v>706.36665900000003</v>
      </c>
    </row>
    <row r="4176" spans="2:4" x14ac:dyDescent="0.2">
      <c r="B4176" s="876">
        <v>5022</v>
      </c>
      <c r="C4176" s="876" t="s">
        <v>4933</v>
      </c>
      <c r="D4176" s="851">
        <v>797.10999100000004</v>
      </c>
    </row>
    <row r="4177" spans="2:4" x14ac:dyDescent="0.2">
      <c r="B4177" s="876">
        <v>5023</v>
      </c>
      <c r="C4177" s="876" t="s">
        <v>4934</v>
      </c>
      <c r="D4177" s="851">
        <v>751.1</v>
      </c>
    </row>
    <row r="4178" spans="2:4" x14ac:dyDescent="0.2">
      <c r="B4178" s="876">
        <v>5024</v>
      </c>
      <c r="C4178" s="876" t="s">
        <v>4935</v>
      </c>
      <c r="D4178" s="851">
        <v>837.74545000000001</v>
      </c>
    </row>
    <row r="4179" spans="2:4" x14ac:dyDescent="0.2">
      <c r="B4179" s="876">
        <v>5025</v>
      </c>
      <c r="C4179" s="876" t="s">
        <v>4936</v>
      </c>
      <c r="D4179" s="851">
        <v>785.07501200000002</v>
      </c>
    </row>
    <row r="4180" spans="2:4" x14ac:dyDescent="0.2">
      <c r="B4180" s="876">
        <v>5026</v>
      </c>
      <c r="C4180" s="876" t="s">
        <v>4937</v>
      </c>
      <c r="D4180" s="851">
        <v>825.00001499999996</v>
      </c>
    </row>
    <row r="4181" spans="2:4" x14ac:dyDescent="0.2">
      <c r="B4181" s="876">
        <v>5027</v>
      </c>
      <c r="C4181" s="876" t="s">
        <v>4938</v>
      </c>
      <c r="D4181" s="851">
        <v>839.28750600000001</v>
      </c>
    </row>
    <row r="4182" spans="2:4" x14ac:dyDescent="0.2">
      <c r="B4182" s="876">
        <v>5028</v>
      </c>
      <c r="C4182" s="876" t="s">
        <v>4939</v>
      </c>
      <c r="D4182" s="851">
        <v>886.09997599999997</v>
      </c>
    </row>
    <row r="4183" spans="2:4" x14ac:dyDescent="0.2">
      <c r="B4183" s="876">
        <v>5029</v>
      </c>
      <c r="C4183" s="876" t="s">
        <v>4940</v>
      </c>
      <c r="D4183" s="851">
        <v>695.86667199999999</v>
      </c>
    </row>
    <row r="4184" spans="2:4" x14ac:dyDescent="0.2">
      <c r="B4184" s="876">
        <v>5030</v>
      </c>
      <c r="C4184" s="876" t="s">
        <v>4941</v>
      </c>
      <c r="D4184" s="851">
        <v>746.86667899999998</v>
      </c>
    </row>
    <row r="4185" spans="2:4" x14ac:dyDescent="0.2">
      <c r="B4185" s="876">
        <v>5031</v>
      </c>
      <c r="C4185" s="876" t="s">
        <v>4942</v>
      </c>
      <c r="D4185" s="851">
        <v>671.35001399999999</v>
      </c>
    </row>
    <row r="4186" spans="2:4" x14ac:dyDescent="0.2">
      <c r="B4186" s="876">
        <v>5032</v>
      </c>
      <c r="C4186" s="876" t="s">
        <v>4943</v>
      </c>
      <c r="D4186" s="851">
        <v>715.03637100000003</v>
      </c>
    </row>
    <row r="4187" spans="2:4" x14ac:dyDescent="0.2">
      <c r="B4187" s="876">
        <v>5033</v>
      </c>
      <c r="C4187" s="876" t="s">
        <v>4944</v>
      </c>
      <c r="D4187" s="851">
        <v>674.03998999999999</v>
      </c>
    </row>
    <row r="4188" spans="2:4" x14ac:dyDescent="0.2">
      <c r="B4188" s="876">
        <v>5034</v>
      </c>
      <c r="C4188" s="876" t="s">
        <v>4945</v>
      </c>
      <c r="D4188" s="851">
        <v>682.40000399999997</v>
      </c>
    </row>
    <row r="4189" spans="2:4" x14ac:dyDescent="0.2">
      <c r="B4189" s="876">
        <v>5035</v>
      </c>
      <c r="C4189" s="876" t="s">
        <v>4946</v>
      </c>
      <c r="D4189" s="851">
        <v>681.51999499999999</v>
      </c>
    </row>
    <row r="4190" spans="2:4" x14ac:dyDescent="0.2">
      <c r="B4190" s="876">
        <v>5036</v>
      </c>
      <c r="C4190" s="876" t="s">
        <v>4947</v>
      </c>
      <c r="D4190" s="851">
        <v>656.70908999999995</v>
      </c>
    </row>
    <row r="4191" spans="2:4" x14ac:dyDescent="0.2">
      <c r="B4191" s="876">
        <v>5037</v>
      </c>
      <c r="C4191" s="876" t="s">
        <v>4948</v>
      </c>
      <c r="D4191" s="851">
        <v>840.74999500000001</v>
      </c>
    </row>
    <row r="4192" spans="2:4" x14ac:dyDescent="0.2">
      <c r="B4192" s="876">
        <v>5038</v>
      </c>
      <c r="C4192" s="876" t="s">
        <v>4949</v>
      </c>
      <c r="D4192" s="851">
        <v>736.47143600000004</v>
      </c>
    </row>
    <row r="4193" spans="2:4" x14ac:dyDescent="0.2">
      <c r="B4193" s="876">
        <v>5039</v>
      </c>
      <c r="C4193" s="876" t="s">
        <v>4950</v>
      </c>
      <c r="D4193" s="851">
        <v>709.90002400000003</v>
      </c>
    </row>
    <row r="4194" spans="2:4" x14ac:dyDescent="0.2">
      <c r="B4194" s="876">
        <v>5040</v>
      </c>
      <c r="C4194" s="876" t="s">
        <v>4951</v>
      </c>
      <c r="D4194" s="851">
        <v>777.10999800000002</v>
      </c>
    </row>
    <row r="4195" spans="2:4" x14ac:dyDescent="0.2">
      <c r="B4195" s="876">
        <v>5041</v>
      </c>
      <c r="C4195" s="876" t="s">
        <v>4952</v>
      </c>
      <c r="D4195" s="851">
        <v>687.73846000000003</v>
      </c>
    </row>
    <row r="4196" spans="2:4" x14ac:dyDescent="0.2">
      <c r="B4196" s="876">
        <v>5042</v>
      </c>
      <c r="C4196" s="876" t="s">
        <v>4953</v>
      </c>
      <c r="D4196" s="851">
        <v>879.55715499999997</v>
      </c>
    </row>
    <row r="4197" spans="2:4" x14ac:dyDescent="0.2">
      <c r="B4197" s="876">
        <v>5043</v>
      </c>
      <c r="C4197" s="876" t="s">
        <v>4954</v>
      </c>
      <c r="D4197" s="851">
        <v>828.84999100000005</v>
      </c>
    </row>
    <row r="4198" spans="2:4" x14ac:dyDescent="0.2">
      <c r="B4198" s="876">
        <v>5044</v>
      </c>
      <c r="C4198" s="876" t="s">
        <v>4955</v>
      </c>
      <c r="D4198" s="851">
        <v>790.84999600000003</v>
      </c>
    </row>
    <row r="4199" spans="2:4" x14ac:dyDescent="0.2">
      <c r="B4199" s="876">
        <v>5045</v>
      </c>
      <c r="C4199" s="876" t="s">
        <v>4956</v>
      </c>
      <c r="D4199" s="851">
        <v>728.49998800000003</v>
      </c>
    </row>
    <row r="4200" spans="2:4" x14ac:dyDescent="0.2">
      <c r="B4200" s="876">
        <v>5046</v>
      </c>
      <c r="C4200" s="876" t="s">
        <v>4957</v>
      </c>
      <c r="D4200" s="851">
        <v>768.90000599999996</v>
      </c>
    </row>
    <row r="4201" spans="2:4" x14ac:dyDescent="0.2">
      <c r="B4201" s="876">
        <v>5047</v>
      </c>
      <c r="C4201" s="876" t="s">
        <v>2131</v>
      </c>
      <c r="D4201" s="851">
        <v>806.27333599999997</v>
      </c>
    </row>
    <row r="4202" spans="2:4" x14ac:dyDescent="0.2">
      <c r="B4202" s="876">
        <v>5048</v>
      </c>
      <c r="C4202" s="876" t="s">
        <v>4958</v>
      </c>
      <c r="D4202" s="851">
        <v>831.42222100000004</v>
      </c>
    </row>
    <row r="4203" spans="2:4" x14ac:dyDescent="0.2">
      <c r="B4203" s="876">
        <v>5049</v>
      </c>
      <c r="C4203" s="876" t="s">
        <v>4959</v>
      </c>
      <c r="D4203" s="851">
        <v>796.23846400000002</v>
      </c>
    </row>
    <row r="4204" spans="2:4" x14ac:dyDescent="0.2">
      <c r="B4204" s="876">
        <v>5050</v>
      </c>
      <c r="C4204" s="876" t="s">
        <v>4820</v>
      </c>
      <c r="D4204" s="851">
        <v>771.366669</v>
      </c>
    </row>
    <row r="4205" spans="2:4" x14ac:dyDescent="0.2">
      <c r="B4205" s="876">
        <v>5051</v>
      </c>
      <c r="C4205" s="876" t="s">
        <v>4057</v>
      </c>
      <c r="D4205" s="851">
        <v>782.05998499999998</v>
      </c>
    </row>
    <row r="4206" spans="2:4" x14ac:dyDescent="0.2">
      <c r="B4206" s="876">
        <v>5052</v>
      </c>
      <c r="C4206" s="876" t="s">
        <v>4960</v>
      </c>
      <c r="D4206" s="851">
        <v>782.485726</v>
      </c>
    </row>
    <row r="4207" spans="2:4" x14ac:dyDescent="0.2">
      <c r="B4207" s="876">
        <v>5053</v>
      </c>
      <c r="C4207" s="876" t="s">
        <v>4961</v>
      </c>
      <c r="D4207" s="851">
        <v>783.64000899999996</v>
      </c>
    </row>
    <row r="4208" spans="2:4" x14ac:dyDescent="0.2">
      <c r="B4208" s="876">
        <v>5054</v>
      </c>
      <c r="C4208" s="876" t="s">
        <v>4962</v>
      </c>
      <c r="D4208" s="851">
        <v>801.66999499999997</v>
      </c>
    </row>
    <row r="4209" spans="2:4" x14ac:dyDescent="0.2">
      <c r="B4209" s="876">
        <v>5055</v>
      </c>
      <c r="C4209" s="876" t="s">
        <v>4963</v>
      </c>
      <c r="D4209" s="851">
        <v>744.41999499999997</v>
      </c>
    </row>
    <row r="4210" spans="2:4" x14ac:dyDescent="0.2">
      <c r="B4210" s="876">
        <v>5056</v>
      </c>
      <c r="C4210" s="876" t="s">
        <v>4964</v>
      </c>
      <c r="D4210" s="851">
        <v>802.90000399999997</v>
      </c>
    </row>
    <row r="4211" spans="2:4" x14ac:dyDescent="0.2">
      <c r="B4211" s="876">
        <v>5057</v>
      </c>
      <c r="C4211" s="876" t="s">
        <v>4965</v>
      </c>
      <c r="D4211" s="851">
        <v>789.87037299999997</v>
      </c>
    </row>
    <row r="4212" spans="2:4" x14ac:dyDescent="0.2">
      <c r="B4212" s="876">
        <v>5058</v>
      </c>
      <c r="C4212" s="876" t="s">
        <v>4966</v>
      </c>
      <c r="D4212" s="851">
        <v>772.827271</v>
      </c>
    </row>
    <row r="4213" spans="2:4" x14ac:dyDescent="0.2">
      <c r="B4213" s="876">
        <v>5059</v>
      </c>
      <c r="C4213" s="876" t="s">
        <v>4967</v>
      </c>
      <c r="D4213" s="851">
        <v>773.53571399999998</v>
      </c>
    </row>
    <row r="4214" spans="2:4" x14ac:dyDescent="0.2">
      <c r="B4214" s="876">
        <v>5060</v>
      </c>
      <c r="C4214" s="876" t="s">
        <v>4968</v>
      </c>
      <c r="D4214" s="851">
        <v>742.53635499999996</v>
      </c>
    </row>
    <row r="4215" spans="2:4" x14ac:dyDescent="0.2">
      <c r="B4215" s="876">
        <v>5061</v>
      </c>
      <c r="C4215" s="876" t="s">
        <v>4969</v>
      </c>
      <c r="D4215" s="851">
        <v>752.19999700000005</v>
      </c>
    </row>
    <row r="4216" spans="2:4" x14ac:dyDescent="0.2">
      <c r="B4216" s="876">
        <v>5062</v>
      </c>
      <c r="C4216" s="876" t="s">
        <v>4970</v>
      </c>
      <c r="D4216" s="851">
        <v>738.06667100000004</v>
      </c>
    </row>
    <row r="4217" spans="2:4" x14ac:dyDescent="0.2">
      <c r="B4217" s="876">
        <v>5063</v>
      </c>
      <c r="C4217" s="876" t="s">
        <v>4971</v>
      </c>
      <c r="D4217" s="851">
        <v>759.04999499999997</v>
      </c>
    </row>
    <row r="4218" spans="2:4" x14ac:dyDescent="0.2">
      <c r="B4218" s="876">
        <v>5064</v>
      </c>
      <c r="C4218" s="876" t="s">
        <v>4972</v>
      </c>
      <c r="D4218" s="851">
        <v>805.70832800000005</v>
      </c>
    </row>
    <row r="4219" spans="2:4" x14ac:dyDescent="0.2">
      <c r="B4219" s="876">
        <v>5065</v>
      </c>
      <c r="C4219" s="876" t="s">
        <v>2156</v>
      </c>
      <c r="D4219" s="851">
        <v>697.91249500000004</v>
      </c>
    </row>
    <row r="4220" spans="2:4" x14ac:dyDescent="0.2">
      <c r="B4220" s="876">
        <v>5066</v>
      </c>
      <c r="C4220" s="876" t="s">
        <v>4973</v>
      </c>
      <c r="D4220" s="851">
        <v>873.76666299999999</v>
      </c>
    </row>
    <row r="4221" spans="2:4" x14ac:dyDescent="0.2">
      <c r="B4221" s="876">
        <v>5067</v>
      </c>
      <c r="C4221" s="876" t="s">
        <v>4974</v>
      </c>
      <c r="D4221" s="851">
        <v>812.73999800000001</v>
      </c>
    </row>
    <row r="4222" spans="2:4" x14ac:dyDescent="0.2">
      <c r="B4222" s="876">
        <v>5068</v>
      </c>
      <c r="C4222" s="876" t="s">
        <v>4975</v>
      </c>
      <c r="D4222" s="851">
        <v>931.86428799999999</v>
      </c>
    </row>
    <row r="4223" spans="2:4" x14ac:dyDescent="0.2">
      <c r="B4223" s="876">
        <v>5069</v>
      </c>
      <c r="C4223" s="876" t="s">
        <v>4976</v>
      </c>
      <c r="D4223" s="851">
        <v>1102.1555510000001</v>
      </c>
    </row>
    <row r="4224" spans="2:4" x14ac:dyDescent="0.2">
      <c r="B4224" s="876">
        <v>5070</v>
      </c>
      <c r="C4224" s="876" t="s">
        <v>4977</v>
      </c>
      <c r="D4224" s="851">
        <v>932.39999399999999</v>
      </c>
    </row>
    <row r="4225" spans="2:4" x14ac:dyDescent="0.2">
      <c r="B4225" s="876">
        <v>5071</v>
      </c>
      <c r="C4225" s="876" t="s">
        <v>4978</v>
      </c>
      <c r="D4225" s="851">
        <v>687</v>
      </c>
    </row>
    <row r="4226" spans="2:4" x14ac:dyDescent="0.2">
      <c r="B4226" s="876">
        <v>5072</v>
      </c>
      <c r="C4226" s="876" t="s">
        <v>4979</v>
      </c>
      <c r="D4226" s="851">
        <v>681.875</v>
      </c>
    </row>
    <row r="4227" spans="2:4" x14ac:dyDescent="0.2">
      <c r="B4227" s="876">
        <v>5073</v>
      </c>
      <c r="C4227" s="876" t="s">
        <v>4980</v>
      </c>
      <c r="D4227" s="851">
        <v>680.63636599999995</v>
      </c>
    </row>
    <row r="4228" spans="2:4" x14ac:dyDescent="0.2">
      <c r="B4228" s="876">
        <v>5074</v>
      </c>
      <c r="C4228" s="876" t="s">
        <v>4981</v>
      </c>
      <c r="D4228" s="851">
        <v>675.73750299999995</v>
      </c>
    </row>
    <row r="4229" spans="2:4" x14ac:dyDescent="0.2">
      <c r="B4229" s="876">
        <v>5075</v>
      </c>
      <c r="C4229" s="876" t="s">
        <v>4982</v>
      </c>
      <c r="D4229" s="851">
        <v>680.2</v>
      </c>
    </row>
    <row r="4230" spans="2:4" x14ac:dyDescent="0.2">
      <c r="B4230" s="876">
        <v>5076</v>
      </c>
      <c r="C4230" s="876" t="s">
        <v>4983</v>
      </c>
      <c r="D4230" s="851">
        <v>664.35</v>
      </c>
    </row>
    <row r="4231" spans="2:4" x14ac:dyDescent="0.2">
      <c r="B4231" s="876">
        <v>5077</v>
      </c>
      <c r="C4231" s="876" t="s">
        <v>4984</v>
      </c>
      <c r="D4231" s="851">
        <v>650.80000800000005</v>
      </c>
    </row>
    <row r="4232" spans="2:4" x14ac:dyDescent="0.2">
      <c r="B4232" s="876">
        <v>5078</v>
      </c>
      <c r="C4232" s="876" t="s">
        <v>4985</v>
      </c>
      <c r="D4232" s="851">
        <v>675.28000499999996</v>
      </c>
    </row>
    <row r="4233" spans="2:4" x14ac:dyDescent="0.2">
      <c r="B4233" s="876">
        <v>5079</v>
      </c>
      <c r="C4233" s="876" t="s">
        <v>4986</v>
      </c>
      <c r="D4233" s="851">
        <v>692.90000899999995</v>
      </c>
    </row>
    <row r="4234" spans="2:4" x14ac:dyDescent="0.2">
      <c r="B4234" s="876">
        <v>5080</v>
      </c>
      <c r="C4234" s="876" t="s">
        <v>4987</v>
      </c>
      <c r="D4234" s="851">
        <v>667.20001200000002</v>
      </c>
    </row>
    <row r="4235" spans="2:4" x14ac:dyDescent="0.2">
      <c r="B4235" s="876">
        <v>5081</v>
      </c>
      <c r="C4235" s="876" t="s">
        <v>4988</v>
      </c>
      <c r="D4235" s="851">
        <v>698.20001200000002</v>
      </c>
    </row>
    <row r="4236" spans="2:4" x14ac:dyDescent="0.2">
      <c r="B4236" s="876">
        <v>5082</v>
      </c>
      <c r="C4236" s="876" t="s">
        <v>4989</v>
      </c>
      <c r="D4236" s="851">
        <v>719.72499100000005</v>
      </c>
    </row>
    <row r="4237" spans="2:4" x14ac:dyDescent="0.2">
      <c r="B4237" s="876">
        <v>5083</v>
      </c>
      <c r="C4237" s="876" t="s">
        <v>4990</v>
      </c>
      <c r="D4237" s="851">
        <v>727.42857100000003</v>
      </c>
    </row>
    <row r="4238" spans="2:4" x14ac:dyDescent="0.2">
      <c r="B4238" s="876">
        <v>5084</v>
      </c>
      <c r="C4238" s="876" t="s">
        <v>4991</v>
      </c>
      <c r="D4238" s="851">
        <v>716.63999000000001</v>
      </c>
    </row>
    <row r="4239" spans="2:4" x14ac:dyDescent="0.2">
      <c r="B4239" s="876">
        <v>5085</v>
      </c>
      <c r="C4239" s="876" t="s">
        <v>4992</v>
      </c>
      <c r="D4239" s="851">
        <v>767.09000200000003</v>
      </c>
    </row>
    <row r="4240" spans="2:4" x14ac:dyDescent="0.2">
      <c r="B4240" s="876">
        <v>5086</v>
      </c>
      <c r="C4240" s="876" t="s">
        <v>4993</v>
      </c>
      <c r="D4240" s="851">
        <v>693.17501800000002</v>
      </c>
    </row>
    <row r="4241" spans="2:4" x14ac:dyDescent="0.2">
      <c r="B4241" s="876">
        <v>5087</v>
      </c>
      <c r="C4241" s="876" t="s">
        <v>4994</v>
      </c>
      <c r="D4241" s="851">
        <v>720.79998799999998</v>
      </c>
    </row>
    <row r="4242" spans="2:4" x14ac:dyDescent="0.2">
      <c r="B4242" s="876">
        <v>5088</v>
      </c>
      <c r="C4242" s="876" t="s">
        <v>4995</v>
      </c>
      <c r="D4242" s="851">
        <v>753.80000299999995</v>
      </c>
    </row>
    <row r="4243" spans="2:4" x14ac:dyDescent="0.2">
      <c r="B4243" s="876">
        <v>5089</v>
      </c>
      <c r="C4243" s="876" t="s">
        <v>343</v>
      </c>
      <c r="D4243" s="851">
        <v>699.97500100000002</v>
      </c>
    </row>
    <row r="4244" spans="2:4" x14ac:dyDescent="0.2">
      <c r="B4244" s="876">
        <v>5090</v>
      </c>
      <c r="C4244" s="876" t="s">
        <v>4996</v>
      </c>
      <c r="D4244" s="851">
        <v>668.629999</v>
      </c>
    </row>
    <row r="4245" spans="2:4" x14ac:dyDescent="0.2">
      <c r="B4245" s="876">
        <v>5091</v>
      </c>
      <c r="C4245" s="876" t="s">
        <v>4997</v>
      </c>
      <c r="D4245" s="851">
        <v>673.42666799999995</v>
      </c>
    </row>
    <row r="4246" spans="2:4" x14ac:dyDescent="0.2">
      <c r="B4246" s="876">
        <v>5092</v>
      </c>
      <c r="C4246" s="876" t="s">
        <v>4998</v>
      </c>
      <c r="D4246" s="851">
        <v>703.5</v>
      </c>
    </row>
    <row r="4247" spans="2:4" x14ac:dyDescent="0.2">
      <c r="B4247" s="876">
        <v>5093</v>
      </c>
      <c r="C4247" s="876" t="s">
        <v>4999</v>
      </c>
      <c r="D4247" s="851">
        <v>690.30000299999995</v>
      </c>
    </row>
    <row r="4248" spans="2:4" x14ac:dyDescent="0.2">
      <c r="B4248" s="876">
        <v>5094</v>
      </c>
      <c r="C4248" s="876" t="s">
        <v>351</v>
      </c>
      <c r="D4248" s="851">
        <v>723.29998799999998</v>
      </c>
    </row>
    <row r="4249" spans="2:4" x14ac:dyDescent="0.2">
      <c r="B4249" s="876">
        <v>5095</v>
      </c>
      <c r="C4249" s="876" t="s">
        <v>5000</v>
      </c>
      <c r="D4249" s="851">
        <v>690.40002400000003</v>
      </c>
    </row>
    <row r="4250" spans="2:4" x14ac:dyDescent="0.2">
      <c r="B4250" s="876">
        <v>5096</v>
      </c>
      <c r="C4250" s="876" t="s">
        <v>5001</v>
      </c>
      <c r="D4250" s="851">
        <v>744.8125</v>
      </c>
    </row>
    <row r="4251" spans="2:4" x14ac:dyDescent="0.2">
      <c r="B4251" s="876">
        <v>5097</v>
      </c>
      <c r="C4251" s="876" t="s">
        <v>5002</v>
      </c>
      <c r="D4251" s="851">
        <v>704.41249100000005</v>
      </c>
    </row>
    <row r="4252" spans="2:4" x14ac:dyDescent="0.2">
      <c r="B4252" s="876">
        <v>5098</v>
      </c>
      <c r="C4252" s="876" t="s">
        <v>5003</v>
      </c>
      <c r="D4252" s="851">
        <v>711.94999700000005</v>
      </c>
    </row>
    <row r="4253" spans="2:4" x14ac:dyDescent="0.2">
      <c r="B4253" s="876">
        <v>5099</v>
      </c>
      <c r="C4253" s="876" t="s">
        <v>5004</v>
      </c>
      <c r="D4253" s="851">
        <v>761.98332700000003</v>
      </c>
    </row>
    <row r="4254" spans="2:4" x14ac:dyDescent="0.2">
      <c r="B4254" s="876">
        <v>5100</v>
      </c>
      <c r="C4254" s="876" t="s">
        <v>5005</v>
      </c>
      <c r="D4254" s="851">
        <v>717.90000399999997</v>
      </c>
    </row>
    <row r="4255" spans="2:4" x14ac:dyDescent="0.2">
      <c r="B4255" s="876">
        <v>5101</v>
      </c>
      <c r="C4255" s="876" t="s">
        <v>5006</v>
      </c>
      <c r="D4255" s="851">
        <v>799.84000200000003</v>
      </c>
    </row>
    <row r="4256" spans="2:4" x14ac:dyDescent="0.2">
      <c r="B4256" s="876">
        <v>5102</v>
      </c>
      <c r="C4256" s="876" t="s">
        <v>5007</v>
      </c>
      <c r="D4256" s="851">
        <v>741.385716</v>
      </c>
    </row>
    <row r="4257" spans="2:4" x14ac:dyDescent="0.2">
      <c r="B4257" s="876">
        <v>5103</v>
      </c>
      <c r="C4257" s="876" t="s">
        <v>5008</v>
      </c>
      <c r="D4257" s="851">
        <v>818.59999600000003</v>
      </c>
    </row>
    <row r="4258" spans="2:4" x14ac:dyDescent="0.2">
      <c r="B4258" s="876">
        <v>5104</v>
      </c>
      <c r="C4258" s="876" t="s">
        <v>5009</v>
      </c>
      <c r="D4258" s="851">
        <v>828.54999499999997</v>
      </c>
    </row>
    <row r="4259" spans="2:4" x14ac:dyDescent="0.2">
      <c r="B4259" s="876">
        <v>5105</v>
      </c>
      <c r="C4259" s="876" t="s">
        <v>5010</v>
      </c>
      <c r="D4259" s="851">
        <v>868.79999799999996</v>
      </c>
    </row>
    <row r="4260" spans="2:4" x14ac:dyDescent="0.2">
      <c r="B4260" s="876">
        <v>5106</v>
      </c>
      <c r="C4260" s="876" t="s">
        <v>2043</v>
      </c>
      <c r="D4260" s="851">
        <v>731.32857000000001</v>
      </c>
    </row>
    <row r="4261" spans="2:4" x14ac:dyDescent="0.2">
      <c r="B4261" s="876">
        <v>5107</v>
      </c>
      <c r="C4261" s="876" t="s">
        <v>5011</v>
      </c>
      <c r="D4261" s="851">
        <v>819.94999700000005</v>
      </c>
    </row>
    <row r="4262" spans="2:4" x14ac:dyDescent="0.2">
      <c r="B4262" s="876">
        <v>5108</v>
      </c>
      <c r="C4262" s="876" t="s">
        <v>5012</v>
      </c>
      <c r="D4262" s="851">
        <v>814.82501200000002</v>
      </c>
    </row>
    <row r="4263" spans="2:4" x14ac:dyDescent="0.2">
      <c r="B4263" s="876">
        <v>5109</v>
      </c>
      <c r="C4263" s="876" t="s">
        <v>5013</v>
      </c>
      <c r="D4263" s="851">
        <v>970.99999300000002</v>
      </c>
    </row>
    <row r="4264" spans="2:4" x14ac:dyDescent="0.2">
      <c r="B4264" s="876">
        <v>5110</v>
      </c>
      <c r="C4264" s="876" t="s">
        <v>5014</v>
      </c>
      <c r="D4264" s="851">
        <v>855.70001200000002</v>
      </c>
    </row>
    <row r="4265" spans="2:4" x14ac:dyDescent="0.2">
      <c r="B4265" s="876">
        <v>5111</v>
      </c>
      <c r="C4265" s="876" t="s">
        <v>5015</v>
      </c>
      <c r="D4265" s="851">
        <v>796.71538399999997</v>
      </c>
    </row>
    <row r="4266" spans="2:4" x14ac:dyDescent="0.2">
      <c r="B4266" s="876">
        <v>5112</v>
      </c>
      <c r="C4266" s="876" t="s">
        <v>5016</v>
      </c>
      <c r="D4266" s="851">
        <v>875.6875</v>
      </c>
    </row>
    <row r="4267" spans="2:4" x14ac:dyDescent="0.2">
      <c r="B4267" s="876">
        <v>5113</v>
      </c>
      <c r="C4267" s="876" t="s">
        <v>5017</v>
      </c>
      <c r="D4267" s="851">
        <v>944.34999600000003</v>
      </c>
    </row>
    <row r="4268" spans="2:4" x14ac:dyDescent="0.2">
      <c r="B4268" s="876">
        <v>5114</v>
      </c>
      <c r="C4268" s="876" t="s">
        <v>5018</v>
      </c>
      <c r="D4268" s="851">
        <v>994.54737299999999</v>
      </c>
    </row>
    <row r="4269" spans="2:4" x14ac:dyDescent="0.2">
      <c r="B4269" s="876">
        <v>5115</v>
      </c>
      <c r="C4269" s="876" t="s">
        <v>5019</v>
      </c>
      <c r="D4269" s="851">
        <v>999.01667299999997</v>
      </c>
    </row>
    <row r="4270" spans="2:4" x14ac:dyDescent="0.2">
      <c r="B4270" s="876">
        <v>5116</v>
      </c>
      <c r="C4270" s="876" t="s">
        <v>5020</v>
      </c>
      <c r="D4270" s="851">
        <v>1092.125006</v>
      </c>
    </row>
    <row r="4271" spans="2:4" x14ac:dyDescent="0.2">
      <c r="B4271" s="876">
        <v>5117</v>
      </c>
      <c r="C4271" s="876" t="s">
        <v>5021</v>
      </c>
      <c r="D4271" s="851">
        <v>1153.3929740000001</v>
      </c>
    </row>
    <row r="4272" spans="2:4" x14ac:dyDescent="0.2">
      <c r="B4272" s="876">
        <v>5118</v>
      </c>
      <c r="C4272" s="876" t="s">
        <v>5022</v>
      </c>
      <c r="D4272" s="851">
        <v>707.94546200000002</v>
      </c>
    </row>
    <row r="4273" spans="2:4" x14ac:dyDescent="0.2">
      <c r="B4273" s="876">
        <v>5119</v>
      </c>
      <c r="C4273" s="876" t="s">
        <v>5023</v>
      </c>
      <c r="D4273" s="851">
        <v>682.27999299999999</v>
      </c>
    </row>
    <row r="4274" spans="2:4" x14ac:dyDescent="0.2">
      <c r="B4274" s="876">
        <v>5120</v>
      </c>
      <c r="C4274" s="876" t="s">
        <v>5024</v>
      </c>
      <c r="D4274" s="851">
        <v>669.125</v>
      </c>
    </row>
    <row r="4275" spans="2:4" x14ac:dyDescent="0.2">
      <c r="B4275" s="876">
        <v>5121</v>
      </c>
      <c r="C4275" s="876" t="s">
        <v>5025</v>
      </c>
      <c r="D4275" s="851">
        <v>685.40909099999999</v>
      </c>
    </row>
    <row r="4276" spans="2:4" x14ac:dyDescent="0.2">
      <c r="B4276" s="876">
        <v>5122</v>
      </c>
      <c r="C4276" s="876" t="s">
        <v>5026</v>
      </c>
      <c r="D4276" s="851">
        <v>654.27999299999999</v>
      </c>
    </row>
    <row r="4277" spans="2:4" x14ac:dyDescent="0.2">
      <c r="B4277" s="876">
        <v>5123</v>
      </c>
      <c r="C4277" s="876" t="s">
        <v>4208</v>
      </c>
      <c r="D4277" s="851">
        <v>668.04999799999996</v>
      </c>
    </row>
    <row r="4278" spans="2:4" x14ac:dyDescent="0.2">
      <c r="B4278" s="876">
        <v>5124</v>
      </c>
      <c r="C4278" s="876" t="s">
        <v>1305</v>
      </c>
      <c r="D4278" s="851">
        <v>663.26666299999999</v>
      </c>
    </row>
    <row r="4279" spans="2:4" x14ac:dyDescent="0.2">
      <c r="B4279" s="876">
        <v>5125</v>
      </c>
      <c r="C4279" s="876" t="s">
        <v>3972</v>
      </c>
      <c r="D4279" s="851">
        <v>765.36429299999998</v>
      </c>
    </row>
    <row r="4280" spans="2:4" x14ac:dyDescent="0.2">
      <c r="B4280" s="876">
        <v>5126</v>
      </c>
      <c r="C4280" s="876" t="s">
        <v>5027</v>
      </c>
      <c r="D4280" s="851">
        <v>758.47500600000001</v>
      </c>
    </row>
    <row r="4281" spans="2:4" x14ac:dyDescent="0.2">
      <c r="B4281" s="876">
        <v>5127</v>
      </c>
      <c r="C4281" s="876" t="s">
        <v>5028</v>
      </c>
      <c r="D4281" s="851">
        <v>777.48181199999999</v>
      </c>
    </row>
    <row r="4282" spans="2:4" x14ac:dyDescent="0.2">
      <c r="B4282" s="876">
        <v>5128</v>
      </c>
      <c r="C4282" s="876" t="s">
        <v>5029</v>
      </c>
      <c r="D4282" s="851">
        <v>767.16666699999996</v>
      </c>
    </row>
    <row r="4283" spans="2:4" x14ac:dyDescent="0.2">
      <c r="B4283" s="876">
        <v>5129</v>
      </c>
      <c r="C4283" s="876" t="s">
        <v>5030</v>
      </c>
      <c r="D4283" s="851">
        <v>767.01667299999997</v>
      </c>
    </row>
    <row r="4284" spans="2:4" x14ac:dyDescent="0.2">
      <c r="B4284" s="876">
        <v>5130</v>
      </c>
      <c r="C4284" s="876" t="s">
        <v>5031</v>
      </c>
      <c r="D4284" s="851">
        <v>717.24615900000003</v>
      </c>
    </row>
    <row r="4285" spans="2:4" x14ac:dyDescent="0.2">
      <c r="B4285" s="876">
        <v>5131</v>
      </c>
      <c r="C4285" s="876" t="s">
        <v>1843</v>
      </c>
      <c r="D4285" s="851">
        <v>761.01428699999997</v>
      </c>
    </row>
    <row r="4286" spans="2:4" x14ac:dyDescent="0.2">
      <c r="B4286" s="876">
        <v>5133</v>
      </c>
      <c r="C4286" s="876" t="s">
        <v>5032</v>
      </c>
      <c r="D4286" s="851">
        <v>827.57501200000002</v>
      </c>
    </row>
    <row r="4287" spans="2:4" x14ac:dyDescent="0.2">
      <c r="B4287" s="876">
        <v>5134</v>
      </c>
      <c r="C4287" s="876" t="s">
        <v>2487</v>
      </c>
      <c r="D4287" s="851">
        <v>765.74999700000001</v>
      </c>
    </row>
    <row r="4288" spans="2:4" x14ac:dyDescent="0.2">
      <c r="B4288" s="876">
        <v>5135</v>
      </c>
      <c r="C4288" s="876" t="s">
        <v>1956</v>
      </c>
      <c r="D4288" s="851">
        <v>822.00768600000004</v>
      </c>
    </row>
    <row r="4289" spans="2:4" x14ac:dyDescent="0.2">
      <c r="B4289" s="876">
        <v>5136</v>
      </c>
      <c r="C4289" s="876" t="s">
        <v>5018</v>
      </c>
      <c r="D4289" s="851">
        <v>870.70588199999997</v>
      </c>
    </row>
    <row r="4290" spans="2:4" x14ac:dyDescent="0.2">
      <c r="B4290" s="876">
        <v>5137</v>
      </c>
      <c r="C4290" s="876" t="s">
        <v>5033</v>
      </c>
      <c r="D4290" s="851">
        <v>842.76363300000003</v>
      </c>
    </row>
    <row r="4291" spans="2:4" x14ac:dyDescent="0.2">
      <c r="B4291" s="876">
        <v>5138</v>
      </c>
      <c r="C4291" s="876" t="s">
        <v>5034</v>
      </c>
      <c r="D4291" s="851">
        <v>856.32499700000005</v>
      </c>
    </row>
    <row r="4292" spans="2:4" x14ac:dyDescent="0.2">
      <c r="B4292" s="876">
        <v>5139</v>
      </c>
      <c r="C4292" s="876" t="s">
        <v>3186</v>
      </c>
      <c r="D4292" s="851">
        <v>838.53635499999996</v>
      </c>
    </row>
    <row r="4293" spans="2:4" x14ac:dyDescent="0.2">
      <c r="B4293" s="876">
        <v>5140</v>
      </c>
      <c r="C4293" s="876" t="s">
        <v>5035</v>
      </c>
      <c r="D4293" s="851">
        <v>816.32812699999999</v>
      </c>
    </row>
    <row r="4294" spans="2:4" x14ac:dyDescent="0.2">
      <c r="B4294" s="876">
        <v>5141</v>
      </c>
      <c r="C4294" s="876" t="s">
        <v>5036</v>
      </c>
      <c r="D4294" s="851">
        <v>684.02999899999998</v>
      </c>
    </row>
    <row r="4295" spans="2:4" x14ac:dyDescent="0.2">
      <c r="B4295" s="876">
        <v>5142</v>
      </c>
      <c r="C4295" s="876" t="s">
        <v>4870</v>
      </c>
      <c r="D4295" s="851">
        <v>670.56666399999995</v>
      </c>
    </row>
    <row r="4296" spans="2:4" x14ac:dyDescent="0.2">
      <c r="B4296" s="876">
        <v>5143</v>
      </c>
      <c r="C4296" s="876" t="s">
        <v>5037</v>
      </c>
      <c r="D4296" s="851">
        <v>663.79998799999998</v>
      </c>
    </row>
    <row r="4297" spans="2:4" x14ac:dyDescent="0.2">
      <c r="B4297" s="876">
        <v>5144</v>
      </c>
      <c r="C4297" s="876" t="s">
        <v>5038</v>
      </c>
      <c r="D4297" s="851">
        <v>716.16665999999998</v>
      </c>
    </row>
    <row r="4298" spans="2:4" x14ac:dyDescent="0.2">
      <c r="B4298" s="876">
        <v>5145</v>
      </c>
      <c r="C4298" s="876" t="s">
        <v>5039</v>
      </c>
      <c r="D4298" s="851">
        <v>703.35714299999995</v>
      </c>
    </row>
    <row r="4299" spans="2:4" x14ac:dyDescent="0.2">
      <c r="B4299" s="876">
        <v>5146</v>
      </c>
      <c r="C4299" s="876" t="s">
        <v>2678</v>
      </c>
      <c r="D4299" s="851">
        <v>739.23332700000003</v>
      </c>
    </row>
    <row r="4300" spans="2:4" x14ac:dyDescent="0.2">
      <c r="B4300" s="876">
        <v>5147</v>
      </c>
      <c r="C4300" s="876" t="s">
        <v>5040</v>
      </c>
      <c r="D4300" s="851">
        <v>695.16668700000002</v>
      </c>
    </row>
    <row r="4301" spans="2:4" x14ac:dyDescent="0.2">
      <c r="B4301" s="876">
        <v>5148</v>
      </c>
      <c r="C4301" s="876" t="s">
        <v>5041</v>
      </c>
      <c r="D4301" s="851">
        <v>698.29090499999995</v>
      </c>
    </row>
    <row r="4302" spans="2:4" x14ac:dyDescent="0.2">
      <c r="B4302" s="876">
        <v>5149</v>
      </c>
      <c r="C4302" s="876" t="s">
        <v>5042</v>
      </c>
      <c r="D4302" s="851">
        <v>783.81764799999996</v>
      </c>
    </row>
    <row r="4303" spans="2:4" x14ac:dyDescent="0.2">
      <c r="B4303" s="876">
        <v>5150</v>
      </c>
      <c r="C4303" s="876" t="s">
        <v>5043</v>
      </c>
      <c r="D4303" s="851">
        <v>761.35000600000001</v>
      </c>
    </row>
    <row r="4304" spans="2:4" x14ac:dyDescent="0.2">
      <c r="B4304" s="876">
        <v>5151</v>
      </c>
      <c r="C4304" s="876" t="s">
        <v>5044</v>
      </c>
      <c r="D4304" s="851">
        <v>782.95001200000002</v>
      </c>
    </row>
    <row r="4305" spans="2:4" x14ac:dyDescent="0.2">
      <c r="B4305" s="876">
        <v>5152</v>
      </c>
      <c r="C4305" s="876" t="s">
        <v>5045</v>
      </c>
      <c r="D4305" s="851">
        <v>815.13332100000002</v>
      </c>
    </row>
    <row r="4306" spans="2:4" x14ac:dyDescent="0.2">
      <c r="B4306" s="876">
        <v>5153</v>
      </c>
      <c r="C4306" s="876" t="s">
        <v>5046</v>
      </c>
      <c r="D4306" s="851">
        <v>805.30001800000002</v>
      </c>
    </row>
    <row r="4307" spans="2:4" x14ac:dyDescent="0.2">
      <c r="B4307" s="876">
        <v>5154</v>
      </c>
      <c r="C4307" s="876" t="s">
        <v>4292</v>
      </c>
      <c r="D4307" s="851">
        <v>746.04166199999997</v>
      </c>
    </row>
    <row r="4308" spans="2:4" x14ac:dyDescent="0.2">
      <c r="B4308" s="876">
        <v>5155</v>
      </c>
      <c r="C4308" s="876" t="s">
        <v>5047</v>
      </c>
      <c r="D4308" s="851">
        <v>770.240002</v>
      </c>
    </row>
    <row r="4309" spans="2:4" x14ac:dyDescent="0.2">
      <c r="B4309" s="876">
        <v>5156</v>
      </c>
      <c r="C4309" s="876" t="s">
        <v>2445</v>
      </c>
      <c r="D4309" s="851">
        <v>732.76666299999999</v>
      </c>
    </row>
    <row r="4310" spans="2:4" x14ac:dyDescent="0.2">
      <c r="B4310" s="876">
        <v>5157</v>
      </c>
      <c r="C4310" s="876" t="s">
        <v>2898</v>
      </c>
      <c r="D4310" s="851">
        <v>778.92500299999995</v>
      </c>
    </row>
    <row r="4311" spans="2:4" x14ac:dyDescent="0.2">
      <c r="B4311" s="876">
        <v>5158</v>
      </c>
      <c r="C4311" s="876" t="s">
        <v>5048</v>
      </c>
      <c r="D4311" s="851">
        <v>752.37142500000004</v>
      </c>
    </row>
    <row r="4312" spans="2:4" x14ac:dyDescent="0.2">
      <c r="B4312" s="876">
        <v>5159</v>
      </c>
      <c r="C4312" s="876" t="s">
        <v>1639</v>
      </c>
      <c r="D4312" s="851">
        <v>699</v>
      </c>
    </row>
    <row r="4313" spans="2:4" x14ac:dyDescent="0.2">
      <c r="B4313" s="876">
        <v>5160</v>
      </c>
      <c r="C4313" s="876" t="s">
        <v>3827</v>
      </c>
      <c r="D4313" s="851">
        <v>767.16666699999996</v>
      </c>
    </row>
    <row r="4314" spans="2:4" x14ac:dyDescent="0.2">
      <c r="B4314" s="876">
        <v>5161</v>
      </c>
      <c r="C4314" s="876" t="s">
        <v>5049</v>
      </c>
      <c r="D4314" s="851">
        <v>738.25</v>
      </c>
    </row>
    <row r="4315" spans="2:4" x14ac:dyDescent="0.2">
      <c r="B4315" s="876">
        <v>5162</v>
      </c>
      <c r="C4315" s="876" t="s">
        <v>5050</v>
      </c>
      <c r="D4315" s="851">
        <v>769.51818300000002</v>
      </c>
    </row>
    <row r="4316" spans="2:4" x14ac:dyDescent="0.2">
      <c r="B4316" s="876">
        <v>5163</v>
      </c>
      <c r="C4316" s="876" t="s">
        <v>5051</v>
      </c>
      <c r="D4316" s="851">
        <v>751.58572000000004</v>
      </c>
    </row>
    <row r="4317" spans="2:4" x14ac:dyDescent="0.2">
      <c r="B4317" s="876">
        <v>5164</v>
      </c>
      <c r="C4317" s="876" t="s">
        <v>4049</v>
      </c>
      <c r="D4317" s="851">
        <v>795.07499700000005</v>
      </c>
    </row>
    <row r="4318" spans="2:4" x14ac:dyDescent="0.2">
      <c r="B4318" s="876">
        <v>5165</v>
      </c>
      <c r="C4318" s="876" t="s">
        <v>4379</v>
      </c>
      <c r="D4318" s="851">
        <v>844.37778000000003</v>
      </c>
    </row>
    <row r="4319" spans="2:4" x14ac:dyDescent="0.2">
      <c r="B4319" s="876">
        <v>5166</v>
      </c>
      <c r="C4319" s="876" t="s">
        <v>5022</v>
      </c>
      <c r="D4319" s="851">
        <v>826.79998799999998</v>
      </c>
    </row>
    <row r="4320" spans="2:4" x14ac:dyDescent="0.2">
      <c r="B4320" s="876">
        <v>5167</v>
      </c>
      <c r="C4320" s="876" t="s">
        <v>5052</v>
      </c>
      <c r="D4320" s="851">
        <v>829.59998599999994</v>
      </c>
    </row>
    <row r="4321" spans="2:4" x14ac:dyDescent="0.2">
      <c r="B4321" s="876">
        <v>5168</v>
      </c>
      <c r="C4321" s="876" t="s">
        <v>5053</v>
      </c>
      <c r="D4321" s="851">
        <v>810.05000299999995</v>
      </c>
    </row>
    <row r="4322" spans="2:4" x14ac:dyDescent="0.2">
      <c r="B4322" s="876">
        <v>5169</v>
      </c>
      <c r="C4322" s="876" t="s">
        <v>5054</v>
      </c>
      <c r="D4322" s="851">
        <v>854.64999399999999</v>
      </c>
    </row>
    <row r="4323" spans="2:4" x14ac:dyDescent="0.2">
      <c r="B4323" s="876">
        <v>5170</v>
      </c>
      <c r="C4323" s="876" t="s">
        <v>5055</v>
      </c>
      <c r="D4323" s="851">
        <v>799.133331</v>
      </c>
    </row>
    <row r="4324" spans="2:4" x14ac:dyDescent="0.2">
      <c r="B4324" s="876">
        <v>5171</v>
      </c>
      <c r="C4324" s="876" t="s">
        <v>5056</v>
      </c>
      <c r="D4324" s="851">
        <v>937.21332199999995</v>
      </c>
    </row>
    <row r="4325" spans="2:4" x14ac:dyDescent="0.2">
      <c r="B4325" s="876">
        <v>5172</v>
      </c>
      <c r="C4325" s="876" t="s">
        <v>5057</v>
      </c>
      <c r="D4325" s="851">
        <v>816.77500899999995</v>
      </c>
    </row>
    <row r="4326" spans="2:4" x14ac:dyDescent="0.2">
      <c r="B4326" s="876">
        <v>5173</v>
      </c>
      <c r="C4326" s="876" t="s">
        <v>5058</v>
      </c>
      <c r="D4326" s="851">
        <v>893.45555999999999</v>
      </c>
    </row>
    <row r="4327" spans="2:4" x14ac:dyDescent="0.2">
      <c r="B4327" s="876">
        <v>5201</v>
      </c>
      <c r="C4327" s="876" t="s">
        <v>5059</v>
      </c>
      <c r="D4327" s="851">
        <v>710.93335000000002</v>
      </c>
    </row>
    <row r="4328" spans="2:4" x14ac:dyDescent="0.2">
      <c r="B4328" s="876">
        <v>5202</v>
      </c>
      <c r="C4328" s="876" t="s">
        <v>5060</v>
      </c>
      <c r="D4328" s="851">
        <v>715.72222199999999</v>
      </c>
    </row>
    <row r="4329" spans="2:4" x14ac:dyDescent="0.2">
      <c r="B4329" s="876">
        <v>5203</v>
      </c>
      <c r="C4329" s="876" t="s">
        <v>5061</v>
      </c>
      <c r="D4329" s="851">
        <v>656.01537599999995</v>
      </c>
    </row>
    <row r="4330" spans="2:4" x14ac:dyDescent="0.2">
      <c r="B4330" s="876">
        <v>5204</v>
      </c>
      <c r="C4330" s="876" t="s">
        <v>3819</v>
      </c>
      <c r="D4330" s="851">
        <v>706.14000899999996</v>
      </c>
    </row>
    <row r="4331" spans="2:4" x14ac:dyDescent="0.2">
      <c r="B4331" s="876">
        <v>5205</v>
      </c>
      <c r="C4331" s="876" t="s">
        <v>5062</v>
      </c>
      <c r="D4331" s="851">
        <v>642.36665900000003</v>
      </c>
    </row>
    <row r="4332" spans="2:4" x14ac:dyDescent="0.2">
      <c r="B4332" s="876">
        <v>5206</v>
      </c>
      <c r="C4332" s="876" t="s">
        <v>5063</v>
      </c>
      <c r="D4332" s="851">
        <v>664.08749399999999</v>
      </c>
    </row>
    <row r="4333" spans="2:4" x14ac:dyDescent="0.2">
      <c r="B4333" s="876">
        <v>5207</v>
      </c>
      <c r="C4333" s="876" t="s">
        <v>5064</v>
      </c>
      <c r="D4333" s="851">
        <v>644.69999700000005</v>
      </c>
    </row>
    <row r="4334" spans="2:4" x14ac:dyDescent="0.2">
      <c r="B4334" s="876">
        <v>5208</v>
      </c>
      <c r="C4334" s="876" t="s">
        <v>5065</v>
      </c>
      <c r="D4334" s="851">
        <v>619.67498799999998</v>
      </c>
    </row>
    <row r="4335" spans="2:4" x14ac:dyDescent="0.2">
      <c r="B4335" s="876">
        <v>5209</v>
      </c>
      <c r="C4335" s="876" t="s">
        <v>5066</v>
      </c>
      <c r="D4335" s="851">
        <v>748.59997599999997</v>
      </c>
    </row>
    <row r="4336" spans="2:4" x14ac:dyDescent="0.2">
      <c r="B4336" s="876">
        <v>5210</v>
      </c>
      <c r="C4336" s="876" t="s">
        <v>5067</v>
      </c>
      <c r="D4336" s="851">
        <v>664.15000899999995</v>
      </c>
    </row>
    <row r="4337" spans="2:4" x14ac:dyDescent="0.2">
      <c r="B4337" s="876">
        <v>5211</v>
      </c>
      <c r="C4337" s="876" t="s">
        <v>5068</v>
      </c>
      <c r="D4337" s="851">
        <v>718.83333300000004</v>
      </c>
    </row>
    <row r="4338" spans="2:4" x14ac:dyDescent="0.2">
      <c r="B4338" s="876">
        <v>5212</v>
      </c>
      <c r="C4338" s="876" t="s">
        <v>5069</v>
      </c>
      <c r="D4338" s="851">
        <v>785.94375200000002</v>
      </c>
    </row>
    <row r="4339" spans="2:4" x14ac:dyDescent="0.2">
      <c r="B4339" s="876">
        <v>5213</v>
      </c>
      <c r="C4339" s="876" t="s">
        <v>5070</v>
      </c>
      <c r="D4339" s="851">
        <v>802.07777899999996</v>
      </c>
    </row>
    <row r="4340" spans="2:4" x14ac:dyDescent="0.2">
      <c r="B4340" s="876">
        <v>5215</v>
      </c>
      <c r="C4340" s="876" t="s">
        <v>5071</v>
      </c>
      <c r="D4340" s="851">
        <v>641.29998799999998</v>
      </c>
    </row>
    <row r="4341" spans="2:4" x14ac:dyDescent="0.2">
      <c r="B4341" s="876">
        <v>5216</v>
      </c>
      <c r="C4341" s="876" t="s">
        <v>5072</v>
      </c>
      <c r="D4341" s="851">
        <v>696.77222400000005</v>
      </c>
    </row>
    <row r="4342" spans="2:4" x14ac:dyDescent="0.2">
      <c r="B4342" s="876">
        <v>5217</v>
      </c>
      <c r="C4342" s="876" t="s">
        <v>5073</v>
      </c>
      <c r="D4342" s="851">
        <v>635.088888</v>
      </c>
    </row>
    <row r="4343" spans="2:4" x14ac:dyDescent="0.2">
      <c r="B4343" s="876">
        <v>5218</v>
      </c>
      <c r="C4343" s="876" t="s">
        <v>5074</v>
      </c>
      <c r="D4343" s="851">
        <v>681.5</v>
      </c>
    </row>
    <row r="4344" spans="2:4" x14ac:dyDescent="0.2">
      <c r="B4344" s="876">
        <v>5219</v>
      </c>
      <c r="C4344" s="876" t="s">
        <v>5075</v>
      </c>
      <c r="D4344" s="851">
        <v>688.133331</v>
      </c>
    </row>
    <row r="4345" spans="2:4" x14ac:dyDescent="0.2">
      <c r="B4345" s="876">
        <v>5220</v>
      </c>
      <c r="C4345" s="876" t="s">
        <v>5076</v>
      </c>
      <c r="D4345" s="851">
        <v>645.84286899999995</v>
      </c>
    </row>
    <row r="4346" spans="2:4" x14ac:dyDescent="0.2">
      <c r="B4346" s="876">
        <v>5221</v>
      </c>
      <c r="C4346" s="876" t="s">
        <v>5077</v>
      </c>
      <c r="D4346" s="851">
        <v>612.08333800000003</v>
      </c>
    </row>
    <row r="4347" spans="2:4" x14ac:dyDescent="0.2">
      <c r="B4347" s="876">
        <v>5222</v>
      </c>
      <c r="C4347" s="876" t="s">
        <v>5078</v>
      </c>
      <c r="D4347" s="851">
        <v>707.72500100000002</v>
      </c>
    </row>
    <row r="4348" spans="2:4" x14ac:dyDescent="0.2">
      <c r="B4348" s="876">
        <v>5223</v>
      </c>
      <c r="C4348" s="876" t="s">
        <v>5079</v>
      </c>
      <c r="D4348" s="851">
        <v>642.81666099999995</v>
      </c>
    </row>
    <row r="4349" spans="2:4" x14ac:dyDescent="0.2">
      <c r="B4349" s="876">
        <v>5224</v>
      </c>
      <c r="C4349" s="876" t="s">
        <v>5080</v>
      </c>
      <c r="D4349" s="851">
        <v>657.71428600000002</v>
      </c>
    </row>
    <row r="4350" spans="2:4" x14ac:dyDescent="0.2">
      <c r="B4350" s="876">
        <v>5225</v>
      </c>
      <c r="C4350" s="876" t="s">
        <v>5081</v>
      </c>
      <c r="D4350" s="851">
        <v>619.44443799999999</v>
      </c>
    </row>
    <row r="4351" spans="2:4" x14ac:dyDescent="0.2">
      <c r="B4351" s="876">
        <v>5226</v>
      </c>
      <c r="C4351" s="876" t="s">
        <v>5082</v>
      </c>
      <c r="D4351" s="851">
        <v>720.05998499999998</v>
      </c>
    </row>
    <row r="4352" spans="2:4" x14ac:dyDescent="0.2">
      <c r="B4352" s="876">
        <v>5227</v>
      </c>
      <c r="C4352" s="876" t="s">
        <v>5083</v>
      </c>
      <c r="D4352" s="851">
        <v>624.66666699999996</v>
      </c>
    </row>
    <row r="4353" spans="2:4" x14ac:dyDescent="0.2">
      <c r="B4353" s="876">
        <v>5228</v>
      </c>
      <c r="C4353" s="876" t="s">
        <v>5084</v>
      </c>
      <c r="D4353" s="851">
        <v>637.65000399999997</v>
      </c>
    </row>
    <row r="4354" spans="2:4" x14ac:dyDescent="0.2">
      <c r="B4354" s="876">
        <v>5229</v>
      </c>
      <c r="C4354" s="876" t="s">
        <v>3620</v>
      </c>
      <c r="D4354" s="851">
        <v>658.25</v>
      </c>
    </row>
    <row r="4355" spans="2:4" x14ac:dyDescent="0.2">
      <c r="B4355" s="876">
        <v>5230</v>
      </c>
      <c r="C4355" s="876" t="s">
        <v>5085</v>
      </c>
      <c r="D4355" s="851">
        <v>642.29999999999995</v>
      </c>
    </row>
    <row r="4356" spans="2:4" x14ac:dyDescent="0.2">
      <c r="B4356" s="876">
        <v>5231</v>
      </c>
      <c r="C4356" s="876" t="s">
        <v>5086</v>
      </c>
      <c r="D4356" s="851">
        <v>771.88648899999998</v>
      </c>
    </row>
    <row r="4357" spans="2:4" x14ac:dyDescent="0.2">
      <c r="B4357" s="876">
        <v>5232</v>
      </c>
      <c r="C4357" s="876" t="s">
        <v>5087</v>
      </c>
      <c r="D4357" s="851">
        <v>809.55000299999995</v>
      </c>
    </row>
    <row r="4358" spans="2:4" x14ac:dyDescent="0.2">
      <c r="B4358" s="876">
        <v>5233</v>
      </c>
      <c r="C4358" s="876" t="s">
        <v>5088</v>
      </c>
      <c r="D4358" s="851">
        <v>814.79998799999998</v>
      </c>
    </row>
    <row r="4359" spans="2:4" x14ac:dyDescent="0.2">
      <c r="B4359" s="876">
        <v>5234</v>
      </c>
      <c r="C4359" s="876" t="s">
        <v>5089</v>
      </c>
      <c r="D4359" s="851">
        <v>633.5</v>
      </c>
    </row>
    <row r="4360" spans="2:4" x14ac:dyDescent="0.2">
      <c r="B4360" s="876">
        <v>5235</v>
      </c>
      <c r="C4360" s="876" t="s">
        <v>5090</v>
      </c>
      <c r="D4360" s="851">
        <v>627.57501200000002</v>
      </c>
    </row>
    <row r="4361" spans="2:4" x14ac:dyDescent="0.2">
      <c r="B4361" s="876">
        <v>5236</v>
      </c>
      <c r="C4361" s="876" t="s">
        <v>5091</v>
      </c>
      <c r="D4361" s="851">
        <v>665.79998799999998</v>
      </c>
    </row>
    <row r="4362" spans="2:4" x14ac:dyDescent="0.2">
      <c r="B4362" s="876">
        <v>5237</v>
      </c>
      <c r="C4362" s="876" t="s">
        <v>5092</v>
      </c>
      <c r="D4362" s="851">
        <v>655.60000600000001</v>
      </c>
    </row>
    <row r="4363" spans="2:4" x14ac:dyDescent="0.2">
      <c r="B4363" s="876">
        <v>5238</v>
      </c>
      <c r="C4363" s="876" t="s">
        <v>5093</v>
      </c>
      <c r="D4363" s="851">
        <v>641.25454400000001</v>
      </c>
    </row>
    <row r="4364" spans="2:4" x14ac:dyDescent="0.2">
      <c r="B4364" s="876">
        <v>5239</v>
      </c>
      <c r="C4364" s="876" t="s">
        <v>5094</v>
      </c>
      <c r="D4364" s="851">
        <v>698.19999199999995</v>
      </c>
    </row>
    <row r="4365" spans="2:4" x14ac:dyDescent="0.2">
      <c r="B4365" s="876">
        <v>5240</v>
      </c>
      <c r="C4365" s="876" t="s">
        <v>4444</v>
      </c>
      <c r="D4365" s="851">
        <v>657.21109999999999</v>
      </c>
    </row>
    <row r="4366" spans="2:4" x14ac:dyDescent="0.2">
      <c r="B4366" s="876">
        <v>5241</v>
      </c>
      <c r="C4366" s="876" t="s">
        <v>5095</v>
      </c>
      <c r="D4366" s="851">
        <v>699.98332700000003</v>
      </c>
    </row>
    <row r="4367" spans="2:4" x14ac:dyDescent="0.2">
      <c r="B4367" s="876">
        <v>5242</v>
      </c>
      <c r="C4367" s="876" t="s">
        <v>5096</v>
      </c>
      <c r="D4367" s="851">
        <v>706.12222599999996</v>
      </c>
    </row>
    <row r="4368" spans="2:4" x14ac:dyDescent="0.2">
      <c r="B4368" s="876">
        <v>5243</v>
      </c>
      <c r="C4368" s="876" t="s">
        <v>5097</v>
      </c>
      <c r="D4368" s="851">
        <v>704.09999600000003</v>
      </c>
    </row>
    <row r="4369" spans="2:4" x14ac:dyDescent="0.2">
      <c r="B4369" s="876">
        <v>5244</v>
      </c>
      <c r="C4369" s="876" t="s">
        <v>5098</v>
      </c>
      <c r="D4369" s="851">
        <v>673.25</v>
      </c>
    </row>
    <row r="4370" spans="2:4" x14ac:dyDescent="0.2">
      <c r="B4370" s="876">
        <v>5245</v>
      </c>
      <c r="C4370" s="876" t="s">
        <v>5099</v>
      </c>
      <c r="D4370" s="851">
        <v>654.57499700000005</v>
      </c>
    </row>
    <row r="4371" spans="2:4" x14ac:dyDescent="0.2">
      <c r="B4371" s="876">
        <v>5246</v>
      </c>
      <c r="C4371" s="876" t="s">
        <v>5100</v>
      </c>
      <c r="D4371" s="851">
        <v>664.59997599999997</v>
      </c>
    </row>
    <row r="4372" spans="2:4" x14ac:dyDescent="0.2">
      <c r="B4372" s="876">
        <v>5247</v>
      </c>
      <c r="C4372" s="876" t="s">
        <v>5101</v>
      </c>
      <c r="D4372" s="851">
        <v>636.36665900000003</v>
      </c>
    </row>
    <row r="4373" spans="2:4" x14ac:dyDescent="0.2">
      <c r="B4373" s="876">
        <v>5248</v>
      </c>
      <c r="C4373" s="876" t="s">
        <v>5102</v>
      </c>
      <c r="D4373" s="851">
        <v>695.70001200000002</v>
      </c>
    </row>
    <row r="4374" spans="2:4" x14ac:dyDescent="0.2">
      <c r="B4374" s="876">
        <v>5249</v>
      </c>
      <c r="C4374" s="876" t="s">
        <v>5103</v>
      </c>
      <c r="D4374" s="851">
        <v>657.48750299999995</v>
      </c>
    </row>
    <row r="4375" spans="2:4" x14ac:dyDescent="0.2">
      <c r="B4375" s="876">
        <v>5250</v>
      </c>
      <c r="C4375" s="876" t="s">
        <v>5104</v>
      </c>
      <c r="D4375" s="851">
        <v>741.10000600000001</v>
      </c>
    </row>
    <row r="4376" spans="2:4" x14ac:dyDescent="0.2">
      <c r="B4376" s="876">
        <v>5251</v>
      </c>
      <c r="C4376" s="876" t="s">
        <v>5105</v>
      </c>
      <c r="D4376" s="851">
        <v>669.03332499999999</v>
      </c>
    </row>
    <row r="4377" spans="2:4" x14ac:dyDescent="0.2">
      <c r="B4377" s="876">
        <v>5252</v>
      </c>
      <c r="C4377" s="876" t="s">
        <v>3492</v>
      </c>
      <c r="D4377" s="851">
        <v>586.77500899999995</v>
      </c>
    </row>
    <row r="4378" spans="2:4" x14ac:dyDescent="0.2">
      <c r="B4378" s="876">
        <v>5253</v>
      </c>
      <c r="C4378" s="876" t="s">
        <v>5106</v>
      </c>
      <c r="D4378" s="851">
        <v>665.6</v>
      </c>
    </row>
    <row r="4379" spans="2:4" x14ac:dyDescent="0.2">
      <c r="B4379" s="876">
        <v>5254</v>
      </c>
      <c r="C4379" s="876" t="s">
        <v>5107</v>
      </c>
      <c r="D4379" s="851">
        <v>651.40832499999999</v>
      </c>
    </row>
    <row r="4380" spans="2:4" x14ac:dyDescent="0.2">
      <c r="B4380" s="876">
        <v>5255</v>
      </c>
      <c r="C4380" s="876" t="s">
        <v>5108</v>
      </c>
      <c r="D4380" s="851">
        <v>663.63809600000002</v>
      </c>
    </row>
    <row r="4381" spans="2:4" x14ac:dyDescent="0.2">
      <c r="B4381" s="876">
        <v>5256</v>
      </c>
      <c r="C4381" s="876" t="s">
        <v>5109</v>
      </c>
      <c r="D4381" s="851">
        <v>622.740002</v>
      </c>
    </row>
    <row r="4382" spans="2:4" x14ac:dyDescent="0.2">
      <c r="B4382" s="876">
        <v>5257</v>
      </c>
      <c r="C4382" s="876" t="s">
        <v>5110</v>
      </c>
      <c r="D4382" s="851">
        <v>647.85000600000001</v>
      </c>
    </row>
    <row r="4383" spans="2:4" x14ac:dyDescent="0.2">
      <c r="B4383" s="876">
        <v>5258</v>
      </c>
      <c r="C4383" s="876" t="s">
        <v>5111</v>
      </c>
      <c r="D4383" s="851">
        <v>678.14999399999999</v>
      </c>
    </row>
    <row r="4384" spans="2:4" x14ac:dyDescent="0.2">
      <c r="B4384" s="876">
        <v>5259</v>
      </c>
      <c r="C4384" s="876" t="s">
        <v>5112</v>
      </c>
      <c r="D4384" s="851">
        <v>665.77500899999995</v>
      </c>
    </row>
    <row r="4385" spans="2:4" x14ac:dyDescent="0.2">
      <c r="B4385" s="876">
        <v>5260</v>
      </c>
      <c r="C4385" s="876" t="s">
        <v>5113</v>
      </c>
      <c r="D4385" s="851">
        <v>623.97142699999995</v>
      </c>
    </row>
    <row r="4386" spans="2:4" x14ac:dyDescent="0.2">
      <c r="B4386" s="876">
        <v>5261</v>
      </c>
      <c r="C4386" s="876" t="s">
        <v>5114</v>
      </c>
      <c r="D4386" s="851">
        <v>658.03334600000005</v>
      </c>
    </row>
    <row r="4387" spans="2:4" x14ac:dyDescent="0.2">
      <c r="B4387" s="876">
        <v>5262</v>
      </c>
      <c r="C4387" s="876" t="s">
        <v>5115</v>
      </c>
      <c r="D4387" s="851">
        <v>680.89999399999999</v>
      </c>
    </row>
    <row r="4388" spans="2:4" x14ac:dyDescent="0.2">
      <c r="B4388" s="876">
        <v>5263</v>
      </c>
      <c r="C4388" s="876" t="s">
        <v>5116</v>
      </c>
      <c r="D4388" s="851">
        <v>657.43332899999996</v>
      </c>
    </row>
    <row r="4389" spans="2:4" x14ac:dyDescent="0.2">
      <c r="B4389" s="876">
        <v>5264</v>
      </c>
      <c r="C4389" s="876" t="s">
        <v>5117</v>
      </c>
      <c r="D4389" s="851">
        <v>702.62221999999997</v>
      </c>
    </row>
    <row r="4390" spans="2:4" x14ac:dyDescent="0.2">
      <c r="B4390" s="876">
        <v>5265</v>
      </c>
      <c r="C4390" s="876" t="s">
        <v>5118</v>
      </c>
      <c r="D4390" s="851">
        <v>755.494732</v>
      </c>
    </row>
    <row r="4391" spans="2:4" x14ac:dyDescent="0.2">
      <c r="B4391" s="876">
        <v>5266</v>
      </c>
      <c r="C4391" s="876" t="s">
        <v>5119</v>
      </c>
      <c r="D4391" s="851">
        <v>627.90002400000003</v>
      </c>
    </row>
    <row r="4392" spans="2:4" x14ac:dyDescent="0.2">
      <c r="B4392" s="876">
        <v>5267</v>
      </c>
      <c r="C4392" s="876" t="s">
        <v>5120</v>
      </c>
      <c r="D4392" s="851">
        <v>662.22499100000005</v>
      </c>
    </row>
    <row r="4393" spans="2:4" x14ac:dyDescent="0.2">
      <c r="B4393" s="876">
        <v>5268</v>
      </c>
      <c r="C4393" s="876" t="s">
        <v>5121</v>
      </c>
      <c r="D4393" s="851">
        <v>687.30000299999995</v>
      </c>
    </row>
    <row r="4394" spans="2:4" x14ac:dyDescent="0.2">
      <c r="B4394" s="876">
        <v>5269</v>
      </c>
      <c r="C4394" s="876" t="s">
        <v>5122</v>
      </c>
      <c r="D4394" s="851">
        <v>664.50834699999996</v>
      </c>
    </row>
    <row r="4395" spans="2:4" x14ac:dyDescent="0.2">
      <c r="B4395" s="876">
        <v>5270</v>
      </c>
      <c r="C4395" s="876" t="s">
        <v>5123</v>
      </c>
      <c r="D4395" s="851">
        <v>647.600009</v>
      </c>
    </row>
    <row r="4396" spans="2:4" x14ac:dyDescent="0.2">
      <c r="B4396" s="876">
        <v>5271</v>
      </c>
      <c r="C4396" s="876" t="s">
        <v>5124</v>
      </c>
      <c r="D4396" s="851">
        <v>653.04999799999996</v>
      </c>
    </row>
    <row r="4397" spans="2:4" x14ac:dyDescent="0.2">
      <c r="B4397" s="876">
        <v>5272</v>
      </c>
      <c r="C4397" s="876" t="s">
        <v>5125</v>
      </c>
      <c r="D4397" s="851">
        <v>659.383331</v>
      </c>
    </row>
    <row r="4398" spans="2:4" x14ac:dyDescent="0.2">
      <c r="B4398" s="876">
        <v>5273</v>
      </c>
      <c r="C4398" s="876" t="s">
        <v>4627</v>
      </c>
      <c r="D4398" s="851">
        <v>630.66667700000005</v>
      </c>
    </row>
    <row r="4399" spans="2:4" x14ac:dyDescent="0.2">
      <c r="B4399" s="876">
        <v>5274</v>
      </c>
      <c r="C4399" s="876" t="s">
        <v>5126</v>
      </c>
      <c r="D4399" s="851">
        <v>717.019049</v>
      </c>
    </row>
    <row r="4400" spans="2:4" x14ac:dyDescent="0.2">
      <c r="B4400" s="876">
        <v>5275</v>
      </c>
      <c r="C4400" s="876" t="s">
        <v>5127</v>
      </c>
      <c r="D4400" s="851">
        <v>692.62000699999999</v>
      </c>
    </row>
    <row r="4401" spans="2:4" x14ac:dyDescent="0.2">
      <c r="B4401" s="876">
        <v>5276</v>
      </c>
      <c r="C4401" s="876" t="s">
        <v>5128</v>
      </c>
      <c r="D4401" s="851">
        <v>682.76249700000005</v>
      </c>
    </row>
    <row r="4402" spans="2:4" x14ac:dyDescent="0.2">
      <c r="B4402" s="876">
        <v>5277</v>
      </c>
      <c r="C4402" s="876" t="s">
        <v>5129</v>
      </c>
      <c r="D4402" s="851">
        <v>697.09997599999997</v>
      </c>
    </row>
    <row r="4403" spans="2:4" x14ac:dyDescent="0.2">
      <c r="B4403" s="876">
        <v>5278</v>
      </c>
      <c r="C4403" s="876" t="s">
        <v>5130</v>
      </c>
      <c r="D4403" s="851">
        <v>653.22999900000002</v>
      </c>
    </row>
    <row r="4404" spans="2:4" x14ac:dyDescent="0.2">
      <c r="B4404" s="876">
        <v>5279</v>
      </c>
      <c r="C4404" s="876" t="s">
        <v>5131</v>
      </c>
      <c r="D4404" s="851">
        <v>655.885716</v>
      </c>
    </row>
    <row r="4405" spans="2:4" x14ac:dyDescent="0.2">
      <c r="B4405" s="876">
        <v>5280</v>
      </c>
      <c r="C4405" s="876" t="s">
        <v>5132</v>
      </c>
      <c r="D4405" s="851">
        <v>644.54998799999998</v>
      </c>
    </row>
    <row r="4406" spans="2:4" x14ac:dyDescent="0.2">
      <c r="B4406" s="876">
        <v>5281</v>
      </c>
      <c r="C4406" s="876" t="s">
        <v>5133</v>
      </c>
      <c r="D4406" s="851">
        <v>636.72000700000001</v>
      </c>
    </row>
    <row r="4407" spans="2:4" x14ac:dyDescent="0.2">
      <c r="B4407" s="876">
        <v>5282</v>
      </c>
      <c r="C4407" s="876" t="s">
        <v>5134</v>
      </c>
      <c r="D4407" s="851">
        <v>685.77500899999995</v>
      </c>
    </row>
    <row r="4408" spans="2:4" x14ac:dyDescent="0.2">
      <c r="B4408" s="876">
        <v>5283</v>
      </c>
      <c r="C4408" s="876" t="s">
        <v>5135</v>
      </c>
      <c r="D4408" s="851">
        <v>622.69999700000005</v>
      </c>
    </row>
    <row r="4409" spans="2:4" x14ac:dyDescent="0.2">
      <c r="B4409" s="876">
        <v>5284</v>
      </c>
      <c r="C4409" s="876" t="s">
        <v>5136</v>
      </c>
      <c r="D4409" s="851">
        <v>720.08000500000003</v>
      </c>
    </row>
    <row r="4410" spans="2:4" x14ac:dyDescent="0.2">
      <c r="B4410" s="876">
        <v>5285</v>
      </c>
      <c r="C4410" s="876" t="s">
        <v>5137</v>
      </c>
      <c r="D4410" s="851">
        <v>627.51764600000001</v>
      </c>
    </row>
    <row r="4411" spans="2:4" x14ac:dyDescent="0.2">
      <c r="B4411" s="876">
        <v>5286</v>
      </c>
      <c r="C4411" s="876" t="s">
        <v>5138</v>
      </c>
      <c r="D4411" s="851">
        <v>657.24999200000002</v>
      </c>
    </row>
    <row r="4412" spans="2:4" x14ac:dyDescent="0.2">
      <c r="B4412" s="876">
        <v>5287</v>
      </c>
      <c r="C4412" s="876" t="s">
        <v>5139</v>
      </c>
      <c r="D4412" s="851">
        <v>641.30999799999995</v>
      </c>
    </row>
    <row r="4413" spans="2:4" x14ac:dyDescent="0.2">
      <c r="B4413" s="876">
        <v>5288</v>
      </c>
      <c r="C4413" s="876" t="s">
        <v>2049</v>
      </c>
      <c r="D4413" s="851">
        <v>688.92500299999995</v>
      </c>
    </row>
    <row r="4414" spans="2:4" x14ac:dyDescent="0.2">
      <c r="B4414" s="876">
        <v>5289</v>
      </c>
      <c r="C4414" s="876" t="s">
        <v>5140</v>
      </c>
      <c r="D4414" s="851">
        <v>619.32857799999999</v>
      </c>
    </row>
    <row r="4415" spans="2:4" x14ac:dyDescent="0.2">
      <c r="B4415" s="876">
        <v>5290</v>
      </c>
      <c r="C4415" s="876" t="s">
        <v>5141</v>
      </c>
      <c r="D4415" s="851">
        <v>676.28332499999999</v>
      </c>
    </row>
    <row r="4416" spans="2:4" x14ac:dyDescent="0.2">
      <c r="B4416" s="876">
        <v>5291</v>
      </c>
      <c r="C4416" s="876" t="s">
        <v>5142</v>
      </c>
      <c r="D4416" s="851">
        <v>618.92498799999998</v>
      </c>
    </row>
    <row r="4417" spans="2:4" x14ac:dyDescent="0.2">
      <c r="B4417" s="876">
        <v>5292</v>
      </c>
      <c r="C4417" s="876" t="s">
        <v>5143</v>
      </c>
      <c r="D4417" s="851">
        <v>643.19999299999995</v>
      </c>
    </row>
    <row r="4418" spans="2:4" x14ac:dyDescent="0.2">
      <c r="B4418" s="876">
        <v>5293</v>
      </c>
      <c r="C4418" s="876" t="s">
        <v>5144</v>
      </c>
      <c r="D4418" s="851">
        <v>644.89999399999999</v>
      </c>
    </row>
    <row r="4419" spans="2:4" x14ac:dyDescent="0.2">
      <c r="B4419" s="876">
        <v>5294</v>
      </c>
      <c r="C4419" s="876" t="s">
        <v>5145</v>
      </c>
      <c r="D4419" s="851">
        <v>669.83333300000004</v>
      </c>
    </row>
    <row r="4420" spans="2:4" x14ac:dyDescent="0.2">
      <c r="B4420" s="876">
        <v>5295</v>
      </c>
      <c r="C4420" s="876" t="s">
        <v>5146</v>
      </c>
      <c r="D4420" s="851">
        <v>664.57142899999997</v>
      </c>
    </row>
    <row r="4421" spans="2:4" x14ac:dyDescent="0.2">
      <c r="B4421" s="876">
        <v>5296</v>
      </c>
      <c r="C4421" s="876" t="s">
        <v>5147</v>
      </c>
      <c r="D4421" s="851">
        <v>641.59998900000005</v>
      </c>
    </row>
    <row r="4422" spans="2:4" x14ac:dyDescent="0.2">
      <c r="B4422" s="876">
        <v>5297</v>
      </c>
      <c r="C4422" s="876" t="s">
        <v>5148</v>
      </c>
      <c r="D4422" s="851">
        <v>693.01666299999999</v>
      </c>
    </row>
    <row r="4423" spans="2:4" x14ac:dyDescent="0.2">
      <c r="B4423" s="876">
        <v>5298</v>
      </c>
      <c r="C4423" s="876" t="s">
        <v>3165</v>
      </c>
      <c r="D4423" s="851">
        <v>685.02777400000002</v>
      </c>
    </row>
    <row r="4424" spans="2:4" x14ac:dyDescent="0.2">
      <c r="B4424" s="876">
        <v>5299</v>
      </c>
      <c r="C4424" s="876" t="s">
        <v>5149</v>
      </c>
      <c r="D4424" s="851">
        <v>687.13749700000005</v>
      </c>
    </row>
    <row r="4425" spans="2:4" x14ac:dyDescent="0.2">
      <c r="B4425" s="876">
        <v>5300</v>
      </c>
      <c r="C4425" s="876" t="s">
        <v>5150</v>
      </c>
      <c r="D4425" s="851">
        <v>662.96666500000003</v>
      </c>
    </row>
    <row r="4426" spans="2:4" x14ac:dyDescent="0.2">
      <c r="B4426" s="876">
        <v>5301</v>
      </c>
      <c r="C4426" s="876" t="s">
        <v>5151</v>
      </c>
      <c r="D4426" s="851">
        <v>758.69999700000005</v>
      </c>
    </row>
    <row r="4427" spans="2:4" x14ac:dyDescent="0.2">
      <c r="B4427" s="876">
        <v>5302</v>
      </c>
      <c r="C4427" s="876" t="s">
        <v>5152</v>
      </c>
      <c r="D4427" s="851">
        <v>663.25</v>
      </c>
    </row>
    <row r="4428" spans="2:4" x14ac:dyDescent="0.2">
      <c r="B4428" s="876">
        <v>5303</v>
      </c>
      <c r="C4428" s="876" t="s">
        <v>5153</v>
      </c>
      <c r="D4428" s="851">
        <v>643.67825700000003</v>
      </c>
    </row>
    <row r="4429" spans="2:4" x14ac:dyDescent="0.2">
      <c r="B4429" s="876">
        <v>5304</v>
      </c>
      <c r="C4429" s="876" t="s">
        <v>5154</v>
      </c>
      <c r="D4429" s="851">
        <v>665.79999499999997</v>
      </c>
    </row>
    <row r="4430" spans="2:4" x14ac:dyDescent="0.2">
      <c r="B4430" s="876">
        <v>5305</v>
      </c>
      <c r="C4430" s="876" t="s">
        <v>5155</v>
      </c>
      <c r="D4430" s="851">
        <v>667.55999799999995</v>
      </c>
    </row>
    <row r="4431" spans="2:4" x14ac:dyDescent="0.2">
      <c r="B4431" s="876">
        <v>5306</v>
      </c>
      <c r="C4431" s="876" t="s">
        <v>5156</v>
      </c>
      <c r="D4431" s="851">
        <v>706.17500299999995</v>
      </c>
    </row>
    <row r="4432" spans="2:4" x14ac:dyDescent="0.2">
      <c r="B4432" s="876">
        <v>5307</v>
      </c>
      <c r="C4432" s="876" t="s">
        <v>5157</v>
      </c>
      <c r="D4432" s="851">
        <v>706.89998400000002</v>
      </c>
    </row>
    <row r="4433" spans="2:4" x14ac:dyDescent="0.2">
      <c r="B4433" s="876">
        <v>5308</v>
      </c>
      <c r="C4433" s="876" t="s">
        <v>5158</v>
      </c>
      <c r="D4433" s="851">
        <v>674.69999499999994</v>
      </c>
    </row>
    <row r="4434" spans="2:4" x14ac:dyDescent="0.2">
      <c r="B4434" s="876">
        <v>5310</v>
      </c>
      <c r="C4434" s="876" t="s">
        <v>3232</v>
      </c>
      <c r="D4434" s="851">
        <v>692.14999399999999</v>
      </c>
    </row>
    <row r="4435" spans="2:4" x14ac:dyDescent="0.2">
      <c r="B4435" s="876">
        <v>5311</v>
      </c>
      <c r="C4435" s="876" t="s">
        <v>5159</v>
      </c>
      <c r="D4435" s="851">
        <v>631.31110999999999</v>
      </c>
    </row>
    <row r="4436" spans="2:4" x14ac:dyDescent="0.2">
      <c r="B4436" s="876">
        <v>5312</v>
      </c>
      <c r="C4436" s="876" t="s">
        <v>5160</v>
      </c>
      <c r="D4436" s="851">
        <v>621.64999399999999</v>
      </c>
    </row>
    <row r="4437" spans="2:4" x14ac:dyDescent="0.2">
      <c r="B4437" s="876">
        <v>5313</v>
      </c>
      <c r="C4437" s="876" t="s">
        <v>340</v>
      </c>
      <c r="D4437" s="851">
        <v>630.39473699999996</v>
      </c>
    </row>
    <row r="4438" spans="2:4" x14ac:dyDescent="0.2">
      <c r="B4438" s="876">
        <v>5314</v>
      </c>
      <c r="C4438" s="876" t="s">
        <v>5161</v>
      </c>
      <c r="D4438" s="851">
        <v>637.10000400000001</v>
      </c>
    </row>
    <row r="4439" spans="2:4" x14ac:dyDescent="0.2">
      <c r="B4439" s="876">
        <v>5315</v>
      </c>
      <c r="C4439" s="876" t="s">
        <v>5162</v>
      </c>
      <c r="D4439" s="851">
        <v>718.07142899999997</v>
      </c>
    </row>
    <row r="4440" spans="2:4" x14ac:dyDescent="0.2">
      <c r="B4440" s="876">
        <v>5316</v>
      </c>
      <c r="C4440" s="876" t="s">
        <v>5163</v>
      </c>
      <c r="D4440" s="851">
        <v>614.70000000000005</v>
      </c>
    </row>
    <row r="4441" spans="2:4" x14ac:dyDescent="0.2">
      <c r="B4441" s="876">
        <v>5317</v>
      </c>
      <c r="C4441" s="876" t="s">
        <v>5164</v>
      </c>
      <c r="D4441" s="851">
        <v>643.22999900000002</v>
      </c>
    </row>
    <row r="4442" spans="2:4" x14ac:dyDescent="0.2">
      <c r="B4442" s="876">
        <v>5318</v>
      </c>
      <c r="C4442" s="876" t="s">
        <v>5165</v>
      </c>
      <c r="D4442" s="851">
        <v>661.56001000000003</v>
      </c>
    </row>
    <row r="4443" spans="2:4" x14ac:dyDescent="0.2">
      <c r="B4443" s="876">
        <v>5319</v>
      </c>
      <c r="C4443" s="876" t="s">
        <v>5166</v>
      </c>
      <c r="D4443" s="851">
        <v>626.05000600000005</v>
      </c>
    </row>
    <row r="4444" spans="2:4" x14ac:dyDescent="0.2">
      <c r="B4444" s="876">
        <v>5320</v>
      </c>
      <c r="C4444" s="876" t="s">
        <v>5167</v>
      </c>
      <c r="D4444" s="851">
        <v>646.71249399999999</v>
      </c>
    </row>
    <row r="4445" spans="2:4" x14ac:dyDescent="0.2">
      <c r="B4445" s="876">
        <v>5321</v>
      </c>
      <c r="C4445" s="876" t="s">
        <v>5168</v>
      </c>
      <c r="D4445" s="851">
        <v>677.80000299999995</v>
      </c>
    </row>
    <row r="4446" spans="2:4" x14ac:dyDescent="0.2">
      <c r="B4446" s="876">
        <v>5322</v>
      </c>
      <c r="C4446" s="876" t="s">
        <v>5169</v>
      </c>
      <c r="D4446" s="851">
        <v>617.52857300000005</v>
      </c>
    </row>
    <row r="4447" spans="2:4" x14ac:dyDescent="0.2">
      <c r="B4447" s="876">
        <v>5323</v>
      </c>
      <c r="C4447" s="876" t="s">
        <v>5170</v>
      </c>
      <c r="D4447" s="851">
        <v>656.66189999999995</v>
      </c>
    </row>
    <row r="4448" spans="2:4" x14ac:dyDescent="0.2">
      <c r="B4448" s="876">
        <v>5324</v>
      </c>
      <c r="C4448" s="876" t="s">
        <v>5171</v>
      </c>
      <c r="D4448" s="851">
        <v>715.09997599999997</v>
      </c>
    </row>
    <row r="4449" spans="2:4" x14ac:dyDescent="0.2">
      <c r="B4449" s="876">
        <v>5325</v>
      </c>
      <c r="C4449" s="876" t="s">
        <v>5172</v>
      </c>
      <c r="D4449" s="851">
        <v>658.68888300000003</v>
      </c>
    </row>
    <row r="4450" spans="2:4" x14ac:dyDescent="0.2">
      <c r="B4450" s="876">
        <v>5326</v>
      </c>
      <c r="C4450" s="876" t="s">
        <v>5173</v>
      </c>
      <c r="D4450" s="851">
        <v>664.93335000000002</v>
      </c>
    </row>
    <row r="4451" spans="2:4" x14ac:dyDescent="0.2">
      <c r="B4451" s="876">
        <v>5327</v>
      </c>
      <c r="C4451" s="876" t="s">
        <v>5174</v>
      </c>
      <c r="D4451" s="851">
        <v>616.10000600000001</v>
      </c>
    </row>
    <row r="4452" spans="2:4" x14ac:dyDescent="0.2">
      <c r="B4452" s="876">
        <v>5328</v>
      </c>
      <c r="C4452" s="876" t="s">
        <v>5175</v>
      </c>
      <c r="D4452" s="851">
        <v>663.54999499999997</v>
      </c>
    </row>
    <row r="4453" spans="2:4" x14ac:dyDescent="0.2">
      <c r="B4453" s="876">
        <v>5329</v>
      </c>
      <c r="C4453" s="876" t="s">
        <v>5176</v>
      </c>
      <c r="D4453" s="851">
        <v>678.02222400000005</v>
      </c>
    </row>
    <row r="4454" spans="2:4" x14ac:dyDescent="0.2">
      <c r="B4454" s="876">
        <v>5330</v>
      </c>
      <c r="C4454" s="876" t="s">
        <v>5177</v>
      </c>
      <c r="D4454" s="851">
        <v>641.41428900000005</v>
      </c>
    </row>
    <row r="4455" spans="2:4" x14ac:dyDescent="0.2">
      <c r="B4455" s="876">
        <v>5331</v>
      </c>
      <c r="C4455" s="876" t="s">
        <v>5178</v>
      </c>
      <c r="D4455" s="851">
        <v>703.79167700000005</v>
      </c>
    </row>
    <row r="4456" spans="2:4" x14ac:dyDescent="0.2">
      <c r="B4456" s="876">
        <v>5332</v>
      </c>
      <c r="C4456" s="876" t="s">
        <v>5179</v>
      </c>
      <c r="D4456" s="851">
        <v>615.09088699999995</v>
      </c>
    </row>
    <row r="4457" spans="2:4" x14ac:dyDescent="0.2">
      <c r="B4457" s="876">
        <v>5333</v>
      </c>
      <c r="C4457" s="876" t="s">
        <v>5180</v>
      </c>
      <c r="D4457" s="851">
        <v>655.09997599999997</v>
      </c>
    </row>
    <row r="4458" spans="2:4" x14ac:dyDescent="0.2">
      <c r="B4458" s="876">
        <v>5334</v>
      </c>
      <c r="C4458" s="876" t="s">
        <v>5181</v>
      </c>
      <c r="D4458" s="851">
        <v>634.59997599999997</v>
      </c>
    </row>
    <row r="4459" spans="2:4" x14ac:dyDescent="0.2">
      <c r="B4459" s="876">
        <v>5335</v>
      </c>
      <c r="C4459" s="876" t="s">
        <v>5182</v>
      </c>
      <c r="D4459" s="851">
        <v>663.25000399999999</v>
      </c>
    </row>
    <row r="4460" spans="2:4" x14ac:dyDescent="0.2">
      <c r="B4460" s="876">
        <v>5336</v>
      </c>
      <c r="C4460" s="876" t="s">
        <v>5183</v>
      </c>
      <c r="D4460" s="851">
        <v>643.63332100000002</v>
      </c>
    </row>
    <row r="4461" spans="2:4" x14ac:dyDescent="0.2">
      <c r="B4461" s="876">
        <v>5337</v>
      </c>
      <c r="C4461" s="876" t="s">
        <v>5184</v>
      </c>
      <c r="D4461" s="851">
        <v>646.13333499999999</v>
      </c>
    </row>
    <row r="4462" spans="2:4" x14ac:dyDescent="0.2">
      <c r="B4462" s="876">
        <v>5338</v>
      </c>
      <c r="C4462" s="876" t="s">
        <v>5185</v>
      </c>
      <c r="D4462" s="851">
        <v>675.69230800000003</v>
      </c>
    </row>
    <row r="4463" spans="2:4" x14ac:dyDescent="0.2">
      <c r="B4463" s="876">
        <v>5339</v>
      </c>
      <c r="C4463" s="876" t="s">
        <v>5186</v>
      </c>
      <c r="D4463" s="851">
        <v>656.88181899999995</v>
      </c>
    </row>
    <row r="4464" spans="2:4" x14ac:dyDescent="0.2">
      <c r="B4464" s="876">
        <v>5340</v>
      </c>
      <c r="C4464" s="876" t="s">
        <v>5187</v>
      </c>
      <c r="D4464" s="851">
        <v>632.1</v>
      </c>
    </row>
    <row r="4465" spans="2:4" x14ac:dyDescent="0.2">
      <c r="B4465" s="876">
        <v>5341</v>
      </c>
      <c r="C4465" s="876" t="s">
        <v>1663</v>
      </c>
      <c r="D4465" s="851">
        <v>668.5</v>
      </c>
    </row>
    <row r="4466" spans="2:4" x14ac:dyDescent="0.2">
      <c r="B4466" s="876">
        <v>5342</v>
      </c>
      <c r="C4466" s="876" t="s">
        <v>5188</v>
      </c>
      <c r="D4466" s="851">
        <v>664.09999100000005</v>
      </c>
    </row>
    <row r="4467" spans="2:4" x14ac:dyDescent="0.2">
      <c r="B4467" s="876">
        <v>5343</v>
      </c>
      <c r="C4467" s="876" t="s">
        <v>5189</v>
      </c>
      <c r="D4467" s="851">
        <v>676.01667299999997</v>
      </c>
    </row>
    <row r="4468" spans="2:4" x14ac:dyDescent="0.2">
      <c r="B4468" s="876">
        <v>5344</v>
      </c>
      <c r="C4468" s="876" t="s">
        <v>5190</v>
      </c>
      <c r="D4468" s="851">
        <v>709.33846300000005</v>
      </c>
    </row>
    <row r="4469" spans="2:4" x14ac:dyDescent="0.2">
      <c r="B4469" s="876">
        <v>5346</v>
      </c>
      <c r="C4469" s="876" t="s">
        <v>5191</v>
      </c>
      <c r="D4469" s="851">
        <v>617.40002400000003</v>
      </c>
    </row>
    <row r="4470" spans="2:4" x14ac:dyDescent="0.2">
      <c r="B4470" s="876">
        <v>5347</v>
      </c>
      <c r="C4470" s="876" t="s">
        <v>4788</v>
      </c>
      <c r="D4470" s="851">
        <v>809.53334600000005</v>
      </c>
    </row>
    <row r="4471" spans="2:4" x14ac:dyDescent="0.2">
      <c r="B4471" s="876">
        <v>5348</v>
      </c>
      <c r="C4471" s="876" t="s">
        <v>5192</v>
      </c>
      <c r="D4471" s="851">
        <v>685.46001000000001</v>
      </c>
    </row>
    <row r="4472" spans="2:4" x14ac:dyDescent="0.2">
      <c r="B4472" s="876">
        <v>5349</v>
      </c>
      <c r="C4472" s="876" t="s">
        <v>5193</v>
      </c>
      <c r="D4472" s="851">
        <v>671.728568</v>
      </c>
    </row>
    <row r="4473" spans="2:4" x14ac:dyDescent="0.2">
      <c r="B4473" s="876">
        <v>5350</v>
      </c>
      <c r="C4473" s="876" t="s">
        <v>5194</v>
      </c>
      <c r="D4473" s="851">
        <v>666.87501499999996</v>
      </c>
    </row>
    <row r="4474" spans="2:4" x14ac:dyDescent="0.2">
      <c r="B4474" s="876">
        <v>5351</v>
      </c>
      <c r="C4474" s="876" t="s">
        <v>5195</v>
      </c>
      <c r="D4474" s="851">
        <v>664.30001200000004</v>
      </c>
    </row>
    <row r="4475" spans="2:4" x14ac:dyDescent="0.2">
      <c r="B4475" s="876">
        <v>5352</v>
      </c>
      <c r="C4475" s="876" t="s">
        <v>5196</v>
      </c>
      <c r="D4475" s="851">
        <v>659.99999100000002</v>
      </c>
    </row>
    <row r="4476" spans="2:4" x14ac:dyDescent="0.2">
      <c r="B4476" s="876">
        <v>5353</v>
      </c>
      <c r="C4476" s="876" t="s">
        <v>2445</v>
      </c>
      <c r="D4476" s="851">
        <v>697.76666299999999</v>
      </c>
    </row>
    <row r="4477" spans="2:4" x14ac:dyDescent="0.2">
      <c r="B4477" s="876">
        <v>5354</v>
      </c>
      <c r="C4477" s="876" t="s">
        <v>5197</v>
      </c>
      <c r="D4477" s="851">
        <v>694.12856599999998</v>
      </c>
    </row>
    <row r="4478" spans="2:4" x14ac:dyDescent="0.2">
      <c r="B4478" s="876">
        <v>5355</v>
      </c>
      <c r="C4478" s="876" t="s">
        <v>5198</v>
      </c>
      <c r="D4478" s="851">
        <v>661.98570900000004</v>
      </c>
    </row>
    <row r="4479" spans="2:4" x14ac:dyDescent="0.2">
      <c r="B4479" s="876">
        <v>5356</v>
      </c>
      <c r="C4479" s="876" t="s">
        <v>5199</v>
      </c>
      <c r="D4479" s="851">
        <v>720.70001200000002</v>
      </c>
    </row>
    <row r="4480" spans="2:4" x14ac:dyDescent="0.2">
      <c r="B4480" s="876">
        <v>5357</v>
      </c>
      <c r="C4480" s="876" t="s">
        <v>5200</v>
      </c>
      <c r="D4480" s="851">
        <v>665.41333799999995</v>
      </c>
    </row>
    <row r="4481" spans="2:4" x14ac:dyDescent="0.2">
      <c r="B4481" s="876">
        <v>5358</v>
      </c>
      <c r="C4481" s="876" t="s">
        <v>5201</v>
      </c>
      <c r="D4481" s="851">
        <v>650.88665800000001</v>
      </c>
    </row>
    <row r="4482" spans="2:4" x14ac:dyDescent="0.2">
      <c r="B4482" s="876">
        <v>5359</v>
      </c>
      <c r="C4482" s="876" t="s">
        <v>5202</v>
      </c>
      <c r="D4482" s="851">
        <v>738</v>
      </c>
    </row>
    <row r="4483" spans="2:4" x14ac:dyDescent="0.2">
      <c r="B4483" s="876">
        <v>5360</v>
      </c>
      <c r="C4483" s="876" t="s">
        <v>5203</v>
      </c>
      <c r="D4483" s="851">
        <v>686.06664999999998</v>
      </c>
    </row>
    <row r="4484" spans="2:4" x14ac:dyDescent="0.2">
      <c r="B4484" s="876">
        <v>5361</v>
      </c>
      <c r="C4484" s="876" t="s">
        <v>5204</v>
      </c>
      <c r="D4484" s="851">
        <v>625.30000800000005</v>
      </c>
    </row>
    <row r="4485" spans="2:4" x14ac:dyDescent="0.2">
      <c r="B4485" s="876">
        <v>5363</v>
      </c>
      <c r="C4485" s="876" t="s">
        <v>5205</v>
      </c>
      <c r="D4485" s="851">
        <v>623.79999999999995</v>
      </c>
    </row>
    <row r="4486" spans="2:4" x14ac:dyDescent="0.2">
      <c r="B4486" s="876">
        <v>5401</v>
      </c>
      <c r="C4486" s="876" t="s">
        <v>5206</v>
      </c>
      <c r="D4486" s="851">
        <v>773.07500200000004</v>
      </c>
    </row>
    <row r="4487" spans="2:4" x14ac:dyDescent="0.2">
      <c r="B4487" s="876">
        <v>5402</v>
      </c>
      <c r="C4487" s="876" t="s">
        <v>5207</v>
      </c>
      <c r="D4487" s="851">
        <v>748.57777899999996</v>
      </c>
    </row>
    <row r="4488" spans="2:4" x14ac:dyDescent="0.2">
      <c r="B4488" s="876">
        <v>5403</v>
      </c>
      <c r="C4488" s="876" t="s">
        <v>5208</v>
      </c>
      <c r="D4488" s="851">
        <v>728.40000899999995</v>
      </c>
    </row>
    <row r="4489" spans="2:4" x14ac:dyDescent="0.2">
      <c r="B4489" s="876">
        <v>5404</v>
      </c>
      <c r="C4489" s="876" t="s">
        <v>5209</v>
      </c>
      <c r="D4489" s="851">
        <v>757.24286800000004</v>
      </c>
    </row>
    <row r="4490" spans="2:4" x14ac:dyDescent="0.2">
      <c r="B4490" s="876">
        <v>5405</v>
      </c>
      <c r="C4490" s="876" t="s">
        <v>5210</v>
      </c>
      <c r="D4490" s="851">
        <v>762.64285700000005</v>
      </c>
    </row>
    <row r="4491" spans="2:4" x14ac:dyDescent="0.2">
      <c r="B4491" s="876">
        <v>5406</v>
      </c>
      <c r="C4491" s="876" t="s">
        <v>5211</v>
      </c>
      <c r="D4491" s="851">
        <v>709.259998</v>
      </c>
    </row>
    <row r="4492" spans="2:4" x14ac:dyDescent="0.2">
      <c r="B4492" s="876">
        <v>5407</v>
      </c>
      <c r="C4492" s="876" t="s">
        <v>5212</v>
      </c>
      <c r="D4492" s="851">
        <v>715.64615600000002</v>
      </c>
    </row>
    <row r="4493" spans="2:4" x14ac:dyDescent="0.2">
      <c r="B4493" s="876">
        <v>5408</v>
      </c>
      <c r="C4493" s="876" t="s">
        <v>5213</v>
      </c>
      <c r="D4493" s="851">
        <v>775.19375600000001</v>
      </c>
    </row>
    <row r="4494" spans="2:4" x14ac:dyDescent="0.2">
      <c r="B4494" s="876">
        <v>5409</v>
      </c>
      <c r="C4494" s="876" t="s">
        <v>5214</v>
      </c>
      <c r="D4494" s="851">
        <v>713.41538600000001</v>
      </c>
    </row>
    <row r="4495" spans="2:4" x14ac:dyDescent="0.2">
      <c r="B4495" s="876">
        <v>5410</v>
      </c>
      <c r="C4495" s="876" t="s">
        <v>5215</v>
      </c>
      <c r="D4495" s="851">
        <v>686.15453500000001</v>
      </c>
    </row>
    <row r="4496" spans="2:4" x14ac:dyDescent="0.2">
      <c r="B4496" s="876">
        <v>5411</v>
      </c>
      <c r="C4496" s="876" t="s">
        <v>5216</v>
      </c>
      <c r="D4496" s="851">
        <v>716.41999499999997</v>
      </c>
    </row>
    <row r="4497" spans="2:4" x14ac:dyDescent="0.2">
      <c r="B4497" s="876">
        <v>5412</v>
      </c>
      <c r="C4497" s="876" t="s">
        <v>5217</v>
      </c>
      <c r="D4497" s="851">
        <v>735.60001199999999</v>
      </c>
    </row>
    <row r="4498" spans="2:4" x14ac:dyDescent="0.2">
      <c r="B4498" s="876">
        <v>5413</v>
      </c>
      <c r="C4498" s="876" t="s">
        <v>5218</v>
      </c>
      <c r="D4498" s="851">
        <v>703.43998999999997</v>
      </c>
    </row>
    <row r="4499" spans="2:4" x14ac:dyDescent="0.2">
      <c r="B4499" s="876">
        <v>5414</v>
      </c>
      <c r="C4499" s="876" t="s">
        <v>5219</v>
      </c>
      <c r="D4499" s="851">
        <v>706.68666599999995</v>
      </c>
    </row>
    <row r="4500" spans="2:4" x14ac:dyDescent="0.2">
      <c r="B4500" s="876">
        <v>5415</v>
      </c>
      <c r="C4500" s="876" t="s">
        <v>5220</v>
      </c>
      <c r="D4500" s="851">
        <v>682.95001200000002</v>
      </c>
    </row>
    <row r="4501" spans="2:4" x14ac:dyDescent="0.2">
      <c r="B4501" s="876">
        <v>5416</v>
      </c>
      <c r="C4501" s="876" t="s">
        <v>4774</v>
      </c>
      <c r="D4501" s="851">
        <v>694.87777400000004</v>
      </c>
    </row>
    <row r="4502" spans="2:4" x14ac:dyDescent="0.2">
      <c r="B4502" s="876">
        <v>5417</v>
      </c>
      <c r="C4502" s="876" t="s">
        <v>5221</v>
      </c>
      <c r="D4502" s="851">
        <v>744.20000600000003</v>
      </c>
    </row>
    <row r="4503" spans="2:4" x14ac:dyDescent="0.2">
      <c r="B4503" s="876">
        <v>5418</v>
      </c>
      <c r="C4503" s="876" t="s">
        <v>5222</v>
      </c>
      <c r="D4503" s="851">
        <v>695.08921299999997</v>
      </c>
    </row>
    <row r="4504" spans="2:4" x14ac:dyDescent="0.2">
      <c r="B4504" s="876">
        <v>5419</v>
      </c>
      <c r="C4504" s="876" t="s">
        <v>5223</v>
      </c>
      <c r="D4504" s="851">
        <v>744.24615500000004</v>
      </c>
    </row>
    <row r="4505" spans="2:4" x14ac:dyDescent="0.2">
      <c r="B4505" s="876">
        <v>5420</v>
      </c>
      <c r="C4505" s="876" t="s">
        <v>4078</v>
      </c>
      <c r="D4505" s="851">
        <v>763.93636300000003</v>
      </c>
    </row>
    <row r="4506" spans="2:4" x14ac:dyDescent="0.2">
      <c r="B4506" s="876">
        <v>5421</v>
      </c>
      <c r="C4506" s="876" t="s">
        <v>5224</v>
      </c>
      <c r="D4506" s="851">
        <v>717.31666099999995</v>
      </c>
    </row>
    <row r="4507" spans="2:4" x14ac:dyDescent="0.2">
      <c r="B4507" s="876">
        <v>5422</v>
      </c>
      <c r="C4507" s="876" t="s">
        <v>5225</v>
      </c>
      <c r="D4507" s="851">
        <v>710.45554600000003</v>
      </c>
    </row>
    <row r="4508" spans="2:4" x14ac:dyDescent="0.2">
      <c r="B4508" s="876">
        <v>5423</v>
      </c>
      <c r="C4508" s="876" t="s">
        <v>5226</v>
      </c>
      <c r="D4508" s="851">
        <v>697.758331</v>
      </c>
    </row>
    <row r="4509" spans="2:4" x14ac:dyDescent="0.2">
      <c r="B4509" s="876">
        <v>5424</v>
      </c>
      <c r="C4509" s="876" t="s">
        <v>1784</v>
      </c>
      <c r="D4509" s="851">
        <v>681.26249700000005</v>
      </c>
    </row>
    <row r="4510" spans="2:4" x14ac:dyDescent="0.2">
      <c r="B4510" s="876">
        <v>5425</v>
      </c>
      <c r="C4510" s="876" t="s">
        <v>5227</v>
      </c>
      <c r="D4510" s="851">
        <v>712.92999899999995</v>
      </c>
    </row>
    <row r="4511" spans="2:4" x14ac:dyDescent="0.2">
      <c r="B4511" s="876">
        <v>5426</v>
      </c>
      <c r="C4511" s="876" t="s">
        <v>5228</v>
      </c>
      <c r="D4511" s="851">
        <v>685.38750500000003</v>
      </c>
    </row>
    <row r="4512" spans="2:4" x14ac:dyDescent="0.2">
      <c r="B4512" s="876">
        <v>5427</v>
      </c>
      <c r="C4512" s="876" t="s">
        <v>1523</v>
      </c>
      <c r="D4512" s="851">
        <v>703.70001200000002</v>
      </c>
    </row>
    <row r="4513" spans="2:4" x14ac:dyDescent="0.2">
      <c r="B4513" s="876">
        <v>5428</v>
      </c>
      <c r="C4513" s="876" t="s">
        <v>5229</v>
      </c>
      <c r="D4513" s="851">
        <v>698.740002</v>
      </c>
    </row>
    <row r="4514" spans="2:4" x14ac:dyDescent="0.2">
      <c r="B4514" s="876">
        <v>5429</v>
      </c>
      <c r="C4514" s="876" t="s">
        <v>5230</v>
      </c>
      <c r="D4514" s="851">
        <v>685.81999499999995</v>
      </c>
    </row>
    <row r="4515" spans="2:4" x14ac:dyDescent="0.2">
      <c r="B4515" s="876">
        <v>5430</v>
      </c>
      <c r="C4515" s="876" t="s">
        <v>5231</v>
      </c>
      <c r="D4515" s="851">
        <v>696.59997599999997</v>
      </c>
    </row>
    <row r="4516" spans="2:4" x14ac:dyDescent="0.2">
      <c r="B4516" s="876">
        <v>5431</v>
      </c>
      <c r="C4516" s="876" t="s">
        <v>5232</v>
      </c>
      <c r="D4516" s="851">
        <v>683.13332100000002</v>
      </c>
    </row>
    <row r="4517" spans="2:4" x14ac:dyDescent="0.2">
      <c r="B4517" s="876">
        <v>5432</v>
      </c>
      <c r="C4517" s="876" t="s">
        <v>5233</v>
      </c>
      <c r="D4517" s="851">
        <v>700.83333300000004</v>
      </c>
    </row>
    <row r="4518" spans="2:4" x14ac:dyDescent="0.2">
      <c r="B4518" s="876">
        <v>5433</v>
      </c>
      <c r="C4518" s="876" t="s">
        <v>5234</v>
      </c>
      <c r="D4518" s="851">
        <v>724.91666699999996</v>
      </c>
    </row>
    <row r="4519" spans="2:4" x14ac:dyDescent="0.2">
      <c r="B4519" s="876">
        <v>5434</v>
      </c>
      <c r="C4519" s="876" t="s">
        <v>5235</v>
      </c>
      <c r="D4519" s="851">
        <v>733.94998199999998</v>
      </c>
    </row>
    <row r="4520" spans="2:4" x14ac:dyDescent="0.2">
      <c r="B4520" s="876">
        <v>5435</v>
      </c>
      <c r="C4520" s="876" t="s">
        <v>5236</v>
      </c>
      <c r="D4520" s="851">
        <v>601.60000600000001</v>
      </c>
    </row>
    <row r="4521" spans="2:4" x14ac:dyDescent="0.2">
      <c r="B4521" s="876">
        <v>5436</v>
      </c>
      <c r="C4521" s="876" t="s">
        <v>5237</v>
      </c>
      <c r="D4521" s="851">
        <v>653.69999499999994</v>
      </c>
    </row>
    <row r="4522" spans="2:4" x14ac:dyDescent="0.2">
      <c r="B4522" s="876">
        <v>5437</v>
      </c>
      <c r="C4522" s="876" t="s">
        <v>2504</v>
      </c>
      <c r="D4522" s="851">
        <v>638.53332499999999</v>
      </c>
    </row>
    <row r="4523" spans="2:4" x14ac:dyDescent="0.2">
      <c r="B4523" s="876">
        <v>5438</v>
      </c>
      <c r="C4523" s="876" t="s">
        <v>5238</v>
      </c>
      <c r="D4523" s="851">
        <v>716.76000999999997</v>
      </c>
    </row>
    <row r="4524" spans="2:4" x14ac:dyDescent="0.2">
      <c r="B4524" s="876">
        <v>5439</v>
      </c>
      <c r="C4524" s="876" t="s">
        <v>5239</v>
      </c>
      <c r="D4524" s="851">
        <v>694.27499399999999</v>
      </c>
    </row>
    <row r="4525" spans="2:4" x14ac:dyDescent="0.2">
      <c r="B4525" s="876">
        <v>5440</v>
      </c>
      <c r="C4525" s="876" t="s">
        <v>5240</v>
      </c>
      <c r="D4525" s="851">
        <v>687.5</v>
      </c>
    </row>
    <row r="4526" spans="2:4" x14ac:dyDescent="0.2">
      <c r="B4526" s="876">
        <v>5441</v>
      </c>
      <c r="C4526" s="876" t="s">
        <v>5241</v>
      </c>
      <c r="D4526" s="851">
        <v>628.23999000000003</v>
      </c>
    </row>
    <row r="4527" spans="2:4" x14ac:dyDescent="0.2">
      <c r="B4527" s="876">
        <v>5442</v>
      </c>
      <c r="C4527" s="876" t="s">
        <v>5242</v>
      </c>
      <c r="D4527" s="851">
        <v>641.46667500000001</v>
      </c>
    </row>
    <row r="4528" spans="2:4" x14ac:dyDescent="0.2">
      <c r="B4528" s="876">
        <v>5443</v>
      </c>
      <c r="C4528" s="876" t="s">
        <v>1213</v>
      </c>
      <c r="D4528" s="851">
        <v>677.79998799999998</v>
      </c>
    </row>
    <row r="4529" spans="2:4" x14ac:dyDescent="0.2">
      <c r="B4529" s="876">
        <v>5444</v>
      </c>
      <c r="C4529" s="876" t="s">
        <v>5243</v>
      </c>
      <c r="D4529" s="851">
        <v>731.56001000000003</v>
      </c>
    </row>
    <row r="4530" spans="2:4" x14ac:dyDescent="0.2">
      <c r="B4530" s="876">
        <v>5445</v>
      </c>
      <c r="C4530" s="876" t="s">
        <v>5244</v>
      </c>
      <c r="D4530" s="851">
        <v>703.759998</v>
      </c>
    </row>
    <row r="4531" spans="2:4" x14ac:dyDescent="0.2">
      <c r="B4531" s="876">
        <v>5446</v>
      </c>
      <c r="C4531" s="876" t="s">
        <v>5245</v>
      </c>
      <c r="D4531" s="851">
        <v>732.54999799999996</v>
      </c>
    </row>
    <row r="4532" spans="2:4" x14ac:dyDescent="0.2">
      <c r="B4532" s="876">
        <v>5447</v>
      </c>
      <c r="C4532" s="876" t="s">
        <v>1843</v>
      </c>
      <c r="D4532" s="851">
        <v>669.38889600000005</v>
      </c>
    </row>
    <row r="4533" spans="2:4" x14ac:dyDescent="0.2">
      <c r="B4533" s="876">
        <v>5450</v>
      </c>
      <c r="C4533" s="876" t="s">
        <v>5246</v>
      </c>
      <c r="D4533" s="851">
        <v>721.159088</v>
      </c>
    </row>
    <row r="4534" spans="2:4" x14ac:dyDescent="0.2">
      <c r="B4534" s="876">
        <v>5451</v>
      </c>
      <c r="C4534" s="876" t="s">
        <v>5247</v>
      </c>
      <c r="D4534" s="851">
        <v>744.23750299999995</v>
      </c>
    </row>
    <row r="4535" spans="2:4" x14ac:dyDescent="0.2">
      <c r="B4535" s="876">
        <v>5452</v>
      </c>
      <c r="C4535" s="876" t="s">
        <v>5248</v>
      </c>
      <c r="D4535" s="851">
        <v>709.12221999999997</v>
      </c>
    </row>
    <row r="4536" spans="2:4" x14ac:dyDescent="0.2">
      <c r="B4536" s="876">
        <v>5453</v>
      </c>
      <c r="C4536" s="876" t="s">
        <v>5249</v>
      </c>
      <c r="D4536" s="851">
        <v>698.383331</v>
      </c>
    </row>
    <row r="4537" spans="2:4" x14ac:dyDescent="0.2">
      <c r="B4537" s="876">
        <v>5454</v>
      </c>
      <c r="C4537" s="876" t="s">
        <v>5250</v>
      </c>
      <c r="D4537" s="851">
        <v>718.136841</v>
      </c>
    </row>
    <row r="4538" spans="2:4" x14ac:dyDescent="0.2">
      <c r="B4538" s="876">
        <v>5455</v>
      </c>
      <c r="C4538" s="876" t="s">
        <v>5251</v>
      </c>
      <c r="D4538" s="851">
        <v>703.20001200000002</v>
      </c>
    </row>
    <row r="4539" spans="2:4" x14ac:dyDescent="0.2">
      <c r="B4539" s="876">
        <v>5456</v>
      </c>
      <c r="C4539" s="876" t="s">
        <v>5252</v>
      </c>
      <c r="D4539" s="851">
        <v>731.17999899999995</v>
      </c>
    </row>
    <row r="4540" spans="2:4" x14ac:dyDescent="0.2">
      <c r="B4540" s="876">
        <v>5457</v>
      </c>
      <c r="C4540" s="876" t="s">
        <v>5253</v>
      </c>
      <c r="D4540" s="851">
        <v>722.86000999999999</v>
      </c>
    </row>
    <row r="4541" spans="2:4" x14ac:dyDescent="0.2">
      <c r="B4541" s="876">
        <v>5458</v>
      </c>
      <c r="C4541" s="876" t="s">
        <v>1621</v>
      </c>
      <c r="D4541" s="851">
        <v>679.85000600000001</v>
      </c>
    </row>
    <row r="4542" spans="2:4" x14ac:dyDescent="0.2">
      <c r="B4542" s="876">
        <v>5459</v>
      </c>
      <c r="C4542" s="876" t="s">
        <v>5254</v>
      </c>
      <c r="D4542" s="851">
        <v>616.20001200000002</v>
      </c>
    </row>
    <row r="4543" spans="2:4" x14ac:dyDescent="0.2">
      <c r="B4543" s="876">
        <v>5460</v>
      </c>
      <c r="C4543" s="876" t="s">
        <v>5255</v>
      </c>
      <c r="D4543" s="851">
        <v>652.33333300000004</v>
      </c>
    </row>
    <row r="4544" spans="2:4" x14ac:dyDescent="0.2">
      <c r="B4544" s="876">
        <v>5461</v>
      </c>
      <c r="C4544" s="876" t="s">
        <v>5256</v>
      </c>
      <c r="D4544" s="851">
        <v>655.12000699999999</v>
      </c>
    </row>
    <row r="4545" spans="2:4" x14ac:dyDescent="0.2">
      <c r="B4545" s="876">
        <v>5462</v>
      </c>
      <c r="C4545" s="876" t="s">
        <v>2225</v>
      </c>
      <c r="D4545" s="851">
        <v>612.71999500000004</v>
      </c>
    </row>
    <row r="4546" spans="2:4" x14ac:dyDescent="0.2">
      <c r="B4546" s="876">
        <v>5463</v>
      </c>
      <c r="C4546" s="876" t="s">
        <v>5257</v>
      </c>
      <c r="D4546" s="851">
        <v>673.49998500000004</v>
      </c>
    </row>
    <row r="4547" spans="2:4" x14ac:dyDescent="0.2">
      <c r="B4547" s="876">
        <v>5464</v>
      </c>
      <c r="C4547" s="876" t="s">
        <v>5258</v>
      </c>
      <c r="D4547" s="851">
        <v>656.50000599999998</v>
      </c>
    </row>
    <row r="4548" spans="2:4" x14ac:dyDescent="0.2">
      <c r="B4548" s="876">
        <v>5465</v>
      </c>
      <c r="C4548" s="876" t="s">
        <v>5259</v>
      </c>
      <c r="D4548" s="851">
        <v>640.48000500000001</v>
      </c>
    </row>
    <row r="4549" spans="2:4" x14ac:dyDescent="0.2">
      <c r="B4549" s="876">
        <v>5466</v>
      </c>
      <c r="C4549" s="876" t="s">
        <v>5260</v>
      </c>
      <c r="D4549" s="851">
        <v>714.54444699999999</v>
      </c>
    </row>
    <row r="4550" spans="2:4" x14ac:dyDescent="0.2">
      <c r="B4550" s="876">
        <v>5467</v>
      </c>
      <c r="C4550" s="876" t="s">
        <v>5261</v>
      </c>
      <c r="D4550" s="851">
        <v>727.09997599999997</v>
      </c>
    </row>
    <row r="4551" spans="2:4" x14ac:dyDescent="0.2">
      <c r="B4551" s="876">
        <v>5468</v>
      </c>
      <c r="C4551" s="876" t="s">
        <v>5262</v>
      </c>
      <c r="D4551" s="851">
        <v>651.4</v>
      </c>
    </row>
    <row r="4552" spans="2:4" x14ac:dyDescent="0.2">
      <c r="B4552" s="876">
        <v>5469</v>
      </c>
      <c r="C4552" s="876" t="s">
        <v>5263</v>
      </c>
      <c r="D4552" s="851">
        <v>660.70001200000002</v>
      </c>
    </row>
    <row r="4553" spans="2:4" x14ac:dyDescent="0.2">
      <c r="B4553" s="876">
        <v>5470</v>
      </c>
      <c r="C4553" s="876" t="s">
        <v>5264</v>
      </c>
      <c r="D4553" s="851">
        <v>702.82223199999999</v>
      </c>
    </row>
    <row r="4554" spans="2:4" x14ac:dyDescent="0.2">
      <c r="B4554" s="876">
        <v>5471</v>
      </c>
      <c r="C4554" s="876" t="s">
        <v>5265</v>
      </c>
      <c r="D4554" s="851">
        <v>726.93335000000002</v>
      </c>
    </row>
    <row r="4555" spans="2:4" x14ac:dyDescent="0.2">
      <c r="B4555" s="876">
        <v>5472</v>
      </c>
      <c r="C4555" s="876" t="s">
        <v>5266</v>
      </c>
      <c r="D4555" s="851">
        <v>668.20769299999995</v>
      </c>
    </row>
    <row r="4556" spans="2:4" x14ac:dyDescent="0.2">
      <c r="B4556" s="876">
        <v>5473</v>
      </c>
      <c r="C4556" s="876" t="s">
        <v>4685</v>
      </c>
      <c r="D4556" s="851">
        <v>680.55000299999995</v>
      </c>
    </row>
    <row r="4557" spans="2:4" x14ac:dyDescent="0.2">
      <c r="B4557" s="876">
        <v>5474</v>
      </c>
      <c r="C4557" s="876" t="s">
        <v>2855</v>
      </c>
      <c r="D4557" s="851">
        <v>728.572721</v>
      </c>
    </row>
    <row r="4558" spans="2:4" x14ac:dyDescent="0.2">
      <c r="B4558" s="876">
        <v>5475</v>
      </c>
      <c r="C4558" s="876" t="s">
        <v>5267</v>
      </c>
      <c r="D4558" s="851">
        <v>594.31428700000004</v>
      </c>
    </row>
    <row r="4559" spans="2:4" x14ac:dyDescent="0.2">
      <c r="B4559" s="876">
        <v>5476</v>
      </c>
      <c r="C4559" s="876" t="s">
        <v>5268</v>
      </c>
      <c r="D4559" s="851">
        <v>656.00001199999997</v>
      </c>
    </row>
    <row r="4560" spans="2:4" x14ac:dyDescent="0.2">
      <c r="B4560" s="876">
        <v>5477</v>
      </c>
      <c r="C4560" s="876" t="s">
        <v>5269</v>
      </c>
      <c r="D4560" s="851">
        <v>712.75714100000005</v>
      </c>
    </row>
    <row r="4561" spans="2:4" x14ac:dyDescent="0.2">
      <c r="B4561" s="876">
        <v>5478</v>
      </c>
      <c r="C4561" s="876" t="s">
        <v>5270</v>
      </c>
      <c r="D4561" s="851">
        <v>677.97857199999999</v>
      </c>
    </row>
    <row r="4562" spans="2:4" x14ac:dyDescent="0.2">
      <c r="B4562" s="876">
        <v>5479</v>
      </c>
      <c r="C4562" s="876" t="s">
        <v>2306</v>
      </c>
      <c r="D4562" s="851">
        <v>718.95453399999997</v>
      </c>
    </row>
    <row r="4563" spans="2:4" x14ac:dyDescent="0.2">
      <c r="B4563" s="876">
        <v>5480</v>
      </c>
      <c r="C4563" s="876" t="s">
        <v>5271</v>
      </c>
      <c r="D4563" s="851">
        <v>704.62727500000005</v>
      </c>
    </row>
    <row r="4564" spans="2:4" x14ac:dyDescent="0.2">
      <c r="B4564" s="876">
        <v>5481</v>
      </c>
      <c r="C4564" s="876" t="s">
        <v>5272</v>
      </c>
      <c r="D4564" s="851">
        <v>708.44615299999998</v>
      </c>
    </row>
    <row r="4565" spans="2:4" x14ac:dyDescent="0.2">
      <c r="B4565" s="876">
        <v>5482</v>
      </c>
      <c r="C4565" s="876" t="s">
        <v>5273</v>
      </c>
      <c r="D4565" s="851">
        <v>694.61818100000005</v>
      </c>
    </row>
    <row r="4566" spans="2:4" x14ac:dyDescent="0.2">
      <c r="B4566" s="876">
        <v>5483</v>
      </c>
      <c r="C4566" s="876" t="s">
        <v>5274</v>
      </c>
      <c r="D4566" s="851">
        <v>729.95001200000002</v>
      </c>
    </row>
    <row r="4567" spans="2:4" x14ac:dyDescent="0.2">
      <c r="B4567" s="876">
        <v>5484</v>
      </c>
      <c r="C4567" s="876" t="s">
        <v>5275</v>
      </c>
      <c r="D4567" s="851">
        <v>703.20001200000002</v>
      </c>
    </row>
    <row r="4568" spans="2:4" x14ac:dyDescent="0.2">
      <c r="B4568" s="876">
        <v>5485</v>
      </c>
      <c r="C4568" s="876" t="s">
        <v>3186</v>
      </c>
      <c r="D4568" s="851">
        <v>695.16364099999998</v>
      </c>
    </row>
    <row r="4569" spans="2:4" x14ac:dyDescent="0.2">
      <c r="B4569" s="876">
        <v>5486</v>
      </c>
      <c r="C4569" s="876" t="s">
        <v>5276</v>
      </c>
      <c r="D4569" s="851">
        <v>709.18333900000005</v>
      </c>
    </row>
    <row r="4570" spans="2:4" x14ac:dyDescent="0.2">
      <c r="B4570" s="876">
        <v>5487</v>
      </c>
      <c r="C4570" s="876" t="s">
        <v>1786</v>
      </c>
      <c r="D4570" s="851">
        <v>672.13333599999999</v>
      </c>
    </row>
    <row r="4571" spans="2:4" x14ac:dyDescent="0.2">
      <c r="B4571" s="876">
        <v>5488</v>
      </c>
      <c r="C4571" s="876" t="s">
        <v>5277</v>
      </c>
      <c r="D4571" s="851">
        <v>647.28461200000004</v>
      </c>
    </row>
    <row r="4572" spans="2:4" x14ac:dyDescent="0.2">
      <c r="B4572" s="876">
        <v>5501</v>
      </c>
      <c r="C4572" s="876" t="s">
        <v>5278</v>
      </c>
      <c r="D4572" s="851">
        <v>685.5</v>
      </c>
    </row>
    <row r="4573" spans="2:4" x14ac:dyDescent="0.2">
      <c r="B4573" s="876">
        <v>5502</v>
      </c>
      <c r="C4573" s="876" t="s">
        <v>5279</v>
      </c>
      <c r="D4573" s="851">
        <v>670.9</v>
      </c>
    </row>
    <row r="4574" spans="2:4" x14ac:dyDescent="0.2">
      <c r="B4574" s="876">
        <v>5503</v>
      </c>
      <c r="C4574" s="876" t="s">
        <v>5280</v>
      </c>
      <c r="D4574" s="851">
        <v>718.66666699999996</v>
      </c>
    </row>
    <row r="4575" spans="2:4" x14ac:dyDescent="0.2">
      <c r="B4575" s="876">
        <v>5504</v>
      </c>
      <c r="C4575" s="876" t="s">
        <v>5281</v>
      </c>
      <c r="D4575" s="851">
        <v>763.51666299999999</v>
      </c>
    </row>
    <row r="4576" spans="2:4" x14ac:dyDescent="0.2">
      <c r="B4576" s="876">
        <v>5505</v>
      </c>
      <c r="C4576" s="876" t="s">
        <v>5282</v>
      </c>
      <c r="D4576" s="851">
        <v>768.41999499999997</v>
      </c>
    </row>
    <row r="4577" spans="2:4" x14ac:dyDescent="0.2">
      <c r="B4577" s="876">
        <v>5506</v>
      </c>
      <c r="C4577" s="876" t="s">
        <v>5283</v>
      </c>
      <c r="D4577" s="851">
        <v>644.09999600000003</v>
      </c>
    </row>
    <row r="4578" spans="2:4" x14ac:dyDescent="0.2">
      <c r="B4578" s="876">
        <v>5507</v>
      </c>
      <c r="C4578" s="876" t="s">
        <v>2364</v>
      </c>
      <c r="D4578" s="851">
        <v>673.41428900000005</v>
      </c>
    </row>
    <row r="4579" spans="2:4" x14ac:dyDescent="0.2">
      <c r="B4579" s="876">
        <v>5508</v>
      </c>
      <c r="C4579" s="876" t="s">
        <v>5284</v>
      </c>
      <c r="D4579" s="851">
        <v>696.76250500000003</v>
      </c>
    </row>
    <row r="4580" spans="2:4" x14ac:dyDescent="0.2">
      <c r="B4580" s="876">
        <v>5509</v>
      </c>
      <c r="C4580" s="876" t="s">
        <v>5285</v>
      </c>
      <c r="D4580" s="851">
        <v>689.13635299999999</v>
      </c>
    </row>
    <row r="4581" spans="2:4" x14ac:dyDescent="0.2">
      <c r="B4581" s="876">
        <v>5510</v>
      </c>
      <c r="C4581" s="876" t="s">
        <v>5286</v>
      </c>
      <c r="D4581" s="851">
        <v>758.78333499999997</v>
      </c>
    </row>
    <row r="4582" spans="2:4" x14ac:dyDescent="0.2">
      <c r="B4582" s="876">
        <v>5511</v>
      </c>
      <c r="C4582" s="876" t="s">
        <v>5287</v>
      </c>
      <c r="D4582" s="851">
        <v>721.29998799999998</v>
      </c>
    </row>
    <row r="4583" spans="2:4" x14ac:dyDescent="0.2">
      <c r="B4583" s="876">
        <v>5512</v>
      </c>
      <c r="C4583" s="876" t="s">
        <v>3356</v>
      </c>
      <c r="D4583" s="851">
        <v>760.46667500000001</v>
      </c>
    </row>
    <row r="4584" spans="2:4" x14ac:dyDescent="0.2">
      <c r="B4584" s="876">
        <v>5513</v>
      </c>
      <c r="C4584" s="876" t="s">
        <v>5288</v>
      </c>
      <c r="D4584" s="851">
        <v>750.70001200000002</v>
      </c>
    </row>
    <row r="4585" spans="2:4" x14ac:dyDescent="0.2">
      <c r="B4585" s="876">
        <v>5514</v>
      </c>
      <c r="C4585" s="876" t="s">
        <v>5289</v>
      </c>
      <c r="D4585" s="851">
        <v>712.11111800000003</v>
      </c>
    </row>
    <row r="4586" spans="2:4" x14ac:dyDescent="0.2">
      <c r="B4586" s="876">
        <v>5515</v>
      </c>
      <c r="C4586" s="876" t="s">
        <v>5290</v>
      </c>
      <c r="D4586" s="851">
        <v>671.38332100000002</v>
      </c>
    </row>
    <row r="4587" spans="2:4" x14ac:dyDescent="0.2">
      <c r="B4587" s="876">
        <v>5516</v>
      </c>
      <c r="C4587" s="876" t="s">
        <v>1784</v>
      </c>
      <c r="D4587" s="851">
        <v>699.21249399999999</v>
      </c>
    </row>
    <row r="4588" spans="2:4" x14ac:dyDescent="0.2">
      <c r="B4588" s="876">
        <v>5517</v>
      </c>
      <c r="C4588" s="876" t="s">
        <v>5291</v>
      </c>
      <c r="D4588" s="851">
        <v>673.90000899999995</v>
      </c>
    </row>
    <row r="4589" spans="2:4" x14ac:dyDescent="0.2">
      <c r="B4589" s="876">
        <v>5518</v>
      </c>
      <c r="C4589" s="876" t="s">
        <v>5292</v>
      </c>
      <c r="D4589" s="851">
        <v>703.1</v>
      </c>
    </row>
    <row r="4590" spans="2:4" x14ac:dyDescent="0.2">
      <c r="B4590" s="876">
        <v>5519</v>
      </c>
      <c r="C4590" s="876" t="s">
        <v>5293</v>
      </c>
      <c r="D4590" s="851">
        <v>687.51999499999999</v>
      </c>
    </row>
    <row r="4591" spans="2:4" x14ac:dyDescent="0.2">
      <c r="B4591" s="876">
        <v>5520</v>
      </c>
      <c r="C4591" s="876" t="s">
        <v>5294</v>
      </c>
      <c r="D4591" s="851">
        <v>705.35000600000001</v>
      </c>
    </row>
    <row r="4592" spans="2:4" x14ac:dyDescent="0.2">
      <c r="B4592" s="876">
        <v>5521</v>
      </c>
      <c r="C4592" s="876" t="s">
        <v>5295</v>
      </c>
      <c r="D4592" s="851">
        <v>689.20370400000002</v>
      </c>
    </row>
    <row r="4593" spans="2:4" x14ac:dyDescent="0.2">
      <c r="B4593" s="876">
        <v>5522</v>
      </c>
      <c r="C4593" s="876" t="s">
        <v>5296</v>
      </c>
      <c r="D4593" s="851">
        <v>654.13334099999997</v>
      </c>
    </row>
    <row r="4594" spans="2:4" x14ac:dyDescent="0.2">
      <c r="B4594" s="876">
        <v>5551</v>
      </c>
      <c r="C4594" s="876" t="s">
        <v>5297</v>
      </c>
      <c r="D4594" s="851">
        <v>899.73636699999997</v>
      </c>
    </row>
    <row r="4595" spans="2:4" x14ac:dyDescent="0.2">
      <c r="B4595" s="876">
        <v>5552</v>
      </c>
      <c r="C4595" s="876" t="s">
        <v>5298</v>
      </c>
      <c r="D4595" s="851">
        <v>787.18331899999998</v>
      </c>
    </row>
    <row r="4596" spans="2:4" x14ac:dyDescent="0.2">
      <c r="B4596" s="876">
        <v>5553</v>
      </c>
      <c r="C4596" s="876" t="s">
        <v>5299</v>
      </c>
      <c r="D4596" s="851">
        <v>795.67500299999995</v>
      </c>
    </row>
    <row r="4597" spans="2:4" x14ac:dyDescent="0.2">
      <c r="B4597" s="876">
        <v>5554</v>
      </c>
      <c r="C4597" s="876" t="s">
        <v>5300</v>
      </c>
      <c r="D4597" s="851">
        <v>809.52856399999996</v>
      </c>
    </row>
    <row r="4598" spans="2:4" x14ac:dyDescent="0.2">
      <c r="B4598" s="876">
        <v>5555</v>
      </c>
      <c r="C4598" s="876" t="s">
        <v>5301</v>
      </c>
      <c r="D4598" s="851">
        <v>841.38750500000003</v>
      </c>
    </row>
    <row r="4599" spans="2:4" x14ac:dyDescent="0.2">
      <c r="B4599" s="876">
        <v>5556</v>
      </c>
      <c r="C4599" s="876" t="s">
        <v>5302</v>
      </c>
      <c r="D4599" s="851">
        <v>806.04999499999997</v>
      </c>
    </row>
    <row r="4600" spans="2:4" x14ac:dyDescent="0.2">
      <c r="B4600" s="876">
        <v>5557</v>
      </c>
      <c r="C4600" s="876" t="s">
        <v>5303</v>
      </c>
      <c r="D4600" s="851">
        <v>765.12000699999999</v>
      </c>
    </row>
    <row r="4601" spans="2:4" x14ac:dyDescent="0.2">
      <c r="B4601" s="876">
        <v>5558</v>
      </c>
      <c r="C4601" s="876" t="s">
        <v>5304</v>
      </c>
      <c r="D4601" s="851">
        <v>839</v>
      </c>
    </row>
    <row r="4602" spans="2:4" x14ac:dyDescent="0.2">
      <c r="B4602" s="876">
        <v>5559</v>
      </c>
      <c r="C4602" s="876" t="s">
        <v>5305</v>
      </c>
      <c r="D4602" s="851">
        <v>874.19444799999997</v>
      </c>
    </row>
    <row r="4603" spans="2:4" x14ac:dyDescent="0.2">
      <c r="B4603" s="876">
        <v>5560</v>
      </c>
      <c r="C4603" s="876" t="s">
        <v>3956</v>
      </c>
      <c r="D4603" s="851">
        <v>950.92857600000002</v>
      </c>
    </row>
    <row r="4604" spans="2:4" x14ac:dyDescent="0.2">
      <c r="B4604" s="876">
        <v>5561</v>
      </c>
      <c r="C4604" s="876" t="s">
        <v>5306</v>
      </c>
      <c r="D4604" s="851">
        <v>897.51429099999996</v>
      </c>
    </row>
    <row r="4605" spans="2:4" x14ac:dyDescent="0.2">
      <c r="B4605" s="876">
        <v>5562</v>
      </c>
      <c r="C4605" s="876" t="s">
        <v>5307</v>
      </c>
      <c r="D4605" s="851">
        <v>911.82692299999997</v>
      </c>
    </row>
    <row r="4606" spans="2:4" x14ac:dyDescent="0.2">
      <c r="B4606" s="876">
        <v>5563</v>
      </c>
      <c r="C4606" s="876" t="s">
        <v>5308</v>
      </c>
      <c r="D4606" s="851">
        <v>942.72499100000005</v>
      </c>
    </row>
    <row r="4607" spans="2:4" x14ac:dyDescent="0.2">
      <c r="B4607" s="876">
        <v>5564</v>
      </c>
      <c r="C4607" s="876" t="s">
        <v>5309</v>
      </c>
      <c r="D4607" s="851">
        <v>840.40909099999999</v>
      </c>
    </row>
    <row r="4608" spans="2:4" x14ac:dyDescent="0.2">
      <c r="B4608" s="876">
        <v>5565</v>
      </c>
      <c r="C4608" s="876" t="s">
        <v>5310</v>
      </c>
      <c r="D4608" s="851">
        <v>781.02857300000005</v>
      </c>
    </row>
    <row r="4609" spans="2:4" x14ac:dyDescent="0.2">
      <c r="B4609" s="876">
        <v>5566</v>
      </c>
      <c r="C4609" s="876" t="s">
        <v>5311</v>
      </c>
      <c r="D4609" s="851">
        <v>838.70001200000002</v>
      </c>
    </row>
    <row r="4610" spans="2:4" x14ac:dyDescent="0.2">
      <c r="B4610" s="876">
        <v>5567</v>
      </c>
      <c r="C4610" s="876" t="s">
        <v>5312</v>
      </c>
      <c r="D4610" s="851">
        <v>808.16666699999996</v>
      </c>
    </row>
    <row r="4611" spans="2:4" x14ac:dyDescent="0.2">
      <c r="B4611" s="876">
        <v>5568</v>
      </c>
      <c r="C4611" s="876" t="s">
        <v>5313</v>
      </c>
      <c r="D4611" s="851">
        <v>888</v>
      </c>
    </row>
    <row r="4612" spans="2:4" x14ac:dyDescent="0.2">
      <c r="B4612" s="876">
        <v>5569</v>
      </c>
      <c r="C4612" s="876" t="s">
        <v>5314</v>
      </c>
      <c r="D4612" s="851">
        <v>1029.7214269999999</v>
      </c>
    </row>
    <row r="4613" spans="2:4" x14ac:dyDescent="0.2">
      <c r="B4613" s="876">
        <v>5570</v>
      </c>
      <c r="C4613" s="876" t="s">
        <v>5315</v>
      </c>
      <c r="D4613" s="851">
        <v>881.65002400000003</v>
      </c>
    </row>
    <row r="4614" spans="2:4" x14ac:dyDescent="0.2">
      <c r="B4614" s="876">
        <v>5571</v>
      </c>
      <c r="C4614" s="876" t="s">
        <v>5316</v>
      </c>
      <c r="D4614" s="851">
        <v>809.19999199999995</v>
      </c>
    </row>
    <row r="4615" spans="2:4" x14ac:dyDescent="0.2">
      <c r="B4615" s="876">
        <v>5572</v>
      </c>
      <c r="C4615" s="876" t="s">
        <v>5317</v>
      </c>
      <c r="D4615" s="851">
        <v>760.81427900000006</v>
      </c>
    </row>
    <row r="4616" spans="2:4" x14ac:dyDescent="0.2">
      <c r="B4616" s="876">
        <v>5573</v>
      </c>
      <c r="C4616" s="876" t="s">
        <v>4747</v>
      </c>
      <c r="D4616" s="851">
        <v>793.54999699999996</v>
      </c>
    </row>
    <row r="4617" spans="2:4" x14ac:dyDescent="0.2">
      <c r="B4617" s="876">
        <v>5574</v>
      </c>
      <c r="C4617" s="876" t="s">
        <v>1459</v>
      </c>
      <c r="D4617" s="851">
        <v>859.95000200000004</v>
      </c>
    </row>
    <row r="4618" spans="2:4" x14ac:dyDescent="0.2">
      <c r="B4618" s="876">
        <v>5575</v>
      </c>
      <c r="C4618" s="876" t="s">
        <v>5318</v>
      </c>
      <c r="D4618" s="851">
        <v>1156.4055579999999</v>
      </c>
    </row>
    <row r="4619" spans="2:4" x14ac:dyDescent="0.2">
      <c r="B4619" s="876">
        <v>5576</v>
      </c>
      <c r="C4619" s="876" t="s">
        <v>5319</v>
      </c>
      <c r="D4619" s="851">
        <v>827.14375299999995</v>
      </c>
    </row>
    <row r="4620" spans="2:4" x14ac:dyDescent="0.2">
      <c r="B4620" s="876">
        <v>5577</v>
      </c>
      <c r="C4620" s="876" t="s">
        <v>5320</v>
      </c>
      <c r="D4620" s="851">
        <v>805.9923</v>
      </c>
    </row>
    <row r="4621" spans="2:4" x14ac:dyDescent="0.2">
      <c r="B4621" s="876">
        <v>5578</v>
      </c>
      <c r="C4621" s="876" t="s">
        <v>5321</v>
      </c>
      <c r="D4621" s="851">
        <v>814.01999499999999</v>
      </c>
    </row>
    <row r="4622" spans="2:4" x14ac:dyDescent="0.2">
      <c r="B4622" s="876">
        <v>5579</v>
      </c>
      <c r="C4622" s="876" t="s">
        <v>5322</v>
      </c>
      <c r="D4622" s="851">
        <v>774.2</v>
      </c>
    </row>
    <row r="4623" spans="2:4" x14ac:dyDescent="0.2">
      <c r="B4623" s="876">
        <v>5580</v>
      </c>
      <c r="C4623" s="876" t="s">
        <v>5323</v>
      </c>
      <c r="D4623" s="851">
        <v>743.64285700000005</v>
      </c>
    </row>
    <row r="4624" spans="2:4" x14ac:dyDescent="0.2">
      <c r="B4624" s="876">
        <v>5581</v>
      </c>
      <c r="C4624" s="876" t="s">
        <v>5324</v>
      </c>
      <c r="D4624" s="851">
        <v>933.76666299999999</v>
      </c>
    </row>
    <row r="4625" spans="2:4" x14ac:dyDescent="0.2">
      <c r="B4625" s="876">
        <v>5582</v>
      </c>
      <c r="C4625" s="876" t="s">
        <v>5325</v>
      </c>
      <c r="D4625" s="851">
        <v>806.39998400000002</v>
      </c>
    </row>
    <row r="4626" spans="2:4" x14ac:dyDescent="0.2">
      <c r="B4626" s="876">
        <v>5583</v>
      </c>
      <c r="C4626" s="876" t="s">
        <v>5326</v>
      </c>
      <c r="D4626" s="851">
        <v>655.10000600000001</v>
      </c>
    </row>
    <row r="4627" spans="2:4" x14ac:dyDescent="0.2">
      <c r="B4627" s="876">
        <v>5584</v>
      </c>
      <c r="C4627" s="876" t="s">
        <v>5327</v>
      </c>
      <c r="D4627" s="851">
        <v>662.12498500000004</v>
      </c>
    </row>
    <row r="4628" spans="2:4" x14ac:dyDescent="0.2">
      <c r="B4628" s="876">
        <v>5585</v>
      </c>
      <c r="C4628" s="876" t="s">
        <v>5328</v>
      </c>
      <c r="D4628" s="851">
        <v>700.83331299999998</v>
      </c>
    </row>
    <row r="4629" spans="2:4" x14ac:dyDescent="0.2">
      <c r="B4629" s="876">
        <v>5586</v>
      </c>
      <c r="C4629" s="876" t="s">
        <v>5329</v>
      </c>
      <c r="D4629" s="851">
        <v>686.23999000000003</v>
      </c>
    </row>
    <row r="4630" spans="2:4" x14ac:dyDescent="0.2">
      <c r="B4630" s="876">
        <v>5587</v>
      </c>
      <c r="C4630" s="876" t="s">
        <v>1605</v>
      </c>
      <c r="D4630" s="851">
        <v>714.05000299999995</v>
      </c>
    </row>
    <row r="4631" spans="2:4" x14ac:dyDescent="0.2">
      <c r="B4631" s="876">
        <v>5588</v>
      </c>
      <c r="C4631" s="876" t="s">
        <v>5330</v>
      </c>
      <c r="D4631" s="851">
        <v>742</v>
      </c>
    </row>
    <row r="4632" spans="2:4" x14ac:dyDescent="0.2">
      <c r="B4632" s="876">
        <v>5589</v>
      </c>
      <c r="C4632" s="876" t="s">
        <v>5331</v>
      </c>
      <c r="D4632" s="851">
        <v>778.81818199999998</v>
      </c>
    </row>
    <row r="4633" spans="2:4" x14ac:dyDescent="0.2">
      <c r="B4633" s="876">
        <v>5590</v>
      </c>
      <c r="C4633" s="876" t="s">
        <v>2306</v>
      </c>
      <c r="D4633" s="851">
        <v>855.44666700000005</v>
      </c>
    </row>
    <row r="4634" spans="2:4" x14ac:dyDescent="0.2">
      <c r="B4634" s="876">
        <v>5591</v>
      </c>
      <c r="C4634" s="876" t="s">
        <v>5332</v>
      </c>
      <c r="D4634" s="851">
        <v>904.39999699999998</v>
      </c>
    </row>
    <row r="4635" spans="2:4" x14ac:dyDescent="0.2">
      <c r="B4635" s="876">
        <v>5592</v>
      </c>
      <c r="C4635" s="876" t="s">
        <v>4805</v>
      </c>
      <c r="D4635" s="851">
        <v>665.84997599999997</v>
      </c>
    </row>
    <row r="4636" spans="2:4" x14ac:dyDescent="0.2">
      <c r="B4636" s="876">
        <v>5593</v>
      </c>
      <c r="C4636" s="876" t="s">
        <v>5333</v>
      </c>
      <c r="D4636" s="851">
        <v>671.92498799999998</v>
      </c>
    </row>
    <row r="4637" spans="2:4" x14ac:dyDescent="0.2">
      <c r="B4637" s="876">
        <v>5594</v>
      </c>
      <c r="C4637" s="876" t="s">
        <v>5334</v>
      </c>
      <c r="D4637" s="851">
        <v>702.79999699999996</v>
      </c>
    </row>
    <row r="4638" spans="2:4" x14ac:dyDescent="0.2">
      <c r="B4638" s="876">
        <v>5595</v>
      </c>
      <c r="C4638" s="876" t="s">
        <v>1279</v>
      </c>
      <c r="D4638" s="851">
        <v>726.08572000000004</v>
      </c>
    </row>
    <row r="4639" spans="2:4" x14ac:dyDescent="0.2">
      <c r="B4639" s="876">
        <v>5596</v>
      </c>
      <c r="C4639" s="876" t="s">
        <v>5335</v>
      </c>
      <c r="D4639" s="851">
        <v>720.53333499999997</v>
      </c>
    </row>
    <row r="4640" spans="2:4" x14ac:dyDescent="0.2">
      <c r="B4640" s="876">
        <v>5597</v>
      </c>
      <c r="C4640" s="876" t="s">
        <v>5336</v>
      </c>
      <c r="D4640" s="851">
        <v>799.41109200000005</v>
      </c>
    </row>
    <row r="4641" spans="2:4" x14ac:dyDescent="0.2">
      <c r="B4641" s="876">
        <v>5598</v>
      </c>
      <c r="C4641" s="876" t="s">
        <v>5337</v>
      </c>
      <c r="D4641" s="851">
        <v>827.25</v>
      </c>
    </row>
    <row r="4642" spans="2:4" x14ac:dyDescent="0.2">
      <c r="B4642" s="876">
        <v>5599</v>
      </c>
      <c r="C4642" s="876" t="s">
        <v>5338</v>
      </c>
      <c r="D4642" s="851">
        <v>752</v>
      </c>
    </row>
    <row r="4643" spans="2:4" x14ac:dyDescent="0.2">
      <c r="B4643" s="876">
        <v>5600</v>
      </c>
      <c r="C4643" s="876" t="s">
        <v>5339</v>
      </c>
      <c r="D4643" s="851">
        <v>916.63124100000005</v>
      </c>
    </row>
    <row r="4644" spans="2:4" x14ac:dyDescent="0.2">
      <c r="B4644" s="876">
        <v>5601</v>
      </c>
      <c r="C4644" s="876" t="s">
        <v>5340</v>
      </c>
      <c r="D4644" s="851">
        <v>1253.0166830000001</v>
      </c>
    </row>
    <row r="4645" spans="2:4" x14ac:dyDescent="0.2">
      <c r="B4645" s="876">
        <v>5603</v>
      </c>
      <c r="C4645" s="876" t="s">
        <v>5341</v>
      </c>
      <c r="D4645" s="851">
        <v>664.72857699999997</v>
      </c>
    </row>
    <row r="4646" spans="2:4" x14ac:dyDescent="0.2">
      <c r="B4646" s="876">
        <v>5604</v>
      </c>
      <c r="C4646" s="876" t="s">
        <v>5342</v>
      </c>
      <c r="D4646" s="851">
        <v>664.6</v>
      </c>
    </row>
    <row r="4647" spans="2:4" x14ac:dyDescent="0.2">
      <c r="B4647" s="876">
        <v>5605</v>
      </c>
      <c r="C4647" s="876" t="s">
        <v>5343</v>
      </c>
      <c r="D4647" s="851">
        <v>668.61665900000003</v>
      </c>
    </row>
    <row r="4648" spans="2:4" x14ac:dyDescent="0.2">
      <c r="B4648" s="876">
        <v>5606</v>
      </c>
      <c r="C4648" s="876" t="s">
        <v>5344</v>
      </c>
      <c r="D4648" s="851">
        <v>677.62857499999996</v>
      </c>
    </row>
    <row r="4649" spans="2:4" x14ac:dyDescent="0.2">
      <c r="B4649" s="876">
        <v>5607</v>
      </c>
      <c r="C4649" s="876" t="s">
        <v>5345</v>
      </c>
      <c r="D4649" s="851">
        <v>676.44615799999997</v>
      </c>
    </row>
    <row r="4650" spans="2:4" x14ac:dyDescent="0.2">
      <c r="B4650" s="876">
        <v>5608</v>
      </c>
      <c r="C4650" s="876" t="s">
        <v>5346</v>
      </c>
      <c r="D4650" s="851">
        <v>727.72941000000003</v>
      </c>
    </row>
    <row r="4651" spans="2:4" x14ac:dyDescent="0.2">
      <c r="B4651" s="876">
        <v>5609</v>
      </c>
      <c r="C4651" s="876" t="s">
        <v>5347</v>
      </c>
      <c r="D4651" s="851">
        <v>757.95555300000001</v>
      </c>
    </row>
    <row r="4652" spans="2:4" x14ac:dyDescent="0.2">
      <c r="B4652" s="876">
        <v>5610</v>
      </c>
      <c r="C4652" s="876" t="s">
        <v>5348</v>
      </c>
      <c r="D4652" s="851">
        <v>843.96666800000003</v>
      </c>
    </row>
    <row r="4653" spans="2:4" x14ac:dyDescent="0.2">
      <c r="B4653" s="876">
        <v>5611</v>
      </c>
      <c r="C4653" s="876" t="s">
        <v>5349</v>
      </c>
      <c r="D4653" s="851">
        <v>663.14999399999999</v>
      </c>
    </row>
    <row r="4654" spans="2:4" x14ac:dyDescent="0.2">
      <c r="B4654" s="876">
        <v>5612</v>
      </c>
      <c r="C4654" s="876" t="s">
        <v>5350</v>
      </c>
      <c r="D4654" s="851">
        <v>673.79998799999998</v>
      </c>
    </row>
    <row r="4655" spans="2:4" x14ac:dyDescent="0.2">
      <c r="B4655" s="876">
        <v>5613</v>
      </c>
      <c r="C4655" s="876" t="s">
        <v>5351</v>
      </c>
      <c r="D4655" s="851">
        <v>662.6</v>
      </c>
    </row>
    <row r="4656" spans="2:4" x14ac:dyDescent="0.2">
      <c r="B4656" s="876">
        <v>5614</v>
      </c>
      <c r="C4656" s="876" t="s">
        <v>5352</v>
      </c>
      <c r="D4656" s="851">
        <v>744.09999600000003</v>
      </c>
    </row>
    <row r="4657" spans="2:4" x14ac:dyDescent="0.2">
      <c r="B4657" s="876">
        <v>5615</v>
      </c>
      <c r="C4657" s="876" t="s">
        <v>5353</v>
      </c>
      <c r="D4657" s="851">
        <v>748.45454500000005</v>
      </c>
    </row>
    <row r="4658" spans="2:4" x14ac:dyDescent="0.2">
      <c r="B4658" s="876">
        <v>5616</v>
      </c>
      <c r="C4658" s="876" t="s">
        <v>5354</v>
      </c>
      <c r="D4658" s="851">
        <v>777.87857099999997</v>
      </c>
    </row>
    <row r="4659" spans="2:4" x14ac:dyDescent="0.2">
      <c r="B4659" s="876">
        <v>5617</v>
      </c>
      <c r="C4659" s="876" t="s">
        <v>5355</v>
      </c>
      <c r="D4659" s="851">
        <v>839.23749899999996</v>
      </c>
    </row>
    <row r="4660" spans="2:4" x14ac:dyDescent="0.2">
      <c r="B4660" s="876">
        <v>5618</v>
      </c>
      <c r="C4660" s="876" t="s">
        <v>5356</v>
      </c>
      <c r="D4660" s="851">
        <v>968.64998900000001</v>
      </c>
    </row>
    <row r="4661" spans="2:4" x14ac:dyDescent="0.2">
      <c r="B4661" s="876">
        <v>5619</v>
      </c>
      <c r="C4661" s="876" t="s">
        <v>5357</v>
      </c>
      <c r="D4661" s="851">
        <v>651.12941599999999</v>
      </c>
    </row>
    <row r="4662" spans="2:4" x14ac:dyDescent="0.2">
      <c r="B4662" s="876">
        <v>5620</v>
      </c>
      <c r="C4662" s="876" t="s">
        <v>5358</v>
      </c>
      <c r="D4662" s="851">
        <v>656.21538399999997</v>
      </c>
    </row>
    <row r="4663" spans="2:4" x14ac:dyDescent="0.2">
      <c r="B4663" s="876">
        <v>5621</v>
      </c>
      <c r="C4663" s="876" t="s">
        <v>5359</v>
      </c>
      <c r="D4663" s="851">
        <v>653.23333300000002</v>
      </c>
    </row>
    <row r="4664" spans="2:4" x14ac:dyDescent="0.2">
      <c r="B4664" s="876">
        <v>5622</v>
      </c>
      <c r="C4664" s="876" t="s">
        <v>5360</v>
      </c>
      <c r="D4664" s="851">
        <v>649.42857100000003</v>
      </c>
    </row>
    <row r="4665" spans="2:4" x14ac:dyDescent="0.2">
      <c r="B4665" s="876">
        <v>5623</v>
      </c>
      <c r="C4665" s="876" t="s">
        <v>5361</v>
      </c>
      <c r="D4665" s="851">
        <v>656.47499100000005</v>
      </c>
    </row>
    <row r="4666" spans="2:4" x14ac:dyDescent="0.2">
      <c r="B4666" s="876">
        <v>5624</v>
      </c>
      <c r="C4666" s="876" t="s">
        <v>5362</v>
      </c>
      <c r="D4666" s="851">
        <v>644.21818099999996</v>
      </c>
    </row>
    <row r="4667" spans="2:4" x14ac:dyDescent="0.2">
      <c r="B4667" s="876">
        <v>5625</v>
      </c>
      <c r="C4667" s="876" t="s">
        <v>331</v>
      </c>
      <c r="D4667" s="851">
        <v>638.15000099999997</v>
      </c>
    </row>
    <row r="4668" spans="2:4" x14ac:dyDescent="0.2">
      <c r="B4668" s="876">
        <v>5626</v>
      </c>
      <c r="C4668" s="876" t="s">
        <v>5363</v>
      </c>
      <c r="D4668" s="851">
        <v>657.16667099999995</v>
      </c>
    </row>
    <row r="4669" spans="2:4" x14ac:dyDescent="0.2">
      <c r="B4669" s="876">
        <v>5627</v>
      </c>
      <c r="C4669" s="876" t="s">
        <v>5364</v>
      </c>
      <c r="D4669" s="851">
        <v>700.23043199999995</v>
      </c>
    </row>
    <row r="4670" spans="2:4" x14ac:dyDescent="0.2">
      <c r="B4670" s="876">
        <v>5628</v>
      </c>
      <c r="C4670" s="876" t="s">
        <v>5365</v>
      </c>
      <c r="D4670" s="851">
        <v>740.23333700000001</v>
      </c>
    </row>
    <row r="4671" spans="2:4" x14ac:dyDescent="0.2">
      <c r="B4671" s="876">
        <v>5629</v>
      </c>
      <c r="C4671" s="876" t="s">
        <v>5366</v>
      </c>
      <c r="D4671" s="851">
        <v>756.77499799999998</v>
      </c>
    </row>
    <row r="4672" spans="2:4" x14ac:dyDescent="0.2">
      <c r="B4672" s="876">
        <v>5630</v>
      </c>
      <c r="C4672" s="876" t="s">
        <v>5367</v>
      </c>
      <c r="D4672" s="851">
        <v>675.52855599999998</v>
      </c>
    </row>
    <row r="4673" spans="2:4" x14ac:dyDescent="0.2">
      <c r="B4673" s="876">
        <v>5631</v>
      </c>
      <c r="C4673" s="876" t="s">
        <v>5368</v>
      </c>
      <c r="D4673" s="851">
        <v>672.48181699999998</v>
      </c>
    </row>
    <row r="4674" spans="2:4" x14ac:dyDescent="0.2">
      <c r="B4674" s="876">
        <v>5632</v>
      </c>
      <c r="C4674" s="876" t="s">
        <v>5369</v>
      </c>
      <c r="D4674" s="851">
        <v>677.66428499999995</v>
      </c>
    </row>
    <row r="4675" spans="2:4" x14ac:dyDescent="0.2">
      <c r="B4675" s="876">
        <v>5633</v>
      </c>
      <c r="C4675" s="876" t="s">
        <v>5370</v>
      </c>
      <c r="D4675" s="851">
        <v>686.19166600000005</v>
      </c>
    </row>
    <row r="4676" spans="2:4" x14ac:dyDescent="0.2">
      <c r="B4676" s="876">
        <v>5634</v>
      </c>
      <c r="C4676" s="876" t="s">
        <v>5115</v>
      </c>
      <c r="D4676" s="851">
        <v>667.79445099999998</v>
      </c>
    </row>
    <row r="4677" spans="2:4" x14ac:dyDescent="0.2">
      <c r="B4677" s="876">
        <v>5635</v>
      </c>
      <c r="C4677" s="876" t="s">
        <v>5371</v>
      </c>
      <c r="D4677" s="851">
        <v>633.52499399999999</v>
      </c>
    </row>
    <row r="4678" spans="2:4" x14ac:dyDescent="0.2">
      <c r="B4678" s="876">
        <v>5636</v>
      </c>
      <c r="C4678" s="876" t="s">
        <v>5372</v>
      </c>
      <c r="D4678" s="851">
        <v>646.71249399999999</v>
      </c>
    </row>
    <row r="4679" spans="2:4" x14ac:dyDescent="0.2">
      <c r="B4679" s="876">
        <v>5637</v>
      </c>
      <c r="C4679" s="876" t="s">
        <v>5373</v>
      </c>
      <c r="D4679" s="851">
        <v>648.81332999999995</v>
      </c>
    </row>
    <row r="4680" spans="2:4" x14ac:dyDescent="0.2">
      <c r="B4680" s="876">
        <v>5638</v>
      </c>
      <c r="C4680" s="876" t="s">
        <v>5374</v>
      </c>
      <c r="D4680" s="851">
        <v>654.60000200000002</v>
      </c>
    </row>
    <row r="4681" spans="2:4" x14ac:dyDescent="0.2">
      <c r="B4681" s="876">
        <v>5639</v>
      </c>
      <c r="C4681" s="876" t="s">
        <v>5375</v>
      </c>
      <c r="D4681" s="851">
        <v>649.84286099999997</v>
      </c>
    </row>
    <row r="4682" spans="2:4" x14ac:dyDescent="0.2">
      <c r="B4682" s="876">
        <v>5640</v>
      </c>
      <c r="C4682" s="876" t="s">
        <v>5376</v>
      </c>
      <c r="D4682" s="851">
        <v>655.639994</v>
      </c>
    </row>
    <row r="4683" spans="2:4" x14ac:dyDescent="0.2">
      <c r="B4683" s="876">
        <v>5641</v>
      </c>
      <c r="C4683" s="876" t="s">
        <v>4097</v>
      </c>
      <c r="D4683" s="851">
        <v>688</v>
      </c>
    </row>
    <row r="4684" spans="2:4" x14ac:dyDescent="0.2">
      <c r="B4684" s="876">
        <v>5642</v>
      </c>
      <c r="C4684" s="876" t="s">
        <v>4571</v>
      </c>
      <c r="D4684" s="851">
        <v>711.38461500000005</v>
      </c>
    </row>
    <row r="4685" spans="2:4" x14ac:dyDescent="0.2">
      <c r="B4685" s="876">
        <v>5643</v>
      </c>
      <c r="C4685" s="876" t="s">
        <v>5377</v>
      </c>
      <c r="D4685" s="851">
        <v>728.63332800000001</v>
      </c>
    </row>
    <row r="4686" spans="2:4" x14ac:dyDescent="0.2">
      <c r="B4686" s="876">
        <v>5644</v>
      </c>
      <c r="C4686" s="876" t="s">
        <v>5378</v>
      </c>
      <c r="D4686" s="851">
        <v>724.45999099999995</v>
      </c>
    </row>
    <row r="4687" spans="2:4" x14ac:dyDescent="0.2">
      <c r="B4687" s="876">
        <v>5645</v>
      </c>
      <c r="C4687" s="876" t="s">
        <v>5379</v>
      </c>
      <c r="D4687" s="851">
        <v>664.70001200000002</v>
      </c>
    </row>
    <row r="4688" spans="2:4" x14ac:dyDescent="0.2">
      <c r="B4688" s="876">
        <v>5646</v>
      </c>
      <c r="C4688" s="876" t="s">
        <v>5380</v>
      </c>
      <c r="D4688" s="851">
        <v>685.86000200000001</v>
      </c>
    </row>
    <row r="4689" spans="2:4" x14ac:dyDescent="0.2">
      <c r="B4689" s="876">
        <v>5647</v>
      </c>
      <c r="C4689" s="876" t="s">
        <v>5381</v>
      </c>
      <c r="D4689" s="851">
        <v>695.53637100000003</v>
      </c>
    </row>
    <row r="4690" spans="2:4" x14ac:dyDescent="0.2">
      <c r="B4690" s="876">
        <v>5648</v>
      </c>
      <c r="C4690" s="876" t="s">
        <v>5382</v>
      </c>
      <c r="D4690" s="851">
        <v>640.71666500000003</v>
      </c>
    </row>
    <row r="4691" spans="2:4" x14ac:dyDescent="0.2">
      <c r="B4691" s="876">
        <v>5649</v>
      </c>
      <c r="C4691" s="876" t="s">
        <v>5383</v>
      </c>
      <c r="D4691" s="851">
        <v>679.71538799999996</v>
      </c>
    </row>
    <row r="4692" spans="2:4" x14ac:dyDescent="0.2">
      <c r="B4692" s="876">
        <v>5650</v>
      </c>
      <c r="C4692" s="876" t="s">
        <v>5384</v>
      </c>
      <c r="D4692" s="851">
        <v>696.27407700000003</v>
      </c>
    </row>
    <row r="4693" spans="2:4" x14ac:dyDescent="0.2">
      <c r="B4693" s="876">
        <v>5651</v>
      </c>
      <c r="C4693" s="876" t="s">
        <v>5385</v>
      </c>
      <c r="D4693" s="851">
        <v>692.67499499999997</v>
      </c>
    </row>
    <row r="4694" spans="2:4" x14ac:dyDescent="0.2">
      <c r="B4694" s="876">
        <v>5652</v>
      </c>
      <c r="C4694" s="876" t="s">
        <v>5386</v>
      </c>
      <c r="D4694" s="851">
        <v>663.22857699999997</v>
      </c>
    </row>
    <row r="4695" spans="2:4" x14ac:dyDescent="0.2">
      <c r="B4695" s="876">
        <v>5653</v>
      </c>
      <c r="C4695" s="876" t="s">
        <v>5387</v>
      </c>
      <c r="D4695" s="851">
        <v>665.54000199999996</v>
      </c>
    </row>
    <row r="4696" spans="2:4" x14ac:dyDescent="0.2">
      <c r="B4696" s="876">
        <v>5654</v>
      </c>
      <c r="C4696" s="876" t="s">
        <v>5388</v>
      </c>
      <c r="D4696" s="851">
        <v>659.03999599999997</v>
      </c>
    </row>
    <row r="4697" spans="2:4" x14ac:dyDescent="0.2">
      <c r="B4697" s="876">
        <v>5655</v>
      </c>
      <c r="C4697" s="876" t="s">
        <v>5389</v>
      </c>
      <c r="D4697" s="851">
        <v>675.78000099999997</v>
      </c>
    </row>
    <row r="4698" spans="2:4" x14ac:dyDescent="0.2">
      <c r="B4698" s="876">
        <v>5656</v>
      </c>
      <c r="C4698" s="876" t="s">
        <v>5390</v>
      </c>
      <c r="D4698" s="851">
        <v>670.40000399999997</v>
      </c>
    </row>
    <row r="4699" spans="2:4" x14ac:dyDescent="0.2">
      <c r="B4699" s="876">
        <v>5657</v>
      </c>
      <c r="C4699" s="876" t="s">
        <v>5391</v>
      </c>
      <c r="D4699" s="851">
        <v>674.03125399999999</v>
      </c>
    </row>
    <row r="4700" spans="2:4" x14ac:dyDescent="0.2">
      <c r="B4700" s="876">
        <v>5658</v>
      </c>
      <c r="C4700" s="876" t="s">
        <v>5392</v>
      </c>
      <c r="D4700" s="851">
        <v>691.53749100000005</v>
      </c>
    </row>
    <row r="4701" spans="2:4" x14ac:dyDescent="0.2">
      <c r="B4701" s="876">
        <v>5659</v>
      </c>
      <c r="C4701" s="876" t="s">
        <v>5393</v>
      </c>
      <c r="D4701" s="851">
        <v>729.62222599999996</v>
      </c>
    </row>
    <row r="4702" spans="2:4" x14ac:dyDescent="0.2">
      <c r="B4702" s="876">
        <v>5660</v>
      </c>
      <c r="C4702" s="876" t="s">
        <v>5394</v>
      </c>
      <c r="D4702" s="851">
        <v>683.62858400000005</v>
      </c>
    </row>
    <row r="4703" spans="2:4" x14ac:dyDescent="0.2">
      <c r="B4703" s="876">
        <v>5661</v>
      </c>
      <c r="C4703" s="876" t="s">
        <v>5395</v>
      </c>
      <c r="D4703" s="851">
        <v>656.20555999999999</v>
      </c>
    </row>
    <row r="4704" spans="2:4" x14ac:dyDescent="0.2">
      <c r="B4704" s="876">
        <v>5662</v>
      </c>
      <c r="C4704" s="876" t="s">
        <v>5396</v>
      </c>
      <c r="D4704" s="851">
        <v>700.32999900000004</v>
      </c>
    </row>
    <row r="4705" spans="2:4" x14ac:dyDescent="0.2">
      <c r="B4705" s="876">
        <v>5663</v>
      </c>
      <c r="C4705" s="876" t="s">
        <v>5397</v>
      </c>
      <c r="D4705" s="851">
        <v>709.49333100000001</v>
      </c>
    </row>
    <row r="4706" spans="2:4" x14ac:dyDescent="0.2">
      <c r="B4706" s="876">
        <v>5664</v>
      </c>
      <c r="C4706" s="876" t="s">
        <v>5398</v>
      </c>
      <c r="D4706" s="851">
        <v>710.37499200000002</v>
      </c>
    </row>
    <row r="4707" spans="2:4" x14ac:dyDescent="0.2">
      <c r="B4707" s="876">
        <v>5665</v>
      </c>
      <c r="C4707" s="876" t="s">
        <v>5399</v>
      </c>
      <c r="D4707" s="851">
        <v>667.96153800000002</v>
      </c>
    </row>
    <row r="4708" spans="2:4" x14ac:dyDescent="0.2">
      <c r="B4708" s="876">
        <v>5666</v>
      </c>
      <c r="C4708" s="876" t="s">
        <v>5400</v>
      </c>
      <c r="D4708" s="851">
        <v>668.60768900000005</v>
      </c>
    </row>
    <row r="4709" spans="2:4" x14ac:dyDescent="0.2">
      <c r="B4709" s="876">
        <v>5667</v>
      </c>
      <c r="C4709" s="876" t="s">
        <v>5401</v>
      </c>
      <c r="D4709" s="851">
        <v>686.89374499999997</v>
      </c>
    </row>
    <row r="4710" spans="2:4" x14ac:dyDescent="0.2">
      <c r="B4710" s="876">
        <v>5668</v>
      </c>
      <c r="C4710" s="876" t="s">
        <v>5402</v>
      </c>
      <c r="D4710" s="851">
        <v>688.78750600000001</v>
      </c>
    </row>
    <row r="4711" spans="2:4" x14ac:dyDescent="0.2">
      <c r="B4711" s="876">
        <v>5669</v>
      </c>
      <c r="C4711" s="876" t="s">
        <v>5403</v>
      </c>
      <c r="D4711" s="851">
        <v>683.90000399999997</v>
      </c>
    </row>
    <row r="4712" spans="2:4" x14ac:dyDescent="0.2">
      <c r="B4712" s="876">
        <v>5670</v>
      </c>
      <c r="C4712" s="876" t="s">
        <v>5404</v>
      </c>
      <c r="D4712" s="851">
        <v>701.56363699999997</v>
      </c>
    </row>
    <row r="4713" spans="2:4" x14ac:dyDescent="0.2">
      <c r="B4713" s="876">
        <v>5671</v>
      </c>
      <c r="C4713" s="876" t="s">
        <v>5405</v>
      </c>
      <c r="D4713" s="851">
        <v>712.27857300000005</v>
      </c>
    </row>
    <row r="4714" spans="2:4" x14ac:dyDescent="0.2">
      <c r="B4714" s="876">
        <v>5672</v>
      </c>
      <c r="C4714" s="876" t="s">
        <v>5406</v>
      </c>
      <c r="D4714" s="851">
        <v>692.93333399999995</v>
      </c>
    </row>
    <row r="4715" spans="2:4" x14ac:dyDescent="0.2">
      <c r="B4715" s="876">
        <v>5673</v>
      </c>
      <c r="C4715" s="876" t="s">
        <v>5407</v>
      </c>
      <c r="D4715" s="851">
        <v>683.47499600000003</v>
      </c>
    </row>
    <row r="4716" spans="2:4" x14ac:dyDescent="0.2">
      <c r="B4716" s="876">
        <v>5674</v>
      </c>
      <c r="C4716" s="876" t="s">
        <v>5408</v>
      </c>
      <c r="D4716" s="851">
        <v>685.26666299999999</v>
      </c>
    </row>
    <row r="4717" spans="2:4" x14ac:dyDescent="0.2">
      <c r="B4717" s="876">
        <v>5702</v>
      </c>
      <c r="C4717" s="876" t="s">
        <v>2130</v>
      </c>
      <c r="D4717" s="851">
        <v>926.81999499999995</v>
      </c>
    </row>
    <row r="4718" spans="2:4" x14ac:dyDescent="0.2">
      <c r="B4718" s="876">
        <v>5703</v>
      </c>
      <c r="C4718" s="876" t="s">
        <v>5409</v>
      </c>
      <c r="D4718" s="851">
        <v>1020.670967</v>
      </c>
    </row>
    <row r="4719" spans="2:4" x14ac:dyDescent="0.2">
      <c r="B4719" s="876">
        <v>5704</v>
      </c>
      <c r="C4719" s="876" t="s">
        <v>5410</v>
      </c>
      <c r="D4719" s="851">
        <v>1235.082347</v>
      </c>
    </row>
    <row r="4720" spans="2:4" x14ac:dyDescent="0.2">
      <c r="B4720" s="876">
        <v>5705</v>
      </c>
      <c r="C4720" s="876" t="s">
        <v>3667</v>
      </c>
      <c r="D4720" s="851">
        <v>760.75624800000003</v>
      </c>
    </row>
    <row r="4721" spans="2:4" x14ac:dyDescent="0.2">
      <c r="B4721" s="876">
        <v>5706</v>
      </c>
      <c r="C4721" s="876" t="s">
        <v>5411</v>
      </c>
      <c r="D4721" s="851">
        <v>788.19375200000002</v>
      </c>
    </row>
    <row r="4722" spans="2:4" x14ac:dyDescent="0.2">
      <c r="B4722" s="876">
        <v>5707</v>
      </c>
      <c r="C4722" s="876" t="s">
        <v>5412</v>
      </c>
      <c r="D4722" s="851">
        <v>835.23889499999996</v>
      </c>
    </row>
    <row r="4723" spans="2:4" x14ac:dyDescent="0.2">
      <c r="B4723" s="876">
        <v>5708</v>
      </c>
      <c r="C4723" s="876" t="s">
        <v>4988</v>
      </c>
      <c r="D4723" s="851">
        <v>985.32500200000004</v>
      </c>
    </row>
    <row r="4724" spans="2:4" x14ac:dyDescent="0.2">
      <c r="B4724" s="876">
        <v>5709</v>
      </c>
      <c r="C4724" s="876" t="s">
        <v>5413</v>
      </c>
      <c r="D4724" s="851">
        <v>1100.5022779999999</v>
      </c>
    </row>
    <row r="4725" spans="2:4" x14ac:dyDescent="0.2">
      <c r="B4725" s="876">
        <v>5710</v>
      </c>
      <c r="C4725" s="876" t="s">
        <v>5414</v>
      </c>
      <c r="D4725" s="851">
        <v>1202.5499990000001</v>
      </c>
    </row>
    <row r="4726" spans="2:4" x14ac:dyDescent="0.2">
      <c r="B4726" s="876">
        <v>5713</v>
      </c>
      <c r="C4726" s="876" t="s">
        <v>5415</v>
      </c>
      <c r="D4726" s="851">
        <v>1168.899987</v>
      </c>
    </row>
    <row r="4727" spans="2:4" x14ac:dyDescent="0.2">
      <c r="B4727" s="876">
        <v>5714</v>
      </c>
      <c r="C4727" s="876" t="s">
        <v>5416</v>
      </c>
      <c r="D4727" s="851">
        <v>966.77999299999999</v>
      </c>
    </row>
    <row r="4728" spans="2:4" x14ac:dyDescent="0.2">
      <c r="B4728" s="876">
        <v>5715</v>
      </c>
      <c r="C4728" s="876" t="s">
        <v>5417</v>
      </c>
      <c r="D4728" s="851">
        <v>880.14999899999998</v>
      </c>
    </row>
    <row r="4729" spans="2:4" x14ac:dyDescent="0.2">
      <c r="B4729" s="876">
        <v>5716</v>
      </c>
      <c r="C4729" s="876" t="s">
        <v>5418</v>
      </c>
      <c r="D4729" s="851">
        <v>803.94999700000005</v>
      </c>
    </row>
    <row r="4730" spans="2:4" x14ac:dyDescent="0.2">
      <c r="B4730" s="876">
        <v>5717</v>
      </c>
      <c r="C4730" s="876" t="s">
        <v>5419</v>
      </c>
      <c r="D4730" s="851">
        <v>1190.4593789999999</v>
      </c>
    </row>
    <row r="4731" spans="2:4" x14ac:dyDescent="0.2">
      <c r="B4731" s="876">
        <v>5718</v>
      </c>
      <c r="C4731" s="876" t="s">
        <v>4273</v>
      </c>
      <c r="D4731" s="851">
        <v>915.97999900000002</v>
      </c>
    </row>
    <row r="4732" spans="2:4" x14ac:dyDescent="0.2">
      <c r="B4732" s="876">
        <v>5719</v>
      </c>
      <c r="C4732" s="876" t="s">
        <v>5420</v>
      </c>
      <c r="D4732" s="851">
        <v>1015.405877</v>
      </c>
    </row>
    <row r="4733" spans="2:4" x14ac:dyDescent="0.2">
      <c r="B4733" s="876">
        <v>5720</v>
      </c>
      <c r="C4733" s="876" t="s">
        <v>5421</v>
      </c>
      <c r="D4733" s="851">
        <v>975.68890399999998</v>
      </c>
    </row>
    <row r="4734" spans="2:4" x14ac:dyDescent="0.2">
      <c r="B4734" s="876">
        <v>5721</v>
      </c>
      <c r="C4734" s="876" t="s">
        <v>5422</v>
      </c>
      <c r="D4734" s="851">
        <v>853.409085</v>
      </c>
    </row>
    <row r="4735" spans="2:4" x14ac:dyDescent="0.2">
      <c r="B4735" s="876">
        <v>5722</v>
      </c>
      <c r="C4735" s="876" t="s">
        <v>5423</v>
      </c>
      <c r="D4735" s="851">
        <v>953.27499899999998</v>
      </c>
    </row>
    <row r="4736" spans="2:4" x14ac:dyDescent="0.2">
      <c r="B4736" s="876">
        <v>5723</v>
      </c>
      <c r="C4736" s="876" t="s">
        <v>5060</v>
      </c>
      <c r="D4736" s="851">
        <v>976.35262599999999</v>
      </c>
    </row>
    <row r="4737" spans="2:4" x14ac:dyDescent="0.2">
      <c r="B4737" s="876">
        <v>5724</v>
      </c>
      <c r="C4737" s="876" t="s">
        <v>5424</v>
      </c>
      <c r="D4737" s="851">
        <v>919.73333200000002</v>
      </c>
    </row>
    <row r="4738" spans="2:4" x14ac:dyDescent="0.2">
      <c r="B4738" s="876">
        <v>5725</v>
      </c>
      <c r="C4738" s="876" t="s">
        <v>5425</v>
      </c>
      <c r="D4738" s="851">
        <v>1017.8821390000001</v>
      </c>
    </row>
    <row r="4739" spans="2:4" x14ac:dyDescent="0.2">
      <c r="B4739" s="876">
        <v>5728</v>
      </c>
      <c r="C4739" s="876" t="s">
        <v>5426</v>
      </c>
      <c r="D4739" s="851">
        <v>961.74400400000002</v>
      </c>
    </row>
    <row r="4740" spans="2:4" x14ac:dyDescent="0.2">
      <c r="B4740" s="876">
        <v>5729</v>
      </c>
      <c r="C4740" s="876" t="s">
        <v>5427</v>
      </c>
      <c r="D4740" s="851">
        <v>1042.9470679999999</v>
      </c>
    </row>
    <row r="4741" spans="2:4" x14ac:dyDescent="0.2">
      <c r="B4741" s="876">
        <v>5730</v>
      </c>
      <c r="C4741" s="876" t="s">
        <v>5428</v>
      </c>
      <c r="D4741" s="851">
        <v>1109.5578869999999</v>
      </c>
    </row>
    <row r="4742" spans="2:4" x14ac:dyDescent="0.2">
      <c r="B4742" s="876">
        <v>5731</v>
      </c>
      <c r="C4742" s="876" t="s">
        <v>5429</v>
      </c>
      <c r="D4742" s="851">
        <v>1088.9125059999999</v>
      </c>
    </row>
    <row r="4743" spans="2:4" x14ac:dyDescent="0.2">
      <c r="B4743" s="876">
        <v>5732</v>
      </c>
      <c r="C4743" s="876" t="s">
        <v>5430</v>
      </c>
      <c r="D4743" s="851">
        <v>1000.883321</v>
      </c>
    </row>
    <row r="4744" spans="2:4" x14ac:dyDescent="0.2">
      <c r="B4744" s="876">
        <v>5733</v>
      </c>
      <c r="C4744" s="876" t="s">
        <v>5431</v>
      </c>
      <c r="D4744" s="851">
        <v>1209.310909</v>
      </c>
    </row>
    <row r="4745" spans="2:4" x14ac:dyDescent="0.2">
      <c r="B4745" s="876">
        <v>5735</v>
      </c>
      <c r="C4745" s="876" t="s">
        <v>5432</v>
      </c>
      <c r="D4745" s="851">
        <v>1217.529029</v>
      </c>
    </row>
    <row r="4746" spans="2:4" x14ac:dyDescent="0.2">
      <c r="B4746" s="876">
        <v>5736</v>
      </c>
      <c r="C4746" s="876" t="s">
        <v>5433</v>
      </c>
      <c r="D4746" s="851">
        <v>977.51250500000003</v>
      </c>
    </row>
    <row r="4747" spans="2:4" x14ac:dyDescent="0.2">
      <c r="B4747" s="876">
        <v>5737</v>
      </c>
      <c r="C4747" s="876" t="s">
        <v>5434</v>
      </c>
      <c r="D4747" s="851">
        <v>1018.800008</v>
      </c>
    </row>
    <row r="4748" spans="2:4" x14ac:dyDescent="0.2">
      <c r="B4748" s="876">
        <v>5738</v>
      </c>
      <c r="C4748" s="876" t="s">
        <v>5435</v>
      </c>
      <c r="D4748" s="851">
        <v>1209.71001</v>
      </c>
    </row>
    <row r="4749" spans="2:4" x14ac:dyDescent="0.2">
      <c r="B4749" s="876">
        <v>5739</v>
      </c>
      <c r="C4749" s="876" t="s">
        <v>5436</v>
      </c>
      <c r="D4749" s="851">
        <v>1055.235999</v>
      </c>
    </row>
    <row r="4750" spans="2:4" x14ac:dyDescent="0.2">
      <c r="B4750" s="876">
        <v>5740</v>
      </c>
      <c r="C4750" s="876" t="s">
        <v>5437</v>
      </c>
      <c r="D4750" s="851">
        <v>1042.3600100000001</v>
      </c>
    </row>
    <row r="4751" spans="2:4" x14ac:dyDescent="0.2">
      <c r="B4751" s="876">
        <v>5741</v>
      </c>
      <c r="C4751" s="876" t="s">
        <v>5438</v>
      </c>
      <c r="D4751" s="851">
        <v>953.89999399999999</v>
      </c>
    </row>
    <row r="4752" spans="2:4" x14ac:dyDescent="0.2">
      <c r="B4752" s="876">
        <v>5742</v>
      </c>
      <c r="C4752" s="876" t="s">
        <v>5008</v>
      </c>
      <c r="D4752" s="851">
        <v>934.57999900000004</v>
      </c>
    </row>
    <row r="4753" spans="2:4" x14ac:dyDescent="0.2">
      <c r="B4753" s="876">
        <v>5743</v>
      </c>
      <c r="C4753" s="876" t="s">
        <v>335</v>
      </c>
      <c r="D4753" s="851">
        <v>869.63333499999999</v>
      </c>
    </row>
    <row r="4754" spans="2:4" x14ac:dyDescent="0.2">
      <c r="B4754" s="876">
        <v>5744</v>
      </c>
      <c r="C4754" s="876" t="s">
        <v>5439</v>
      </c>
      <c r="D4754" s="851">
        <v>913</v>
      </c>
    </row>
    <row r="4755" spans="2:4" x14ac:dyDescent="0.2">
      <c r="B4755" s="876">
        <v>5745</v>
      </c>
      <c r="C4755" s="876" t="s">
        <v>5322</v>
      </c>
      <c r="D4755" s="851">
        <v>1001.216665</v>
      </c>
    </row>
    <row r="4756" spans="2:4" x14ac:dyDescent="0.2">
      <c r="B4756" s="876">
        <v>5746</v>
      </c>
      <c r="C4756" s="876" t="s">
        <v>5440</v>
      </c>
      <c r="D4756" s="851">
        <v>1111.7000009999999</v>
      </c>
    </row>
    <row r="4757" spans="2:4" x14ac:dyDescent="0.2">
      <c r="B4757" s="876">
        <v>5747</v>
      </c>
      <c r="C4757" s="876" t="s">
        <v>5441</v>
      </c>
      <c r="D4757" s="851">
        <v>957.46666500000003</v>
      </c>
    </row>
    <row r="4758" spans="2:4" x14ac:dyDescent="0.2">
      <c r="B4758" s="876">
        <v>5748</v>
      </c>
      <c r="C4758" s="876" t="s">
        <v>5442</v>
      </c>
      <c r="D4758" s="851">
        <v>908.09997599999997</v>
      </c>
    </row>
    <row r="4759" spans="2:4" x14ac:dyDescent="0.2">
      <c r="B4759" s="876">
        <v>5749</v>
      </c>
      <c r="C4759" s="876" t="s">
        <v>5443</v>
      </c>
      <c r="D4759" s="851">
        <v>925.39284799999996</v>
      </c>
    </row>
    <row r="4760" spans="2:4" x14ac:dyDescent="0.2">
      <c r="B4760" s="876">
        <v>5750</v>
      </c>
      <c r="C4760" s="876" t="s">
        <v>5444</v>
      </c>
      <c r="D4760" s="851">
        <v>911.74444600000004</v>
      </c>
    </row>
    <row r="4761" spans="2:4" x14ac:dyDescent="0.2">
      <c r="B4761" s="876">
        <v>5751</v>
      </c>
      <c r="C4761" s="876" t="s">
        <v>5445</v>
      </c>
      <c r="D4761" s="851">
        <v>959.22999600000003</v>
      </c>
    </row>
    <row r="4762" spans="2:4" x14ac:dyDescent="0.2">
      <c r="B4762" s="876">
        <v>5752</v>
      </c>
      <c r="C4762" s="876" t="s">
        <v>5446</v>
      </c>
      <c r="D4762" s="851">
        <v>1228.0999959999999</v>
      </c>
    </row>
    <row r="4763" spans="2:4" x14ac:dyDescent="0.2">
      <c r="B4763" s="876">
        <v>5753</v>
      </c>
      <c r="C4763" s="876" t="s">
        <v>5447</v>
      </c>
      <c r="D4763" s="851">
        <v>1120.3214330000001</v>
      </c>
    </row>
    <row r="4764" spans="2:4" x14ac:dyDescent="0.2">
      <c r="B4764" s="876">
        <v>5754</v>
      </c>
      <c r="C4764" s="876" t="s">
        <v>5260</v>
      </c>
      <c r="D4764" s="851">
        <v>979.10999500000003</v>
      </c>
    </row>
    <row r="4765" spans="2:4" x14ac:dyDescent="0.2">
      <c r="B4765" s="876">
        <v>5755</v>
      </c>
      <c r="C4765" s="876" t="s">
        <v>1843</v>
      </c>
      <c r="D4765" s="851">
        <v>912.13332100000002</v>
      </c>
    </row>
    <row r="4766" spans="2:4" x14ac:dyDescent="0.2">
      <c r="B4766" s="876">
        <v>5756</v>
      </c>
      <c r="C4766" s="876" t="s">
        <v>5448</v>
      </c>
      <c r="D4766" s="851">
        <v>949.85882600000002</v>
      </c>
    </row>
    <row r="4767" spans="2:4" x14ac:dyDescent="0.2">
      <c r="B4767" s="876">
        <v>5757</v>
      </c>
      <c r="C4767" s="876" t="s">
        <v>5449</v>
      </c>
      <c r="D4767" s="851">
        <v>915.13076100000001</v>
      </c>
    </row>
    <row r="4768" spans="2:4" x14ac:dyDescent="0.2">
      <c r="B4768" s="876">
        <v>5758</v>
      </c>
      <c r="C4768" s="876" t="s">
        <v>5450</v>
      </c>
      <c r="D4768" s="851">
        <v>908.369235</v>
      </c>
    </row>
    <row r="4769" spans="2:4" x14ac:dyDescent="0.2">
      <c r="B4769" s="876">
        <v>5759</v>
      </c>
      <c r="C4769" s="876" t="s">
        <v>5451</v>
      </c>
      <c r="D4769" s="851">
        <v>938.69999199999995</v>
      </c>
    </row>
    <row r="4770" spans="2:4" x14ac:dyDescent="0.2">
      <c r="B4770" s="876">
        <v>5760</v>
      </c>
      <c r="C4770" s="876" t="s">
        <v>5452</v>
      </c>
      <c r="D4770" s="851">
        <v>985.428585</v>
      </c>
    </row>
    <row r="4771" spans="2:4" x14ac:dyDescent="0.2">
      <c r="B4771" s="876">
        <v>5761</v>
      </c>
      <c r="C4771" s="876" t="s">
        <v>5004</v>
      </c>
      <c r="D4771" s="851">
        <v>960.29411400000004</v>
      </c>
    </row>
    <row r="4772" spans="2:4" x14ac:dyDescent="0.2">
      <c r="B4772" s="876">
        <v>5762</v>
      </c>
      <c r="C4772" s="876" t="s">
        <v>5453</v>
      </c>
      <c r="D4772" s="851">
        <v>917.14285700000005</v>
      </c>
    </row>
    <row r="4773" spans="2:4" x14ac:dyDescent="0.2">
      <c r="B4773" s="876">
        <v>5802</v>
      </c>
      <c r="C4773" s="876" t="s">
        <v>5454</v>
      </c>
      <c r="D4773" s="851">
        <v>1099.6944410000001</v>
      </c>
    </row>
    <row r="4774" spans="2:4" x14ac:dyDescent="0.2">
      <c r="B4774" s="876">
        <v>5803</v>
      </c>
      <c r="C4774" s="876" t="s">
        <v>5455</v>
      </c>
      <c r="D4774" s="851">
        <v>1122.6907409999999</v>
      </c>
    </row>
    <row r="4775" spans="2:4" x14ac:dyDescent="0.2">
      <c r="B4775" s="876">
        <v>5806</v>
      </c>
      <c r="C4775" s="876" t="s">
        <v>5456</v>
      </c>
      <c r="D4775" s="851">
        <v>1129.9205199999999</v>
      </c>
    </row>
    <row r="4776" spans="2:4" x14ac:dyDescent="0.2">
      <c r="B4776" s="876">
        <v>5807</v>
      </c>
      <c r="C4776" s="876" t="s">
        <v>5457</v>
      </c>
      <c r="D4776" s="851">
        <v>1176.139985</v>
      </c>
    </row>
    <row r="4777" spans="2:4" x14ac:dyDescent="0.2">
      <c r="B4777" s="876">
        <v>5808</v>
      </c>
      <c r="C4777" s="876" t="s">
        <v>5458</v>
      </c>
      <c r="D4777" s="851">
        <v>1114.51819</v>
      </c>
    </row>
    <row r="4778" spans="2:4" x14ac:dyDescent="0.2">
      <c r="B4778" s="876">
        <v>5809</v>
      </c>
      <c r="C4778" s="876" t="s">
        <v>5459</v>
      </c>
      <c r="D4778" s="851">
        <v>1075.6269110000001</v>
      </c>
    </row>
    <row r="4779" spans="2:4" x14ac:dyDescent="0.2">
      <c r="B4779" s="876">
        <v>5810</v>
      </c>
      <c r="C4779" s="876" t="s">
        <v>5460</v>
      </c>
      <c r="D4779" s="851">
        <v>1130.061913</v>
      </c>
    </row>
    <row r="4780" spans="2:4" x14ac:dyDescent="0.2">
      <c r="B4780" s="876">
        <v>5811</v>
      </c>
      <c r="C4780" s="876" t="s">
        <v>5461</v>
      </c>
      <c r="D4780" s="851">
        <v>996.10000300000002</v>
      </c>
    </row>
    <row r="4781" spans="2:4" x14ac:dyDescent="0.2">
      <c r="B4781" s="876">
        <v>5812</v>
      </c>
      <c r="C4781" s="876" t="s">
        <v>5462</v>
      </c>
      <c r="D4781" s="851">
        <v>1021.690918</v>
      </c>
    </row>
    <row r="4782" spans="2:4" x14ac:dyDescent="0.2">
      <c r="B4782" s="876">
        <v>5813</v>
      </c>
      <c r="C4782" s="876" t="s">
        <v>5463</v>
      </c>
      <c r="D4782" s="851">
        <v>997.63332800000001</v>
      </c>
    </row>
    <row r="4783" spans="2:4" x14ac:dyDescent="0.2">
      <c r="B4783" s="876">
        <v>5814</v>
      </c>
      <c r="C4783" s="876" t="s">
        <v>5464</v>
      </c>
      <c r="D4783" s="851">
        <v>1018.212494</v>
      </c>
    </row>
    <row r="4784" spans="2:4" x14ac:dyDescent="0.2">
      <c r="B4784" s="876">
        <v>5815</v>
      </c>
      <c r="C4784" s="876" t="s">
        <v>5465</v>
      </c>
      <c r="D4784" s="851">
        <v>987.19999199999995</v>
      </c>
    </row>
    <row r="4785" spans="2:4" x14ac:dyDescent="0.2">
      <c r="B4785" s="876">
        <v>5816</v>
      </c>
      <c r="C4785" s="876" t="s">
        <v>2049</v>
      </c>
      <c r="D4785" s="851">
        <v>1030.58572</v>
      </c>
    </row>
    <row r="4786" spans="2:4" x14ac:dyDescent="0.2">
      <c r="B4786" s="876">
        <v>5817</v>
      </c>
      <c r="C4786" s="876" t="s">
        <v>5466</v>
      </c>
      <c r="D4786" s="851">
        <v>985.96666000000005</v>
      </c>
    </row>
    <row r="4787" spans="2:4" x14ac:dyDescent="0.2">
      <c r="B4787" s="876">
        <v>5818</v>
      </c>
      <c r="C4787" s="876" t="s">
        <v>5467</v>
      </c>
      <c r="D4787" s="851">
        <v>986.24166400000001</v>
      </c>
    </row>
    <row r="4788" spans="2:4" x14ac:dyDescent="0.2">
      <c r="B4788" s="876">
        <v>5819</v>
      </c>
      <c r="C4788" s="876" t="s">
        <v>5468</v>
      </c>
      <c r="D4788" s="851">
        <v>986.54286000000002</v>
      </c>
    </row>
    <row r="4789" spans="2:4" x14ac:dyDescent="0.2">
      <c r="B4789" s="876">
        <v>5820</v>
      </c>
      <c r="C4789" s="876" t="s">
        <v>5469</v>
      </c>
      <c r="D4789" s="851">
        <v>1091.2375070000001</v>
      </c>
    </row>
    <row r="4790" spans="2:4" x14ac:dyDescent="0.2">
      <c r="B4790" s="876">
        <v>5821</v>
      </c>
      <c r="C4790" s="876" t="s">
        <v>5470</v>
      </c>
      <c r="D4790" s="851">
        <v>1144.309082</v>
      </c>
    </row>
    <row r="4791" spans="2:4" x14ac:dyDescent="0.2">
      <c r="B4791" s="876">
        <v>5822</v>
      </c>
      <c r="C4791" s="876" t="s">
        <v>5471</v>
      </c>
      <c r="D4791" s="851">
        <v>1160.037934</v>
      </c>
    </row>
    <row r="4792" spans="2:4" x14ac:dyDescent="0.2">
      <c r="B4792" s="876">
        <v>5823</v>
      </c>
      <c r="C4792" s="876" t="s">
        <v>4444</v>
      </c>
      <c r="D4792" s="851">
        <v>935.81667100000004</v>
      </c>
    </row>
    <row r="4793" spans="2:4" x14ac:dyDescent="0.2">
      <c r="B4793" s="876">
        <v>5824</v>
      </c>
      <c r="C4793" s="876" t="s">
        <v>5472</v>
      </c>
      <c r="D4793" s="851">
        <v>981.42222800000002</v>
      </c>
    </row>
    <row r="4794" spans="2:4" x14ac:dyDescent="0.2">
      <c r="B4794" s="876">
        <v>5825</v>
      </c>
      <c r="C4794" s="876" t="s">
        <v>5473</v>
      </c>
      <c r="D4794" s="851">
        <v>947.65000899999995</v>
      </c>
    </row>
    <row r="4795" spans="2:4" x14ac:dyDescent="0.2">
      <c r="B4795" s="876">
        <v>5826</v>
      </c>
      <c r="C4795" s="876" t="s">
        <v>5474</v>
      </c>
      <c r="D4795" s="851">
        <v>946.5</v>
      </c>
    </row>
    <row r="4796" spans="2:4" x14ac:dyDescent="0.2">
      <c r="B4796" s="876">
        <v>5827</v>
      </c>
      <c r="C4796" s="876" t="s">
        <v>5451</v>
      </c>
      <c r="D4796" s="851">
        <v>983.14285700000005</v>
      </c>
    </row>
    <row r="4797" spans="2:4" x14ac:dyDescent="0.2">
      <c r="B4797" s="876">
        <v>5828</v>
      </c>
      <c r="C4797" s="876" t="s">
        <v>5475</v>
      </c>
      <c r="D4797" s="851">
        <v>1016.5</v>
      </c>
    </row>
    <row r="4798" spans="2:4" x14ac:dyDescent="0.2">
      <c r="B4798" s="876">
        <v>5829</v>
      </c>
      <c r="C4798" s="876" t="s">
        <v>5476</v>
      </c>
      <c r="D4798" s="851">
        <v>1074.978572</v>
      </c>
    </row>
    <row r="4799" spans="2:4" x14ac:dyDescent="0.2">
      <c r="B4799" s="876">
        <v>5831</v>
      </c>
      <c r="C4799" s="876" t="s">
        <v>5477</v>
      </c>
      <c r="D4799" s="851">
        <v>1046.1999969999999</v>
      </c>
    </row>
    <row r="4800" spans="2:4" x14ac:dyDescent="0.2">
      <c r="B4800" s="876">
        <v>5832</v>
      </c>
      <c r="C4800" s="876" t="s">
        <v>5478</v>
      </c>
      <c r="D4800" s="851">
        <v>975.671426</v>
      </c>
    </row>
    <row r="4801" spans="2:4" x14ac:dyDescent="0.2">
      <c r="B4801" s="876">
        <v>5833</v>
      </c>
      <c r="C4801" s="876" t="s">
        <v>5479</v>
      </c>
      <c r="D4801" s="851">
        <v>958.78749800000003</v>
      </c>
    </row>
    <row r="4802" spans="2:4" x14ac:dyDescent="0.2">
      <c r="B4802" s="876">
        <v>5834</v>
      </c>
      <c r="C4802" s="876" t="s">
        <v>3955</v>
      </c>
      <c r="D4802" s="851">
        <v>996.29998799999998</v>
      </c>
    </row>
    <row r="4803" spans="2:4" x14ac:dyDescent="0.2">
      <c r="B4803" s="876">
        <v>5835</v>
      </c>
      <c r="C4803" s="876" t="s">
        <v>5480</v>
      </c>
      <c r="D4803" s="851">
        <v>1044.1750030000001</v>
      </c>
    </row>
    <row r="4804" spans="2:4" x14ac:dyDescent="0.2">
      <c r="B4804" s="876">
        <v>5836</v>
      </c>
      <c r="C4804" s="876" t="s">
        <v>5481</v>
      </c>
      <c r="D4804" s="851">
        <v>1027.753845</v>
      </c>
    </row>
    <row r="4805" spans="2:4" x14ac:dyDescent="0.2">
      <c r="B4805" s="876">
        <v>5837</v>
      </c>
      <c r="C4805" s="876" t="s">
        <v>5482</v>
      </c>
      <c r="D4805" s="851">
        <v>1043.974976</v>
      </c>
    </row>
    <row r="4806" spans="2:4" x14ac:dyDescent="0.2">
      <c r="B4806" s="876">
        <v>5838</v>
      </c>
      <c r="C4806" s="876" t="s">
        <v>2266</v>
      </c>
      <c r="D4806" s="851">
        <v>958.52222400000005</v>
      </c>
    </row>
    <row r="4807" spans="2:4" x14ac:dyDescent="0.2">
      <c r="B4807" s="876">
        <v>5839</v>
      </c>
      <c r="C4807" s="876" t="s">
        <v>5483</v>
      </c>
      <c r="D4807" s="851">
        <v>960.57501200000002</v>
      </c>
    </row>
    <row r="4808" spans="2:4" x14ac:dyDescent="0.2">
      <c r="B4808" s="876">
        <v>5840</v>
      </c>
      <c r="C4808" s="876" t="s">
        <v>5484</v>
      </c>
      <c r="D4808" s="851">
        <v>979.09999600000003</v>
      </c>
    </row>
    <row r="4809" spans="2:4" x14ac:dyDescent="0.2">
      <c r="B4809" s="876">
        <v>5841</v>
      </c>
      <c r="C4809" s="876" t="s">
        <v>5485</v>
      </c>
      <c r="D4809" s="851">
        <v>958.51429099999996</v>
      </c>
    </row>
    <row r="4810" spans="2:4" x14ac:dyDescent="0.2">
      <c r="B4810" s="876">
        <v>5842</v>
      </c>
      <c r="C4810" s="876" t="s">
        <v>5486</v>
      </c>
      <c r="D4810" s="851">
        <v>991.60000600000001</v>
      </c>
    </row>
    <row r="4811" spans="2:4" x14ac:dyDescent="0.2">
      <c r="B4811" s="876">
        <v>5843</v>
      </c>
      <c r="C4811" s="876" t="s">
        <v>5487</v>
      </c>
      <c r="D4811" s="851">
        <v>889.54286000000002</v>
      </c>
    </row>
    <row r="4812" spans="2:4" x14ac:dyDescent="0.2">
      <c r="B4812" s="876">
        <v>5844</v>
      </c>
      <c r="C4812" s="876" t="s">
        <v>5488</v>
      </c>
      <c r="D4812" s="851">
        <v>923.30769699999996</v>
      </c>
    </row>
    <row r="4813" spans="2:4" x14ac:dyDescent="0.2">
      <c r="B4813" s="876">
        <v>5845</v>
      </c>
      <c r="C4813" s="876" t="s">
        <v>5489</v>
      </c>
      <c r="D4813" s="851">
        <v>936.78572299999996</v>
      </c>
    </row>
    <row r="4814" spans="2:4" x14ac:dyDescent="0.2">
      <c r="B4814" s="876">
        <v>5846</v>
      </c>
      <c r="C4814" s="876" t="s">
        <v>5490</v>
      </c>
      <c r="D4814" s="851">
        <v>978.57499700000005</v>
      </c>
    </row>
    <row r="4815" spans="2:4" x14ac:dyDescent="0.2">
      <c r="B4815" s="876">
        <v>5847</v>
      </c>
      <c r="C4815" s="876" t="s">
        <v>5491</v>
      </c>
      <c r="D4815" s="851">
        <v>940.44998199999998</v>
      </c>
    </row>
    <row r="4816" spans="2:4" x14ac:dyDescent="0.2">
      <c r="B4816" s="876">
        <v>5848</v>
      </c>
      <c r="C4816" s="876" t="s">
        <v>5492</v>
      </c>
      <c r="D4816" s="851">
        <v>1006.787506</v>
      </c>
    </row>
    <row r="4817" spans="2:4" x14ac:dyDescent="0.2">
      <c r="B4817" s="876">
        <v>5849</v>
      </c>
      <c r="C4817" s="876" t="s">
        <v>5493</v>
      </c>
      <c r="D4817" s="851">
        <v>1006.207679</v>
      </c>
    </row>
    <row r="4818" spans="2:4" x14ac:dyDescent="0.2">
      <c r="B4818" s="876">
        <v>5850</v>
      </c>
      <c r="C4818" s="876" t="s">
        <v>5494</v>
      </c>
      <c r="D4818" s="851">
        <v>1034.633335</v>
      </c>
    </row>
    <row r="4819" spans="2:4" x14ac:dyDescent="0.2">
      <c r="B4819" s="876">
        <v>5851</v>
      </c>
      <c r="C4819" s="876" t="s">
        <v>5495</v>
      </c>
      <c r="D4819" s="851">
        <v>1150.636358</v>
      </c>
    </row>
    <row r="4820" spans="2:4" x14ac:dyDescent="0.2">
      <c r="B4820" s="876">
        <v>5852</v>
      </c>
      <c r="C4820" s="876" t="s">
        <v>5496</v>
      </c>
      <c r="D4820" s="851">
        <v>1171.0666639999999</v>
      </c>
    </row>
    <row r="4821" spans="2:4" x14ac:dyDescent="0.2">
      <c r="B4821" s="876">
        <v>5853</v>
      </c>
      <c r="C4821" s="876" t="s">
        <v>5497</v>
      </c>
      <c r="D4821" s="851">
        <v>982.36363600000004</v>
      </c>
    </row>
    <row r="4822" spans="2:4" x14ac:dyDescent="0.2">
      <c r="B4822" s="876">
        <v>5854</v>
      </c>
      <c r="C4822" s="876" t="s">
        <v>5498</v>
      </c>
      <c r="D4822" s="851">
        <v>973.47499800000003</v>
      </c>
    </row>
    <row r="4823" spans="2:4" x14ac:dyDescent="0.2">
      <c r="B4823" s="876">
        <v>5855</v>
      </c>
      <c r="C4823" s="876" t="s">
        <v>5499</v>
      </c>
      <c r="D4823" s="851">
        <v>994.47367799999995</v>
      </c>
    </row>
    <row r="4824" spans="2:4" x14ac:dyDescent="0.2">
      <c r="B4824" s="876">
        <v>5856</v>
      </c>
      <c r="C4824" s="876" t="s">
        <v>5500</v>
      </c>
      <c r="D4824" s="851">
        <v>964.89999399999999</v>
      </c>
    </row>
    <row r="4825" spans="2:4" x14ac:dyDescent="0.2">
      <c r="B4825" s="876">
        <v>5857</v>
      </c>
      <c r="C4825" s="876" t="s">
        <v>2002</v>
      </c>
      <c r="D4825" s="851">
        <v>975.51250500000003</v>
      </c>
    </row>
    <row r="4826" spans="2:4" x14ac:dyDescent="0.2">
      <c r="B4826" s="876">
        <v>5858</v>
      </c>
      <c r="C4826" s="876" t="s">
        <v>5501</v>
      </c>
      <c r="D4826" s="851">
        <v>946.84545900000001</v>
      </c>
    </row>
    <row r="4827" spans="2:4" x14ac:dyDescent="0.2">
      <c r="B4827" s="876">
        <v>5859</v>
      </c>
      <c r="C4827" s="876" t="s">
        <v>5502</v>
      </c>
      <c r="D4827" s="851">
        <v>883.28000499999996</v>
      </c>
    </row>
    <row r="4828" spans="2:4" x14ac:dyDescent="0.2">
      <c r="B4828" s="876">
        <v>5860</v>
      </c>
      <c r="C4828" s="876" t="s">
        <v>5503</v>
      </c>
      <c r="D4828" s="851">
        <v>906.43332199999998</v>
      </c>
    </row>
    <row r="4829" spans="2:4" x14ac:dyDescent="0.2">
      <c r="B4829" s="876">
        <v>5861</v>
      </c>
      <c r="C4829" s="876" t="s">
        <v>5504</v>
      </c>
      <c r="D4829" s="851">
        <v>879.39000199999998</v>
      </c>
    </row>
    <row r="4830" spans="2:4" x14ac:dyDescent="0.2">
      <c r="B4830" s="876">
        <v>5862</v>
      </c>
      <c r="C4830" s="876" t="s">
        <v>2560</v>
      </c>
      <c r="D4830" s="851">
        <v>924.66666699999996</v>
      </c>
    </row>
    <row r="4831" spans="2:4" x14ac:dyDescent="0.2">
      <c r="B4831" s="876">
        <v>5863</v>
      </c>
      <c r="C4831" s="876" t="s">
        <v>5505</v>
      </c>
      <c r="D4831" s="851">
        <v>953.77333199999998</v>
      </c>
    </row>
    <row r="4832" spans="2:4" x14ac:dyDescent="0.2">
      <c r="B4832" s="876">
        <v>5864</v>
      </c>
      <c r="C4832" s="876" t="s">
        <v>5506</v>
      </c>
      <c r="D4832" s="851">
        <v>959.38333599999999</v>
      </c>
    </row>
    <row r="4833" spans="2:4" x14ac:dyDescent="0.2">
      <c r="B4833" s="876">
        <v>5865</v>
      </c>
      <c r="C4833" s="876" t="s">
        <v>5507</v>
      </c>
      <c r="D4833" s="851">
        <v>1012.64284</v>
      </c>
    </row>
    <row r="4834" spans="2:4" x14ac:dyDescent="0.2">
      <c r="B4834" s="876">
        <v>5866</v>
      </c>
      <c r="C4834" s="876" t="s">
        <v>5508</v>
      </c>
      <c r="D4834" s="851">
        <v>1097.6499940000001</v>
      </c>
    </row>
    <row r="4835" spans="2:4" x14ac:dyDescent="0.2">
      <c r="B4835" s="876">
        <v>5867</v>
      </c>
      <c r="C4835" s="876" t="s">
        <v>5509</v>
      </c>
      <c r="D4835" s="851">
        <v>1031.633331</v>
      </c>
    </row>
    <row r="4836" spans="2:4" x14ac:dyDescent="0.2">
      <c r="B4836" s="876">
        <v>5868</v>
      </c>
      <c r="C4836" s="876" t="s">
        <v>5510</v>
      </c>
      <c r="D4836" s="851">
        <v>1102.8062629999999</v>
      </c>
    </row>
    <row r="4837" spans="2:4" x14ac:dyDescent="0.2">
      <c r="B4837" s="876">
        <v>5869</v>
      </c>
      <c r="C4837" s="876" t="s">
        <v>5511</v>
      </c>
      <c r="D4837" s="851">
        <v>1150.226919</v>
      </c>
    </row>
    <row r="4838" spans="2:4" x14ac:dyDescent="0.2">
      <c r="B4838" s="876">
        <v>5870</v>
      </c>
      <c r="C4838" s="876" t="s">
        <v>5512</v>
      </c>
      <c r="D4838" s="851">
        <v>1030.833333</v>
      </c>
    </row>
    <row r="4839" spans="2:4" x14ac:dyDescent="0.2">
      <c r="B4839" s="876">
        <v>5871</v>
      </c>
      <c r="C4839" s="876" t="s">
        <v>5513</v>
      </c>
      <c r="D4839" s="851">
        <v>876.63332800000001</v>
      </c>
    </row>
    <row r="4840" spans="2:4" x14ac:dyDescent="0.2">
      <c r="B4840" s="876">
        <v>5872</v>
      </c>
      <c r="C4840" s="876" t="s">
        <v>5514</v>
      </c>
      <c r="D4840" s="851">
        <v>861.125</v>
      </c>
    </row>
    <row r="4841" spans="2:4" x14ac:dyDescent="0.2">
      <c r="B4841" s="876">
        <v>5873</v>
      </c>
      <c r="C4841" s="876" t="s">
        <v>1639</v>
      </c>
      <c r="D4841" s="851">
        <v>897.68000500000005</v>
      </c>
    </row>
    <row r="4842" spans="2:4" x14ac:dyDescent="0.2">
      <c r="B4842" s="876">
        <v>5874</v>
      </c>
      <c r="C4842" s="876" t="s">
        <v>5515</v>
      </c>
      <c r="D4842" s="851">
        <v>848.29998799999998</v>
      </c>
    </row>
    <row r="4843" spans="2:4" x14ac:dyDescent="0.2">
      <c r="B4843" s="876">
        <v>5875</v>
      </c>
      <c r="C4843" s="876" t="s">
        <v>5516</v>
      </c>
      <c r="D4843" s="851">
        <v>895.13999000000001</v>
      </c>
    </row>
    <row r="4844" spans="2:4" x14ac:dyDescent="0.2">
      <c r="B4844" s="876">
        <v>5876</v>
      </c>
      <c r="C4844" s="876" t="s">
        <v>5517</v>
      </c>
      <c r="D4844" s="851">
        <v>944.90000199999997</v>
      </c>
    </row>
    <row r="4845" spans="2:4" x14ac:dyDescent="0.2">
      <c r="B4845" s="876">
        <v>5877</v>
      </c>
      <c r="C4845" s="876" t="s">
        <v>5518</v>
      </c>
      <c r="D4845" s="851">
        <v>966.60000300000002</v>
      </c>
    </row>
    <row r="4846" spans="2:4" x14ac:dyDescent="0.2">
      <c r="B4846" s="876">
        <v>5878</v>
      </c>
      <c r="C4846" s="876" t="s">
        <v>5519</v>
      </c>
      <c r="D4846" s="851">
        <v>998.12221999999997</v>
      </c>
    </row>
    <row r="4847" spans="2:4" x14ac:dyDescent="0.2">
      <c r="B4847" s="876">
        <v>5879</v>
      </c>
      <c r="C4847" s="876" t="s">
        <v>5520</v>
      </c>
      <c r="D4847" s="851">
        <v>986.36251100000004</v>
      </c>
    </row>
    <row r="4848" spans="2:4" x14ac:dyDescent="0.2">
      <c r="B4848" s="876">
        <v>5880</v>
      </c>
      <c r="C4848" s="876" t="s">
        <v>5521</v>
      </c>
      <c r="D4848" s="851">
        <v>988.63334099999997</v>
      </c>
    </row>
    <row r="4849" spans="2:4" x14ac:dyDescent="0.2">
      <c r="B4849" s="876">
        <v>5881</v>
      </c>
      <c r="C4849" s="876" t="s">
        <v>5522</v>
      </c>
      <c r="D4849" s="851">
        <v>970.22666400000003</v>
      </c>
    </row>
    <row r="4850" spans="2:4" x14ac:dyDescent="0.2">
      <c r="B4850" s="876">
        <v>5882</v>
      </c>
      <c r="C4850" s="876" t="s">
        <v>5523</v>
      </c>
      <c r="D4850" s="851">
        <v>992.71667500000001</v>
      </c>
    </row>
    <row r="4851" spans="2:4" x14ac:dyDescent="0.2">
      <c r="B4851" s="876">
        <v>5883</v>
      </c>
      <c r="C4851" s="876" t="s">
        <v>5524</v>
      </c>
      <c r="D4851" s="851">
        <v>979.56665699999996</v>
      </c>
    </row>
    <row r="4852" spans="2:4" x14ac:dyDescent="0.2">
      <c r="B4852" s="876">
        <v>5884</v>
      </c>
      <c r="C4852" s="876" t="s">
        <v>5525</v>
      </c>
      <c r="D4852" s="851">
        <v>1026.7624820000001</v>
      </c>
    </row>
    <row r="4853" spans="2:4" x14ac:dyDescent="0.2">
      <c r="B4853" s="876">
        <v>5885</v>
      </c>
      <c r="C4853" s="876" t="s">
        <v>5526</v>
      </c>
      <c r="D4853" s="851">
        <v>996.25</v>
      </c>
    </row>
    <row r="4854" spans="2:4" x14ac:dyDescent="0.2">
      <c r="B4854" s="876">
        <v>5901</v>
      </c>
      <c r="C4854" s="876" t="s">
        <v>4898</v>
      </c>
      <c r="D4854" s="851">
        <v>1044.6062549999999</v>
      </c>
    </row>
    <row r="4855" spans="2:4" x14ac:dyDescent="0.2">
      <c r="B4855" s="876">
        <v>5902</v>
      </c>
      <c r="C4855" s="876" t="s">
        <v>5527</v>
      </c>
      <c r="D4855" s="851">
        <v>1108.2200029999999</v>
      </c>
    </row>
    <row r="4856" spans="2:4" x14ac:dyDescent="0.2">
      <c r="B4856" s="876">
        <v>5903</v>
      </c>
      <c r="C4856" s="876" t="s">
        <v>5528</v>
      </c>
      <c r="D4856" s="851">
        <v>979.13332800000001</v>
      </c>
    </row>
    <row r="4857" spans="2:4" x14ac:dyDescent="0.2">
      <c r="B4857" s="876">
        <v>5904</v>
      </c>
      <c r="C4857" s="876" t="s">
        <v>5529</v>
      </c>
      <c r="D4857" s="851">
        <v>1174.2071530000001</v>
      </c>
    </row>
    <row r="4858" spans="2:4" x14ac:dyDescent="0.2">
      <c r="B4858" s="876">
        <v>5905</v>
      </c>
      <c r="C4858" s="876" t="s">
        <v>4222</v>
      </c>
      <c r="D4858" s="851">
        <v>1083.9200069999999</v>
      </c>
    </row>
    <row r="4859" spans="2:4" x14ac:dyDescent="0.2">
      <c r="B4859" s="876">
        <v>5906</v>
      </c>
      <c r="C4859" s="876" t="s">
        <v>5403</v>
      </c>
      <c r="D4859" s="851">
        <v>1194.9142890000001</v>
      </c>
    </row>
    <row r="4860" spans="2:4" x14ac:dyDescent="0.2">
      <c r="B4860" s="876">
        <v>5907</v>
      </c>
      <c r="C4860" s="876" t="s">
        <v>5530</v>
      </c>
      <c r="D4860" s="851">
        <v>1248.133335</v>
      </c>
    </row>
    <row r="4861" spans="2:4" x14ac:dyDescent="0.2">
      <c r="B4861" s="876">
        <v>5908</v>
      </c>
      <c r="C4861" s="876" t="s">
        <v>5531</v>
      </c>
      <c r="D4861" s="851">
        <v>841.48571800000002</v>
      </c>
    </row>
    <row r="4862" spans="2:4" x14ac:dyDescent="0.2">
      <c r="B4862" s="876">
        <v>5909</v>
      </c>
      <c r="C4862" s="876" t="s">
        <v>5532</v>
      </c>
      <c r="D4862" s="851">
        <v>909.73999000000003</v>
      </c>
    </row>
    <row r="4863" spans="2:4" x14ac:dyDescent="0.2">
      <c r="B4863" s="876">
        <v>5910</v>
      </c>
      <c r="C4863" s="876" t="s">
        <v>5533</v>
      </c>
      <c r="D4863" s="851">
        <v>830.10666900000001</v>
      </c>
    </row>
    <row r="4864" spans="2:4" x14ac:dyDescent="0.2">
      <c r="B4864" s="876">
        <v>5911</v>
      </c>
      <c r="C4864" s="876" t="s">
        <v>5534</v>
      </c>
      <c r="D4864" s="851">
        <v>902.80908799999997</v>
      </c>
    </row>
    <row r="4865" spans="2:4" x14ac:dyDescent="0.2">
      <c r="B4865" s="876">
        <v>5912</v>
      </c>
      <c r="C4865" s="876" t="s">
        <v>5535</v>
      </c>
      <c r="D4865" s="851">
        <v>818.13124800000003</v>
      </c>
    </row>
    <row r="4866" spans="2:4" x14ac:dyDescent="0.2">
      <c r="B4866" s="876">
        <v>5913</v>
      </c>
      <c r="C4866" s="876" t="s">
        <v>5536</v>
      </c>
      <c r="D4866" s="851">
        <v>801.44287099999997</v>
      </c>
    </row>
    <row r="4867" spans="2:4" x14ac:dyDescent="0.2">
      <c r="B4867" s="876">
        <v>5914</v>
      </c>
      <c r="C4867" s="876" t="s">
        <v>5537</v>
      </c>
      <c r="D4867" s="851">
        <v>899.139996</v>
      </c>
    </row>
    <row r="4868" spans="2:4" x14ac:dyDescent="0.2">
      <c r="B4868" s="876">
        <v>5915</v>
      </c>
      <c r="C4868" s="876" t="s">
        <v>332</v>
      </c>
      <c r="D4868" s="851">
        <v>852.85998500000005</v>
      </c>
    </row>
    <row r="4869" spans="2:4" x14ac:dyDescent="0.2">
      <c r="B4869" s="876">
        <v>5916</v>
      </c>
      <c r="C4869" s="876" t="s">
        <v>5538</v>
      </c>
      <c r="D4869" s="851">
        <v>1027.950006</v>
      </c>
    </row>
    <row r="4870" spans="2:4" x14ac:dyDescent="0.2">
      <c r="B4870" s="876">
        <v>5917</v>
      </c>
      <c r="C4870" s="876" t="s">
        <v>5539</v>
      </c>
      <c r="D4870" s="851">
        <v>1285.2461499999999</v>
      </c>
    </row>
    <row r="4871" spans="2:4" x14ac:dyDescent="0.2">
      <c r="B4871" s="876">
        <v>5918</v>
      </c>
      <c r="C4871" s="876" t="s">
        <v>5540</v>
      </c>
      <c r="D4871" s="851">
        <v>923.32499700000005</v>
      </c>
    </row>
    <row r="4872" spans="2:4" x14ac:dyDescent="0.2">
      <c r="B4872" s="876">
        <v>5919</v>
      </c>
      <c r="C4872" s="876" t="s">
        <v>5541</v>
      </c>
      <c r="D4872" s="851">
        <v>935.16923199999997</v>
      </c>
    </row>
    <row r="4873" spans="2:4" x14ac:dyDescent="0.2">
      <c r="B4873" s="876">
        <v>5920</v>
      </c>
      <c r="C4873" s="876" t="s">
        <v>5542</v>
      </c>
      <c r="D4873" s="851">
        <v>1118.459985</v>
      </c>
    </row>
    <row r="4874" spans="2:4" x14ac:dyDescent="0.2">
      <c r="B4874" s="876">
        <v>5921</v>
      </c>
      <c r="C4874" s="876" t="s">
        <v>5543</v>
      </c>
      <c r="D4874" s="851">
        <v>987.50999100000001</v>
      </c>
    </row>
    <row r="4875" spans="2:4" x14ac:dyDescent="0.2">
      <c r="B4875" s="876">
        <v>5922</v>
      </c>
      <c r="C4875" s="876" t="s">
        <v>5544</v>
      </c>
      <c r="D4875" s="851">
        <v>1007.783331</v>
      </c>
    </row>
    <row r="4876" spans="2:4" x14ac:dyDescent="0.2">
      <c r="B4876" s="876">
        <v>5923</v>
      </c>
      <c r="C4876" s="876" t="s">
        <v>5545</v>
      </c>
      <c r="D4876" s="851">
        <v>960.94999900000005</v>
      </c>
    </row>
    <row r="4877" spans="2:4" x14ac:dyDescent="0.2">
      <c r="B4877" s="876">
        <v>5924</v>
      </c>
      <c r="C4877" s="876" t="s">
        <v>5546</v>
      </c>
      <c r="D4877" s="851">
        <v>1005.462502</v>
      </c>
    </row>
    <row r="4878" spans="2:4" x14ac:dyDescent="0.2">
      <c r="B4878" s="876">
        <v>5925</v>
      </c>
      <c r="C4878" s="876" t="s">
        <v>5547</v>
      </c>
      <c r="D4878" s="851">
        <v>1081.2200069999999</v>
      </c>
    </row>
    <row r="4879" spans="2:4" x14ac:dyDescent="0.2">
      <c r="B4879" s="876">
        <v>5926</v>
      </c>
      <c r="C4879" s="876" t="s">
        <v>5548</v>
      </c>
      <c r="D4879" s="851">
        <v>968.81999499999995</v>
      </c>
    </row>
    <row r="4880" spans="2:4" x14ac:dyDescent="0.2">
      <c r="B4880" s="876">
        <v>5927</v>
      </c>
      <c r="C4880" s="876" t="s">
        <v>5549</v>
      </c>
      <c r="D4880" s="851">
        <v>917.64284799999996</v>
      </c>
    </row>
    <row r="4881" spans="2:4" x14ac:dyDescent="0.2">
      <c r="B4881" s="876">
        <v>5928</v>
      </c>
      <c r="C4881" s="876" t="s">
        <v>5550</v>
      </c>
      <c r="D4881" s="851">
        <v>784.63000499999998</v>
      </c>
    </row>
    <row r="4882" spans="2:4" x14ac:dyDescent="0.2">
      <c r="B4882" s="876">
        <v>5929</v>
      </c>
      <c r="C4882" s="876" t="s">
        <v>5551</v>
      </c>
      <c r="D4882" s="851">
        <v>741.56667100000004</v>
      </c>
    </row>
    <row r="4883" spans="2:4" x14ac:dyDescent="0.2">
      <c r="B4883" s="876">
        <v>5930</v>
      </c>
      <c r="C4883" s="876" t="s">
        <v>5552</v>
      </c>
      <c r="D4883" s="851">
        <v>717.15454699999998</v>
      </c>
    </row>
    <row r="4884" spans="2:4" x14ac:dyDescent="0.2">
      <c r="B4884" s="876">
        <v>5931</v>
      </c>
      <c r="C4884" s="876" t="s">
        <v>5553</v>
      </c>
      <c r="D4884" s="851">
        <v>704.88181899999995</v>
      </c>
    </row>
    <row r="4885" spans="2:4" x14ac:dyDescent="0.2">
      <c r="B4885" s="876">
        <v>5932</v>
      </c>
      <c r="C4885" s="876" t="s">
        <v>5554</v>
      </c>
      <c r="D4885" s="851">
        <v>773.93333600000005</v>
      </c>
    </row>
    <row r="4886" spans="2:4" x14ac:dyDescent="0.2">
      <c r="B4886" s="876">
        <v>5933</v>
      </c>
      <c r="C4886" s="876" t="s">
        <v>5555</v>
      </c>
      <c r="D4886" s="851">
        <v>750.63529300000005</v>
      </c>
    </row>
    <row r="4887" spans="2:4" x14ac:dyDescent="0.2">
      <c r="B4887" s="876">
        <v>5934</v>
      </c>
      <c r="C4887" s="876" t="s">
        <v>5556</v>
      </c>
      <c r="D4887" s="851">
        <v>733.13334099999997</v>
      </c>
    </row>
    <row r="4888" spans="2:4" x14ac:dyDescent="0.2">
      <c r="B4888" s="876">
        <v>5935</v>
      </c>
      <c r="C4888" s="876" t="s">
        <v>5557</v>
      </c>
      <c r="D4888" s="851">
        <v>713.541382</v>
      </c>
    </row>
    <row r="4889" spans="2:4" x14ac:dyDescent="0.2">
      <c r="B4889" s="876">
        <v>5936</v>
      </c>
      <c r="C4889" s="876" t="s">
        <v>5558</v>
      </c>
      <c r="D4889" s="851">
        <v>749.44545700000003</v>
      </c>
    </row>
    <row r="4890" spans="2:4" x14ac:dyDescent="0.2">
      <c r="B4890" s="876">
        <v>5937</v>
      </c>
      <c r="C4890" s="876" t="s">
        <v>1740</v>
      </c>
      <c r="D4890" s="851">
        <v>768.72499700000003</v>
      </c>
    </row>
    <row r="4891" spans="2:4" x14ac:dyDescent="0.2">
      <c r="B4891" s="876">
        <v>5938</v>
      </c>
      <c r="C4891" s="876" t="s">
        <v>5236</v>
      </c>
      <c r="D4891" s="851">
        <v>713.90000199999997</v>
      </c>
    </row>
    <row r="4892" spans="2:4" x14ac:dyDescent="0.2">
      <c r="B4892" s="876">
        <v>5939</v>
      </c>
      <c r="C4892" s="876" t="s">
        <v>5559</v>
      </c>
      <c r="D4892" s="851">
        <v>688.84446200000002</v>
      </c>
    </row>
    <row r="4893" spans="2:4" x14ac:dyDescent="0.2">
      <c r="B4893" s="876">
        <v>5940</v>
      </c>
      <c r="C4893" s="876" t="s">
        <v>5560</v>
      </c>
      <c r="D4893" s="851">
        <v>802.55833399999995</v>
      </c>
    </row>
    <row r="4894" spans="2:4" x14ac:dyDescent="0.2">
      <c r="B4894" s="876">
        <v>5941</v>
      </c>
      <c r="C4894" s="876" t="s">
        <v>5561</v>
      </c>
      <c r="D4894" s="851">
        <v>788.1</v>
      </c>
    </row>
    <row r="4895" spans="2:4" x14ac:dyDescent="0.2">
      <c r="B4895" s="876">
        <v>5942</v>
      </c>
      <c r="C4895" s="876" t="s">
        <v>5562</v>
      </c>
      <c r="D4895" s="851">
        <v>820.625</v>
      </c>
    </row>
    <row r="4896" spans="2:4" x14ac:dyDescent="0.2">
      <c r="B4896" s="876">
        <v>5943</v>
      </c>
      <c r="C4896" s="876" t="s">
        <v>5355</v>
      </c>
      <c r="D4896" s="851">
        <v>884.43077200000005</v>
      </c>
    </row>
    <row r="4897" spans="2:4" x14ac:dyDescent="0.2">
      <c r="B4897" s="876">
        <v>5944</v>
      </c>
      <c r="C4897" s="876" t="s">
        <v>3595</v>
      </c>
      <c r="D4897" s="851">
        <v>948.60909200000003</v>
      </c>
    </row>
    <row r="4898" spans="2:4" x14ac:dyDescent="0.2">
      <c r="B4898" s="876">
        <v>5945</v>
      </c>
      <c r="C4898" s="876" t="s">
        <v>5563</v>
      </c>
      <c r="D4898" s="851">
        <v>876.34000200000003</v>
      </c>
    </row>
    <row r="4899" spans="2:4" x14ac:dyDescent="0.2">
      <c r="B4899" s="876">
        <v>5946</v>
      </c>
      <c r="C4899" s="876" t="s">
        <v>2381</v>
      </c>
      <c r="D4899" s="851">
        <v>844.94545700000003</v>
      </c>
    </row>
    <row r="4900" spans="2:4" x14ac:dyDescent="0.2">
      <c r="B4900" s="876">
        <v>5947</v>
      </c>
      <c r="C4900" s="876" t="s">
        <v>5564</v>
      </c>
      <c r="D4900" s="851">
        <v>846.42666799999995</v>
      </c>
    </row>
    <row r="4901" spans="2:4" x14ac:dyDescent="0.2">
      <c r="B4901" s="876">
        <v>5948</v>
      </c>
      <c r="C4901" s="876" t="s">
        <v>5565</v>
      </c>
      <c r="D4901" s="851">
        <v>895.85000600000001</v>
      </c>
    </row>
    <row r="4902" spans="2:4" x14ac:dyDescent="0.2">
      <c r="B4902" s="876">
        <v>5949</v>
      </c>
      <c r="C4902" s="876" t="s">
        <v>5566</v>
      </c>
      <c r="D4902" s="851">
        <v>923.54118400000004</v>
      </c>
    </row>
    <row r="4903" spans="2:4" x14ac:dyDescent="0.2">
      <c r="B4903" s="876">
        <v>5950</v>
      </c>
      <c r="C4903" s="876" t="s">
        <v>5567</v>
      </c>
      <c r="D4903" s="851">
        <v>1054.5142820000001</v>
      </c>
    </row>
    <row r="4904" spans="2:4" x14ac:dyDescent="0.2">
      <c r="B4904" s="876">
        <v>5951</v>
      </c>
      <c r="C4904" s="876" t="s">
        <v>5568</v>
      </c>
      <c r="D4904" s="851">
        <v>897.52631899999994</v>
      </c>
    </row>
    <row r="4905" spans="2:4" x14ac:dyDescent="0.2">
      <c r="B4905" s="876">
        <v>5952</v>
      </c>
      <c r="C4905" s="876" t="s">
        <v>5569</v>
      </c>
      <c r="D4905" s="851">
        <v>933.66923899999995</v>
      </c>
    </row>
    <row r="4906" spans="2:4" x14ac:dyDescent="0.2">
      <c r="B4906" s="876">
        <v>5953</v>
      </c>
      <c r="C4906" s="876" t="s">
        <v>5195</v>
      </c>
      <c r="D4906" s="851">
        <v>777.87693000000002</v>
      </c>
    </row>
    <row r="4907" spans="2:4" x14ac:dyDescent="0.2">
      <c r="B4907" s="876">
        <v>5954</v>
      </c>
      <c r="C4907" s="876" t="s">
        <v>5570</v>
      </c>
      <c r="D4907" s="851">
        <v>802.19230300000004</v>
      </c>
    </row>
    <row r="4908" spans="2:4" x14ac:dyDescent="0.2">
      <c r="B4908" s="876">
        <v>5955</v>
      </c>
      <c r="C4908" s="876" t="s">
        <v>5571</v>
      </c>
      <c r="D4908" s="851">
        <v>691.43157299999996</v>
      </c>
    </row>
    <row r="4909" spans="2:4" x14ac:dyDescent="0.2">
      <c r="B4909" s="876">
        <v>5956</v>
      </c>
      <c r="C4909" s="876" t="s">
        <v>5572</v>
      </c>
      <c r="D4909" s="851">
        <v>687.116669</v>
      </c>
    </row>
    <row r="4910" spans="2:4" x14ac:dyDescent="0.2">
      <c r="B4910" s="876">
        <v>5957</v>
      </c>
      <c r="C4910" s="876" t="s">
        <v>5573</v>
      </c>
      <c r="D4910" s="851">
        <v>683.728568</v>
      </c>
    </row>
    <row r="4911" spans="2:4" x14ac:dyDescent="0.2">
      <c r="B4911" s="876">
        <v>5958</v>
      </c>
      <c r="C4911" s="876" t="s">
        <v>5574</v>
      </c>
      <c r="D4911" s="851">
        <v>684.82857000000001</v>
      </c>
    </row>
    <row r="4912" spans="2:4" x14ac:dyDescent="0.2">
      <c r="B4912" s="876">
        <v>5959</v>
      </c>
      <c r="C4912" s="876" t="s">
        <v>5575</v>
      </c>
      <c r="D4912" s="851">
        <v>687.20908999999995</v>
      </c>
    </row>
    <row r="4913" spans="2:4" x14ac:dyDescent="0.2">
      <c r="B4913" s="876">
        <v>5960</v>
      </c>
      <c r="C4913" s="876" t="s">
        <v>5576</v>
      </c>
      <c r="D4913" s="851">
        <v>669.36665900000003</v>
      </c>
    </row>
    <row r="4914" spans="2:4" x14ac:dyDescent="0.2">
      <c r="B4914" s="876">
        <v>5961</v>
      </c>
      <c r="C4914" s="876" t="s">
        <v>5577</v>
      </c>
      <c r="D4914" s="851">
        <v>692.14999899999998</v>
      </c>
    </row>
    <row r="4915" spans="2:4" x14ac:dyDescent="0.2">
      <c r="B4915" s="876">
        <v>5962</v>
      </c>
      <c r="C4915" s="876" t="s">
        <v>5578</v>
      </c>
      <c r="D4915" s="851">
        <v>709.82000700000003</v>
      </c>
    </row>
    <row r="4916" spans="2:4" x14ac:dyDescent="0.2">
      <c r="B4916" s="876">
        <v>5963</v>
      </c>
      <c r="C4916" s="876" t="s">
        <v>5579</v>
      </c>
      <c r="D4916" s="851">
        <v>742.37368900000001</v>
      </c>
    </row>
    <row r="4917" spans="2:4" x14ac:dyDescent="0.2">
      <c r="B4917" s="876">
        <v>5964</v>
      </c>
      <c r="C4917" s="876" t="s">
        <v>5580</v>
      </c>
      <c r="D4917" s="851">
        <v>718.03998999999999</v>
      </c>
    </row>
    <row r="4918" spans="2:4" x14ac:dyDescent="0.2">
      <c r="B4918" s="876">
        <v>5965</v>
      </c>
      <c r="C4918" s="876" t="s">
        <v>5581</v>
      </c>
      <c r="D4918" s="851">
        <v>707.14999399999999</v>
      </c>
    </row>
    <row r="4919" spans="2:4" x14ac:dyDescent="0.2">
      <c r="B4919" s="876">
        <v>5966</v>
      </c>
      <c r="C4919" s="876" t="s">
        <v>5582</v>
      </c>
      <c r="D4919" s="851">
        <v>719.90000599999996</v>
      </c>
    </row>
    <row r="4920" spans="2:4" x14ac:dyDescent="0.2">
      <c r="B4920" s="876">
        <v>5967</v>
      </c>
      <c r="C4920" s="876" t="s">
        <v>4997</v>
      </c>
      <c r="D4920" s="851">
        <v>729.03000199999997</v>
      </c>
    </row>
    <row r="4921" spans="2:4" x14ac:dyDescent="0.2">
      <c r="B4921" s="876">
        <v>5968</v>
      </c>
      <c r="C4921" s="876" t="s">
        <v>5583</v>
      </c>
      <c r="D4921" s="851">
        <v>710.59999600000003</v>
      </c>
    </row>
    <row r="4922" spans="2:4" x14ac:dyDescent="0.2">
      <c r="B4922" s="876">
        <v>5969</v>
      </c>
      <c r="C4922" s="876" t="s">
        <v>5584</v>
      </c>
      <c r="D4922" s="851">
        <v>731.20000600000003</v>
      </c>
    </row>
    <row r="4923" spans="2:4" x14ac:dyDescent="0.2">
      <c r="B4923" s="876">
        <v>5970</v>
      </c>
      <c r="C4923" s="876" t="s">
        <v>5585</v>
      </c>
      <c r="D4923" s="851">
        <v>718.83333600000003</v>
      </c>
    </row>
    <row r="4924" spans="2:4" x14ac:dyDescent="0.2">
      <c r="B4924" s="876">
        <v>5971</v>
      </c>
      <c r="C4924" s="876" t="s">
        <v>5586</v>
      </c>
      <c r="D4924" s="851">
        <v>717.633331</v>
      </c>
    </row>
    <row r="4925" spans="2:4" x14ac:dyDescent="0.2">
      <c r="B4925" s="876">
        <v>5972</v>
      </c>
      <c r="C4925" s="876" t="s">
        <v>5587</v>
      </c>
      <c r="D4925" s="851">
        <v>708.97500600000001</v>
      </c>
    </row>
    <row r="4926" spans="2:4" x14ac:dyDescent="0.2">
      <c r="B4926" s="876">
        <v>5973</v>
      </c>
      <c r="C4926" s="876" t="s">
        <v>5588</v>
      </c>
      <c r="D4926" s="851">
        <v>712.19999700000005</v>
      </c>
    </row>
    <row r="4927" spans="2:4" x14ac:dyDescent="0.2">
      <c r="B4927" s="876">
        <v>5974</v>
      </c>
      <c r="C4927" s="876" t="s">
        <v>5589</v>
      </c>
      <c r="D4927" s="851">
        <v>736.48999000000003</v>
      </c>
    </row>
    <row r="4928" spans="2:4" x14ac:dyDescent="0.2">
      <c r="B4928" s="876">
        <v>5975</v>
      </c>
      <c r="C4928" s="876" t="s">
        <v>5590</v>
      </c>
      <c r="D4928" s="851">
        <v>731.64999799999998</v>
      </c>
    </row>
    <row r="4929" spans="2:4" x14ac:dyDescent="0.2">
      <c r="B4929" s="876">
        <v>6001</v>
      </c>
      <c r="C4929" s="876" t="s">
        <v>5591</v>
      </c>
      <c r="D4929" s="851">
        <v>679.78235600000005</v>
      </c>
    </row>
    <row r="4930" spans="2:4" x14ac:dyDescent="0.2">
      <c r="B4930" s="876">
        <v>6002</v>
      </c>
      <c r="C4930" s="876" t="s">
        <v>5592</v>
      </c>
      <c r="D4930" s="851">
        <v>700.24285499999996</v>
      </c>
    </row>
    <row r="4931" spans="2:4" x14ac:dyDescent="0.2">
      <c r="B4931" s="876">
        <v>6003</v>
      </c>
      <c r="C4931" s="876" t="s">
        <v>5593</v>
      </c>
      <c r="D4931" s="851">
        <v>659.13334099999997</v>
      </c>
    </row>
    <row r="4932" spans="2:4" x14ac:dyDescent="0.2">
      <c r="B4932" s="876">
        <v>6004</v>
      </c>
      <c r="C4932" s="876" t="s">
        <v>5594</v>
      </c>
      <c r="D4932" s="851">
        <v>732.63333</v>
      </c>
    </row>
    <row r="4933" spans="2:4" x14ac:dyDescent="0.2">
      <c r="B4933" s="876">
        <v>6005</v>
      </c>
      <c r="C4933" s="876" t="s">
        <v>5595</v>
      </c>
      <c r="D4933" s="851">
        <v>699.919983</v>
      </c>
    </row>
    <row r="4934" spans="2:4" x14ac:dyDescent="0.2">
      <c r="B4934" s="876">
        <v>6006</v>
      </c>
      <c r="C4934" s="876" t="s">
        <v>5596</v>
      </c>
      <c r="D4934" s="851">
        <v>617.47999300000004</v>
      </c>
    </row>
    <row r="4935" spans="2:4" x14ac:dyDescent="0.2">
      <c r="B4935" s="876">
        <v>6007</v>
      </c>
      <c r="C4935" s="876" t="s">
        <v>5597</v>
      </c>
      <c r="D4935" s="851">
        <v>745.83333300000004</v>
      </c>
    </row>
    <row r="4936" spans="2:4" x14ac:dyDescent="0.2">
      <c r="B4936" s="876">
        <v>6008</v>
      </c>
      <c r="C4936" s="876" t="s">
        <v>5598</v>
      </c>
      <c r="D4936" s="851">
        <v>636.12856599999998</v>
      </c>
    </row>
    <row r="4937" spans="2:4" x14ac:dyDescent="0.2">
      <c r="B4937" s="876">
        <v>6009</v>
      </c>
      <c r="C4937" s="876" t="s">
        <v>5599</v>
      </c>
      <c r="D4937" s="851">
        <v>654.20001200000002</v>
      </c>
    </row>
    <row r="4938" spans="2:4" x14ac:dyDescent="0.2">
      <c r="B4938" s="876">
        <v>6010</v>
      </c>
      <c r="C4938" s="876" t="s">
        <v>5600</v>
      </c>
      <c r="D4938" s="851">
        <v>762.26666799999998</v>
      </c>
    </row>
    <row r="4939" spans="2:4" x14ac:dyDescent="0.2">
      <c r="B4939" s="876">
        <v>6011</v>
      </c>
      <c r="C4939" s="876" t="s">
        <v>5601</v>
      </c>
      <c r="D4939" s="851">
        <v>679.94998899999996</v>
      </c>
    </row>
    <row r="4940" spans="2:4" x14ac:dyDescent="0.2">
      <c r="B4940" s="876">
        <v>6012</v>
      </c>
      <c r="C4940" s="876" t="s">
        <v>5602</v>
      </c>
      <c r="D4940" s="851">
        <v>670.177775</v>
      </c>
    </row>
    <row r="4941" spans="2:4" x14ac:dyDescent="0.2">
      <c r="B4941" s="876">
        <v>6013</v>
      </c>
      <c r="C4941" s="876" t="s">
        <v>5603</v>
      </c>
      <c r="D4941" s="851">
        <v>660.14999399999999</v>
      </c>
    </row>
    <row r="4942" spans="2:4" x14ac:dyDescent="0.2">
      <c r="B4942" s="876">
        <v>6014</v>
      </c>
      <c r="C4942" s="876" t="s">
        <v>5604</v>
      </c>
      <c r="D4942" s="851">
        <v>762.16666699999996</v>
      </c>
    </row>
    <row r="4943" spans="2:4" x14ac:dyDescent="0.2">
      <c r="B4943" s="876">
        <v>6015</v>
      </c>
      <c r="C4943" s="876" t="s">
        <v>4075</v>
      </c>
      <c r="D4943" s="851">
        <v>704.77000699999996</v>
      </c>
    </row>
    <row r="4944" spans="2:4" x14ac:dyDescent="0.2">
      <c r="B4944" s="876">
        <v>6016</v>
      </c>
      <c r="C4944" s="876" t="s">
        <v>5605</v>
      </c>
      <c r="D4944" s="851">
        <v>681.33572000000004</v>
      </c>
    </row>
    <row r="4945" spans="2:4" x14ac:dyDescent="0.2">
      <c r="B4945" s="876">
        <v>6017</v>
      </c>
      <c r="C4945" s="876" t="s">
        <v>5606</v>
      </c>
      <c r="D4945" s="851">
        <v>714.17959299999995</v>
      </c>
    </row>
    <row r="4946" spans="2:4" x14ac:dyDescent="0.2">
      <c r="B4946" s="876">
        <v>6018</v>
      </c>
      <c r="C4946" s="876" t="s">
        <v>5607</v>
      </c>
      <c r="D4946" s="851">
        <v>802</v>
      </c>
    </row>
    <row r="4947" spans="2:4" x14ac:dyDescent="0.2">
      <c r="B4947" s="876">
        <v>6019</v>
      </c>
      <c r="C4947" s="876" t="s">
        <v>5608</v>
      </c>
      <c r="D4947" s="851">
        <v>662.60000600000001</v>
      </c>
    </row>
    <row r="4948" spans="2:4" x14ac:dyDescent="0.2">
      <c r="B4948" s="876">
        <v>6020</v>
      </c>
      <c r="C4948" s="876" t="s">
        <v>5609</v>
      </c>
      <c r="D4948" s="851">
        <v>617.69999199999995</v>
      </c>
    </row>
    <row r="4949" spans="2:4" x14ac:dyDescent="0.2">
      <c r="B4949" s="876">
        <v>6021</v>
      </c>
      <c r="C4949" s="876" t="s">
        <v>5610</v>
      </c>
      <c r="D4949" s="851">
        <v>724.15714800000001</v>
      </c>
    </row>
    <row r="4950" spans="2:4" x14ac:dyDescent="0.2">
      <c r="B4950" s="876">
        <v>6022</v>
      </c>
      <c r="C4950" s="876" t="s">
        <v>5611</v>
      </c>
      <c r="D4950" s="851">
        <v>731.97894299999996</v>
      </c>
    </row>
    <row r="4951" spans="2:4" x14ac:dyDescent="0.2">
      <c r="B4951" s="876">
        <v>6023</v>
      </c>
      <c r="C4951" s="876" t="s">
        <v>5612</v>
      </c>
      <c r="D4951" s="851">
        <v>797.60000600000001</v>
      </c>
    </row>
    <row r="4952" spans="2:4" x14ac:dyDescent="0.2">
      <c r="B4952" s="876">
        <v>6024</v>
      </c>
      <c r="C4952" s="876" t="s">
        <v>5613</v>
      </c>
      <c r="D4952" s="851">
        <v>676.83331299999998</v>
      </c>
    </row>
    <row r="4953" spans="2:4" x14ac:dyDescent="0.2">
      <c r="B4953" s="876">
        <v>6025</v>
      </c>
      <c r="C4953" s="876" t="s">
        <v>5614</v>
      </c>
      <c r="D4953" s="851">
        <v>689.55001800000002</v>
      </c>
    </row>
    <row r="4954" spans="2:4" x14ac:dyDescent="0.2">
      <c r="B4954" s="876">
        <v>6026</v>
      </c>
      <c r="C4954" s="876" t="s">
        <v>5615</v>
      </c>
      <c r="D4954" s="851">
        <v>788.42499499999997</v>
      </c>
    </row>
    <row r="4955" spans="2:4" x14ac:dyDescent="0.2">
      <c r="B4955" s="876">
        <v>6027</v>
      </c>
      <c r="C4955" s="876" t="s">
        <v>5616</v>
      </c>
      <c r="D4955" s="851">
        <v>641.80000299999995</v>
      </c>
    </row>
    <row r="4956" spans="2:4" x14ac:dyDescent="0.2">
      <c r="B4956" s="876">
        <v>6028</v>
      </c>
      <c r="C4956" s="876" t="s">
        <v>2898</v>
      </c>
      <c r="D4956" s="851">
        <v>698.40002400000003</v>
      </c>
    </row>
    <row r="4957" spans="2:4" x14ac:dyDescent="0.2">
      <c r="B4957" s="876">
        <v>6029</v>
      </c>
      <c r="C4957" s="876" t="s">
        <v>1135</v>
      </c>
      <c r="D4957" s="851">
        <v>678</v>
      </c>
    </row>
    <row r="4958" spans="2:4" x14ac:dyDescent="0.2">
      <c r="B4958" s="876">
        <v>6030</v>
      </c>
      <c r="C4958" s="876" t="s">
        <v>5617</v>
      </c>
      <c r="D4958" s="851">
        <v>710.03332499999999</v>
      </c>
    </row>
    <row r="4959" spans="2:4" x14ac:dyDescent="0.2">
      <c r="B4959" s="876">
        <v>6031</v>
      </c>
      <c r="C4959" s="876" t="s">
        <v>5618</v>
      </c>
      <c r="D4959" s="851">
        <v>721.77221699999996</v>
      </c>
    </row>
    <row r="4960" spans="2:4" x14ac:dyDescent="0.2">
      <c r="B4960" s="876">
        <v>6032</v>
      </c>
      <c r="C4960" s="876" t="s">
        <v>5619</v>
      </c>
      <c r="D4960" s="851">
        <v>637.240002</v>
      </c>
    </row>
    <row r="4961" spans="2:4" x14ac:dyDescent="0.2">
      <c r="B4961" s="876">
        <v>6033</v>
      </c>
      <c r="C4961" s="876" t="s">
        <v>5620</v>
      </c>
      <c r="D4961" s="851">
        <v>660.71428600000002</v>
      </c>
    </row>
    <row r="4962" spans="2:4" x14ac:dyDescent="0.2">
      <c r="B4962" s="876">
        <v>6034</v>
      </c>
      <c r="C4962" s="876" t="s">
        <v>5621</v>
      </c>
      <c r="D4962" s="851">
        <v>643.95999800000004</v>
      </c>
    </row>
    <row r="4963" spans="2:4" x14ac:dyDescent="0.2">
      <c r="B4963" s="876">
        <v>6035</v>
      </c>
      <c r="C4963" s="876" t="s">
        <v>5622</v>
      </c>
      <c r="D4963" s="851">
        <v>684.31481900000006</v>
      </c>
    </row>
    <row r="4964" spans="2:4" x14ac:dyDescent="0.2">
      <c r="B4964" s="876">
        <v>6036</v>
      </c>
      <c r="C4964" s="876" t="s">
        <v>5623</v>
      </c>
      <c r="D4964" s="851">
        <v>694.383331</v>
      </c>
    </row>
    <row r="4965" spans="2:4" x14ac:dyDescent="0.2">
      <c r="B4965" s="876">
        <v>6037</v>
      </c>
      <c r="C4965" s="876" t="s">
        <v>5624</v>
      </c>
      <c r="D4965" s="851">
        <v>707.06666099999995</v>
      </c>
    </row>
    <row r="4966" spans="2:4" x14ac:dyDescent="0.2">
      <c r="B4966" s="876">
        <v>6038</v>
      </c>
      <c r="C4966" s="876" t="s">
        <v>5625</v>
      </c>
      <c r="D4966" s="851">
        <v>779.13334099999997</v>
      </c>
    </row>
    <row r="4967" spans="2:4" x14ac:dyDescent="0.2">
      <c r="B4967" s="876">
        <v>6039</v>
      </c>
      <c r="C4967" s="876" t="s">
        <v>5626</v>
      </c>
      <c r="D4967" s="851">
        <v>703.69998199999998</v>
      </c>
    </row>
    <row r="4968" spans="2:4" x14ac:dyDescent="0.2">
      <c r="B4968" s="876">
        <v>6040</v>
      </c>
      <c r="C4968" s="876" t="s">
        <v>5627</v>
      </c>
      <c r="D4968" s="851">
        <v>722.5</v>
      </c>
    </row>
    <row r="4969" spans="2:4" x14ac:dyDescent="0.2">
      <c r="B4969" s="876">
        <v>6041</v>
      </c>
      <c r="C4969" s="876" t="s">
        <v>5628</v>
      </c>
      <c r="D4969" s="851">
        <v>643.52500399999997</v>
      </c>
    </row>
    <row r="4970" spans="2:4" x14ac:dyDescent="0.2">
      <c r="B4970" s="876">
        <v>6042</v>
      </c>
      <c r="C4970" s="876" t="s">
        <v>5629</v>
      </c>
      <c r="D4970" s="851">
        <v>683.17499799999996</v>
      </c>
    </row>
    <row r="4971" spans="2:4" x14ac:dyDescent="0.2">
      <c r="B4971" s="876">
        <v>6043</v>
      </c>
      <c r="C4971" s="876" t="s">
        <v>334</v>
      </c>
      <c r="D4971" s="851">
        <v>679.23749499999997</v>
      </c>
    </row>
    <row r="4972" spans="2:4" x14ac:dyDescent="0.2">
      <c r="B4972" s="876">
        <v>6044</v>
      </c>
      <c r="C4972" s="876" t="s">
        <v>5630</v>
      </c>
      <c r="D4972" s="851">
        <v>697.21666500000003</v>
      </c>
    </row>
    <row r="4973" spans="2:4" x14ac:dyDescent="0.2">
      <c r="B4973" s="876">
        <v>6045</v>
      </c>
      <c r="C4973" s="876" t="s">
        <v>5631</v>
      </c>
      <c r="D4973" s="851">
        <v>721.81999900000005</v>
      </c>
    </row>
    <row r="4974" spans="2:4" x14ac:dyDescent="0.2">
      <c r="B4974" s="876">
        <v>6046</v>
      </c>
      <c r="C4974" s="876" t="s">
        <v>5632</v>
      </c>
      <c r="D4974" s="851">
        <v>715.35833200000002</v>
      </c>
    </row>
    <row r="4975" spans="2:4" x14ac:dyDescent="0.2">
      <c r="B4975" s="876">
        <v>6047</v>
      </c>
      <c r="C4975" s="876" t="s">
        <v>5633</v>
      </c>
      <c r="D4975" s="851">
        <v>704.69230300000004</v>
      </c>
    </row>
    <row r="4976" spans="2:4" x14ac:dyDescent="0.2">
      <c r="B4976" s="876">
        <v>6048</v>
      </c>
      <c r="C4976" s="876" t="s">
        <v>5634</v>
      </c>
      <c r="D4976" s="851">
        <v>785.38888899999995</v>
      </c>
    </row>
    <row r="4977" spans="2:4" x14ac:dyDescent="0.2">
      <c r="B4977" s="876">
        <v>6049</v>
      </c>
      <c r="C4977" s="876" t="s">
        <v>1711</v>
      </c>
      <c r="D4977" s="851">
        <v>632.16667299999995</v>
      </c>
    </row>
    <row r="4978" spans="2:4" x14ac:dyDescent="0.2">
      <c r="B4978" s="876">
        <v>6050</v>
      </c>
      <c r="C4978" s="876" t="s">
        <v>5635</v>
      </c>
      <c r="D4978" s="851">
        <v>756.06154700000002</v>
      </c>
    </row>
    <row r="4979" spans="2:4" x14ac:dyDescent="0.2">
      <c r="B4979" s="876">
        <v>6051</v>
      </c>
      <c r="C4979" s="876" t="s">
        <v>5636</v>
      </c>
      <c r="D4979" s="851">
        <v>677.14000199999998</v>
      </c>
    </row>
    <row r="4980" spans="2:4" x14ac:dyDescent="0.2">
      <c r="B4980" s="876">
        <v>6052</v>
      </c>
      <c r="C4980" s="876" t="s">
        <v>5637</v>
      </c>
      <c r="D4980" s="851">
        <v>762.77142300000003</v>
      </c>
    </row>
    <row r="4981" spans="2:4" x14ac:dyDescent="0.2">
      <c r="B4981" s="876">
        <v>6053</v>
      </c>
      <c r="C4981" s="876" t="s">
        <v>5638</v>
      </c>
      <c r="D4981" s="851">
        <v>721.11999500000002</v>
      </c>
    </row>
    <row r="4982" spans="2:4" x14ac:dyDescent="0.2">
      <c r="B4982" s="876">
        <v>6054</v>
      </c>
      <c r="C4982" s="876" t="s">
        <v>5639</v>
      </c>
      <c r="D4982" s="851">
        <v>639.30000299999995</v>
      </c>
    </row>
    <row r="4983" spans="2:4" x14ac:dyDescent="0.2">
      <c r="B4983" s="876">
        <v>6055</v>
      </c>
      <c r="C4983" s="876" t="s">
        <v>5640</v>
      </c>
      <c r="D4983" s="851">
        <v>652.50001999999995</v>
      </c>
    </row>
    <row r="4984" spans="2:4" x14ac:dyDescent="0.2">
      <c r="B4984" s="876">
        <v>6056</v>
      </c>
      <c r="C4984" s="876" t="s">
        <v>5641</v>
      </c>
      <c r="D4984" s="851">
        <v>796.46667500000001</v>
      </c>
    </row>
    <row r="4985" spans="2:4" x14ac:dyDescent="0.2">
      <c r="B4985" s="876">
        <v>6057</v>
      </c>
      <c r="C4985" s="876" t="s">
        <v>4319</v>
      </c>
      <c r="D4985" s="851">
        <v>731.21999500000004</v>
      </c>
    </row>
    <row r="4986" spans="2:4" x14ac:dyDescent="0.2">
      <c r="B4986" s="876">
        <v>6058</v>
      </c>
      <c r="C4986" s="876" t="s">
        <v>5642</v>
      </c>
      <c r="D4986" s="851">
        <v>615.04285500000003</v>
      </c>
    </row>
    <row r="4987" spans="2:4" x14ac:dyDescent="0.2">
      <c r="B4987" s="876">
        <v>6059</v>
      </c>
      <c r="C4987" s="876" t="s">
        <v>5643</v>
      </c>
      <c r="D4987" s="851">
        <v>690.86999500000002</v>
      </c>
    </row>
    <row r="4988" spans="2:4" x14ac:dyDescent="0.2">
      <c r="B4988" s="876">
        <v>6060</v>
      </c>
      <c r="C4988" s="876" t="s">
        <v>1691</v>
      </c>
      <c r="D4988" s="851">
        <v>689.47142699999995</v>
      </c>
    </row>
    <row r="4989" spans="2:4" x14ac:dyDescent="0.2">
      <c r="B4989" s="876">
        <v>6061</v>
      </c>
      <c r="C4989" s="876" t="s">
        <v>5644</v>
      </c>
      <c r="D4989" s="851">
        <v>676.93332899999996</v>
      </c>
    </row>
    <row r="4990" spans="2:4" x14ac:dyDescent="0.2">
      <c r="B4990" s="876">
        <v>6062</v>
      </c>
      <c r="C4990" s="876" t="s">
        <v>5645</v>
      </c>
      <c r="D4990" s="851">
        <v>754.77999299999999</v>
      </c>
    </row>
    <row r="4991" spans="2:4" x14ac:dyDescent="0.2">
      <c r="B4991" s="876">
        <v>6063</v>
      </c>
      <c r="C4991" s="876" t="s">
        <v>5646</v>
      </c>
      <c r="D4991" s="851">
        <v>650.32500700000003</v>
      </c>
    </row>
    <row r="4992" spans="2:4" x14ac:dyDescent="0.2">
      <c r="B4992" s="876">
        <v>6064</v>
      </c>
      <c r="C4992" s="876" t="s">
        <v>5647</v>
      </c>
      <c r="D4992" s="851">
        <v>687.77142800000001</v>
      </c>
    </row>
    <row r="4993" spans="2:4" x14ac:dyDescent="0.2">
      <c r="B4993" s="876">
        <v>6065</v>
      </c>
      <c r="C4993" s="876" t="s">
        <v>5648</v>
      </c>
      <c r="D4993" s="851">
        <v>723.55000299999995</v>
      </c>
    </row>
    <row r="4994" spans="2:4" x14ac:dyDescent="0.2">
      <c r="B4994" s="876">
        <v>6066</v>
      </c>
      <c r="C4994" s="876" t="s">
        <v>5649</v>
      </c>
      <c r="D4994" s="851">
        <v>796.65384100000006</v>
      </c>
    </row>
    <row r="4995" spans="2:4" x14ac:dyDescent="0.2">
      <c r="B4995" s="876">
        <v>6067</v>
      </c>
      <c r="C4995" s="876" t="s">
        <v>5650</v>
      </c>
      <c r="D4995" s="851">
        <v>747.741669</v>
      </c>
    </row>
    <row r="4996" spans="2:4" x14ac:dyDescent="0.2">
      <c r="B4996" s="876">
        <v>6068</v>
      </c>
      <c r="C4996" s="876" t="s">
        <v>1639</v>
      </c>
      <c r="D4996" s="851">
        <v>716.47499100000005</v>
      </c>
    </row>
    <row r="4997" spans="2:4" x14ac:dyDescent="0.2">
      <c r="B4997" s="876">
        <v>6069</v>
      </c>
      <c r="C4997" s="876" t="s">
        <v>5651</v>
      </c>
      <c r="D4997" s="851">
        <v>777.633331</v>
      </c>
    </row>
    <row r="4998" spans="2:4" x14ac:dyDescent="0.2">
      <c r="B4998" s="876">
        <v>6070</v>
      </c>
      <c r="C4998" s="876" t="s">
        <v>5652</v>
      </c>
      <c r="D4998" s="851">
        <v>624.48571800000002</v>
      </c>
    </row>
    <row r="4999" spans="2:4" x14ac:dyDescent="0.2">
      <c r="B4999" s="876">
        <v>6071</v>
      </c>
      <c r="C4999" s="876" t="s">
        <v>5653</v>
      </c>
      <c r="D4999" s="851">
        <v>701.64999399999999</v>
      </c>
    </row>
    <row r="5000" spans="2:4" x14ac:dyDescent="0.2">
      <c r="B5000" s="876">
        <v>6072</v>
      </c>
      <c r="C5000" s="876" t="s">
        <v>5654</v>
      </c>
      <c r="D5000" s="851">
        <v>726.69999499999994</v>
      </c>
    </row>
    <row r="5001" spans="2:4" x14ac:dyDescent="0.2">
      <c r="B5001" s="876">
        <v>6073</v>
      </c>
      <c r="C5001" s="876" t="s">
        <v>5655</v>
      </c>
      <c r="D5001" s="851">
        <v>662.41665599999999</v>
      </c>
    </row>
    <row r="5002" spans="2:4" x14ac:dyDescent="0.2">
      <c r="B5002" s="876">
        <v>6074</v>
      </c>
      <c r="C5002" s="876" t="s">
        <v>5656</v>
      </c>
      <c r="D5002" s="851">
        <v>687.05454299999997</v>
      </c>
    </row>
    <row r="5003" spans="2:4" x14ac:dyDescent="0.2">
      <c r="B5003" s="876">
        <v>6075</v>
      </c>
      <c r="C5003" s="876" t="s">
        <v>5657</v>
      </c>
      <c r="D5003" s="851">
        <v>663.57000100000005</v>
      </c>
    </row>
    <row r="5004" spans="2:4" x14ac:dyDescent="0.2">
      <c r="B5004" s="876">
        <v>6076</v>
      </c>
      <c r="C5004" s="876" t="s">
        <v>5658</v>
      </c>
      <c r="D5004" s="851">
        <v>624.80000800000005</v>
      </c>
    </row>
    <row r="5005" spans="2:4" x14ac:dyDescent="0.2">
      <c r="B5005" s="876">
        <v>6077</v>
      </c>
      <c r="C5005" s="876" t="s">
        <v>5659</v>
      </c>
      <c r="D5005" s="851">
        <v>783.70001200000002</v>
      </c>
    </row>
    <row r="5006" spans="2:4" x14ac:dyDescent="0.2">
      <c r="B5006" s="876">
        <v>6078</v>
      </c>
      <c r="C5006" s="876" t="s">
        <v>5660</v>
      </c>
      <c r="D5006" s="851">
        <v>757.89999799999998</v>
      </c>
    </row>
    <row r="5007" spans="2:4" x14ac:dyDescent="0.2">
      <c r="B5007" s="876">
        <v>6079</v>
      </c>
      <c r="C5007" s="876" t="s">
        <v>5661</v>
      </c>
      <c r="D5007" s="851">
        <v>638.41999499999997</v>
      </c>
    </row>
    <row r="5008" spans="2:4" x14ac:dyDescent="0.2">
      <c r="B5008" s="876">
        <v>6080</v>
      </c>
      <c r="C5008" s="876" t="s">
        <v>5662</v>
      </c>
      <c r="D5008" s="851">
        <v>673.740002</v>
      </c>
    </row>
    <row r="5009" spans="2:4" x14ac:dyDescent="0.2">
      <c r="B5009" s="876">
        <v>6081</v>
      </c>
      <c r="C5009" s="876" t="s">
        <v>5663</v>
      </c>
      <c r="D5009" s="851">
        <v>726.39000199999998</v>
      </c>
    </row>
    <row r="5010" spans="2:4" x14ac:dyDescent="0.2">
      <c r="B5010" s="876">
        <v>6082</v>
      </c>
      <c r="C5010" s="876" t="s">
        <v>5664</v>
      </c>
      <c r="D5010" s="851">
        <v>726.74999200000002</v>
      </c>
    </row>
    <row r="5011" spans="2:4" x14ac:dyDescent="0.2">
      <c r="B5011" s="876">
        <v>6083</v>
      </c>
      <c r="C5011" s="876" t="s">
        <v>5407</v>
      </c>
      <c r="D5011" s="851">
        <v>623.46666500000003</v>
      </c>
    </row>
    <row r="5012" spans="2:4" x14ac:dyDescent="0.2">
      <c r="B5012" s="876">
        <v>6084</v>
      </c>
      <c r="C5012" s="876" t="s">
        <v>5665</v>
      </c>
      <c r="D5012" s="851">
        <v>734.22000100000002</v>
      </c>
    </row>
    <row r="5013" spans="2:4" x14ac:dyDescent="0.2">
      <c r="B5013" s="876">
        <v>6085</v>
      </c>
      <c r="C5013" s="876" t="s">
        <v>5666</v>
      </c>
      <c r="D5013" s="851">
        <v>635.17692699999998</v>
      </c>
    </row>
    <row r="5014" spans="2:4" x14ac:dyDescent="0.2">
      <c r="B5014" s="876">
        <v>6086</v>
      </c>
      <c r="C5014" s="876" t="s">
        <v>5667</v>
      </c>
      <c r="D5014" s="851">
        <v>674.34001499999999</v>
      </c>
    </row>
    <row r="5015" spans="2:4" x14ac:dyDescent="0.2">
      <c r="B5015" s="876">
        <v>6087</v>
      </c>
      <c r="C5015" s="876" t="s">
        <v>5668</v>
      </c>
      <c r="D5015" s="851">
        <v>706.15714800000001</v>
      </c>
    </row>
    <row r="5016" spans="2:4" x14ac:dyDescent="0.2">
      <c r="B5016" s="876">
        <v>6088</v>
      </c>
      <c r="C5016" s="876" t="s">
        <v>5669</v>
      </c>
      <c r="D5016" s="851">
        <v>764.2</v>
      </c>
    </row>
    <row r="5017" spans="2:4" x14ac:dyDescent="0.2">
      <c r="B5017" s="876">
        <v>6089</v>
      </c>
      <c r="C5017" s="876" t="s">
        <v>5670</v>
      </c>
      <c r="D5017" s="851">
        <v>701.14999399999999</v>
      </c>
    </row>
    <row r="5018" spans="2:4" x14ac:dyDescent="0.2">
      <c r="B5018" s="876">
        <v>6090</v>
      </c>
      <c r="C5018" s="876" t="s">
        <v>5671</v>
      </c>
      <c r="D5018" s="851">
        <v>690.62222599999996</v>
      </c>
    </row>
    <row r="5019" spans="2:4" x14ac:dyDescent="0.2">
      <c r="B5019" s="876">
        <v>6091</v>
      </c>
      <c r="C5019" s="876" t="s">
        <v>5672</v>
      </c>
      <c r="D5019" s="851">
        <v>651.59999600000003</v>
      </c>
    </row>
    <row r="5020" spans="2:4" x14ac:dyDescent="0.2">
      <c r="B5020" s="876">
        <v>6092</v>
      </c>
      <c r="C5020" s="876" t="s">
        <v>5673</v>
      </c>
      <c r="D5020" s="851">
        <v>725.74999500000001</v>
      </c>
    </row>
    <row r="5021" spans="2:4" x14ac:dyDescent="0.2">
      <c r="B5021" s="876">
        <v>6093</v>
      </c>
      <c r="C5021" s="876" t="s">
        <v>5674</v>
      </c>
      <c r="D5021" s="851">
        <v>715.03332499999999</v>
      </c>
    </row>
    <row r="5022" spans="2:4" x14ac:dyDescent="0.2">
      <c r="B5022" s="876">
        <v>6094</v>
      </c>
      <c r="C5022" s="876" t="s">
        <v>5675</v>
      </c>
      <c r="D5022" s="851">
        <v>677.23750299999995</v>
      </c>
    </row>
    <row r="5023" spans="2:4" x14ac:dyDescent="0.2">
      <c r="B5023" s="876">
        <v>6095</v>
      </c>
      <c r="C5023" s="876" t="s">
        <v>5676</v>
      </c>
      <c r="D5023" s="851">
        <v>646.41249800000003</v>
      </c>
    </row>
    <row r="5024" spans="2:4" x14ac:dyDescent="0.2">
      <c r="B5024" s="876">
        <v>6096</v>
      </c>
      <c r="C5024" s="876" t="s">
        <v>1444</v>
      </c>
      <c r="D5024" s="851">
        <v>772.84545300000002</v>
      </c>
    </row>
    <row r="5025" spans="2:4" x14ac:dyDescent="0.2">
      <c r="B5025" s="876">
        <v>6097</v>
      </c>
      <c r="C5025" s="876" t="s">
        <v>5677</v>
      </c>
      <c r="D5025" s="851">
        <v>635.82000700000003</v>
      </c>
    </row>
    <row r="5026" spans="2:4" x14ac:dyDescent="0.2">
      <c r="B5026" s="876">
        <v>6098</v>
      </c>
      <c r="C5026" s="876" t="s">
        <v>5678</v>
      </c>
      <c r="D5026" s="851">
        <v>661.79411800000003</v>
      </c>
    </row>
    <row r="5027" spans="2:4" x14ac:dyDescent="0.2">
      <c r="B5027" s="876">
        <v>6099</v>
      </c>
      <c r="C5027" s="876" t="s">
        <v>5679</v>
      </c>
      <c r="D5027" s="851">
        <v>637.26363300000003</v>
      </c>
    </row>
    <row r="5028" spans="2:4" x14ac:dyDescent="0.2">
      <c r="B5028" s="876">
        <v>6100</v>
      </c>
      <c r="C5028" s="876" t="s">
        <v>5680</v>
      </c>
      <c r="D5028" s="851">
        <v>718.58333300000004</v>
      </c>
    </row>
    <row r="5029" spans="2:4" x14ac:dyDescent="0.2">
      <c r="B5029" s="876">
        <v>6101</v>
      </c>
      <c r="C5029" s="876" t="s">
        <v>5681</v>
      </c>
      <c r="D5029" s="851">
        <v>718.41666699999996</v>
      </c>
    </row>
    <row r="5030" spans="2:4" x14ac:dyDescent="0.2">
      <c r="B5030" s="876">
        <v>6102</v>
      </c>
      <c r="C5030" s="876" t="s">
        <v>5682</v>
      </c>
      <c r="D5030" s="851">
        <v>784.48182299999996</v>
      </c>
    </row>
    <row r="5031" spans="2:4" x14ac:dyDescent="0.2">
      <c r="B5031" s="876">
        <v>6103</v>
      </c>
      <c r="C5031" s="876" t="s">
        <v>5683</v>
      </c>
      <c r="D5031" s="851">
        <v>732.4</v>
      </c>
    </row>
    <row r="5032" spans="2:4" x14ac:dyDescent="0.2">
      <c r="B5032" s="876">
        <v>6104</v>
      </c>
      <c r="C5032" s="876" t="s">
        <v>5684</v>
      </c>
      <c r="D5032" s="851">
        <v>748.14545199999998</v>
      </c>
    </row>
    <row r="5033" spans="2:4" x14ac:dyDescent="0.2">
      <c r="B5033" s="876">
        <v>6105</v>
      </c>
      <c r="C5033" s="876" t="s">
        <v>5685</v>
      </c>
      <c r="D5033" s="851">
        <v>684.67500299999995</v>
      </c>
    </row>
    <row r="5034" spans="2:4" x14ac:dyDescent="0.2">
      <c r="B5034" s="876">
        <v>6106</v>
      </c>
      <c r="C5034" s="876" t="s">
        <v>2495</v>
      </c>
      <c r="D5034" s="851">
        <v>709.31111299999998</v>
      </c>
    </row>
    <row r="5035" spans="2:4" x14ac:dyDescent="0.2">
      <c r="B5035" s="876">
        <v>6151</v>
      </c>
      <c r="C5035" s="876" t="s">
        <v>5686</v>
      </c>
      <c r="D5035" s="851">
        <v>698.64499799999999</v>
      </c>
    </row>
    <row r="5036" spans="2:4" x14ac:dyDescent="0.2">
      <c r="B5036" s="876">
        <v>6152</v>
      </c>
      <c r="C5036" s="876" t="s">
        <v>5687</v>
      </c>
      <c r="D5036" s="851">
        <v>784.40476200000001</v>
      </c>
    </row>
    <row r="5037" spans="2:4" x14ac:dyDescent="0.2">
      <c r="B5037" s="876">
        <v>6153</v>
      </c>
      <c r="C5037" s="876" t="s">
        <v>5688</v>
      </c>
      <c r="D5037" s="851">
        <v>684.6875</v>
      </c>
    </row>
    <row r="5038" spans="2:4" x14ac:dyDescent="0.2">
      <c r="B5038" s="876">
        <v>6154</v>
      </c>
      <c r="C5038" s="876" t="s">
        <v>5689</v>
      </c>
      <c r="D5038" s="851">
        <v>675.45714899999996</v>
      </c>
    </row>
    <row r="5039" spans="2:4" x14ac:dyDescent="0.2">
      <c r="B5039" s="876">
        <v>6155</v>
      </c>
      <c r="C5039" s="876" t="s">
        <v>5063</v>
      </c>
      <c r="D5039" s="851">
        <v>704.95713599999999</v>
      </c>
    </row>
    <row r="5040" spans="2:4" x14ac:dyDescent="0.2">
      <c r="B5040" s="876">
        <v>6156</v>
      </c>
      <c r="C5040" s="876" t="s">
        <v>5690</v>
      </c>
      <c r="D5040" s="851">
        <v>688.35238200000003</v>
      </c>
    </row>
    <row r="5041" spans="2:4" x14ac:dyDescent="0.2">
      <c r="B5041" s="876">
        <v>6157</v>
      </c>
      <c r="C5041" s="876" t="s">
        <v>5691</v>
      </c>
      <c r="D5041" s="851">
        <v>666.52000699999996</v>
      </c>
    </row>
    <row r="5042" spans="2:4" x14ac:dyDescent="0.2">
      <c r="B5042" s="876">
        <v>6158</v>
      </c>
      <c r="C5042" s="876" t="s">
        <v>5692</v>
      </c>
      <c r="D5042" s="851">
        <v>709.22352899999998</v>
      </c>
    </row>
    <row r="5043" spans="2:4" x14ac:dyDescent="0.2">
      <c r="B5043" s="876">
        <v>6159</v>
      </c>
      <c r="C5043" s="876" t="s">
        <v>5693</v>
      </c>
      <c r="D5043" s="851">
        <v>689.85556399999996</v>
      </c>
    </row>
    <row r="5044" spans="2:4" x14ac:dyDescent="0.2">
      <c r="B5044" s="876">
        <v>6160</v>
      </c>
      <c r="C5044" s="876" t="s">
        <v>5694</v>
      </c>
      <c r="D5044" s="851">
        <v>691.21818399999995</v>
      </c>
    </row>
    <row r="5045" spans="2:4" x14ac:dyDescent="0.2">
      <c r="B5045" s="876">
        <v>6161</v>
      </c>
      <c r="C5045" s="876" t="s">
        <v>5695</v>
      </c>
      <c r="D5045" s="851">
        <v>702.17778899999996</v>
      </c>
    </row>
    <row r="5046" spans="2:4" x14ac:dyDescent="0.2">
      <c r="B5046" s="876">
        <v>6162</v>
      </c>
      <c r="C5046" s="876" t="s">
        <v>5696</v>
      </c>
      <c r="D5046" s="851">
        <v>721.02941499999997</v>
      </c>
    </row>
    <row r="5047" spans="2:4" x14ac:dyDescent="0.2">
      <c r="B5047" s="876">
        <v>6163</v>
      </c>
      <c r="C5047" s="876" t="s">
        <v>5697</v>
      </c>
      <c r="D5047" s="851">
        <v>727.10001199999999</v>
      </c>
    </row>
    <row r="5048" spans="2:4" x14ac:dyDescent="0.2">
      <c r="B5048" s="876">
        <v>6164</v>
      </c>
      <c r="C5048" s="876" t="s">
        <v>5698</v>
      </c>
      <c r="D5048" s="851">
        <v>715.22500600000001</v>
      </c>
    </row>
    <row r="5049" spans="2:4" x14ac:dyDescent="0.2">
      <c r="B5049" s="876">
        <v>6165</v>
      </c>
      <c r="C5049" s="876" t="s">
        <v>5699</v>
      </c>
      <c r="D5049" s="851">
        <v>785.90999799999997</v>
      </c>
    </row>
    <row r="5050" spans="2:4" x14ac:dyDescent="0.2">
      <c r="B5050" s="876">
        <v>6166</v>
      </c>
      <c r="C5050" s="876" t="s">
        <v>5700</v>
      </c>
      <c r="D5050" s="851">
        <v>753.18667000000005</v>
      </c>
    </row>
    <row r="5051" spans="2:4" x14ac:dyDescent="0.2">
      <c r="B5051" s="876">
        <v>6167</v>
      </c>
      <c r="C5051" s="876" t="s">
        <v>5701</v>
      </c>
      <c r="D5051" s="851">
        <v>757.98999600000002</v>
      </c>
    </row>
    <row r="5052" spans="2:4" x14ac:dyDescent="0.2">
      <c r="B5052" s="876">
        <v>6168</v>
      </c>
      <c r="C5052" s="876" t="s">
        <v>5702</v>
      </c>
      <c r="D5052" s="851">
        <v>814.6</v>
      </c>
    </row>
    <row r="5053" spans="2:4" x14ac:dyDescent="0.2">
      <c r="B5053" s="876">
        <v>6169</v>
      </c>
      <c r="C5053" s="876" t="s">
        <v>1348</v>
      </c>
      <c r="D5053" s="851">
        <v>751.79999799999996</v>
      </c>
    </row>
    <row r="5054" spans="2:4" x14ac:dyDescent="0.2">
      <c r="B5054" s="876">
        <v>6170</v>
      </c>
      <c r="C5054" s="876" t="s">
        <v>2434</v>
      </c>
      <c r="D5054" s="851">
        <v>739.98751100000004</v>
      </c>
    </row>
    <row r="5055" spans="2:4" x14ac:dyDescent="0.2">
      <c r="B5055" s="876">
        <v>6171</v>
      </c>
      <c r="C5055" s="876" t="s">
        <v>5703</v>
      </c>
      <c r="D5055" s="851">
        <v>702.733341</v>
      </c>
    </row>
    <row r="5056" spans="2:4" x14ac:dyDescent="0.2">
      <c r="B5056" s="876">
        <v>6172</v>
      </c>
      <c r="C5056" s="876" t="s">
        <v>5704</v>
      </c>
      <c r="D5056" s="851">
        <v>706.82631600000002</v>
      </c>
    </row>
    <row r="5057" spans="2:4" x14ac:dyDescent="0.2">
      <c r="B5057" s="876">
        <v>6173</v>
      </c>
      <c r="C5057" s="876" t="s">
        <v>5705</v>
      </c>
      <c r="D5057" s="851">
        <v>667.43332899999996</v>
      </c>
    </row>
    <row r="5058" spans="2:4" x14ac:dyDescent="0.2">
      <c r="B5058" s="876">
        <v>6174</v>
      </c>
      <c r="C5058" s="876" t="s">
        <v>5706</v>
      </c>
      <c r="D5058" s="851">
        <v>707.85000600000001</v>
      </c>
    </row>
    <row r="5059" spans="2:4" x14ac:dyDescent="0.2">
      <c r="B5059" s="876">
        <v>6175</v>
      </c>
      <c r="C5059" s="876" t="s">
        <v>5707</v>
      </c>
      <c r="D5059" s="851">
        <v>707.56001000000003</v>
      </c>
    </row>
    <row r="5060" spans="2:4" x14ac:dyDescent="0.2">
      <c r="B5060" s="876">
        <v>6176</v>
      </c>
      <c r="C5060" s="876" t="s">
        <v>5708</v>
      </c>
      <c r="D5060" s="851">
        <v>703.79375100000004</v>
      </c>
    </row>
    <row r="5061" spans="2:4" x14ac:dyDescent="0.2">
      <c r="B5061" s="876">
        <v>6177</v>
      </c>
      <c r="C5061" s="876" t="s">
        <v>5709</v>
      </c>
      <c r="D5061" s="851">
        <v>718.96666700000003</v>
      </c>
    </row>
    <row r="5062" spans="2:4" x14ac:dyDescent="0.2">
      <c r="B5062" s="876">
        <v>6178</v>
      </c>
      <c r="C5062" s="876" t="s">
        <v>5710</v>
      </c>
      <c r="D5062" s="851">
        <v>740.09599600000001</v>
      </c>
    </row>
    <row r="5063" spans="2:4" x14ac:dyDescent="0.2">
      <c r="B5063" s="876">
        <v>6179</v>
      </c>
      <c r="C5063" s="876" t="s">
        <v>5711</v>
      </c>
      <c r="D5063" s="851">
        <v>769.90999799999997</v>
      </c>
    </row>
    <row r="5064" spans="2:4" x14ac:dyDescent="0.2">
      <c r="B5064" s="876">
        <v>6180</v>
      </c>
      <c r="C5064" s="876" t="s">
        <v>5712</v>
      </c>
      <c r="D5064" s="851">
        <v>686.87142700000004</v>
      </c>
    </row>
    <row r="5065" spans="2:4" x14ac:dyDescent="0.2">
      <c r="B5065" s="876">
        <v>6181</v>
      </c>
      <c r="C5065" s="876" t="s">
        <v>5116</v>
      </c>
      <c r="D5065" s="851">
        <v>720.278953</v>
      </c>
    </row>
    <row r="5066" spans="2:4" x14ac:dyDescent="0.2">
      <c r="B5066" s="876">
        <v>6182</v>
      </c>
      <c r="C5066" s="876" t="s">
        <v>5713</v>
      </c>
      <c r="D5066" s="851">
        <v>682.240002</v>
      </c>
    </row>
    <row r="5067" spans="2:4" x14ac:dyDescent="0.2">
      <c r="B5067" s="876">
        <v>6183</v>
      </c>
      <c r="C5067" s="876" t="s">
        <v>5714</v>
      </c>
      <c r="D5067" s="851">
        <v>724.15455199999997</v>
      </c>
    </row>
    <row r="5068" spans="2:4" x14ac:dyDescent="0.2">
      <c r="B5068" s="876">
        <v>6184</v>
      </c>
      <c r="C5068" s="876" t="s">
        <v>1691</v>
      </c>
      <c r="D5068" s="851">
        <v>709.11364200000003</v>
      </c>
    </row>
    <row r="5069" spans="2:4" x14ac:dyDescent="0.2">
      <c r="B5069" s="876">
        <v>6185</v>
      </c>
      <c r="C5069" s="876" t="s">
        <v>5715</v>
      </c>
      <c r="D5069" s="851">
        <v>731.69412399999999</v>
      </c>
    </row>
    <row r="5070" spans="2:4" x14ac:dyDescent="0.2">
      <c r="B5070" s="876">
        <v>6186</v>
      </c>
      <c r="C5070" s="876" t="s">
        <v>5716</v>
      </c>
      <c r="D5070" s="851">
        <v>677.17776800000001</v>
      </c>
    </row>
    <row r="5071" spans="2:4" x14ac:dyDescent="0.2">
      <c r="B5071" s="876">
        <v>6187</v>
      </c>
      <c r="C5071" s="876" t="s">
        <v>5717</v>
      </c>
      <c r="D5071" s="851">
        <v>723.62778000000003</v>
      </c>
    </row>
    <row r="5072" spans="2:4" x14ac:dyDescent="0.2">
      <c r="B5072" s="876">
        <v>6188</v>
      </c>
      <c r="C5072" s="876" t="s">
        <v>5718</v>
      </c>
      <c r="D5072" s="851">
        <v>694.92000700000006</v>
      </c>
    </row>
    <row r="5073" spans="2:4" x14ac:dyDescent="0.2">
      <c r="B5073" s="876">
        <v>6189</v>
      </c>
      <c r="C5073" s="876" t="s">
        <v>5719</v>
      </c>
      <c r="D5073" s="851">
        <v>713.45332800000006</v>
      </c>
    </row>
    <row r="5074" spans="2:4" x14ac:dyDescent="0.2">
      <c r="B5074" s="876">
        <v>6190</v>
      </c>
      <c r="C5074" s="876" t="s">
        <v>2043</v>
      </c>
      <c r="D5074" s="851">
        <v>682.38749700000005</v>
      </c>
    </row>
    <row r="5075" spans="2:4" x14ac:dyDescent="0.2">
      <c r="B5075" s="876">
        <v>6191</v>
      </c>
      <c r="C5075" s="876" t="s">
        <v>5720</v>
      </c>
      <c r="D5075" s="851">
        <v>731.96153800000002</v>
      </c>
    </row>
    <row r="5076" spans="2:4" x14ac:dyDescent="0.2">
      <c r="B5076" s="876">
        <v>6192</v>
      </c>
      <c r="C5076" s="876" t="s">
        <v>5721</v>
      </c>
      <c r="D5076" s="851">
        <v>701.82500200000004</v>
      </c>
    </row>
    <row r="5077" spans="2:4" x14ac:dyDescent="0.2">
      <c r="B5077" s="876">
        <v>6193</v>
      </c>
      <c r="C5077" s="876" t="s">
        <v>5722</v>
      </c>
      <c r="D5077" s="851">
        <v>731.55238299999996</v>
      </c>
    </row>
    <row r="5078" spans="2:4" x14ac:dyDescent="0.2">
      <c r="B5078" s="876">
        <v>6194</v>
      </c>
      <c r="C5078" s="876" t="s">
        <v>5723</v>
      </c>
      <c r="D5078" s="851">
        <v>724.46154300000001</v>
      </c>
    </row>
    <row r="5079" spans="2:4" x14ac:dyDescent="0.2">
      <c r="B5079" s="876">
        <v>6195</v>
      </c>
      <c r="C5079" s="876" t="s">
        <v>4592</v>
      </c>
      <c r="D5079" s="851">
        <v>770.77307399999995</v>
      </c>
    </row>
    <row r="5080" spans="2:4" x14ac:dyDescent="0.2">
      <c r="B5080" s="876">
        <v>6196</v>
      </c>
      <c r="C5080" s="876" t="s">
        <v>5724</v>
      </c>
      <c r="D5080" s="851">
        <v>673.51874499999997</v>
      </c>
    </row>
    <row r="5081" spans="2:4" x14ac:dyDescent="0.2">
      <c r="B5081" s="876">
        <v>6197</v>
      </c>
      <c r="C5081" s="876" t="s">
        <v>5725</v>
      </c>
      <c r="D5081" s="851">
        <v>684.741669</v>
      </c>
    </row>
    <row r="5082" spans="2:4" x14ac:dyDescent="0.2">
      <c r="B5082" s="876">
        <v>6198</v>
      </c>
      <c r="C5082" s="876" t="s">
        <v>5726</v>
      </c>
      <c r="D5082" s="851">
        <v>653.59999100000005</v>
      </c>
    </row>
    <row r="5083" spans="2:4" x14ac:dyDescent="0.2">
      <c r="B5083" s="876">
        <v>6199</v>
      </c>
      <c r="C5083" s="876" t="s">
        <v>5727</v>
      </c>
      <c r="D5083" s="851">
        <v>653.67999299999997</v>
      </c>
    </row>
    <row r="5084" spans="2:4" x14ac:dyDescent="0.2">
      <c r="B5084" s="876">
        <v>6200</v>
      </c>
      <c r="C5084" s="876" t="s">
        <v>5728</v>
      </c>
      <c r="D5084" s="851">
        <v>665.069569</v>
      </c>
    </row>
    <row r="5085" spans="2:4" x14ac:dyDescent="0.2">
      <c r="B5085" s="876">
        <v>6201</v>
      </c>
      <c r="C5085" s="876" t="s">
        <v>5729</v>
      </c>
      <c r="D5085" s="851">
        <v>733.44999700000005</v>
      </c>
    </row>
    <row r="5086" spans="2:4" x14ac:dyDescent="0.2">
      <c r="B5086" s="876">
        <v>6202</v>
      </c>
      <c r="C5086" s="876" t="s">
        <v>4374</v>
      </c>
      <c r="D5086" s="851">
        <v>767.37222299999996</v>
      </c>
    </row>
    <row r="5087" spans="2:4" x14ac:dyDescent="0.2">
      <c r="B5087" s="876">
        <v>6203</v>
      </c>
      <c r="C5087" s="876" t="s">
        <v>5730</v>
      </c>
      <c r="D5087" s="851">
        <v>760.49047900000005</v>
      </c>
    </row>
    <row r="5088" spans="2:4" x14ac:dyDescent="0.2">
      <c r="B5088" s="876">
        <v>6204</v>
      </c>
      <c r="C5088" s="876" t="s">
        <v>5731</v>
      </c>
      <c r="D5088" s="851">
        <v>719.01665800000001</v>
      </c>
    </row>
    <row r="5089" spans="2:4" x14ac:dyDescent="0.2">
      <c r="B5089" s="876">
        <v>6205</v>
      </c>
      <c r="C5089" s="876" t="s">
        <v>5732</v>
      </c>
      <c r="D5089" s="851">
        <v>754.08181500000001</v>
      </c>
    </row>
    <row r="5090" spans="2:4" x14ac:dyDescent="0.2">
      <c r="B5090" s="876">
        <v>6206</v>
      </c>
      <c r="C5090" s="876" t="s">
        <v>5733</v>
      </c>
      <c r="D5090" s="851">
        <v>731.64374499999997</v>
      </c>
    </row>
    <row r="5091" spans="2:4" x14ac:dyDescent="0.2">
      <c r="B5091" s="876">
        <v>6207</v>
      </c>
      <c r="C5091" s="876" t="s">
        <v>5734</v>
      </c>
      <c r="D5091" s="851">
        <v>717.59997599999997</v>
      </c>
    </row>
    <row r="5092" spans="2:4" x14ac:dyDescent="0.2">
      <c r="B5092" s="876">
        <v>6208</v>
      </c>
      <c r="C5092" s="876" t="s">
        <v>5572</v>
      </c>
      <c r="D5092" s="851">
        <v>715.91428900000005</v>
      </c>
    </row>
    <row r="5093" spans="2:4" x14ac:dyDescent="0.2">
      <c r="B5093" s="876">
        <v>6209</v>
      </c>
      <c r="C5093" s="876" t="s">
        <v>5735</v>
      </c>
      <c r="D5093" s="851">
        <v>729.16428499999995</v>
      </c>
    </row>
    <row r="5094" spans="2:4" x14ac:dyDescent="0.2">
      <c r="B5094" s="876">
        <v>6210</v>
      </c>
      <c r="C5094" s="876" t="s">
        <v>5736</v>
      </c>
      <c r="D5094" s="851">
        <v>750.55001800000002</v>
      </c>
    </row>
    <row r="5095" spans="2:4" x14ac:dyDescent="0.2">
      <c r="B5095" s="876">
        <v>6211</v>
      </c>
      <c r="C5095" s="876" t="s">
        <v>5737</v>
      </c>
      <c r="D5095" s="851">
        <v>713.16666699999996</v>
      </c>
    </row>
    <row r="5096" spans="2:4" x14ac:dyDescent="0.2">
      <c r="B5096" s="876">
        <v>6212</v>
      </c>
      <c r="C5096" s="876" t="s">
        <v>5738</v>
      </c>
      <c r="D5096" s="851">
        <v>753.57692299999997</v>
      </c>
    </row>
    <row r="5097" spans="2:4" x14ac:dyDescent="0.2">
      <c r="B5097" s="876">
        <v>6213</v>
      </c>
      <c r="C5097" s="876" t="s">
        <v>5739</v>
      </c>
      <c r="D5097" s="851">
        <v>732.25</v>
      </c>
    </row>
    <row r="5098" spans="2:4" x14ac:dyDescent="0.2">
      <c r="B5098" s="876">
        <v>6214</v>
      </c>
      <c r="C5098" s="876" t="s">
        <v>5740</v>
      </c>
      <c r="D5098" s="851">
        <v>694.75453900000002</v>
      </c>
    </row>
    <row r="5099" spans="2:4" x14ac:dyDescent="0.2">
      <c r="B5099" s="876">
        <v>6215</v>
      </c>
      <c r="C5099" s="876" t="s">
        <v>5106</v>
      </c>
      <c r="D5099" s="851">
        <v>672</v>
      </c>
    </row>
    <row r="5100" spans="2:4" x14ac:dyDescent="0.2">
      <c r="B5100" s="876">
        <v>6216</v>
      </c>
      <c r="C5100" s="876" t="s">
        <v>5741</v>
      </c>
      <c r="D5100" s="851">
        <v>672.258825</v>
      </c>
    </row>
    <row r="5101" spans="2:4" x14ac:dyDescent="0.2">
      <c r="B5101" s="876">
        <v>6217</v>
      </c>
      <c r="C5101" s="876" t="s">
        <v>5742</v>
      </c>
      <c r="D5101" s="851">
        <v>685.38929099999996</v>
      </c>
    </row>
    <row r="5102" spans="2:4" x14ac:dyDescent="0.2">
      <c r="B5102" s="876">
        <v>6251</v>
      </c>
      <c r="C5102" s="876" t="s">
        <v>5743</v>
      </c>
      <c r="D5102" s="851">
        <v>932.41250200000002</v>
      </c>
    </row>
    <row r="5103" spans="2:4" x14ac:dyDescent="0.2">
      <c r="B5103" s="876">
        <v>6252</v>
      </c>
      <c r="C5103" s="876" t="s">
        <v>5744</v>
      </c>
      <c r="D5103" s="851">
        <v>896.48332400000004</v>
      </c>
    </row>
    <row r="5104" spans="2:4" x14ac:dyDescent="0.2">
      <c r="B5104" s="876">
        <v>6253</v>
      </c>
      <c r="C5104" s="876" t="s">
        <v>5396</v>
      </c>
      <c r="D5104" s="851">
        <v>752.69998199999998</v>
      </c>
    </row>
    <row r="5105" spans="2:4" x14ac:dyDescent="0.2">
      <c r="B5105" s="876">
        <v>6254</v>
      </c>
      <c r="C5105" s="876" t="s">
        <v>5745</v>
      </c>
      <c r="D5105" s="851">
        <v>806.357891</v>
      </c>
    </row>
    <row r="5106" spans="2:4" x14ac:dyDescent="0.2">
      <c r="B5106" s="876">
        <v>6255</v>
      </c>
      <c r="C5106" s="876" t="s">
        <v>5746</v>
      </c>
      <c r="D5106" s="851">
        <v>900.95714499999997</v>
      </c>
    </row>
    <row r="5107" spans="2:4" x14ac:dyDescent="0.2">
      <c r="B5107" s="876">
        <v>6256</v>
      </c>
      <c r="C5107" s="876" t="s">
        <v>2838</v>
      </c>
      <c r="D5107" s="851">
        <v>828.32500000000005</v>
      </c>
    </row>
    <row r="5108" spans="2:4" x14ac:dyDescent="0.2">
      <c r="B5108" s="876">
        <v>6257</v>
      </c>
      <c r="C5108" s="876" t="s">
        <v>5747</v>
      </c>
      <c r="D5108" s="851">
        <v>893.96499900000003</v>
      </c>
    </row>
    <row r="5109" spans="2:4" x14ac:dyDescent="0.2">
      <c r="B5109" s="876">
        <v>6258</v>
      </c>
      <c r="C5109" s="876" t="s">
        <v>5748</v>
      </c>
      <c r="D5109" s="851">
        <v>856.764996</v>
      </c>
    </row>
    <row r="5110" spans="2:4" x14ac:dyDescent="0.2">
      <c r="B5110" s="876">
        <v>6259</v>
      </c>
      <c r="C5110" s="876" t="s">
        <v>5749</v>
      </c>
      <c r="D5110" s="851">
        <v>807.57999299999994</v>
      </c>
    </row>
    <row r="5111" spans="2:4" x14ac:dyDescent="0.2">
      <c r="B5111" s="876">
        <v>6260</v>
      </c>
      <c r="C5111" s="876" t="s">
        <v>5750</v>
      </c>
      <c r="D5111" s="851">
        <v>760.17498799999998</v>
      </c>
    </row>
    <row r="5112" spans="2:4" x14ac:dyDescent="0.2">
      <c r="B5112" s="876">
        <v>6261</v>
      </c>
      <c r="C5112" s="876" t="s">
        <v>5751</v>
      </c>
      <c r="D5112" s="851">
        <v>792.363159</v>
      </c>
    </row>
    <row r="5113" spans="2:4" x14ac:dyDescent="0.2">
      <c r="B5113" s="876">
        <v>6262</v>
      </c>
      <c r="C5113" s="876" t="s">
        <v>5752</v>
      </c>
      <c r="D5113" s="851">
        <v>778.22857699999997</v>
      </c>
    </row>
    <row r="5114" spans="2:4" x14ac:dyDescent="0.2">
      <c r="B5114" s="876">
        <v>6263</v>
      </c>
      <c r="C5114" s="876" t="s">
        <v>5753</v>
      </c>
      <c r="D5114" s="851">
        <v>752.82273199999997</v>
      </c>
    </row>
    <row r="5115" spans="2:4" x14ac:dyDescent="0.2">
      <c r="B5115" s="876">
        <v>6264</v>
      </c>
      <c r="C5115" s="876" t="s">
        <v>5201</v>
      </c>
      <c r="D5115" s="851">
        <v>803.29375100000004</v>
      </c>
    </row>
    <row r="5116" spans="2:4" x14ac:dyDescent="0.2">
      <c r="B5116" s="876">
        <v>6265</v>
      </c>
      <c r="C5116" s="876" t="s">
        <v>5754</v>
      </c>
      <c r="D5116" s="851">
        <v>801.49231399999996</v>
      </c>
    </row>
    <row r="5117" spans="2:4" x14ac:dyDescent="0.2">
      <c r="B5117" s="876">
        <v>6266</v>
      </c>
      <c r="C5117" s="876" t="s">
        <v>5755</v>
      </c>
      <c r="D5117" s="851">
        <v>718.69999900000005</v>
      </c>
    </row>
    <row r="5118" spans="2:4" x14ac:dyDescent="0.2">
      <c r="B5118" s="876">
        <v>6267</v>
      </c>
      <c r="C5118" s="876" t="s">
        <v>5756</v>
      </c>
      <c r="D5118" s="851">
        <v>703.35999800000002</v>
      </c>
    </row>
    <row r="5119" spans="2:4" x14ac:dyDescent="0.2">
      <c r="B5119" s="876">
        <v>6268</v>
      </c>
      <c r="C5119" s="876" t="s">
        <v>5757</v>
      </c>
      <c r="D5119" s="851">
        <v>717.10587799999996</v>
      </c>
    </row>
    <row r="5120" spans="2:4" x14ac:dyDescent="0.2">
      <c r="B5120" s="876">
        <v>6269</v>
      </c>
      <c r="C5120" s="876" t="s">
        <v>5758</v>
      </c>
      <c r="D5120" s="851">
        <v>728.26841999999999</v>
      </c>
    </row>
    <row r="5121" spans="2:4" x14ac:dyDescent="0.2">
      <c r="B5121" s="876">
        <v>6270</v>
      </c>
      <c r="C5121" s="876" t="s">
        <v>5759</v>
      </c>
      <c r="D5121" s="851">
        <v>731.35000600000001</v>
      </c>
    </row>
    <row r="5122" spans="2:4" x14ac:dyDescent="0.2">
      <c r="B5122" s="876">
        <v>6271</v>
      </c>
      <c r="C5122" s="876" t="s">
        <v>5760</v>
      </c>
      <c r="D5122" s="851">
        <v>755.62105199999996</v>
      </c>
    </row>
    <row r="5123" spans="2:4" x14ac:dyDescent="0.2">
      <c r="B5123" s="876">
        <v>6272</v>
      </c>
      <c r="C5123" s="876" t="s">
        <v>5761</v>
      </c>
      <c r="D5123" s="851">
        <v>773.77083100000004</v>
      </c>
    </row>
    <row r="5124" spans="2:4" x14ac:dyDescent="0.2">
      <c r="B5124" s="876">
        <v>6273</v>
      </c>
      <c r="C5124" s="876" t="s">
        <v>5762</v>
      </c>
      <c r="D5124" s="851">
        <v>811.635716</v>
      </c>
    </row>
    <row r="5125" spans="2:4" x14ac:dyDescent="0.2">
      <c r="B5125" s="876">
        <v>6274</v>
      </c>
      <c r="C5125" s="876" t="s">
        <v>5763</v>
      </c>
      <c r="D5125" s="851">
        <v>781.05000299999995</v>
      </c>
    </row>
    <row r="5126" spans="2:4" x14ac:dyDescent="0.2">
      <c r="B5126" s="876">
        <v>6275</v>
      </c>
      <c r="C5126" s="876" t="s">
        <v>5764</v>
      </c>
      <c r="D5126" s="851">
        <v>781.19999199999995</v>
      </c>
    </row>
    <row r="5127" spans="2:4" x14ac:dyDescent="0.2">
      <c r="B5127" s="876">
        <v>6276</v>
      </c>
      <c r="C5127" s="876" t="s">
        <v>5765</v>
      </c>
      <c r="D5127" s="851">
        <v>785.02499399999999</v>
      </c>
    </row>
    <row r="5128" spans="2:4" x14ac:dyDescent="0.2">
      <c r="B5128" s="876">
        <v>6301</v>
      </c>
      <c r="C5128" s="876" t="s">
        <v>5766</v>
      </c>
      <c r="D5128" s="851">
        <v>966.03158399999995</v>
      </c>
    </row>
    <row r="5129" spans="2:4" x14ac:dyDescent="0.2">
      <c r="B5129" s="876">
        <v>6302</v>
      </c>
      <c r="C5129" s="876" t="s">
        <v>5767</v>
      </c>
      <c r="D5129" s="851">
        <v>975.581818</v>
      </c>
    </row>
    <row r="5130" spans="2:4" x14ac:dyDescent="0.2">
      <c r="B5130" s="876">
        <v>6303</v>
      </c>
      <c r="C5130" s="876" t="s">
        <v>2396</v>
      </c>
      <c r="D5130" s="851">
        <v>926.48421099999996</v>
      </c>
    </row>
    <row r="5131" spans="2:4" x14ac:dyDescent="0.2">
      <c r="B5131" s="876">
        <v>6304</v>
      </c>
      <c r="C5131" s="876" t="s">
        <v>5768</v>
      </c>
      <c r="D5131" s="851">
        <v>907.37727199999995</v>
      </c>
    </row>
    <row r="5132" spans="2:4" x14ac:dyDescent="0.2">
      <c r="B5132" s="876">
        <v>6305</v>
      </c>
      <c r="C5132" s="876" t="s">
        <v>304</v>
      </c>
      <c r="D5132" s="851">
        <v>852.77272700000003</v>
      </c>
    </row>
    <row r="5133" spans="2:4" x14ac:dyDescent="0.2">
      <c r="B5133" s="876">
        <v>6306</v>
      </c>
      <c r="C5133" s="876" t="s">
        <v>5769</v>
      </c>
      <c r="D5133" s="851">
        <v>885.06428700000004</v>
      </c>
    </row>
    <row r="5134" spans="2:4" x14ac:dyDescent="0.2">
      <c r="B5134" s="876">
        <v>6307</v>
      </c>
      <c r="C5134" s="876" t="s">
        <v>5770</v>
      </c>
      <c r="D5134" s="851">
        <v>852.88888899999995</v>
      </c>
    </row>
    <row r="5135" spans="2:4" x14ac:dyDescent="0.2">
      <c r="B5135" s="876">
        <v>6308</v>
      </c>
      <c r="C5135" s="876" t="s">
        <v>5771</v>
      </c>
      <c r="D5135" s="851">
        <v>867.63332800000001</v>
      </c>
    </row>
    <row r="5136" spans="2:4" x14ac:dyDescent="0.2">
      <c r="B5136" s="876">
        <v>6309</v>
      </c>
      <c r="C5136" s="876" t="s">
        <v>5772</v>
      </c>
      <c r="D5136" s="851">
        <v>895.31110999999999</v>
      </c>
    </row>
    <row r="5137" spans="2:4" x14ac:dyDescent="0.2">
      <c r="B5137" s="876">
        <v>6310</v>
      </c>
      <c r="C5137" s="876" t="s">
        <v>5773</v>
      </c>
      <c r="D5137" s="851">
        <v>928.11999900000001</v>
      </c>
    </row>
    <row r="5138" spans="2:4" x14ac:dyDescent="0.2">
      <c r="B5138" s="876">
        <v>6311</v>
      </c>
      <c r="C5138" s="876" t="s">
        <v>5774</v>
      </c>
      <c r="D5138" s="851">
        <v>937.73637299999996</v>
      </c>
    </row>
    <row r="5139" spans="2:4" x14ac:dyDescent="0.2">
      <c r="B5139" s="876">
        <v>6312</v>
      </c>
      <c r="C5139" s="876" t="s">
        <v>5775</v>
      </c>
      <c r="D5139" s="851">
        <v>932.53332499999999</v>
      </c>
    </row>
    <row r="5140" spans="2:4" x14ac:dyDescent="0.2">
      <c r="B5140" s="876">
        <v>6313</v>
      </c>
      <c r="C5140" s="876" t="s">
        <v>5776</v>
      </c>
      <c r="D5140" s="851">
        <v>891.29999899999996</v>
      </c>
    </row>
    <row r="5141" spans="2:4" x14ac:dyDescent="0.2">
      <c r="B5141" s="876">
        <v>6314</v>
      </c>
      <c r="C5141" s="876" t="s">
        <v>5777</v>
      </c>
      <c r="D5141" s="851">
        <v>873.15000399999997</v>
      </c>
    </row>
    <row r="5142" spans="2:4" x14ac:dyDescent="0.2">
      <c r="B5142" s="876">
        <v>6315</v>
      </c>
      <c r="C5142" s="876" t="s">
        <v>5778</v>
      </c>
      <c r="D5142" s="851">
        <v>916.28999599999997</v>
      </c>
    </row>
    <row r="5143" spans="2:4" x14ac:dyDescent="0.2">
      <c r="B5143" s="876">
        <v>6316</v>
      </c>
      <c r="C5143" s="876" t="s">
        <v>5779</v>
      </c>
      <c r="D5143" s="851">
        <v>997.03889300000003</v>
      </c>
    </row>
    <row r="5144" spans="2:4" x14ac:dyDescent="0.2">
      <c r="B5144" s="876">
        <v>6317</v>
      </c>
      <c r="C5144" s="876" t="s">
        <v>5780</v>
      </c>
      <c r="D5144" s="851">
        <v>926.92856300000005</v>
      </c>
    </row>
    <row r="5145" spans="2:4" x14ac:dyDescent="0.2">
      <c r="B5145" s="876">
        <v>6318</v>
      </c>
      <c r="C5145" s="876" t="s">
        <v>5781</v>
      </c>
      <c r="D5145" s="851">
        <v>1016.943745</v>
      </c>
    </row>
    <row r="5146" spans="2:4" x14ac:dyDescent="0.2">
      <c r="B5146" s="876">
        <v>6319</v>
      </c>
      <c r="C5146" s="876" t="s">
        <v>5782</v>
      </c>
      <c r="D5146" s="851">
        <v>1033.7199949999999</v>
      </c>
    </row>
    <row r="5147" spans="2:4" x14ac:dyDescent="0.2">
      <c r="B5147" s="876">
        <v>6320</v>
      </c>
      <c r="C5147" s="876" t="s">
        <v>5783</v>
      </c>
      <c r="D5147" s="851">
        <v>1009.213338</v>
      </c>
    </row>
    <row r="5148" spans="2:4" x14ac:dyDescent="0.2">
      <c r="B5148" s="876">
        <v>6321</v>
      </c>
      <c r="C5148" s="876" t="s">
        <v>5784</v>
      </c>
      <c r="D5148" s="851">
        <v>991.41666699999996</v>
      </c>
    </row>
    <row r="5149" spans="2:4" x14ac:dyDescent="0.2">
      <c r="B5149" s="876">
        <v>6322</v>
      </c>
      <c r="C5149" s="876" t="s">
        <v>3955</v>
      </c>
      <c r="D5149" s="851">
        <v>1036.5</v>
      </c>
    </row>
    <row r="5150" spans="2:4" x14ac:dyDescent="0.2">
      <c r="B5150" s="876">
        <v>6323</v>
      </c>
      <c r="C5150" s="876" t="s">
        <v>5785</v>
      </c>
      <c r="D5150" s="851">
        <v>1037.3500160000001</v>
      </c>
    </row>
    <row r="5151" spans="2:4" x14ac:dyDescent="0.2">
      <c r="B5151" s="876">
        <v>6324</v>
      </c>
      <c r="C5151" s="876" t="s">
        <v>5786</v>
      </c>
      <c r="D5151" s="851">
        <v>880.07692799999995</v>
      </c>
    </row>
    <row r="5152" spans="2:4" x14ac:dyDescent="0.2">
      <c r="B5152" s="876">
        <v>6325</v>
      </c>
      <c r="C5152" s="876" t="s">
        <v>4747</v>
      </c>
      <c r="D5152" s="851">
        <v>861.79999899999996</v>
      </c>
    </row>
    <row r="5153" spans="2:4" x14ac:dyDescent="0.2">
      <c r="B5153" s="876">
        <v>6326</v>
      </c>
      <c r="C5153" s="876" t="s">
        <v>2266</v>
      </c>
      <c r="D5153" s="851">
        <v>851.815383</v>
      </c>
    </row>
    <row r="5154" spans="2:4" x14ac:dyDescent="0.2">
      <c r="B5154" s="876">
        <v>6327</v>
      </c>
      <c r="C5154" s="876" t="s">
        <v>4208</v>
      </c>
      <c r="D5154" s="851">
        <v>853.42999299999997</v>
      </c>
    </row>
    <row r="5155" spans="2:4" x14ac:dyDescent="0.2">
      <c r="B5155" s="876">
        <v>6328</v>
      </c>
      <c r="C5155" s="876" t="s">
        <v>5380</v>
      </c>
      <c r="D5155" s="851">
        <v>853.45332399999995</v>
      </c>
    </row>
    <row r="5156" spans="2:4" x14ac:dyDescent="0.2">
      <c r="B5156" s="876">
        <v>6329</v>
      </c>
      <c r="C5156" s="876" t="s">
        <v>5787</v>
      </c>
      <c r="D5156" s="851">
        <v>853.9375</v>
      </c>
    </row>
    <row r="5157" spans="2:4" x14ac:dyDescent="0.2">
      <c r="B5157" s="876">
        <v>6330</v>
      </c>
      <c r="C5157" s="876" t="s">
        <v>5788</v>
      </c>
      <c r="D5157" s="851">
        <v>873.75</v>
      </c>
    </row>
    <row r="5158" spans="2:4" x14ac:dyDescent="0.2">
      <c r="B5158" s="876">
        <v>6331</v>
      </c>
      <c r="C5158" s="876" t="s">
        <v>5789</v>
      </c>
      <c r="D5158" s="851">
        <v>867.75834099999997</v>
      </c>
    </row>
    <row r="5159" spans="2:4" x14ac:dyDescent="0.2">
      <c r="B5159" s="876">
        <v>6332</v>
      </c>
      <c r="C5159" s="876" t="s">
        <v>5790</v>
      </c>
      <c r="D5159" s="851">
        <v>876.62306999999998</v>
      </c>
    </row>
    <row r="5160" spans="2:4" x14ac:dyDescent="0.2">
      <c r="B5160" s="876">
        <v>6333</v>
      </c>
      <c r="C5160" s="876" t="s">
        <v>5791</v>
      </c>
      <c r="D5160" s="851">
        <v>959.06667100000004</v>
      </c>
    </row>
    <row r="5161" spans="2:4" x14ac:dyDescent="0.2">
      <c r="B5161" s="876">
        <v>6334</v>
      </c>
      <c r="C5161" s="876" t="s">
        <v>5792</v>
      </c>
      <c r="D5161" s="851">
        <v>1036.3533279999999</v>
      </c>
    </row>
    <row r="5162" spans="2:4" x14ac:dyDescent="0.2">
      <c r="B5162" s="876">
        <v>6335</v>
      </c>
      <c r="C5162" s="876" t="s">
        <v>5793</v>
      </c>
      <c r="D5162" s="851">
        <v>986.639996</v>
      </c>
    </row>
    <row r="5163" spans="2:4" x14ac:dyDescent="0.2">
      <c r="B5163" s="876">
        <v>6336</v>
      </c>
      <c r="C5163" s="876" t="s">
        <v>5794</v>
      </c>
      <c r="D5163" s="851">
        <v>976.81000100000006</v>
      </c>
    </row>
    <row r="5164" spans="2:4" x14ac:dyDescent="0.2">
      <c r="B5164" s="876">
        <v>6337</v>
      </c>
      <c r="C5164" s="876" t="s">
        <v>5795</v>
      </c>
      <c r="D5164" s="851">
        <v>959.83333300000004</v>
      </c>
    </row>
    <row r="5165" spans="2:4" x14ac:dyDescent="0.2">
      <c r="B5165" s="876">
        <v>6338</v>
      </c>
      <c r="C5165" s="876" t="s">
        <v>5796</v>
      </c>
      <c r="D5165" s="851">
        <v>1099.080013</v>
      </c>
    </row>
    <row r="5166" spans="2:4" x14ac:dyDescent="0.2">
      <c r="B5166" s="876">
        <v>6339</v>
      </c>
      <c r="C5166" s="876" t="s">
        <v>5797</v>
      </c>
      <c r="D5166" s="851">
        <v>1085.3916630000001</v>
      </c>
    </row>
    <row r="5167" spans="2:4" x14ac:dyDescent="0.2">
      <c r="B5167" s="876">
        <v>6340</v>
      </c>
      <c r="C5167" s="876" t="s">
        <v>5444</v>
      </c>
      <c r="D5167" s="851">
        <v>1094.2285850000001</v>
      </c>
    </row>
    <row r="5168" spans="2:4" x14ac:dyDescent="0.2">
      <c r="B5168" s="876">
        <v>6341</v>
      </c>
      <c r="C5168" s="876" t="s">
        <v>5798</v>
      </c>
      <c r="D5168" s="851">
        <v>1099.2749940000001</v>
      </c>
    </row>
    <row r="5169" spans="2:4" x14ac:dyDescent="0.2">
      <c r="B5169" s="876">
        <v>6342</v>
      </c>
      <c r="C5169" s="876" t="s">
        <v>5799</v>
      </c>
      <c r="D5169" s="851">
        <v>1100.9666340000001</v>
      </c>
    </row>
    <row r="5170" spans="2:4" x14ac:dyDescent="0.2">
      <c r="B5170" s="876">
        <v>6343</v>
      </c>
      <c r="C5170" s="876" t="s">
        <v>5800</v>
      </c>
      <c r="D5170" s="851">
        <v>1028.8611249999999</v>
      </c>
    </row>
    <row r="5171" spans="2:4" x14ac:dyDescent="0.2">
      <c r="B5171" s="876">
        <v>6344</v>
      </c>
      <c r="C5171" s="876" t="s">
        <v>5801</v>
      </c>
      <c r="D5171" s="851">
        <v>1080.8875049999999</v>
      </c>
    </row>
    <row r="5172" spans="2:4" x14ac:dyDescent="0.2">
      <c r="B5172" s="876">
        <v>6345</v>
      </c>
      <c r="C5172" s="876" t="s">
        <v>5802</v>
      </c>
      <c r="D5172" s="851">
        <v>1037.0249940000001</v>
      </c>
    </row>
    <row r="5173" spans="2:4" x14ac:dyDescent="0.2">
      <c r="B5173" s="876">
        <v>6346</v>
      </c>
      <c r="C5173" s="876" t="s">
        <v>5803</v>
      </c>
      <c r="D5173" s="851">
        <v>934.57857000000001</v>
      </c>
    </row>
    <row r="5174" spans="2:4" x14ac:dyDescent="0.2">
      <c r="B5174" s="876">
        <v>6347</v>
      </c>
      <c r="C5174" s="876" t="s">
        <v>5804</v>
      </c>
      <c r="D5174" s="851">
        <v>930.39998800000001</v>
      </c>
    </row>
    <row r="5175" spans="2:4" x14ac:dyDescent="0.2">
      <c r="B5175" s="876">
        <v>6348</v>
      </c>
      <c r="C5175" s="876" t="s">
        <v>5805</v>
      </c>
      <c r="D5175" s="851">
        <v>787.86521800000003</v>
      </c>
    </row>
    <row r="5176" spans="2:4" x14ac:dyDescent="0.2">
      <c r="B5176" s="876">
        <v>6349</v>
      </c>
      <c r="C5176" s="876" t="s">
        <v>5806</v>
      </c>
      <c r="D5176" s="851">
        <v>825.64666699999998</v>
      </c>
    </row>
    <row r="5177" spans="2:4" x14ac:dyDescent="0.2">
      <c r="B5177" s="876">
        <v>6350</v>
      </c>
      <c r="C5177" s="876" t="s">
        <v>5807</v>
      </c>
      <c r="D5177" s="851">
        <v>829.85000600000001</v>
      </c>
    </row>
    <row r="5178" spans="2:4" x14ac:dyDescent="0.2">
      <c r="B5178" s="876">
        <v>6351</v>
      </c>
      <c r="C5178" s="876" t="s">
        <v>5808</v>
      </c>
      <c r="D5178" s="851">
        <v>839.5</v>
      </c>
    </row>
    <row r="5179" spans="2:4" x14ac:dyDescent="0.2">
      <c r="B5179" s="876">
        <v>6352</v>
      </c>
      <c r="C5179" s="876" t="s">
        <v>5809</v>
      </c>
      <c r="D5179" s="851">
        <v>846.58570199999997</v>
      </c>
    </row>
    <row r="5180" spans="2:4" x14ac:dyDescent="0.2">
      <c r="B5180" s="876">
        <v>6353</v>
      </c>
      <c r="C5180" s="876" t="s">
        <v>330</v>
      </c>
      <c r="D5180" s="851">
        <v>809.59997599999997</v>
      </c>
    </row>
    <row r="5181" spans="2:4" x14ac:dyDescent="0.2">
      <c r="B5181" s="876">
        <v>6354</v>
      </c>
      <c r="C5181" s="876" t="s">
        <v>5810</v>
      </c>
      <c r="D5181" s="851">
        <v>792.50770499999999</v>
      </c>
    </row>
    <row r="5182" spans="2:4" x14ac:dyDescent="0.2">
      <c r="B5182" s="876">
        <v>6355</v>
      </c>
      <c r="C5182" s="876" t="s">
        <v>5811</v>
      </c>
      <c r="D5182" s="851">
        <v>839.5</v>
      </c>
    </row>
    <row r="5183" spans="2:4" x14ac:dyDescent="0.2">
      <c r="B5183" s="876">
        <v>6356</v>
      </c>
      <c r="C5183" s="876" t="s">
        <v>5812</v>
      </c>
      <c r="D5183" s="851">
        <v>851.14999399999999</v>
      </c>
    </row>
    <row r="5184" spans="2:4" x14ac:dyDescent="0.2">
      <c r="B5184" s="876">
        <v>6357</v>
      </c>
      <c r="C5184" s="876" t="s">
        <v>5813</v>
      </c>
      <c r="D5184" s="851">
        <v>816.81667100000004</v>
      </c>
    </row>
    <row r="5185" spans="2:4" x14ac:dyDescent="0.2">
      <c r="B5185" s="876">
        <v>6358</v>
      </c>
      <c r="C5185" s="876" t="s">
        <v>4997</v>
      </c>
      <c r="D5185" s="851">
        <v>824.20000300000004</v>
      </c>
    </row>
    <row r="5186" spans="2:4" x14ac:dyDescent="0.2">
      <c r="B5186" s="876">
        <v>6359</v>
      </c>
      <c r="C5186" s="876" t="s">
        <v>5814</v>
      </c>
      <c r="D5186" s="851">
        <v>807.7</v>
      </c>
    </row>
    <row r="5187" spans="2:4" x14ac:dyDescent="0.2">
      <c r="B5187" s="876">
        <v>6360</v>
      </c>
      <c r="C5187" s="876" t="s">
        <v>5815</v>
      </c>
      <c r="D5187" s="851">
        <v>783.30000099999995</v>
      </c>
    </row>
    <row r="5188" spans="2:4" x14ac:dyDescent="0.2">
      <c r="B5188" s="876">
        <v>6361</v>
      </c>
      <c r="C5188" s="876" t="s">
        <v>5816</v>
      </c>
      <c r="D5188" s="851">
        <v>769.99411899999996</v>
      </c>
    </row>
    <row r="5189" spans="2:4" x14ac:dyDescent="0.2">
      <c r="B5189" s="876">
        <v>6362</v>
      </c>
      <c r="C5189" s="876" t="s">
        <v>5817</v>
      </c>
      <c r="D5189" s="851">
        <v>806.01111500000002</v>
      </c>
    </row>
    <row r="5190" spans="2:4" x14ac:dyDescent="0.2">
      <c r="B5190" s="876">
        <v>6363</v>
      </c>
      <c r="C5190" s="876" t="s">
        <v>5818</v>
      </c>
      <c r="D5190" s="851">
        <v>818.25262799999996</v>
      </c>
    </row>
    <row r="5191" spans="2:4" x14ac:dyDescent="0.2">
      <c r="B5191" s="876">
        <v>6364</v>
      </c>
      <c r="C5191" s="876" t="s">
        <v>5819</v>
      </c>
      <c r="D5191" s="851">
        <v>762.97000100000002</v>
      </c>
    </row>
    <row r="5192" spans="2:4" x14ac:dyDescent="0.2">
      <c r="B5192" s="876">
        <v>6365</v>
      </c>
      <c r="C5192" s="876" t="s">
        <v>5820</v>
      </c>
      <c r="D5192" s="851">
        <v>771.24705600000004</v>
      </c>
    </row>
    <row r="5193" spans="2:4" x14ac:dyDescent="0.2">
      <c r="B5193" s="876">
        <v>6366</v>
      </c>
      <c r="C5193" s="876" t="s">
        <v>5821</v>
      </c>
      <c r="D5193" s="851">
        <v>773.70908999999995</v>
      </c>
    </row>
    <row r="5194" spans="2:4" x14ac:dyDescent="0.2">
      <c r="B5194" s="876">
        <v>6367</v>
      </c>
      <c r="C5194" s="876" t="s">
        <v>5822</v>
      </c>
      <c r="D5194" s="851">
        <v>783.43499499999996</v>
      </c>
    </row>
    <row r="5195" spans="2:4" x14ac:dyDescent="0.2">
      <c r="B5195" s="876">
        <v>6368</v>
      </c>
      <c r="C5195" s="876" t="s">
        <v>5823</v>
      </c>
      <c r="D5195" s="851">
        <v>794.30769699999996</v>
      </c>
    </row>
    <row r="5196" spans="2:4" x14ac:dyDescent="0.2">
      <c r="B5196" s="876">
        <v>6369</v>
      </c>
      <c r="C5196" s="876" t="s">
        <v>3686</v>
      </c>
      <c r="D5196" s="851">
        <v>776.59411299999999</v>
      </c>
    </row>
    <row r="5197" spans="2:4" x14ac:dyDescent="0.2">
      <c r="B5197" s="876">
        <v>6370</v>
      </c>
      <c r="C5197" s="876" t="s">
        <v>5824</v>
      </c>
      <c r="D5197" s="851">
        <v>755.29998799999998</v>
      </c>
    </row>
    <row r="5198" spans="2:4" x14ac:dyDescent="0.2">
      <c r="B5198" s="876">
        <v>6371</v>
      </c>
      <c r="C5198" s="876" t="s">
        <v>5825</v>
      </c>
      <c r="D5198" s="851">
        <v>749.589471</v>
      </c>
    </row>
    <row r="5199" spans="2:4" x14ac:dyDescent="0.2">
      <c r="B5199" s="876">
        <v>6372</v>
      </c>
      <c r="C5199" s="876" t="s">
        <v>5826</v>
      </c>
      <c r="D5199" s="851">
        <v>731.29998799999998</v>
      </c>
    </row>
    <row r="5200" spans="2:4" x14ac:dyDescent="0.2">
      <c r="B5200" s="876">
        <v>6373</v>
      </c>
      <c r="C5200" s="876" t="s">
        <v>5827</v>
      </c>
      <c r="D5200" s="851">
        <v>724.24444600000004</v>
      </c>
    </row>
    <row r="5201" spans="2:4" x14ac:dyDescent="0.2">
      <c r="B5201" s="876">
        <v>6374</v>
      </c>
      <c r="C5201" s="876" t="s">
        <v>5828</v>
      </c>
      <c r="D5201" s="851">
        <v>780.87142100000005</v>
      </c>
    </row>
    <row r="5202" spans="2:4" x14ac:dyDescent="0.2">
      <c r="B5202" s="876">
        <v>6375</v>
      </c>
      <c r="C5202" s="876" t="s">
        <v>5829</v>
      </c>
      <c r="D5202" s="851">
        <v>761.8</v>
      </c>
    </row>
    <row r="5203" spans="2:4" x14ac:dyDescent="0.2">
      <c r="B5203" s="876">
        <v>6376</v>
      </c>
      <c r="C5203" s="876" t="s">
        <v>5830</v>
      </c>
      <c r="D5203" s="851">
        <v>739.36428799999999</v>
      </c>
    </row>
    <row r="5204" spans="2:4" x14ac:dyDescent="0.2">
      <c r="B5204" s="876">
        <v>6377</v>
      </c>
      <c r="C5204" s="876" t="s">
        <v>5831</v>
      </c>
      <c r="D5204" s="851">
        <v>741.31999499999995</v>
      </c>
    </row>
    <row r="5205" spans="2:4" x14ac:dyDescent="0.2">
      <c r="B5205" s="876">
        <v>6378</v>
      </c>
      <c r="C5205" s="876" t="s">
        <v>5832</v>
      </c>
      <c r="D5205" s="851">
        <v>736.46667500000001</v>
      </c>
    </row>
    <row r="5206" spans="2:4" x14ac:dyDescent="0.2">
      <c r="B5206" s="876">
        <v>6379</v>
      </c>
      <c r="C5206" s="876" t="s">
        <v>5833</v>
      </c>
      <c r="D5206" s="851">
        <v>750.26249700000005</v>
      </c>
    </row>
    <row r="5207" spans="2:4" x14ac:dyDescent="0.2">
      <c r="B5207" s="876">
        <v>6380</v>
      </c>
      <c r="C5207" s="876" t="s">
        <v>5834</v>
      </c>
      <c r="D5207" s="851">
        <v>729.30001800000002</v>
      </c>
    </row>
    <row r="5208" spans="2:4" x14ac:dyDescent="0.2">
      <c r="B5208" s="876">
        <v>6381</v>
      </c>
      <c r="C5208" s="876" t="s">
        <v>5835</v>
      </c>
      <c r="D5208" s="851">
        <v>711.29444699999999</v>
      </c>
    </row>
    <row r="5209" spans="2:4" x14ac:dyDescent="0.2">
      <c r="B5209" s="876">
        <v>6382</v>
      </c>
      <c r="C5209" s="876" t="s">
        <v>5836</v>
      </c>
      <c r="D5209" s="851">
        <v>742.45832800000005</v>
      </c>
    </row>
    <row r="5210" spans="2:4" x14ac:dyDescent="0.2">
      <c r="B5210" s="876">
        <v>6383</v>
      </c>
      <c r="C5210" s="876" t="s">
        <v>5837</v>
      </c>
      <c r="D5210" s="851">
        <v>730.70001200000002</v>
      </c>
    </row>
    <row r="5211" spans="2:4" x14ac:dyDescent="0.2">
      <c r="B5211" s="876">
        <v>6384</v>
      </c>
      <c r="C5211" s="876" t="s">
        <v>5838</v>
      </c>
      <c r="D5211" s="851">
        <v>744.10588900000005</v>
      </c>
    </row>
    <row r="5212" spans="2:4" x14ac:dyDescent="0.2">
      <c r="B5212" s="876">
        <v>6401</v>
      </c>
      <c r="C5212" s="876" t="s">
        <v>5839</v>
      </c>
      <c r="D5212" s="851">
        <v>752.42500299999995</v>
      </c>
    </row>
    <row r="5213" spans="2:4" x14ac:dyDescent="0.2">
      <c r="B5213" s="876">
        <v>6402</v>
      </c>
      <c r="C5213" s="876" t="s">
        <v>5840</v>
      </c>
      <c r="D5213" s="851">
        <v>668.625</v>
      </c>
    </row>
    <row r="5214" spans="2:4" x14ac:dyDescent="0.2">
      <c r="B5214" s="876">
        <v>6403</v>
      </c>
      <c r="C5214" s="876" t="s">
        <v>5841</v>
      </c>
      <c r="D5214" s="851">
        <v>794.24736900000005</v>
      </c>
    </row>
    <row r="5215" spans="2:4" x14ac:dyDescent="0.2">
      <c r="B5215" s="876">
        <v>6404</v>
      </c>
      <c r="C5215" s="876" t="s">
        <v>5842</v>
      </c>
      <c r="D5215" s="851">
        <v>768.07391600000005</v>
      </c>
    </row>
    <row r="5216" spans="2:4" x14ac:dyDescent="0.2">
      <c r="B5216" s="876">
        <v>6405</v>
      </c>
      <c r="C5216" s="876" t="s">
        <v>5843</v>
      </c>
      <c r="D5216" s="851">
        <v>755.87999300000001</v>
      </c>
    </row>
    <row r="5217" spans="2:4" x14ac:dyDescent="0.2">
      <c r="B5217" s="876">
        <v>6406</v>
      </c>
      <c r="C5217" s="876" t="s">
        <v>5844</v>
      </c>
      <c r="D5217" s="851">
        <v>766.71499900000003</v>
      </c>
    </row>
    <row r="5218" spans="2:4" x14ac:dyDescent="0.2">
      <c r="B5218" s="876">
        <v>6407</v>
      </c>
      <c r="C5218" s="876" t="s">
        <v>5845</v>
      </c>
      <c r="D5218" s="851">
        <v>718.49999500000001</v>
      </c>
    </row>
    <row r="5219" spans="2:4" x14ac:dyDescent="0.2">
      <c r="B5219" s="876">
        <v>6408</v>
      </c>
      <c r="C5219" s="876" t="s">
        <v>5846</v>
      </c>
      <c r="D5219" s="851">
        <v>728.70001200000002</v>
      </c>
    </row>
    <row r="5220" spans="2:4" x14ac:dyDescent="0.2">
      <c r="B5220" s="876">
        <v>6409</v>
      </c>
      <c r="C5220" s="876" t="s">
        <v>5847</v>
      </c>
      <c r="D5220" s="851">
        <v>726.01666299999999</v>
      </c>
    </row>
    <row r="5221" spans="2:4" x14ac:dyDescent="0.2">
      <c r="B5221" s="876">
        <v>6410</v>
      </c>
      <c r="C5221" s="876" t="s">
        <v>5848</v>
      </c>
      <c r="D5221" s="851">
        <v>741.43333800000005</v>
      </c>
    </row>
    <row r="5222" spans="2:4" x14ac:dyDescent="0.2">
      <c r="B5222" s="876">
        <v>6411</v>
      </c>
      <c r="C5222" s="876" t="s">
        <v>5849</v>
      </c>
      <c r="D5222" s="851">
        <v>726.45788900000002</v>
      </c>
    </row>
    <row r="5223" spans="2:4" x14ac:dyDescent="0.2">
      <c r="B5223" s="876">
        <v>6412</v>
      </c>
      <c r="C5223" s="876" t="s">
        <v>4353</v>
      </c>
      <c r="D5223" s="851">
        <v>728.61817499999995</v>
      </c>
    </row>
    <row r="5224" spans="2:4" x14ac:dyDescent="0.2">
      <c r="B5224" s="876">
        <v>6413</v>
      </c>
      <c r="C5224" s="876" t="s">
        <v>5850</v>
      </c>
      <c r="D5224" s="851">
        <v>735.52500399999997</v>
      </c>
    </row>
    <row r="5225" spans="2:4" x14ac:dyDescent="0.2">
      <c r="B5225" s="876">
        <v>6414</v>
      </c>
      <c r="C5225" s="876" t="s">
        <v>5851</v>
      </c>
      <c r="D5225" s="851">
        <v>822.00666100000001</v>
      </c>
    </row>
    <row r="5226" spans="2:4" x14ac:dyDescent="0.2">
      <c r="B5226" s="876">
        <v>6415</v>
      </c>
      <c r="C5226" s="876" t="s">
        <v>5852</v>
      </c>
      <c r="D5226" s="851">
        <v>763.46667500000001</v>
      </c>
    </row>
    <row r="5227" spans="2:4" x14ac:dyDescent="0.2">
      <c r="B5227" s="876">
        <v>6416</v>
      </c>
      <c r="C5227" s="876" t="s">
        <v>5853</v>
      </c>
      <c r="D5227" s="851">
        <v>800.59375</v>
      </c>
    </row>
    <row r="5228" spans="2:4" x14ac:dyDescent="0.2">
      <c r="B5228" s="876">
        <v>6417</v>
      </c>
      <c r="C5228" s="876" t="s">
        <v>3626</v>
      </c>
      <c r="D5228" s="851">
        <v>770.82857799999999</v>
      </c>
    </row>
    <row r="5229" spans="2:4" x14ac:dyDescent="0.2">
      <c r="B5229" s="876">
        <v>6418</v>
      </c>
      <c r="C5229" s="876" t="s">
        <v>5854</v>
      </c>
      <c r="D5229" s="851">
        <v>695.45556599999998</v>
      </c>
    </row>
    <row r="5230" spans="2:4" x14ac:dyDescent="0.2">
      <c r="B5230" s="876">
        <v>6419</v>
      </c>
      <c r="C5230" s="876" t="s">
        <v>5855</v>
      </c>
      <c r="D5230" s="851">
        <v>759.26667099999997</v>
      </c>
    </row>
    <row r="5231" spans="2:4" x14ac:dyDescent="0.2">
      <c r="B5231" s="876">
        <v>6420</v>
      </c>
      <c r="C5231" s="876" t="s">
        <v>5856</v>
      </c>
      <c r="D5231" s="851">
        <v>785.24999400000002</v>
      </c>
    </row>
    <row r="5232" spans="2:4" x14ac:dyDescent="0.2">
      <c r="B5232" s="876">
        <v>6421</v>
      </c>
      <c r="C5232" s="876" t="s">
        <v>5857</v>
      </c>
      <c r="D5232" s="851">
        <v>833.01819399999999</v>
      </c>
    </row>
    <row r="5233" spans="2:4" x14ac:dyDescent="0.2">
      <c r="B5233" s="876">
        <v>6422</v>
      </c>
      <c r="C5233" s="876" t="s">
        <v>4575</v>
      </c>
      <c r="D5233" s="851">
        <v>765.34999600000003</v>
      </c>
    </row>
    <row r="5234" spans="2:4" x14ac:dyDescent="0.2">
      <c r="B5234" s="876">
        <v>6423</v>
      </c>
      <c r="C5234" s="876" t="s">
        <v>5858</v>
      </c>
      <c r="D5234" s="851">
        <v>792.840011</v>
      </c>
    </row>
    <row r="5235" spans="2:4" x14ac:dyDescent="0.2">
      <c r="B5235" s="876">
        <v>6424</v>
      </c>
      <c r="C5235" s="876" t="s">
        <v>5859</v>
      </c>
      <c r="D5235" s="851">
        <v>774.80624799999998</v>
      </c>
    </row>
    <row r="5236" spans="2:4" x14ac:dyDescent="0.2">
      <c r="B5236" s="876">
        <v>6425</v>
      </c>
      <c r="C5236" s="876" t="s">
        <v>5860</v>
      </c>
      <c r="D5236" s="851">
        <v>718.58332800000005</v>
      </c>
    </row>
    <row r="5237" spans="2:4" x14ac:dyDescent="0.2">
      <c r="B5237" s="876">
        <v>6426</v>
      </c>
      <c r="C5237" s="876" t="s">
        <v>5861</v>
      </c>
      <c r="D5237" s="851">
        <v>750.56817899999999</v>
      </c>
    </row>
    <row r="5238" spans="2:4" x14ac:dyDescent="0.2">
      <c r="B5238" s="876">
        <v>6427</v>
      </c>
      <c r="C5238" s="876" t="s">
        <v>2266</v>
      </c>
      <c r="D5238" s="851">
        <v>747.59000200000003</v>
      </c>
    </row>
    <row r="5239" spans="2:4" x14ac:dyDescent="0.2">
      <c r="B5239" s="876">
        <v>6428</v>
      </c>
      <c r="C5239" s="876" t="s">
        <v>5862</v>
      </c>
      <c r="D5239" s="851">
        <v>688.06667100000004</v>
      </c>
    </row>
    <row r="5240" spans="2:4" x14ac:dyDescent="0.2">
      <c r="B5240" s="876">
        <v>6429</v>
      </c>
      <c r="C5240" s="876" t="s">
        <v>5863</v>
      </c>
      <c r="D5240" s="851">
        <v>794.19000200000005</v>
      </c>
    </row>
    <row r="5241" spans="2:4" x14ac:dyDescent="0.2">
      <c r="B5241" s="876">
        <v>6430</v>
      </c>
      <c r="C5241" s="876" t="s">
        <v>5864</v>
      </c>
      <c r="D5241" s="851">
        <v>814.259998</v>
      </c>
    </row>
    <row r="5242" spans="2:4" x14ac:dyDescent="0.2">
      <c r="B5242" s="876">
        <v>6432</v>
      </c>
      <c r="C5242" s="876" t="s">
        <v>5865</v>
      </c>
      <c r="D5242" s="851">
        <v>834.04545499999995</v>
      </c>
    </row>
    <row r="5243" spans="2:4" x14ac:dyDescent="0.2">
      <c r="B5243" s="876">
        <v>6433</v>
      </c>
      <c r="C5243" s="876" t="s">
        <v>3771</v>
      </c>
      <c r="D5243" s="851">
        <v>741.99444600000004</v>
      </c>
    </row>
    <row r="5244" spans="2:4" x14ac:dyDescent="0.2">
      <c r="B5244" s="876">
        <v>6434</v>
      </c>
      <c r="C5244" s="876" t="s">
        <v>5866</v>
      </c>
      <c r="D5244" s="851">
        <v>756.12857499999996</v>
      </c>
    </row>
    <row r="5245" spans="2:4" x14ac:dyDescent="0.2">
      <c r="B5245" s="876">
        <v>6435</v>
      </c>
      <c r="C5245" s="876" t="s">
        <v>5867</v>
      </c>
      <c r="D5245" s="851">
        <v>807.65455199999997</v>
      </c>
    </row>
    <row r="5246" spans="2:4" x14ac:dyDescent="0.2">
      <c r="B5246" s="876">
        <v>6436</v>
      </c>
      <c r="C5246" s="876" t="s">
        <v>5868</v>
      </c>
      <c r="D5246" s="851">
        <v>747.79091000000005</v>
      </c>
    </row>
    <row r="5247" spans="2:4" x14ac:dyDescent="0.2">
      <c r="B5247" s="876">
        <v>6437</v>
      </c>
      <c r="C5247" s="876" t="s">
        <v>5869</v>
      </c>
      <c r="D5247" s="851">
        <v>775.66923199999997</v>
      </c>
    </row>
    <row r="5248" spans="2:4" x14ac:dyDescent="0.2">
      <c r="B5248" s="876">
        <v>6438</v>
      </c>
      <c r="C5248" s="876" t="s">
        <v>5870</v>
      </c>
      <c r="D5248" s="851">
        <v>686.30001200000004</v>
      </c>
    </row>
    <row r="5249" spans="2:4" x14ac:dyDescent="0.2">
      <c r="B5249" s="876">
        <v>6439</v>
      </c>
      <c r="C5249" s="876" t="s">
        <v>5871</v>
      </c>
      <c r="D5249" s="851">
        <v>832.24285499999996</v>
      </c>
    </row>
    <row r="5250" spans="2:4" x14ac:dyDescent="0.2">
      <c r="B5250" s="876">
        <v>6440</v>
      </c>
      <c r="C5250" s="876" t="s">
        <v>5872</v>
      </c>
      <c r="D5250" s="851">
        <v>760.19999199999995</v>
      </c>
    </row>
    <row r="5251" spans="2:4" x14ac:dyDescent="0.2">
      <c r="B5251" s="876">
        <v>6441</v>
      </c>
      <c r="C5251" s="876" t="s">
        <v>5873</v>
      </c>
      <c r="D5251" s="851">
        <v>728.14545799999996</v>
      </c>
    </row>
    <row r="5252" spans="2:4" x14ac:dyDescent="0.2">
      <c r="B5252" s="876">
        <v>6442</v>
      </c>
      <c r="C5252" s="876" t="s">
        <v>5874</v>
      </c>
      <c r="D5252" s="851">
        <v>793.23333700000001</v>
      </c>
    </row>
    <row r="5253" spans="2:4" x14ac:dyDescent="0.2">
      <c r="B5253" s="876">
        <v>6443</v>
      </c>
      <c r="C5253" s="876" t="s">
        <v>5875</v>
      </c>
      <c r="D5253" s="851">
        <v>702.78334600000005</v>
      </c>
    </row>
    <row r="5254" spans="2:4" x14ac:dyDescent="0.2">
      <c r="B5254" s="876">
        <v>6444</v>
      </c>
      <c r="C5254" s="876" t="s">
        <v>5876</v>
      </c>
      <c r="D5254" s="851">
        <v>774.21537899999998</v>
      </c>
    </row>
    <row r="5255" spans="2:4" x14ac:dyDescent="0.2">
      <c r="B5255" s="876">
        <v>6445</v>
      </c>
      <c r="C5255" s="876" t="s">
        <v>2306</v>
      </c>
      <c r="D5255" s="851">
        <v>866.01666899999998</v>
      </c>
    </row>
    <row r="5256" spans="2:4" x14ac:dyDescent="0.2">
      <c r="B5256" s="876">
        <v>6446</v>
      </c>
      <c r="C5256" s="876" t="s">
        <v>5877</v>
      </c>
      <c r="D5256" s="851">
        <v>766.43846199999996</v>
      </c>
    </row>
    <row r="5257" spans="2:4" x14ac:dyDescent="0.2">
      <c r="B5257" s="876">
        <v>6447</v>
      </c>
      <c r="C5257" s="876" t="s">
        <v>5878</v>
      </c>
      <c r="D5257" s="851">
        <v>806.45713999999998</v>
      </c>
    </row>
    <row r="5258" spans="2:4" x14ac:dyDescent="0.2">
      <c r="B5258" s="876">
        <v>6448</v>
      </c>
      <c r="C5258" s="876" t="s">
        <v>5879</v>
      </c>
      <c r="D5258" s="851">
        <v>778.66249800000003</v>
      </c>
    </row>
    <row r="5259" spans="2:4" x14ac:dyDescent="0.2">
      <c r="B5259" s="876">
        <v>6449</v>
      </c>
      <c r="C5259" s="876" t="s">
        <v>5880</v>
      </c>
      <c r="D5259" s="851">
        <v>741.26666299999999</v>
      </c>
    </row>
    <row r="5260" spans="2:4" x14ac:dyDescent="0.2">
      <c r="B5260" s="876">
        <v>6450</v>
      </c>
      <c r="C5260" s="876" t="s">
        <v>5881</v>
      </c>
      <c r="D5260" s="851">
        <v>779.35000600000001</v>
      </c>
    </row>
    <row r="5261" spans="2:4" x14ac:dyDescent="0.2">
      <c r="B5261" s="876">
        <v>6452</v>
      </c>
      <c r="C5261" s="876" t="s">
        <v>5882</v>
      </c>
      <c r="D5261" s="851">
        <v>757.34999100000005</v>
      </c>
    </row>
    <row r="5262" spans="2:4" x14ac:dyDescent="0.2">
      <c r="B5262" s="876">
        <v>6454</v>
      </c>
      <c r="C5262" s="876" t="s">
        <v>1729</v>
      </c>
      <c r="D5262" s="851">
        <v>781.33478300000002</v>
      </c>
    </row>
    <row r="5263" spans="2:4" x14ac:dyDescent="0.2">
      <c r="B5263" s="876">
        <v>6455</v>
      </c>
      <c r="C5263" s="876" t="s">
        <v>5883</v>
      </c>
      <c r="D5263" s="851">
        <v>812.74117899999999</v>
      </c>
    </row>
    <row r="5264" spans="2:4" x14ac:dyDescent="0.2">
      <c r="B5264" s="876">
        <v>6456</v>
      </c>
      <c r="C5264" s="876" t="s">
        <v>2043</v>
      </c>
      <c r="D5264" s="851">
        <v>757.97894899999994</v>
      </c>
    </row>
    <row r="5265" spans="2:4" x14ac:dyDescent="0.2">
      <c r="B5265" s="876">
        <v>6457</v>
      </c>
      <c r="C5265" s="876" t="s">
        <v>5884</v>
      </c>
      <c r="D5265" s="851">
        <v>871.10000600000001</v>
      </c>
    </row>
    <row r="5266" spans="2:4" x14ac:dyDescent="0.2">
      <c r="B5266" s="876">
        <v>6458</v>
      </c>
      <c r="C5266" s="876" t="s">
        <v>1311</v>
      </c>
      <c r="D5266" s="851">
        <v>708.23333700000001</v>
      </c>
    </row>
    <row r="5267" spans="2:4" x14ac:dyDescent="0.2">
      <c r="B5267" s="876">
        <v>6460</v>
      </c>
      <c r="C5267" s="876" t="s">
        <v>5885</v>
      </c>
      <c r="D5267" s="851">
        <v>700.01429399999995</v>
      </c>
    </row>
    <row r="5268" spans="2:4" x14ac:dyDescent="0.2">
      <c r="B5268" s="876">
        <v>6461</v>
      </c>
      <c r="C5268" s="876" t="s">
        <v>5384</v>
      </c>
      <c r="D5268" s="851">
        <v>787.73333200000002</v>
      </c>
    </row>
    <row r="5269" spans="2:4" x14ac:dyDescent="0.2">
      <c r="B5269" s="876">
        <v>6462</v>
      </c>
      <c r="C5269" s="876" t="s">
        <v>5886</v>
      </c>
      <c r="D5269" s="851">
        <v>688.92221400000005</v>
      </c>
    </row>
    <row r="5270" spans="2:4" x14ac:dyDescent="0.2">
      <c r="B5270" s="876">
        <v>6463</v>
      </c>
      <c r="C5270" s="876" t="s">
        <v>5887</v>
      </c>
      <c r="D5270" s="851">
        <v>779.021432</v>
      </c>
    </row>
    <row r="5271" spans="2:4" x14ac:dyDescent="0.2">
      <c r="B5271" s="876">
        <v>6464</v>
      </c>
      <c r="C5271" s="876" t="s">
        <v>5888</v>
      </c>
      <c r="D5271" s="851">
        <v>717.66666699999996</v>
      </c>
    </row>
    <row r="5272" spans="2:4" x14ac:dyDescent="0.2">
      <c r="B5272" s="876">
        <v>6465</v>
      </c>
      <c r="C5272" s="876" t="s">
        <v>4273</v>
      </c>
      <c r="D5272" s="851">
        <v>756.05555600000002</v>
      </c>
    </row>
    <row r="5273" spans="2:4" x14ac:dyDescent="0.2">
      <c r="B5273" s="876">
        <v>6467</v>
      </c>
      <c r="C5273" s="876" t="s">
        <v>5674</v>
      </c>
      <c r="D5273" s="851">
        <v>790.03000499999996</v>
      </c>
    </row>
    <row r="5274" spans="2:4" x14ac:dyDescent="0.2">
      <c r="B5274" s="876">
        <v>6468</v>
      </c>
      <c r="C5274" s="876" t="s">
        <v>5889</v>
      </c>
      <c r="D5274" s="851">
        <v>753.01428199999998</v>
      </c>
    </row>
    <row r="5275" spans="2:4" x14ac:dyDescent="0.2">
      <c r="B5275" s="876">
        <v>6469</v>
      </c>
      <c r="C5275" s="876" t="s">
        <v>5890</v>
      </c>
      <c r="D5275" s="851">
        <v>718.19999800000005</v>
      </c>
    </row>
    <row r="5276" spans="2:4" x14ac:dyDescent="0.2">
      <c r="B5276" s="876">
        <v>6470</v>
      </c>
      <c r="C5276" s="876" t="s">
        <v>5891</v>
      </c>
      <c r="D5276" s="851">
        <v>852.89999399999999</v>
      </c>
    </row>
    <row r="5277" spans="2:4" x14ac:dyDescent="0.2">
      <c r="B5277" s="876">
        <v>6471</v>
      </c>
      <c r="C5277" s="876" t="s">
        <v>5892</v>
      </c>
      <c r="D5277" s="851">
        <v>770.48125100000004</v>
      </c>
    </row>
    <row r="5278" spans="2:4" x14ac:dyDescent="0.2">
      <c r="B5278" s="876">
        <v>6472</v>
      </c>
      <c r="C5278" s="876" t="s">
        <v>5893</v>
      </c>
      <c r="D5278" s="851">
        <v>713.62352399999997</v>
      </c>
    </row>
    <row r="5279" spans="2:4" x14ac:dyDescent="0.2">
      <c r="B5279" s="876">
        <v>6473</v>
      </c>
      <c r="C5279" s="876" t="s">
        <v>5894</v>
      </c>
      <c r="D5279" s="851">
        <v>793.03124600000001</v>
      </c>
    </row>
    <row r="5280" spans="2:4" x14ac:dyDescent="0.2">
      <c r="B5280" s="876">
        <v>6474</v>
      </c>
      <c r="C5280" s="876" t="s">
        <v>5895</v>
      </c>
      <c r="D5280" s="851">
        <v>741.92727400000001</v>
      </c>
    </row>
    <row r="5281" spans="2:4" x14ac:dyDescent="0.2">
      <c r="B5281" s="876">
        <v>6475</v>
      </c>
      <c r="C5281" s="876" t="s">
        <v>5896</v>
      </c>
      <c r="D5281" s="851">
        <v>736.19444099999998</v>
      </c>
    </row>
    <row r="5282" spans="2:4" x14ac:dyDescent="0.2">
      <c r="B5282" s="876">
        <v>6476</v>
      </c>
      <c r="C5282" s="876" t="s">
        <v>5897</v>
      </c>
      <c r="D5282" s="851">
        <v>738.10909200000003</v>
      </c>
    </row>
    <row r="5283" spans="2:4" x14ac:dyDescent="0.2">
      <c r="B5283" s="876">
        <v>6477</v>
      </c>
      <c r="C5283" s="876" t="s">
        <v>5813</v>
      </c>
      <c r="D5283" s="851">
        <v>857.72000100000002</v>
      </c>
    </row>
    <row r="5284" spans="2:4" x14ac:dyDescent="0.2">
      <c r="B5284" s="876">
        <v>6479</v>
      </c>
      <c r="C5284" s="876" t="s">
        <v>5898</v>
      </c>
      <c r="D5284" s="851">
        <v>790.72726699999998</v>
      </c>
    </row>
    <row r="5285" spans="2:4" x14ac:dyDescent="0.2">
      <c r="B5285" s="876">
        <v>6480</v>
      </c>
      <c r="C5285" s="876" t="s">
        <v>5197</v>
      </c>
      <c r="D5285" s="851">
        <v>770.442858</v>
      </c>
    </row>
    <row r="5286" spans="2:4" x14ac:dyDescent="0.2">
      <c r="B5286" s="876">
        <v>6481</v>
      </c>
      <c r="C5286" s="876" t="s">
        <v>5899</v>
      </c>
      <c r="D5286" s="851">
        <v>818.79998799999998</v>
      </c>
    </row>
    <row r="5287" spans="2:4" x14ac:dyDescent="0.2">
      <c r="B5287" s="876">
        <v>6482</v>
      </c>
      <c r="C5287" s="876" t="s">
        <v>1843</v>
      </c>
      <c r="D5287" s="851">
        <v>728.48462400000005</v>
      </c>
    </row>
    <row r="5288" spans="2:4" x14ac:dyDescent="0.2">
      <c r="B5288" s="876">
        <v>6483</v>
      </c>
      <c r="C5288" s="876" t="s">
        <v>4988</v>
      </c>
      <c r="D5288" s="851">
        <v>875.50908900000002</v>
      </c>
    </row>
    <row r="5289" spans="2:4" x14ac:dyDescent="0.2">
      <c r="B5289" s="876">
        <v>6484</v>
      </c>
      <c r="C5289" s="876" t="s">
        <v>5900</v>
      </c>
      <c r="D5289" s="851">
        <v>729.02000099999998</v>
      </c>
    </row>
    <row r="5290" spans="2:4" x14ac:dyDescent="0.2">
      <c r="B5290" s="876">
        <v>6485</v>
      </c>
      <c r="C5290" s="876" t="s">
        <v>5901</v>
      </c>
      <c r="D5290" s="851">
        <v>786.49999500000001</v>
      </c>
    </row>
    <row r="5291" spans="2:4" x14ac:dyDescent="0.2">
      <c r="B5291" s="876">
        <v>6486</v>
      </c>
      <c r="C5291" s="876" t="s">
        <v>5902</v>
      </c>
      <c r="D5291" s="851">
        <v>828.07727299999999</v>
      </c>
    </row>
    <row r="5292" spans="2:4" x14ac:dyDescent="0.2">
      <c r="B5292" s="876">
        <v>6487</v>
      </c>
      <c r="C5292" s="876" t="s">
        <v>5903</v>
      </c>
      <c r="D5292" s="851">
        <v>763.72726999999998</v>
      </c>
    </row>
    <row r="5293" spans="2:4" x14ac:dyDescent="0.2">
      <c r="B5293" s="876">
        <v>6488</v>
      </c>
      <c r="C5293" s="876" t="s">
        <v>5904</v>
      </c>
      <c r="D5293" s="851">
        <v>807.70001200000002</v>
      </c>
    </row>
    <row r="5294" spans="2:4" x14ac:dyDescent="0.2">
      <c r="B5294" s="876">
        <v>6489</v>
      </c>
      <c r="C5294" s="876" t="s">
        <v>5905</v>
      </c>
      <c r="D5294" s="851">
        <v>794.82856100000004</v>
      </c>
    </row>
    <row r="5295" spans="2:4" x14ac:dyDescent="0.2">
      <c r="B5295" s="876">
        <v>6490</v>
      </c>
      <c r="C5295" s="876" t="s">
        <v>5906</v>
      </c>
      <c r="D5295" s="851">
        <v>754</v>
      </c>
    </row>
    <row r="5296" spans="2:4" x14ac:dyDescent="0.2">
      <c r="B5296" s="876">
        <v>6491</v>
      </c>
      <c r="C5296" s="876" t="s">
        <v>5907</v>
      </c>
      <c r="D5296" s="851">
        <v>714.73333700000001</v>
      </c>
    </row>
    <row r="5297" spans="2:4" x14ac:dyDescent="0.2">
      <c r="B5297" s="876">
        <v>6492</v>
      </c>
      <c r="C5297" s="876" t="s">
        <v>2434</v>
      </c>
      <c r="D5297" s="851">
        <v>772.74166400000001</v>
      </c>
    </row>
    <row r="5298" spans="2:4" x14ac:dyDescent="0.2">
      <c r="B5298" s="876">
        <v>6501</v>
      </c>
      <c r="C5298" s="876" t="s">
        <v>5908</v>
      </c>
      <c r="D5298" s="851">
        <v>844.76250100000004</v>
      </c>
    </row>
    <row r="5299" spans="2:4" x14ac:dyDescent="0.2">
      <c r="B5299" s="876">
        <v>6502</v>
      </c>
      <c r="C5299" s="876" t="s">
        <v>1635</v>
      </c>
      <c r="D5299" s="851">
        <v>881.63500099999999</v>
      </c>
    </row>
    <row r="5300" spans="2:4" x14ac:dyDescent="0.2">
      <c r="B5300" s="876">
        <v>6503</v>
      </c>
      <c r="C5300" s="876" t="s">
        <v>5909</v>
      </c>
      <c r="D5300" s="851">
        <v>914.64999399999999</v>
      </c>
    </row>
    <row r="5301" spans="2:4" x14ac:dyDescent="0.2">
      <c r="B5301" s="876">
        <v>6504</v>
      </c>
      <c r="C5301" s="876" t="s">
        <v>5910</v>
      </c>
      <c r="D5301" s="851">
        <v>893.77777800000001</v>
      </c>
    </row>
    <row r="5302" spans="2:4" x14ac:dyDescent="0.2">
      <c r="B5302" s="876">
        <v>6505</v>
      </c>
      <c r="C5302" s="876" t="s">
        <v>5911</v>
      </c>
      <c r="D5302" s="851">
        <v>920.62500799999998</v>
      </c>
    </row>
    <row r="5303" spans="2:4" x14ac:dyDescent="0.2">
      <c r="B5303" s="876">
        <v>6506</v>
      </c>
      <c r="C5303" s="876" t="s">
        <v>5912</v>
      </c>
      <c r="D5303" s="851">
        <v>893.78333499999997</v>
      </c>
    </row>
    <row r="5304" spans="2:4" x14ac:dyDescent="0.2">
      <c r="B5304" s="876">
        <v>6507</v>
      </c>
      <c r="C5304" s="876" t="s">
        <v>5913</v>
      </c>
      <c r="D5304" s="851">
        <v>895.89091399999995</v>
      </c>
    </row>
    <row r="5305" spans="2:4" x14ac:dyDescent="0.2">
      <c r="B5305" s="876">
        <v>6508</v>
      </c>
      <c r="C5305" s="876" t="s">
        <v>5914</v>
      </c>
      <c r="D5305" s="851">
        <v>902.64545799999996</v>
      </c>
    </row>
    <row r="5306" spans="2:4" x14ac:dyDescent="0.2">
      <c r="B5306" s="876">
        <v>6509</v>
      </c>
      <c r="C5306" s="876" t="s">
        <v>5915</v>
      </c>
      <c r="D5306" s="851">
        <v>898.54444699999999</v>
      </c>
    </row>
    <row r="5307" spans="2:4" x14ac:dyDescent="0.2">
      <c r="B5307" s="876">
        <v>6510</v>
      </c>
      <c r="C5307" s="876" t="s">
        <v>5916</v>
      </c>
      <c r="D5307" s="851">
        <v>894.39999399999999</v>
      </c>
    </row>
    <row r="5308" spans="2:4" x14ac:dyDescent="0.2">
      <c r="B5308" s="876">
        <v>6511</v>
      </c>
      <c r="C5308" s="876" t="s">
        <v>5917</v>
      </c>
      <c r="D5308" s="851">
        <v>884.59999900000003</v>
      </c>
    </row>
    <row r="5309" spans="2:4" x14ac:dyDescent="0.2">
      <c r="B5309" s="876">
        <v>6512</v>
      </c>
      <c r="C5309" s="876" t="s">
        <v>5918</v>
      </c>
      <c r="D5309" s="851">
        <v>858.46499900000003</v>
      </c>
    </row>
    <row r="5310" spans="2:4" x14ac:dyDescent="0.2">
      <c r="B5310" s="876">
        <v>6513</v>
      </c>
      <c r="C5310" s="876" t="s">
        <v>5919</v>
      </c>
      <c r="D5310" s="851">
        <v>817.70555300000001</v>
      </c>
    </row>
    <row r="5311" spans="2:4" x14ac:dyDescent="0.2">
      <c r="B5311" s="876">
        <v>6514</v>
      </c>
      <c r="C5311" s="876" t="s">
        <v>5920</v>
      </c>
      <c r="D5311" s="851">
        <v>806.38888499999996</v>
      </c>
    </row>
    <row r="5312" spans="2:4" x14ac:dyDescent="0.2">
      <c r="B5312" s="876">
        <v>6515</v>
      </c>
      <c r="C5312" s="876" t="s">
        <v>5921</v>
      </c>
      <c r="D5312" s="851">
        <v>909.87777400000004</v>
      </c>
    </row>
    <row r="5313" spans="2:4" x14ac:dyDescent="0.2">
      <c r="B5313" s="876">
        <v>6516</v>
      </c>
      <c r="C5313" s="876" t="s">
        <v>5922</v>
      </c>
      <c r="D5313" s="851">
        <v>893.20000300000004</v>
      </c>
    </row>
    <row r="5314" spans="2:4" x14ac:dyDescent="0.2">
      <c r="B5314" s="876">
        <v>6517</v>
      </c>
      <c r="C5314" s="876" t="s">
        <v>5923</v>
      </c>
      <c r="D5314" s="851">
        <v>873.53999599999997</v>
      </c>
    </row>
    <row r="5315" spans="2:4" x14ac:dyDescent="0.2">
      <c r="B5315" s="876">
        <v>6518</v>
      </c>
      <c r="C5315" s="876" t="s">
        <v>1739</v>
      </c>
      <c r="D5315" s="851">
        <v>856.02000299999997</v>
      </c>
    </row>
    <row r="5316" spans="2:4" x14ac:dyDescent="0.2">
      <c r="B5316" s="876">
        <v>6519</v>
      </c>
      <c r="C5316" s="876" t="s">
        <v>5924</v>
      </c>
      <c r="D5316" s="851">
        <v>847.04167199999995</v>
      </c>
    </row>
    <row r="5317" spans="2:4" x14ac:dyDescent="0.2">
      <c r="B5317" s="876">
        <v>6520</v>
      </c>
      <c r="C5317" s="876" t="s">
        <v>5925</v>
      </c>
      <c r="D5317" s="851">
        <v>823.76666999999998</v>
      </c>
    </row>
    <row r="5318" spans="2:4" x14ac:dyDescent="0.2">
      <c r="B5318" s="876">
        <v>6521</v>
      </c>
      <c r="C5318" s="876" t="s">
        <v>5926</v>
      </c>
      <c r="D5318" s="851">
        <v>813.88750500000003</v>
      </c>
    </row>
    <row r="5319" spans="2:4" x14ac:dyDescent="0.2">
      <c r="B5319" s="876">
        <v>6522</v>
      </c>
      <c r="C5319" s="876" t="s">
        <v>5927</v>
      </c>
      <c r="D5319" s="851">
        <v>837.79998799999998</v>
      </c>
    </row>
    <row r="5320" spans="2:4" x14ac:dyDescent="0.2">
      <c r="B5320" s="876">
        <v>6523</v>
      </c>
      <c r="C5320" s="876" t="s">
        <v>5928</v>
      </c>
      <c r="D5320" s="851">
        <v>830.82777199999998</v>
      </c>
    </row>
    <row r="5321" spans="2:4" x14ac:dyDescent="0.2">
      <c r="B5321" s="876">
        <v>6524</v>
      </c>
      <c r="C5321" s="876" t="s">
        <v>4944</v>
      </c>
      <c r="D5321" s="851">
        <v>748.588888</v>
      </c>
    </row>
    <row r="5322" spans="2:4" x14ac:dyDescent="0.2">
      <c r="B5322" s="876">
        <v>6525</v>
      </c>
      <c r="C5322" s="876" t="s">
        <v>5929</v>
      </c>
      <c r="D5322" s="851">
        <v>739.95881599999996</v>
      </c>
    </row>
    <row r="5323" spans="2:4" x14ac:dyDescent="0.2">
      <c r="B5323" s="876">
        <v>6526</v>
      </c>
      <c r="C5323" s="876" t="s">
        <v>5930</v>
      </c>
      <c r="D5323" s="851">
        <v>751.09999600000003</v>
      </c>
    </row>
    <row r="5324" spans="2:4" x14ac:dyDescent="0.2">
      <c r="B5324" s="876">
        <v>6527</v>
      </c>
      <c r="C5324" s="876" t="s">
        <v>5931</v>
      </c>
      <c r="D5324" s="851">
        <v>715.5</v>
      </c>
    </row>
    <row r="5325" spans="2:4" x14ac:dyDescent="0.2">
      <c r="B5325" s="876">
        <v>6528</v>
      </c>
      <c r="C5325" s="876" t="s">
        <v>5932</v>
      </c>
      <c r="D5325" s="851">
        <v>769.63478199999997</v>
      </c>
    </row>
    <row r="5326" spans="2:4" x14ac:dyDescent="0.2">
      <c r="B5326" s="876">
        <v>6529</v>
      </c>
      <c r="C5326" s="876" t="s">
        <v>5933</v>
      </c>
      <c r="D5326" s="851">
        <v>753.76250100000004</v>
      </c>
    </row>
    <row r="5327" spans="2:4" x14ac:dyDescent="0.2">
      <c r="B5327" s="876">
        <v>6530</v>
      </c>
      <c r="C5327" s="876" t="s">
        <v>5934</v>
      </c>
      <c r="D5327" s="851">
        <v>742.22941300000002</v>
      </c>
    </row>
    <row r="5328" spans="2:4" x14ac:dyDescent="0.2">
      <c r="B5328" s="876">
        <v>6531</v>
      </c>
      <c r="C5328" s="876" t="s">
        <v>5935</v>
      </c>
      <c r="D5328" s="851">
        <v>718.61249499999997</v>
      </c>
    </row>
    <row r="5329" spans="2:4" x14ac:dyDescent="0.2">
      <c r="B5329" s="876">
        <v>6532</v>
      </c>
      <c r="C5329" s="876" t="s">
        <v>5694</v>
      </c>
      <c r="D5329" s="851">
        <v>714.15625</v>
      </c>
    </row>
    <row r="5330" spans="2:4" x14ac:dyDescent="0.2">
      <c r="B5330" s="876">
        <v>6533</v>
      </c>
      <c r="C5330" s="876" t="s">
        <v>5936</v>
      </c>
      <c r="D5330" s="851">
        <v>732.57894699999997</v>
      </c>
    </row>
    <row r="5331" spans="2:4" x14ac:dyDescent="0.2">
      <c r="B5331" s="876">
        <v>6534</v>
      </c>
      <c r="C5331" s="876" t="s">
        <v>5937</v>
      </c>
      <c r="D5331" s="851">
        <v>733.89090799999997</v>
      </c>
    </row>
    <row r="5332" spans="2:4" x14ac:dyDescent="0.2">
      <c r="B5332" s="876">
        <v>6535</v>
      </c>
      <c r="C5332" s="876" t="s">
        <v>5938</v>
      </c>
      <c r="D5332" s="851">
        <v>724.14999399999999</v>
      </c>
    </row>
    <row r="5333" spans="2:4" x14ac:dyDescent="0.2">
      <c r="B5333" s="876">
        <v>6536</v>
      </c>
      <c r="C5333" s="876" t="s">
        <v>5939</v>
      </c>
      <c r="D5333" s="851">
        <v>733.37857499999996</v>
      </c>
    </row>
    <row r="5334" spans="2:4" x14ac:dyDescent="0.2">
      <c r="B5334" s="876">
        <v>6537</v>
      </c>
      <c r="C5334" s="876" t="s">
        <v>5940</v>
      </c>
      <c r="D5334" s="851">
        <v>730.85385799999995</v>
      </c>
    </row>
    <row r="5335" spans="2:4" x14ac:dyDescent="0.2">
      <c r="B5335" s="876">
        <v>6551</v>
      </c>
      <c r="C5335" s="876" t="s">
        <v>5941</v>
      </c>
      <c r="D5335" s="851">
        <v>767.28750600000001</v>
      </c>
    </row>
    <row r="5336" spans="2:4" x14ac:dyDescent="0.2">
      <c r="B5336" s="876">
        <v>6552</v>
      </c>
      <c r="C5336" s="876" t="s">
        <v>5942</v>
      </c>
      <c r="D5336" s="851">
        <v>746.27222400000005</v>
      </c>
    </row>
    <row r="5337" spans="2:4" x14ac:dyDescent="0.2">
      <c r="B5337" s="876">
        <v>6553</v>
      </c>
      <c r="C5337" s="876" t="s">
        <v>5943</v>
      </c>
      <c r="D5337" s="851">
        <v>752.41999499999997</v>
      </c>
    </row>
    <row r="5338" spans="2:4" x14ac:dyDescent="0.2">
      <c r="B5338" s="876">
        <v>6554</v>
      </c>
      <c r="C5338" s="876" t="s">
        <v>5944</v>
      </c>
      <c r="D5338" s="851">
        <v>746.52500199999997</v>
      </c>
    </row>
    <row r="5339" spans="2:4" x14ac:dyDescent="0.2">
      <c r="B5339" s="876">
        <v>6555</v>
      </c>
      <c r="C5339" s="876" t="s">
        <v>5945</v>
      </c>
      <c r="D5339" s="851">
        <v>741.53125</v>
      </c>
    </row>
    <row r="5340" spans="2:4" x14ac:dyDescent="0.2">
      <c r="B5340" s="876">
        <v>6556</v>
      </c>
      <c r="C5340" s="876" t="s">
        <v>5946</v>
      </c>
      <c r="D5340" s="851">
        <v>750.98181699999998</v>
      </c>
    </row>
    <row r="5341" spans="2:4" x14ac:dyDescent="0.2">
      <c r="B5341" s="876">
        <v>6557</v>
      </c>
      <c r="C5341" s="876" t="s">
        <v>5947</v>
      </c>
      <c r="D5341" s="851">
        <v>718.561106</v>
      </c>
    </row>
    <row r="5342" spans="2:4" x14ac:dyDescent="0.2">
      <c r="B5342" s="876">
        <v>6558</v>
      </c>
      <c r="C5342" s="876" t="s">
        <v>5948</v>
      </c>
      <c r="D5342" s="851">
        <v>709.85333300000002</v>
      </c>
    </row>
    <row r="5343" spans="2:4" x14ac:dyDescent="0.2">
      <c r="B5343" s="876">
        <v>6559</v>
      </c>
      <c r="C5343" s="876" t="s">
        <v>5949</v>
      </c>
      <c r="D5343" s="851">
        <v>728.77500899999995</v>
      </c>
    </row>
    <row r="5344" spans="2:4" x14ac:dyDescent="0.2">
      <c r="B5344" s="876">
        <v>6560</v>
      </c>
      <c r="C5344" s="876" t="s">
        <v>5950</v>
      </c>
      <c r="D5344" s="851">
        <v>727.67777799999999</v>
      </c>
    </row>
    <row r="5345" spans="2:4" x14ac:dyDescent="0.2">
      <c r="B5345" s="876">
        <v>6561</v>
      </c>
      <c r="C5345" s="876" t="s">
        <v>5951</v>
      </c>
      <c r="D5345" s="851">
        <v>744.52499399999999</v>
      </c>
    </row>
    <row r="5346" spans="2:4" x14ac:dyDescent="0.2">
      <c r="B5346" s="876">
        <v>6562</v>
      </c>
      <c r="C5346" s="876" t="s">
        <v>5952</v>
      </c>
      <c r="D5346" s="851">
        <v>755.28571399999998</v>
      </c>
    </row>
    <row r="5347" spans="2:4" x14ac:dyDescent="0.2">
      <c r="B5347" s="876">
        <v>6563</v>
      </c>
      <c r="C5347" s="876" t="s">
        <v>5953</v>
      </c>
      <c r="D5347" s="851">
        <v>733.06470400000001</v>
      </c>
    </row>
    <row r="5348" spans="2:4" x14ac:dyDescent="0.2">
      <c r="B5348" s="876">
        <v>6564</v>
      </c>
      <c r="C5348" s="876" t="s">
        <v>5954</v>
      </c>
      <c r="D5348" s="851">
        <v>766.822225</v>
      </c>
    </row>
    <row r="5349" spans="2:4" x14ac:dyDescent="0.2">
      <c r="B5349" s="876">
        <v>6565</v>
      </c>
      <c r="C5349" s="876" t="s">
        <v>5955</v>
      </c>
      <c r="D5349" s="851">
        <v>749.57691799999998</v>
      </c>
    </row>
    <row r="5350" spans="2:4" x14ac:dyDescent="0.2">
      <c r="B5350" s="876">
        <v>6566</v>
      </c>
      <c r="C5350" s="876" t="s">
        <v>5956</v>
      </c>
      <c r="D5350" s="851">
        <v>713.24736900000005</v>
      </c>
    </row>
    <row r="5351" spans="2:4" x14ac:dyDescent="0.2">
      <c r="B5351" s="876">
        <v>6567</v>
      </c>
      <c r="C5351" s="876" t="s">
        <v>5957</v>
      </c>
      <c r="D5351" s="851">
        <v>725.74737200000004</v>
      </c>
    </row>
    <row r="5352" spans="2:4" x14ac:dyDescent="0.2">
      <c r="B5352" s="876">
        <v>6568</v>
      </c>
      <c r="C5352" s="876" t="s">
        <v>5958</v>
      </c>
      <c r="D5352" s="851">
        <v>722.41999499999997</v>
      </c>
    </row>
    <row r="5353" spans="2:4" x14ac:dyDescent="0.2">
      <c r="B5353" s="876">
        <v>6569</v>
      </c>
      <c r="C5353" s="876" t="s">
        <v>5959</v>
      </c>
      <c r="D5353" s="851">
        <v>748.663635</v>
      </c>
    </row>
    <row r="5354" spans="2:4" x14ac:dyDescent="0.2">
      <c r="B5354" s="876">
        <v>6570</v>
      </c>
      <c r="C5354" s="876" t="s">
        <v>5960</v>
      </c>
      <c r="D5354" s="851">
        <v>723.67999299999997</v>
      </c>
    </row>
    <row r="5355" spans="2:4" x14ac:dyDescent="0.2">
      <c r="B5355" s="876">
        <v>6571</v>
      </c>
      <c r="C5355" s="876" t="s">
        <v>5961</v>
      </c>
      <c r="D5355" s="851">
        <v>747.42856300000005</v>
      </c>
    </row>
    <row r="5356" spans="2:4" x14ac:dyDescent="0.2">
      <c r="B5356" s="876">
        <v>6572</v>
      </c>
      <c r="C5356" s="876" t="s">
        <v>5962</v>
      </c>
      <c r="D5356" s="851">
        <v>711.25000299999999</v>
      </c>
    </row>
    <row r="5357" spans="2:4" x14ac:dyDescent="0.2">
      <c r="B5357" s="876">
        <v>6573</v>
      </c>
      <c r="C5357" s="876" t="s">
        <v>5963</v>
      </c>
      <c r="D5357" s="851">
        <v>714.46667500000001</v>
      </c>
    </row>
    <row r="5358" spans="2:4" x14ac:dyDescent="0.2">
      <c r="B5358" s="876">
        <v>6574</v>
      </c>
      <c r="C5358" s="876" t="s">
        <v>5964</v>
      </c>
      <c r="D5358" s="851">
        <v>695.65999799999997</v>
      </c>
    </row>
    <row r="5359" spans="2:4" x14ac:dyDescent="0.2">
      <c r="B5359" s="876">
        <v>6575</v>
      </c>
      <c r="C5359" s="876" t="s">
        <v>5965</v>
      </c>
      <c r="D5359" s="851">
        <v>708.69166600000005</v>
      </c>
    </row>
    <row r="5360" spans="2:4" x14ac:dyDescent="0.2">
      <c r="B5360" s="876">
        <v>6576</v>
      </c>
      <c r="C5360" s="876" t="s">
        <v>5966</v>
      </c>
      <c r="D5360" s="851">
        <v>733.97999300000004</v>
      </c>
    </row>
    <row r="5361" spans="2:4" x14ac:dyDescent="0.2">
      <c r="B5361" s="876">
        <v>6577</v>
      </c>
      <c r="C5361" s="876" t="s">
        <v>5967</v>
      </c>
      <c r="D5361" s="851">
        <v>730.56427900000006</v>
      </c>
    </row>
    <row r="5362" spans="2:4" x14ac:dyDescent="0.2">
      <c r="B5362" s="876">
        <v>6578</v>
      </c>
      <c r="C5362" s="876" t="s">
        <v>5968</v>
      </c>
      <c r="D5362" s="851">
        <v>723.31818699999997</v>
      </c>
    </row>
    <row r="5363" spans="2:4" x14ac:dyDescent="0.2">
      <c r="B5363" s="876">
        <v>6579</v>
      </c>
      <c r="C5363" s="876" t="s">
        <v>5969</v>
      </c>
      <c r="D5363" s="851">
        <v>763.44445099999996</v>
      </c>
    </row>
    <row r="5364" spans="2:4" x14ac:dyDescent="0.2">
      <c r="B5364" s="876">
        <v>6580</v>
      </c>
      <c r="C5364" s="876" t="s">
        <v>5970</v>
      </c>
      <c r="D5364" s="851">
        <v>759.26999499999999</v>
      </c>
    </row>
    <row r="5365" spans="2:4" x14ac:dyDescent="0.2">
      <c r="B5365" s="876">
        <v>6581</v>
      </c>
      <c r="C5365" s="876" t="s">
        <v>5971</v>
      </c>
      <c r="D5365" s="851">
        <v>730.259998</v>
      </c>
    </row>
    <row r="5366" spans="2:4" x14ac:dyDescent="0.2">
      <c r="B5366" s="876">
        <v>6582</v>
      </c>
      <c r="C5366" s="876" t="s">
        <v>5972</v>
      </c>
      <c r="D5366" s="851">
        <v>753.65000599999996</v>
      </c>
    </row>
    <row r="5367" spans="2:4" x14ac:dyDescent="0.2">
      <c r="B5367" s="876">
        <v>6583</v>
      </c>
      <c r="C5367" s="876" t="s">
        <v>5973</v>
      </c>
      <c r="D5367" s="851">
        <v>746.58749799999998</v>
      </c>
    </row>
    <row r="5368" spans="2:4" x14ac:dyDescent="0.2">
      <c r="B5368" s="876">
        <v>6584</v>
      </c>
      <c r="C5368" s="876" t="s">
        <v>5974</v>
      </c>
      <c r="D5368" s="851">
        <v>722.88181899999995</v>
      </c>
    </row>
    <row r="5369" spans="2:4" x14ac:dyDescent="0.2">
      <c r="B5369" s="876">
        <v>6585</v>
      </c>
      <c r="C5369" s="876" t="s">
        <v>5975</v>
      </c>
      <c r="D5369" s="851">
        <v>714.03332499999999</v>
      </c>
    </row>
    <row r="5370" spans="2:4" x14ac:dyDescent="0.2">
      <c r="B5370" s="876">
        <v>6586</v>
      </c>
      <c r="C5370" s="876" t="s">
        <v>5976</v>
      </c>
      <c r="D5370" s="851">
        <v>728.38888899999995</v>
      </c>
    </row>
    <row r="5371" spans="2:4" x14ac:dyDescent="0.2">
      <c r="B5371" s="876">
        <v>6587</v>
      </c>
      <c r="C5371" s="876" t="s">
        <v>5977</v>
      </c>
      <c r="D5371" s="851">
        <v>741.54782799999998</v>
      </c>
    </row>
    <row r="5372" spans="2:4" x14ac:dyDescent="0.2">
      <c r="B5372" s="876">
        <v>6588</v>
      </c>
      <c r="C5372" s="876" t="s">
        <v>5978</v>
      </c>
      <c r="D5372" s="851">
        <v>703.421426</v>
      </c>
    </row>
    <row r="5373" spans="2:4" x14ac:dyDescent="0.2">
      <c r="B5373" s="876">
        <v>6589</v>
      </c>
      <c r="C5373" s="876" t="s">
        <v>5979</v>
      </c>
      <c r="D5373" s="851">
        <v>715.65000399999997</v>
      </c>
    </row>
    <row r="5374" spans="2:4" x14ac:dyDescent="0.2">
      <c r="B5374" s="876">
        <v>6590</v>
      </c>
      <c r="C5374" s="876" t="s">
        <v>5980</v>
      </c>
      <c r="D5374" s="851">
        <v>694.64999899999998</v>
      </c>
    </row>
    <row r="5375" spans="2:4" x14ac:dyDescent="0.2">
      <c r="B5375" s="876">
        <v>6591</v>
      </c>
      <c r="C5375" s="876" t="s">
        <v>5981</v>
      </c>
      <c r="D5375" s="851">
        <v>694.62306599999999</v>
      </c>
    </row>
    <row r="5376" spans="2:4" x14ac:dyDescent="0.2">
      <c r="B5376" s="876">
        <v>6592</v>
      </c>
      <c r="C5376" s="876" t="s">
        <v>3442</v>
      </c>
      <c r="D5376" s="851">
        <v>693.94999900000005</v>
      </c>
    </row>
    <row r="5377" spans="2:4" x14ac:dyDescent="0.2">
      <c r="B5377" s="876">
        <v>6593</v>
      </c>
      <c r="C5377" s="876" t="s">
        <v>5982</v>
      </c>
      <c r="D5377" s="851">
        <v>678.44166600000005</v>
      </c>
    </row>
    <row r="5378" spans="2:4" x14ac:dyDescent="0.2">
      <c r="B5378" s="876">
        <v>6594</v>
      </c>
      <c r="C5378" s="876" t="s">
        <v>5983</v>
      </c>
      <c r="D5378" s="851">
        <v>674.39000199999998</v>
      </c>
    </row>
    <row r="5379" spans="2:4" x14ac:dyDescent="0.2">
      <c r="B5379" s="876">
        <v>6595</v>
      </c>
      <c r="C5379" s="876" t="s">
        <v>5984</v>
      </c>
      <c r="D5379" s="851">
        <v>724.39999799999998</v>
      </c>
    </row>
    <row r="5380" spans="2:4" x14ac:dyDescent="0.2">
      <c r="B5380" s="876">
        <v>6596</v>
      </c>
      <c r="C5380" s="876" t="s">
        <v>5985</v>
      </c>
      <c r="D5380" s="851">
        <v>676.40001400000006</v>
      </c>
    </row>
    <row r="5381" spans="2:4" x14ac:dyDescent="0.2">
      <c r="B5381" s="876">
        <v>6597</v>
      </c>
      <c r="C5381" s="876" t="s">
        <v>5986</v>
      </c>
      <c r="D5381" s="851">
        <v>676.67143899999996</v>
      </c>
    </row>
    <row r="5382" spans="2:4" x14ac:dyDescent="0.2">
      <c r="B5382" s="876">
        <v>6598</v>
      </c>
      <c r="C5382" s="876" t="s">
        <v>5987</v>
      </c>
      <c r="D5382" s="851">
        <v>733.85383999999999</v>
      </c>
    </row>
    <row r="5383" spans="2:4" x14ac:dyDescent="0.2">
      <c r="B5383" s="876">
        <v>6599</v>
      </c>
      <c r="C5383" s="876" t="s">
        <v>5988</v>
      </c>
      <c r="D5383" s="851">
        <v>705.38334099999997</v>
      </c>
    </row>
    <row r="5384" spans="2:4" x14ac:dyDescent="0.2">
      <c r="B5384" s="876">
        <v>6600</v>
      </c>
      <c r="C5384" s="876" t="s">
        <v>5989</v>
      </c>
      <c r="D5384" s="851">
        <v>740.5</v>
      </c>
    </row>
    <row r="5385" spans="2:4" x14ac:dyDescent="0.2">
      <c r="B5385" s="876">
        <v>6601</v>
      </c>
      <c r="C5385" s="876" t="s">
        <v>5825</v>
      </c>
      <c r="D5385" s="851">
        <v>710.71999500000004</v>
      </c>
    </row>
    <row r="5386" spans="2:4" x14ac:dyDescent="0.2">
      <c r="B5386" s="876">
        <v>6602</v>
      </c>
      <c r="C5386" s="876" t="s">
        <v>5990</v>
      </c>
      <c r="D5386" s="851">
        <v>688.31999499999995</v>
      </c>
    </row>
    <row r="5387" spans="2:4" x14ac:dyDescent="0.2">
      <c r="B5387" s="876">
        <v>6603</v>
      </c>
      <c r="C5387" s="876" t="s">
        <v>5991</v>
      </c>
      <c r="D5387" s="851">
        <v>703.04167199999995</v>
      </c>
    </row>
    <row r="5388" spans="2:4" x14ac:dyDescent="0.2">
      <c r="B5388" s="876">
        <v>6604</v>
      </c>
      <c r="C5388" s="876" t="s">
        <v>5713</v>
      </c>
      <c r="D5388" s="851">
        <v>750.71250899999995</v>
      </c>
    </row>
    <row r="5389" spans="2:4" x14ac:dyDescent="0.2">
      <c r="B5389" s="876">
        <v>6605</v>
      </c>
      <c r="C5389" s="876" t="s">
        <v>3141</v>
      </c>
      <c r="D5389" s="851">
        <v>729.57333200000005</v>
      </c>
    </row>
    <row r="5390" spans="2:4" x14ac:dyDescent="0.2">
      <c r="B5390" s="876">
        <v>6606</v>
      </c>
      <c r="C5390" s="876" t="s">
        <v>5992</v>
      </c>
      <c r="D5390" s="851">
        <v>750.46666800000003</v>
      </c>
    </row>
    <row r="5391" spans="2:4" x14ac:dyDescent="0.2">
      <c r="B5391" s="876">
        <v>6607</v>
      </c>
      <c r="C5391" s="876" t="s">
        <v>5993</v>
      </c>
      <c r="D5391" s="851">
        <v>728.11538900000005</v>
      </c>
    </row>
    <row r="5392" spans="2:4" x14ac:dyDescent="0.2">
      <c r="B5392" s="876">
        <v>6608</v>
      </c>
      <c r="C5392" s="876" t="s">
        <v>5994</v>
      </c>
      <c r="D5392" s="851">
        <v>743.75</v>
      </c>
    </row>
    <row r="5393" spans="2:4" x14ac:dyDescent="0.2">
      <c r="B5393" s="876">
        <v>6609</v>
      </c>
      <c r="C5393" s="876" t="s">
        <v>5995</v>
      </c>
      <c r="D5393" s="851">
        <v>740.37999300000001</v>
      </c>
    </row>
    <row r="5394" spans="2:4" x14ac:dyDescent="0.2">
      <c r="B5394" s="876">
        <v>6610</v>
      </c>
      <c r="C5394" s="876" t="s">
        <v>5996</v>
      </c>
      <c r="D5394" s="851">
        <v>684.14001499999995</v>
      </c>
    </row>
    <row r="5395" spans="2:4" x14ac:dyDescent="0.2">
      <c r="B5395" s="876">
        <v>6611</v>
      </c>
      <c r="C5395" s="876" t="s">
        <v>3606</v>
      </c>
      <c r="D5395" s="851">
        <v>717.67142999999999</v>
      </c>
    </row>
    <row r="5396" spans="2:4" x14ac:dyDescent="0.2">
      <c r="B5396" s="876">
        <v>6612</v>
      </c>
      <c r="C5396" s="876" t="s">
        <v>5997</v>
      </c>
      <c r="D5396" s="851">
        <v>660.15833499999997</v>
      </c>
    </row>
    <row r="5397" spans="2:4" x14ac:dyDescent="0.2">
      <c r="B5397" s="876">
        <v>6613</v>
      </c>
      <c r="C5397" s="876" t="s">
        <v>5998</v>
      </c>
      <c r="D5397" s="851">
        <v>733.228568</v>
      </c>
    </row>
    <row r="5398" spans="2:4" x14ac:dyDescent="0.2">
      <c r="B5398" s="876">
        <v>6614</v>
      </c>
      <c r="C5398" s="876" t="s">
        <v>5999</v>
      </c>
      <c r="D5398" s="851">
        <v>727.13749700000005</v>
      </c>
    </row>
    <row r="5399" spans="2:4" x14ac:dyDescent="0.2">
      <c r="B5399" s="876">
        <v>6615</v>
      </c>
      <c r="C5399" s="876" t="s">
        <v>4240</v>
      </c>
      <c r="D5399" s="851">
        <v>713.54544899999996</v>
      </c>
    </row>
    <row r="5400" spans="2:4" x14ac:dyDescent="0.2">
      <c r="B5400" s="876">
        <v>6616</v>
      </c>
      <c r="C5400" s="876" t="s">
        <v>6000</v>
      </c>
      <c r="D5400" s="851">
        <v>694.88000099999999</v>
      </c>
    </row>
    <row r="5401" spans="2:4" x14ac:dyDescent="0.2">
      <c r="B5401" s="876">
        <v>6617</v>
      </c>
      <c r="C5401" s="876" t="s">
        <v>329</v>
      </c>
      <c r="D5401" s="851">
        <v>708.48461899999995</v>
      </c>
    </row>
    <row r="5402" spans="2:4" x14ac:dyDescent="0.2">
      <c r="B5402" s="876">
        <v>6618</v>
      </c>
      <c r="C5402" s="876" t="s">
        <v>6001</v>
      </c>
      <c r="D5402" s="851">
        <v>791.44999700000005</v>
      </c>
    </row>
    <row r="5403" spans="2:4" x14ac:dyDescent="0.2">
      <c r="B5403" s="876">
        <v>6619</v>
      </c>
      <c r="C5403" s="876" t="s">
        <v>6002</v>
      </c>
      <c r="D5403" s="851">
        <v>786.89998400000002</v>
      </c>
    </row>
    <row r="5404" spans="2:4" x14ac:dyDescent="0.2">
      <c r="B5404" s="876">
        <v>6620</v>
      </c>
      <c r="C5404" s="876" t="s">
        <v>1943</v>
      </c>
      <c r="D5404" s="851">
        <v>762.600009</v>
      </c>
    </row>
    <row r="5405" spans="2:4" x14ac:dyDescent="0.2">
      <c r="B5405" s="876">
        <v>6621</v>
      </c>
      <c r="C5405" s="876" t="s">
        <v>5496</v>
      </c>
      <c r="D5405" s="851">
        <v>754.899991</v>
      </c>
    </row>
    <row r="5406" spans="2:4" x14ac:dyDescent="0.2">
      <c r="B5406" s="876">
        <v>6622</v>
      </c>
      <c r="C5406" s="876" t="s">
        <v>6003</v>
      </c>
      <c r="D5406" s="851">
        <v>777.16666699999996</v>
      </c>
    </row>
    <row r="5407" spans="2:4" x14ac:dyDescent="0.2">
      <c r="B5407" s="876">
        <v>6623</v>
      </c>
      <c r="C5407" s="876" t="s">
        <v>6004</v>
      </c>
      <c r="D5407" s="851">
        <v>806.83749399999999</v>
      </c>
    </row>
    <row r="5408" spans="2:4" x14ac:dyDescent="0.2">
      <c r="B5408" s="876">
        <v>6624</v>
      </c>
      <c r="C5408" s="876" t="s">
        <v>6005</v>
      </c>
      <c r="D5408" s="851">
        <v>797.42666799999995</v>
      </c>
    </row>
    <row r="5409" spans="2:4" x14ac:dyDescent="0.2">
      <c r="B5409" s="876">
        <v>6625</v>
      </c>
      <c r="C5409" s="876" t="s">
        <v>6006</v>
      </c>
      <c r="D5409" s="851">
        <v>788.14736800000003</v>
      </c>
    </row>
    <row r="5410" spans="2:4" x14ac:dyDescent="0.2">
      <c r="B5410" s="876">
        <v>6626</v>
      </c>
      <c r="C5410" s="876" t="s">
        <v>6007</v>
      </c>
      <c r="D5410" s="851">
        <v>756.39999799999998</v>
      </c>
    </row>
    <row r="5411" spans="2:4" x14ac:dyDescent="0.2">
      <c r="B5411" s="876">
        <v>6627</v>
      </c>
      <c r="C5411" s="876" t="s">
        <v>6008</v>
      </c>
      <c r="D5411" s="851">
        <v>759.27499599999999</v>
      </c>
    </row>
    <row r="5412" spans="2:4" x14ac:dyDescent="0.2">
      <c r="B5412" s="876">
        <v>6628</v>
      </c>
      <c r="C5412" s="876" t="s">
        <v>6009</v>
      </c>
      <c r="D5412" s="851">
        <v>767.16999499999997</v>
      </c>
    </row>
    <row r="5413" spans="2:4" x14ac:dyDescent="0.2">
      <c r="B5413" s="876">
        <v>6629</v>
      </c>
      <c r="C5413" s="876" t="s">
        <v>6010</v>
      </c>
      <c r="D5413" s="851">
        <v>756.97500600000001</v>
      </c>
    </row>
    <row r="5414" spans="2:4" x14ac:dyDescent="0.2">
      <c r="B5414" s="876">
        <v>6630</v>
      </c>
      <c r="C5414" s="876" t="s">
        <v>6011</v>
      </c>
      <c r="D5414" s="851">
        <v>776.31817599999999</v>
      </c>
    </row>
    <row r="5415" spans="2:4" x14ac:dyDescent="0.2">
      <c r="B5415" s="876">
        <v>6631</v>
      </c>
      <c r="C5415" s="876" t="s">
        <v>6012</v>
      </c>
      <c r="D5415" s="851">
        <v>786.67500299999995</v>
      </c>
    </row>
    <row r="5416" spans="2:4" x14ac:dyDescent="0.2">
      <c r="B5416" s="876">
        <v>6632</v>
      </c>
      <c r="C5416" s="876" t="s">
        <v>2737</v>
      </c>
      <c r="D5416" s="851">
        <v>807.71176000000003</v>
      </c>
    </row>
    <row r="5417" spans="2:4" x14ac:dyDescent="0.2">
      <c r="B5417" s="876">
        <v>6633</v>
      </c>
      <c r="C5417" s="876" t="s">
        <v>6013</v>
      </c>
      <c r="D5417" s="851">
        <v>799.740002</v>
      </c>
    </row>
    <row r="5418" spans="2:4" x14ac:dyDescent="0.2">
      <c r="B5418" s="876">
        <v>6634</v>
      </c>
      <c r="C5418" s="876" t="s">
        <v>6014</v>
      </c>
      <c r="D5418" s="851">
        <v>826</v>
      </c>
    </row>
    <row r="5419" spans="2:4" x14ac:dyDescent="0.2">
      <c r="B5419" s="876">
        <v>6635</v>
      </c>
      <c r="C5419" s="876" t="s">
        <v>6015</v>
      </c>
      <c r="D5419" s="851">
        <v>673.64000199999998</v>
      </c>
    </row>
    <row r="5420" spans="2:4" x14ac:dyDescent="0.2">
      <c r="B5420" s="876">
        <v>6636</v>
      </c>
      <c r="C5420" s="876" t="s">
        <v>6016</v>
      </c>
      <c r="D5420" s="851">
        <v>673.40002400000003</v>
      </c>
    </row>
    <row r="5421" spans="2:4" x14ac:dyDescent="0.2">
      <c r="B5421" s="876">
        <v>6637</v>
      </c>
      <c r="C5421" s="876" t="s">
        <v>6017</v>
      </c>
      <c r="D5421" s="851">
        <v>683.97999300000004</v>
      </c>
    </row>
    <row r="5422" spans="2:4" x14ac:dyDescent="0.2">
      <c r="B5422" s="876">
        <v>6638</v>
      </c>
      <c r="C5422" s="876" t="s">
        <v>6018</v>
      </c>
      <c r="D5422" s="851">
        <v>753.71428600000002</v>
      </c>
    </row>
    <row r="5423" spans="2:4" x14ac:dyDescent="0.2">
      <c r="B5423" s="876">
        <v>6639</v>
      </c>
      <c r="C5423" s="876" t="s">
        <v>6019</v>
      </c>
      <c r="D5423" s="851">
        <v>742.35000600000001</v>
      </c>
    </row>
    <row r="5424" spans="2:4" x14ac:dyDescent="0.2">
      <c r="B5424" s="876">
        <v>6640</v>
      </c>
      <c r="C5424" s="876" t="s">
        <v>6020</v>
      </c>
      <c r="D5424" s="851">
        <v>756.44166600000005</v>
      </c>
    </row>
    <row r="5425" spans="2:4" x14ac:dyDescent="0.2">
      <c r="B5425" s="876">
        <v>6641</v>
      </c>
      <c r="C5425" s="876" t="s">
        <v>6021</v>
      </c>
      <c r="D5425" s="851">
        <v>802.64615600000002</v>
      </c>
    </row>
    <row r="5426" spans="2:4" x14ac:dyDescent="0.2">
      <c r="B5426" s="876">
        <v>6642</v>
      </c>
      <c r="C5426" s="876" t="s">
        <v>4208</v>
      </c>
      <c r="D5426" s="851">
        <v>781.28183300000001</v>
      </c>
    </row>
    <row r="5427" spans="2:4" x14ac:dyDescent="0.2">
      <c r="B5427" s="876">
        <v>6643</v>
      </c>
      <c r="C5427" s="876" t="s">
        <v>4927</v>
      </c>
      <c r="D5427" s="851">
        <v>777.80909299999996</v>
      </c>
    </row>
    <row r="5428" spans="2:4" x14ac:dyDescent="0.2">
      <c r="B5428" s="876">
        <v>6644</v>
      </c>
      <c r="C5428" s="876" t="s">
        <v>5875</v>
      </c>
      <c r="D5428" s="851">
        <v>783.35554999999999</v>
      </c>
    </row>
    <row r="5429" spans="2:4" x14ac:dyDescent="0.2">
      <c r="B5429" s="876">
        <v>6645</v>
      </c>
      <c r="C5429" s="876" t="s">
        <v>6022</v>
      </c>
      <c r="D5429" s="851">
        <v>786.88888899999995</v>
      </c>
    </row>
    <row r="5430" spans="2:4" x14ac:dyDescent="0.2">
      <c r="B5430" s="876">
        <v>6646</v>
      </c>
      <c r="C5430" s="876" t="s">
        <v>6023</v>
      </c>
      <c r="D5430" s="851">
        <v>798.13750500000003</v>
      </c>
    </row>
    <row r="5431" spans="2:4" x14ac:dyDescent="0.2">
      <c r="B5431" s="876">
        <v>6647</v>
      </c>
      <c r="C5431" s="876" t="s">
        <v>6024</v>
      </c>
      <c r="D5431" s="851">
        <v>808.56924200000003</v>
      </c>
    </row>
    <row r="5432" spans="2:4" x14ac:dyDescent="0.2">
      <c r="B5432" s="876">
        <v>6648</v>
      </c>
      <c r="C5432" s="876" t="s">
        <v>6025</v>
      </c>
      <c r="D5432" s="851">
        <v>802.83749399999999</v>
      </c>
    </row>
    <row r="5433" spans="2:4" x14ac:dyDescent="0.2">
      <c r="B5433" s="876">
        <v>6649</v>
      </c>
      <c r="C5433" s="876" t="s">
        <v>6026</v>
      </c>
      <c r="D5433" s="851">
        <v>794.59997599999997</v>
      </c>
    </row>
    <row r="5434" spans="2:4" x14ac:dyDescent="0.2">
      <c r="B5434" s="876">
        <v>6650</v>
      </c>
      <c r="C5434" s="876" t="s">
        <v>6027</v>
      </c>
      <c r="D5434" s="851">
        <v>786.31111699999997</v>
      </c>
    </row>
    <row r="5435" spans="2:4" x14ac:dyDescent="0.2">
      <c r="B5435" s="876">
        <v>6651</v>
      </c>
      <c r="C5435" s="876" t="s">
        <v>6028</v>
      </c>
      <c r="D5435" s="851">
        <v>791.389996</v>
      </c>
    </row>
    <row r="5436" spans="2:4" x14ac:dyDescent="0.2">
      <c r="B5436" s="876">
        <v>6652</v>
      </c>
      <c r="C5436" s="876" t="s">
        <v>6029</v>
      </c>
      <c r="D5436" s="851">
        <v>787.48461899999995</v>
      </c>
    </row>
    <row r="5437" spans="2:4" x14ac:dyDescent="0.2">
      <c r="B5437" s="876">
        <v>6653</v>
      </c>
      <c r="C5437" s="876" t="s">
        <v>6030</v>
      </c>
      <c r="D5437" s="851">
        <v>794.29999499999997</v>
      </c>
    </row>
    <row r="5438" spans="2:4" x14ac:dyDescent="0.2">
      <c r="B5438" s="876">
        <v>6654</v>
      </c>
      <c r="C5438" s="876" t="s">
        <v>6031</v>
      </c>
      <c r="D5438" s="851">
        <v>784.246667</v>
      </c>
    </row>
    <row r="5439" spans="2:4" x14ac:dyDescent="0.2">
      <c r="B5439" s="876">
        <v>6655</v>
      </c>
      <c r="C5439" s="876" t="s">
        <v>6032</v>
      </c>
      <c r="D5439" s="851">
        <v>777.58823900000004</v>
      </c>
    </row>
    <row r="5440" spans="2:4" x14ac:dyDescent="0.2">
      <c r="B5440" s="876">
        <v>6656</v>
      </c>
      <c r="C5440" s="876" t="s">
        <v>6033</v>
      </c>
      <c r="D5440" s="851">
        <v>764.06667100000004</v>
      </c>
    </row>
    <row r="5441" spans="2:4" x14ac:dyDescent="0.2">
      <c r="B5441" s="876">
        <v>6657</v>
      </c>
      <c r="C5441" s="876" t="s">
        <v>1828</v>
      </c>
      <c r="D5441" s="851">
        <v>788.79523600000005</v>
      </c>
    </row>
    <row r="5442" spans="2:4" x14ac:dyDescent="0.2">
      <c r="B5442" s="876">
        <v>6658</v>
      </c>
      <c r="C5442" s="876" t="s">
        <v>4890</v>
      </c>
      <c r="D5442" s="851">
        <v>781.99090000000001</v>
      </c>
    </row>
    <row r="5443" spans="2:4" x14ac:dyDescent="0.2">
      <c r="B5443" s="876">
        <v>6659</v>
      </c>
      <c r="C5443" s="876" t="s">
        <v>6034</v>
      </c>
      <c r="D5443" s="851">
        <v>771.41999499999997</v>
      </c>
    </row>
    <row r="5444" spans="2:4" x14ac:dyDescent="0.2">
      <c r="B5444" s="876">
        <v>6660</v>
      </c>
      <c r="C5444" s="876" t="s">
        <v>6035</v>
      </c>
      <c r="D5444" s="851">
        <v>744.43332899999996</v>
      </c>
    </row>
    <row r="5445" spans="2:4" x14ac:dyDescent="0.2">
      <c r="B5445" s="876">
        <v>6661</v>
      </c>
      <c r="C5445" s="876" t="s">
        <v>6036</v>
      </c>
      <c r="D5445" s="851">
        <v>778.14546299999995</v>
      </c>
    </row>
    <row r="5446" spans="2:4" x14ac:dyDescent="0.2">
      <c r="B5446" s="876">
        <v>6662</v>
      </c>
      <c r="C5446" s="876" t="s">
        <v>6037</v>
      </c>
      <c r="D5446" s="851">
        <v>763.26363900000001</v>
      </c>
    </row>
    <row r="5447" spans="2:4" x14ac:dyDescent="0.2">
      <c r="B5447" s="876">
        <v>6663</v>
      </c>
      <c r="C5447" s="876" t="s">
        <v>5820</v>
      </c>
      <c r="D5447" s="851">
        <v>777.99999300000002</v>
      </c>
    </row>
    <row r="5448" spans="2:4" x14ac:dyDescent="0.2">
      <c r="B5448" s="876">
        <v>6664</v>
      </c>
      <c r="C5448" s="876" t="s">
        <v>6038</v>
      </c>
      <c r="D5448" s="851">
        <v>791.35555999999997</v>
      </c>
    </row>
    <row r="5449" spans="2:4" x14ac:dyDescent="0.2">
      <c r="B5449" s="876">
        <v>6665</v>
      </c>
      <c r="C5449" s="876" t="s">
        <v>3590</v>
      </c>
      <c r="D5449" s="851">
        <v>789.62499500000001</v>
      </c>
    </row>
    <row r="5450" spans="2:4" x14ac:dyDescent="0.2">
      <c r="B5450" s="876">
        <v>6666</v>
      </c>
      <c r="C5450" s="876" t="s">
        <v>6039</v>
      </c>
      <c r="D5450" s="851">
        <v>795.20001200000002</v>
      </c>
    </row>
    <row r="5451" spans="2:4" x14ac:dyDescent="0.2">
      <c r="B5451" s="876">
        <v>6667</v>
      </c>
      <c r="C5451" s="876" t="s">
        <v>6040</v>
      </c>
      <c r="D5451" s="851">
        <v>794.46250199999997</v>
      </c>
    </row>
    <row r="5452" spans="2:4" x14ac:dyDescent="0.2">
      <c r="B5452" s="876">
        <v>6668</v>
      </c>
      <c r="C5452" s="876" t="s">
        <v>6041</v>
      </c>
      <c r="D5452" s="851">
        <v>793.87500399999999</v>
      </c>
    </row>
    <row r="5453" spans="2:4" x14ac:dyDescent="0.2">
      <c r="B5453" s="876">
        <v>6669</v>
      </c>
      <c r="C5453" s="876" t="s">
        <v>6042</v>
      </c>
      <c r="D5453" s="851">
        <v>784.96666500000003</v>
      </c>
    </row>
    <row r="5454" spans="2:4" x14ac:dyDescent="0.2">
      <c r="B5454" s="876">
        <v>6670</v>
      </c>
      <c r="C5454" s="876" t="s">
        <v>6043</v>
      </c>
      <c r="D5454" s="851">
        <v>779.70001200000002</v>
      </c>
    </row>
    <row r="5455" spans="2:4" x14ac:dyDescent="0.2">
      <c r="B5455" s="876">
        <v>6671</v>
      </c>
      <c r="C5455" s="876" t="s">
        <v>6044</v>
      </c>
      <c r="D5455" s="851">
        <v>808.68889000000001</v>
      </c>
    </row>
    <row r="5456" spans="2:4" x14ac:dyDescent="0.2">
      <c r="B5456" s="876">
        <v>6672</v>
      </c>
      <c r="C5456" s="876" t="s">
        <v>6045</v>
      </c>
      <c r="D5456" s="851">
        <v>784.02777800000001</v>
      </c>
    </row>
    <row r="5457" spans="2:4" x14ac:dyDescent="0.2">
      <c r="B5457" s="876">
        <v>6673</v>
      </c>
      <c r="C5457" s="876" t="s">
        <v>6046</v>
      </c>
      <c r="D5457" s="851">
        <v>762.04444699999999</v>
      </c>
    </row>
    <row r="5458" spans="2:4" x14ac:dyDescent="0.2">
      <c r="B5458" s="876">
        <v>6674</v>
      </c>
      <c r="C5458" s="876" t="s">
        <v>6047</v>
      </c>
      <c r="D5458" s="851">
        <v>779.116669</v>
      </c>
    </row>
    <row r="5459" spans="2:4" x14ac:dyDescent="0.2">
      <c r="B5459" s="876">
        <v>6675</v>
      </c>
      <c r="C5459" s="876" t="s">
        <v>3963</v>
      </c>
      <c r="D5459" s="851">
        <v>778.46667500000001</v>
      </c>
    </row>
    <row r="5460" spans="2:4" x14ac:dyDescent="0.2">
      <c r="B5460" s="876">
        <v>6676</v>
      </c>
      <c r="C5460" s="876" t="s">
        <v>6048</v>
      </c>
      <c r="D5460" s="851">
        <v>789.77333599999997</v>
      </c>
    </row>
    <row r="5461" spans="2:4" x14ac:dyDescent="0.2">
      <c r="B5461" s="876">
        <v>6677</v>
      </c>
      <c r="C5461" s="876" t="s">
        <v>6049</v>
      </c>
      <c r="D5461" s="851">
        <v>761.19999700000005</v>
      </c>
    </row>
    <row r="5462" spans="2:4" x14ac:dyDescent="0.2">
      <c r="B5462" s="876">
        <v>6678</v>
      </c>
      <c r="C5462" s="876" t="s">
        <v>6050</v>
      </c>
      <c r="D5462" s="851">
        <v>768.29999499999997</v>
      </c>
    </row>
    <row r="5463" spans="2:4" x14ac:dyDescent="0.2">
      <c r="B5463" s="876">
        <v>6701</v>
      </c>
      <c r="C5463" s="876" t="s">
        <v>6051</v>
      </c>
      <c r="D5463" s="851">
        <v>725.480951</v>
      </c>
    </row>
    <row r="5464" spans="2:4" x14ac:dyDescent="0.2">
      <c r="B5464" s="876">
        <v>6702</v>
      </c>
      <c r="C5464" s="876" t="s">
        <v>6052</v>
      </c>
      <c r="D5464" s="851">
        <v>746.911112</v>
      </c>
    </row>
    <row r="5465" spans="2:4" x14ac:dyDescent="0.2">
      <c r="B5465" s="876">
        <v>6703</v>
      </c>
      <c r="C5465" s="876" t="s">
        <v>6053</v>
      </c>
      <c r="D5465" s="851">
        <v>728.16666699999996</v>
      </c>
    </row>
    <row r="5466" spans="2:4" x14ac:dyDescent="0.2">
      <c r="B5466" s="876">
        <v>6704</v>
      </c>
      <c r="C5466" s="876" t="s">
        <v>1135</v>
      </c>
      <c r="D5466" s="851">
        <v>701.94286199999999</v>
      </c>
    </row>
    <row r="5467" spans="2:4" x14ac:dyDescent="0.2">
      <c r="B5467" s="876">
        <v>6705</v>
      </c>
      <c r="C5467" s="876" t="s">
        <v>6054</v>
      </c>
      <c r="D5467" s="851">
        <v>713.46665399999995</v>
      </c>
    </row>
    <row r="5468" spans="2:4" x14ac:dyDescent="0.2">
      <c r="B5468" s="876">
        <v>6706</v>
      </c>
      <c r="C5468" s="876" t="s">
        <v>6055</v>
      </c>
      <c r="D5468" s="851">
        <v>679.759998</v>
      </c>
    </row>
    <row r="5469" spans="2:4" x14ac:dyDescent="0.2">
      <c r="B5469" s="876">
        <v>6707</v>
      </c>
      <c r="C5469" s="876" t="s">
        <v>6056</v>
      </c>
      <c r="D5469" s="851">
        <v>681.21667100000002</v>
      </c>
    </row>
    <row r="5470" spans="2:4" x14ac:dyDescent="0.2">
      <c r="B5470" s="876">
        <v>6708</v>
      </c>
      <c r="C5470" s="876" t="s">
        <v>6057</v>
      </c>
      <c r="D5470" s="851">
        <v>631.15000899999995</v>
      </c>
    </row>
    <row r="5471" spans="2:4" x14ac:dyDescent="0.2">
      <c r="B5471" s="876">
        <v>6709</v>
      </c>
      <c r="C5471" s="876" t="s">
        <v>6058</v>
      </c>
      <c r="D5471" s="851">
        <v>674.59999100000005</v>
      </c>
    </row>
    <row r="5472" spans="2:4" x14ac:dyDescent="0.2">
      <c r="B5472" s="876">
        <v>6710</v>
      </c>
      <c r="C5472" s="876" t="s">
        <v>6059</v>
      </c>
      <c r="D5472" s="851">
        <v>663.54998799999998</v>
      </c>
    </row>
    <row r="5473" spans="2:4" x14ac:dyDescent="0.2">
      <c r="B5473" s="876">
        <v>6711</v>
      </c>
      <c r="C5473" s="876" t="s">
        <v>6060</v>
      </c>
      <c r="D5473" s="851">
        <v>675.68572099999994</v>
      </c>
    </row>
    <row r="5474" spans="2:4" x14ac:dyDescent="0.2">
      <c r="B5474" s="876">
        <v>6712</v>
      </c>
      <c r="C5474" s="876" t="s">
        <v>6061</v>
      </c>
      <c r="D5474" s="851">
        <v>666.24444600000004</v>
      </c>
    </row>
    <row r="5475" spans="2:4" x14ac:dyDescent="0.2">
      <c r="B5475" s="876">
        <v>6713</v>
      </c>
      <c r="C5475" s="876" t="s">
        <v>3620</v>
      </c>
      <c r="D5475" s="851">
        <v>699.18000500000005</v>
      </c>
    </row>
    <row r="5476" spans="2:4" x14ac:dyDescent="0.2">
      <c r="B5476" s="876">
        <v>6714</v>
      </c>
      <c r="C5476" s="876" t="s">
        <v>6062</v>
      </c>
      <c r="D5476" s="851">
        <v>678.95001200000002</v>
      </c>
    </row>
    <row r="5477" spans="2:4" x14ac:dyDescent="0.2">
      <c r="B5477" s="876">
        <v>6715</v>
      </c>
      <c r="C5477" s="876" t="s">
        <v>6063</v>
      </c>
      <c r="D5477" s="851">
        <v>639.66665599999999</v>
      </c>
    </row>
    <row r="5478" spans="2:4" x14ac:dyDescent="0.2">
      <c r="B5478" s="876">
        <v>6716</v>
      </c>
      <c r="C5478" s="876" t="s">
        <v>6064</v>
      </c>
      <c r="D5478" s="851">
        <v>643.21667000000002</v>
      </c>
    </row>
    <row r="5479" spans="2:4" x14ac:dyDescent="0.2">
      <c r="B5479" s="876">
        <v>6717</v>
      </c>
      <c r="C5479" s="876" t="s">
        <v>6065</v>
      </c>
      <c r="D5479" s="851">
        <v>617.44999199999995</v>
      </c>
    </row>
    <row r="5480" spans="2:4" x14ac:dyDescent="0.2">
      <c r="B5480" s="876">
        <v>6718</v>
      </c>
      <c r="C5480" s="876" t="s">
        <v>3641</v>
      </c>
      <c r="D5480" s="851">
        <v>622.95999800000004</v>
      </c>
    </row>
    <row r="5481" spans="2:4" x14ac:dyDescent="0.2">
      <c r="B5481" s="876">
        <v>6719</v>
      </c>
      <c r="C5481" s="876" t="s">
        <v>6066</v>
      </c>
      <c r="D5481" s="851">
        <v>644.70832800000005</v>
      </c>
    </row>
    <row r="5482" spans="2:4" x14ac:dyDescent="0.2">
      <c r="B5482" s="876">
        <v>6720</v>
      </c>
      <c r="C5482" s="876" t="s">
        <v>6067</v>
      </c>
      <c r="D5482" s="851">
        <v>669.58000500000003</v>
      </c>
    </row>
    <row r="5483" spans="2:4" x14ac:dyDescent="0.2">
      <c r="B5483" s="876">
        <v>6721</v>
      </c>
      <c r="C5483" s="876" t="s">
        <v>6068</v>
      </c>
      <c r="D5483" s="851">
        <v>641.77692100000002</v>
      </c>
    </row>
    <row r="5484" spans="2:4" x14ac:dyDescent="0.2">
      <c r="B5484" s="876">
        <v>6722</v>
      </c>
      <c r="C5484" s="876" t="s">
        <v>6069</v>
      </c>
      <c r="D5484" s="851">
        <v>607.14284799999996</v>
      </c>
    </row>
    <row r="5485" spans="2:4" x14ac:dyDescent="0.2">
      <c r="B5485" s="876">
        <v>6723</v>
      </c>
      <c r="C5485" s="876" t="s">
        <v>6070</v>
      </c>
      <c r="D5485" s="851">
        <v>603.91428900000005</v>
      </c>
    </row>
    <row r="5486" spans="2:4" x14ac:dyDescent="0.2">
      <c r="B5486" s="876">
        <v>6724</v>
      </c>
      <c r="C5486" s="876" t="s">
        <v>2059</v>
      </c>
      <c r="D5486" s="851">
        <v>609.37500799999998</v>
      </c>
    </row>
    <row r="5487" spans="2:4" x14ac:dyDescent="0.2">
      <c r="B5487" s="876">
        <v>6725</v>
      </c>
      <c r="C5487" s="876" t="s">
        <v>6071</v>
      </c>
      <c r="D5487" s="851">
        <v>698.93332899999996</v>
      </c>
    </row>
    <row r="5488" spans="2:4" x14ac:dyDescent="0.2">
      <c r="B5488" s="876">
        <v>6726</v>
      </c>
      <c r="C5488" s="876" t="s">
        <v>6072</v>
      </c>
      <c r="D5488" s="851">
        <v>672.05556200000001</v>
      </c>
    </row>
    <row r="5489" spans="2:4" x14ac:dyDescent="0.2">
      <c r="B5489" s="876">
        <v>6727</v>
      </c>
      <c r="C5489" s="876" t="s">
        <v>6073</v>
      </c>
      <c r="D5489" s="851">
        <v>661.41427999999996</v>
      </c>
    </row>
    <row r="5490" spans="2:4" x14ac:dyDescent="0.2">
      <c r="B5490" s="876">
        <v>6728</v>
      </c>
      <c r="C5490" s="876" t="s">
        <v>6074</v>
      </c>
      <c r="D5490" s="851">
        <v>639.28571399999998</v>
      </c>
    </row>
    <row r="5491" spans="2:4" x14ac:dyDescent="0.2">
      <c r="B5491" s="876">
        <v>6729</v>
      </c>
      <c r="C5491" s="876" t="s">
        <v>6075</v>
      </c>
      <c r="D5491" s="851">
        <v>652.73332700000003</v>
      </c>
    </row>
    <row r="5492" spans="2:4" x14ac:dyDescent="0.2">
      <c r="B5492" s="876">
        <v>6730</v>
      </c>
      <c r="C5492" s="876" t="s">
        <v>6076</v>
      </c>
      <c r="D5492" s="851">
        <v>632.41999499999997</v>
      </c>
    </row>
    <row r="5493" spans="2:4" x14ac:dyDescent="0.2">
      <c r="B5493" s="876">
        <v>6731</v>
      </c>
      <c r="C5493" s="876" t="s">
        <v>6077</v>
      </c>
      <c r="D5493" s="851">
        <v>626.67500299999995</v>
      </c>
    </row>
    <row r="5494" spans="2:4" x14ac:dyDescent="0.2">
      <c r="B5494" s="876">
        <v>6732</v>
      </c>
      <c r="C5494" s="876" t="s">
        <v>6078</v>
      </c>
      <c r="D5494" s="851">
        <v>618.74284999999998</v>
      </c>
    </row>
    <row r="5495" spans="2:4" x14ac:dyDescent="0.2">
      <c r="B5495" s="876">
        <v>6733</v>
      </c>
      <c r="C5495" s="876" t="s">
        <v>6079</v>
      </c>
      <c r="D5495" s="851">
        <v>615.26667299999997</v>
      </c>
    </row>
    <row r="5496" spans="2:4" x14ac:dyDescent="0.2">
      <c r="B5496" s="876">
        <v>6734</v>
      </c>
      <c r="C5496" s="876" t="s">
        <v>6080</v>
      </c>
      <c r="D5496" s="851">
        <v>608.88000499999998</v>
      </c>
    </row>
    <row r="5497" spans="2:4" x14ac:dyDescent="0.2">
      <c r="B5497" s="876">
        <v>6735</v>
      </c>
      <c r="C5497" s="876" t="s">
        <v>6081</v>
      </c>
      <c r="D5497" s="851">
        <v>609.97999900000002</v>
      </c>
    </row>
    <row r="5498" spans="2:4" x14ac:dyDescent="0.2">
      <c r="B5498" s="876">
        <v>6736</v>
      </c>
      <c r="C5498" s="876" t="s">
        <v>6082</v>
      </c>
      <c r="D5498" s="851">
        <v>613.62000699999999</v>
      </c>
    </row>
    <row r="5499" spans="2:4" x14ac:dyDescent="0.2">
      <c r="B5499" s="876">
        <v>6737</v>
      </c>
      <c r="C5499" s="876" t="s">
        <v>6083</v>
      </c>
      <c r="D5499" s="851">
        <v>608.16923199999997</v>
      </c>
    </row>
    <row r="5500" spans="2:4" x14ac:dyDescent="0.2">
      <c r="B5500" s="876">
        <v>6738</v>
      </c>
      <c r="C5500" s="876" t="s">
        <v>6084</v>
      </c>
      <c r="D5500" s="851">
        <v>624.17999299999997</v>
      </c>
    </row>
    <row r="5501" spans="2:4" x14ac:dyDescent="0.2">
      <c r="B5501" s="876">
        <v>6739</v>
      </c>
      <c r="C5501" s="876" t="s">
        <v>6085</v>
      </c>
      <c r="D5501" s="851">
        <v>624.39998400000002</v>
      </c>
    </row>
    <row r="5502" spans="2:4" x14ac:dyDescent="0.2">
      <c r="B5502" s="876">
        <v>6740</v>
      </c>
      <c r="C5502" s="876" t="s">
        <v>6086</v>
      </c>
      <c r="D5502" s="851">
        <v>651.32499700000005</v>
      </c>
    </row>
    <row r="5503" spans="2:4" x14ac:dyDescent="0.2">
      <c r="B5503" s="876">
        <v>6741</v>
      </c>
      <c r="C5503" s="876" t="s">
        <v>6087</v>
      </c>
      <c r="D5503" s="851">
        <v>642.04998799999998</v>
      </c>
    </row>
    <row r="5504" spans="2:4" x14ac:dyDescent="0.2">
      <c r="B5504" s="876">
        <v>6742</v>
      </c>
      <c r="C5504" s="876" t="s">
        <v>6088</v>
      </c>
      <c r="D5504" s="851">
        <v>621.94286199999999</v>
      </c>
    </row>
    <row r="5505" spans="2:4" x14ac:dyDescent="0.2">
      <c r="B5505" s="876">
        <v>6743</v>
      </c>
      <c r="C5505" s="876" t="s">
        <v>6089</v>
      </c>
      <c r="D5505" s="851">
        <v>648.259998</v>
      </c>
    </row>
    <row r="5506" spans="2:4" x14ac:dyDescent="0.2">
      <c r="B5506" s="876">
        <v>6744</v>
      </c>
      <c r="C5506" s="876" t="s">
        <v>6090</v>
      </c>
      <c r="D5506" s="851">
        <v>596.20000200000004</v>
      </c>
    </row>
    <row r="5507" spans="2:4" x14ac:dyDescent="0.2">
      <c r="B5507" s="876">
        <v>6745</v>
      </c>
      <c r="C5507" s="876" t="s">
        <v>1705</v>
      </c>
      <c r="D5507" s="851">
        <v>601.89999699999998</v>
      </c>
    </row>
    <row r="5508" spans="2:4" x14ac:dyDescent="0.2">
      <c r="B5508" s="876">
        <v>6746</v>
      </c>
      <c r="C5508" s="876" t="s">
        <v>6091</v>
      </c>
      <c r="D5508" s="851">
        <v>606.66666699999996</v>
      </c>
    </row>
    <row r="5509" spans="2:4" x14ac:dyDescent="0.2">
      <c r="B5509" s="876">
        <v>6747</v>
      </c>
      <c r="C5509" s="876" t="s">
        <v>6092</v>
      </c>
      <c r="D5509" s="851">
        <v>609.44667600000002</v>
      </c>
    </row>
    <row r="5510" spans="2:4" x14ac:dyDescent="0.2">
      <c r="B5510" s="876">
        <v>6748</v>
      </c>
      <c r="C5510" s="876" t="s">
        <v>6093</v>
      </c>
      <c r="D5510" s="851">
        <v>620.15001700000005</v>
      </c>
    </row>
    <row r="5511" spans="2:4" x14ac:dyDescent="0.2">
      <c r="B5511" s="876">
        <v>6749</v>
      </c>
      <c r="C5511" s="876" t="s">
        <v>6094</v>
      </c>
      <c r="D5511" s="851">
        <v>604.03998999999999</v>
      </c>
    </row>
    <row r="5512" spans="2:4" x14ac:dyDescent="0.2">
      <c r="B5512" s="876">
        <v>6750</v>
      </c>
      <c r="C5512" s="876" t="s">
        <v>6095</v>
      </c>
      <c r="D5512" s="851">
        <v>602.84999100000005</v>
      </c>
    </row>
    <row r="5513" spans="2:4" x14ac:dyDescent="0.2">
      <c r="B5513" s="876">
        <v>6751</v>
      </c>
      <c r="C5513" s="876" t="s">
        <v>6096</v>
      </c>
      <c r="D5513" s="851">
        <v>592.79999999999995</v>
      </c>
    </row>
    <row r="5514" spans="2:4" x14ac:dyDescent="0.2">
      <c r="B5514" s="876">
        <v>6752</v>
      </c>
      <c r="C5514" s="876" t="s">
        <v>6097</v>
      </c>
      <c r="D5514" s="851">
        <v>618.17500299999995</v>
      </c>
    </row>
    <row r="5515" spans="2:4" x14ac:dyDescent="0.2">
      <c r="B5515" s="876">
        <v>6753</v>
      </c>
      <c r="C5515" s="876" t="s">
        <v>6098</v>
      </c>
      <c r="D5515" s="851">
        <v>704.33750899999995</v>
      </c>
    </row>
    <row r="5516" spans="2:4" x14ac:dyDescent="0.2">
      <c r="B5516" s="876">
        <v>6754</v>
      </c>
      <c r="C5516" s="876" t="s">
        <v>6099</v>
      </c>
      <c r="D5516" s="851">
        <v>658.23332700000003</v>
      </c>
    </row>
    <row r="5517" spans="2:4" x14ac:dyDescent="0.2">
      <c r="B5517" s="876">
        <v>6755</v>
      </c>
      <c r="C5517" s="876" t="s">
        <v>6100</v>
      </c>
      <c r="D5517" s="851">
        <v>728.45001200000002</v>
      </c>
    </row>
    <row r="5518" spans="2:4" x14ac:dyDescent="0.2">
      <c r="B5518" s="876">
        <v>6756</v>
      </c>
      <c r="C5518" s="876" t="s">
        <v>6101</v>
      </c>
      <c r="D5518" s="851">
        <v>641.80001800000002</v>
      </c>
    </row>
    <row r="5519" spans="2:4" x14ac:dyDescent="0.2">
      <c r="B5519" s="876">
        <v>6757</v>
      </c>
      <c r="C5519" s="876" t="s">
        <v>6102</v>
      </c>
      <c r="D5519" s="851">
        <v>633.87778000000003</v>
      </c>
    </row>
    <row r="5520" spans="2:4" x14ac:dyDescent="0.2">
      <c r="B5520" s="876">
        <v>6758</v>
      </c>
      <c r="C5520" s="876" t="s">
        <v>6103</v>
      </c>
      <c r="D5520" s="851">
        <v>639.22000700000001</v>
      </c>
    </row>
    <row r="5521" spans="2:4" x14ac:dyDescent="0.2">
      <c r="B5521" s="876">
        <v>6759</v>
      </c>
      <c r="C5521" s="876" t="s">
        <v>6104</v>
      </c>
      <c r="D5521" s="851">
        <v>648.01110200000005</v>
      </c>
    </row>
    <row r="5522" spans="2:4" x14ac:dyDescent="0.2">
      <c r="B5522" s="876">
        <v>6760</v>
      </c>
      <c r="C5522" s="876" t="s">
        <v>6105</v>
      </c>
      <c r="D5522" s="851">
        <v>645.51250500000003</v>
      </c>
    </row>
    <row r="5523" spans="2:4" x14ac:dyDescent="0.2">
      <c r="B5523" s="876">
        <v>6761</v>
      </c>
      <c r="C5523" s="876" t="s">
        <v>6106</v>
      </c>
      <c r="D5523" s="851">
        <v>701.771432</v>
      </c>
    </row>
    <row r="5524" spans="2:4" x14ac:dyDescent="0.2">
      <c r="B5524" s="876">
        <v>6762</v>
      </c>
      <c r="C5524" s="876" t="s">
        <v>6107</v>
      </c>
      <c r="D5524" s="851">
        <v>660.35554999999999</v>
      </c>
    </row>
    <row r="5525" spans="2:4" x14ac:dyDescent="0.2">
      <c r="B5525" s="876">
        <v>6763</v>
      </c>
      <c r="C5525" s="876" t="s">
        <v>6108</v>
      </c>
      <c r="D5525" s="851">
        <v>719.16153699999995</v>
      </c>
    </row>
    <row r="5526" spans="2:4" x14ac:dyDescent="0.2">
      <c r="B5526" s="876">
        <v>6764</v>
      </c>
      <c r="C5526" s="876" t="s">
        <v>5063</v>
      </c>
      <c r="D5526" s="851">
        <v>691.5</v>
      </c>
    </row>
    <row r="5527" spans="2:4" x14ac:dyDescent="0.2">
      <c r="B5527" s="876">
        <v>6765</v>
      </c>
      <c r="C5527" s="876" t="s">
        <v>6109</v>
      </c>
      <c r="D5527" s="851">
        <v>697.64444300000002</v>
      </c>
    </row>
    <row r="5528" spans="2:4" x14ac:dyDescent="0.2">
      <c r="B5528" s="876">
        <v>6766</v>
      </c>
      <c r="C5528" s="876" t="s">
        <v>6110</v>
      </c>
      <c r="D5528" s="851">
        <v>687.84999800000003</v>
      </c>
    </row>
    <row r="5529" spans="2:4" x14ac:dyDescent="0.2">
      <c r="B5529" s="876">
        <v>6767</v>
      </c>
      <c r="C5529" s="876" t="s">
        <v>6111</v>
      </c>
      <c r="D5529" s="851">
        <v>680.30001800000002</v>
      </c>
    </row>
    <row r="5530" spans="2:4" x14ac:dyDescent="0.2">
      <c r="B5530" s="876">
        <v>6768</v>
      </c>
      <c r="C5530" s="876" t="s">
        <v>6112</v>
      </c>
      <c r="D5530" s="851">
        <v>693.17273499999999</v>
      </c>
    </row>
    <row r="5531" spans="2:4" x14ac:dyDescent="0.2">
      <c r="B5531" s="876">
        <v>6769</v>
      </c>
      <c r="C5531" s="876" t="s">
        <v>6113</v>
      </c>
      <c r="D5531" s="851">
        <v>670.80000800000005</v>
      </c>
    </row>
    <row r="5532" spans="2:4" x14ac:dyDescent="0.2">
      <c r="B5532" s="876">
        <v>6770</v>
      </c>
      <c r="C5532" s="876" t="s">
        <v>6114</v>
      </c>
      <c r="D5532" s="851">
        <v>690.98001699999998</v>
      </c>
    </row>
    <row r="5533" spans="2:4" x14ac:dyDescent="0.2">
      <c r="B5533" s="876">
        <v>6771</v>
      </c>
      <c r="C5533" s="876" t="s">
        <v>6115</v>
      </c>
      <c r="D5533" s="851">
        <v>688.92000700000006</v>
      </c>
    </row>
    <row r="5534" spans="2:4" x14ac:dyDescent="0.2">
      <c r="B5534" s="876">
        <v>6772</v>
      </c>
      <c r="C5534" s="876" t="s">
        <v>1621</v>
      </c>
      <c r="D5534" s="851">
        <v>688.06666099999995</v>
      </c>
    </row>
    <row r="5535" spans="2:4" x14ac:dyDescent="0.2">
      <c r="B5535" s="876">
        <v>6773</v>
      </c>
      <c r="C5535" s="876" t="s">
        <v>6116</v>
      </c>
      <c r="D5535" s="851">
        <v>627.08749399999999</v>
      </c>
    </row>
    <row r="5536" spans="2:4" x14ac:dyDescent="0.2">
      <c r="B5536" s="876">
        <v>6774</v>
      </c>
      <c r="C5536" s="876" t="s">
        <v>6117</v>
      </c>
      <c r="D5536" s="851">
        <v>656.18695100000002</v>
      </c>
    </row>
    <row r="5537" spans="2:4" x14ac:dyDescent="0.2">
      <c r="B5537" s="876">
        <v>6775</v>
      </c>
      <c r="C5537" s="876" t="s">
        <v>6118</v>
      </c>
      <c r="D5537" s="851">
        <v>657.08889399999998</v>
      </c>
    </row>
    <row r="5538" spans="2:4" x14ac:dyDescent="0.2">
      <c r="B5538" s="876">
        <v>6776</v>
      </c>
      <c r="C5538" s="876" t="s">
        <v>6119</v>
      </c>
      <c r="D5538" s="851">
        <v>631.65454699999998</v>
      </c>
    </row>
    <row r="5539" spans="2:4" x14ac:dyDescent="0.2">
      <c r="B5539" s="876">
        <v>6801</v>
      </c>
      <c r="C5539" s="876" t="s">
        <v>6120</v>
      </c>
      <c r="D5539" s="851">
        <v>687.37999300000001</v>
      </c>
    </row>
    <row r="5540" spans="2:4" x14ac:dyDescent="0.2">
      <c r="B5540" s="876">
        <v>6802</v>
      </c>
      <c r="C5540" s="876" t="s">
        <v>3960</v>
      </c>
      <c r="D5540" s="851">
        <v>677.35000600000001</v>
      </c>
    </row>
    <row r="5541" spans="2:4" x14ac:dyDescent="0.2">
      <c r="B5541" s="876">
        <v>6803</v>
      </c>
      <c r="C5541" s="876" t="s">
        <v>6121</v>
      </c>
      <c r="D5541" s="851">
        <v>661.83333300000004</v>
      </c>
    </row>
    <row r="5542" spans="2:4" x14ac:dyDescent="0.2">
      <c r="B5542" s="876">
        <v>6804</v>
      </c>
      <c r="C5542" s="876" t="s">
        <v>6122</v>
      </c>
      <c r="D5542" s="851">
        <v>662.5</v>
      </c>
    </row>
    <row r="5543" spans="2:4" x14ac:dyDescent="0.2">
      <c r="B5543" s="876">
        <v>6805</v>
      </c>
      <c r="C5543" s="876" t="s">
        <v>6123</v>
      </c>
      <c r="D5543" s="851">
        <v>633.60001599999998</v>
      </c>
    </row>
    <row r="5544" spans="2:4" x14ac:dyDescent="0.2">
      <c r="B5544" s="876">
        <v>6806</v>
      </c>
      <c r="C5544" s="876" t="s">
        <v>6124</v>
      </c>
      <c r="D5544" s="851">
        <v>655.24001499999997</v>
      </c>
    </row>
    <row r="5545" spans="2:4" x14ac:dyDescent="0.2">
      <c r="B5545" s="876">
        <v>6807</v>
      </c>
      <c r="C5545" s="876" t="s">
        <v>6125</v>
      </c>
      <c r="D5545" s="851">
        <v>639.33333300000004</v>
      </c>
    </row>
    <row r="5546" spans="2:4" x14ac:dyDescent="0.2">
      <c r="B5546" s="876">
        <v>6808</v>
      </c>
      <c r="C5546" s="876" t="s">
        <v>6126</v>
      </c>
      <c r="D5546" s="851">
        <v>686.5</v>
      </c>
    </row>
    <row r="5547" spans="2:4" x14ac:dyDescent="0.2">
      <c r="B5547" s="876">
        <v>6809</v>
      </c>
      <c r="C5547" s="876" t="s">
        <v>6127</v>
      </c>
      <c r="D5547" s="851">
        <v>678.79998799999998</v>
      </c>
    </row>
    <row r="5548" spans="2:4" x14ac:dyDescent="0.2">
      <c r="B5548" s="876">
        <v>6810</v>
      </c>
      <c r="C5548" s="876" t="s">
        <v>6128</v>
      </c>
      <c r="D5548" s="851">
        <v>706.30000800000005</v>
      </c>
    </row>
    <row r="5549" spans="2:4" x14ac:dyDescent="0.2">
      <c r="B5549" s="876">
        <v>6811</v>
      </c>
      <c r="C5549" s="876" t="s">
        <v>6129</v>
      </c>
      <c r="D5549" s="851">
        <v>696.56667100000004</v>
      </c>
    </row>
    <row r="5550" spans="2:4" x14ac:dyDescent="0.2">
      <c r="B5550" s="876">
        <v>6812</v>
      </c>
      <c r="C5550" s="876" t="s">
        <v>6130</v>
      </c>
      <c r="D5550" s="851">
        <v>668.12498500000004</v>
      </c>
    </row>
    <row r="5551" spans="2:4" x14ac:dyDescent="0.2">
      <c r="B5551" s="876">
        <v>6813</v>
      </c>
      <c r="C5551" s="876" t="s">
        <v>6131</v>
      </c>
      <c r="D5551" s="851">
        <v>635.76666299999999</v>
      </c>
    </row>
    <row r="5552" spans="2:4" x14ac:dyDescent="0.2">
      <c r="B5552" s="876">
        <v>6814</v>
      </c>
      <c r="C5552" s="876" t="s">
        <v>6132</v>
      </c>
      <c r="D5552" s="851">
        <v>638.21999500000004</v>
      </c>
    </row>
    <row r="5553" spans="2:4" x14ac:dyDescent="0.2">
      <c r="B5553" s="876">
        <v>6815</v>
      </c>
      <c r="C5553" s="876" t="s">
        <v>6133</v>
      </c>
      <c r="D5553" s="851">
        <v>617.28572299999996</v>
      </c>
    </row>
    <row r="5554" spans="2:4" x14ac:dyDescent="0.2">
      <c r="B5554" s="876">
        <v>6816</v>
      </c>
      <c r="C5554" s="876" t="s">
        <v>6134</v>
      </c>
      <c r="D5554" s="851">
        <v>675.54285500000003</v>
      </c>
    </row>
    <row r="5555" spans="2:4" x14ac:dyDescent="0.2">
      <c r="B5555" s="876">
        <v>6817</v>
      </c>
      <c r="C5555" s="876" t="s">
        <v>6135</v>
      </c>
      <c r="D5555" s="851">
        <v>603.29998799999998</v>
      </c>
    </row>
    <row r="5556" spans="2:4" x14ac:dyDescent="0.2">
      <c r="B5556" s="876">
        <v>6818</v>
      </c>
      <c r="C5556" s="876" t="s">
        <v>6136</v>
      </c>
      <c r="D5556" s="851">
        <v>599.58000500000003</v>
      </c>
    </row>
    <row r="5557" spans="2:4" x14ac:dyDescent="0.2">
      <c r="B5557" s="876">
        <v>6819</v>
      </c>
      <c r="C5557" s="876" t="s">
        <v>6137</v>
      </c>
      <c r="D5557" s="851">
        <v>682.27000699999996</v>
      </c>
    </row>
    <row r="5558" spans="2:4" x14ac:dyDescent="0.2">
      <c r="B5558" s="876">
        <v>6820</v>
      </c>
      <c r="C5558" s="876" t="s">
        <v>6138</v>
      </c>
      <c r="D5558" s="851">
        <v>665.20000100000004</v>
      </c>
    </row>
    <row r="5559" spans="2:4" x14ac:dyDescent="0.2">
      <c r="B5559" s="876">
        <v>6821</v>
      </c>
      <c r="C5559" s="876" t="s">
        <v>6139</v>
      </c>
      <c r="D5559" s="851">
        <v>630.06667100000004</v>
      </c>
    </row>
    <row r="5560" spans="2:4" x14ac:dyDescent="0.2">
      <c r="B5560" s="876">
        <v>6822</v>
      </c>
      <c r="C5560" s="876" t="s">
        <v>6140</v>
      </c>
      <c r="D5560" s="851">
        <v>660.47499100000005</v>
      </c>
    </row>
    <row r="5561" spans="2:4" x14ac:dyDescent="0.2">
      <c r="B5561" s="876">
        <v>6823</v>
      </c>
      <c r="C5561" s="876" t="s">
        <v>6141</v>
      </c>
      <c r="D5561" s="851">
        <v>662.95000200000004</v>
      </c>
    </row>
    <row r="5562" spans="2:4" x14ac:dyDescent="0.2">
      <c r="B5562" s="876">
        <v>6824</v>
      </c>
      <c r="C5562" s="876" t="s">
        <v>6142</v>
      </c>
      <c r="D5562" s="851">
        <v>666.20555999999999</v>
      </c>
    </row>
    <row r="5563" spans="2:4" x14ac:dyDescent="0.2">
      <c r="B5563" s="876">
        <v>6825</v>
      </c>
      <c r="C5563" s="876" t="s">
        <v>6143</v>
      </c>
      <c r="D5563" s="851">
        <v>665.40000899999995</v>
      </c>
    </row>
    <row r="5564" spans="2:4" x14ac:dyDescent="0.2">
      <c r="B5564" s="876">
        <v>6826</v>
      </c>
      <c r="C5564" s="876" t="s">
        <v>6144</v>
      </c>
      <c r="D5564" s="851">
        <v>628.05715499999997</v>
      </c>
    </row>
    <row r="5565" spans="2:4" x14ac:dyDescent="0.2">
      <c r="B5565" s="876">
        <v>6827</v>
      </c>
      <c r="C5565" s="876" t="s">
        <v>6145</v>
      </c>
      <c r="D5565" s="851">
        <v>665.38749700000005</v>
      </c>
    </row>
    <row r="5566" spans="2:4" x14ac:dyDescent="0.2">
      <c r="B5566" s="876">
        <v>6828</v>
      </c>
      <c r="C5566" s="876" t="s">
        <v>6146</v>
      </c>
      <c r="D5566" s="851">
        <v>664.092309</v>
      </c>
    </row>
    <row r="5567" spans="2:4" x14ac:dyDescent="0.2">
      <c r="B5567" s="876">
        <v>6829</v>
      </c>
      <c r="C5567" s="876" t="s">
        <v>6147</v>
      </c>
      <c r="D5567" s="851">
        <v>647.836365</v>
      </c>
    </row>
    <row r="5568" spans="2:4" x14ac:dyDescent="0.2">
      <c r="B5568" s="876">
        <v>6830</v>
      </c>
      <c r="C5568" s="876" t="s">
        <v>6148</v>
      </c>
      <c r="D5568" s="851">
        <v>651.861535</v>
      </c>
    </row>
    <row r="5569" spans="2:4" x14ac:dyDescent="0.2">
      <c r="B5569" s="876">
        <v>6831</v>
      </c>
      <c r="C5569" s="876" t="s">
        <v>6149</v>
      </c>
      <c r="D5569" s="851">
        <v>688.385716</v>
      </c>
    </row>
    <row r="5570" spans="2:4" x14ac:dyDescent="0.2">
      <c r="B5570" s="876">
        <v>6832</v>
      </c>
      <c r="C5570" s="876" t="s">
        <v>6150</v>
      </c>
      <c r="D5570" s="851">
        <v>672.97999900000002</v>
      </c>
    </row>
    <row r="5571" spans="2:4" x14ac:dyDescent="0.2">
      <c r="B5571" s="876">
        <v>6833</v>
      </c>
      <c r="C5571" s="876" t="s">
        <v>6151</v>
      </c>
      <c r="D5571" s="851">
        <v>666.629999</v>
      </c>
    </row>
    <row r="5572" spans="2:4" x14ac:dyDescent="0.2">
      <c r="B5572" s="876">
        <v>6834</v>
      </c>
      <c r="C5572" s="876" t="s">
        <v>6152</v>
      </c>
      <c r="D5572" s="851">
        <v>731.16428499999995</v>
      </c>
    </row>
    <row r="5573" spans="2:4" x14ac:dyDescent="0.2">
      <c r="B5573" s="876">
        <v>6835</v>
      </c>
      <c r="C5573" s="876" t="s">
        <v>6153</v>
      </c>
      <c r="D5573" s="851">
        <v>731.322225</v>
      </c>
    </row>
    <row r="5574" spans="2:4" x14ac:dyDescent="0.2">
      <c r="B5574" s="876">
        <v>6836</v>
      </c>
      <c r="C5574" s="876" t="s">
        <v>6154</v>
      </c>
      <c r="D5574" s="851">
        <v>695.625</v>
      </c>
    </row>
    <row r="5575" spans="2:4" x14ac:dyDescent="0.2">
      <c r="B5575" s="876">
        <v>6837</v>
      </c>
      <c r="C5575" s="876" t="s">
        <v>6155</v>
      </c>
      <c r="D5575" s="851">
        <v>695.16666699999996</v>
      </c>
    </row>
    <row r="5576" spans="2:4" x14ac:dyDescent="0.2">
      <c r="B5576" s="876">
        <v>6838</v>
      </c>
      <c r="C5576" s="876" t="s">
        <v>6156</v>
      </c>
      <c r="D5576" s="851">
        <v>670.76249700000005</v>
      </c>
    </row>
    <row r="5577" spans="2:4" x14ac:dyDescent="0.2">
      <c r="B5577" s="876">
        <v>6839</v>
      </c>
      <c r="C5577" s="876" t="s">
        <v>6157</v>
      </c>
      <c r="D5577" s="851">
        <v>682.24285899999995</v>
      </c>
    </row>
    <row r="5578" spans="2:4" x14ac:dyDescent="0.2">
      <c r="B5578" s="876">
        <v>6840</v>
      </c>
      <c r="C5578" s="876" t="s">
        <v>6158</v>
      </c>
      <c r="D5578" s="851">
        <v>674.85999800000002</v>
      </c>
    </row>
    <row r="5579" spans="2:4" x14ac:dyDescent="0.2">
      <c r="B5579" s="876">
        <v>6841</v>
      </c>
      <c r="C5579" s="876" t="s">
        <v>6159</v>
      </c>
      <c r="D5579" s="851">
        <v>678.05001100000004</v>
      </c>
    </row>
    <row r="5580" spans="2:4" x14ac:dyDescent="0.2">
      <c r="B5580" s="876">
        <v>6842</v>
      </c>
      <c r="C5580" s="876" t="s">
        <v>6160</v>
      </c>
      <c r="D5580" s="851">
        <v>656.51000399999998</v>
      </c>
    </row>
    <row r="5581" spans="2:4" x14ac:dyDescent="0.2">
      <c r="B5581" s="876">
        <v>6843</v>
      </c>
      <c r="C5581" s="876" t="s">
        <v>6161</v>
      </c>
      <c r="D5581" s="851">
        <v>671.5</v>
      </c>
    </row>
    <row r="5582" spans="2:4" x14ac:dyDescent="0.2">
      <c r="B5582" s="876">
        <v>6844</v>
      </c>
      <c r="C5582" s="876" t="s">
        <v>6162</v>
      </c>
      <c r="D5582" s="851">
        <v>650.911112</v>
      </c>
    </row>
    <row r="5583" spans="2:4" x14ac:dyDescent="0.2">
      <c r="B5583" s="876">
        <v>6845</v>
      </c>
      <c r="C5583" s="876" t="s">
        <v>6163</v>
      </c>
      <c r="D5583" s="851">
        <v>659.84665500000006</v>
      </c>
    </row>
    <row r="5584" spans="2:4" x14ac:dyDescent="0.2">
      <c r="B5584" s="876">
        <v>6846</v>
      </c>
      <c r="C5584" s="876" t="s">
        <v>6164</v>
      </c>
      <c r="D5584" s="851">
        <v>662.80769199999997</v>
      </c>
    </row>
    <row r="5585" spans="2:4" x14ac:dyDescent="0.2">
      <c r="B5585" s="876">
        <v>6847</v>
      </c>
      <c r="C5585" s="876" t="s">
        <v>6165</v>
      </c>
      <c r="D5585" s="851">
        <v>659.67498799999998</v>
      </c>
    </row>
    <row r="5586" spans="2:4" x14ac:dyDescent="0.2">
      <c r="B5586" s="876">
        <v>6848</v>
      </c>
      <c r="C5586" s="876" t="s">
        <v>6166</v>
      </c>
      <c r="D5586" s="851">
        <v>687.50000799999998</v>
      </c>
    </row>
    <row r="5587" spans="2:4" x14ac:dyDescent="0.2">
      <c r="B5587" s="876">
        <v>6849</v>
      </c>
      <c r="C5587" s="876" t="s">
        <v>6167</v>
      </c>
      <c r="D5587" s="851">
        <v>676.96362899999997</v>
      </c>
    </row>
    <row r="5588" spans="2:4" x14ac:dyDescent="0.2">
      <c r="B5588" s="876">
        <v>6850</v>
      </c>
      <c r="C5588" s="876" t="s">
        <v>6168</v>
      </c>
      <c r="D5588" s="851">
        <v>688.08332299999995</v>
      </c>
    </row>
    <row r="5589" spans="2:4" x14ac:dyDescent="0.2">
      <c r="B5589" s="876">
        <v>6851</v>
      </c>
      <c r="C5589" s="876" t="s">
        <v>6169</v>
      </c>
      <c r="D5589" s="851">
        <v>693.75</v>
      </c>
    </row>
    <row r="5590" spans="2:4" x14ac:dyDescent="0.2">
      <c r="B5590" s="876">
        <v>6852</v>
      </c>
      <c r="C5590" s="876" t="s">
        <v>6170</v>
      </c>
      <c r="D5590" s="851">
        <v>666.15000199999997</v>
      </c>
    </row>
    <row r="5591" spans="2:4" x14ac:dyDescent="0.2">
      <c r="B5591" s="876">
        <v>6853</v>
      </c>
      <c r="C5591" s="876" t="s">
        <v>6171</v>
      </c>
      <c r="D5591" s="851">
        <v>663.56734400000005</v>
      </c>
    </row>
    <row r="5592" spans="2:4" x14ac:dyDescent="0.2">
      <c r="B5592" s="876">
        <v>6854</v>
      </c>
      <c r="C5592" s="876" t="s">
        <v>6172</v>
      </c>
      <c r="D5592" s="851">
        <v>670.19999199999995</v>
      </c>
    </row>
    <row r="5593" spans="2:4" x14ac:dyDescent="0.2">
      <c r="B5593" s="876">
        <v>6855</v>
      </c>
      <c r="C5593" s="876" t="s">
        <v>6173</v>
      </c>
      <c r="D5593" s="851">
        <v>671.20001200000002</v>
      </c>
    </row>
    <row r="5594" spans="2:4" x14ac:dyDescent="0.2">
      <c r="B5594" s="876">
        <v>6856</v>
      </c>
      <c r="C5594" s="876" t="s">
        <v>6174</v>
      </c>
      <c r="D5594" s="851">
        <v>660.83334400000001</v>
      </c>
    </row>
    <row r="5595" spans="2:4" x14ac:dyDescent="0.2">
      <c r="B5595" s="876">
        <v>6857</v>
      </c>
      <c r="C5595" s="876" t="s">
        <v>6175</v>
      </c>
      <c r="D5595" s="851">
        <v>660.69999700000005</v>
      </c>
    </row>
    <row r="5596" spans="2:4" x14ac:dyDescent="0.2">
      <c r="B5596" s="876">
        <v>6858</v>
      </c>
      <c r="C5596" s="876" t="s">
        <v>6176</v>
      </c>
      <c r="D5596" s="851">
        <v>673.34666700000002</v>
      </c>
    </row>
    <row r="5597" spans="2:4" x14ac:dyDescent="0.2">
      <c r="B5597" s="876">
        <v>6859</v>
      </c>
      <c r="C5597" s="876" t="s">
        <v>6177</v>
      </c>
      <c r="D5597" s="851">
        <v>666.30001800000002</v>
      </c>
    </row>
    <row r="5598" spans="2:4" x14ac:dyDescent="0.2">
      <c r="B5598" s="876">
        <v>6860</v>
      </c>
      <c r="C5598" s="876" t="s">
        <v>6178</v>
      </c>
      <c r="D5598" s="851">
        <v>664.93332899999996</v>
      </c>
    </row>
    <row r="5599" spans="2:4" x14ac:dyDescent="0.2">
      <c r="B5599" s="876">
        <v>6861</v>
      </c>
      <c r="C5599" s="876" t="s">
        <v>6179</v>
      </c>
      <c r="D5599" s="851">
        <v>668.69999700000005</v>
      </c>
    </row>
    <row r="5600" spans="2:4" x14ac:dyDescent="0.2">
      <c r="B5600" s="876">
        <v>6862</v>
      </c>
      <c r="C5600" s="876" t="s">
        <v>6180</v>
      </c>
      <c r="D5600" s="851">
        <v>671.36923000000002</v>
      </c>
    </row>
    <row r="5601" spans="2:4" x14ac:dyDescent="0.2">
      <c r="B5601" s="876">
        <v>6863</v>
      </c>
      <c r="C5601" s="876" t="s">
        <v>1135</v>
      </c>
      <c r="D5601" s="851">
        <v>668.80001200000004</v>
      </c>
    </row>
    <row r="5602" spans="2:4" x14ac:dyDescent="0.2">
      <c r="B5602" s="876">
        <v>6864</v>
      </c>
      <c r="C5602" s="876" t="s">
        <v>390</v>
      </c>
      <c r="D5602" s="851">
        <v>674.89090199999998</v>
      </c>
    </row>
    <row r="5603" spans="2:4" x14ac:dyDescent="0.2">
      <c r="B5603" s="876">
        <v>6865</v>
      </c>
      <c r="C5603" s="876" t="s">
        <v>6181</v>
      </c>
      <c r="D5603" s="851">
        <v>684.33077300000002</v>
      </c>
    </row>
    <row r="5604" spans="2:4" x14ac:dyDescent="0.2">
      <c r="B5604" s="876">
        <v>6866</v>
      </c>
      <c r="C5604" s="876" t="s">
        <v>6182</v>
      </c>
      <c r="D5604" s="851">
        <v>684.43570799999998</v>
      </c>
    </row>
    <row r="5605" spans="2:4" x14ac:dyDescent="0.2">
      <c r="B5605" s="876">
        <v>6867</v>
      </c>
      <c r="C5605" s="876" t="s">
        <v>6183</v>
      </c>
      <c r="D5605" s="851">
        <v>662.07058199999994</v>
      </c>
    </row>
    <row r="5606" spans="2:4" x14ac:dyDescent="0.2">
      <c r="B5606" s="876">
        <v>6868</v>
      </c>
      <c r="C5606" s="876" t="s">
        <v>2758</v>
      </c>
      <c r="D5606" s="851">
        <v>688.44444399999998</v>
      </c>
    </row>
    <row r="5607" spans="2:4" x14ac:dyDescent="0.2">
      <c r="B5607" s="876">
        <v>6869</v>
      </c>
      <c r="C5607" s="876" t="s">
        <v>6184</v>
      </c>
      <c r="D5607" s="851">
        <v>685.07273199999997</v>
      </c>
    </row>
    <row r="5608" spans="2:4" x14ac:dyDescent="0.2">
      <c r="B5608" s="876">
        <v>6870</v>
      </c>
      <c r="C5608" s="876" t="s">
        <v>6185</v>
      </c>
      <c r="D5608" s="851">
        <v>718.16002200000003</v>
      </c>
    </row>
    <row r="5609" spans="2:4" x14ac:dyDescent="0.2">
      <c r="B5609" s="876">
        <v>6871</v>
      </c>
      <c r="C5609" s="876" t="s">
        <v>6186</v>
      </c>
      <c r="D5609" s="851">
        <v>697.82000700000003</v>
      </c>
    </row>
    <row r="5610" spans="2:4" x14ac:dyDescent="0.2">
      <c r="B5610" s="876">
        <v>6872</v>
      </c>
      <c r="C5610" s="876" t="s">
        <v>6187</v>
      </c>
      <c r="D5610" s="851">
        <v>723.93333600000005</v>
      </c>
    </row>
    <row r="5611" spans="2:4" x14ac:dyDescent="0.2">
      <c r="B5611" s="876">
        <v>6873</v>
      </c>
      <c r="C5611" s="876" t="s">
        <v>6188</v>
      </c>
      <c r="D5611" s="851">
        <v>714.56001000000003</v>
      </c>
    </row>
    <row r="5612" spans="2:4" x14ac:dyDescent="0.2">
      <c r="B5612" s="876">
        <v>6874</v>
      </c>
      <c r="C5612" s="876" t="s">
        <v>6189</v>
      </c>
      <c r="D5612" s="851">
        <v>694.83845899999994</v>
      </c>
    </row>
    <row r="5613" spans="2:4" x14ac:dyDescent="0.2">
      <c r="B5613" s="876">
        <v>6875</v>
      </c>
      <c r="C5613" s="876" t="s">
        <v>6190</v>
      </c>
      <c r="D5613" s="851">
        <v>707.71666500000003</v>
      </c>
    </row>
    <row r="5614" spans="2:4" x14ac:dyDescent="0.2">
      <c r="B5614" s="876">
        <v>6876</v>
      </c>
      <c r="C5614" s="876" t="s">
        <v>6191</v>
      </c>
      <c r="D5614" s="851">
        <v>724.96666500000003</v>
      </c>
    </row>
    <row r="5615" spans="2:4" x14ac:dyDescent="0.2">
      <c r="B5615" s="876">
        <v>6877</v>
      </c>
      <c r="C5615" s="876" t="s">
        <v>6192</v>
      </c>
      <c r="D5615" s="851">
        <v>735.32499700000005</v>
      </c>
    </row>
    <row r="5616" spans="2:4" x14ac:dyDescent="0.2">
      <c r="B5616" s="876">
        <v>6878</v>
      </c>
      <c r="C5616" s="876" t="s">
        <v>4575</v>
      </c>
      <c r="D5616" s="851">
        <v>746.90000199999997</v>
      </c>
    </row>
    <row r="5617" spans="2:4" x14ac:dyDescent="0.2">
      <c r="B5617" s="876">
        <v>6879</v>
      </c>
      <c r="C5617" s="876" t="s">
        <v>6193</v>
      </c>
      <c r="D5617" s="851">
        <v>725.77499399999999</v>
      </c>
    </row>
    <row r="5618" spans="2:4" x14ac:dyDescent="0.2">
      <c r="B5618" s="876">
        <v>6880</v>
      </c>
      <c r="C5618" s="876" t="s">
        <v>6194</v>
      </c>
      <c r="D5618" s="851">
        <v>747.77499399999999</v>
      </c>
    </row>
    <row r="5619" spans="2:4" x14ac:dyDescent="0.2">
      <c r="B5619" s="876">
        <v>6881</v>
      </c>
      <c r="C5619" s="876" t="s">
        <v>6195</v>
      </c>
      <c r="D5619" s="851">
        <v>750.14999399999999</v>
      </c>
    </row>
    <row r="5620" spans="2:4" x14ac:dyDescent="0.2">
      <c r="B5620" s="876">
        <v>6882</v>
      </c>
      <c r="C5620" s="876" t="s">
        <v>6196</v>
      </c>
      <c r="D5620" s="851">
        <v>762.25998500000003</v>
      </c>
    </row>
    <row r="5621" spans="2:4" x14ac:dyDescent="0.2">
      <c r="B5621" s="876">
        <v>6883</v>
      </c>
      <c r="C5621" s="876" t="s">
        <v>6197</v>
      </c>
      <c r="D5621" s="851">
        <v>701</v>
      </c>
    </row>
    <row r="5622" spans="2:4" x14ac:dyDescent="0.2">
      <c r="B5622" s="876">
        <v>6884</v>
      </c>
      <c r="C5622" s="876" t="s">
        <v>6198</v>
      </c>
      <c r="D5622" s="851">
        <v>721.57499700000005</v>
      </c>
    </row>
    <row r="5623" spans="2:4" x14ac:dyDescent="0.2">
      <c r="B5623" s="876">
        <v>6885</v>
      </c>
      <c r="C5623" s="876" t="s">
        <v>4074</v>
      </c>
      <c r="D5623" s="851">
        <v>747.78001700000004</v>
      </c>
    </row>
    <row r="5624" spans="2:4" x14ac:dyDescent="0.2">
      <c r="B5624" s="876">
        <v>6886</v>
      </c>
      <c r="C5624" s="876" t="s">
        <v>6199</v>
      </c>
      <c r="D5624" s="851">
        <v>726.31249200000002</v>
      </c>
    </row>
    <row r="5625" spans="2:4" x14ac:dyDescent="0.2">
      <c r="B5625" s="876">
        <v>6887</v>
      </c>
      <c r="C5625" s="876" t="s">
        <v>6200</v>
      </c>
      <c r="D5625" s="851">
        <v>716.96154300000001</v>
      </c>
    </row>
    <row r="5626" spans="2:4" x14ac:dyDescent="0.2">
      <c r="B5626" s="876">
        <v>6888</v>
      </c>
      <c r="C5626" s="876" t="s">
        <v>6201</v>
      </c>
      <c r="D5626" s="851">
        <v>741.42500299999995</v>
      </c>
    </row>
    <row r="5627" spans="2:4" x14ac:dyDescent="0.2">
      <c r="B5627" s="876">
        <v>6889</v>
      </c>
      <c r="C5627" s="876" t="s">
        <v>6202</v>
      </c>
      <c r="D5627" s="851">
        <v>744.78333999999995</v>
      </c>
    </row>
    <row r="5628" spans="2:4" x14ac:dyDescent="0.2">
      <c r="B5628" s="876">
        <v>6890</v>
      </c>
      <c r="C5628" s="876" t="s">
        <v>6203</v>
      </c>
      <c r="D5628" s="851">
        <v>751.05556200000001</v>
      </c>
    </row>
    <row r="5629" spans="2:4" x14ac:dyDescent="0.2">
      <c r="B5629" s="876">
        <v>6891</v>
      </c>
      <c r="C5629" s="876" t="s">
        <v>6204</v>
      </c>
      <c r="D5629" s="851">
        <v>761.27777800000001</v>
      </c>
    </row>
    <row r="5630" spans="2:4" x14ac:dyDescent="0.2">
      <c r="B5630" s="876">
        <v>6892</v>
      </c>
      <c r="C5630" s="876" t="s">
        <v>6205</v>
      </c>
      <c r="D5630" s="851">
        <v>709.93888700000002</v>
      </c>
    </row>
    <row r="5631" spans="2:4" x14ac:dyDescent="0.2">
      <c r="B5631" s="876">
        <v>6893</v>
      </c>
      <c r="C5631" s="876" t="s">
        <v>5842</v>
      </c>
      <c r="D5631" s="851">
        <v>755.70001200000002</v>
      </c>
    </row>
    <row r="5632" spans="2:4" x14ac:dyDescent="0.2">
      <c r="B5632" s="876">
        <v>6894</v>
      </c>
      <c r="C5632" s="876" t="s">
        <v>6206</v>
      </c>
      <c r="D5632" s="851">
        <v>713.70833300000004</v>
      </c>
    </row>
    <row r="5633" spans="2:4" x14ac:dyDescent="0.2">
      <c r="B5633" s="876">
        <v>6895</v>
      </c>
      <c r="C5633" s="876" t="s">
        <v>6207</v>
      </c>
      <c r="D5633" s="851">
        <v>676.60000600000001</v>
      </c>
    </row>
    <row r="5634" spans="2:4" x14ac:dyDescent="0.2">
      <c r="B5634" s="876">
        <v>6896</v>
      </c>
      <c r="C5634" s="876" t="s">
        <v>6208</v>
      </c>
      <c r="D5634" s="851">
        <v>759.56664999999998</v>
      </c>
    </row>
    <row r="5635" spans="2:4" x14ac:dyDescent="0.2">
      <c r="B5635" s="876">
        <v>6897</v>
      </c>
      <c r="C5635" s="876" t="s">
        <v>4684</v>
      </c>
      <c r="D5635" s="851">
        <v>717.52856899999995</v>
      </c>
    </row>
    <row r="5636" spans="2:4" x14ac:dyDescent="0.2">
      <c r="B5636" s="876">
        <v>6898</v>
      </c>
      <c r="C5636" s="876" t="s">
        <v>5449</v>
      </c>
      <c r="D5636" s="851">
        <v>771.96250899999995</v>
      </c>
    </row>
    <row r="5637" spans="2:4" x14ac:dyDescent="0.2">
      <c r="B5637" s="876">
        <v>6899</v>
      </c>
      <c r="C5637" s="876" t="s">
        <v>6209</v>
      </c>
      <c r="D5637" s="851">
        <v>719.89000899999996</v>
      </c>
    </row>
    <row r="5638" spans="2:4" x14ac:dyDescent="0.2">
      <c r="B5638" s="876">
        <v>6901</v>
      </c>
      <c r="C5638" s="876" t="s">
        <v>6210</v>
      </c>
      <c r="D5638" s="851">
        <v>747.53333199999997</v>
      </c>
    </row>
    <row r="5639" spans="2:4" x14ac:dyDescent="0.2">
      <c r="B5639" s="876">
        <v>6902</v>
      </c>
      <c r="C5639" s="876" t="s">
        <v>6211</v>
      </c>
      <c r="D5639" s="851">
        <v>751.70001200000002</v>
      </c>
    </row>
    <row r="5640" spans="2:4" x14ac:dyDescent="0.2">
      <c r="B5640" s="876">
        <v>6903</v>
      </c>
      <c r="C5640" s="876" t="s">
        <v>6212</v>
      </c>
      <c r="D5640" s="851">
        <v>735.12352399999997</v>
      </c>
    </row>
    <row r="5641" spans="2:4" x14ac:dyDescent="0.2">
      <c r="B5641" s="876">
        <v>6904</v>
      </c>
      <c r="C5641" s="876" t="s">
        <v>6213</v>
      </c>
      <c r="D5641" s="851">
        <v>727.28461600000003</v>
      </c>
    </row>
    <row r="5642" spans="2:4" x14ac:dyDescent="0.2">
      <c r="B5642" s="876">
        <v>6905</v>
      </c>
      <c r="C5642" s="876" t="s">
        <v>6214</v>
      </c>
      <c r="D5642" s="851">
        <v>724.78333499999997</v>
      </c>
    </row>
    <row r="5643" spans="2:4" x14ac:dyDescent="0.2">
      <c r="B5643" s="876">
        <v>6906</v>
      </c>
      <c r="C5643" s="876" t="s">
        <v>6215</v>
      </c>
      <c r="D5643" s="851">
        <v>715.12083399999995</v>
      </c>
    </row>
    <row r="5644" spans="2:4" x14ac:dyDescent="0.2">
      <c r="B5644" s="876">
        <v>6907</v>
      </c>
      <c r="C5644" s="876" t="s">
        <v>6216</v>
      </c>
      <c r="D5644" s="851">
        <v>766.01428199999998</v>
      </c>
    </row>
    <row r="5645" spans="2:4" x14ac:dyDescent="0.2">
      <c r="B5645" s="876">
        <v>6908</v>
      </c>
      <c r="C5645" s="876" t="s">
        <v>2740</v>
      </c>
      <c r="D5645" s="851">
        <v>754.5</v>
      </c>
    </row>
    <row r="5646" spans="2:4" x14ac:dyDescent="0.2">
      <c r="B5646" s="876">
        <v>6909</v>
      </c>
      <c r="C5646" s="876" t="s">
        <v>6217</v>
      </c>
      <c r="D5646" s="851">
        <v>786.89999799999998</v>
      </c>
    </row>
    <row r="5647" spans="2:4" x14ac:dyDescent="0.2">
      <c r="B5647" s="876">
        <v>6910</v>
      </c>
      <c r="C5647" s="876" t="s">
        <v>6218</v>
      </c>
      <c r="D5647" s="851">
        <v>771.79000900000005</v>
      </c>
    </row>
    <row r="5648" spans="2:4" x14ac:dyDescent="0.2">
      <c r="B5648" s="876">
        <v>6911</v>
      </c>
      <c r="C5648" s="876" t="s">
        <v>6219</v>
      </c>
      <c r="D5648" s="851">
        <v>752.508331</v>
      </c>
    </row>
    <row r="5649" spans="2:4" x14ac:dyDescent="0.2">
      <c r="B5649" s="876">
        <v>6912</v>
      </c>
      <c r="C5649" s="876" t="s">
        <v>6220</v>
      </c>
      <c r="D5649" s="851">
        <v>795</v>
      </c>
    </row>
    <row r="5650" spans="2:4" x14ac:dyDescent="0.2">
      <c r="B5650" s="876">
        <v>6913</v>
      </c>
      <c r="C5650" s="876" t="s">
        <v>6221</v>
      </c>
      <c r="D5650" s="851">
        <v>798.57500500000003</v>
      </c>
    </row>
    <row r="5651" spans="2:4" x14ac:dyDescent="0.2">
      <c r="B5651" s="876">
        <v>6914</v>
      </c>
      <c r="C5651" s="876" t="s">
        <v>6222</v>
      </c>
      <c r="D5651" s="851">
        <v>724.883331</v>
      </c>
    </row>
    <row r="5652" spans="2:4" x14ac:dyDescent="0.2">
      <c r="B5652" s="876">
        <v>6915</v>
      </c>
      <c r="C5652" s="876" t="s">
        <v>6223</v>
      </c>
      <c r="D5652" s="851">
        <v>791.15000899999995</v>
      </c>
    </row>
    <row r="5653" spans="2:4" x14ac:dyDescent="0.2">
      <c r="B5653" s="876">
        <v>6916</v>
      </c>
      <c r="C5653" s="876" t="s">
        <v>6224</v>
      </c>
      <c r="D5653" s="851">
        <v>823.27000099999998</v>
      </c>
    </row>
    <row r="5654" spans="2:4" x14ac:dyDescent="0.2">
      <c r="B5654" s="876">
        <v>6917</v>
      </c>
      <c r="C5654" s="876" t="s">
        <v>6225</v>
      </c>
      <c r="D5654" s="851">
        <v>805.66154100000006</v>
      </c>
    </row>
    <row r="5655" spans="2:4" x14ac:dyDescent="0.2">
      <c r="B5655" s="876">
        <v>6918</v>
      </c>
      <c r="C5655" s="876" t="s">
        <v>6226</v>
      </c>
      <c r="D5655" s="851">
        <v>815.00001499999996</v>
      </c>
    </row>
    <row r="5656" spans="2:4" x14ac:dyDescent="0.2">
      <c r="B5656" s="876">
        <v>6919</v>
      </c>
      <c r="C5656" s="876" t="s">
        <v>6227</v>
      </c>
      <c r="D5656" s="851">
        <v>802.89999399999999</v>
      </c>
    </row>
    <row r="5657" spans="2:4" x14ac:dyDescent="0.2">
      <c r="B5657" s="876">
        <v>6920</v>
      </c>
      <c r="C5657" s="876" t="s">
        <v>6228</v>
      </c>
      <c r="D5657" s="851">
        <v>758.11248799999998</v>
      </c>
    </row>
    <row r="5658" spans="2:4" x14ac:dyDescent="0.2">
      <c r="B5658" s="876">
        <v>6921</v>
      </c>
      <c r="C5658" s="876" t="s">
        <v>6229</v>
      </c>
      <c r="D5658" s="851">
        <v>760.34615899999994</v>
      </c>
    </row>
    <row r="5659" spans="2:4" x14ac:dyDescent="0.2">
      <c r="B5659" s="876">
        <v>6922</v>
      </c>
      <c r="C5659" s="876" t="s">
        <v>6230</v>
      </c>
      <c r="D5659" s="851">
        <v>739.5</v>
      </c>
    </row>
    <row r="5660" spans="2:4" x14ac:dyDescent="0.2">
      <c r="B5660" s="876">
        <v>6923</v>
      </c>
      <c r="C5660" s="876" t="s">
        <v>6231</v>
      </c>
      <c r="D5660" s="851">
        <v>786.60833200000002</v>
      </c>
    </row>
    <row r="5661" spans="2:4" x14ac:dyDescent="0.2">
      <c r="B5661" s="876">
        <v>6924</v>
      </c>
      <c r="C5661" s="876" t="s">
        <v>6232</v>
      </c>
      <c r="D5661" s="851">
        <v>610.54998799999998</v>
      </c>
    </row>
    <row r="5662" spans="2:4" x14ac:dyDescent="0.2">
      <c r="B5662" s="876">
        <v>6925</v>
      </c>
      <c r="C5662" s="876" t="s">
        <v>6233</v>
      </c>
      <c r="D5662" s="851">
        <v>622.81999499999995</v>
      </c>
    </row>
    <row r="5663" spans="2:4" x14ac:dyDescent="0.2">
      <c r="B5663" s="876">
        <v>6926</v>
      </c>
      <c r="C5663" s="876" t="s">
        <v>6234</v>
      </c>
      <c r="D5663" s="851">
        <v>614.46667500000001</v>
      </c>
    </row>
    <row r="5664" spans="2:4" x14ac:dyDescent="0.2">
      <c r="B5664" s="876">
        <v>6927</v>
      </c>
      <c r="C5664" s="876" t="s">
        <v>6235</v>
      </c>
      <c r="D5664" s="851">
        <v>616.37999300000001</v>
      </c>
    </row>
    <row r="5665" spans="2:4" x14ac:dyDescent="0.2">
      <c r="B5665" s="876">
        <v>6928</v>
      </c>
      <c r="C5665" s="876" t="s">
        <v>6236</v>
      </c>
      <c r="D5665" s="851">
        <v>701.54999799999996</v>
      </c>
    </row>
    <row r="5666" spans="2:4" x14ac:dyDescent="0.2">
      <c r="B5666" s="876">
        <v>6929</v>
      </c>
      <c r="C5666" s="876" t="s">
        <v>6237</v>
      </c>
      <c r="D5666" s="851">
        <v>645.74998500000004</v>
      </c>
    </row>
    <row r="5667" spans="2:4" x14ac:dyDescent="0.2">
      <c r="B5667" s="876">
        <v>6930</v>
      </c>
      <c r="C5667" s="876" t="s">
        <v>6238</v>
      </c>
      <c r="D5667" s="851">
        <v>652.97143600000004</v>
      </c>
    </row>
    <row r="5668" spans="2:4" x14ac:dyDescent="0.2">
      <c r="B5668" s="876">
        <v>6931</v>
      </c>
      <c r="C5668" s="876" t="s">
        <v>6239</v>
      </c>
      <c r="D5668" s="851">
        <v>608.30001800000002</v>
      </c>
    </row>
    <row r="5669" spans="2:4" x14ac:dyDescent="0.2">
      <c r="B5669" s="876">
        <v>6932</v>
      </c>
      <c r="C5669" s="876" t="s">
        <v>6240</v>
      </c>
      <c r="D5669" s="851">
        <v>710.72500600000001</v>
      </c>
    </row>
    <row r="5670" spans="2:4" x14ac:dyDescent="0.2">
      <c r="B5670" s="876">
        <v>6933</v>
      </c>
      <c r="C5670" s="876" t="s">
        <v>6241</v>
      </c>
      <c r="D5670" s="851">
        <v>665.77777100000003</v>
      </c>
    </row>
    <row r="5671" spans="2:4" x14ac:dyDescent="0.2">
      <c r="B5671" s="876">
        <v>6934</v>
      </c>
      <c r="C5671" s="876" t="s">
        <v>1743</v>
      </c>
      <c r="D5671" s="851">
        <v>750.57778599999995</v>
      </c>
    </row>
    <row r="5672" spans="2:4" x14ac:dyDescent="0.2">
      <c r="B5672" s="876">
        <v>6935</v>
      </c>
      <c r="C5672" s="876" t="s">
        <v>6242</v>
      </c>
      <c r="D5672" s="851">
        <v>701.12223300000005</v>
      </c>
    </row>
    <row r="5673" spans="2:4" x14ac:dyDescent="0.2">
      <c r="B5673" s="876">
        <v>6936</v>
      </c>
      <c r="C5673" s="876" t="s">
        <v>6243</v>
      </c>
      <c r="D5673" s="851">
        <v>737.86249499999997</v>
      </c>
    </row>
    <row r="5674" spans="2:4" x14ac:dyDescent="0.2">
      <c r="B5674" s="876">
        <v>6937</v>
      </c>
      <c r="C5674" s="876" t="s">
        <v>6244</v>
      </c>
      <c r="D5674" s="851">
        <v>802</v>
      </c>
    </row>
    <row r="5675" spans="2:4" x14ac:dyDescent="0.2">
      <c r="B5675" s="876">
        <v>6938</v>
      </c>
      <c r="C5675" s="876" t="s">
        <v>6245</v>
      </c>
      <c r="D5675" s="851">
        <v>759.86665900000003</v>
      </c>
    </row>
    <row r="5676" spans="2:4" x14ac:dyDescent="0.2">
      <c r="B5676" s="876">
        <v>6939</v>
      </c>
      <c r="C5676" s="876" t="s">
        <v>6246</v>
      </c>
      <c r="D5676" s="851">
        <v>719.49999000000003</v>
      </c>
    </row>
    <row r="5677" spans="2:4" x14ac:dyDescent="0.2">
      <c r="B5677" s="876">
        <v>6940</v>
      </c>
      <c r="C5677" s="876" t="s">
        <v>6247</v>
      </c>
      <c r="D5677" s="851">
        <v>701.30001800000002</v>
      </c>
    </row>
    <row r="5678" spans="2:4" x14ac:dyDescent="0.2">
      <c r="B5678" s="876">
        <v>6941</v>
      </c>
      <c r="C5678" s="876" t="s">
        <v>6248</v>
      </c>
      <c r="D5678" s="851">
        <v>734.62307999999996</v>
      </c>
    </row>
    <row r="5679" spans="2:4" x14ac:dyDescent="0.2">
      <c r="B5679" s="876">
        <v>6942</v>
      </c>
      <c r="C5679" s="876" t="s">
        <v>6249</v>
      </c>
      <c r="D5679" s="851">
        <v>750.56000400000005</v>
      </c>
    </row>
    <row r="5680" spans="2:4" x14ac:dyDescent="0.2">
      <c r="B5680" s="876">
        <v>6943</v>
      </c>
      <c r="C5680" s="876" t="s">
        <v>6250</v>
      </c>
      <c r="D5680" s="851">
        <v>747.42499499999997</v>
      </c>
    </row>
    <row r="5681" spans="2:4" x14ac:dyDescent="0.2">
      <c r="B5681" s="876">
        <v>6944</v>
      </c>
      <c r="C5681" s="876" t="s">
        <v>2737</v>
      </c>
      <c r="D5681" s="851">
        <v>716.67999299999997</v>
      </c>
    </row>
    <row r="5682" spans="2:4" x14ac:dyDescent="0.2">
      <c r="B5682" s="876">
        <v>6945</v>
      </c>
      <c r="C5682" s="876" t="s">
        <v>6251</v>
      </c>
      <c r="D5682" s="851">
        <v>665.53333199999997</v>
      </c>
    </row>
    <row r="5683" spans="2:4" x14ac:dyDescent="0.2">
      <c r="B5683" s="876">
        <v>6946</v>
      </c>
      <c r="C5683" s="876" t="s">
        <v>6252</v>
      </c>
      <c r="D5683" s="851">
        <v>686.32307300000002</v>
      </c>
    </row>
    <row r="5684" spans="2:4" x14ac:dyDescent="0.2">
      <c r="B5684" s="876">
        <v>6947</v>
      </c>
      <c r="C5684" s="876" t="s">
        <v>2638</v>
      </c>
      <c r="D5684" s="851">
        <v>676.03635999999995</v>
      </c>
    </row>
    <row r="5685" spans="2:4" x14ac:dyDescent="0.2">
      <c r="B5685" s="876">
        <v>6948</v>
      </c>
      <c r="C5685" s="876" t="s">
        <v>6253</v>
      </c>
      <c r="D5685" s="851">
        <v>704.55999799999995</v>
      </c>
    </row>
    <row r="5686" spans="2:4" x14ac:dyDescent="0.2">
      <c r="B5686" s="876">
        <v>6949</v>
      </c>
      <c r="C5686" s="876" t="s">
        <v>6254</v>
      </c>
      <c r="D5686" s="851">
        <v>714.41999499999997</v>
      </c>
    </row>
    <row r="5687" spans="2:4" x14ac:dyDescent="0.2">
      <c r="B5687" s="876">
        <v>6950</v>
      </c>
      <c r="C5687" s="876" t="s">
        <v>6255</v>
      </c>
      <c r="D5687" s="851">
        <v>744.90000999999995</v>
      </c>
    </row>
    <row r="5688" spans="2:4" x14ac:dyDescent="0.2">
      <c r="B5688" s="876">
        <v>6951</v>
      </c>
      <c r="C5688" s="876" t="s">
        <v>6256</v>
      </c>
      <c r="D5688" s="851">
        <v>663.56999499999995</v>
      </c>
    </row>
    <row r="5689" spans="2:4" x14ac:dyDescent="0.2">
      <c r="B5689" s="876">
        <v>6952</v>
      </c>
      <c r="C5689" s="876" t="s">
        <v>6257</v>
      </c>
      <c r="D5689" s="851">
        <v>668.79998799999998</v>
      </c>
    </row>
    <row r="5690" spans="2:4" x14ac:dyDescent="0.2">
      <c r="B5690" s="876">
        <v>6953</v>
      </c>
      <c r="C5690" s="876" t="s">
        <v>6258</v>
      </c>
      <c r="D5690" s="851">
        <v>650.60001599999998</v>
      </c>
    </row>
    <row r="5691" spans="2:4" x14ac:dyDescent="0.2">
      <c r="B5691" s="876">
        <v>6954</v>
      </c>
      <c r="C5691" s="876" t="s">
        <v>6259</v>
      </c>
      <c r="D5691" s="851">
        <v>663.86000999999999</v>
      </c>
    </row>
    <row r="5692" spans="2:4" x14ac:dyDescent="0.2">
      <c r="B5692" s="876">
        <v>6955</v>
      </c>
      <c r="C5692" s="876" t="s">
        <v>6260</v>
      </c>
      <c r="D5692" s="851">
        <v>655.93333900000005</v>
      </c>
    </row>
    <row r="5693" spans="2:4" x14ac:dyDescent="0.2">
      <c r="B5693" s="876">
        <v>6956</v>
      </c>
      <c r="C5693" s="876" t="s">
        <v>6261</v>
      </c>
      <c r="D5693" s="851">
        <v>665.05833399999995</v>
      </c>
    </row>
    <row r="5694" spans="2:4" x14ac:dyDescent="0.2">
      <c r="B5694" s="876">
        <v>6957</v>
      </c>
      <c r="C5694" s="876" t="s">
        <v>4247</v>
      </c>
      <c r="D5694" s="851">
        <v>646.12499200000002</v>
      </c>
    </row>
    <row r="5695" spans="2:4" x14ac:dyDescent="0.2">
      <c r="B5695" s="876">
        <v>6958</v>
      </c>
      <c r="C5695" s="876" t="s">
        <v>6262</v>
      </c>
      <c r="D5695" s="851">
        <v>639.80000399999994</v>
      </c>
    </row>
    <row r="5696" spans="2:4" x14ac:dyDescent="0.2">
      <c r="B5696" s="876">
        <v>6959</v>
      </c>
      <c r="C5696" s="876" t="s">
        <v>6263</v>
      </c>
      <c r="D5696" s="851">
        <v>679.490906</v>
      </c>
    </row>
    <row r="5697" spans="2:4" x14ac:dyDescent="0.2">
      <c r="B5697" s="876">
        <v>6960</v>
      </c>
      <c r="C5697" s="876" t="s">
        <v>6264</v>
      </c>
      <c r="D5697" s="851">
        <v>677.370588</v>
      </c>
    </row>
    <row r="5698" spans="2:4" x14ac:dyDescent="0.2">
      <c r="B5698" s="876">
        <v>6961</v>
      </c>
      <c r="C5698" s="876" t="s">
        <v>6265</v>
      </c>
      <c r="D5698" s="851">
        <v>674.98000500000001</v>
      </c>
    </row>
    <row r="5699" spans="2:4" x14ac:dyDescent="0.2">
      <c r="B5699" s="876">
        <v>6962</v>
      </c>
      <c r="C5699" s="876" t="s">
        <v>6266</v>
      </c>
      <c r="D5699" s="851">
        <v>686.50000699999998</v>
      </c>
    </row>
    <row r="5700" spans="2:4" x14ac:dyDescent="0.2">
      <c r="B5700" s="876">
        <v>6963</v>
      </c>
      <c r="C5700" s="876" t="s">
        <v>5358</v>
      </c>
      <c r="D5700" s="851">
        <v>695.83332800000005</v>
      </c>
    </row>
    <row r="5701" spans="2:4" x14ac:dyDescent="0.2">
      <c r="B5701" s="876">
        <v>6964</v>
      </c>
      <c r="C5701" s="876" t="s">
        <v>6267</v>
      </c>
      <c r="D5701" s="851">
        <v>684.27500199999997</v>
      </c>
    </row>
    <row r="5702" spans="2:4" x14ac:dyDescent="0.2">
      <c r="B5702" s="876">
        <v>6965</v>
      </c>
      <c r="C5702" s="876" t="s">
        <v>5384</v>
      </c>
      <c r="D5702" s="851">
        <v>686.13334099999997</v>
      </c>
    </row>
    <row r="5703" spans="2:4" x14ac:dyDescent="0.2">
      <c r="B5703" s="876">
        <v>6966</v>
      </c>
      <c r="C5703" s="876" t="s">
        <v>6268</v>
      </c>
      <c r="D5703" s="851">
        <v>688.88000499999998</v>
      </c>
    </row>
    <row r="5704" spans="2:4" x14ac:dyDescent="0.2">
      <c r="B5704" s="876">
        <v>6967</v>
      </c>
      <c r="C5704" s="876" t="s">
        <v>6269</v>
      </c>
      <c r="D5704" s="851">
        <v>684.04999399999997</v>
      </c>
    </row>
    <row r="5705" spans="2:4" x14ac:dyDescent="0.2">
      <c r="B5705" s="876">
        <v>6968</v>
      </c>
      <c r="C5705" s="876" t="s">
        <v>6270</v>
      </c>
      <c r="D5705" s="851">
        <v>682.23333700000001</v>
      </c>
    </row>
    <row r="5706" spans="2:4" x14ac:dyDescent="0.2">
      <c r="B5706" s="876">
        <v>6969</v>
      </c>
      <c r="C5706" s="876" t="s">
        <v>6271</v>
      </c>
      <c r="D5706" s="851">
        <v>698.86000999999999</v>
      </c>
    </row>
    <row r="5707" spans="2:4" x14ac:dyDescent="0.2">
      <c r="B5707" s="876">
        <v>6970</v>
      </c>
      <c r="C5707" s="876" t="s">
        <v>6272</v>
      </c>
      <c r="D5707" s="851">
        <v>692.43333900000005</v>
      </c>
    </row>
    <row r="5708" spans="2:4" x14ac:dyDescent="0.2">
      <c r="B5708" s="876">
        <v>6971</v>
      </c>
      <c r="C5708" s="876" t="s">
        <v>6273</v>
      </c>
      <c r="D5708" s="851">
        <v>687.98332700000003</v>
      </c>
    </row>
    <row r="5709" spans="2:4" x14ac:dyDescent="0.2">
      <c r="B5709" s="876">
        <v>6972</v>
      </c>
      <c r="C5709" s="876" t="s">
        <v>2359</v>
      </c>
      <c r="D5709" s="851">
        <v>678.45001200000002</v>
      </c>
    </row>
    <row r="5710" spans="2:4" x14ac:dyDescent="0.2">
      <c r="B5710" s="876">
        <v>6973</v>
      </c>
      <c r="C5710" s="876" t="s">
        <v>6274</v>
      </c>
      <c r="D5710" s="851">
        <v>676.15000899999995</v>
      </c>
    </row>
    <row r="5711" spans="2:4" x14ac:dyDescent="0.2">
      <c r="B5711" s="876">
        <v>6974</v>
      </c>
      <c r="C5711" s="876" t="s">
        <v>4684</v>
      </c>
      <c r="D5711" s="851">
        <v>700.93333900000005</v>
      </c>
    </row>
    <row r="5712" spans="2:4" x14ac:dyDescent="0.2">
      <c r="B5712" s="876">
        <v>6975</v>
      </c>
      <c r="C5712" s="876" t="s">
        <v>6275</v>
      </c>
      <c r="D5712" s="851">
        <v>694.80000800000005</v>
      </c>
    </row>
    <row r="5713" spans="2:4" x14ac:dyDescent="0.2">
      <c r="B5713" s="876">
        <v>6976</v>
      </c>
      <c r="C5713" s="876" t="s">
        <v>1605</v>
      </c>
      <c r="D5713" s="851">
        <v>699.600009</v>
      </c>
    </row>
    <row r="5714" spans="2:4" x14ac:dyDescent="0.2">
      <c r="B5714" s="876">
        <v>6977</v>
      </c>
      <c r="C5714" s="876" t="s">
        <v>6276</v>
      </c>
      <c r="D5714" s="851">
        <v>717.90000399999997</v>
      </c>
    </row>
    <row r="5715" spans="2:4" x14ac:dyDescent="0.2">
      <c r="B5715" s="876">
        <v>6978</v>
      </c>
      <c r="C5715" s="876" t="s">
        <v>6277</v>
      </c>
      <c r="D5715" s="851">
        <v>668.64615100000003</v>
      </c>
    </row>
    <row r="5716" spans="2:4" x14ac:dyDescent="0.2">
      <c r="B5716" s="876">
        <v>6979</v>
      </c>
      <c r="C5716" s="876" t="s">
        <v>6278</v>
      </c>
      <c r="D5716" s="851">
        <v>675.14999399999999</v>
      </c>
    </row>
    <row r="5717" spans="2:4" x14ac:dyDescent="0.2">
      <c r="B5717" s="876">
        <v>6980</v>
      </c>
      <c r="C5717" s="876" t="s">
        <v>6279</v>
      </c>
      <c r="D5717" s="851">
        <v>682.61429299999998</v>
      </c>
    </row>
    <row r="5718" spans="2:4" x14ac:dyDescent="0.2">
      <c r="B5718" s="876">
        <v>6981</v>
      </c>
      <c r="C5718" s="876" t="s">
        <v>6280</v>
      </c>
      <c r="D5718" s="851">
        <v>665.03749800000003</v>
      </c>
    </row>
    <row r="5719" spans="2:4" x14ac:dyDescent="0.2">
      <c r="B5719" s="876">
        <v>6982</v>
      </c>
      <c r="C5719" s="876" t="s">
        <v>6281</v>
      </c>
      <c r="D5719" s="851">
        <v>684.08749399999999</v>
      </c>
    </row>
    <row r="5720" spans="2:4" x14ac:dyDescent="0.2">
      <c r="B5720" s="876">
        <v>6983</v>
      </c>
      <c r="C5720" s="876" t="s">
        <v>6282</v>
      </c>
      <c r="D5720" s="851">
        <v>690.22727299999997</v>
      </c>
    </row>
    <row r="5721" spans="2:4" x14ac:dyDescent="0.2">
      <c r="B5721" s="876">
        <v>6984</v>
      </c>
      <c r="C5721" s="876" t="s">
        <v>4018</v>
      </c>
      <c r="D5721" s="851">
        <v>710.62000699999999</v>
      </c>
    </row>
    <row r="5722" spans="2:4" x14ac:dyDescent="0.2">
      <c r="B5722" s="876">
        <v>6985</v>
      </c>
      <c r="C5722" s="876" t="s">
        <v>6283</v>
      </c>
      <c r="D5722" s="851">
        <v>735.55999799999995</v>
      </c>
    </row>
    <row r="5723" spans="2:4" x14ac:dyDescent="0.2">
      <c r="B5723" s="876">
        <v>6986</v>
      </c>
      <c r="C5723" s="876" t="s">
        <v>6284</v>
      </c>
      <c r="D5723" s="851">
        <v>686.31333400000005</v>
      </c>
    </row>
    <row r="5724" spans="2:4" x14ac:dyDescent="0.2">
      <c r="B5724" s="876">
        <v>6987</v>
      </c>
      <c r="C5724" s="876" t="s">
        <v>6285</v>
      </c>
      <c r="D5724" s="851">
        <v>693.57999299999994</v>
      </c>
    </row>
    <row r="5725" spans="2:4" x14ac:dyDescent="0.2">
      <c r="B5725" s="876">
        <v>6988</v>
      </c>
      <c r="C5725" s="876" t="s">
        <v>6286</v>
      </c>
      <c r="D5725" s="851">
        <v>740.04998799999998</v>
      </c>
    </row>
    <row r="5726" spans="2:4" x14ac:dyDescent="0.2">
      <c r="B5726" s="876">
        <v>6989</v>
      </c>
      <c r="C5726" s="876" t="s">
        <v>6287</v>
      </c>
      <c r="D5726" s="851">
        <v>699.29999699999996</v>
      </c>
    </row>
    <row r="5727" spans="2:4" x14ac:dyDescent="0.2">
      <c r="B5727" s="876">
        <v>6990</v>
      </c>
      <c r="C5727" s="876" t="s">
        <v>6288</v>
      </c>
      <c r="D5727" s="851">
        <v>737.14000199999998</v>
      </c>
    </row>
    <row r="5728" spans="2:4" x14ac:dyDescent="0.2">
      <c r="B5728" s="876">
        <v>6991</v>
      </c>
      <c r="C5728" s="876" t="s">
        <v>6289</v>
      </c>
      <c r="D5728" s="851">
        <v>705.10000300000002</v>
      </c>
    </row>
    <row r="5729" spans="2:4" x14ac:dyDescent="0.2">
      <c r="B5729" s="876">
        <v>6992</v>
      </c>
      <c r="C5729" s="876" t="s">
        <v>6290</v>
      </c>
      <c r="D5729" s="851">
        <v>711.73331700000006</v>
      </c>
    </row>
    <row r="5730" spans="2:4" x14ac:dyDescent="0.2">
      <c r="B5730" s="876">
        <v>6993</v>
      </c>
      <c r="C5730" s="876" t="s">
        <v>6291</v>
      </c>
      <c r="D5730" s="851">
        <v>712.5</v>
      </c>
    </row>
    <row r="5731" spans="2:4" x14ac:dyDescent="0.2">
      <c r="B5731" s="876">
        <v>6994</v>
      </c>
      <c r="C5731" s="876" t="s">
        <v>6292</v>
      </c>
      <c r="D5731" s="851">
        <v>738.1</v>
      </c>
    </row>
    <row r="5732" spans="2:4" x14ac:dyDescent="0.2">
      <c r="B5732" s="876">
        <v>6995</v>
      </c>
      <c r="C5732" s="876" t="s">
        <v>2306</v>
      </c>
      <c r="D5732" s="851">
        <v>746.38570700000002</v>
      </c>
    </row>
    <row r="5733" spans="2:4" x14ac:dyDescent="0.2">
      <c r="B5733" s="876">
        <v>6996</v>
      </c>
      <c r="C5733" s="876" t="s">
        <v>6293</v>
      </c>
      <c r="D5733" s="851">
        <v>694</v>
      </c>
    </row>
    <row r="5734" spans="2:4" x14ac:dyDescent="0.2">
      <c r="B5734" s="876">
        <v>6997</v>
      </c>
      <c r="C5734" s="876" t="s">
        <v>6294</v>
      </c>
      <c r="D5734" s="851">
        <v>751.89999699999998</v>
      </c>
    </row>
    <row r="5735" spans="2:4" x14ac:dyDescent="0.2">
      <c r="B5735" s="876">
        <v>6998</v>
      </c>
      <c r="C5735" s="876" t="s">
        <v>6295</v>
      </c>
      <c r="D5735" s="851">
        <v>703.59999600000003</v>
      </c>
    </row>
    <row r="5736" spans="2:4" x14ac:dyDescent="0.2">
      <c r="B5736" s="876">
        <v>6999</v>
      </c>
      <c r="C5736" s="876" t="s">
        <v>6296</v>
      </c>
      <c r="D5736" s="851">
        <v>707.5</v>
      </c>
    </row>
    <row r="5737" spans="2:4" x14ac:dyDescent="0.2">
      <c r="B5737" s="876">
        <v>7000</v>
      </c>
      <c r="C5737" s="876" t="s">
        <v>6297</v>
      </c>
      <c r="D5737" s="851">
        <v>704.82857000000001</v>
      </c>
    </row>
    <row r="5738" spans="2:4" x14ac:dyDescent="0.2">
      <c r="B5738" s="876">
        <v>7001</v>
      </c>
      <c r="C5738" s="876" t="s">
        <v>6298</v>
      </c>
      <c r="D5738" s="851">
        <v>735.95999800000004</v>
      </c>
    </row>
    <row r="5739" spans="2:4" x14ac:dyDescent="0.2">
      <c r="B5739" s="876">
        <v>7002</v>
      </c>
      <c r="C5739" s="876" t="s">
        <v>6299</v>
      </c>
      <c r="D5739" s="851">
        <v>749.26249700000005</v>
      </c>
    </row>
    <row r="5740" spans="2:4" x14ac:dyDescent="0.2">
      <c r="B5740" s="876">
        <v>7003</v>
      </c>
      <c r="C5740" s="876" t="s">
        <v>4219</v>
      </c>
      <c r="D5740" s="851">
        <v>751.93076699999995</v>
      </c>
    </row>
    <row r="5741" spans="2:4" x14ac:dyDescent="0.2">
      <c r="B5741" s="876">
        <v>7004</v>
      </c>
      <c r="C5741" s="876" t="s">
        <v>6300</v>
      </c>
      <c r="D5741" s="851">
        <v>733.06667100000004</v>
      </c>
    </row>
    <row r="5742" spans="2:4" x14ac:dyDescent="0.2">
      <c r="B5742" s="876">
        <v>7005</v>
      </c>
      <c r="C5742" s="876" t="s">
        <v>6301</v>
      </c>
      <c r="D5742" s="851">
        <v>753.214294</v>
      </c>
    </row>
    <row r="5743" spans="2:4" x14ac:dyDescent="0.2">
      <c r="B5743" s="876">
        <v>7006</v>
      </c>
      <c r="C5743" s="876" t="s">
        <v>6302</v>
      </c>
      <c r="D5743" s="851">
        <v>757.52856399999996</v>
      </c>
    </row>
    <row r="5744" spans="2:4" x14ac:dyDescent="0.2">
      <c r="B5744" s="876">
        <v>7007</v>
      </c>
      <c r="C5744" s="876" t="s">
        <v>6303</v>
      </c>
      <c r="D5744" s="851">
        <v>696.85000600000001</v>
      </c>
    </row>
    <row r="5745" spans="2:4" x14ac:dyDescent="0.2">
      <c r="B5745" s="876">
        <v>7008</v>
      </c>
      <c r="C5745" s="876" t="s">
        <v>6304</v>
      </c>
      <c r="D5745" s="851">
        <v>712.49999400000002</v>
      </c>
    </row>
    <row r="5746" spans="2:4" x14ac:dyDescent="0.2">
      <c r="B5746" s="876">
        <v>7009</v>
      </c>
      <c r="C5746" s="876" t="s">
        <v>5829</v>
      </c>
      <c r="D5746" s="851">
        <v>622.71538399999997</v>
      </c>
    </row>
    <row r="5747" spans="2:4" x14ac:dyDescent="0.2">
      <c r="B5747" s="876">
        <v>7010</v>
      </c>
      <c r="C5747" s="876" t="s">
        <v>1621</v>
      </c>
      <c r="D5747" s="851">
        <v>683.30000600000005</v>
      </c>
    </row>
    <row r="5748" spans="2:4" x14ac:dyDescent="0.2">
      <c r="B5748" s="876">
        <v>7011</v>
      </c>
      <c r="C5748" s="876" t="s">
        <v>6305</v>
      </c>
      <c r="D5748" s="851">
        <v>684.96001000000001</v>
      </c>
    </row>
    <row r="5749" spans="2:4" x14ac:dyDescent="0.2">
      <c r="B5749" s="876">
        <v>7012</v>
      </c>
      <c r="C5749" s="876" t="s">
        <v>5640</v>
      </c>
      <c r="D5749" s="851">
        <v>691.40000199999997</v>
      </c>
    </row>
    <row r="5750" spans="2:4" x14ac:dyDescent="0.2">
      <c r="B5750" s="876">
        <v>7013</v>
      </c>
      <c r="C5750" s="876" t="s">
        <v>3620</v>
      </c>
      <c r="D5750" s="851">
        <v>707.04998799999998</v>
      </c>
    </row>
    <row r="5751" spans="2:4" x14ac:dyDescent="0.2">
      <c r="B5751" s="876">
        <v>7014</v>
      </c>
      <c r="C5751" s="876" t="s">
        <v>6306</v>
      </c>
      <c r="D5751" s="851">
        <v>640.72500600000001</v>
      </c>
    </row>
    <row r="5752" spans="2:4" x14ac:dyDescent="0.2">
      <c r="B5752" s="876">
        <v>7015</v>
      </c>
      <c r="C5752" s="876" t="s">
        <v>6307</v>
      </c>
      <c r="D5752" s="851">
        <v>632.20001200000002</v>
      </c>
    </row>
    <row r="5753" spans="2:4" x14ac:dyDescent="0.2">
      <c r="B5753" s="876">
        <v>7016</v>
      </c>
      <c r="C5753" s="876" t="s">
        <v>6308</v>
      </c>
      <c r="D5753" s="851">
        <v>654.57143699999995</v>
      </c>
    </row>
    <row r="5754" spans="2:4" x14ac:dyDescent="0.2">
      <c r="B5754" s="876">
        <v>7017</v>
      </c>
      <c r="C5754" s="876" t="s">
        <v>6309</v>
      </c>
      <c r="D5754" s="851">
        <v>643.86665900000003</v>
      </c>
    </row>
    <row r="5755" spans="2:4" x14ac:dyDescent="0.2">
      <c r="B5755" s="876">
        <v>7018</v>
      </c>
      <c r="C5755" s="876" t="s">
        <v>6310</v>
      </c>
      <c r="D5755" s="851">
        <v>695.22857699999997</v>
      </c>
    </row>
    <row r="5756" spans="2:4" x14ac:dyDescent="0.2">
      <c r="B5756" s="876">
        <v>7019</v>
      </c>
      <c r="C5756" s="876" t="s">
        <v>1740</v>
      </c>
      <c r="D5756" s="851">
        <v>644.79998799999998</v>
      </c>
    </row>
    <row r="5757" spans="2:4" x14ac:dyDescent="0.2">
      <c r="B5757" s="876">
        <v>7020</v>
      </c>
      <c r="C5757" s="876" t="s">
        <v>6311</v>
      </c>
      <c r="D5757" s="851">
        <v>664.76666299999999</v>
      </c>
    </row>
    <row r="5758" spans="2:4" x14ac:dyDescent="0.2">
      <c r="B5758" s="876">
        <v>7021</v>
      </c>
      <c r="C5758" s="876" t="s">
        <v>6312</v>
      </c>
      <c r="D5758" s="851">
        <v>670.70588199999997</v>
      </c>
    </row>
    <row r="5759" spans="2:4" x14ac:dyDescent="0.2">
      <c r="B5759" s="876">
        <v>7022</v>
      </c>
      <c r="C5759" s="876" t="s">
        <v>6313</v>
      </c>
      <c r="D5759" s="851">
        <v>693.54998799999998</v>
      </c>
    </row>
    <row r="5760" spans="2:4" x14ac:dyDescent="0.2">
      <c r="B5760" s="876">
        <v>7023</v>
      </c>
      <c r="C5760" s="876" t="s">
        <v>6314</v>
      </c>
      <c r="D5760" s="851">
        <v>711.07499700000005</v>
      </c>
    </row>
    <row r="5761" spans="2:4" x14ac:dyDescent="0.2">
      <c r="B5761" s="876">
        <v>7024</v>
      </c>
      <c r="C5761" s="876" t="s">
        <v>6315</v>
      </c>
      <c r="D5761" s="851">
        <v>687</v>
      </c>
    </row>
    <row r="5762" spans="2:4" x14ac:dyDescent="0.2">
      <c r="B5762" s="876">
        <v>7025</v>
      </c>
      <c r="C5762" s="876" t="s">
        <v>6316</v>
      </c>
      <c r="D5762" s="851">
        <v>726.31668100000002</v>
      </c>
    </row>
    <row r="5763" spans="2:4" x14ac:dyDescent="0.2">
      <c r="B5763" s="876">
        <v>7026</v>
      </c>
      <c r="C5763" s="876" t="s">
        <v>6317</v>
      </c>
      <c r="D5763" s="851">
        <v>744</v>
      </c>
    </row>
    <row r="5764" spans="2:4" x14ac:dyDescent="0.2">
      <c r="B5764" s="876">
        <v>7027</v>
      </c>
      <c r="C5764" s="876" t="s">
        <v>4074</v>
      </c>
      <c r="D5764" s="851">
        <v>717.43333900000005</v>
      </c>
    </row>
    <row r="5765" spans="2:4" x14ac:dyDescent="0.2">
      <c r="B5765" s="876">
        <v>7028</v>
      </c>
      <c r="C5765" s="876" t="s">
        <v>6318</v>
      </c>
      <c r="D5765" s="851">
        <v>702.21999500000004</v>
      </c>
    </row>
    <row r="5766" spans="2:4" x14ac:dyDescent="0.2">
      <c r="B5766" s="876">
        <v>7029</v>
      </c>
      <c r="C5766" s="876" t="s">
        <v>6319</v>
      </c>
      <c r="D5766" s="851">
        <v>749.63334099999997</v>
      </c>
    </row>
    <row r="5767" spans="2:4" x14ac:dyDescent="0.2">
      <c r="B5767" s="876">
        <v>7030</v>
      </c>
      <c r="C5767" s="876" t="s">
        <v>6320</v>
      </c>
      <c r="D5767" s="851">
        <v>650.97143600000004</v>
      </c>
    </row>
    <row r="5768" spans="2:4" x14ac:dyDescent="0.2">
      <c r="B5768" s="876">
        <v>7031</v>
      </c>
      <c r="C5768" s="876" t="s">
        <v>1784</v>
      </c>
      <c r="D5768" s="851">
        <v>740.114284</v>
      </c>
    </row>
    <row r="5769" spans="2:4" x14ac:dyDescent="0.2">
      <c r="B5769" s="876">
        <v>7032</v>
      </c>
      <c r="C5769" s="876" t="s">
        <v>6321</v>
      </c>
      <c r="D5769" s="851">
        <v>690.63334099999997</v>
      </c>
    </row>
    <row r="5770" spans="2:4" x14ac:dyDescent="0.2">
      <c r="B5770" s="876">
        <v>7033</v>
      </c>
      <c r="C5770" s="876" t="s">
        <v>6322</v>
      </c>
      <c r="D5770" s="851">
        <v>642.72500600000001</v>
      </c>
    </row>
    <row r="5771" spans="2:4" x14ac:dyDescent="0.2">
      <c r="B5771" s="876">
        <v>7034</v>
      </c>
      <c r="C5771" s="876" t="s">
        <v>6323</v>
      </c>
      <c r="D5771" s="851">
        <v>687.38001699999995</v>
      </c>
    </row>
    <row r="5772" spans="2:4" x14ac:dyDescent="0.2">
      <c r="B5772" s="876">
        <v>7035</v>
      </c>
      <c r="C5772" s="876" t="s">
        <v>4747</v>
      </c>
      <c r="D5772" s="851">
        <v>709.95000500000003</v>
      </c>
    </row>
    <row r="5773" spans="2:4" x14ac:dyDescent="0.2">
      <c r="B5773" s="876">
        <v>7036</v>
      </c>
      <c r="C5773" s="876" t="s">
        <v>6324</v>
      </c>
      <c r="D5773" s="851">
        <v>686.66665599999999</v>
      </c>
    </row>
    <row r="5774" spans="2:4" x14ac:dyDescent="0.2">
      <c r="B5774" s="876">
        <v>7037</v>
      </c>
      <c r="C5774" s="876" t="s">
        <v>6325</v>
      </c>
      <c r="D5774" s="851">
        <v>724.27500899999995</v>
      </c>
    </row>
    <row r="5775" spans="2:4" x14ac:dyDescent="0.2">
      <c r="B5775" s="876">
        <v>7038</v>
      </c>
      <c r="C5775" s="876" t="s">
        <v>6326</v>
      </c>
      <c r="D5775" s="851">
        <v>682</v>
      </c>
    </row>
    <row r="5776" spans="2:4" x14ac:dyDescent="0.2">
      <c r="B5776" s="876">
        <v>7039</v>
      </c>
      <c r="C5776" s="876" t="s">
        <v>6327</v>
      </c>
      <c r="D5776" s="851">
        <v>641.42857100000003</v>
      </c>
    </row>
    <row r="5777" spans="2:4" x14ac:dyDescent="0.2">
      <c r="B5777" s="876">
        <v>7051</v>
      </c>
      <c r="C5777" s="876" t="s">
        <v>6328</v>
      </c>
      <c r="D5777" s="851">
        <v>709.52223000000004</v>
      </c>
    </row>
    <row r="5778" spans="2:4" x14ac:dyDescent="0.2">
      <c r="B5778" s="876">
        <v>7052</v>
      </c>
      <c r="C5778" s="876" t="s">
        <v>6329</v>
      </c>
      <c r="D5778" s="851">
        <v>701.71428600000002</v>
      </c>
    </row>
    <row r="5779" spans="2:4" x14ac:dyDescent="0.2">
      <c r="B5779" s="876">
        <v>7053</v>
      </c>
      <c r="C5779" s="876" t="s">
        <v>6330</v>
      </c>
      <c r="D5779" s="851">
        <v>680.47499100000005</v>
      </c>
    </row>
    <row r="5780" spans="2:4" x14ac:dyDescent="0.2">
      <c r="B5780" s="876">
        <v>7054</v>
      </c>
      <c r="C5780" s="876" t="s">
        <v>393</v>
      </c>
      <c r="D5780" s="851">
        <v>673.73199699999998</v>
      </c>
    </row>
    <row r="5781" spans="2:4" x14ac:dyDescent="0.2">
      <c r="B5781" s="876">
        <v>7055</v>
      </c>
      <c r="C5781" s="876" t="s">
        <v>6331</v>
      </c>
      <c r="D5781" s="851">
        <v>668.96000400000003</v>
      </c>
    </row>
    <row r="5782" spans="2:4" x14ac:dyDescent="0.2">
      <c r="B5782" s="876">
        <v>7056</v>
      </c>
      <c r="C5782" s="876" t="s">
        <v>6332</v>
      </c>
      <c r="D5782" s="851">
        <v>678.70000500000003</v>
      </c>
    </row>
    <row r="5783" spans="2:4" x14ac:dyDescent="0.2">
      <c r="B5783" s="876">
        <v>7057</v>
      </c>
      <c r="C5783" s="876" t="s">
        <v>6180</v>
      </c>
      <c r="D5783" s="851">
        <v>683.59999600000003</v>
      </c>
    </row>
    <row r="5784" spans="2:4" x14ac:dyDescent="0.2">
      <c r="B5784" s="876">
        <v>7058</v>
      </c>
      <c r="C5784" s="876" t="s">
        <v>6333</v>
      </c>
      <c r="D5784" s="851">
        <v>695.98750299999995</v>
      </c>
    </row>
    <row r="5785" spans="2:4" x14ac:dyDescent="0.2">
      <c r="B5785" s="876">
        <v>7059</v>
      </c>
      <c r="C5785" s="876" t="s">
        <v>6334</v>
      </c>
      <c r="D5785" s="851">
        <v>719.66665599999999</v>
      </c>
    </row>
    <row r="5786" spans="2:4" x14ac:dyDescent="0.2">
      <c r="B5786" s="876">
        <v>7060</v>
      </c>
      <c r="C5786" s="876" t="s">
        <v>6335</v>
      </c>
      <c r="D5786" s="851">
        <v>691.740002</v>
      </c>
    </row>
    <row r="5787" spans="2:4" x14ac:dyDescent="0.2">
      <c r="B5787" s="876">
        <v>7061</v>
      </c>
      <c r="C5787" s="876" t="s">
        <v>6336</v>
      </c>
      <c r="D5787" s="851">
        <v>723.759998</v>
      </c>
    </row>
    <row r="5788" spans="2:4" x14ac:dyDescent="0.2">
      <c r="B5788" s="876">
        <v>7062</v>
      </c>
      <c r="C5788" s="876" t="s">
        <v>6337</v>
      </c>
      <c r="D5788" s="851">
        <v>744.56666099999995</v>
      </c>
    </row>
    <row r="5789" spans="2:4" x14ac:dyDescent="0.2">
      <c r="B5789" s="876">
        <v>7063</v>
      </c>
      <c r="C5789" s="876" t="s">
        <v>6338</v>
      </c>
      <c r="D5789" s="851">
        <v>683.10000600000001</v>
      </c>
    </row>
    <row r="5790" spans="2:4" x14ac:dyDescent="0.2">
      <c r="B5790" s="876">
        <v>7064</v>
      </c>
      <c r="C5790" s="876" t="s">
        <v>6339</v>
      </c>
      <c r="D5790" s="851">
        <v>662.71666500000003</v>
      </c>
    </row>
    <row r="5791" spans="2:4" x14ac:dyDescent="0.2">
      <c r="B5791" s="876">
        <v>7065</v>
      </c>
      <c r="C5791" s="876" t="s">
        <v>6340</v>
      </c>
      <c r="D5791" s="851">
        <v>665.90000399999997</v>
      </c>
    </row>
    <row r="5792" spans="2:4" x14ac:dyDescent="0.2">
      <c r="B5792" s="876">
        <v>7066</v>
      </c>
      <c r="C5792" s="876" t="s">
        <v>6341</v>
      </c>
      <c r="D5792" s="851">
        <v>661.31427900000006</v>
      </c>
    </row>
    <row r="5793" spans="2:4" x14ac:dyDescent="0.2">
      <c r="B5793" s="876">
        <v>7067</v>
      </c>
      <c r="C5793" s="876" t="s">
        <v>6311</v>
      </c>
      <c r="D5793" s="851">
        <v>683.883331</v>
      </c>
    </row>
    <row r="5794" spans="2:4" x14ac:dyDescent="0.2">
      <c r="B5794" s="876">
        <v>7068</v>
      </c>
      <c r="C5794" s="876" t="s">
        <v>4684</v>
      </c>
      <c r="D5794" s="851">
        <v>699.81999499999995</v>
      </c>
    </row>
    <row r="5795" spans="2:4" x14ac:dyDescent="0.2">
      <c r="B5795" s="876">
        <v>7069</v>
      </c>
      <c r="C5795" s="876" t="s">
        <v>2737</v>
      </c>
      <c r="D5795" s="851">
        <v>728.29998799999998</v>
      </c>
    </row>
    <row r="5796" spans="2:4" x14ac:dyDescent="0.2">
      <c r="B5796" s="876">
        <v>7070</v>
      </c>
      <c r="C5796" s="876" t="s">
        <v>6342</v>
      </c>
      <c r="D5796" s="851">
        <v>703.34444900000005</v>
      </c>
    </row>
    <row r="5797" spans="2:4" x14ac:dyDescent="0.2">
      <c r="B5797" s="876">
        <v>7071</v>
      </c>
      <c r="C5797" s="876" t="s">
        <v>6343</v>
      </c>
      <c r="D5797" s="851">
        <v>716.36665900000003</v>
      </c>
    </row>
    <row r="5798" spans="2:4" x14ac:dyDescent="0.2">
      <c r="B5798" s="876">
        <v>7072</v>
      </c>
      <c r="C5798" s="876" t="s">
        <v>369</v>
      </c>
      <c r="D5798" s="851">
        <v>722.18749200000002</v>
      </c>
    </row>
    <row r="5799" spans="2:4" x14ac:dyDescent="0.2">
      <c r="B5799" s="876">
        <v>7073</v>
      </c>
      <c r="C5799" s="876" t="s">
        <v>2638</v>
      </c>
      <c r="D5799" s="851">
        <v>737.13332100000002</v>
      </c>
    </row>
    <row r="5800" spans="2:4" x14ac:dyDescent="0.2">
      <c r="B5800" s="876">
        <v>7074</v>
      </c>
      <c r="C5800" s="876" t="s">
        <v>6344</v>
      </c>
      <c r="D5800" s="851">
        <v>750.70001200000002</v>
      </c>
    </row>
    <row r="5801" spans="2:4" x14ac:dyDescent="0.2">
      <c r="B5801" s="876">
        <v>7075</v>
      </c>
      <c r="C5801" s="876" t="s">
        <v>6345</v>
      </c>
      <c r="D5801" s="851">
        <v>728.06001000000003</v>
      </c>
    </row>
    <row r="5802" spans="2:4" x14ac:dyDescent="0.2">
      <c r="B5802" s="876">
        <v>7076</v>
      </c>
      <c r="C5802" s="876" t="s">
        <v>6346</v>
      </c>
      <c r="D5802" s="851">
        <v>731.59997599999997</v>
      </c>
    </row>
    <row r="5803" spans="2:4" x14ac:dyDescent="0.2">
      <c r="B5803" s="876">
        <v>7077</v>
      </c>
      <c r="C5803" s="876" t="s">
        <v>6347</v>
      </c>
      <c r="D5803" s="851">
        <v>735.73333700000001</v>
      </c>
    </row>
    <row r="5804" spans="2:4" x14ac:dyDescent="0.2">
      <c r="B5804" s="876">
        <v>7078</v>
      </c>
      <c r="C5804" s="876" t="s">
        <v>5731</v>
      </c>
      <c r="D5804" s="851">
        <v>771.03334600000005</v>
      </c>
    </row>
    <row r="5805" spans="2:4" x14ac:dyDescent="0.2">
      <c r="B5805" s="876">
        <v>7079</v>
      </c>
      <c r="C5805" s="876" t="s">
        <v>6348</v>
      </c>
      <c r="D5805" s="851">
        <v>754.42500299999995</v>
      </c>
    </row>
    <row r="5806" spans="2:4" x14ac:dyDescent="0.2">
      <c r="B5806" s="876">
        <v>7080</v>
      </c>
      <c r="C5806" s="876" t="s">
        <v>6349</v>
      </c>
      <c r="D5806" s="851">
        <v>754.01999499999999</v>
      </c>
    </row>
    <row r="5807" spans="2:4" x14ac:dyDescent="0.2">
      <c r="B5807" s="876">
        <v>7081</v>
      </c>
      <c r="C5807" s="876" t="s">
        <v>6350</v>
      </c>
      <c r="D5807" s="851">
        <v>711.85000600000001</v>
      </c>
    </row>
    <row r="5808" spans="2:4" x14ac:dyDescent="0.2">
      <c r="B5808" s="876">
        <v>7082</v>
      </c>
      <c r="C5808" s="876" t="s">
        <v>6351</v>
      </c>
      <c r="D5808" s="851">
        <v>737.85000600000001</v>
      </c>
    </row>
    <row r="5809" spans="2:4" x14ac:dyDescent="0.2">
      <c r="B5809" s="876">
        <v>7083</v>
      </c>
      <c r="C5809" s="876" t="s">
        <v>6352</v>
      </c>
      <c r="D5809" s="851">
        <v>741.76666299999999</v>
      </c>
    </row>
    <row r="5810" spans="2:4" x14ac:dyDescent="0.2">
      <c r="B5810" s="876">
        <v>7084</v>
      </c>
      <c r="C5810" s="876" t="s">
        <v>6353</v>
      </c>
      <c r="D5810" s="851">
        <v>759.64999399999999</v>
      </c>
    </row>
    <row r="5811" spans="2:4" x14ac:dyDescent="0.2">
      <c r="B5811" s="876">
        <v>7085</v>
      </c>
      <c r="C5811" s="876" t="s">
        <v>6354</v>
      </c>
      <c r="D5811" s="851">
        <v>749.23332700000003</v>
      </c>
    </row>
    <row r="5812" spans="2:4" x14ac:dyDescent="0.2">
      <c r="B5812" s="876">
        <v>7086</v>
      </c>
      <c r="C5812" s="876" t="s">
        <v>6355</v>
      </c>
      <c r="D5812" s="851">
        <v>772.52500899999995</v>
      </c>
    </row>
    <row r="5813" spans="2:4" x14ac:dyDescent="0.2">
      <c r="B5813" s="876">
        <v>7087</v>
      </c>
      <c r="C5813" s="876" t="s">
        <v>5600</v>
      </c>
      <c r="D5813" s="851">
        <v>761.83749399999999</v>
      </c>
    </row>
    <row r="5814" spans="2:4" x14ac:dyDescent="0.2">
      <c r="B5814" s="876">
        <v>7088</v>
      </c>
      <c r="C5814" s="876" t="s">
        <v>5733</v>
      </c>
      <c r="D5814" s="851">
        <v>784.27499399999999</v>
      </c>
    </row>
    <row r="5815" spans="2:4" x14ac:dyDescent="0.2">
      <c r="B5815" s="876">
        <v>7089</v>
      </c>
      <c r="C5815" s="876" t="s">
        <v>6356</v>
      </c>
      <c r="D5815" s="851">
        <v>770.59999600000003</v>
      </c>
    </row>
    <row r="5816" spans="2:4" x14ac:dyDescent="0.2">
      <c r="B5816" s="876">
        <v>7090</v>
      </c>
      <c r="C5816" s="876" t="s">
        <v>6357</v>
      </c>
      <c r="D5816" s="851">
        <v>772.96667500000001</v>
      </c>
    </row>
    <row r="5817" spans="2:4" x14ac:dyDescent="0.2">
      <c r="B5817" s="876">
        <v>7091</v>
      </c>
      <c r="C5817" s="876" t="s">
        <v>6358</v>
      </c>
      <c r="D5817" s="851">
        <v>795.66428900000005</v>
      </c>
    </row>
    <row r="5818" spans="2:4" x14ac:dyDescent="0.2">
      <c r="B5818" s="876">
        <v>7092</v>
      </c>
      <c r="C5818" s="876" t="s">
        <v>3411</v>
      </c>
      <c r="D5818" s="851">
        <v>806.76668299999994</v>
      </c>
    </row>
    <row r="5819" spans="2:4" x14ac:dyDescent="0.2">
      <c r="B5819" s="876">
        <v>7093</v>
      </c>
      <c r="C5819" s="876" t="s">
        <v>6359</v>
      </c>
      <c r="D5819" s="851">
        <v>801.55714599999999</v>
      </c>
    </row>
    <row r="5820" spans="2:4" x14ac:dyDescent="0.2">
      <c r="B5820" s="876">
        <v>7094</v>
      </c>
      <c r="C5820" s="876" t="s">
        <v>6360</v>
      </c>
      <c r="D5820" s="851">
        <v>785.29998799999998</v>
      </c>
    </row>
    <row r="5821" spans="2:4" x14ac:dyDescent="0.2">
      <c r="B5821" s="876">
        <v>7095</v>
      </c>
      <c r="C5821" s="876" t="s">
        <v>6361</v>
      </c>
      <c r="D5821" s="851">
        <v>809.60001599999998</v>
      </c>
    </row>
    <row r="5822" spans="2:4" x14ac:dyDescent="0.2">
      <c r="B5822" s="876">
        <v>7096</v>
      </c>
      <c r="C5822" s="876" t="s">
        <v>6362</v>
      </c>
      <c r="D5822" s="851">
        <v>816.55555600000002</v>
      </c>
    </row>
    <row r="5823" spans="2:4" x14ac:dyDescent="0.2">
      <c r="B5823" s="876">
        <v>7097</v>
      </c>
      <c r="C5823" s="876" t="s">
        <v>6363</v>
      </c>
      <c r="D5823" s="851">
        <v>822.91666699999996</v>
      </c>
    </row>
    <row r="5824" spans="2:4" x14ac:dyDescent="0.2">
      <c r="B5824" s="876">
        <v>7098</v>
      </c>
      <c r="C5824" s="876" t="s">
        <v>6364</v>
      </c>
      <c r="D5824" s="851">
        <v>822.66250600000001</v>
      </c>
    </row>
    <row r="5825" spans="2:4" x14ac:dyDescent="0.2">
      <c r="B5825" s="876">
        <v>7099</v>
      </c>
      <c r="C5825" s="876" t="s">
        <v>6365</v>
      </c>
      <c r="D5825" s="851">
        <v>844.389996</v>
      </c>
    </row>
    <row r="5826" spans="2:4" x14ac:dyDescent="0.2">
      <c r="B5826" s="876">
        <v>7100</v>
      </c>
      <c r="C5826" s="876" t="s">
        <v>6366</v>
      </c>
      <c r="D5826" s="851">
        <v>849.5</v>
      </c>
    </row>
    <row r="5827" spans="2:4" x14ac:dyDescent="0.2">
      <c r="B5827" s="876">
        <v>7101</v>
      </c>
      <c r="C5827" s="876" t="s">
        <v>6367</v>
      </c>
      <c r="D5827" s="851">
        <v>794.43333299999995</v>
      </c>
    </row>
    <row r="5828" spans="2:4" x14ac:dyDescent="0.2">
      <c r="B5828" s="876">
        <v>7102</v>
      </c>
      <c r="C5828" s="876" t="s">
        <v>6368</v>
      </c>
      <c r="D5828" s="851">
        <v>853.24284999999998</v>
      </c>
    </row>
    <row r="5829" spans="2:4" x14ac:dyDescent="0.2">
      <c r="B5829" s="876">
        <v>7103</v>
      </c>
      <c r="C5829" s="876" t="s">
        <v>6369</v>
      </c>
      <c r="D5829" s="851">
        <v>916</v>
      </c>
    </row>
    <row r="5830" spans="2:4" x14ac:dyDescent="0.2">
      <c r="B5830" s="876">
        <v>7104</v>
      </c>
      <c r="C5830" s="876" t="s">
        <v>6275</v>
      </c>
      <c r="D5830" s="851">
        <v>649.35000600000001</v>
      </c>
    </row>
    <row r="5831" spans="2:4" x14ac:dyDescent="0.2">
      <c r="B5831" s="876">
        <v>7105</v>
      </c>
      <c r="C5831" s="876" t="s">
        <v>6370</v>
      </c>
      <c r="D5831" s="851">
        <v>663.82105100000001</v>
      </c>
    </row>
    <row r="5832" spans="2:4" x14ac:dyDescent="0.2">
      <c r="B5832" s="876">
        <v>7106</v>
      </c>
      <c r="C5832" s="876" t="s">
        <v>6371</v>
      </c>
      <c r="D5832" s="851">
        <v>646.48749499999997</v>
      </c>
    </row>
    <row r="5833" spans="2:4" x14ac:dyDescent="0.2">
      <c r="B5833" s="876">
        <v>7107</v>
      </c>
      <c r="C5833" s="876" t="s">
        <v>392</v>
      </c>
      <c r="D5833" s="851">
        <v>652.98333700000001</v>
      </c>
    </row>
    <row r="5834" spans="2:4" x14ac:dyDescent="0.2">
      <c r="B5834" s="876">
        <v>7108</v>
      </c>
      <c r="C5834" s="876" t="s">
        <v>6372</v>
      </c>
      <c r="D5834" s="851">
        <v>662.32499199999995</v>
      </c>
    </row>
    <row r="5835" spans="2:4" x14ac:dyDescent="0.2">
      <c r="B5835" s="876">
        <v>7109</v>
      </c>
      <c r="C5835" s="876" t="s">
        <v>6373</v>
      </c>
      <c r="D5835" s="851">
        <v>686.29998799999998</v>
      </c>
    </row>
    <row r="5836" spans="2:4" x14ac:dyDescent="0.2">
      <c r="B5836" s="876">
        <v>7110</v>
      </c>
      <c r="C5836" s="876" t="s">
        <v>6374</v>
      </c>
      <c r="D5836" s="851">
        <v>734.69998199999998</v>
      </c>
    </row>
    <row r="5837" spans="2:4" x14ac:dyDescent="0.2">
      <c r="B5837" s="876">
        <v>7111</v>
      </c>
      <c r="C5837" s="876" t="s">
        <v>6375</v>
      </c>
      <c r="D5837" s="851">
        <v>690.70001200000002</v>
      </c>
    </row>
    <row r="5838" spans="2:4" x14ac:dyDescent="0.2">
      <c r="B5838" s="876">
        <v>7112</v>
      </c>
      <c r="C5838" s="876" t="s">
        <v>6376</v>
      </c>
      <c r="D5838" s="851">
        <v>711.5</v>
      </c>
    </row>
    <row r="5839" spans="2:4" x14ac:dyDescent="0.2">
      <c r="B5839" s="876">
        <v>7113</v>
      </c>
      <c r="C5839" s="876" t="s">
        <v>6377</v>
      </c>
      <c r="D5839" s="851">
        <v>748.02000699999996</v>
      </c>
    </row>
    <row r="5840" spans="2:4" x14ac:dyDescent="0.2">
      <c r="B5840" s="876">
        <v>7114</v>
      </c>
      <c r="C5840" s="876" t="s">
        <v>6378</v>
      </c>
      <c r="D5840" s="851">
        <v>692.44000200000005</v>
      </c>
    </row>
    <row r="5841" spans="2:4" x14ac:dyDescent="0.2">
      <c r="B5841" s="876">
        <v>7115</v>
      </c>
      <c r="C5841" s="876" t="s">
        <v>6379</v>
      </c>
      <c r="D5841" s="851">
        <v>737.65000899999995</v>
      </c>
    </row>
    <row r="5842" spans="2:4" x14ac:dyDescent="0.2">
      <c r="B5842" s="876">
        <v>7116</v>
      </c>
      <c r="C5842" s="876" t="s">
        <v>6380</v>
      </c>
      <c r="D5842" s="851">
        <v>719.01818300000002</v>
      </c>
    </row>
    <row r="5843" spans="2:4" x14ac:dyDescent="0.2">
      <c r="B5843" s="876">
        <v>7117</v>
      </c>
      <c r="C5843" s="876" t="s">
        <v>5033</v>
      </c>
      <c r="D5843" s="851">
        <v>726.57999299999994</v>
      </c>
    </row>
    <row r="5844" spans="2:4" x14ac:dyDescent="0.2">
      <c r="B5844" s="876">
        <v>7118</v>
      </c>
      <c r="C5844" s="876" t="s">
        <v>6381</v>
      </c>
      <c r="D5844" s="851">
        <v>714.23333700000001</v>
      </c>
    </row>
    <row r="5845" spans="2:4" x14ac:dyDescent="0.2">
      <c r="B5845" s="876">
        <v>7119</v>
      </c>
      <c r="C5845" s="876" t="s">
        <v>6382</v>
      </c>
      <c r="D5845" s="851">
        <v>745.86667899999998</v>
      </c>
    </row>
    <row r="5846" spans="2:4" x14ac:dyDescent="0.2">
      <c r="B5846" s="876">
        <v>7120</v>
      </c>
      <c r="C5846" s="876" t="s">
        <v>6383</v>
      </c>
      <c r="D5846" s="851">
        <v>741.39999399999999</v>
      </c>
    </row>
    <row r="5847" spans="2:4" x14ac:dyDescent="0.2">
      <c r="B5847" s="876">
        <v>7121</v>
      </c>
      <c r="C5847" s="876" t="s">
        <v>6384</v>
      </c>
      <c r="D5847" s="851">
        <v>767.01428199999998</v>
      </c>
    </row>
    <row r="5848" spans="2:4" x14ac:dyDescent="0.2">
      <c r="B5848" s="876">
        <v>7122</v>
      </c>
      <c r="C5848" s="876" t="s">
        <v>6385</v>
      </c>
      <c r="D5848" s="851">
        <v>742.94998199999998</v>
      </c>
    </row>
    <row r="5849" spans="2:4" x14ac:dyDescent="0.2">
      <c r="B5849" s="876">
        <v>7123</v>
      </c>
      <c r="C5849" s="876" t="s">
        <v>4483</v>
      </c>
      <c r="D5849" s="851">
        <v>733.53998999999999</v>
      </c>
    </row>
    <row r="5850" spans="2:4" x14ac:dyDescent="0.2">
      <c r="B5850" s="876">
        <v>7124</v>
      </c>
      <c r="C5850" s="876" t="s">
        <v>6386</v>
      </c>
      <c r="D5850" s="851">
        <v>754.59999600000003</v>
      </c>
    </row>
    <row r="5851" spans="2:4" x14ac:dyDescent="0.2">
      <c r="B5851" s="876">
        <v>7125</v>
      </c>
      <c r="C5851" s="876" t="s">
        <v>6387</v>
      </c>
      <c r="D5851" s="851">
        <v>779.95713599999999</v>
      </c>
    </row>
    <row r="5852" spans="2:4" x14ac:dyDescent="0.2">
      <c r="B5852" s="876">
        <v>7126</v>
      </c>
      <c r="C5852" s="876" t="s">
        <v>6388</v>
      </c>
      <c r="D5852" s="851">
        <v>769.63334099999997</v>
      </c>
    </row>
    <row r="5853" spans="2:4" x14ac:dyDescent="0.2">
      <c r="B5853" s="876">
        <v>7127</v>
      </c>
      <c r="C5853" s="876" t="s">
        <v>6389</v>
      </c>
      <c r="D5853" s="851">
        <v>773.83333300000004</v>
      </c>
    </row>
    <row r="5854" spans="2:4" x14ac:dyDescent="0.2">
      <c r="B5854" s="876">
        <v>7128</v>
      </c>
      <c r="C5854" s="876" t="s">
        <v>5207</v>
      </c>
      <c r="D5854" s="851">
        <v>770.56001000000003</v>
      </c>
    </row>
    <row r="5855" spans="2:4" x14ac:dyDescent="0.2">
      <c r="B5855" s="876">
        <v>7129</v>
      </c>
      <c r="C5855" s="876" t="s">
        <v>6390</v>
      </c>
      <c r="D5855" s="851">
        <v>782.89999799999998</v>
      </c>
    </row>
    <row r="5856" spans="2:4" x14ac:dyDescent="0.2">
      <c r="B5856" s="876">
        <v>7130</v>
      </c>
      <c r="C5856" s="876" t="s">
        <v>6391</v>
      </c>
      <c r="D5856" s="851">
        <v>794.43332899999996</v>
      </c>
    </row>
    <row r="5857" spans="2:4" x14ac:dyDescent="0.2">
      <c r="B5857" s="876">
        <v>7131</v>
      </c>
      <c r="C5857" s="876" t="s">
        <v>6392</v>
      </c>
      <c r="D5857" s="851">
        <v>801.29998799999998</v>
      </c>
    </row>
    <row r="5858" spans="2:4" x14ac:dyDescent="0.2">
      <c r="B5858" s="876">
        <v>7132</v>
      </c>
      <c r="C5858" s="876" t="s">
        <v>6393</v>
      </c>
      <c r="D5858" s="851">
        <v>802.83333300000004</v>
      </c>
    </row>
    <row r="5859" spans="2:4" x14ac:dyDescent="0.2">
      <c r="B5859" s="876">
        <v>7133</v>
      </c>
      <c r="C5859" s="876" t="s">
        <v>6394</v>
      </c>
      <c r="D5859" s="851">
        <v>795.21999500000004</v>
      </c>
    </row>
    <row r="5860" spans="2:4" x14ac:dyDescent="0.2">
      <c r="B5860" s="876">
        <v>7134</v>
      </c>
      <c r="C5860" s="876" t="s">
        <v>6395</v>
      </c>
      <c r="D5860" s="851">
        <v>680.22500600000001</v>
      </c>
    </row>
    <row r="5861" spans="2:4" x14ac:dyDescent="0.2">
      <c r="B5861" s="876">
        <v>7135</v>
      </c>
      <c r="C5861" s="876" t="s">
        <v>3191</v>
      </c>
      <c r="D5861" s="851">
        <v>693.94998199999998</v>
      </c>
    </row>
    <row r="5862" spans="2:4" x14ac:dyDescent="0.2">
      <c r="B5862" s="876">
        <v>7136</v>
      </c>
      <c r="C5862" s="876" t="s">
        <v>6396</v>
      </c>
      <c r="D5862" s="851">
        <v>696.75998500000003</v>
      </c>
    </row>
    <row r="5863" spans="2:4" x14ac:dyDescent="0.2">
      <c r="B5863" s="876">
        <v>7137</v>
      </c>
      <c r="C5863" s="876" t="s">
        <v>6397</v>
      </c>
      <c r="D5863" s="851">
        <v>715.80000800000005</v>
      </c>
    </row>
    <row r="5864" spans="2:4" x14ac:dyDescent="0.2">
      <c r="B5864" s="876">
        <v>7138</v>
      </c>
      <c r="C5864" s="876" t="s">
        <v>6398</v>
      </c>
      <c r="D5864" s="851">
        <v>706.85000600000001</v>
      </c>
    </row>
    <row r="5865" spans="2:4" x14ac:dyDescent="0.2">
      <c r="B5865" s="876">
        <v>7139</v>
      </c>
      <c r="C5865" s="876" t="s">
        <v>6399</v>
      </c>
      <c r="D5865" s="851">
        <v>728.13334099999997</v>
      </c>
    </row>
    <row r="5866" spans="2:4" x14ac:dyDescent="0.2">
      <c r="B5866" s="876">
        <v>7140</v>
      </c>
      <c r="C5866" s="876" t="s">
        <v>6400</v>
      </c>
      <c r="D5866" s="851">
        <v>733.95001200000002</v>
      </c>
    </row>
    <row r="5867" spans="2:4" x14ac:dyDescent="0.2">
      <c r="B5867" s="876">
        <v>7141</v>
      </c>
      <c r="C5867" s="876" t="s">
        <v>6401</v>
      </c>
      <c r="D5867" s="851">
        <v>723.93750799999998</v>
      </c>
    </row>
    <row r="5868" spans="2:4" x14ac:dyDescent="0.2">
      <c r="B5868" s="876">
        <v>7142</v>
      </c>
      <c r="C5868" s="876" t="s">
        <v>6402</v>
      </c>
      <c r="D5868" s="851">
        <v>688.90000699999996</v>
      </c>
    </row>
    <row r="5869" spans="2:4" x14ac:dyDescent="0.2">
      <c r="B5869" s="876">
        <v>7143</v>
      </c>
      <c r="C5869" s="876" t="s">
        <v>6403</v>
      </c>
      <c r="D5869" s="851">
        <v>703.45555999999999</v>
      </c>
    </row>
    <row r="5870" spans="2:4" x14ac:dyDescent="0.2">
      <c r="B5870" s="876">
        <v>7144</v>
      </c>
      <c r="C5870" s="876" t="s">
        <v>6404</v>
      </c>
      <c r="D5870" s="851">
        <v>717</v>
      </c>
    </row>
    <row r="5871" spans="2:4" x14ac:dyDescent="0.2">
      <c r="B5871" s="876">
        <v>7145</v>
      </c>
      <c r="C5871" s="876" t="s">
        <v>1487</v>
      </c>
      <c r="D5871" s="851">
        <v>748.73333700000001</v>
      </c>
    </row>
    <row r="5872" spans="2:4" x14ac:dyDescent="0.2">
      <c r="B5872" s="876">
        <v>7146</v>
      </c>
      <c r="C5872" s="876" t="s">
        <v>1940</v>
      </c>
      <c r="D5872" s="851">
        <v>758.24999000000003</v>
      </c>
    </row>
    <row r="5873" spans="2:4" x14ac:dyDescent="0.2">
      <c r="B5873" s="876">
        <v>7147</v>
      </c>
      <c r="C5873" s="876" t="s">
        <v>6405</v>
      </c>
      <c r="D5873" s="851">
        <v>720.02500899999995</v>
      </c>
    </row>
    <row r="5874" spans="2:4" x14ac:dyDescent="0.2">
      <c r="B5874" s="876">
        <v>7148</v>
      </c>
      <c r="C5874" s="876" t="s">
        <v>6406</v>
      </c>
      <c r="D5874" s="851">
        <v>738.08500400000003</v>
      </c>
    </row>
    <row r="5875" spans="2:4" x14ac:dyDescent="0.2">
      <c r="B5875" s="876">
        <v>7149</v>
      </c>
      <c r="C5875" s="876" t="s">
        <v>6407</v>
      </c>
      <c r="D5875" s="851">
        <v>710.83332299999995</v>
      </c>
    </row>
    <row r="5876" spans="2:4" x14ac:dyDescent="0.2">
      <c r="B5876" s="876">
        <v>7150</v>
      </c>
      <c r="C5876" s="876" t="s">
        <v>6408</v>
      </c>
      <c r="D5876" s="851">
        <v>715.73333700000001</v>
      </c>
    </row>
    <row r="5877" spans="2:4" x14ac:dyDescent="0.2">
      <c r="B5877" s="876">
        <v>7151</v>
      </c>
      <c r="C5877" s="876" t="s">
        <v>6409</v>
      </c>
      <c r="D5877" s="851">
        <v>768.97502099999997</v>
      </c>
    </row>
    <row r="5878" spans="2:4" x14ac:dyDescent="0.2">
      <c r="B5878" s="876">
        <v>7152</v>
      </c>
      <c r="C5878" s="876" t="s">
        <v>6410</v>
      </c>
      <c r="D5878" s="851">
        <v>720.40000399999997</v>
      </c>
    </row>
    <row r="5879" spans="2:4" x14ac:dyDescent="0.2">
      <c r="B5879" s="876">
        <v>7153</v>
      </c>
      <c r="C5879" s="876" t="s">
        <v>6411</v>
      </c>
      <c r="D5879" s="851">
        <v>710.92857100000003</v>
      </c>
    </row>
    <row r="5880" spans="2:4" x14ac:dyDescent="0.2">
      <c r="B5880" s="876">
        <v>7154</v>
      </c>
      <c r="C5880" s="876" t="s">
        <v>6412</v>
      </c>
      <c r="D5880" s="851">
        <v>756.59999800000003</v>
      </c>
    </row>
    <row r="5881" spans="2:4" x14ac:dyDescent="0.2">
      <c r="B5881" s="876">
        <v>7155</v>
      </c>
      <c r="C5881" s="876" t="s">
        <v>6413</v>
      </c>
      <c r="D5881" s="851">
        <v>750.10909200000003</v>
      </c>
    </row>
    <row r="5882" spans="2:4" x14ac:dyDescent="0.2">
      <c r="B5882" s="876">
        <v>7156</v>
      </c>
      <c r="C5882" s="876" t="s">
        <v>6414</v>
      </c>
      <c r="D5882" s="851">
        <v>788.90000699999996</v>
      </c>
    </row>
    <row r="5883" spans="2:4" x14ac:dyDescent="0.2">
      <c r="B5883" s="876">
        <v>7157</v>
      </c>
      <c r="C5883" s="876" t="s">
        <v>6415</v>
      </c>
      <c r="D5883" s="851">
        <v>779.70001200000002</v>
      </c>
    </row>
    <row r="5884" spans="2:4" x14ac:dyDescent="0.2">
      <c r="B5884" s="876">
        <v>7158</v>
      </c>
      <c r="C5884" s="876" t="s">
        <v>6416</v>
      </c>
      <c r="D5884" s="851">
        <v>807.31999499999995</v>
      </c>
    </row>
    <row r="5885" spans="2:4" x14ac:dyDescent="0.2">
      <c r="B5885" s="876">
        <v>7159</v>
      </c>
      <c r="C5885" s="876" t="s">
        <v>6417</v>
      </c>
      <c r="D5885" s="851">
        <v>723.20001200000002</v>
      </c>
    </row>
    <row r="5886" spans="2:4" x14ac:dyDescent="0.2">
      <c r="B5886" s="876">
        <v>7160</v>
      </c>
      <c r="C5886" s="876" t="s">
        <v>6418</v>
      </c>
      <c r="D5886" s="851">
        <v>747.41428900000005</v>
      </c>
    </row>
    <row r="5887" spans="2:4" x14ac:dyDescent="0.2">
      <c r="B5887" s="876">
        <v>7161</v>
      </c>
      <c r="C5887" s="876" t="s">
        <v>6419</v>
      </c>
      <c r="D5887" s="851">
        <v>774.10000600000001</v>
      </c>
    </row>
    <row r="5888" spans="2:4" x14ac:dyDescent="0.2">
      <c r="B5888" s="876">
        <v>7162</v>
      </c>
      <c r="C5888" s="876" t="s">
        <v>6420</v>
      </c>
      <c r="D5888" s="851">
        <v>778.83333300000004</v>
      </c>
    </row>
    <row r="5889" spans="2:4" x14ac:dyDescent="0.2">
      <c r="B5889" s="876">
        <v>7163</v>
      </c>
      <c r="C5889" s="876" t="s">
        <v>1454</v>
      </c>
      <c r="D5889" s="851">
        <v>772.89999399999999</v>
      </c>
    </row>
    <row r="5890" spans="2:4" x14ac:dyDescent="0.2">
      <c r="B5890" s="876">
        <v>7164</v>
      </c>
      <c r="C5890" s="876" t="s">
        <v>6421</v>
      </c>
      <c r="D5890" s="851">
        <v>755.38000499999998</v>
      </c>
    </row>
    <row r="5891" spans="2:4" x14ac:dyDescent="0.2">
      <c r="B5891" s="876">
        <v>7165</v>
      </c>
      <c r="C5891" s="876" t="s">
        <v>6422</v>
      </c>
      <c r="D5891" s="851">
        <v>804.25</v>
      </c>
    </row>
    <row r="5892" spans="2:4" x14ac:dyDescent="0.2">
      <c r="B5892" s="876">
        <v>7166</v>
      </c>
      <c r="C5892" s="876" t="s">
        <v>6423</v>
      </c>
      <c r="D5892" s="851">
        <v>782.54998799999998</v>
      </c>
    </row>
    <row r="5893" spans="2:4" x14ac:dyDescent="0.2">
      <c r="B5893" s="876">
        <v>7167</v>
      </c>
      <c r="C5893" s="876" t="s">
        <v>6424</v>
      </c>
      <c r="D5893" s="851">
        <v>747.79998799999998</v>
      </c>
    </row>
    <row r="5894" spans="2:4" x14ac:dyDescent="0.2">
      <c r="B5894" s="876">
        <v>7168</v>
      </c>
      <c r="C5894" s="876" t="s">
        <v>6425</v>
      </c>
      <c r="D5894" s="851">
        <v>768.82501200000002</v>
      </c>
    </row>
    <row r="5895" spans="2:4" x14ac:dyDescent="0.2">
      <c r="B5895" s="876">
        <v>7169</v>
      </c>
      <c r="C5895" s="876" t="s">
        <v>6426</v>
      </c>
      <c r="D5895" s="851">
        <v>769.95000200000004</v>
      </c>
    </row>
    <row r="5896" spans="2:4" x14ac:dyDescent="0.2">
      <c r="B5896" s="876">
        <v>7170</v>
      </c>
      <c r="C5896" s="876" t="s">
        <v>6427</v>
      </c>
      <c r="D5896" s="851">
        <v>781.69999700000005</v>
      </c>
    </row>
    <row r="5897" spans="2:4" x14ac:dyDescent="0.2">
      <c r="B5897" s="876">
        <v>7171</v>
      </c>
      <c r="C5897" s="876" t="s">
        <v>6428</v>
      </c>
      <c r="D5897" s="851">
        <v>797.60400100000004</v>
      </c>
    </row>
    <row r="5898" spans="2:4" x14ac:dyDescent="0.2">
      <c r="B5898" s="876">
        <v>7172</v>
      </c>
      <c r="C5898" s="876" t="s">
        <v>6429</v>
      </c>
      <c r="D5898" s="851">
        <v>766.21538399999997</v>
      </c>
    </row>
    <row r="5899" spans="2:4" x14ac:dyDescent="0.2">
      <c r="B5899" s="876">
        <v>7173</v>
      </c>
      <c r="C5899" s="876" t="s">
        <v>6430</v>
      </c>
      <c r="D5899" s="851">
        <v>819.7</v>
      </c>
    </row>
    <row r="5900" spans="2:4" x14ac:dyDescent="0.2">
      <c r="B5900" s="876">
        <v>7174</v>
      </c>
      <c r="C5900" s="876" t="s">
        <v>6431</v>
      </c>
      <c r="D5900" s="851">
        <v>786.44998199999998</v>
      </c>
    </row>
    <row r="5901" spans="2:4" x14ac:dyDescent="0.2">
      <c r="B5901" s="876">
        <v>7175</v>
      </c>
      <c r="C5901" s="876" t="s">
        <v>6432</v>
      </c>
      <c r="D5901" s="851">
        <v>774.25000999999997</v>
      </c>
    </row>
    <row r="5902" spans="2:4" x14ac:dyDescent="0.2">
      <c r="B5902" s="876">
        <v>7176</v>
      </c>
      <c r="C5902" s="876" t="s">
        <v>6433</v>
      </c>
      <c r="D5902" s="851">
        <v>814.17857100000003</v>
      </c>
    </row>
    <row r="5903" spans="2:4" x14ac:dyDescent="0.2">
      <c r="B5903" s="876">
        <v>7177</v>
      </c>
      <c r="C5903" s="876" t="s">
        <v>6434</v>
      </c>
      <c r="D5903" s="851">
        <v>787.56666099999995</v>
      </c>
    </row>
    <row r="5904" spans="2:4" x14ac:dyDescent="0.2">
      <c r="B5904" s="876">
        <v>7178</v>
      </c>
      <c r="C5904" s="876" t="s">
        <v>6435</v>
      </c>
      <c r="D5904" s="851">
        <v>804.48823100000004</v>
      </c>
    </row>
    <row r="5905" spans="2:4" x14ac:dyDescent="0.2">
      <c r="B5905" s="876">
        <v>7179</v>
      </c>
      <c r="C5905" s="876" t="s">
        <v>6436</v>
      </c>
      <c r="D5905" s="851">
        <v>801.10000200000002</v>
      </c>
    </row>
    <row r="5906" spans="2:4" x14ac:dyDescent="0.2">
      <c r="B5906" s="876">
        <v>7180</v>
      </c>
      <c r="C5906" s="876" t="s">
        <v>6437</v>
      </c>
      <c r="D5906" s="851">
        <v>789.009998</v>
      </c>
    </row>
    <row r="5907" spans="2:4" x14ac:dyDescent="0.2">
      <c r="B5907" s="876">
        <v>7181</v>
      </c>
      <c r="C5907" s="876" t="s">
        <v>6438</v>
      </c>
      <c r="D5907" s="851">
        <v>806.35000600000001</v>
      </c>
    </row>
    <row r="5908" spans="2:4" x14ac:dyDescent="0.2">
      <c r="B5908" s="876">
        <v>7182</v>
      </c>
      <c r="C5908" s="876" t="s">
        <v>6439</v>
      </c>
      <c r="D5908" s="851">
        <v>813.81429200000002</v>
      </c>
    </row>
    <row r="5909" spans="2:4" x14ac:dyDescent="0.2">
      <c r="B5909" s="876">
        <v>7183</v>
      </c>
      <c r="C5909" s="876" t="s">
        <v>6440</v>
      </c>
      <c r="D5909" s="851">
        <v>700.30001800000002</v>
      </c>
    </row>
    <row r="5910" spans="2:4" x14ac:dyDescent="0.2">
      <c r="B5910" s="876">
        <v>7211</v>
      </c>
      <c r="C5910" s="876" t="s">
        <v>1800</v>
      </c>
      <c r="D5910" s="851">
        <v>756.05999799999995</v>
      </c>
    </row>
    <row r="5911" spans="2:4" x14ac:dyDescent="0.2">
      <c r="B5911" s="876">
        <v>7212</v>
      </c>
      <c r="C5911" s="876" t="s">
        <v>6441</v>
      </c>
      <c r="D5911" s="851">
        <v>785.03000499999996</v>
      </c>
    </row>
    <row r="5912" spans="2:4" x14ac:dyDescent="0.2">
      <c r="B5912" s="876">
        <v>7213</v>
      </c>
      <c r="C5912" s="876" t="s">
        <v>6442</v>
      </c>
      <c r="D5912" s="851">
        <v>731.80000299999995</v>
      </c>
    </row>
    <row r="5913" spans="2:4" x14ac:dyDescent="0.2">
      <c r="B5913" s="876">
        <v>7214</v>
      </c>
      <c r="C5913" s="876" t="s">
        <v>6443</v>
      </c>
      <c r="D5913" s="851">
        <v>770.81999499999995</v>
      </c>
    </row>
    <row r="5914" spans="2:4" x14ac:dyDescent="0.2">
      <c r="B5914" s="876">
        <v>7215</v>
      </c>
      <c r="C5914" s="876" t="s">
        <v>6444</v>
      </c>
      <c r="D5914" s="851">
        <v>767.22499100000005</v>
      </c>
    </row>
    <row r="5915" spans="2:4" x14ac:dyDescent="0.2">
      <c r="B5915" s="876">
        <v>7216</v>
      </c>
      <c r="C5915" s="876" t="s">
        <v>6445</v>
      </c>
      <c r="D5915" s="851">
        <v>786.70001200000002</v>
      </c>
    </row>
    <row r="5916" spans="2:4" x14ac:dyDescent="0.2">
      <c r="B5916" s="876">
        <v>7217</v>
      </c>
      <c r="C5916" s="876" t="s">
        <v>6446</v>
      </c>
      <c r="D5916" s="851">
        <v>815.259998</v>
      </c>
    </row>
    <row r="5917" spans="2:4" x14ac:dyDescent="0.2">
      <c r="B5917" s="876">
        <v>7218</v>
      </c>
      <c r="C5917" s="876" t="s">
        <v>6447</v>
      </c>
      <c r="D5917" s="851">
        <v>769.38000499999998</v>
      </c>
    </row>
    <row r="5918" spans="2:4" x14ac:dyDescent="0.2">
      <c r="B5918" s="876">
        <v>7219</v>
      </c>
      <c r="C5918" s="876" t="s">
        <v>6448</v>
      </c>
      <c r="D5918" s="851">
        <v>778.61538499999995</v>
      </c>
    </row>
    <row r="5919" spans="2:4" x14ac:dyDescent="0.2">
      <c r="B5919" s="876">
        <v>7220</v>
      </c>
      <c r="C5919" s="876" t="s">
        <v>3686</v>
      </c>
      <c r="D5919" s="851">
        <v>808.26666299999999</v>
      </c>
    </row>
    <row r="5920" spans="2:4" x14ac:dyDescent="0.2">
      <c r="B5920" s="876">
        <v>7221</v>
      </c>
      <c r="C5920" s="876" t="s">
        <v>6449</v>
      </c>
      <c r="D5920" s="851">
        <v>768.82728199999997</v>
      </c>
    </row>
    <row r="5921" spans="2:4" x14ac:dyDescent="0.2">
      <c r="B5921" s="876">
        <v>7222</v>
      </c>
      <c r="C5921" s="876" t="s">
        <v>6450</v>
      </c>
      <c r="D5921" s="851">
        <v>806.87500799999998</v>
      </c>
    </row>
    <row r="5922" spans="2:4" x14ac:dyDescent="0.2">
      <c r="B5922" s="876">
        <v>7223</v>
      </c>
      <c r="C5922" s="876" t="s">
        <v>6451</v>
      </c>
      <c r="D5922" s="851">
        <v>791.45001200000002</v>
      </c>
    </row>
    <row r="5923" spans="2:4" x14ac:dyDescent="0.2">
      <c r="B5923" s="876">
        <v>7224</v>
      </c>
      <c r="C5923" s="876" t="s">
        <v>6452</v>
      </c>
      <c r="D5923" s="851">
        <v>793.45000200000004</v>
      </c>
    </row>
    <row r="5924" spans="2:4" x14ac:dyDescent="0.2">
      <c r="B5924" s="876">
        <v>7225</v>
      </c>
      <c r="C5924" s="876" t="s">
        <v>6453</v>
      </c>
      <c r="D5924" s="851">
        <v>803.84545300000002</v>
      </c>
    </row>
    <row r="5925" spans="2:4" x14ac:dyDescent="0.2">
      <c r="B5925" s="876">
        <v>7227</v>
      </c>
      <c r="C5925" s="876" t="s">
        <v>6454</v>
      </c>
      <c r="D5925" s="851">
        <v>697.26363900000001</v>
      </c>
    </row>
    <row r="5926" spans="2:4" x14ac:dyDescent="0.2">
      <c r="B5926" s="876">
        <v>7228</v>
      </c>
      <c r="C5926" s="876" t="s">
        <v>6455</v>
      </c>
      <c r="D5926" s="851">
        <v>735.36923899999999</v>
      </c>
    </row>
    <row r="5927" spans="2:4" x14ac:dyDescent="0.2">
      <c r="B5927" s="876">
        <v>7229</v>
      </c>
      <c r="C5927" s="876" t="s">
        <v>6456</v>
      </c>
      <c r="D5927" s="851">
        <v>675.45001200000002</v>
      </c>
    </row>
    <row r="5928" spans="2:4" x14ac:dyDescent="0.2">
      <c r="B5928" s="876">
        <v>7230</v>
      </c>
      <c r="C5928" s="876" t="s">
        <v>6457</v>
      </c>
      <c r="D5928" s="851">
        <v>725.472219</v>
      </c>
    </row>
    <row r="5929" spans="2:4" x14ac:dyDescent="0.2">
      <c r="B5929" s="876">
        <v>7231</v>
      </c>
      <c r="C5929" s="876" t="s">
        <v>6458</v>
      </c>
      <c r="D5929" s="851">
        <v>769.4375</v>
      </c>
    </row>
    <row r="5930" spans="2:4" x14ac:dyDescent="0.2">
      <c r="B5930" s="876">
        <v>7232</v>
      </c>
      <c r="C5930" s="876" t="s">
        <v>6459</v>
      </c>
      <c r="D5930" s="851">
        <v>709.47691499999996</v>
      </c>
    </row>
    <row r="5931" spans="2:4" x14ac:dyDescent="0.2">
      <c r="B5931" s="876">
        <v>7233</v>
      </c>
      <c r="C5931" s="876" t="s">
        <v>6460</v>
      </c>
      <c r="D5931" s="851">
        <v>751.46667500000001</v>
      </c>
    </row>
    <row r="5932" spans="2:4" x14ac:dyDescent="0.2">
      <c r="B5932" s="876">
        <v>7234</v>
      </c>
      <c r="C5932" s="876" t="s">
        <v>6461</v>
      </c>
      <c r="D5932" s="851">
        <v>794.79090499999995</v>
      </c>
    </row>
    <row r="5933" spans="2:4" x14ac:dyDescent="0.2">
      <c r="B5933" s="876">
        <v>7235</v>
      </c>
      <c r="C5933" s="876" t="s">
        <v>6462</v>
      </c>
      <c r="D5933" s="851">
        <v>770.15000899999995</v>
      </c>
    </row>
    <row r="5934" spans="2:4" x14ac:dyDescent="0.2">
      <c r="B5934" s="876">
        <v>7236</v>
      </c>
      <c r="C5934" s="876" t="s">
        <v>6463</v>
      </c>
      <c r="D5934" s="851">
        <v>728.67500299999995</v>
      </c>
    </row>
    <row r="5935" spans="2:4" x14ac:dyDescent="0.2">
      <c r="B5935" s="876">
        <v>7238</v>
      </c>
      <c r="C5935" s="876" t="s">
        <v>6464</v>
      </c>
      <c r="D5935" s="851">
        <v>794.02666799999997</v>
      </c>
    </row>
    <row r="5936" spans="2:4" x14ac:dyDescent="0.2">
      <c r="B5936" s="876">
        <v>7239</v>
      </c>
      <c r="C5936" s="876" t="s">
        <v>6465</v>
      </c>
      <c r="D5936" s="851">
        <v>782.41428900000005</v>
      </c>
    </row>
    <row r="5937" spans="2:4" x14ac:dyDescent="0.2">
      <c r="B5937" s="876">
        <v>7240</v>
      </c>
      <c r="C5937" s="876" t="s">
        <v>1186</v>
      </c>
      <c r="D5937" s="851">
        <v>797.10833700000001</v>
      </c>
    </row>
    <row r="5938" spans="2:4" x14ac:dyDescent="0.2">
      <c r="B5938" s="876">
        <v>7241</v>
      </c>
      <c r="C5938" s="876" t="s">
        <v>6466</v>
      </c>
      <c r="D5938" s="851">
        <v>799.5</v>
      </c>
    </row>
    <row r="5939" spans="2:4" x14ac:dyDescent="0.2">
      <c r="B5939" s="876">
        <v>7242</v>
      </c>
      <c r="C5939" s="876" t="s">
        <v>6467</v>
      </c>
      <c r="D5939" s="851">
        <v>836.87498500000004</v>
      </c>
    </row>
    <row r="5940" spans="2:4" x14ac:dyDescent="0.2">
      <c r="B5940" s="876">
        <v>7243</v>
      </c>
      <c r="C5940" s="876" t="s">
        <v>6468</v>
      </c>
      <c r="D5940" s="851">
        <v>808.62857499999996</v>
      </c>
    </row>
    <row r="5941" spans="2:4" x14ac:dyDescent="0.2">
      <c r="B5941" s="876">
        <v>7244</v>
      </c>
      <c r="C5941" s="876" t="s">
        <v>6469</v>
      </c>
      <c r="D5941" s="851">
        <v>824.48570900000004</v>
      </c>
    </row>
    <row r="5942" spans="2:4" x14ac:dyDescent="0.2">
      <c r="B5942" s="876">
        <v>7245</v>
      </c>
      <c r="C5942" s="876" t="s">
        <v>6470</v>
      </c>
      <c r="D5942" s="851">
        <v>812.61537999999996</v>
      </c>
    </row>
    <row r="5943" spans="2:4" x14ac:dyDescent="0.2">
      <c r="B5943" s="876">
        <v>7246</v>
      </c>
      <c r="C5943" s="876" t="s">
        <v>3595</v>
      </c>
      <c r="D5943" s="851">
        <v>796.97999300000004</v>
      </c>
    </row>
    <row r="5944" spans="2:4" x14ac:dyDescent="0.2">
      <c r="B5944" s="876">
        <v>7247</v>
      </c>
      <c r="C5944" s="876" t="s">
        <v>6471</v>
      </c>
      <c r="D5944" s="851">
        <v>779.860004</v>
      </c>
    </row>
    <row r="5945" spans="2:4" x14ac:dyDescent="0.2">
      <c r="B5945" s="876">
        <v>7248</v>
      </c>
      <c r="C5945" s="876" t="s">
        <v>6472</v>
      </c>
      <c r="D5945" s="851">
        <v>792.177775</v>
      </c>
    </row>
    <row r="5946" spans="2:4" x14ac:dyDescent="0.2">
      <c r="B5946" s="876">
        <v>7249</v>
      </c>
      <c r="C5946" s="876" t="s">
        <v>6473</v>
      </c>
      <c r="D5946" s="851">
        <v>803.57000100000005</v>
      </c>
    </row>
    <row r="5947" spans="2:4" x14ac:dyDescent="0.2">
      <c r="B5947" s="876">
        <v>7250</v>
      </c>
      <c r="C5947" s="876" t="s">
        <v>6474</v>
      </c>
      <c r="D5947" s="851">
        <v>778.29998799999998</v>
      </c>
    </row>
    <row r="5948" spans="2:4" x14ac:dyDescent="0.2">
      <c r="B5948" s="876">
        <v>7251</v>
      </c>
      <c r="C5948" s="876" t="s">
        <v>6475</v>
      </c>
      <c r="D5948" s="851">
        <v>776.75</v>
      </c>
    </row>
    <row r="5949" spans="2:4" x14ac:dyDescent="0.2">
      <c r="B5949" s="876">
        <v>7252</v>
      </c>
      <c r="C5949" s="876" t="s">
        <v>6476</v>
      </c>
      <c r="D5949" s="851">
        <v>759.57501200000002</v>
      </c>
    </row>
    <row r="5950" spans="2:4" x14ac:dyDescent="0.2">
      <c r="B5950" s="876">
        <v>7253</v>
      </c>
      <c r="C5950" s="876" t="s">
        <v>6477</v>
      </c>
      <c r="D5950" s="851">
        <v>776.85000600000001</v>
      </c>
    </row>
    <row r="5951" spans="2:4" x14ac:dyDescent="0.2">
      <c r="B5951" s="876">
        <v>7254</v>
      </c>
      <c r="C5951" s="876" t="s">
        <v>6478</v>
      </c>
      <c r="D5951" s="851">
        <v>792.17500299999995</v>
      </c>
    </row>
    <row r="5952" spans="2:4" x14ac:dyDescent="0.2">
      <c r="B5952" s="876">
        <v>7255</v>
      </c>
      <c r="C5952" s="876" t="s">
        <v>6479</v>
      </c>
      <c r="D5952" s="851">
        <v>796.16667700000005</v>
      </c>
    </row>
    <row r="5953" spans="2:4" x14ac:dyDescent="0.2">
      <c r="B5953" s="876">
        <v>7256</v>
      </c>
      <c r="C5953" s="876" t="s">
        <v>6480</v>
      </c>
      <c r="D5953" s="851">
        <v>788.40002400000003</v>
      </c>
    </row>
    <row r="5954" spans="2:4" x14ac:dyDescent="0.2">
      <c r="B5954" s="876">
        <v>7257</v>
      </c>
      <c r="C5954" s="876" t="s">
        <v>6481</v>
      </c>
      <c r="D5954" s="851">
        <v>832.59997599999997</v>
      </c>
    </row>
    <row r="5955" spans="2:4" x14ac:dyDescent="0.2">
      <c r="B5955" s="876">
        <v>7258</v>
      </c>
      <c r="C5955" s="876" t="s">
        <v>6482</v>
      </c>
      <c r="D5955" s="851">
        <v>841.633331</v>
      </c>
    </row>
    <row r="5956" spans="2:4" x14ac:dyDescent="0.2">
      <c r="B5956" s="876">
        <v>7259</v>
      </c>
      <c r="C5956" s="876" t="s">
        <v>6483</v>
      </c>
      <c r="D5956" s="851">
        <v>825.04000199999996</v>
      </c>
    </row>
    <row r="5957" spans="2:4" x14ac:dyDescent="0.2">
      <c r="B5957" s="876">
        <v>7260</v>
      </c>
      <c r="C5957" s="876" t="s">
        <v>6484</v>
      </c>
      <c r="D5957" s="851">
        <v>811.83333300000004</v>
      </c>
    </row>
    <row r="5958" spans="2:4" x14ac:dyDescent="0.2">
      <c r="B5958" s="876">
        <v>7261</v>
      </c>
      <c r="C5958" s="876" t="s">
        <v>1986</v>
      </c>
      <c r="D5958" s="851">
        <v>837.46665399999995</v>
      </c>
    </row>
    <row r="5959" spans="2:4" x14ac:dyDescent="0.2">
      <c r="B5959" s="876">
        <v>7262</v>
      </c>
      <c r="C5959" s="876" t="s">
        <v>6485</v>
      </c>
      <c r="D5959" s="851">
        <v>813.63749700000005</v>
      </c>
    </row>
    <row r="5960" spans="2:4" x14ac:dyDescent="0.2">
      <c r="B5960" s="876">
        <v>7263</v>
      </c>
      <c r="C5960" s="876" t="s">
        <v>6486</v>
      </c>
      <c r="D5960" s="851">
        <v>818.69999199999995</v>
      </c>
    </row>
    <row r="5961" spans="2:4" x14ac:dyDescent="0.2">
      <c r="B5961" s="876">
        <v>7264</v>
      </c>
      <c r="C5961" s="876" t="s">
        <v>6487</v>
      </c>
      <c r="D5961" s="851">
        <v>818.13749700000005</v>
      </c>
    </row>
    <row r="5962" spans="2:4" x14ac:dyDescent="0.2">
      <c r="B5962" s="876">
        <v>7265</v>
      </c>
      <c r="C5962" s="876" t="s">
        <v>6488</v>
      </c>
      <c r="D5962" s="851">
        <v>811.11111100000005</v>
      </c>
    </row>
    <row r="5963" spans="2:4" x14ac:dyDescent="0.2">
      <c r="B5963" s="876">
        <v>7266</v>
      </c>
      <c r="C5963" s="876" t="s">
        <v>6489</v>
      </c>
      <c r="D5963" s="851">
        <v>833.87498500000004</v>
      </c>
    </row>
    <row r="5964" spans="2:4" x14ac:dyDescent="0.2">
      <c r="B5964" s="876">
        <v>7267</v>
      </c>
      <c r="C5964" s="876" t="s">
        <v>6490</v>
      </c>
      <c r="D5964" s="851">
        <v>851.39998400000002</v>
      </c>
    </row>
    <row r="5965" spans="2:4" x14ac:dyDescent="0.2">
      <c r="B5965" s="876">
        <v>7268</v>
      </c>
      <c r="C5965" s="876" t="s">
        <v>6220</v>
      </c>
      <c r="D5965" s="851">
        <v>846.32000700000003</v>
      </c>
    </row>
    <row r="5966" spans="2:4" x14ac:dyDescent="0.2">
      <c r="B5966" s="876">
        <v>7269</v>
      </c>
      <c r="C5966" s="876" t="s">
        <v>6491</v>
      </c>
      <c r="D5966" s="851">
        <v>845.671426</v>
      </c>
    </row>
    <row r="5967" spans="2:4" x14ac:dyDescent="0.2">
      <c r="B5967" s="876">
        <v>7270</v>
      </c>
      <c r="C5967" s="876" t="s">
        <v>6409</v>
      </c>
      <c r="D5967" s="851">
        <v>805.21666500000003</v>
      </c>
    </row>
    <row r="5968" spans="2:4" x14ac:dyDescent="0.2">
      <c r="B5968" s="876">
        <v>7271</v>
      </c>
      <c r="C5968" s="876" t="s">
        <v>6492</v>
      </c>
      <c r="D5968" s="851">
        <v>837.759998</v>
      </c>
    </row>
    <row r="5969" spans="2:4" x14ac:dyDescent="0.2">
      <c r="B5969" s="876">
        <v>7272</v>
      </c>
      <c r="C5969" s="876" t="s">
        <v>6493</v>
      </c>
      <c r="D5969" s="851">
        <v>838.55999799999995</v>
      </c>
    </row>
    <row r="5970" spans="2:4" x14ac:dyDescent="0.2">
      <c r="B5970" s="876">
        <v>7273</v>
      </c>
      <c r="C5970" s="876" t="s">
        <v>6494</v>
      </c>
      <c r="D5970" s="851">
        <v>879.28181600000005</v>
      </c>
    </row>
    <row r="5971" spans="2:4" x14ac:dyDescent="0.2">
      <c r="B5971" s="876">
        <v>7274</v>
      </c>
      <c r="C5971" s="876" t="s">
        <v>6495</v>
      </c>
      <c r="D5971" s="851">
        <v>797.40001199999995</v>
      </c>
    </row>
    <row r="5972" spans="2:4" x14ac:dyDescent="0.2">
      <c r="B5972" s="876">
        <v>7275</v>
      </c>
      <c r="C5972" s="876" t="s">
        <v>6496</v>
      </c>
      <c r="D5972" s="851">
        <v>812.25000799999998</v>
      </c>
    </row>
    <row r="5973" spans="2:4" x14ac:dyDescent="0.2">
      <c r="B5973" s="876">
        <v>7276</v>
      </c>
      <c r="C5973" s="876" t="s">
        <v>6497</v>
      </c>
      <c r="D5973" s="851">
        <v>801.87143400000002</v>
      </c>
    </row>
    <row r="5974" spans="2:4" x14ac:dyDescent="0.2">
      <c r="B5974" s="876">
        <v>7277</v>
      </c>
      <c r="C5974" s="876" t="s">
        <v>1784</v>
      </c>
      <c r="D5974" s="851">
        <v>785.375</v>
      </c>
    </row>
    <row r="5975" spans="2:4" x14ac:dyDescent="0.2">
      <c r="B5975" s="876">
        <v>7278</v>
      </c>
      <c r="C5975" s="876" t="s">
        <v>6498</v>
      </c>
      <c r="D5975" s="851">
        <v>814.81667100000004</v>
      </c>
    </row>
    <row r="5976" spans="2:4" x14ac:dyDescent="0.2">
      <c r="B5976" s="876">
        <v>7279</v>
      </c>
      <c r="C5976" s="876" t="s">
        <v>6499</v>
      </c>
      <c r="D5976" s="851">
        <v>803.19999700000005</v>
      </c>
    </row>
    <row r="5977" spans="2:4" x14ac:dyDescent="0.2">
      <c r="B5977" s="876">
        <v>7280</v>
      </c>
      <c r="C5977" s="876" t="s">
        <v>4075</v>
      </c>
      <c r="D5977" s="851">
        <v>809.48000500000001</v>
      </c>
    </row>
    <row r="5978" spans="2:4" x14ac:dyDescent="0.2">
      <c r="B5978" s="876">
        <v>7281</v>
      </c>
      <c r="C5978" s="876" t="s">
        <v>6500</v>
      </c>
      <c r="D5978" s="851">
        <v>819.87142500000004</v>
      </c>
    </row>
    <row r="5979" spans="2:4" x14ac:dyDescent="0.2">
      <c r="B5979" s="876">
        <v>7282</v>
      </c>
      <c r="C5979" s="876" t="s">
        <v>6501</v>
      </c>
      <c r="D5979" s="851">
        <v>838.39999799999998</v>
      </c>
    </row>
    <row r="5980" spans="2:4" x14ac:dyDescent="0.2">
      <c r="B5980" s="876">
        <v>7283</v>
      </c>
      <c r="C5980" s="876" t="s">
        <v>6502</v>
      </c>
      <c r="D5980" s="851">
        <v>794.46250899999995</v>
      </c>
    </row>
    <row r="5981" spans="2:4" x14ac:dyDescent="0.2">
      <c r="B5981" s="876">
        <v>7284</v>
      </c>
      <c r="C5981" s="876" t="s">
        <v>6503</v>
      </c>
      <c r="D5981" s="851">
        <v>838.75</v>
      </c>
    </row>
    <row r="5982" spans="2:4" x14ac:dyDescent="0.2">
      <c r="B5982" s="876">
        <v>7285</v>
      </c>
      <c r="C5982" s="876" t="s">
        <v>6504</v>
      </c>
      <c r="D5982" s="851">
        <v>812.85000600000001</v>
      </c>
    </row>
    <row r="5983" spans="2:4" x14ac:dyDescent="0.2">
      <c r="B5983" s="876">
        <v>7286</v>
      </c>
      <c r="C5983" s="876" t="s">
        <v>384</v>
      </c>
      <c r="D5983" s="851">
        <v>767.179169</v>
      </c>
    </row>
    <row r="5984" spans="2:4" x14ac:dyDescent="0.2">
      <c r="B5984" s="876">
        <v>7287</v>
      </c>
      <c r="C5984" s="876" t="s">
        <v>5733</v>
      </c>
      <c r="D5984" s="851">
        <v>758.75000799999998</v>
      </c>
    </row>
    <row r="5985" spans="2:4" x14ac:dyDescent="0.2">
      <c r="B5985" s="876">
        <v>7288</v>
      </c>
      <c r="C5985" s="876" t="s">
        <v>6505</v>
      </c>
      <c r="D5985" s="851">
        <v>737.14482599999997</v>
      </c>
    </row>
    <row r="5986" spans="2:4" x14ac:dyDescent="0.2">
      <c r="B5986" s="876">
        <v>7289</v>
      </c>
      <c r="C5986" s="876" t="s">
        <v>6506</v>
      </c>
      <c r="D5986" s="851">
        <v>778.69999199999995</v>
      </c>
    </row>
    <row r="5987" spans="2:4" x14ac:dyDescent="0.2">
      <c r="B5987" s="876">
        <v>7290</v>
      </c>
      <c r="C5987" s="876" t="s">
        <v>6507</v>
      </c>
      <c r="D5987" s="851">
        <v>767.96665399999995</v>
      </c>
    </row>
    <row r="5988" spans="2:4" x14ac:dyDescent="0.2">
      <c r="B5988" s="876">
        <v>7291</v>
      </c>
      <c r="C5988" s="876" t="s">
        <v>6508</v>
      </c>
      <c r="D5988" s="851">
        <v>784.01667299999997</v>
      </c>
    </row>
    <row r="5989" spans="2:4" x14ac:dyDescent="0.2">
      <c r="B5989" s="876">
        <v>7292</v>
      </c>
      <c r="C5989" s="876" t="s">
        <v>6509</v>
      </c>
      <c r="D5989" s="851">
        <v>788.76153999999997</v>
      </c>
    </row>
    <row r="5990" spans="2:4" x14ac:dyDescent="0.2">
      <c r="B5990" s="876">
        <v>7293</v>
      </c>
      <c r="C5990" s="876" t="s">
        <v>6163</v>
      </c>
      <c r="D5990" s="851">
        <v>842.726315</v>
      </c>
    </row>
    <row r="5991" spans="2:4" x14ac:dyDescent="0.2">
      <c r="B5991" s="876">
        <v>7294</v>
      </c>
      <c r="C5991" s="876" t="s">
        <v>6510</v>
      </c>
      <c r="D5991" s="851">
        <v>806.56153800000004</v>
      </c>
    </row>
    <row r="5992" spans="2:4" x14ac:dyDescent="0.2">
      <c r="B5992" s="876">
        <v>7295</v>
      </c>
      <c r="C5992" s="876" t="s">
        <v>4244</v>
      </c>
      <c r="D5992" s="851">
        <v>812.80715899999996</v>
      </c>
    </row>
    <row r="5993" spans="2:4" x14ac:dyDescent="0.2">
      <c r="B5993" s="876">
        <v>7296</v>
      </c>
      <c r="C5993" s="876" t="s">
        <v>6511</v>
      </c>
      <c r="D5993" s="851">
        <v>804.09999600000003</v>
      </c>
    </row>
    <row r="5994" spans="2:4" x14ac:dyDescent="0.2">
      <c r="B5994" s="876">
        <v>7297</v>
      </c>
      <c r="C5994" s="876" t="s">
        <v>6512</v>
      </c>
      <c r="D5994" s="851">
        <v>828.53332499999999</v>
      </c>
    </row>
    <row r="5995" spans="2:4" x14ac:dyDescent="0.2">
      <c r="B5995" s="876">
        <v>7298</v>
      </c>
      <c r="C5995" s="876" t="s">
        <v>6513</v>
      </c>
      <c r="D5995" s="851">
        <v>835.29998799999998</v>
      </c>
    </row>
    <row r="5996" spans="2:4" x14ac:dyDescent="0.2">
      <c r="B5996" s="876">
        <v>7299</v>
      </c>
      <c r="C5996" s="876" t="s">
        <v>6514</v>
      </c>
      <c r="D5996" s="851">
        <v>816.20001200000002</v>
      </c>
    </row>
    <row r="5997" spans="2:4" x14ac:dyDescent="0.2">
      <c r="B5997" s="876">
        <v>7300</v>
      </c>
      <c r="C5997" s="876" t="s">
        <v>6515</v>
      </c>
      <c r="D5997" s="851">
        <v>862.22500600000001</v>
      </c>
    </row>
    <row r="5998" spans="2:4" x14ac:dyDescent="0.2">
      <c r="B5998" s="876">
        <v>7301</v>
      </c>
      <c r="C5998" s="876" t="s">
        <v>6516</v>
      </c>
      <c r="D5998" s="851">
        <v>882</v>
      </c>
    </row>
    <row r="5999" spans="2:4" x14ac:dyDescent="0.2">
      <c r="B5999" s="876">
        <v>7302</v>
      </c>
      <c r="C5999" s="876" t="s">
        <v>6517</v>
      </c>
      <c r="D5999" s="851">
        <v>859.63334099999997</v>
      </c>
    </row>
    <row r="6000" spans="2:4" x14ac:dyDescent="0.2">
      <c r="B6000" s="876">
        <v>7303</v>
      </c>
      <c r="C6000" s="876" t="s">
        <v>6518</v>
      </c>
      <c r="D6000" s="851">
        <v>930.78333499999997</v>
      </c>
    </row>
    <row r="6001" spans="2:4" x14ac:dyDescent="0.2">
      <c r="B6001" s="876">
        <v>7304</v>
      </c>
      <c r="C6001" s="876" t="s">
        <v>6519</v>
      </c>
      <c r="D6001" s="851">
        <v>837.78928699999994</v>
      </c>
    </row>
    <row r="6002" spans="2:4" x14ac:dyDescent="0.2">
      <c r="B6002" s="876">
        <v>7305</v>
      </c>
      <c r="C6002" s="876" t="s">
        <v>6520</v>
      </c>
      <c r="D6002" s="851">
        <v>911.16667700000005</v>
      </c>
    </row>
    <row r="6003" spans="2:4" x14ac:dyDescent="0.2">
      <c r="B6003" s="876">
        <v>7306</v>
      </c>
      <c r="C6003" s="876" t="s">
        <v>1197</v>
      </c>
      <c r="D6003" s="851">
        <v>914.23333700000001</v>
      </c>
    </row>
    <row r="6004" spans="2:4" x14ac:dyDescent="0.2">
      <c r="B6004" s="876">
        <v>7307</v>
      </c>
      <c r="C6004" s="876" t="s">
        <v>6521</v>
      </c>
      <c r="D6004" s="851">
        <v>876.73076900000001</v>
      </c>
    </row>
    <row r="6005" spans="2:4" x14ac:dyDescent="0.2">
      <c r="B6005" s="876">
        <v>7308</v>
      </c>
      <c r="C6005" s="876" t="s">
        <v>6522</v>
      </c>
      <c r="D6005" s="851">
        <v>878.43333900000005</v>
      </c>
    </row>
    <row r="6006" spans="2:4" x14ac:dyDescent="0.2">
      <c r="B6006" s="876">
        <v>7309</v>
      </c>
      <c r="C6006" s="876" t="s">
        <v>6523</v>
      </c>
      <c r="D6006" s="851">
        <v>831.75263700000005</v>
      </c>
    </row>
    <row r="6007" spans="2:4" x14ac:dyDescent="0.2">
      <c r="B6007" s="876">
        <v>7310</v>
      </c>
      <c r="C6007" s="876" t="s">
        <v>6524</v>
      </c>
      <c r="D6007" s="851">
        <v>899.20910100000003</v>
      </c>
    </row>
    <row r="6008" spans="2:4" x14ac:dyDescent="0.2">
      <c r="B6008" s="876">
        <v>7311</v>
      </c>
      <c r="C6008" s="876" t="s">
        <v>6525</v>
      </c>
      <c r="D6008" s="851">
        <v>892.39999399999999</v>
      </c>
    </row>
    <row r="6009" spans="2:4" x14ac:dyDescent="0.2">
      <c r="B6009" s="876">
        <v>7312</v>
      </c>
      <c r="C6009" s="876" t="s">
        <v>5683</v>
      </c>
      <c r="D6009" s="851">
        <v>893.56153800000004</v>
      </c>
    </row>
    <row r="6010" spans="2:4" x14ac:dyDescent="0.2">
      <c r="B6010" s="876">
        <v>7313</v>
      </c>
      <c r="C6010" s="876" t="s">
        <v>6526</v>
      </c>
      <c r="D6010" s="851">
        <v>952.04000199999996</v>
      </c>
    </row>
    <row r="6011" spans="2:4" x14ac:dyDescent="0.2">
      <c r="B6011" s="876">
        <v>7314</v>
      </c>
      <c r="C6011" s="876" t="s">
        <v>1605</v>
      </c>
      <c r="D6011" s="851">
        <v>916.28000499999996</v>
      </c>
    </row>
    <row r="6012" spans="2:4" x14ac:dyDescent="0.2">
      <c r="B6012" s="876">
        <v>7315</v>
      </c>
      <c r="C6012" s="876" t="s">
        <v>6527</v>
      </c>
      <c r="D6012" s="851">
        <v>909.95000200000004</v>
      </c>
    </row>
    <row r="6013" spans="2:4" x14ac:dyDescent="0.2">
      <c r="B6013" s="876">
        <v>7316</v>
      </c>
      <c r="C6013" s="876" t="s">
        <v>6528</v>
      </c>
      <c r="D6013" s="851">
        <v>910.08235400000001</v>
      </c>
    </row>
    <row r="6014" spans="2:4" x14ac:dyDescent="0.2">
      <c r="B6014" s="876">
        <v>7317</v>
      </c>
      <c r="C6014" s="876" t="s">
        <v>4715</v>
      </c>
      <c r="D6014" s="851">
        <v>888.19998199999998</v>
      </c>
    </row>
    <row r="6015" spans="2:4" x14ac:dyDescent="0.2">
      <c r="B6015" s="876">
        <v>7318</v>
      </c>
      <c r="C6015" s="876" t="s">
        <v>6529</v>
      </c>
      <c r="D6015" s="851">
        <v>918.22727799999996</v>
      </c>
    </row>
    <row r="6016" spans="2:4" x14ac:dyDescent="0.2">
      <c r="B6016" s="876">
        <v>7319</v>
      </c>
      <c r="C6016" s="876" t="s">
        <v>6530</v>
      </c>
      <c r="D6016" s="851">
        <v>919.79998799999998</v>
      </c>
    </row>
    <row r="6017" spans="2:4" x14ac:dyDescent="0.2">
      <c r="B6017" s="876">
        <v>7320</v>
      </c>
      <c r="C6017" s="876" t="s">
        <v>6531</v>
      </c>
      <c r="D6017" s="851">
        <v>861.63636399999996</v>
      </c>
    </row>
    <row r="6018" spans="2:4" x14ac:dyDescent="0.2">
      <c r="B6018" s="876">
        <v>7321</v>
      </c>
      <c r="C6018" s="876" t="s">
        <v>6532</v>
      </c>
      <c r="D6018" s="851">
        <v>928.44374800000003</v>
      </c>
    </row>
    <row r="6019" spans="2:4" x14ac:dyDescent="0.2">
      <c r="B6019" s="876">
        <v>7322</v>
      </c>
      <c r="C6019" s="876" t="s">
        <v>6533</v>
      </c>
      <c r="D6019" s="851">
        <v>842.24667599999998</v>
      </c>
    </row>
    <row r="6020" spans="2:4" x14ac:dyDescent="0.2">
      <c r="B6020" s="876">
        <v>7323</v>
      </c>
      <c r="C6020" s="876" t="s">
        <v>6534</v>
      </c>
      <c r="D6020" s="851">
        <v>837.78571399999998</v>
      </c>
    </row>
    <row r="6021" spans="2:4" x14ac:dyDescent="0.2">
      <c r="B6021" s="876">
        <v>7324</v>
      </c>
      <c r="C6021" s="876" t="s">
        <v>6535</v>
      </c>
      <c r="D6021" s="851">
        <v>836.62500399999999</v>
      </c>
    </row>
    <row r="6022" spans="2:4" x14ac:dyDescent="0.2">
      <c r="B6022" s="876">
        <v>7326</v>
      </c>
      <c r="C6022" s="876" t="s">
        <v>6536</v>
      </c>
      <c r="D6022" s="851">
        <v>875.05516899999998</v>
      </c>
    </row>
    <row r="6023" spans="2:4" x14ac:dyDescent="0.2">
      <c r="B6023" s="876">
        <v>7327</v>
      </c>
      <c r="C6023" s="876" t="s">
        <v>1812</v>
      </c>
      <c r="D6023" s="851">
        <v>952.89998400000002</v>
      </c>
    </row>
    <row r="6024" spans="2:4" x14ac:dyDescent="0.2">
      <c r="B6024" s="876">
        <v>7328</v>
      </c>
      <c r="C6024" s="876" t="s">
        <v>6537</v>
      </c>
      <c r="D6024" s="851">
        <v>935.76667599999996</v>
      </c>
    </row>
    <row r="6025" spans="2:4" x14ac:dyDescent="0.2">
      <c r="B6025" s="876">
        <v>7329</v>
      </c>
      <c r="C6025" s="876" t="s">
        <v>6266</v>
      </c>
      <c r="D6025" s="851">
        <v>868.34000200000003</v>
      </c>
    </row>
    <row r="6026" spans="2:4" x14ac:dyDescent="0.2">
      <c r="B6026" s="876">
        <v>7330</v>
      </c>
      <c r="C6026" s="876" t="s">
        <v>6538</v>
      </c>
      <c r="D6026" s="851">
        <v>935.55001100000004</v>
      </c>
    </row>
    <row r="6027" spans="2:4" x14ac:dyDescent="0.2">
      <c r="B6027" s="876">
        <v>7331</v>
      </c>
      <c r="C6027" s="876" t="s">
        <v>6539</v>
      </c>
      <c r="D6027" s="851">
        <v>856.85000300000002</v>
      </c>
    </row>
    <row r="6028" spans="2:4" x14ac:dyDescent="0.2">
      <c r="B6028" s="876">
        <v>7332</v>
      </c>
      <c r="C6028" s="876" t="s">
        <v>4093</v>
      </c>
      <c r="D6028" s="851">
        <v>848.18125499999996</v>
      </c>
    </row>
    <row r="6029" spans="2:4" x14ac:dyDescent="0.2">
      <c r="B6029" s="876">
        <v>7333</v>
      </c>
      <c r="C6029" s="876" t="s">
        <v>6540</v>
      </c>
      <c r="D6029" s="851">
        <v>891.54000499999995</v>
      </c>
    </row>
    <row r="6030" spans="2:4" x14ac:dyDescent="0.2">
      <c r="B6030" s="876">
        <v>7334</v>
      </c>
      <c r="C6030" s="876" t="s">
        <v>6541</v>
      </c>
      <c r="D6030" s="851">
        <v>897.4375</v>
      </c>
    </row>
    <row r="6031" spans="2:4" x14ac:dyDescent="0.2">
      <c r="B6031" s="876">
        <v>7335</v>
      </c>
      <c r="C6031" s="876" t="s">
        <v>6542</v>
      </c>
      <c r="D6031" s="851">
        <v>892.97272299999997</v>
      </c>
    </row>
    <row r="6032" spans="2:4" x14ac:dyDescent="0.2">
      <c r="B6032" s="876">
        <v>7336</v>
      </c>
      <c r="C6032" s="876" t="s">
        <v>6543</v>
      </c>
      <c r="D6032" s="851">
        <v>894.06874100000005</v>
      </c>
    </row>
    <row r="6033" spans="2:4" x14ac:dyDescent="0.2">
      <c r="B6033" s="876">
        <v>7337</v>
      </c>
      <c r="C6033" s="876" t="s">
        <v>6544</v>
      </c>
      <c r="D6033" s="851">
        <v>814.66666699999996</v>
      </c>
    </row>
    <row r="6034" spans="2:4" x14ac:dyDescent="0.2">
      <c r="B6034" s="876">
        <v>7351</v>
      </c>
      <c r="C6034" s="876" t="s">
        <v>6545</v>
      </c>
      <c r="D6034" s="851">
        <v>792.78000499999996</v>
      </c>
    </row>
    <row r="6035" spans="2:4" x14ac:dyDescent="0.2">
      <c r="B6035" s="876">
        <v>7352</v>
      </c>
      <c r="C6035" s="876" t="s">
        <v>6546</v>
      </c>
      <c r="D6035" s="851">
        <v>793.56666099999995</v>
      </c>
    </row>
    <row r="6036" spans="2:4" x14ac:dyDescent="0.2">
      <c r="B6036" s="876">
        <v>7353</v>
      </c>
      <c r="C6036" s="876" t="s">
        <v>6547</v>
      </c>
      <c r="D6036" s="851">
        <v>803.42000099999996</v>
      </c>
    </row>
    <row r="6037" spans="2:4" x14ac:dyDescent="0.2">
      <c r="B6037" s="876">
        <v>7354</v>
      </c>
      <c r="C6037" s="876" t="s">
        <v>6548</v>
      </c>
      <c r="D6037" s="851">
        <v>808.65714800000001</v>
      </c>
    </row>
    <row r="6038" spans="2:4" x14ac:dyDescent="0.2">
      <c r="B6038" s="876">
        <v>7355</v>
      </c>
      <c r="C6038" s="876" t="s">
        <v>6549</v>
      </c>
      <c r="D6038" s="851">
        <v>783.61111100000005</v>
      </c>
    </row>
    <row r="6039" spans="2:4" x14ac:dyDescent="0.2">
      <c r="B6039" s="876">
        <v>7356</v>
      </c>
      <c r="C6039" s="876" t="s">
        <v>6550</v>
      </c>
      <c r="D6039" s="851">
        <v>802.21666500000003</v>
      </c>
    </row>
    <row r="6040" spans="2:4" x14ac:dyDescent="0.2">
      <c r="B6040" s="876">
        <v>7357</v>
      </c>
      <c r="C6040" s="876" t="s">
        <v>1675</v>
      </c>
      <c r="D6040" s="851">
        <v>821.81427900000006</v>
      </c>
    </row>
    <row r="6041" spans="2:4" x14ac:dyDescent="0.2">
      <c r="B6041" s="876">
        <v>7358</v>
      </c>
      <c r="C6041" s="876" t="s">
        <v>6551</v>
      </c>
      <c r="D6041" s="851">
        <v>780.32498899999996</v>
      </c>
    </row>
    <row r="6042" spans="2:4" x14ac:dyDescent="0.2">
      <c r="B6042" s="876">
        <v>7359</v>
      </c>
      <c r="C6042" s="876" t="s">
        <v>6552</v>
      </c>
      <c r="D6042" s="851">
        <v>810.00001499999996</v>
      </c>
    </row>
    <row r="6043" spans="2:4" x14ac:dyDescent="0.2">
      <c r="B6043" s="876">
        <v>7360</v>
      </c>
      <c r="C6043" s="876" t="s">
        <v>6553</v>
      </c>
      <c r="D6043" s="851">
        <v>831.21999500000004</v>
      </c>
    </row>
    <row r="6044" spans="2:4" x14ac:dyDescent="0.2">
      <c r="B6044" s="876">
        <v>7361</v>
      </c>
      <c r="C6044" s="876" t="s">
        <v>6554</v>
      </c>
      <c r="D6044" s="851">
        <v>825.79998799999998</v>
      </c>
    </row>
    <row r="6045" spans="2:4" x14ac:dyDescent="0.2">
      <c r="B6045" s="876">
        <v>7362</v>
      </c>
      <c r="C6045" s="876" t="s">
        <v>6555</v>
      </c>
      <c r="D6045" s="851">
        <v>836.48571800000002</v>
      </c>
    </row>
    <row r="6046" spans="2:4" x14ac:dyDescent="0.2">
      <c r="B6046" s="876">
        <v>7363</v>
      </c>
      <c r="C6046" s="876" t="s">
        <v>6556</v>
      </c>
      <c r="D6046" s="851">
        <v>830.31428700000004</v>
      </c>
    </row>
    <row r="6047" spans="2:4" x14ac:dyDescent="0.2">
      <c r="B6047" s="876">
        <v>7364</v>
      </c>
      <c r="C6047" s="876" t="s">
        <v>6557</v>
      </c>
      <c r="D6047" s="851">
        <v>852.0625</v>
      </c>
    </row>
    <row r="6048" spans="2:4" x14ac:dyDescent="0.2">
      <c r="B6048" s="876">
        <v>7365</v>
      </c>
      <c r="C6048" s="876" t="s">
        <v>6558</v>
      </c>
      <c r="D6048" s="851">
        <v>858.36666500000001</v>
      </c>
    </row>
    <row r="6049" spans="2:4" x14ac:dyDescent="0.2">
      <c r="B6049" s="876">
        <v>7366</v>
      </c>
      <c r="C6049" s="876" t="s">
        <v>6559</v>
      </c>
      <c r="D6049" s="851">
        <v>776.40000399999997</v>
      </c>
    </row>
    <row r="6050" spans="2:4" x14ac:dyDescent="0.2">
      <c r="B6050" s="876">
        <v>7367</v>
      </c>
      <c r="C6050" s="876" t="s">
        <v>6560</v>
      </c>
      <c r="D6050" s="851">
        <v>764.94998199999998</v>
      </c>
    </row>
    <row r="6051" spans="2:4" x14ac:dyDescent="0.2">
      <c r="B6051" s="876">
        <v>7368</v>
      </c>
      <c r="C6051" s="876" t="s">
        <v>6561</v>
      </c>
      <c r="D6051" s="851">
        <v>779.32000700000003</v>
      </c>
    </row>
    <row r="6052" spans="2:4" x14ac:dyDescent="0.2">
      <c r="B6052" s="876">
        <v>7369</v>
      </c>
      <c r="C6052" s="876" t="s">
        <v>6562</v>
      </c>
      <c r="D6052" s="851">
        <v>787.81667100000004</v>
      </c>
    </row>
    <row r="6053" spans="2:4" x14ac:dyDescent="0.2">
      <c r="B6053" s="876">
        <v>7370</v>
      </c>
      <c r="C6053" s="876" t="s">
        <v>6563</v>
      </c>
      <c r="D6053" s="851">
        <v>794.36665900000003</v>
      </c>
    </row>
    <row r="6054" spans="2:4" x14ac:dyDescent="0.2">
      <c r="B6054" s="876">
        <v>7371</v>
      </c>
      <c r="C6054" s="876" t="s">
        <v>6564</v>
      </c>
      <c r="D6054" s="851">
        <v>797.59231299999999</v>
      </c>
    </row>
    <row r="6055" spans="2:4" x14ac:dyDescent="0.2">
      <c r="B6055" s="876">
        <v>7372</v>
      </c>
      <c r="C6055" s="876" t="s">
        <v>6565</v>
      </c>
      <c r="D6055" s="851">
        <v>791.65713900000003</v>
      </c>
    </row>
    <row r="6056" spans="2:4" x14ac:dyDescent="0.2">
      <c r="B6056" s="876">
        <v>7373</v>
      </c>
      <c r="C6056" s="876" t="s">
        <v>6566</v>
      </c>
      <c r="D6056" s="851">
        <v>799.32501200000002</v>
      </c>
    </row>
    <row r="6057" spans="2:4" x14ac:dyDescent="0.2">
      <c r="B6057" s="876">
        <v>7374</v>
      </c>
      <c r="C6057" s="876" t="s">
        <v>6382</v>
      </c>
      <c r="D6057" s="851">
        <v>825.92500299999995</v>
      </c>
    </row>
    <row r="6058" spans="2:4" x14ac:dyDescent="0.2">
      <c r="B6058" s="876">
        <v>7375</v>
      </c>
      <c r="C6058" s="876" t="s">
        <v>6567</v>
      </c>
      <c r="D6058" s="851">
        <v>811.240002</v>
      </c>
    </row>
    <row r="6059" spans="2:4" x14ac:dyDescent="0.2">
      <c r="B6059" s="876">
        <v>7376</v>
      </c>
      <c r="C6059" s="876" t="s">
        <v>5236</v>
      </c>
      <c r="D6059" s="851">
        <v>818.85555699999998</v>
      </c>
    </row>
    <row r="6060" spans="2:4" x14ac:dyDescent="0.2">
      <c r="B6060" s="876">
        <v>7377</v>
      </c>
      <c r="C6060" s="876" t="s">
        <v>6568</v>
      </c>
      <c r="D6060" s="851">
        <v>808.69999199999995</v>
      </c>
    </row>
    <row r="6061" spans="2:4" x14ac:dyDescent="0.2">
      <c r="B6061" s="876">
        <v>7378</v>
      </c>
      <c r="C6061" s="876" t="s">
        <v>6569</v>
      </c>
      <c r="D6061" s="851">
        <v>830.92498799999998</v>
      </c>
    </row>
    <row r="6062" spans="2:4" x14ac:dyDescent="0.2">
      <c r="B6062" s="876">
        <v>7379</v>
      </c>
      <c r="C6062" s="876" t="s">
        <v>1621</v>
      </c>
      <c r="D6062" s="851">
        <v>827.14999399999999</v>
      </c>
    </row>
    <row r="6063" spans="2:4" x14ac:dyDescent="0.2">
      <c r="B6063" s="876">
        <v>7380</v>
      </c>
      <c r="C6063" s="876" t="s">
        <v>6570</v>
      </c>
      <c r="D6063" s="851">
        <v>839.63999000000001</v>
      </c>
    </row>
    <row r="6064" spans="2:4" x14ac:dyDescent="0.2">
      <c r="B6064" s="876">
        <v>7381</v>
      </c>
      <c r="C6064" s="876" t="s">
        <v>6571</v>
      </c>
      <c r="D6064" s="851">
        <v>812.88750700000003</v>
      </c>
    </row>
    <row r="6065" spans="2:4" x14ac:dyDescent="0.2">
      <c r="B6065" s="876">
        <v>7382</v>
      </c>
      <c r="C6065" s="876" t="s">
        <v>3827</v>
      </c>
      <c r="D6065" s="851">
        <v>853.24999000000003</v>
      </c>
    </row>
    <row r="6066" spans="2:4" x14ac:dyDescent="0.2">
      <c r="B6066" s="876">
        <v>7383</v>
      </c>
      <c r="C6066" s="876" t="s">
        <v>6572</v>
      </c>
      <c r="D6066" s="851">
        <v>849.72499100000005</v>
      </c>
    </row>
    <row r="6067" spans="2:4" x14ac:dyDescent="0.2">
      <c r="B6067" s="876">
        <v>7384</v>
      </c>
      <c r="C6067" s="876" t="s">
        <v>6220</v>
      </c>
      <c r="D6067" s="851">
        <v>852.97500600000001</v>
      </c>
    </row>
    <row r="6068" spans="2:4" x14ac:dyDescent="0.2">
      <c r="B6068" s="876">
        <v>7385</v>
      </c>
      <c r="C6068" s="876" t="s">
        <v>6573</v>
      </c>
      <c r="D6068" s="851">
        <v>860.79998799999998</v>
      </c>
    </row>
    <row r="6069" spans="2:4" x14ac:dyDescent="0.2">
      <c r="B6069" s="876">
        <v>7386</v>
      </c>
      <c r="C6069" s="876" t="s">
        <v>6574</v>
      </c>
      <c r="D6069" s="851">
        <v>853.30000800000005</v>
      </c>
    </row>
    <row r="6070" spans="2:4" x14ac:dyDescent="0.2">
      <c r="B6070" s="876">
        <v>7387</v>
      </c>
      <c r="C6070" s="876" t="s">
        <v>6575</v>
      </c>
      <c r="D6070" s="851">
        <v>857.76666299999999</v>
      </c>
    </row>
    <row r="6071" spans="2:4" x14ac:dyDescent="0.2">
      <c r="B6071" s="876">
        <v>7388</v>
      </c>
      <c r="C6071" s="876" t="s">
        <v>6576</v>
      </c>
      <c r="D6071" s="851">
        <v>853.17142200000001</v>
      </c>
    </row>
    <row r="6072" spans="2:4" x14ac:dyDescent="0.2">
      <c r="B6072" s="876">
        <v>7389</v>
      </c>
      <c r="C6072" s="876" t="s">
        <v>6577</v>
      </c>
      <c r="D6072" s="851">
        <v>832.668182</v>
      </c>
    </row>
    <row r="6073" spans="2:4" x14ac:dyDescent="0.2">
      <c r="B6073" s="876">
        <v>7390</v>
      </c>
      <c r="C6073" s="876" t="s">
        <v>6578</v>
      </c>
      <c r="D6073" s="851">
        <v>855</v>
      </c>
    </row>
    <row r="6074" spans="2:4" x14ac:dyDescent="0.2">
      <c r="B6074" s="876">
        <v>7391</v>
      </c>
      <c r="C6074" s="876" t="s">
        <v>6579</v>
      </c>
      <c r="D6074" s="851">
        <v>826.03332499999999</v>
      </c>
    </row>
    <row r="6075" spans="2:4" x14ac:dyDescent="0.2">
      <c r="B6075" s="876">
        <v>7392</v>
      </c>
      <c r="C6075" s="876" t="s">
        <v>6580</v>
      </c>
      <c r="D6075" s="851">
        <v>840.75</v>
      </c>
    </row>
    <row r="6076" spans="2:4" x14ac:dyDescent="0.2">
      <c r="B6076" s="876">
        <v>7393</v>
      </c>
      <c r="C6076" s="876" t="s">
        <v>6581</v>
      </c>
      <c r="D6076" s="851">
        <v>853.56667100000004</v>
      </c>
    </row>
    <row r="6077" spans="2:4" x14ac:dyDescent="0.2">
      <c r="B6077" s="876">
        <v>7394</v>
      </c>
      <c r="C6077" s="876" t="s">
        <v>5260</v>
      </c>
      <c r="D6077" s="851">
        <v>858.90002400000003</v>
      </c>
    </row>
    <row r="6078" spans="2:4" x14ac:dyDescent="0.2">
      <c r="B6078" s="876">
        <v>7395</v>
      </c>
      <c r="C6078" s="876" t="s">
        <v>6582</v>
      </c>
      <c r="D6078" s="851">
        <v>824.08571099999995</v>
      </c>
    </row>
    <row r="6079" spans="2:4" x14ac:dyDescent="0.2">
      <c r="B6079" s="876">
        <v>7396</v>
      </c>
      <c r="C6079" s="876" t="s">
        <v>6583</v>
      </c>
      <c r="D6079" s="851">
        <v>839.51666299999999</v>
      </c>
    </row>
    <row r="6080" spans="2:4" x14ac:dyDescent="0.2">
      <c r="B6080" s="876">
        <v>7397</v>
      </c>
      <c r="C6080" s="876" t="s">
        <v>6584</v>
      </c>
      <c r="D6080" s="851">
        <v>854.31999499999995</v>
      </c>
    </row>
    <row r="6081" spans="2:4" x14ac:dyDescent="0.2">
      <c r="B6081" s="876">
        <v>7398</v>
      </c>
      <c r="C6081" s="876" t="s">
        <v>6585</v>
      </c>
      <c r="D6081" s="851">
        <v>863.13334099999997</v>
      </c>
    </row>
    <row r="6082" spans="2:4" x14ac:dyDescent="0.2">
      <c r="B6082" s="876">
        <v>7399</v>
      </c>
      <c r="C6082" s="876" t="s">
        <v>6586</v>
      </c>
      <c r="D6082" s="851">
        <v>865.125</v>
      </c>
    </row>
    <row r="6083" spans="2:4" x14ac:dyDescent="0.2">
      <c r="B6083" s="876">
        <v>7400</v>
      </c>
      <c r="C6083" s="876" t="s">
        <v>6587</v>
      </c>
      <c r="D6083" s="851">
        <v>882.68000500000005</v>
      </c>
    </row>
    <row r="6084" spans="2:4" x14ac:dyDescent="0.2">
      <c r="B6084" s="876">
        <v>7401</v>
      </c>
      <c r="C6084" s="876" t="s">
        <v>6588</v>
      </c>
      <c r="D6084" s="851">
        <v>716.19998199999998</v>
      </c>
    </row>
    <row r="6085" spans="2:4" x14ac:dyDescent="0.2">
      <c r="B6085" s="876">
        <v>7402</v>
      </c>
      <c r="C6085" s="876" t="s">
        <v>6589</v>
      </c>
      <c r="D6085" s="851">
        <v>718.19999499999994</v>
      </c>
    </row>
    <row r="6086" spans="2:4" x14ac:dyDescent="0.2">
      <c r="B6086" s="876">
        <v>7403</v>
      </c>
      <c r="C6086" s="876" t="s">
        <v>6590</v>
      </c>
      <c r="D6086" s="851">
        <v>709.59999600000003</v>
      </c>
    </row>
    <row r="6087" spans="2:4" x14ac:dyDescent="0.2">
      <c r="B6087" s="876">
        <v>7404</v>
      </c>
      <c r="C6087" s="876" t="s">
        <v>6591</v>
      </c>
      <c r="D6087" s="851">
        <v>719.58000500000003</v>
      </c>
    </row>
    <row r="6088" spans="2:4" x14ac:dyDescent="0.2">
      <c r="B6088" s="876">
        <v>7405</v>
      </c>
      <c r="C6088" s="876" t="s">
        <v>6592</v>
      </c>
      <c r="D6088" s="851">
        <v>751.54998799999998</v>
      </c>
    </row>
    <row r="6089" spans="2:4" x14ac:dyDescent="0.2">
      <c r="B6089" s="876">
        <v>7406</v>
      </c>
      <c r="C6089" s="876" t="s">
        <v>6593</v>
      </c>
      <c r="D6089" s="851">
        <v>728.83332900000005</v>
      </c>
    </row>
    <row r="6090" spans="2:4" x14ac:dyDescent="0.2">
      <c r="B6090" s="876">
        <v>7407</v>
      </c>
      <c r="C6090" s="876" t="s">
        <v>6594</v>
      </c>
      <c r="D6090" s="851">
        <v>710.82999900000004</v>
      </c>
    </row>
    <row r="6091" spans="2:4" x14ac:dyDescent="0.2">
      <c r="B6091" s="876">
        <v>7408</v>
      </c>
      <c r="C6091" s="876" t="s">
        <v>6595</v>
      </c>
      <c r="D6091" s="851">
        <v>699.76666299999999</v>
      </c>
    </row>
    <row r="6092" spans="2:4" x14ac:dyDescent="0.2">
      <c r="B6092" s="876">
        <v>7409</v>
      </c>
      <c r="C6092" s="876" t="s">
        <v>6596</v>
      </c>
      <c r="D6092" s="851">
        <v>729.40000399999997</v>
      </c>
    </row>
    <row r="6093" spans="2:4" x14ac:dyDescent="0.2">
      <c r="B6093" s="876">
        <v>7410</v>
      </c>
      <c r="C6093" s="876" t="s">
        <v>4128</v>
      </c>
      <c r="D6093" s="851">
        <v>767</v>
      </c>
    </row>
    <row r="6094" spans="2:4" x14ac:dyDescent="0.2">
      <c r="B6094" s="876">
        <v>7411</v>
      </c>
      <c r="C6094" s="876" t="s">
        <v>6597</v>
      </c>
      <c r="D6094" s="851">
        <v>720.25714100000005</v>
      </c>
    </row>
    <row r="6095" spans="2:4" x14ac:dyDescent="0.2">
      <c r="B6095" s="876">
        <v>7412</v>
      </c>
      <c r="C6095" s="876" t="s">
        <v>6598</v>
      </c>
      <c r="D6095" s="851">
        <v>731.58572000000004</v>
      </c>
    </row>
    <row r="6096" spans="2:4" x14ac:dyDescent="0.2">
      <c r="B6096" s="876">
        <v>7413</v>
      </c>
      <c r="C6096" s="876" t="s">
        <v>2450</v>
      </c>
      <c r="D6096" s="851">
        <v>746.52857300000005</v>
      </c>
    </row>
    <row r="6097" spans="2:4" x14ac:dyDescent="0.2">
      <c r="B6097" s="876">
        <v>7414</v>
      </c>
      <c r="C6097" s="876" t="s">
        <v>6599</v>
      </c>
      <c r="D6097" s="851">
        <v>734.883331</v>
      </c>
    </row>
    <row r="6098" spans="2:4" x14ac:dyDescent="0.2">
      <c r="B6098" s="876">
        <v>7415</v>
      </c>
      <c r="C6098" s="876" t="s">
        <v>6600</v>
      </c>
      <c r="D6098" s="851">
        <v>751.41427999999996</v>
      </c>
    </row>
    <row r="6099" spans="2:4" x14ac:dyDescent="0.2">
      <c r="B6099" s="876">
        <v>7416</v>
      </c>
      <c r="C6099" s="876" t="s">
        <v>5174</v>
      </c>
      <c r="D6099" s="851">
        <v>723</v>
      </c>
    </row>
    <row r="6100" spans="2:4" x14ac:dyDescent="0.2">
      <c r="B6100" s="876">
        <v>7417</v>
      </c>
      <c r="C6100" s="876" t="s">
        <v>6601</v>
      </c>
      <c r="D6100" s="851">
        <v>705.61428100000001</v>
      </c>
    </row>
    <row r="6101" spans="2:4" x14ac:dyDescent="0.2">
      <c r="B6101" s="876">
        <v>7418</v>
      </c>
      <c r="C6101" s="876" t="s">
        <v>6602</v>
      </c>
      <c r="D6101" s="851">
        <v>745.59999600000003</v>
      </c>
    </row>
    <row r="6102" spans="2:4" x14ac:dyDescent="0.2">
      <c r="B6102" s="876">
        <v>7419</v>
      </c>
      <c r="C6102" s="876" t="s">
        <v>6603</v>
      </c>
      <c r="D6102" s="851">
        <v>731.95001200000002</v>
      </c>
    </row>
    <row r="6103" spans="2:4" x14ac:dyDescent="0.2">
      <c r="B6103" s="876">
        <v>7420</v>
      </c>
      <c r="C6103" s="876" t="s">
        <v>6604</v>
      </c>
      <c r="D6103" s="851">
        <v>739.125</v>
      </c>
    </row>
    <row r="6104" spans="2:4" x14ac:dyDescent="0.2">
      <c r="B6104" s="876">
        <v>7421</v>
      </c>
      <c r="C6104" s="876" t="s">
        <v>6605</v>
      </c>
      <c r="D6104" s="851">
        <v>739.49998800000003</v>
      </c>
    </row>
    <row r="6105" spans="2:4" x14ac:dyDescent="0.2">
      <c r="B6105" s="876">
        <v>7422</v>
      </c>
      <c r="C6105" s="876" t="s">
        <v>6606</v>
      </c>
      <c r="D6105" s="851">
        <v>712.18400399999996</v>
      </c>
    </row>
    <row r="6106" spans="2:4" x14ac:dyDescent="0.2">
      <c r="B6106" s="876">
        <v>7423</v>
      </c>
      <c r="C6106" s="876" t="s">
        <v>1135</v>
      </c>
      <c r="D6106" s="851">
        <v>748.33750199999997</v>
      </c>
    </row>
    <row r="6107" spans="2:4" x14ac:dyDescent="0.2">
      <c r="B6107" s="876">
        <v>7424</v>
      </c>
      <c r="C6107" s="876" t="s">
        <v>6607</v>
      </c>
      <c r="D6107" s="851">
        <v>739.53334600000005</v>
      </c>
    </row>
    <row r="6108" spans="2:4" x14ac:dyDescent="0.2">
      <c r="B6108" s="876">
        <v>7425</v>
      </c>
      <c r="C6108" s="876" t="s">
        <v>6608</v>
      </c>
      <c r="D6108" s="851">
        <v>750.43332899999996</v>
      </c>
    </row>
    <row r="6109" spans="2:4" x14ac:dyDescent="0.2">
      <c r="B6109" s="876">
        <v>7426</v>
      </c>
      <c r="C6109" s="876" t="s">
        <v>6609</v>
      </c>
      <c r="D6109" s="851">
        <v>724.19999700000005</v>
      </c>
    </row>
    <row r="6110" spans="2:4" x14ac:dyDescent="0.2">
      <c r="B6110" s="876">
        <v>7427</v>
      </c>
      <c r="C6110" s="876" t="s">
        <v>6610</v>
      </c>
      <c r="D6110" s="851">
        <v>757.82221100000004</v>
      </c>
    </row>
    <row r="6111" spans="2:4" x14ac:dyDescent="0.2">
      <c r="B6111" s="876">
        <v>7428</v>
      </c>
      <c r="C6111" s="876" t="s">
        <v>6611</v>
      </c>
      <c r="D6111" s="851">
        <v>744.8</v>
      </c>
    </row>
    <row r="6112" spans="2:4" x14ac:dyDescent="0.2">
      <c r="B6112" s="876">
        <v>7429</v>
      </c>
      <c r="C6112" s="876" t="s">
        <v>6612</v>
      </c>
      <c r="D6112" s="851">
        <v>769.46001000000001</v>
      </c>
    </row>
    <row r="6113" spans="2:4" x14ac:dyDescent="0.2">
      <c r="B6113" s="876">
        <v>7430</v>
      </c>
      <c r="C6113" s="876" t="s">
        <v>1920</v>
      </c>
      <c r="D6113" s="851">
        <v>774.90001199999995</v>
      </c>
    </row>
    <row r="6114" spans="2:4" x14ac:dyDescent="0.2">
      <c r="B6114" s="876">
        <v>7431</v>
      </c>
      <c r="C6114" s="876" t="s">
        <v>6320</v>
      </c>
      <c r="D6114" s="851">
        <v>771.67778199999998</v>
      </c>
    </row>
    <row r="6115" spans="2:4" x14ac:dyDescent="0.2">
      <c r="B6115" s="876">
        <v>7432</v>
      </c>
      <c r="C6115" s="876" t="s">
        <v>6613</v>
      </c>
      <c r="D6115" s="851">
        <v>760.79998799999998</v>
      </c>
    </row>
    <row r="6116" spans="2:4" x14ac:dyDescent="0.2">
      <c r="B6116" s="876">
        <v>7433</v>
      </c>
      <c r="C6116" s="876" t="s">
        <v>6614</v>
      </c>
      <c r="D6116" s="851">
        <v>788.5</v>
      </c>
    </row>
    <row r="6117" spans="2:4" x14ac:dyDescent="0.2">
      <c r="B6117" s="876">
        <v>7434</v>
      </c>
      <c r="C6117" s="876" t="s">
        <v>6615</v>
      </c>
      <c r="D6117" s="851">
        <v>716.10001</v>
      </c>
    </row>
    <row r="6118" spans="2:4" x14ac:dyDescent="0.2">
      <c r="B6118" s="876">
        <v>7435</v>
      </c>
      <c r="C6118" s="876" t="s">
        <v>6616</v>
      </c>
      <c r="D6118" s="851">
        <v>732.15998500000001</v>
      </c>
    </row>
    <row r="6119" spans="2:4" x14ac:dyDescent="0.2">
      <c r="B6119" s="876">
        <v>7436</v>
      </c>
      <c r="C6119" s="876" t="s">
        <v>6617</v>
      </c>
      <c r="D6119" s="851">
        <v>731.27692100000002</v>
      </c>
    </row>
    <row r="6120" spans="2:4" x14ac:dyDescent="0.2">
      <c r="B6120" s="876">
        <v>7437</v>
      </c>
      <c r="C6120" s="876" t="s">
        <v>6618</v>
      </c>
      <c r="D6120" s="851">
        <v>787.77500199999997</v>
      </c>
    </row>
    <row r="6121" spans="2:4" x14ac:dyDescent="0.2">
      <c r="B6121" s="876">
        <v>7438</v>
      </c>
      <c r="C6121" s="876" t="s">
        <v>6619</v>
      </c>
      <c r="D6121" s="851">
        <v>770.25</v>
      </c>
    </row>
    <row r="6122" spans="2:4" x14ac:dyDescent="0.2">
      <c r="B6122" s="876">
        <v>7439</v>
      </c>
      <c r="C6122" s="876" t="s">
        <v>6620</v>
      </c>
      <c r="D6122" s="851">
        <v>782.23333700000001</v>
      </c>
    </row>
    <row r="6123" spans="2:4" x14ac:dyDescent="0.2">
      <c r="B6123" s="876">
        <v>7440</v>
      </c>
      <c r="C6123" s="876" t="s">
        <v>6621</v>
      </c>
      <c r="D6123" s="851">
        <v>780.24284999999998</v>
      </c>
    </row>
    <row r="6124" spans="2:4" x14ac:dyDescent="0.2">
      <c r="B6124" s="876">
        <v>7441</v>
      </c>
      <c r="C6124" s="876" t="s">
        <v>6622</v>
      </c>
      <c r="D6124" s="851">
        <v>814.41428900000005</v>
      </c>
    </row>
    <row r="6125" spans="2:4" x14ac:dyDescent="0.2">
      <c r="B6125" s="876">
        <v>7442</v>
      </c>
      <c r="C6125" s="876" t="s">
        <v>6623</v>
      </c>
      <c r="D6125" s="851">
        <v>806.54998799999998</v>
      </c>
    </row>
    <row r="6126" spans="2:4" x14ac:dyDescent="0.2">
      <c r="B6126" s="876">
        <v>7443</v>
      </c>
      <c r="C6126" s="876" t="s">
        <v>5063</v>
      </c>
      <c r="D6126" s="851">
        <v>806.8</v>
      </c>
    </row>
    <row r="6127" spans="2:4" x14ac:dyDescent="0.2">
      <c r="B6127" s="876">
        <v>7444</v>
      </c>
      <c r="C6127" s="876" t="s">
        <v>6624</v>
      </c>
      <c r="D6127" s="851">
        <v>702.23749499999997</v>
      </c>
    </row>
    <row r="6128" spans="2:4" x14ac:dyDescent="0.2">
      <c r="B6128" s="876">
        <v>7445</v>
      </c>
      <c r="C6128" s="876" t="s">
        <v>6625</v>
      </c>
      <c r="D6128" s="851">
        <v>748.91666699999996</v>
      </c>
    </row>
    <row r="6129" spans="2:4" x14ac:dyDescent="0.2">
      <c r="B6129" s="876">
        <v>7446</v>
      </c>
      <c r="C6129" s="876" t="s">
        <v>6626</v>
      </c>
      <c r="D6129" s="851">
        <v>759.98889199999996</v>
      </c>
    </row>
    <row r="6130" spans="2:4" x14ac:dyDescent="0.2">
      <c r="B6130" s="876">
        <v>7447</v>
      </c>
      <c r="C6130" s="876" t="s">
        <v>6627</v>
      </c>
      <c r="D6130" s="851">
        <v>765.46249399999999</v>
      </c>
    </row>
    <row r="6131" spans="2:4" x14ac:dyDescent="0.2">
      <c r="B6131" s="876">
        <v>7448</v>
      </c>
      <c r="C6131" s="876" t="s">
        <v>1691</v>
      </c>
      <c r="D6131" s="851">
        <v>727.85833200000002</v>
      </c>
    </row>
    <row r="6132" spans="2:4" x14ac:dyDescent="0.2">
      <c r="B6132" s="876">
        <v>7449</v>
      </c>
      <c r="C6132" s="876" t="s">
        <v>6628</v>
      </c>
      <c r="D6132" s="851">
        <v>737.83335399999999</v>
      </c>
    </row>
    <row r="6133" spans="2:4" x14ac:dyDescent="0.2">
      <c r="B6133" s="876">
        <v>7450</v>
      </c>
      <c r="C6133" s="876" t="s">
        <v>6629</v>
      </c>
      <c r="D6133" s="851">
        <v>757.94000200000005</v>
      </c>
    </row>
    <row r="6134" spans="2:4" x14ac:dyDescent="0.2">
      <c r="B6134" s="876">
        <v>7451</v>
      </c>
      <c r="C6134" s="876" t="s">
        <v>6630</v>
      </c>
      <c r="D6134" s="851">
        <v>813.98333700000001</v>
      </c>
    </row>
    <row r="6135" spans="2:4" x14ac:dyDescent="0.2">
      <c r="B6135" s="876">
        <v>7452</v>
      </c>
      <c r="C6135" s="876" t="s">
        <v>6631</v>
      </c>
      <c r="D6135" s="851">
        <v>791</v>
      </c>
    </row>
    <row r="6136" spans="2:4" x14ac:dyDescent="0.2">
      <c r="B6136" s="876">
        <v>7453</v>
      </c>
      <c r="C6136" s="876" t="s">
        <v>6632</v>
      </c>
      <c r="D6136" s="851">
        <v>830.96666500000003</v>
      </c>
    </row>
    <row r="6137" spans="2:4" x14ac:dyDescent="0.2">
      <c r="B6137" s="876">
        <v>7454</v>
      </c>
      <c r="C6137" s="876" t="s">
        <v>6633</v>
      </c>
      <c r="D6137" s="851">
        <v>809.5</v>
      </c>
    </row>
    <row r="6138" spans="2:4" x14ac:dyDescent="0.2">
      <c r="B6138" s="876">
        <v>7455</v>
      </c>
      <c r="C6138" s="876" t="s">
        <v>6634</v>
      </c>
      <c r="D6138" s="851">
        <v>839.70001200000002</v>
      </c>
    </row>
    <row r="6139" spans="2:4" x14ac:dyDescent="0.2">
      <c r="B6139" s="876">
        <v>7456</v>
      </c>
      <c r="C6139" s="876" t="s">
        <v>6635</v>
      </c>
      <c r="D6139" s="851">
        <v>823.67142999999999</v>
      </c>
    </row>
    <row r="6140" spans="2:4" x14ac:dyDescent="0.2">
      <c r="B6140" s="876">
        <v>7457</v>
      </c>
      <c r="C6140" s="876" t="s">
        <v>5793</v>
      </c>
      <c r="D6140" s="851">
        <v>800.09997599999997</v>
      </c>
    </row>
    <row r="6141" spans="2:4" x14ac:dyDescent="0.2">
      <c r="B6141" s="876">
        <v>7458</v>
      </c>
      <c r="C6141" s="876" t="s">
        <v>6636</v>
      </c>
      <c r="D6141" s="851">
        <v>781.70001200000002</v>
      </c>
    </row>
    <row r="6142" spans="2:4" x14ac:dyDescent="0.2">
      <c r="B6142" s="876">
        <v>7459</v>
      </c>
      <c r="C6142" s="876" t="s">
        <v>6637</v>
      </c>
      <c r="D6142" s="851">
        <v>808.51428199999998</v>
      </c>
    </row>
    <row r="6143" spans="2:4" x14ac:dyDescent="0.2">
      <c r="B6143" s="876">
        <v>7460</v>
      </c>
      <c r="C6143" s="876" t="s">
        <v>1809</v>
      </c>
      <c r="D6143" s="851">
        <v>803.90002400000003</v>
      </c>
    </row>
    <row r="6144" spans="2:4" x14ac:dyDescent="0.2">
      <c r="B6144" s="876">
        <v>7461</v>
      </c>
      <c r="C6144" s="876" t="s">
        <v>6638</v>
      </c>
      <c r="D6144" s="851">
        <v>803.02499399999999</v>
      </c>
    </row>
    <row r="6145" spans="2:4" x14ac:dyDescent="0.2">
      <c r="B6145" s="876">
        <v>7462</v>
      </c>
      <c r="C6145" s="876" t="s">
        <v>6639</v>
      </c>
      <c r="D6145" s="851">
        <v>838.53635499999996</v>
      </c>
    </row>
    <row r="6146" spans="2:4" x14ac:dyDescent="0.2">
      <c r="B6146" s="876">
        <v>7463</v>
      </c>
      <c r="C6146" s="876" t="s">
        <v>6640</v>
      </c>
      <c r="D6146" s="851">
        <v>823.92499499999997</v>
      </c>
    </row>
    <row r="6147" spans="2:4" x14ac:dyDescent="0.2">
      <c r="B6147" s="876">
        <v>7464</v>
      </c>
      <c r="C6147" s="876" t="s">
        <v>1786</v>
      </c>
      <c r="D6147" s="851">
        <v>823.87691099999995</v>
      </c>
    </row>
    <row r="6148" spans="2:4" x14ac:dyDescent="0.2">
      <c r="B6148" s="876">
        <v>7465</v>
      </c>
      <c r="C6148" s="876" t="s">
        <v>6641</v>
      </c>
      <c r="D6148" s="851">
        <v>837.76250500000003</v>
      </c>
    </row>
    <row r="6149" spans="2:4" x14ac:dyDescent="0.2">
      <c r="B6149" s="876">
        <v>7501</v>
      </c>
      <c r="C6149" s="876" t="s">
        <v>6642</v>
      </c>
      <c r="D6149" s="851">
        <v>739.66666699999996</v>
      </c>
    </row>
    <row r="6150" spans="2:4" x14ac:dyDescent="0.2">
      <c r="B6150" s="876">
        <v>7502</v>
      </c>
      <c r="C6150" s="876" t="s">
        <v>6643</v>
      </c>
      <c r="D6150" s="851">
        <v>766.18571299999996</v>
      </c>
    </row>
    <row r="6151" spans="2:4" x14ac:dyDescent="0.2">
      <c r="B6151" s="876">
        <v>7503</v>
      </c>
      <c r="C6151" s="876" t="s">
        <v>6644</v>
      </c>
      <c r="D6151" s="851">
        <v>774.97500600000001</v>
      </c>
    </row>
    <row r="6152" spans="2:4" x14ac:dyDescent="0.2">
      <c r="B6152" s="876">
        <v>7504</v>
      </c>
      <c r="C6152" s="876" t="s">
        <v>6645</v>
      </c>
      <c r="D6152" s="851">
        <v>786.82223199999999</v>
      </c>
    </row>
    <row r="6153" spans="2:4" x14ac:dyDescent="0.2">
      <c r="B6153" s="876">
        <v>7506</v>
      </c>
      <c r="C6153" s="876" t="s">
        <v>6646</v>
      </c>
      <c r="D6153" s="851">
        <v>806.29999799999996</v>
      </c>
    </row>
    <row r="6154" spans="2:4" x14ac:dyDescent="0.2">
      <c r="B6154" s="876">
        <v>7507</v>
      </c>
      <c r="C6154" s="876" t="s">
        <v>6647</v>
      </c>
      <c r="D6154" s="851">
        <v>828.36665900000003</v>
      </c>
    </row>
    <row r="6155" spans="2:4" x14ac:dyDescent="0.2">
      <c r="B6155" s="876">
        <v>7508</v>
      </c>
      <c r="C6155" s="876" t="s">
        <v>2487</v>
      </c>
      <c r="D6155" s="851">
        <v>816.76666299999999</v>
      </c>
    </row>
    <row r="6156" spans="2:4" x14ac:dyDescent="0.2">
      <c r="B6156" s="876">
        <v>7509</v>
      </c>
      <c r="C6156" s="876" t="s">
        <v>6648</v>
      </c>
      <c r="D6156" s="851">
        <v>831.29998799999998</v>
      </c>
    </row>
    <row r="6157" spans="2:4" x14ac:dyDescent="0.2">
      <c r="B6157" s="876">
        <v>7510</v>
      </c>
      <c r="C6157" s="876" t="s">
        <v>4208</v>
      </c>
      <c r="D6157" s="851">
        <v>818.37142500000004</v>
      </c>
    </row>
    <row r="6158" spans="2:4" x14ac:dyDescent="0.2">
      <c r="B6158" s="876">
        <v>7511</v>
      </c>
      <c r="C6158" s="876" t="s">
        <v>6649</v>
      </c>
      <c r="D6158" s="851">
        <v>834.98570900000004</v>
      </c>
    </row>
    <row r="6159" spans="2:4" x14ac:dyDescent="0.2">
      <c r="B6159" s="876">
        <v>7512</v>
      </c>
      <c r="C6159" s="876" t="s">
        <v>6650</v>
      </c>
      <c r="D6159" s="851">
        <v>845.072721</v>
      </c>
    </row>
    <row r="6160" spans="2:4" x14ac:dyDescent="0.2">
      <c r="B6160" s="876">
        <v>7513</v>
      </c>
      <c r="C6160" s="876" t="s">
        <v>6651</v>
      </c>
      <c r="D6160" s="851">
        <v>839.27499399999999</v>
      </c>
    </row>
    <row r="6161" spans="2:4" x14ac:dyDescent="0.2">
      <c r="B6161" s="876">
        <v>7514</v>
      </c>
      <c r="C6161" s="876" t="s">
        <v>6652</v>
      </c>
      <c r="D6161" s="851">
        <v>859.5</v>
      </c>
    </row>
    <row r="6162" spans="2:4" x14ac:dyDescent="0.2">
      <c r="B6162" s="876">
        <v>7515</v>
      </c>
      <c r="C6162" s="876" t="s">
        <v>6653</v>
      </c>
      <c r="D6162" s="851">
        <v>836.88000499999998</v>
      </c>
    </row>
    <row r="6163" spans="2:4" x14ac:dyDescent="0.2">
      <c r="B6163" s="876">
        <v>7516</v>
      </c>
      <c r="C6163" s="876" t="s">
        <v>6654</v>
      </c>
      <c r="D6163" s="851">
        <v>863.67500299999995</v>
      </c>
    </row>
    <row r="6164" spans="2:4" x14ac:dyDescent="0.2">
      <c r="B6164" s="876">
        <v>7517</v>
      </c>
      <c r="C6164" s="876" t="s">
        <v>6306</v>
      </c>
      <c r="D6164" s="851">
        <v>870.03334600000005</v>
      </c>
    </row>
    <row r="6165" spans="2:4" x14ac:dyDescent="0.2">
      <c r="B6165" s="876">
        <v>7518</v>
      </c>
      <c r="C6165" s="876" t="s">
        <v>1784</v>
      </c>
      <c r="D6165" s="851">
        <v>879.353341</v>
      </c>
    </row>
    <row r="6166" spans="2:4" x14ac:dyDescent="0.2">
      <c r="B6166" s="876">
        <v>7519</v>
      </c>
      <c r="C6166" s="876" t="s">
        <v>6655</v>
      </c>
      <c r="D6166" s="851">
        <v>901.19998799999996</v>
      </c>
    </row>
    <row r="6167" spans="2:4" x14ac:dyDescent="0.2">
      <c r="B6167" s="876">
        <v>7520</v>
      </c>
      <c r="C6167" s="876" t="s">
        <v>6656</v>
      </c>
      <c r="D6167" s="851">
        <v>888.16666699999996</v>
      </c>
    </row>
    <row r="6168" spans="2:4" x14ac:dyDescent="0.2">
      <c r="B6168" s="876">
        <v>7521</v>
      </c>
      <c r="C6168" s="876" t="s">
        <v>6657</v>
      </c>
      <c r="D6168" s="851">
        <v>882.20000100000004</v>
      </c>
    </row>
    <row r="6169" spans="2:4" x14ac:dyDescent="0.2">
      <c r="B6169" s="876">
        <v>7522</v>
      </c>
      <c r="C6169" s="876" t="s">
        <v>6658</v>
      </c>
      <c r="D6169" s="851">
        <v>879.366669</v>
      </c>
    </row>
    <row r="6170" spans="2:4" x14ac:dyDescent="0.2">
      <c r="B6170" s="876">
        <v>7523</v>
      </c>
      <c r="C6170" s="876" t="s">
        <v>6659</v>
      </c>
      <c r="D6170" s="851">
        <v>857.07777899999996</v>
      </c>
    </row>
    <row r="6171" spans="2:4" x14ac:dyDescent="0.2">
      <c r="B6171" s="876">
        <v>7524</v>
      </c>
      <c r="C6171" s="876" t="s">
        <v>6660</v>
      </c>
      <c r="D6171" s="851">
        <v>851.77499399999999</v>
      </c>
    </row>
    <row r="6172" spans="2:4" x14ac:dyDescent="0.2">
      <c r="B6172" s="876">
        <v>7525</v>
      </c>
      <c r="C6172" s="876" t="s">
        <v>6661</v>
      </c>
      <c r="D6172" s="851">
        <v>880.70713999999998</v>
      </c>
    </row>
    <row r="6173" spans="2:4" x14ac:dyDescent="0.2">
      <c r="B6173" s="876">
        <v>7526</v>
      </c>
      <c r="C6173" s="876" t="s">
        <v>6662</v>
      </c>
      <c r="D6173" s="851">
        <v>875.85000600000001</v>
      </c>
    </row>
    <row r="6174" spans="2:4" x14ac:dyDescent="0.2">
      <c r="B6174" s="876">
        <v>7527</v>
      </c>
      <c r="C6174" s="876" t="s">
        <v>6663</v>
      </c>
      <c r="D6174" s="851">
        <v>863.04998799999998</v>
      </c>
    </row>
    <row r="6175" spans="2:4" x14ac:dyDescent="0.2">
      <c r="B6175" s="876">
        <v>7528</v>
      </c>
      <c r="C6175" s="876" t="s">
        <v>6664</v>
      </c>
      <c r="D6175" s="851">
        <v>866.759998</v>
      </c>
    </row>
    <row r="6176" spans="2:4" x14ac:dyDescent="0.2">
      <c r="B6176" s="876">
        <v>7529</v>
      </c>
      <c r="C6176" s="876" t="s">
        <v>6665</v>
      </c>
      <c r="D6176" s="851">
        <v>891.35000600000001</v>
      </c>
    </row>
    <row r="6177" spans="2:4" x14ac:dyDescent="0.2">
      <c r="B6177" s="876">
        <v>7530</v>
      </c>
      <c r="C6177" s="876" t="s">
        <v>6666</v>
      </c>
      <c r="D6177" s="851">
        <v>889.52499399999999</v>
      </c>
    </row>
    <row r="6178" spans="2:4" x14ac:dyDescent="0.2">
      <c r="B6178" s="876">
        <v>7531</v>
      </c>
      <c r="C6178" s="876" t="s">
        <v>6667</v>
      </c>
      <c r="D6178" s="851">
        <v>868.53332499999999</v>
      </c>
    </row>
    <row r="6179" spans="2:4" x14ac:dyDescent="0.2">
      <c r="B6179" s="876">
        <v>7532</v>
      </c>
      <c r="C6179" s="876" t="s">
        <v>6668</v>
      </c>
      <c r="D6179" s="851">
        <v>887.45001200000002</v>
      </c>
    </row>
    <row r="6180" spans="2:4" x14ac:dyDescent="0.2">
      <c r="B6180" s="876">
        <v>7533</v>
      </c>
      <c r="C6180" s="876" t="s">
        <v>6669</v>
      </c>
      <c r="D6180" s="851">
        <v>884.29166699999996</v>
      </c>
    </row>
    <row r="6181" spans="2:4" x14ac:dyDescent="0.2">
      <c r="B6181" s="876">
        <v>7534</v>
      </c>
      <c r="C6181" s="876" t="s">
        <v>6670</v>
      </c>
      <c r="D6181" s="851">
        <v>885.71665399999995</v>
      </c>
    </row>
    <row r="6182" spans="2:4" x14ac:dyDescent="0.2">
      <c r="B6182" s="876">
        <v>7535</v>
      </c>
      <c r="C6182" s="876" t="s">
        <v>6671</v>
      </c>
      <c r="D6182" s="851">
        <v>888.47499100000005</v>
      </c>
    </row>
    <row r="6183" spans="2:4" x14ac:dyDescent="0.2">
      <c r="B6183" s="876">
        <v>7536</v>
      </c>
      <c r="C6183" s="876" t="s">
        <v>6672</v>
      </c>
      <c r="D6183" s="851">
        <v>904.68750799999998</v>
      </c>
    </row>
    <row r="6184" spans="2:4" x14ac:dyDescent="0.2">
      <c r="B6184" s="876">
        <v>7537</v>
      </c>
      <c r="C6184" s="876" t="s">
        <v>6673</v>
      </c>
      <c r="D6184" s="851">
        <v>887.70833300000004</v>
      </c>
    </row>
    <row r="6185" spans="2:4" x14ac:dyDescent="0.2">
      <c r="B6185" s="876">
        <v>7538</v>
      </c>
      <c r="C6185" s="876" t="s">
        <v>6674</v>
      </c>
      <c r="D6185" s="851">
        <v>885.42858000000001</v>
      </c>
    </row>
    <row r="6186" spans="2:4" x14ac:dyDescent="0.2">
      <c r="B6186" s="876">
        <v>7539</v>
      </c>
      <c r="C6186" s="876" t="s">
        <v>6675</v>
      </c>
      <c r="D6186" s="851">
        <v>859.3</v>
      </c>
    </row>
    <row r="6187" spans="2:4" x14ac:dyDescent="0.2">
      <c r="B6187" s="876">
        <v>7540</v>
      </c>
      <c r="C6187" s="876" t="s">
        <v>6676</v>
      </c>
      <c r="D6187" s="851">
        <v>873.25556800000004</v>
      </c>
    </row>
    <row r="6188" spans="2:4" x14ac:dyDescent="0.2">
      <c r="B6188" s="876">
        <v>7541</v>
      </c>
      <c r="C6188" s="876" t="s">
        <v>6677</v>
      </c>
      <c r="D6188" s="851">
        <v>880.07778299999995</v>
      </c>
    </row>
    <row r="6189" spans="2:4" x14ac:dyDescent="0.2">
      <c r="B6189" s="876">
        <v>7542</v>
      </c>
      <c r="C6189" s="876" t="s">
        <v>6678</v>
      </c>
      <c r="D6189" s="851">
        <v>893.35999800000002</v>
      </c>
    </row>
    <row r="6190" spans="2:4" x14ac:dyDescent="0.2">
      <c r="B6190" s="876">
        <v>7543</v>
      </c>
      <c r="C6190" s="876" t="s">
        <v>6679</v>
      </c>
      <c r="D6190" s="851">
        <v>899.79999799999996</v>
      </c>
    </row>
    <row r="6191" spans="2:4" x14ac:dyDescent="0.2">
      <c r="B6191" s="876">
        <v>7544</v>
      </c>
      <c r="C6191" s="876" t="s">
        <v>6680</v>
      </c>
      <c r="D6191" s="851">
        <v>924.24000899999999</v>
      </c>
    </row>
    <row r="6192" spans="2:4" x14ac:dyDescent="0.2">
      <c r="B6192" s="876">
        <v>7545</v>
      </c>
      <c r="C6192" s="876" t="s">
        <v>6681</v>
      </c>
      <c r="D6192" s="851">
        <v>867.125</v>
      </c>
    </row>
    <row r="6193" spans="2:4" x14ac:dyDescent="0.2">
      <c r="B6193" s="876">
        <v>7546</v>
      </c>
      <c r="C6193" s="876" t="s">
        <v>6682</v>
      </c>
      <c r="D6193" s="851">
        <v>899.20001200000002</v>
      </c>
    </row>
    <row r="6194" spans="2:4" x14ac:dyDescent="0.2">
      <c r="B6194" s="876">
        <v>7547</v>
      </c>
      <c r="C6194" s="876" t="s">
        <v>6683</v>
      </c>
      <c r="D6194" s="851">
        <v>885.07000700000003</v>
      </c>
    </row>
    <row r="6195" spans="2:4" x14ac:dyDescent="0.2">
      <c r="B6195" s="876">
        <v>7548</v>
      </c>
      <c r="C6195" s="876" t="s">
        <v>6684</v>
      </c>
      <c r="D6195" s="851">
        <v>918.14999399999999</v>
      </c>
    </row>
    <row r="6196" spans="2:4" x14ac:dyDescent="0.2">
      <c r="B6196" s="876">
        <v>7549</v>
      </c>
      <c r="C6196" s="876" t="s">
        <v>6685</v>
      </c>
      <c r="D6196" s="851">
        <v>860.36000200000001</v>
      </c>
    </row>
    <row r="6197" spans="2:4" x14ac:dyDescent="0.2">
      <c r="B6197" s="876">
        <v>7550</v>
      </c>
      <c r="C6197" s="876" t="s">
        <v>6686</v>
      </c>
      <c r="D6197" s="851">
        <v>863.79998799999998</v>
      </c>
    </row>
    <row r="6198" spans="2:4" x14ac:dyDescent="0.2">
      <c r="B6198" s="876">
        <v>7551</v>
      </c>
      <c r="C6198" s="876" t="s">
        <v>6687</v>
      </c>
      <c r="D6198" s="851">
        <v>896.80909899999995</v>
      </c>
    </row>
    <row r="6199" spans="2:4" x14ac:dyDescent="0.2">
      <c r="B6199" s="876">
        <v>7552</v>
      </c>
      <c r="C6199" s="876" t="s">
        <v>6688</v>
      </c>
      <c r="D6199" s="851">
        <v>925.08000500000003</v>
      </c>
    </row>
    <row r="6200" spans="2:4" x14ac:dyDescent="0.2">
      <c r="B6200" s="876">
        <v>7553</v>
      </c>
      <c r="C6200" s="876" t="s">
        <v>6689</v>
      </c>
      <c r="D6200" s="851">
        <v>901.08333300000004</v>
      </c>
    </row>
    <row r="6201" spans="2:4" x14ac:dyDescent="0.2">
      <c r="B6201" s="876">
        <v>7554</v>
      </c>
      <c r="C6201" s="876" t="s">
        <v>6690</v>
      </c>
      <c r="D6201" s="851">
        <v>928.16875100000004</v>
      </c>
    </row>
    <row r="6202" spans="2:4" x14ac:dyDescent="0.2">
      <c r="B6202" s="876">
        <v>7555</v>
      </c>
      <c r="C6202" s="876" t="s">
        <v>6691</v>
      </c>
      <c r="D6202" s="851">
        <v>920.10768900000005</v>
      </c>
    </row>
    <row r="6203" spans="2:4" x14ac:dyDescent="0.2">
      <c r="B6203" s="876">
        <v>7556</v>
      </c>
      <c r="C6203" s="876" t="s">
        <v>1168</v>
      </c>
      <c r="D6203" s="851">
        <v>898.66249800000003</v>
      </c>
    </row>
    <row r="6204" spans="2:4" x14ac:dyDescent="0.2">
      <c r="B6204" s="876">
        <v>7557</v>
      </c>
      <c r="C6204" s="876" t="s">
        <v>6692</v>
      </c>
      <c r="D6204" s="851">
        <v>933.95999800000004</v>
      </c>
    </row>
    <row r="6205" spans="2:4" x14ac:dyDescent="0.2">
      <c r="B6205" s="876">
        <v>7558</v>
      </c>
      <c r="C6205" s="876" t="s">
        <v>1439</v>
      </c>
      <c r="D6205" s="851">
        <v>929.72500600000001</v>
      </c>
    </row>
    <row r="6206" spans="2:4" x14ac:dyDescent="0.2">
      <c r="B6206" s="876">
        <v>7559</v>
      </c>
      <c r="C6206" s="876" t="s">
        <v>6693</v>
      </c>
      <c r="D6206" s="851">
        <v>940.03750200000002</v>
      </c>
    </row>
    <row r="6207" spans="2:4" x14ac:dyDescent="0.2">
      <c r="B6207" s="876">
        <v>7560</v>
      </c>
      <c r="C6207" s="876" t="s">
        <v>6694</v>
      </c>
      <c r="D6207" s="851">
        <v>956.96249399999999</v>
      </c>
    </row>
    <row r="6208" spans="2:4" x14ac:dyDescent="0.2">
      <c r="B6208" s="876">
        <v>7561</v>
      </c>
      <c r="C6208" s="876" t="s">
        <v>6695</v>
      </c>
      <c r="D6208" s="851">
        <v>931.99998600000004</v>
      </c>
    </row>
    <row r="6209" spans="2:4" x14ac:dyDescent="0.2">
      <c r="B6209" s="876">
        <v>7562</v>
      </c>
      <c r="C6209" s="876" t="s">
        <v>6696</v>
      </c>
      <c r="D6209" s="851">
        <v>942.36666400000001</v>
      </c>
    </row>
    <row r="6210" spans="2:4" x14ac:dyDescent="0.2">
      <c r="B6210" s="876">
        <v>7563</v>
      </c>
      <c r="C6210" s="876" t="s">
        <v>5994</v>
      </c>
      <c r="D6210" s="851">
        <v>954.97776999999996</v>
      </c>
    </row>
    <row r="6211" spans="2:4" x14ac:dyDescent="0.2">
      <c r="B6211" s="876">
        <v>7564</v>
      </c>
      <c r="C6211" s="876" t="s">
        <v>6201</v>
      </c>
      <c r="D6211" s="851">
        <v>953.44000200000005</v>
      </c>
    </row>
    <row r="6212" spans="2:4" x14ac:dyDescent="0.2">
      <c r="B6212" s="876">
        <v>7565</v>
      </c>
      <c r="C6212" s="876" t="s">
        <v>4303</v>
      </c>
      <c r="D6212" s="851">
        <v>911.59000200000003</v>
      </c>
    </row>
    <row r="6213" spans="2:4" x14ac:dyDescent="0.2">
      <c r="B6213" s="876">
        <v>7566</v>
      </c>
      <c r="C6213" s="876" t="s">
        <v>6180</v>
      </c>
      <c r="D6213" s="851">
        <v>939.38333599999999</v>
      </c>
    </row>
    <row r="6214" spans="2:4" x14ac:dyDescent="0.2">
      <c r="B6214" s="876">
        <v>7567</v>
      </c>
      <c r="C6214" s="876" t="s">
        <v>6697</v>
      </c>
      <c r="D6214" s="851">
        <v>916.14285700000005</v>
      </c>
    </row>
    <row r="6215" spans="2:4" x14ac:dyDescent="0.2">
      <c r="B6215" s="876">
        <v>7568</v>
      </c>
      <c r="C6215" s="876" t="s">
        <v>6698</v>
      </c>
      <c r="D6215" s="851">
        <v>963.54000199999996</v>
      </c>
    </row>
    <row r="6216" spans="2:4" x14ac:dyDescent="0.2">
      <c r="B6216" s="876">
        <v>7569</v>
      </c>
      <c r="C6216" s="876" t="s">
        <v>6699</v>
      </c>
      <c r="D6216" s="851">
        <v>940.46250199999997</v>
      </c>
    </row>
    <row r="6217" spans="2:4" x14ac:dyDescent="0.2">
      <c r="B6217" s="876">
        <v>7570</v>
      </c>
      <c r="C6217" s="876" t="s">
        <v>388</v>
      </c>
      <c r="D6217" s="851">
        <v>935.47142199999996</v>
      </c>
    </row>
    <row r="6218" spans="2:4" x14ac:dyDescent="0.2">
      <c r="B6218" s="876">
        <v>7571</v>
      </c>
      <c r="C6218" s="876" t="s">
        <v>6700</v>
      </c>
      <c r="D6218" s="851">
        <v>969.15713900000003</v>
      </c>
    </row>
    <row r="6219" spans="2:4" x14ac:dyDescent="0.2">
      <c r="B6219" s="876">
        <v>7572</v>
      </c>
      <c r="C6219" s="876" t="s">
        <v>6701</v>
      </c>
      <c r="D6219" s="851">
        <v>979.87142900000003</v>
      </c>
    </row>
    <row r="6220" spans="2:4" x14ac:dyDescent="0.2">
      <c r="B6220" s="876">
        <v>7573</v>
      </c>
      <c r="C6220" s="876" t="s">
        <v>6702</v>
      </c>
      <c r="D6220" s="851">
        <v>999.77500399999997</v>
      </c>
    </row>
    <row r="6221" spans="2:4" x14ac:dyDescent="0.2">
      <c r="B6221" s="876">
        <v>7574</v>
      </c>
      <c r="C6221" s="876" t="s">
        <v>6703</v>
      </c>
      <c r="D6221" s="851">
        <v>956.40002400000003</v>
      </c>
    </row>
    <row r="6222" spans="2:4" x14ac:dyDescent="0.2">
      <c r="B6222" s="876">
        <v>7575</v>
      </c>
      <c r="C6222" s="876" t="s">
        <v>6704</v>
      </c>
      <c r="D6222" s="851">
        <v>951.86667899999998</v>
      </c>
    </row>
    <row r="6223" spans="2:4" x14ac:dyDescent="0.2">
      <c r="B6223" s="876">
        <v>7576</v>
      </c>
      <c r="C6223" s="876" t="s">
        <v>6705</v>
      </c>
      <c r="D6223" s="851">
        <v>943.883331</v>
      </c>
    </row>
    <row r="6224" spans="2:4" x14ac:dyDescent="0.2">
      <c r="B6224" s="876">
        <v>7577</v>
      </c>
      <c r="C6224" s="876" t="s">
        <v>6706</v>
      </c>
      <c r="D6224" s="851">
        <v>957.06666099999995</v>
      </c>
    </row>
    <row r="6225" spans="2:4" x14ac:dyDescent="0.2">
      <c r="B6225" s="876">
        <v>7578</v>
      </c>
      <c r="C6225" s="876" t="s">
        <v>6707</v>
      </c>
      <c r="D6225" s="851">
        <v>953.67500299999995</v>
      </c>
    </row>
    <row r="6226" spans="2:4" x14ac:dyDescent="0.2">
      <c r="B6226" s="876">
        <v>7579</v>
      </c>
      <c r="C6226" s="876" t="s">
        <v>6708</v>
      </c>
      <c r="D6226" s="851">
        <v>963.14999399999999</v>
      </c>
    </row>
    <row r="6227" spans="2:4" x14ac:dyDescent="0.2">
      <c r="B6227" s="876">
        <v>7580</v>
      </c>
      <c r="C6227" s="876" t="s">
        <v>6709</v>
      </c>
      <c r="D6227" s="851">
        <v>1023.100008</v>
      </c>
    </row>
    <row r="6228" spans="2:4" x14ac:dyDescent="0.2">
      <c r="B6228" s="876">
        <v>7581</v>
      </c>
      <c r="C6228" s="876" t="s">
        <v>6710</v>
      </c>
      <c r="D6228" s="851">
        <v>964.79998799999998</v>
      </c>
    </row>
    <row r="6229" spans="2:4" x14ac:dyDescent="0.2">
      <c r="B6229" s="876">
        <v>7582</v>
      </c>
      <c r="C6229" s="876" t="s">
        <v>6711</v>
      </c>
      <c r="D6229" s="851">
        <v>986.85881900000004</v>
      </c>
    </row>
    <row r="6230" spans="2:4" x14ac:dyDescent="0.2">
      <c r="B6230" s="876">
        <v>7583</v>
      </c>
      <c r="C6230" s="876" t="s">
        <v>6712</v>
      </c>
      <c r="D6230" s="851">
        <v>1071.0333350000001</v>
      </c>
    </row>
    <row r="6231" spans="2:4" x14ac:dyDescent="0.2">
      <c r="B6231" s="876">
        <v>7584</v>
      </c>
      <c r="C6231" s="876" t="s">
        <v>6713</v>
      </c>
      <c r="D6231" s="851">
        <v>1025.037491</v>
      </c>
    </row>
    <row r="6232" spans="2:4" x14ac:dyDescent="0.2">
      <c r="B6232" s="876">
        <v>7585</v>
      </c>
      <c r="C6232" s="876" t="s">
        <v>6714</v>
      </c>
      <c r="D6232" s="851">
        <v>1041.0875020000001</v>
      </c>
    </row>
    <row r="6233" spans="2:4" x14ac:dyDescent="0.2">
      <c r="B6233" s="876">
        <v>7586</v>
      </c>
      <c r="C6233" s="876" t="s">
        <v>6715</v>
      </c>
      <c r="D6233" s="851">
        <v>1080.045443</v>
      </c>
    </row>
    <row r="6234" spans="2:4" x14ac:dyDescent="0.2">
      <c r="B6234" s="876">
        <v>7587</v>
      </c>
      <c r="C6234" s="876" t="s">
        <v>6716</v>
      </c>
      <c r="D6234" s="851">
        <v>1145.9000020000001</v>
      </c>
    </row>
    <row r="6235" spans="2:4" x14ac:dyDescent="0.2">
      <c r="B6235" s="876">
        <v>7588</v>
      </c>
      <c r="C6235" s="876" t="s">
        <v>6717</v>
      </c>
      <c r="D6235" s="851">
        <v>1158.6000100000001</v>
      </c>
    </row>
    <row r="6236" spans="2:4" x14ac:dyDescent="0.2">
      <c r="B6236" s="876">
        <v>7589</v>
      </c>
      <c r="C6236" s="876" t="s">
        <v>6718</v>
      </c>
      <c r="D6236" s="851">
        <v>1000.671426</v>
      </c>
    </row>
    <row r="6237" spans="2:4" x14ac:dyDescent="0.2">
      <c r="B6237" s="876">
        <v>7590</v>
      </c>
      <c r="C6237" s="876" t="s">
        <v>6719</v>
      </c>
      <c r="D6237" s="851">
        <v>1013.2166539999999</v>
      </c>
    </row>
    <row r="6238" spans="2:4" x14ac:dyDescent="0.2">
      <c r="B6238" s="876">
        <v>7591</v>
      </c>
      <c r="C6238" s="876" t="s">
        <v>6720</v>
      </c>
      <c r="D6238" s="851">
        <v>1007.199992</v>
      </c>
    </row>
    <row r="6239" spans="2:4" x14ac:dyDescent="0.2">
      <c r="B6239" s="876">
        <v>7592</v>
      </c>
      <c r="C6239" s="876" t="s">
        <v>6721</v>
      </c>
      <c r="D6239" s="851">
        <v>1052.733348</v>
      </c>
    </row>
    <row r="6240" spans="2:4" x14ac:dyDescent="0.2">
      <c r="B6240" s="876">
        <v>7593</v>
      </c>
      <c r="C6240" s="876" t="s">
        <v>6722</v>
      </c>
      <c r="D6240" s="851">
        <v>1068.5428469999999</v>
      </c>
    </row>
    <row r="6241" spans="2:4" x14ac:dyDescent="0.2">
      <c r="B6241" s="876">
        <v>7594</v>
      </c>
      <c r="C6241" s="876" t="s">
        <v>6723</v>
      </c>
      <c r="D6241" s="851">
        <v>1044.6000160000001</v>
      </c>
    </row>
    <row r="6242" spans="2:4" x14ac:dyDescent="0.2">
      <c r="B6242" s="876">
        <v>7595</v>
      </c>
      <c r="C6242" s="876" t="s">
        <v>6724</v>
      </c>
      <c r="D6242" s="851">
        <v>1106.971436</v>
      </c>
    </row>
    <row r="6243" spans="2:4" x14ac:dyDescent="0.2">
      <c r="B6243" s="876">
        <v>7596</v>
      </c>
      <c r="C6243" s="876" t="s">
        <v>6725</v>
      </c>
      <c r="D6243" s="851">
        <v>1125.3599850000001</v>
      </c>
    </row>
    <row r="6244" spans="2:4" x14ac:dyDescent="0.2">
      <c r="B6244" s="876">
        <v>7597</v>
      </c>
      <c r="C6244" s="876" t="s">
        <v>6726</v>
      </c>
      <c r="D6244" s="851">
        <v>1153.599976</v>
      </c>
    </row>
    <row r="6245" spans="2:4" x14ac:dyDescent="0.2">
      <c r="B6245" s="876">
        <v>7598</v>
      </c>
      <c r="C6245" s="876" t="s">
        <v>6727</v>
      </c>
      <c r="D6245" s="851">
        <v>1012.533325</v>
      </c>
    </row>
    <row r="6246" spans="2:4" x14ac:dyDescent="0.2">
      <c r="B6246" s="876">
        <v>7599</v>
      </c>
      <c r="C6246" s="876" t="s">
        <v>6728</v>
      </c>
      <c r="D6246" s="851">
        <v>1055.4368609999999</v>
      </c>
    </row>
    <row r="6247" spans="2:4" x14ac:dyDescent="0.2">
      <c r="B6247" s="876">
        <v>7600</v>
      </c>
      <c r="C6247" s="876" t="s">
        <v>6729</v>
      </c>
      <c r="D6247" s="851">
        <v>1077.625</v>
      </c>
    </row>
    <row r="6248" spans="2:4" x14ac:dyDescent="0.2">
      <c r="B6248" s="876">
        <v>7601</v>
      </c>
      <c r="C6248" s="876" t="s">
        <v>6730</v>
      </c>
      <c r="D6248" s="851">
        <v>1079.919995</v>
      </c>
    </row>
    <row r="6249" spans="2:4" x14ac:dyDescent="0.2">
      <c r="B6249" s="876">
        <v>7602</v>
      </c>
      <c r="C6249" s="876" t="s">
        <v>6731</v>
      </c>
      <c r="D6249" s="851">
        <v>1137.265629</v>
      </c>
    </row>
    <row r="6250" spans="2:4" x14ac:dyDescent="0.2">
      <c r="B6250" s="876">
        <v>7603</v>
      </c>
      <c r="C6250" s="876" t="s">
        <v>6732</v>
      </c>
      <c r="D6250" s="851">
        <v>1028.3941219999999</v>
      </c>
    </row>
    <row r="6251" spans="2:4" x14ac:dyDescent="0.2">
      <c r="B6251" s="876">
        <v>7604</v>
      </c>
      <c r="C6251" s="876" t="s">
        <v>1843</v>
      </c>
      <c r="D6251" s="851">
        <v>1070.271432</v>
      </c>
    </row>
    <row r="6252" spans="2:4" x14ac:dyDescent="0.2">
      <c r="B6252" s="876">
        <v>7605</v>
      </c>
      <c r="C6252" s="876" t="s">
        <v>6733</v>
      </c>
      <c r="D6252" s="851">
        <v>1144.184851</v>
      </c>
    </row>
    <row r="6253" spans="2:4" x14ac:dyDescent="0.2">
      <c r="B6253" s="876">
        <v>7606</v>
      </c>
      <c r="C6253" s="876" t="s">
        <v>6734</v>
      </c>
      <c r="D6253" s="851">
        <v>1053.049988</v>
      </c>
    </row>
    <row r="6254" spans="2:4" x14ac:dyDescent="0.2">
      <c r="B6254" s="876">
        <v>7607</v>
      </c>
      <c r="C6254" s="876" t="s">
        <v>6735</v>
      </c>
      <c r="D6254" s="851">
        <v>1093.03999</v>
      </c>
    </row>
    <row r="6255" spans="2:4" x14ac:dyDescent="0.2">
      <c r="B6255" s="876">
        <v>7608</v>
      </c>
      <c r="C6255" s="876" t="s">
        <v>6736</v>
      </c>
      <c r="D6255" s="851">
        <v>1098.816671</v>
      </c>
    </row>
    <row r="6256" spans="2:4" x14ac:dyDescent="0.2">
      <c r="B6256" s="876">
        <v>7609</v>
      </c>
      <c r="C6256" s="876" t="s">
        <v>6737</v>
      </c>
      <c r="D6256" s="851">
        <v>861.03334600000005</v>
      </c>
    </row>
    <row r="6257" spans="2:4" x14ac:dyDescent="0.2">
      <c r="B6257" s="876">
        <v>7651</v>
      </c>
      <c r="C6257" s="876" t="s">
        <v>5088</v>
      </c>
      <c r="D6257" s="851">
        <v>1375.008331</v>
      </c>
    </row>
    <row r="6258" spans="2:4" x14ac:dyDescent="0.2">
      <c r="B6258" s="876">
        <v>7652</v>
      </c>
      <c r="C6258" s="876" t="s">
        <v>6738</v>
      </c>
      <c r="D6258" s="851">
        <v>1313.5333390000001</v>
      </c>
    </row>
    <row r="6259" spans="2:4" x14ac:dyDescent="0.2">
      <c r="B6259" s="876">
        <v>7653</v>
      </c>
      <c r="C6259" s="876" t="s">
        <v>6739</v>
      </c>
      <c r="D6259" s="851">
        <v>1476.125</v>
      </c>
    </row>
    <row r="6260" spans="2:4" x14ac:dyDescent="0.2">
      <c r="B6260" s="876">
        <v>7654</v>
      </c>
      <c r="C6260" s="876" t="s">
        <v>6740</v>
      </c>
      <c r="D6260" s="851">
        <v>1339.7999990000001</v>
      </c>
    </row>
    <row r="6261" spans="2:4" x14ac:dyDescent="0.2">
      <c r="B6261" s="876">
        <v>7655</v>
      </c>
      <c r="C6261" s="876" t="s">
        <v>6741</v>
      </c>
      <c r="D6261" s="851">
        <v>1232.952935</v>
      </c>
    </row>
    <row r="6262" spans="2:4" x14ac:dyDescent="0.2">
      <c r="B6262" s="876">
        <v>7656</v>
      </c>
      <c r="C6262" s="876" t="s">
        <v>6742</v>
      </c>
      <c r="D6262" s="851">
        <v>1192.266656</v>
      </c>
    </row>
    <row r="6263" spans="2:4" x14ac:dyDescent="0.2">
      <c r="B6263" s="876">
        <v>7657</v>
      </c>
      <c r="C6263" s="876" t="s">
        <v>6743</v>
      </c>
      <c r="D6263" s="851">
        <v>1186.2466549999999</v>
      </c>
    </row>
    <row r="6264" spans="2:4" x14ac:dyDescent="0.2">
      <c r="B6264" s="876">
        <v>7658</v>
      </c>
      <c r="C6264" s="876" t="s">
        <v>6744</v>
      </c>
      <c r="D6264" s="851">
        <v>1184.415377</v>
      </c>
    </row>
    <row r="6265" spans="2:4" x14ac:dyDescent="0.2">
      <c r="B6265" s="876">
        <v>7659</v>
      </c>
      <c r="C6265" s="876" t="s">
        <v>6745</v>
      </c>
      <c r="D6265" s="851">
        <v>1244.6312640000001</v>
      </c>
    </row>
    <row r="6266" spans="2:4" x14ac:dyDescent="0.2">
      <c r="B6266" s="876">
        <v>7660</v>
      </c>
      <c r="C6266" s="876" t="s">
        <v>6746</v>
      </c>
      <c r="D6266" s="851">
        <v>1185.4000040000001</v>
      </c>
    </row>
    <row r="6267" spans="2:4" x14ac:dyDescent="0.2">
      <c r="B6267" s="876">
        <v>7661</v>
      </c>
      <c r="C6267" s="876" t="s">
        <v>6747</v>
      </c>
      <c r="D6267" s="851">
        <v>1211.25</v>
      </c>
    </row>
    <row r="6268" spans="2:4" x14ac:dyDescent="0.2">
      <c r="B6268" s="876">
        <v>7662</v>
      </c>
      <c r="C6268" s="876" t="s">
        <v>6691</v>
      </c>
      <c r="D6268" s="851">
        <v>1206.0571460000001</v>
      </c>
    </row>
    <row r="6269" spans="2:4" x14ac:dyDescent="0.2">
      <c r="B6269" s="876">
        <v>7663</v>
      </c>
      <c r="C6269" s="876" t="s">
        <v>6390</v>
      </c>
      <c r="D6269" s="851">
        <v>1278.711538</v>
      </c>
    </row>
    <row r="6270" spans="2:4" x14ac:dyDescent="0.2">
      <c r="B6270" s="876">
        <v>7664</v>
      </c>
      <c r="C6270" s="876" t="s">
        <v>6748</v>
      </c>
      <c r="D6270" s="851">
        <v>1299.613625</v>
      </c>
    </row>
    <row r="6271" spans="2:4" x14ac:dyDescent="0.2">
      <c r="B6271" s="876">
        <v>7665</v>
      </c>
      <c r="C6271" s="876" t="s">
        <v>6749</v>
      </c>
      <c r="D6271" s="851">
        <v>1336.3892949999999</v>
      </c>
    </row>
    <row r="6272" spans="2:4" x14ac:dyDescent="0.2">
      <c r="B6272" s="876">
        <v>7666</v>
      </c>
      <c r="C6272" s="876" t="s">
        <v>6750</v>
      </c>
      <c r="D6272" s="851">
        <v>1602.0799930000001</v>
      </c>
    </row>
    <row r="6273" spans="2:4" x14ac:dyDescent="0.2">
      <c r="B6273" s="876">
        <v>7667</v>
      </c>
      <c r="C6273" s="876" t="s">
        <v>6751</v>
      </c>
      <c r="D6273" s="851">
        <v>1687.2823490000001</v>
      </c>
    </row>
    <row r="6274" spans="2:4" x14ac:dyDescent="0.2">
      <c r="B6274" s="876">
        <v>7668</v>
      </c>
      <c r="C6274" s="876" t="s">
        <v>6752</v>
      </c>
      <c r="D6274" s="851">
        <v>1562.0750009999999</v>
      </c>
    </row>
    <row r="6275" spans="2:4" x14ac:dyDescent="0.2">
      <c r="B6275" s="876">
        <v>7669</v>
      </c>
      <c r="C6275" s="876" t="s">
        <v>6753</v>
      </c>
      <c r="D6275" s="851">
        <v>1454.306456</v>
      </c>
    </row>
    <row r="6276" spans="2:4" x14ac:dyDescent="0.2">
      <c r="B6276" s="876">
        <v>7670</v>
      </c>
      <c r="C6276" s="876" t="s">
        <v>387</v>
      </c>
      <c r="D6276" s="851">
        <v>1282.524999</v>
      </c>
    </row>
    <row r="6277" spans="2:4" x14ac:dyDescent="0.2">
      <c r="B6277" s="876">
        <v>7671</v>
      </c>
      <c r="C6277" s="876" t="s">
        <v>6754</v>
      </c>
      <c r="D6277" s="851">
        <v>1272.942119</v>
      </c>
    </row>
    <row r="6278" spans="2:4" x14ac:dyDescent="0.2">
      <c r="B6278" s="876">
        <v>7672</v>
      </c>
      <c r="C6278" s="876" t="s">
        <v>6755</v>
      </c>
      <c r="D6278" s="851">
        <v>1248.7791749999999</v>
      </c>
    </row>
    <row r="6279" spans="2:4" x14ac:dyDescent="0.2">
      <c r="B6279" s="876">
        <v>7673</v>
      </c>
      <c r="C6279" s="876" t="s">
        <v>6756</v>
      </c>
      <c r="D6279" s="851">
        <v>1312.8133459999999</v>
      </c>
    </row>
    <row r="6280" spans="2:4" x14ac:dyDescent="0.2">
      <c r="B6280" s="876">
        <v>7674</v>
      </c>
      <c r="C6280" s="876" t="s">
        <v>6757</v>
      </c>
      <c r="D6280" s="851">
        <v>1428.9399900000001</v>
      </c>
    </row>
    <row r="6281" spans="2:4" x14ac:dyDescent="0.2">
      <c r="B6281" s="876">
        <v>7675</v>
      </c>
      <c r="C6281" s="876" t="s">
        <v>6758</v>
      </c>
      <c r="D6281" s="851">
        <v>1418.581809</v>
      </c>
    </row>
    <row r="6282" spans="2:4" x14ac:dyDescent="0.2">
      <c r="B6282" s="876">
        <v>7676</v>
      </c>
      <c r="C6282" s="876" t="s">
        <v>4074</v>
      </c>
      <c r="D6282" s="851">
        <v>1693.252383</v>
      </c>
    </row>
    <row r="6283" spans="2:4" x14ac:dyDescent="0.2">
      <c r="B6283" s="876">
        <v>7677</v>
      </c>
      <c r="C6283" s="876" t="s">
        <v>6759</v>
      </c>
      <c r="D6283" s="851">
        <v>1675.2166609999999</v>
      </c>
    </row>
    <row r="6284" spans="2:4" x14ac:dyDescent="0.2">
      <c r="B6284" s="876">
        <v>7678</v>
      </c>
      <c r="C6284" s="876" t="s">
        <v>6760</v>
      </c>
      <c r="D6284" s="851">
        <v>1628.8999839999999</v>
      </c>
    </row>
    <row r="6285" spans="2:4" x14ac:dyDescent="0.2">
      <c r="B6285" s="876">
        <v>7679</v>
      </c>
      <c r="C6285" s="876" t="s">
        <v>6761</v>
      </c>
      <c r="D6285" s="851">
        <v>1709.749969</v>
      </c>
    </row>
    <row r="6286" spans="2:4" x14ac:dyDescent="0.2">
      <c r="B6286" s="876">
        <v>7680</v>
      </c>
      <c r="C6286" s="876" t="s">
        <v>6762</v>
      </c>
      <c r="D6286" s="851">
        <v>1356.9444510000001</v>
      </c>
    </row>
    <row r="6287" spans="2:4" x14ac:dyDescent="0.2">
      <c r="B6287" s="876">
        <v>7681</v>
      </c>
      <c r="C6287" s="876" t="s">
        <v>6763</v>
      </c>
      <c r="D6287" s="851">
        <v>1444.950012</v>
      </c>
    </row>
    <row r="6288" spans="2:4" x14ac:dyDescent="0.2">
      <c r="B6288" s="876">
        <v>7682</v>
      </c>
      <c r="C6288" s="876" t="s">
        <v>6764</v>
      </c>
      <c r="D6288" s="851">
        <v>1583.7846119999999</v>
      </c>
    </row>
    <row r="6289" spans="2:4" x14ac:dyDescent="0.2">
      <c r="B6289" s="876">
        <v>7683</v>
      </c>
      <c r="C6289" s="876" t="s">
        <v>6765</v>
      </c>
      <c r="D6289" s="851">
        <v>1363.546171</v>
      </c>
    </row>
    <row r="6290" spans="2:4" x14ac:dyDescent="0.2">
      <c r="B6290" s="876">
        <v>7684</v>
      </c>
      <c r="C6290" s="876" t="s">
        <v>6766</v>
      </c>
      <c r="D6290" s="851">
        <v>1364.660719</v>
      </c>
    </row>
    <row r="6291" spans="2:4" x14ac:dyDescent="0.2">
      <c r="B6291" s="876">
        <v>7685</v>
      </c>
      <c r="C6291" s="876" t="s">
        <v>6767</v>
      </c>
      <c r="D6291" s="851">
        <v>1439.959985</v>
      </c>
    </row>
    <row r="6292" spans="2:4" x14ac:dyDescent="0.2">
      <c r="B6292" s="876">
        <v>7686</v>
      </c>
      <c r="C6292" s="876" t="s">
        <v>3667</v>
      </c>
      <c r="D6292" s="851">
        <v>1484.0832929999999</v>
      </c>
    </row>
    <row r="6293" spans="2:4" x14ac:dyDescent="0.2">
      <c r="B6293" s="876">
        <v>7687</v>
      </c>
      <c r="C6293" s="876" t="s">
        <v>6768</v>
      </c>
      <c r="D6293" s="851">
        <v>1503.2647059999999</v>
      </c>
    </row>
    <row r="6294" spans="2:4" x14ac:dyDescent="0.2">
      <c r="B6294" s="876">
        <v>7688</v>
      </c>
      <c r="C6294" s="876" t="s">
        <v>2295</v>
      </c>
      <c r="D6294" s="851">
        <v>1423.778251</v>
      </c>
    </row>
    <row r="6295" spans="2:4" x14ac:dyDescent="0.2">
      <c r="B6295" s="876">
        <v>7689</v>
      </c>
      <c r="C6295" s="876" t="s">
        <v>6769</v>
      </c>
      <c r="D6295" s="851">
        <v>1651.288638</v>
      </c>
    </row>
    <row r="6296" spans="2:4" x14ac:dyDescent="0.2">
      <c r="B6296" s="876">
        <v>7690</v>
      </c>
      <c r="C6296" s="876" t="s">
        <v>6770</v>
      </c>
      <c r="D6296" s="851">
        <v>1283.0999919999999</v>
      </c>
    </row>
    <row r="6297" spans="2:4" x14ac:dyDescent="0.2">
      <c r="B6297" s="876">
        <v>7691</v>
      </c>
      <c r="C6297" s="876" t="s">
        <v>6771</v>
      </c>
      <c r="D6297" s="851">
        <v>1218.518188</v>
      </c>
    </row>
    <row r="6298" spans="2:4" x14ac:dyDescent="0.2">
      <c r="B6298" s="876">
        <v>7692</v>
      </c>
      <c r="C6298" s="876" t="s">
        <v>6772</v>
      </c>
      <c r="D6298" s="851">
        <v>1164.1437530000001</v>
      </c>
    </row>
    <row r="6299" spans="2:4" x14ac:dyDescent="0.2">
      <c r="B6299" s="876">
        <v>7693</v>
      </c>
      <c r="C6299" s="876" t="s">
        <v>6773</v>
      </c>
      <c r="D6299" s="851">
        <v>1213.7833459999999</v>
      </c>
    </row>
    <row r="6300" spans="2:4" x14ac:dyDescent="0.2">
      <c r="B6300" s="876">
        <v>7694</v>
      </c>
      <c r="C6300" s="876" t="s">
        <v>6774</v>
      </c>
      <c r="D6300" s="851">
        <v>1241.646146</v>
      </c>
    </row>
    <row r="6301" spans="2:4" x14ac:dyDescent="0.2">
      <c r="B6301" s="876">
        <v>7695</v>
      </c>
      <c r="C6301" s="876" t="s">
        <v>6775</v>
      </c>
      <c r="D6301" s="851">
        <v>1199.3</v>
      </c>
    </row>
    <row r="6302" spans="2:4" x14ac:dyDescent="0.2">
      <c r="B6302" s="876">
        <v>7696</v>
      </c>
      <c r="C6302" s="876" t="s">
        <v>1487</v>
      </c>
      <c r="D6302" s="851">
        <v>1222.3631660000001</v>
      </c>
    </row>
    <row r="6303" spans="2:4" x14ac:dyDescent="0.2">
      <c r="B6303" s="876">
        <v>7697</v>
      </c>
      <c r="C6303" s="876" t="s">
        <v>6776</v>
      </c>
      <c r="D6303" s="851">
        <v>1267.611539</v>
      </c>
    </row>
    <row r="6304" spans="2:4" x14ac:dyDescent="0.2">
      <c r="B6304" s="876">
        <v>7701</v>
      </c>
      <c r="C6304" s="876" t="s">
        <v>6777</v>
      </c>
      <c r="D6304" s="851">
        <v>811.21999500000004</v>
      </c>
    </row>
    <row r="6305" spans="2:4" x14ac:dyDescent="0.2">
      <c r="B6305" s="876">
        <v>7702</v>
      </c>
      <c r="C6305" s="876" t="s">
        <v>6778</v>
      </c>
      <c r="D6305" s="851">
        <v>816</v>
      </c>
    </row>
    <row r="6306" spans="2:4" x14ac:dyDescent="0.2">
      <c r="B6306" s="876">
        <v>7703</v>
      </c>
      <c r="C6306" s="876" t="s">
        <v>6779</v>
      </c>
      <c r="D6306" s="851">
        <v>823.88000499999998</v>
      </c>
    </row>
    <row r="6307" spans="2:4" x14ac:dyDescent="0.2">
      <c r="B6307" s="876">
        <v>7704</v>
      </c>
      <c r="C6307" s="876" t="s">
        <v>6780</v>
      </c>
      <c r="D6307" s="851">
        <v>800.80001800000002</v>
      </c>
    </row>
    <row r="6308" spans="2:4" x14ac:dyDescent="0.2">
      <c r="B6308" s="876">
        <v>7705</v>
      </c>
      <c r="C6308" s="876" t="s">
        <v>6781</v>
      </c>
      <c r="D6308" s="851">
        <v>814.09997599999997</v>
      </c>
    </row>
    <row r="6309" spans="2:4" x14ac:dyDescent="0.2">
      <c r="B6309" s="876">
        <v>7706</v>
      </c>
      <c r="C6309" s="876" t="s">
        <v>6782</v>
      </c>
      <c r="D6309" s="851">
        <v>835.91667700000005</v>
      </c>
    </row>
    <row r="6310" spans="2:4" x14ac:dyDescent="0.2">
      <c r="B6310" s="876">
        <v>7707</v>
      </c>
      <c r="C6310" s="876" t="s">
        <v>6783</v>
      </c>
      <c r="D6310" s="851">
        <v>851.88181899999995</v>
      </c>
    </row>
    <row r="6311" spans="2:4" x14ac:dyDescent="0.2">
      <c r="B6311" s="876">
        <v>7708</v>
      </c>
      <c r="C6311" s="876" t="s">
        <v>6784</v>
      </c>
      <c r="D6311" s="851">
        <v>862.02000699999996</v>
      </c>
    </row>
    <row r="6312" spans="2:4" x14ac:dyDescent="0.2">
      <c r="B6312" s="876">
        <v>7709</v>
      </c>
      <c r="C6312" s="876" t="s">
        <v>6785</v>
      </c>
      <c r="D6312" s="851">
        <v>891.51999499999999</v>
      </c>
    </row>
    <row r="6313" spans="2:4" x14ac:dyDescent="0.2">
      <c r="B6313" s="876">
        <v>7710</v>
      </c>
      <c r="C6313" s="876" t="s">
        <v>6786</v>
      </c>
      <c r="D6313" s="851">
        <v>878.88000499999998</v>
      </c>
    </row>
    <row r="6314" spans="2:4" x14ac:dyDescent="0.2">
      <c r="B6314" s="876">
        <v>7711</v>
      </c>
      <c r="C6314" s="876" t="s">
        <v>6787</v>
      </c>
      <c r="D6314" s="851">
        <v>888.73333700000001</v>
      </c>
    </row>
    <row r="6315" spans="2:4" x14ac:dyDescent="0.2">
      <c r="B6315" s="876">
        <v>7712</v>
      </c>
      <c r="C6315" s="876" t="s">
        <v>6788</v>
      </c>
      <c r="D6315" s="851">
        <v>886.73333700000001</v>
      </c>
    </row>
    <row r="6316" spans="2:4" x14ac:dyDescent="0.2">
      <c r="B6316" s="876">
        <v>7713</v>
      </c>
      <c r="C6316" s="876" t="s">
        <v>6789</v>
      </c>
      <c r="D6316" s="851">
        <v>893.65002400000003</v>
      </c>
    </row>
    <row r="6317" spans="2:4" x14ac:dyDescent="0.2">
      <c r="B6317" s="876">
        <v>7714</v>
      </c>
      <c r="C6317" s="876" t="s">
        <v>6790</v>
      </c>
      <c r="D6317" s="851">
        <v>868.79999699999996</v>
      </c>
    </row>
    <row r="6318" spans="2:4" x14ac:dyDescent="0.2">
      <c r="B6318" s="876">
        <v>7715</v>
      </c>
      <c r="C6318" s="876" t="s">
        <v>5195</v>
      </c>
      <c r="D6318" s="851">
        <v>881.17142999999999</v>
      </c>
    </row>
    <row r="6319" spans="2:4" x14ac:dyDescent="0.2">
      <c r="B6319" s="876">
        <v>7716</v>
      </c>
      <c r="C6319" s="876" t="s">
        <v>6791</v>
      </c>
      <c r="D6319" s="851">
        <v>855.20001200000002</v>
      </c>
    </row>
    <row r="6320" spans="2:4" x14ac:dyDescent="0.2">
      <c r="B6320" s="876">
        <v>7717</v>
      </c>
      <c r="C6320" s="876" t="s">
        <v>6792</v>
      </c>
      <c r="D6320" s="851">
        <v>837.91427999999996</v>
      </c>
    </row>
    <row r="6321" spans="2:4" x14ac:dyDescent="0.2">
      <c r="B6321" s="876">
        <v>7718</v>
      </c>
      <c r="C6321" s="876" t="s">
        <v>6793</v>
      </c>
      <c r="D6321" s="851">
        <v>910.74001499999997</v>
      </c>
    </row>
    <row r="6322" spans="2:4" x14ac:dyDescent="0.2">
      <c r="B6322" s="876">
        <v>7719</v>
      </c>
      <c r="C6322" s="876" t="s">
        <v>5994</v>
      </c>
      <c r="D6322" s="851">
        <v>883.97500600000001</v>
      </c>
    </row>
    <row r="6323" spans="2:4" x14ac:dyDescent="0.2">
      <c r="B6323" s="876">
        <v>7720</v>
      </c>
      <c r="C6323" s="876" t="s">
        <v>6794</v>
      </c>
      <c r="D6323" s="851">
        <v>879.19998899999996</v>
      </c>
    </row>
    <row r="6324" spans="2:4" x14ac:dyDescent="0.2">
      <c r="B6324" s="876">
        <v>7721</v>
      </c>
      <c r="C6324" s="876" t="s">
        <v>6795</v>
      </c>
      <c r="D6324" s="851">
        <v>854.95000200000004</v>
      </c>
    </row>
    <row r="6325" spans="2:4" x14ac:dyDescent="0.2">
      <c r="B6325" s="876">
        <v>7722</v>
      </c>
      <c r="C6325" s="876" t="s">
        <v>6796</v>
      </c>
      <c r="D6325" s="851">
        <v>872.38888899999995</v>
      </c>
    </row>
    <row r="6326" spans="2:4" x14ac:dyDescent="0.2">
      <c r="B6326" s="876">
        <v>7723</v>
      </c>
      <c r="C6326" s="876" t="s">
        <v>6797</v>
      </c>
      <c r="D6326" s="851">
        <v>888.89999399999999</v>
      </c>
    </row>
    <row r="6327" spans="2:4" x14ac:dyDescent="0.2">
      <c r="B6327" s="876">
        <v>7724</v>
      </c>
      <c r="C6327" s="876" t="s">
        <v>6798</v>
      </c>
      <c r="D6327" s="851">
        <v>772.22000700000001</v>
      </c>
    </row>
    <row r="6328" spans="2:4" x14ac:dyDescent="0.2">
      <c r="B6328" s="876">
        <v>7725</v>
      </c>
      <c r="C6328" s="876" t="s">
        <v>6799</v>
      </c>
      <c r="D6328" s="851">
        <v>807.22499800000003</v>
      </c>
    </row>
    <row r="6329" spans="2:4" x14ac:dyDescent="0.2">
      <c r="B6329" s="876">
        <v>7726</v>
      </c>
      <c r="C6329" s="876" t="s">
        <v>3990</v>
      </c>
      <c r="D6329" s="851">
        <v>825.39999899999998</v>
      </c>
    </row>
    <row r="6330" spans="2:4" x14ac:dyDescent="0.2">
      <c r="B6330" s="876">
        <v>7727</v>
      </c>
      <c r="C6330" s="876" t="s">
        <v>6774</v>
      </c>
      <c r="D6330" s="851">
        <v>831.11249499999997</v>
      </c>
    </row>
    <row r="6331" spans="2:4" x14ac:dyDescent="0.2">
      <c r="B6331" s="876">
        <v>7728</v>
      </c>
      <c r="C6331" s="876" t="s">
        <v>6800</v>
      </c>
      <c r="D6331" s="851">
        <v>823.259998</v>
      </c>
    </row>
    <row r="6332" spans="2:4" x14ac:dyDescent="0.2">
      <c r="B6332" s="876">
        <v>7729</v>
      </c>
      <c r="C6332" s="876" t="s">
        <v>6801</v>
      </c>
      <c r="D6332" s="851">
        <v>847.43332899999996</v>
      </c>
    </row>
    <row r="6333" spans="2:4" x14ac:dyDescent="0.2">
      <c r="B6333" s="876">
        <v>7730</v>
      </c>
      <c r="C6333" s="876" t="s">
        <v>6802</v>
      </c>
      <c r="D6333" s="851">
        <v>859.10001199999999</v>
      </c>
    </row>
    <row r="6334" spans="2:4" x14ac:dyDescent="0.2">
      <c r="B6334" s="876">
        <v>7731</v>
      </c>
      <c r="C6334" s="876" t="s">
        <v>6803</v>
      </c>
      <c r="D6334" s="851">
        <v>878.86667899999998</v>
      </c>
    </row>
    <row r="6335" spans="2:4" x14ac:dyDescent="0.2">
      <c r="B6335" s="876">
        <v>7732</v>
      </c>
      <c r="C6335" s="876" t="s">
        <v>6804</v>
      </c>
      <c r="D6335" s="851">
        <v>875.35999800000002</v>
      </c>
    </row>
    <row r="6336" spans="2:4" x14ac:dyDescent="0.2">
      <c r="B6336" s="876">
        <v>7733</v>
      </c>
      <c r="C6336" s="876" t="s">
        <v>6805</v>
      </c>
      <c r="D6336" s="851">
        <v>833.60000600000001</v>
      </c>
    </row>
    <row r="6337" spans="2:4" x14ac:dyDescent="0.2">
      <c r="B6337" s="876">
        <v>7734</v>
      </c>
      <c r="C6337" s="876" t="s">
        <v>6806</v>
      </c>
      <c r="D6337" s="851">
        <v>825.61764000000005</v>
      </c>
    </row>
    <row r="6338" spans="2:4" x14ac:dyDescent="0.2">
      <c r="B6338" s="876">
        <v>7735</v>
      </c>
      <c r="C6338" s="876" t="s">
        <v>3573</v>
      </c>
      <c r="D6338" s="851">
        <v>797.34000200000003</v>
      </c>
    </row>
    <row r="6339" spans="2:4" x14ac:dyDescent="0.2">
      <c r="B6339" s="876">
        <v>7736</v>
      </c>
      <c r="C6339" s="876" t="s">
        <v>6807</v>
      </c>
      <c r="D6339" s="851">
        <v>816.53334600000005</v>
      </c>
    </row>
    <row r="6340" spans="2:4" x14ac:dyDescent="0.2">
      <c r="B6340" s="876">
        <v>7737</v>
      </c>
      <c r="C6340" s="876" t="s">
        <v>6808</v>
      </c>
      <c r="D6340" s="851">
        <v>853.48333700000001</v>
      </c>
    </row>
    <row r="6341" spans="2:4" x14ac:dyDescent="0.2">
      <c r="B6341" s="876">
        <v>7738</v>
      </c>
      <c r="C6341" s="876" t="s">
        <v>6809</v>
      </c>
      <c r="D6341" s="851">
        <v>802.64000199999998</v>
      </c>
    </row>
    <row r="6342" spans="2:4" x14ac:dyDescent="0.2">
      <c r="B6342" s="876">
        <v>7739</v>
      </c>
      <c r="C6342" s="876" t="s">
        <v>6810</v>
      </c>
      <c r="D6342" s="851">
        <v>816.90002400000003</v>
      </c>
    </row>
    <row r="6343" spans="2:4" x14ac:dyDescent="0.2">
      <c r="B6343" s="876">
        <v>7740</v>
      </c>
      <c r="C6343" s="876" t="s">
        <v>2758</v>
      </c>
      <c r="D6343" s="851">
        <v>882.30000800000005</v>
      </c>
    </row>
    <row r="6344" spans="2:4" x14ac:dyDescent="0.2">
      <c r="B6344" s="876">
        <v>7741</v>
      </c>
      <c r="C6344" s="876" t="s">
        <v>6811</v>
      </c>
      <c r="D6344" s="851">
        <v>810.64285700000005</v>
      </c>
    </row>
    <row r="6345" spans="2:4" x14ac:dyDescent="0.2">
      <c r="B6345" s="876">
        <v>7742</v>
      </c>
      <c r="C6345" s="876" t="s">
        <v>6812</v>
      </c>
      <c r="D6345" s="851">
        <v>856.85000600000001</v>
      </c>
    </row>
    <row r="6346" spans="2:4" x14ac:dyDescent="0.2">
      <c r="B6346" s="876">
        <v>7743</v>
      </c>
      <c r="C6346" s="876" t="s">
        <v>6813</v>
      </c>
      <c r="D6346" s="851">
        <v>887.14285700000005</v>
      </c>
    </row>
    <row r="6347" spans="2:4" x14ac:dyDescent="0.2">
      <c r="B6347" s="876">
        <v>7744</v>
      </c>
      <c r="C6347" s="876" t="s">
        <v>6814</v>
      </c>
      <c r="D6347" s="851">
        <v>863.22999900000002</v>
      </c>
    </row>
    <row r="6348" spans="2:4" x14ac:dyDescent="0.2">
      <c r="B6348" s="876">
        <v>7745</v>
      </c>
      <c r="C6348" s="876" t="s">
        <v>6815</v>
      </c>
      <c r="D6348" s="851">
        <v>857.36667199999999</v>
      </c>
    </row>
    <row r="6349" spans="2:4" x14ac:dyDescent="0.2">
      <c r="B6349" s="876">
        <v>7746</v>
      </c>
      <c r="C6349" s="876" t="s">
        <v>6816</v>
      </c>
      <c r="D6349" s="851">
        <v>854.17498799999998</v>
      </c>
    </row>
    <row r="6350" spans="2:4" x14ac:dyDescent="0.2">
      <c r="B6350" s="876">
        <v>7747</v>
      </c>
      <c r="C6350" s="876" t="s">
        <v>6817</v>
      </c>
      <c r="D6350" s="851">
        <v>865.72499100000005</v>
      </c>
    </row>
    <row r="6351" spans="2:4" x14ac:dyDescent="0.2">
      <c r="B6351" s="876">
        <v>7748</v>
      </c>
      <c r="C6351" s="876" t="s">
        <v>6818</v>
      </c>
      <c r="D6351" s="851">
        <v>860.60000600000001</v>
      </c>
    </row>
    <row r="6352" spans="2:4" x14ac:dyDescent="0.2">
      <c r="B6352" s="876">
        <v>7749</v>
      </c>
      <c r="C6352" s="876" t="s">
        <v>4747</v>
      </c>
      <c r="D6352" s="851">
        <v>878.375</v>
      </c>
    </row>
    <row r="6353" spans="2:4" x14ac:dyDescent="0.2">
      <c r="B6353" s="876">
        <v>7750</v>
      </c>
      <c r="C6353" s="876" t="s">
        <v>6819</v>
      </c>
      <c r="D6353" s="851">
        <v>886.41665599999999</v>
      </c>
    </row>
    <row r="6354" spans="2:4" x14ac:dyDescent="0.2">
      <c r="B6354" s="876">
        <v>7751</v>
      </c>
      <c r="C6354" s="876" t="s">
        <v>6820</v>
      </c>
      <c r="D6354" s="851">
        <v>880.39000899999996</v>
      </c>
    </row>
    <row r="6355" spans="2:4" x14ac:dyDescent="0.2">
      <c r="B6355" s="876">
        <v>7752</v>
      </c>
      <c r="C6355" s="876" t="s">
        <v>6821</v>
      </c>
      <c r="D6355" s="851">
        <v>869.42857100000003</v>
      </c>
    </row>
    <row r="6356" spans="2:4" x14ac:dyDescent="0.2">
      <c r="B6356" s="876">
        <v>7753</v>
      </c>
      <c r="C6356" s="876" t="s">
        <v>6822</v>
      </c>
      <c r="D6356" s="851">
        <v>873.81817599999999</v>
      </c>
    </row>
    <row r="6357" spans="2:4" x14ac:dyDescent="0.2">
      <c r="B6357" s="876">
        <v>7754</v>
      </c>
      <c r="C6357" s="876" t="s">
        <v>1523</v>
      </c>
      <c r="D6357" s="851">
        <v>887.27059399999996</v>
      </c>
    </row>
    <row r="6358" spans="2:4" x14ac:dyDescent="0.2">
      <c r="B6358" s="876">
        <v>7755</v>
      </c>
      <c r="C6358" s="876" t="s">
        <v>6823</v>
      </c>
      <c r="D6358" s="851">
        <v>918.90909099999999</v>
      </c>
    </row>
    <row r="6359" spans="2:4" x14ac:dyDescent="0.2">
      <c r="B6359" s="876">
        <v>7756</v>
      </c>
      <c r="C6359" s="876" t="s">
        <v>6824</v>
      </c>
      <c r="D6359" s="851">
        <v>851.01429099999996</v>
      </c>
    </row>
    <row r="6360" spans="2:4" x14ac:dyDescent="0.2">
      <c r="B6360" s="876">
        <v>7757</v>
      </c>
      <c r="C6360" s="876" t="s">
        <v>1542</v>
      </c>
      <c r="D6360" s="851">
        <v>865.14999399999999</v>
      </c>
    </row>
    <row r="6361" spans="2:4" x14ac:dyDescent="0.2">
      <c r="B6361" s="876">
        <v>7758</v>
      </c>
      <c r="C6361" s="876" t="s">
        <v>1388</v>
      </c>
      <c r="D6361" s="851">
        <v>847.15713900000003</v>
      </c>
    </row>
    <row r="6362" spans="2:4" x14ac:dyDescent="0.2">
      <c r="B6362" s="876">
        <v>7759</v>
      </c>
      <c r="C6362" s="876" t="s">
        <v>6825</v>
      </c>
      <c r="D6362" s="851">
        <v>881.23333700000001</v>
      </c>
    </row>
    <row r="6363" spans="2:4" x14ac:dyDescent="0.2">
      <c r="B6363" s="876">
        <v>7760</v>
      </c>
      <c r="C6363" s="876" t="s">
        <v>6826</v>
      </c>
      <c r="D6363" s="851">
        <v>873.68333900000005</v>
      </c>
    </row>
    <row r="6364" spans="2:4" x14ac:dyDescent="0.2">
      <c r="B6364" s="876">
        <v>7761</v>
      </c>
      <c r="C6364" s="876" t="s">
        <v>6827</v>
      </c>
      <c r="D6364" s="851">
        <v>905.35833200000002</v>
      </c>
    </row>
    <row r="6365" spans="2:4" x14ac:dyDescent="0.2">
      <c r="B6365" s="876">
        <v>7762</v>
      </c>
      <c r="C6365" s="876" t="s">
        <v>6828</v>
      </c>
      <c r="D6365" s="851">
        <v>823.95000200000004</v>
      </c>
    </row>
    <row r="6366" spans="2:4" x14ac:dyDescent="0.2">
      <c r="B6366" s="876">
        <v>7763</v>
      </c>
      <c r="C6366" s="876" t="s">
        <v>6829</v>
      </c>
      <c r="D6366" s="851">
        <v>826.0625</v>
      </c>
    </row>
    <row r="6367" spans="2:4" x14ac:dyDescent="0.2">
      <c r="B6367" s="876">
        <v>7764</v>
      </c>
      <c r="C6367" s="876" t="s">
        <v>1135</v>
      </c>
      <c r="D6367" s="851">
        <v>866.06363199999998</v>
      </c>
    </row>
    <row r="6368" spans="2:4" x14ac:dyDescent="0.2">
      <c r="B6368" s="876">
        <v>7765</v>
      </c>
      <c r="C6368" s="876" t="s">
        <v>6830</v>
      </c>
      <c r="D6368" s="851">
        <v>905.11998300000005</v>
      </c>
    </row>
    <row r="6369" spans="2:4" x14ac:dyDescent="0.2">
      <c r="B6369" s="876">
        <v>7766</v>
      </c>
      <c r="C6369" s="876" t="s">
        <v>6831</v>
      </c>
      <c r="D6369" s="851">
        <v>891.53332499999999</v>
      </c>
    </row>
    <row r="6370" spans="2:4" x14ac:dyDescent="0.2">
      <c r="B6370" s="876">
        <v>7767</v>
      </c>
      <c r="C6370" s="876" t="s">
        <v>6401</v>
      </c>
      <c r="D6370" s="851">
        <v>919.46364000000005</v>
      </c>
    </row>
    <row r="6371" spans="2:4" x14ac:dyDescent="0.2">
      <c r="B6371" s="876">
        <v>7768</v>
      </c>
      <c r="C6371" s="876" t="s">
        <v>6832</v>
      </c>
      <c r="D6371" s="851">
        <v>907.84000900000001</v>
      </c>
    </row>
    <row r="6372" spans="2:4" x14ac:dyDescent="0.2">
      <c r="B6372" s="876">
        <v>7769</v>
      </c>
      <c r="C6372" s="876" t="s">
        <v>6833</v>
      </c>
      <c r="D6372" s="851">
        <v>889.46365100000003</v>
      </c>
    </row>
    <row r="6373" spans="2:4" x14ac:dyDescent="0.2">
      <c r="B6373" s="876">
        <v>7770</v>
      </c>
      <c r="C6373" s="876" t="s">
        <v>6834</v>
      </c>
      <c r="D6373" s="851">
        <v>899.910526</v>
      </c>
    </row>
    <row r="6374" spans="2:4" x14ac:dyDescent="0.2">
      <c r="B6374" s="876">
        <v>7771</v>
      </c>
      <c r="C6374" s="876" t="s">
        <v>6835</v>
      </c>
      <c r="D6374" s="851">
        <v>907.866669</v>
      </c>
    </row>
    <row r="6375" spans="2:4" x14ac:dyDescent="0.2">
      <c r="B6375" s="876">
        <v>7772</v>
      </c>
      <c r="C6375" s="876" t="s">
        <v>6836</v>
      </c>
      <c r="D6375" s="851">
        <v>918.07500500000003</v>
      </c>
    </row>
    <row r="6376" spans="2:4" x14ac:dyDescent="0.2">
      <c r="B6376" s="876">
        <v>7773</v>
      </c>
      <c r="C6376" s="876" t="s">
        <v>6837</v>
      </c>
      <c r="D6376" s="851">
        <v>909.80000399999994</v>
      </c>
    </row>
    <row r="6377" spans="2:4" x14ac:dyDescent="0.2">
      <c r="B6377" s="876">
        <v>7774</v>
      </c>
      <c r="C6377" s="876" t="s">
        <v>6838</v>
      </c>
      <c r="D6377" s="851">
        <v>894.68636500000002</v>
      </c>
    </row>
    <row r="6378" spans="2:4" x14ac:dyDescent="0.2">
      <c r="B6378" s="876">
        <v>7775</v>
      </c>
      <c r="C6378" s="876" t="s">
        <v>6839</v>
      </c>
      <c r="D6378" s="851">
        <v>934.78749500000004</v>
      </c>
    </row>
    <row r="6379" spans="2:4" x14ac:dyDescent="0.2">
      <c r="B6379" s="876">
        <v>7776</v>
      </c>
      <c r="C6379" s="876" t="s">
        <v>6840</v>
      </c>
      <c r="D6379" s="851">
        <v>945.79166699999996</v>
      </c>
    </row>
    <row r="6380" spans="2:4" x14ac:dyDescent="0.2">
      <c r="B6380" s="876">
        <v>7777</v>
      </c>
      <c r="C6380" s="876" t="s">
        <v>6841</v>
      </c>
      <c r="D6380" s="851">
        <v>914.53333499999997</v>
      </c>
    </row>
    <row r="6381" spans="2:4" x14ac:dyDescent="0.2">
      <c r="B6381" s="876">
        <v>7778</v>
      </c>
      <c r="C6381" s="876" t="s">
        <v>6842</v>
      </c>
      <c r="D6381" s="851">
        <v>905.90909099999999</v>
      </c>
    </row>
    <row r="6382" spans="2:4" x14ac:dyDescent="0.2">
      <c r="B6382" s="876">
        <v>7779</v>
      </c>
      <c r="C6382" s="876" t="s">
        <v>4847</v>
      </c>
      <c r="D6382" s="851">
        <v>930.36665900000003</v>
      </c>
    </row>
    <row r="6383" spans="2:4" x14ac:dyDescent="0.2">
      <c r="B6383" s="876">
        <v>7780</v>
      </c>
      <c r="C6383" s="876" t="s">
        <v>6843</v>
      </c>
      <c r="D6383" s="851">
        <v>942.15000899999995</v>
      </c>
    </row>
    <row r="6384" spans="2:4" x14ac:dyDescent="0.2">
      <c r="B6384" s="876">
        <v>7781</v>
      </c>
      <c r="C6384" s="876" t="s">
        <v>6844</v>
      </c>
      <c r="D6384" s="851">
        <v>945.47894899999994</v>
      </c>
    </row>
    <row r="6385" spans="2:4" x14ac:dyDescent="0.2">
      <c r="B6385" s="876">
        <v>7782</v>
      </c>
      <c r="C6385" s="876" t="s">
        <v>6845</v>
      </c>
      <c r="D6385" s="851">
        <v>947.16666699999996</v>
      </c>
    </row>
    <row r="6386" spans="2:4" x14ac:dyDescent="0.2">
      <c r="B6386" s="876">
        <v>7783</v>
      </c>
      <c r="C6386" s="876" t="s">
        <v>6846</v>
      </c>
      <c r="D6386" s="851">
        <v>949.59997599999997</v>
      </c>
    </row>
    <row r="6387" spans="2:4" x14ac:dyDescent="0.2">
      <c r="B6387" s="876">
        <v>7784</v>
      </c>
      <c r="C6387" s="876" t="s">
        <v>6847</v>
      </c>
      <c r="D6387" s="851">
        <v>975.04999799999996</v>
      </c>
    </row>
    <row r="6388" spans="2:4" x14ac:dyDescent="0.2">
      <c r="B6388" s="876">
        <v>7785</v>
      </c>
      <c r="C6388" s="876" t="s">
        <v>6848</v>
      </c>
      <c r="D6388" s="851">
        <v>906.75999100000001</v>
      </c>
    </row>
    <row r="6389" spans="2:4" x14ac:dyDescent="0.2">
      <c r="B6389" s="876">
        <v>7786</v>
      </c>
      <c r="C6389" s="876" t="s">
        <v>6849</v>
      </c>
      <c r="D6389" s="851">
        <v>915.44444399999998</v>
      </c>
    </row>
    <row r="6390" spans="2:4" x14ac:dyDescent="0.2">
      <c r="B6390" s="876">
        <v>7787</v>
      </c>
      <c r="C6390" s="876" t="s">
        <v>6850</v>
      </c>
      <c r="D6390" s="851">
        <v>906.71818399999995</v>
      </c>
    </row>
    <row r="6391" spans="2:4" x14ac:dyDescent="0.2">
      <c r="B6391" s="876">
        <v>7788</v>
      </c>
      <c r="C6391" s="876" t="s">
        <v>4030</v>
      </c>
      <c r="D6391" s="851">
        <v>922.73749499999997</v>
      </c>
    </row>
    <row r="6392" spans="2:4" x14ac:dyDescent="0.2">
      <c r="B6392" s="876">
        <v>7789</v>
      </c>
      <c r="C6392" s="876" t="s">
        <v>339</v>
      </c>
      <c r="D6392" s="851">
        <v>917.18999599999995</v>
      </c>
    </row>
    <row r="6393" spans="2:4" x14ac:dyDescent="0.2">
      <c r="B6393" s="876">
        <v>7790</v>
      </c>
      <c r="C6393" s="876" t="s">
        <v>6851</v>
      </c>
      <c r="D6393" s="851">
        <v>941.91666199999997</v>
      </c>
    </row>
    <row r="6394" spans="2:4" x14ac:dyDescent="0.2">
      <c r="B6394" s="876">
        <v>7792</v>
      </c>
      <c r="C6394" s="876" t="s">
        <v>1140</v>
      </c>
      <c r="D6394" s="851">
        <v>968.20001200000002</v>
      </c>
    </row>
    <row r="6395" spans="2:4" x14ac:dyDescent="0.2">
      <c r="B6395" s="876">
        <v>7793</v>
      </c>
      <c r="C6395" s="876" t="s">
        <v>6852</v>
      </c>
      <c r="D6395" s="851">
        <v>987.163635</v>
      </c>
    </row>
    <row r="6396" spans="2:4" x14ac:dyDescent="0.2">
      <c r="B6396" s="876">
        <v>7794</v>
      </c>
      <c r="C6396" s="876" t="s">
        <v>6853</v>
      </c>
      <c r="D6396" s="851">
        <v>965.11251100000004</v>
      </c>
    </row>
    <row r="6397" spans="2:4" x14ac:dyDescent="0.2">
      <c r="B6397" s="876">
        <v>7795</v>
      </c>
      <c r="C6397" s="876" t="s">
        <v>6854</v>
      </c>
      <c r="D6397" s="851">
        <v>1005.866659</v>
      </c>
    </row>
    <row r="6398" spans="2:4" x14ac:dyDescent="0.2">
      <c r="B6398" s="876">
        <v>7796</v>
      </c>
      <c r="C6398" s="876" t="s">
        <v>6855</v>
      </c>
      <c r="D6398" s="851">
        <v>1069.375</v>
      </c>
    </row>
    <row r="6399" spans="2:4" x14ac:dyDescent="0.2">
      <c r="B6399" s="876">
        <v>7797</v>
      </c>
      <c r="C6399" s="876" t="s">
        <v>6856</v>
      </c>
      <c r="D6399" s="851">
        <v>996.60832200000004</v>
      </c>
    </row>
    <row r="6400" spans="2:4" x14ac:dyDescent="0.2">
      <c r="B6400" s="876">
        <v>7798</v>
      </c>
      <c r="C6400" s="876" t="s">
        <v>6857</v>
      </c>
      <c r="D6400" s="851">
        <v>983.93332899999996</v>
      </c>
    </row>
    <row r="6401" spans="2:4" x14ac:dyDescent="0.2">
      <c r="B6401" s="876">
        <v>7799</v>
      </c>
      <c r="C6401" s="876" t="s">
        <v>6858</v>
      </c>
      <c r="D6401" s="851">
        <v>985.66666699999996</v>
      </c>
    </row>
    <row r="6402" spans="2:4" x14ac:dyDescent="0.2">
      <c r="B6402" s="876">
        <v>7800</v>
      </c>
      <c r="C6402" s="876" t="s">
        <v>6859</v>
      </c>
      <c r="D6402" s="851">
        <v>1065.2624969999999</v>
      </c>
    </row>
    <row r="6403" spans="2:4" x14ac:dyDescent="0.2">
      <c r="B6403" s="876">
        <v>7801</v>
      </c>
      <c r="C6403" s="876" t="s">
        <v>6860</v>
      </c>
      <c r="D6403" s="851">
        <v>1062.587509</v>
      </c>
    </row>
    <row r="6404" spans="2:4" x14ac:dyDescent="0.2">
      <c r="B6404" s="876">
        <v>7802</v>
      </c>
      <c r="C6404" s="876" t="s">
        <v>6861</v>
      </c>
      <c r="D6404" s="851">
        <v>1097.5500030000001</v>
      </c>
    </row>
    <row r="6405" spans="2:4" x14ac:dyDescent="0.2">
      <c r="B6405" s="876">
        <v>7803</v>
      </c>
      <c r="C6405" s="876" t="s">
        <v>5631</v>
      </c>
      <c r="D6405" s="851">
        <v>936.57272599999999</v>
      </c>
    </row>
    <row r="6406" spans="2:4" x14ac:dyDescent="0.2">
      <c r="B6406" s="876">
        <v>7804</v>
      </c>
      <c r="C6406" s="876" t="s">
        <v>6862</v>
      </c>
      <c r="D6406" s="851">
        <v>986.57501200000002</v>
      </c>
    </row>
    <row r="6407" spans="2:4" x14ac:dyDescent="0.2">
      <c r="B6407" s="876">
        <v>7805</v>
      </c>
      <c r="C6407" s="876" t="s">
        <v>6863</v>
      </c>
      <c r="D6407" s="851">
        <v>965.44583399999999</v>
      </c>
    </row>
    <row r="6408" spans="2:4" x14ac:dyDescent="0.2">
      <c r="B6408" s="876">
        <v>7806</v>
      </c>
      <c r="C6408" s="876" t="s">
        <v>1149</v>
      </c>
      <c r="D6408" s="851">
        <v>951</v>
      </c>
    </row>
    <row r="6409" spans="2:4" x14ac:dyDescent="0.2">
      <c r="B6409" s="876">
        <v>7807</v>
      </c>
      <c r="C6409" s="876" t="s">
        <v>6864</v>
      </c>
      <c r="D6409" s="851">
        <v>957.54000699999995</v>
      </c>
    </row>
    <row r="6410" spans="2:4" x14ac:dyDescent="0.2">
      <c r="B6410" s="876">
        <v>7821</v>
      </c>
      <c r="C6410" s="876" t="s">
        <v>6865</v>
      </c>
      <c r="D6410" s="851">
        <v>897.37272499999995</v>
      </c>
    </row>
    <row r="6411" spans="2:4" x14ac:dyDescent="0.2">
      <c r="B6411" s="876">
        <v>7822</v>
      </c>
      <c r="C6411" s="876" t="s">
        <v>6866</v>
      </c>
      <c r="D6411" s="851">
        <v>901.06668100000002</v>
      </c>
    </row>
    <row r="6412" spans="2:4" x14ac:dyDescent="0.2">
      <c r="B6412" s="876">
        <v>7823</v>
      </c>
      <c r="C6412" s="876" t="s">
        <v>6867</v>
      </c>
      <c r="D6412" s="851">
        <v>900.52222400000005</v>
      </c>
    </row>
    <row r="6413" spans="2:4" x14ac:dyDescent="0.2">
      <c r="B6413" s="876">
        <v>7824</v>
      </c>
      <c r="C6413" s="876" t="s">
        <v>6868</v>
      </c>
      <c r="D6413" s="851">
        <v>913.58750199999997</v>
      </c>
    </row>
    <row r="6414" spans="2:4" x14ac:dyDescent="0.2">
      <c r="B6414" s="876">
        <v>7825</v>
      </c>
      <c r="C6414" s="876" t="s">
        <v>6869</v>
      </c>
      <c r="D6414" s="851">
        <v>935.95624899999996</v>
      </c>
    </row>
    <row r="6415" spans="2:4" x14ac:dyDescent="0.2">
      <c r="B6415" s="876">
        <v>7826</v>
      </c>
      <c r="C6415" s="876" t="s">
        <v>6870</v>
      </c>
      <c r="D6415" s="851">
        <v>954.82999900000004</v>
      </c>
    </row>
    <row r="6416" spans="2:4" x14ac:dyDescent="0.2">
      <c r="B6416" s="876">
        <v>7827</v>
      </c>
      <c r="C6416" s="876" t="s">
        <v>6871</v>
      </c>
      <c r="D6416" s="851">
        <v>931.92000099999996</v>
      </c>
    </row>
    <row r="6417" spans="2:4" x14ac:dyDescent="0.2">
      <c r="B6417" s="876">
        <v>7828</v>
      </c>
      <c r="C6417" s="876" t="s">
        <v>6872</v>
      </c>
      <c r="D6417" s="851">
        <v>955.10000600000001</v>
      </c>
    </row>
    <row r="6418" spans="2:4" x14ac:dyDescent="0.2">
      <c r="B6418" s="876">
        <v>7829</v>
      </c>
      <c r="C6418" s="876" t="s">
        <v>6873</v>
      </c>
      <c r="D6418" s="851">
        <v>961.01666299999999</v>
      </c>
    </row>
    <row r="6419" spans="2:4" x14ac:dyDescent="0.2">
      <c r="B6419" s="876">
        <v>7830</v>
      </c>
      <c r="C6419" s="876" t="s">
        <v>6874</v>
      </c>
      <c r="D6419" s="851">
        <v>969.23749499999997</v>
      </c>
    </row>
    <row r="6420" spans="2:4" x14ac:dyDescent="0.2">
      <c r="B6420" s="876">
        <v>7831</v>
      </c>
      <c r="C6420" s="876" t="s">
        <v>6875</v>
      </c>
      <c r="D6420" s="851">
        <v>968.759998</v>
      </c>
    </row>
    <row r="6421" spans="2:4" x14ac:dyDescent="0.2">
      <c r="B6421" s="876">
        <v>7832</v>
      </c>
      <c r="C6421" s="876" t="s">
        <v>6876</v>
      </c>
      <c r="D6421" s="851">
        <v>962.91666699999996</v>
      </c>
    </row>
    <row r="6422" spans="2:4" x14ac:dyDescent="0.2">
      <c r="B6422" s="876">
        <v>7833</v>
      </c>
      <c r="C6422" s="876" t="s">
        <v>6828</v>
      </c>
      <c r="D6422" s="851">
        <v>948.75</v>
      </c>
    </row>
    <row r="6423" spans="2:4" x14ac:dyDescent="0.2">
      <c r="B6423" s="876">
        <v>7834</v>
      </c>
      <c r="C6423" s="876" t="s">
        <v>6877</v>
      </c>
      <c r="D6423" s="851">
        <v>970.37693400000001</v>
      </c>
    </row>
    <row r="6424" spans="2:4" x14ac:dyDescent="0.2">
      <c r="B6424" s="876">
        <v>7835</v>
      </c>
      <c r="C6424" s="876" t="s">
        <v>6878</v>
      </c>
      <c r="D6424" s="851">
        <v>977.54998799999998</v>
      </c>
    </row>
    <row r="6425" spans="2:4" x14ac:dyDescent="0.2">
      <c r="B6425" s="876">
        <v>7836</v>
      </c>
      <c r="C6425" s="876" t="s">
        <v>6879</v>
      </c>
      <c r="D6425" s="851">
        <v>984.15713900000003</v>
      </c>
    </row>
    <row r="6426" spans="2:4" x14ac:dyDescent="0.2">
      <c r="B6426" s="876">
        <v>7837</v>
      </c>
      <c r="C6426" s="876" t="s">
        <v>6880</v>
      </c>
      <c r="D6426" s="851">
        <v>1012.927263</v>
      </c>
    </row>
    <row r="6427" spans="2:4" x14ac:dyDescent="0.2">
      <c r="B6427" s="876">
        <v>7838</v>
      </c>
      <c r="C6427" s="876" t="s">
        <v>6881</v>
      </c>
      <c r="D6427" s="851">
        <v>1034.014287</v>
      </c>
    </row>
    <row r="6428" spans="2:4" x14ac:dyDescent="0.2">
      <c r="B6428" s="876">
        <v>7839</v>
      </c>
      <c r="C6428" s="876" t="s">
        <v>6802</v>
      </c>
      <c r="D6428" s="851">
        <v>1144.630017</v>
      </c>
    </row>
    <row r="6429" spans="2:4" x14ac:dyDescent="0.2">
      <c r="B6429" s="876">
        <v>7840</v>
      </c>
      <c r="C6429" s="876" t="s">
        <v>6882</v>
      </c>
      <c r="D6429" s="851">
        <v>1117.375006</v>
      </c>
    </row>
    <row r="6430" spans="2:4" x14ac:dyDescent="0.2">
      <c r="B6430" s="876">
        <v>7841</v>
      </c>
      <c r="C6430" s="876" t="s">
        <v>6883</v>
      </c>
      <c r="D6430" s="851">
        <v>1151.7833459999999</v>
      </c>
    </row>
    <row r="6431" spans="2:4" x14ac:dyDescent="0.2">
      <c r="B6431" s="876">
        <v>7842</v>
      </c>
      <c r="C6431" s="876" t="s">
        <v>6884</v>
      </c>
      <c r="D6431" s="851">
        <v>1151.2058750000001</v>
      </c>
    </row>
    <row r="6432" spans="2:4" x14ac:dyDescent="0.2">
      <c r="B6432" s="876">
        <v>7843</v>
      </c>
      <c r="C6432" s="876" t="s">
        <v>6885</v>
      </c>
      <c r="D6432" s="851">
        <v>977.59999600000003</v>
      </c>
    </row>
    <row r="6433" spans="2:4" x14ac:dyDescent="0.2">
      <c r="B6433" s="876">
        <v>7844</v>
      </c>
      <c r="C6433" s="876" t="s">
        <v>6886</v>
      </c>
      <c r="D6433" s="851">
        <v>980.59333900000001</v>
      </c>
    </row>
    <row r="6434" spans="2:4" x14ac:dyDescent="0.2">
      <c r="B6434" s="876">
        <v>7845</v>
      </c>
      <c r="C6434" s="876" t="s">
        <v>1675</v>
      </c>
      <c r="D6434" s="851">
        <v>961.8125</v>
      </c>
    </row>
    <row r="6435" spans="2:4" x14ac:dyDescent="0.2">
      <c r="B6435" s="876">
        <v>7846</v>
      </c>
      <c r="C6435" s="876" t="s">
        <v>6887</v>
      </c>
      <c r="D6435" s="851">
        <v>1071.511765</v>
      </c>
    </row>
    <row r="6436" spans="2:4" x14ac:dyDescent="0.2">
      <c r="B6436" s="876">
        <v>7847</v>
      </c>
      <c r="C6436" s="876" t="s">
        <v>6888</v>
      </c>
      <c r="D6436" s="851">
        <v>956.68888300000003</v>
      </c>
    </row>
    <row r="6437" spans="2:4" x14ac:dyDescent="0.2">
      <c r="B6437" s="876">
        <v>7848</v>
      </c>
      <c r="C6437" s="876" t="s">
        <v>6889</v>
      </c>
      <c r="D6437" s="851">
        <v>993.64285700000005</v>
      </c>
    </row>
    <row r="6438" spans="2:4" x14ac:dyDescent="0.2">
      <c r="B6438" s="876">
        <v>7849</v>
      </c>
      <c r="C6438" s="876" t="s">
        <v>6890</v>
      </c>
      <c r="D6438" s="851">
        <v>1041.010004</v>
      </c>
    </row>
    <row r="6439" spans="2:4" x14ac:dyDescent="0.2">
      <c r="B6439" s="876">
        <v>7850</v>
      </c>
      <c r="C6439" s="876" t="s">
        <v>6891</v>
      </c>
      <c r="D6439" s="851">
        <v>1096.112488</v>
      </c>
    </row>
    <row r="6440" spans="2:4" x14ac:dyDescent="0.2">
      <c r="B6440" s="876">
        <v>7851</v>
      </c>
      <c r="C6440" s="876" t="s">
        <v>6892</v>
      </c>
      <c r="D6440" s="851">
        <v>1098.8222109999999</v>
      </c>
    </row>
    <row r="6441" spans="2:4" x14ac:dyDescent="0.2">
      <c r="B6441" s="876">
        <v>7852</v>
      </c>
      <c r="C6441" s="876" t="s">
        <v>6893</v>
      </c>
      <c r="D6441" s="851">
        <v>964.30000299999995</v>
      </c>
    </row>
    <row r="6442" spans="2:4" x14ac:dyDescent="0.2">
      <c r="B6442" s="876">
        <v>7853</v>
      </c>
      <c r="C6442" s="876" t="s">
        <v>6894</v>
      </c>
      <c r="D6442" s="851">
        <v>975.39998400000002</v>
      </c>
    </row>
    <row r="6443" spans="2:4" x14ac:dyDescent="0.2">
      <c r="B6443" s="876">
        <v>7854</v>
      </c>
      <c r="C6443" s="876" t="s">
        <v>6895</v>
      </c>
      <c r="D6443" s="851">
        <v>994.03333499999997</v>
      </c>
    </row>
    <row r="6444" spans="2:4" x14ac:dyDescent="0.2">
      <c r="B6444" s="876">
        <v>7855</v>
      </c>
      <c r="C6444" s="876" t="s">
        <v>4688</v>
      </c>
      <c r="D6444" s="851">
        <v>1013.887505</v>
      </c>
    </row>
    <row r="6445" spans="2:4" x14ac:dyDescent="0.2">
      <c r="B6445" s="876">
        <v>7856</v>
      </c>
      <c r="C6445" s="876" t="s">
        <v>6287</v>
      </c>
      <c r="D6445" s="851">
        <v>994.79999799999996</v>
      </c>
    </row>
    <row r="6446" spans="2:4" x14ac:dyDescent="0.2">
      <c r="B6446" s="876">
        <v>7857</v>
      </c>
      <c r="C6446" s="876" t="s">
        <v>6896</v>
      </c>
      <c r="D6446" s="851">
        <v>1041.4000000000001</v>
      </c>
    </row>
    <row r="6447" spans="2:4" x14ac:dyDescent="0.2">
      <c r="B6447" s="876">
        <v>7858</v>
      </c>
      <c r="C6447" s="876" t="s">
        <v>6897</v>
      </c>
      <c r="D6447" s="851">
        <v>1039.666667</v>
      </c>
    </row>
    <row r="6448" spans="2:4" x14ac:dyDescent="0.2">
      <c r="B6448" s="876">
        <v>7859</v>
      </c>
      <c r="C6448" s="876" t="s">
        <v>6898</v>
      </c>
      <c r="D6448" s="851">
        <v>1065.090009</v>
      </c>
    </row>
    <row r="6449" spans="2:4" x14ac:dyDescent="0.2">
      <c r="B6449" s="876">
        <v>7860</v>
      </c>
      <c r="C6449" s="876" t="s">
        <v>4040</v>
      </c>
      <c r="D6449" s="851">
        <v>1081.7800050000001</v>
      </c>
    </row>
    <row r="6450" spans="2:4" x14ac:dyDescent="0.2">
      <c r="B6450" s="876">
        <v>7861</v>
      </c>
      <c r="C6450" s="876" t="s">
        <v>3771</v>
      </c>
      <c r="D6450" s="851">
        <v>1072.349976</v>
      </c>
    </row>
    <row r="6451" spans="2:4" x14ac:dyDescent="0.2">
      <c r="B6451" s="876">
        <v>7862</v>
      </c>
      <c r="C6451" s="876" t="s">
        <v>6899</v>
      </c>
      <c r="D6451" s="851">
        <v>1081.900024</v>
      </c>
    </row>
    <row r="6452" spans="2:4" x14ac:dyDescent="0.2">
      <c r="B6452" s="876">
        <v>7863</v>
      </c>
      <c r="C6452" s="876" t="s">
        <v>6900</v>
      </c>
      <c r="D6452" s="851">
        <v>1095.366659</v>
      </c>
    </row>
    <row r="6453" spans="2:4" x14ac:dyDescent="0.2">
      <c r="B6453" s="876">
        <v>7864</v>
      </c>
      <c r="C6453" s="876" t="s">
        <v>1305</v>
      </c>
      <c r="D6453" s="851">
        <v>1084.383341</v>
      </c>
    </row>
    <row r="6454" spans="2:4" x14ac:dyDescent="0.2">
      <c r="B6454" s="876">
        <v>7865</v>
      </c>
      <c r="C6454" s="876" t="s">
        <v>6901</v>
      </c>
      <c r="D6454" s="851">
        <v>1092.3600100000001</v>
      </c>
    </row>
    <row r="6455" spans="2:4" x14ac:dyDescent="0.2">
      <c r="B6455" s="876">
        <v>7866</v>
      </c>
      <c r="C6455" s="876" t="s">
        <v>6902</v>
      </c>
      <c r="D6455" s="851">
        <v>1107.0333459999999</v>
      </c>
    </row>
    <row r="6456" spans="2:4" x14ac:dyDescent="0.2">
      <c r="B6456" s="876">
        <v>7867</v>
      </c>
      <c r="C6456" s="876" t="s">
        <v>385</v>
      </c>
      <c r="D6456" s="851">
        <v>1045.5863730000001</v>
      </c>
    </row>
    <row r="6457" spans="2:4" x14ac:dyDescent="0.2">
      <c r="B6457" s="876">
        <v>7868</v>
      </c>
      <c r="C6457" s="876" t="s">
        <v>6903</v>
      </c>
      <c r="D6457" s="851">
        <v>1108.7875059999999</v>
      </c>
    </row>
    <row r="6458" spans="2:4" x14ac:dyDescent="0.2">
      <c r="B6458" s="876">
        <v>7869</v>
      </c>
      <c r="C6458" s="876" t="s">
        <v>6904</v>
      </c>
      <c r="D6458" s="851">
        <v>1078.0600099999999</v>
      </c>
    </row>
    <row r="6459" spans="2:4" x14ac:dyDescent="0.2">
      <c r="B6459" s="876">
        <v>7870</v>
      </c>
      <c r="C6459" s="876" t="s">
        <v>6905</v>
      </c>
      <c r="D6459" s="851">
        <v>1199.8499999999999</v>
      </c>
    </row>
    <row r="6460" spans="2:4" x14ac:dyDescent="0.2">
      <c r="B6460" s="876">
        <v>7871</v>
      </c>
      <c r="C6460" s="876" t="s">
        <v>6906</v>
      </c>
      <c r="D6460" s="851">
        <v>1195.1210679999999</v>
      </c>
    </row>
    <row r="6461" spans="2:4" x14ac:dyDescent="0.2">
      <c r="B6461" s="876">
        <v>7872</v>
      </c>
      <c r="C6461" s="876" t="s">
        <v>6907</v>
      </c>
      <c r="D6461" s="851">
        <v>1141.6499940000001</v>
      </c>
    </row>
    <row r="6462" spans="2:4" x14ac:dyDescent="0.2">
      <c r="B6462" s="876">
        <v>7873</v>
      </c>
      <c r="C6462" s="876" t="s">
        <v>6908</v>
      </c>
      <c r="D6462" s="851">
        <v>1156.595442</v>
      </c>
    </row>
    <row r="6463" spans="2:4" x14ac:dyDescent="0.2">
      <c r="B6463" s="876">
        <v>7874</v>
      </c>
      <c r="C6463" s="876" t="s">
        <v>6909</v>
      </c>
      <c r="D6463" s="851">
        <v>1106.4857179999999</v>
      </c>
    </row>
    <row r="6464" spans="2:4" x14ac:dyDescent="0.2">
      <c r="B6464" s="876">
        <v>7875</v>
      </c>
      <c r="C6464" s="876" t="s">
        <v>4240</v>
      </c>
      <c r="D6464" s="851">
        <v>1098.223532</v>
      </c>
    </row>
    <row r="6465" spans="2:4" x14ac:dyDescent="0.2">
      <c r="B6465" s="876">
        <v>7876</v>
      </c>
      <c r="C6465" s="876" t="s">
        <v>6910</v>
      </c>
      <c r="D6465" s="851">
        <v>1124.306673</v>
      </c>
    </row>
    <row r="6466" spans="2:4" x14ac:dyDescent="0.2">
      <c r="B6466" s="876">
        <v>7877</v>
      </c>
      <c r="C6466" s="876" t="s">
        <v>6911</v>
      </c>
      <c r="D6466" s="851">
        <v>1123.3791610000001</v>
      </c>
    </row>
    <row r="6467" spans="2:4" x14ac:dyDescent="0.2">
      <c r="B6467" s="876">
        <v>7878</v>
      </c>
      <c r="C6467" s="876" t="s">
        <v>6912</v>
      </c>
      <c r="D6467" s="851">
        <v>1336.5062559999999</v>
      </c>
    </row>
    <row r="6468" spans="2:4" x14ac:dyDescent="0.2">
      <c r="B6468" s="876">
        <v>7879</v>
      </c>
      <c r="C6468" s="876" t="s">
        <v>6913</v>
      </c>
      <c r="D6468" s="851">
        <v>1273.945479</v>
      </c>
    </row>
    <row r="6469" spans="2:4" x14ac:dyDescent="0.2">
      <c r="B6469" s="876">
        <v>7880</v>
      </c>
      <c r="C6469" s="876" t="s">
        <v>6914</v>
      </c>
      <c r="D6469" s="851">
        <v>1293.6058849999999</v>
      </c>
    </row>
    <row r="6470" spans="2:4" x14ac:dyDescent="0.2">
      <c r="B6470" s="876">
        <v>7881</v>
      </c>
      <c r="C6470" s="876" t="s">
        <v>6915</v>
      </c>
      <c r="D6470" s="851">
        <v>1333.106262</v>
      </c>
    </row>
    <row r="6471" spans="2:4" x14ac:dyDescent="0.2">
      <c r="B6471" s="876">
        <v>7882</v>
      </c>
      <c r="C6471" s="876" t="s">
        <v>6916</v>
      </c>
      <c r="D6471" s="851">
        <v>1424.3874969999999</v>
      </c>
    </row>
    <row r="6472" spans="2:4" x14ac:dyDescent="0.2">
      <c r="B6472" s="876">
        <v>7883</v>
      </c>
      <c r="C6472" s="876" t="s">
        <v>6917</v>
      </c>
      <c r="D6472" s="851">
        <v>1162.9105219999999</v>
      </c>
    </row>
    <row r="6473" spans="2:4" x14ac:dyDescent="0.2">
      <c r="B6473" s="876">
        <v>7884</v>
      </c>
      <c r="C6473" s="876" t="s">
        <v>6918</v>
      </c>
      <c r="D6473" s="851">
        <v>1130.3000010000001</v>
      </c>
    </row>
    <row r="6474" spans="2:4" x14ac:dyDescent="0.2">
      <c r="B6474" s="876">
        <v>7885</v>
      </c>
      <c r="C6474" s="876" t="s">
        <v>6919</v>
      </c>
      <c r="D6474" s="851">
        <v>1202.6466720000001</v>
      </c>
    </row>
    <row r="6475" spans="2:4" x14ac:dyDescent="0.2">
      <c r="B6475" s="876">
        <v>7886</v>
      </c>
      <c r="C6475" s="876" t="s">
        <v>6920</v>
      </c>
      <c r="D6475" s="851">
        <v>1171.950012</v>
      </c>
    </row>
    <row r="6476" spans="2:4" x14ac:dyDescent="0.2">
      <c r="B6476" s="876">
        <v>7887</v>
      </c>
      <c r="C6476" s="876" t="s">
        <v>6921</v>
      </c>
      <c r="D6476" s="851">
        <v>1226.1357069999999</v>
      </c>
    </row>
    <row r="6477" spans="2:4" x14ac:dyDescent="0.2">
      <c r="B6477" s="876">
        <v>7888</v>
      </c>
      <c r="C6477" s="876" t="s">
        <v>6922</v>
      </c>
      <c r="D6477" s="851">
        <v>1119.5333390000001</v>
      </c>
    </row>
    <row r="6478" spans="2:4" x14ac:dyDescent="0.2">
      <c r="B6478" s="876">
        <v>7889</v>
      </c>
      <c r="C6478" s="876" t="s">
        <v>6923</v>
      </c>
      <c r="D6478" s="851">
        <v>1141.691671</v>
      </c>
    </row>
    <row r="6479" spans="2:4" x14ac:dyDescent="0.2">
      <c r="B6479" s="876">
        <v>7890</v>
      </c>
      <c r="C6479" s="876" t="s">
        <v>6924</v>
      </c>
      <c r="D6479" s="851">
        <v>1176.9571450000001</v>
      </c>
    </row>
    <row r="6480" spans="2:4" x14ac:dyDescent="0.2">
      <c r="B6480" s="876">
        <v>7891</v>
      </c>
      <c r="C6480" s="876" t="s">
        <v>6925</v>
      </c>
      <c r="D6480" s="851">
        <v>1131.950012</v>
      </c>
    </row>
    <row r="6481" spans="2:4" x14ac:dyDescent="0.2">
      <c r="B6481" s="876">
        <v>7892</v>
      </c>
      <c r="C6481" s="876" t="s">
        <v>6926</v>
      </c>
      <c r="D6481" s="851">
        <v>1133.070007</v>
      </c>
    </row>
    <row r="6482" spans="2:4" x14ac:dyDescent="0.2">
      <c r="B6482" s="876">
        <v>7893</v>
      </c>
      <c r="C6482" s="876" t="s">
        <v>1444</v>
      </c>
      <c r="D6482" s="851">
        <v>1113.831582</v>
      </c>
    </row>
    <row r="6483" spans="2:4" x14ac:dyDescent="0.2">
      <c r="B6483" s="876">
        <v>7894</v>
      </c>
      <c r="C6483" s="876" t="s">
        <v>3972</v>
      </c>
      <c r="D6483" s="851">
        <v>1334.6000140000001</v>
      </c>
    </row>
    <row r="6484" spans="2:4" x14ac:dyDescent="0.2">
      <c r="B6484" s="876">
        <v>7895</v>
      </c>
      <c r="C6484" s="876" t="s">
        <v>6927</v>
      </c>
      <c r="D6484" s="851">
        <v>1217.828573</v>
      </c>
    </row>
    <row r="6485" spans="2:4" x14ac:dyDescent="0.2">
      <c r="B6485" s="876">
        <v>7896</v>
      </c>
      <c r="C6485" s="876" t="s">
        <v>6928</v>
      </c>
      <c r="D6485" s="851">
        <v>1330.5312730000001</v>
      </c>
    </row>
    <row r="6486" spans="2:4" x14ac:dyDescent="0.2">
      <c r="B6486" s="876">
        <v>7897</v>
      </c>
      <c r="C6486" s="876" t="s">
        <v>6929</v>
      </c>
      <c r="D6486" s="851">
        <v>1194.047988</v>
      </c>
    </row>
    <row r="6487" spans="2:4" x14ac:dyDescent="0.2">
      <c r="B6487" s="876">
        <v>7898</v>
      </c>
      <c r="C6487" s="876" t="s">
        <v>6930</v>
      </c>
      <c r="D6487" s="851">
        <v>1198.0333250000001</v>
      </c>
    </row>
    <row r="6488" spans="2:4" x14ac:dyDescent="0.2">
      <c r="B6488" s="876">
        <v>7899</v>
      </c>
      <c r="C6488" s="876" t="s">
        <v>6931</v>
      </c>
      <c r="D6488" s="851">
        <v>1287.700012</v>
      </c>
    </row>
    <row r="6489" spans="2:4" x14ac:dyDescent="0.2">
      <c r="B6489" s="876">
        <v>7900</v>
      </c>
      <c r="C6489" s="876" t="s">
        <v>6932</v>
      </c>
      <c r="D6489" s="851">
        <v>1233.539998</v>
      </c>
    </row>
    <row r="6490" spans="2:4" x14ac:dyDescent="0.2">
      <c r="B6490" s="876">
        <v>7901</v>
      </c>
      <c r="C6490" s="876" t="s">
        <v>6933</v>
      </c>
      <c r="D6490" s="851">
        <v>1232.799988</v>
      </c>
    </row>
    <row r="6491" spans="2:4" x14ac:dyDescent="0.2">
      <c r="B6491" s="876">
        <v>7902</v>
      </c>
      <c r="C6491" s="876" t="s">
        <v>6934</v>
      </c>
      <c r="D6491" s="851">
        <v>1291.6230660000001</v>
      </c>
    </row>
    <row r="6492" spans="2:4" x14ac:dyDescent="0.2">
      <c r="B6492" s="876">
        <v>7903</v>
      </c>
      <c r="C6492" s="876" t="s">
        <v>6935</v>
      </c>
      <c r="D6492" s="851">
        <v>1233.4727339999999</v>
      </c>
    </row>
    <row r="6493" spans="2:4" x14ac:dyDescent="0.2">
      <c r="B6493" s="876">
        <v>7904</v>
      </c>
      <c r="C6493" s="876" t="s">
        <v>6936</v>
      </c>
      <c r="D6493" s="851">
        <v>1173.6105190000001</v>
      </c>
    </row>
    <row r="6494" spans="2:4" x14ac:dyDescent="0.2">
      <c r="B6494" s="876">
        <v>7905</v>
      </c>
      <c r="C6494" s="876" t="s">
        <v>6392</v>
      </c>
      <c r="D6494" s="851">
        <v>1237.5342840000001</v>
      </c>
    </row>
    <row r="6495" spans="2:4" x14ac:dyDescent="0.2">
      <c r="B6495" s="876">
        <v>7906</v>
      </c>
      <c r="C6495" s="876" t="s">
        <v>6937</v>
      </c>
      <c r="D6495" s="851">
        <v>1321.4250179999999</v>
      </c>
    </row>
    <row r="6496" spans="2:4" x14ac:dyDescent="0.2">
      <c r="B6496" s="876">
        <v>7907</v>
      </c>
      <c r="C6496" s="876" t="s">
        <v>6938</v>
      </c>
      <c r="D6496" s="851">
        <v>1270.7714410000001</v>
      </c>
    </row>
    <row r="6497" spans="2:4" x14ac:dyDescent="0.2">
      <c r="B6497" s="876">
        <v>7908</v>
      </c>
      <c r="C6497" s="876" t="s">
        <v>6939</v>
      </c>
      <c r="D6497" s="851">
        <v>1421.0384710000001</v>
      </c>
    </row>
    <row r="6498" spans="2:4" x14ac:dyDescent="0.2">
      <c r="B6498" s="876">
        <v>7909</v>
      </c>
      <c r="C6498" s="876" t="s">
        <v>6940</v>
      </c>
      <c r="D6498" s="851">
        <v>1509.347039</v>
      </c>
    </row>
    <row r="6499" spans="2:4" x14ac:dyDescent="0.2">
      <c r="B6499" s="876">
        <v>7910</v>
      </c>
      <c r="C6499" s="876" t="s">
        <v>6941</v>
      </c>
      <c r="D6499" s="851">
        <v>1482.4055510000001</v>
      </c>
    </row>
    <row r="6500" spans="2:4" x14ac:dyDescent="0.2">
      <c r="B6500" s="876">
        <v>7911</v>
      </c>
      <c r="C6500" s="876" t="s">
        <v>6942</v>
      </c>
      <c r="D6500" s="851">
        <v>1676.1068230000001</v>
      </c>
    </row>
    <row r="6501" spans="2:4" x14ac:dyDescent="0.2">
      <c r="B6501" s="876">
        <v>7912</v>
      </c>
      <c r="C6501" s="876" t="s">
        <v>6943</v>
      </c>
      <c r="D6501" s="851">
        <v>1228.43335</v>
      </c>
    </row>
    <row r="6502" spans="2:4" x14ac:dyDescent="0.2">
      <c r="B6502" s="876">
        <v>7913</v>
      </c>
      <c r="C6502" s="876" t="s">
        <v>6944</v>
      </c>
      <c r="D6502" s="851">
        <v>1224.9571530000001</v>
      </c>
    </row>
    <row r="6503" spans="2:4" x14ac:dyDescent="0.2">
      <c r="B6503" s="876">
        <v>7914</v>
      </c>
      <c r="C6503" s="876" t="s">
        <v>6945</v>
      </c>
      <c r="D6503" s="851">
        <v>1295.6428659999999</v>
      </c>
    </row>
    <row r="6504" spans="2:4" x14ac:dyDescent="0.2">
      <c r="B6504" s="876">
        <v>7915</v>
      </c>
      <c r="C6504" s="876" t="s">
        <v>6946</v>
      </c>
      <c r="D6504" s="851">
        <v>1255.600003</v>
      </c>
    </row>
    <row r="6505" spans="2:4" x14ac:dyDescent="0.2">
      <c r="B6505" s="876">
        <v>7916</v>
      </c>
      <c r="C6505" s="876" t="s">
        <v>6947</v>
      </c>
      <c r="D6505" s="851">
        <v>1537.1742919999999</v>
      </c>
    </row>
    <row r="6506" spans="2:4" x14ac:dyDescent="0.2">
      <c r="B6506" s="876">
        <v>7917</v>
      </c>
      <c r="C6506" s="876" t="s">
        <v>6948</v>
      </c>
      <c r="D6506" s="851">
        <v>1624.2847449999999</v>
      </c>
    </row>
    <row r="6507" spans="2:4" x14ac:dyDescent="0.2">
      <c r="B6507" s="876">
        <v>7918</v>
      </c>
      <c r="C6507" s="876" t="s">
        <v>6949</v>
      </c>
      <c r="D6507" s="851">
        <v>1610.0095229999999</v>
      </c>
    </row>
    <row r="6508" spans="2:4" x14ac:dyDescent="0.2">
      <c r="B6508" s="876">
        <v>7919</v>
      </c>
      <c r="C6508" s="876" t="s">
        <v>6950</v>
      </c>
      <c r="D6508" s="851">
        <v>1287.5</v>
      </c>
    </row>
    <row r="6509" spans="2:4" x14ac:dyDescent="0.2">
      <c r="B6509" s="876">
        <v>7920</v>
      </c>
      <c r="C6509" s="876" t="s">
        <v>6951</v>
      </c>
      <c r="D6509" s="851">
        <v>952.94998199999998</v>
      </c>
    </row>
    <row r="6510" spans="2:4" x14ac:dyDescent="0.2">
      <c r="B6510" s="876">
        <v>7921</v>
      </c>
      <c r="C6510" s="876" t="s">
        <v>6952</v>
      </c>
      <c r="D6510" s="851">
        <v>1158.200012</v>
      </c>
    </row>
    <row r="6511" spans="2:4" x14ac:dyDescent="0.2">
      <c r="B6511" s="876">
        <v>7931</v>
      </c>
      <c r="C6511" s="876" t="s">
        <v>6953</v>
      </c>
      <c r="D6511" s="851">
        <v>1086</v>
      </c>
    </row>
    <row r="6512" spans="2:4" x14ac:dyDescent="0.2">
      <c r="B6512" s="876">
        <v>7932</v>
      </c>
      <c r="C6512" s="876" t="s">
        <v>6954</v>
      </c>
      <c r="D6512" s="851">
        <v>1146.6499630000001</v>
      </c>
    </row>
    <row r="6513" spans="2:4" x14ac:dyDescent="0.2">
      <c r="B6513" s="876">
        <v>7933</v>
      </c>
      <c r="C6513" s="876" t="s">
        <v>6955</v>
      </c>
      <c r="D6513" s="851">
        <v>1149.866659</v>
      </c>
    </row>
    <row r="6514" spans="2:4" x14ac:dyDescent="0.2">
      <c r="B6514" s="876">
        <v>7934</v>
      </c>
      <c r="C6514" s="876" t="s">
        <v>6956</v>
      </c>
      <c r="D6514" s="851">
        <v>1192.9250179999999</v>
      </c>
    </row>
    <row r="6515" spans="2:4" x14ac:dyDescent="0.2">
      <c r="B6515" s="876">
        <v>7935</v>
      </c>
      <c r="C6515" s="876" t="s">
        <v>6957</v>
      </c>
      <c r="D6515" s="851">
        <v>1201.5199950000001</v>
      </c>
    </row>
    <row r="6516" spans="2:4" x14ac:dyDescent="0.2">
      <c r="B6516" s="876">
        <v>7936</v>
      </c>
      <c r="C6516" s="876" t="s">
        <v>6958</v>
      </c>
      <c r="D6516" s="851">
        <v>1285.4499880000001</v>
      </c>
    </row>
    <row r="6517" spans="2:4" x14ac:dyDescent="0.2">
      <c r="B6517" s="876">
        <v>7937</v>
      </c>
      <c r="C6517" s="876" t="s">
        <v>6959</v>
      </c>
      <c r="D6517" s="851">
        <v>1234.174988</v>
      </c>
    </row>
    <row r="6518" spans="2:4" x14ac:dyDescent="0.2">
      <c r="B6518" s="876">
        <v>7938</v>
      </c>
      <c r="C6518" s="876" t="s">
        <v>6960</v>
      </c>
      <c r="D6518" s="851">
        <v>1302.599976</v>
      </c>
    </row>
    <row r="6519" spans="2:4" x14ac:dyDescent="0.2">
      <c r="B6519" s="876">
        <v>7939</v>
      </c>
      <c r="C6519" s="876" t="s">
        <v>6961</v>
      </c>
      <c r="D6519" s="851">
        <v>1351.7571499999999</v>
      </c>
    </row>
    <row r="6520" spans="2:4" x14ac:dyDescent="0.2">
      <c r="B6520" s="876">
        <v>7940</v>
      </c>
      <c r="C6520" s="876" t="s">
        <v>394</v>
      </c>
      <c r="D6520" s="851">
        <v>1291.1999510000001</v>
      </c>
    </row>
    <row r="6521" spans="2:4" x14ac:dyDescent="0.2">
      <c r="B6521" s="876">
        <v>7941</v>
      </c>
      <c r="C6521" s="876" t="s">
        <v>6962</v>
      </c>
      <c r="D6521" s="851">
        <v>1386.088894</v>
      </c>
    </row>
    <row r="6522" spans="2:4" x14ac:dyDescent="0.2">
      <c r="B6522" s="876">
        <v>7942</v>
      </c>
      <c r="C6522" s="876" t="s">
        <v>6963</v>
      </c>
      <c r="D6522" s="851">
        <v>1392.749969</v>
      </c>
    </row>
    <row r="6523" spans="2:4" x14ac:dyDescent="0.2">
      <c r="B6523" s="876">
        <v>7943</v>
      </c>
      <c r="C6523" s="876" t="s">
        <v>6964</v>
      </c>
      <c r="D6523" s="851">
        <v>1418.133341</v>
      </c>
    </row>
    <row r="6524" spans="2:4" x14ac:dyDescent="0.2">
      <c r="B6524" s="876">
        <v>7944</v>
      </c>
      <c r="C6524" s="876" t="s">
        <v>6965</v>
      </c>
      <c r="D6524" s="851">
        <v>1491.3374940000001</v>
      </c>
    </row>
    <row r="6525" spans="2:4" x14ac:dyDescent="0.2">
      <c r="B6525" s="876">
        <v>7945</v>
      </c>
      <c r="C6525" s="876" t="s">
        <v>6966</v>
      </c>
      <c r="D6525" s="851">
        <v>1389.878557</v>
      </c>
    </row>
    <row r="6526" spans="2:4" x14ac:dyDescent="0.2">
      <c r="B6526" s="876">
        <v>7946</v>
      </c>
      <c r="C6526" s="876" t="s">
        <v>6967</v>
      </c>
      <c r="D6526" s="851">
        <v>1466.4052730000001</v>
      </c>
    </row>
    <row r="6527" spans="2:4" x14ac:dyDescent="0.2">
      <c r="B6527" s="876">
        <v>7947</v>
      </c>
      <c r="C6527" s="876" t="s">
        <v>6968</v>
      </c>
      <c r="D6527" s="851">
        <v>1386.9636230000001</v>
      </c>
    </row>
    <row r="6528" spans="2:4" x14ac:dyDescent="0.2">
      <c r="B6528" s="876">
        <v>7948</v>
      </c>
      <c r="C6528" s="876" t="s">
        <v>6969</v>
      </c>
      <c r="D6528" s="851">
        <v>1450.211114</v>
      </c>
    </row>
    <row r="6529" spans="2:4" x14ac:dyDescent="0.2">
      <c r="B6529" s="876">
        <v>7949</v>
      </c>
      <c r="C6529" s="876" t="s">
        <v>6970</v>
      </c>
      <c r="D6529" s="851">
        <v>1560.7909099999999</v>
      </c>
    </row>
    <row r="6530" spans="2:4" x14ac:dyDescent="0.2">
      <c r="B6530" s="876">
        <v>7950</v>
      </c>
      <c r="C6530" s="876" t="s">
        <v>6971</v>
      </c>
      <c r="D6530" s="851">
        <v>1717.9526430000001</v>
      </c>
    </row>
    <row r="6531" spans="2:4" x14ac:dyDescent="0.2">
      <c r="B6531" s="876">
        <v>7951</v>
      </c>
      <c r="C6531" s="876" t="s">
        <v>6972</v>
      </c>
      <c r="D6531" s="851">
        <v>1600.100003</v>
      </c>
    </row>
    <row r="6532" spans="2:4" x14ac:dyDescent="0.2">
      <c r="B6532" s="876">
        <v>7952</v>
      </c>
      <c r="C6532" s="876" t="s">
        <v>6973</v>
      </c>
      <c r="D6532" s="851">
        <v>1683.1999880000001</v>
      </c>
    </row>
    <row r="6533" spans="2:4" x14ac:dyDescent="0.2">
      <c r="B6533" s="876">
        <v>7953</v>
      </c>
      <c r="C6533" s="876" t="s">
        <v>6974</v>
      </c>
      <c r="D6533" s="851">
        <v>1564.1461650000001</v>
      </c>
    </row>
    <row r="6534" spans="2:4" x14ac:dyDescent="0.2">
      <c r="B6534" s="876">
        <v>7954</v>
      </c>
      <c r="C6534" s="876" t="s">
        <v>6975</v>
      </c>
      <c r="D6534" s="851">
        <v>1555.7466879999999</v>
      </c>
    </row>
    <row r="6535" spans="2:4" x14ac:dyDescent="0.2">
      <c r="B6535" s="876">
        <v>7955</v>
      </c>
      <c r="C6535" s="876" t="s">
        <v>6976</v>
      </c>
      <c r="D6535" s="851">
        <v>1591.1889040000001</v>
      </c>
    </row>
    <row r="6536" spans="2:4" x14ac:dyDescent="0.2">
      <c r="B6536" s="876">
        <v>7956</v>
      </c>
      <c r="C6536" s="876" t="s">
        <v>6977</v>
      </c>
      <c r="D6536" s="851">
        <v>1626.371416</v>
      </c>
    </row>
    <row r="6537" spans="2:4" x14ac:dyDescent="0.2">
      <c r="B6537" s="876">
        <v>7957</v>
      </c>
      <c r="C6537" s="876" t="s">
        <v>6978</v>
      </c>
      <c r="D6537" s="851">
        <v>1706.2111</v>
      </c>
    </row>
    <row r="6538" spans="2:4" x14ac:dyDescent="0.2">
      <c r="B6538" s="876">
        <v>7958</v>
      </c>
      <c r="C6538" s="876" t="s">
        <v>6979</v>
      </c>
      <c r="D6538" s="851">
        <v>1741.8249969999999</v>
      </c>
    </row>
    <row r="6539" spans="2:4" x14ac:dyDescent="0.2">
      <c r="B6539" s="876">
        <v>7959</v>
      </c>
      <c r="C6539" s="876" t="s">
        <v>6980</v>
      </c>
      <c r="D6539" s="851">
        <v>1805.4714269999999</v>
      </c>
    </row>
    <row r="6540" spans="2:4" x14ac:dyDescent="0.2">
      <c r="B6540" s="876">
        <v>7960</v>
      </c>
      <c r="C6540" s="876" t="s">
        <v>6981</v>
      </c>
      <c r="D6540" s="851">
        <v>1650.880005</v>
      </c>
    </row>
    <row r="6541" spans="2:4" x14ac:dyDescent="0.2">
      <c r="B6541" s="876">
        <v>7961</v>
      </c>
      <c r="C6541" s="876" t="s">
        <v>6982</v>
      </c>
      <c r="D6541" s="851">
        <v>1657.6000160000001</v>
      </c>
    </row>
    <row r="6542" spans="2:4" x14ac:dyDescent="0.2">
      <c r="B6542" s="876">
        <v>7962</v>
      </c>
      <c r="C6542" s="876" t="s">
        <v>6983</v>
      </c>
      <c r="D6542" s="851">
        <v>1709.735991</v>
      </c>
    </row>
    <row r="6543" spans="2:4" x14ac:dyDescent="0.2">
      <c r="B6543" s="876">
        <v>7963</v>
      </c>
      <c r="C6543" s="876" t="s">
        <v>6984</v>
      </c>
      <c r="D6543" s="851">
        <v>1816.7153880000001</v>
      </c>
    </row>
    <row r="6544" spans="2:4" x14ac:dyDescent="0.2">
      <c r="B6544" s="876">
        <v>7964</v>
      </c>
      <c r="C6544" s="876" t="s">
        <v>6985</v>
      </c>
      <c r="D6544" s="851">
        <v>1892.299996</v>
      </c>
    </row>
    <row r="6545" spans="2:4" x14ac:dyDescent="0.2">
      <c r="B6545" s="876">
        <v>7965</v>
      </c>
      <c r="C6545" s="876" t="s">
        <v>6986</v>
      </c>
      <c r="D6545" s="851">
        <v>2164.3016029999999</v>
      </c>
    </row>
    <row r="6546" spans="2:4" x14ac:dyDescent="0.2">
      <c r="B6546" s="876">
        <v>7966</v>
      </c>
      <c r="C6546" s="876" t="s">
        <v>6987</v>
      </c>
      <c r="D6546" s="851">
        <v>1924.6190529999999</v>
      </c>
    </row>
    <row r="6547" spans="2:4" x14ac:dyDescent="0.2">
      <c r="B6547" s="876">
        <v>7967</v>
      </c>
      <c r="C6547" s="876" t="s">
        <v>6988</v>
      </c>
      <c r="D6547" s="851">
        <v>1896.9576930000001</v>
      </c>
    </row>
    <row r="6548" spans="2:4" x14ac:dyDescent="0.2">
      <c r="B6548" s="876">
        <v>7968</v>
      </c>
      <c r="C6548" s="876" t="s">
        <v>6989</v>
      </c>
      <c r="D6548" s="851">
        <v>1829.9222139999999</v>
      </c>
    </row>
    <row r="6549" spans="2:4" x14ac:dyDescent="0.2">
      <c r="B6549" s="876">
        <v>7969</v>
      </c>
      <c r="C6549" s="876" t="s">
        <v>6990</v>
      </c>
      <c r="D6549" s="851">
        <v>1722.763639</v>
      </c>
    </row>
    <row r="6550" spans="2:4" x14ac:dyDescent="0.2">
      <c r="B6550" s="876">
        <v>7970</v>
      </c>
      <c r="C6550" s="876" t="s">
        <v>6991</v>
      </c>
      <c r="D6550" s="851">
        <v>1591.4666749999999</v>
      </c>
    </row>
    <row r="6551" spans="2:4" x14ac:dyDescent="0.2">
      <c r="B6551" s="876">
        <v>7971</v>
      </c>
      <c r="C6551" s="876" t="s">
        <v>6992</v>
      </c>
      <c r="D6551" s="851">
        <v>1474.619995</v>
      </c>
    </row>
    <row r="6552" spans="2:4" x14ac:dyDescent="0.2">
      <c r="B6552" s="876">
        <v>7972</v>
      </c>
      <c r="C6552" s="876" t="s">
        <v>6993</v>
      </c>
      <c r="D6552" s="851">
        <v>1566.458333</v>
      </c>
    </row>
    <row r="6553" spans="2:4" x14ac:dyDescent="0.2">
      <c r="B6553" s="876">
        <v>7973</v>
      </c>
      <c r="C6553" s="876" t="s">
        <v>6994</v>
      </c>
      <c r="D6553" s="851">
        <v>1823.420832</v>
      </c>
    </row>
    <row r="6554" spans="2:4" x14ac:dyDescent="0.2">
      <c r="B6554" s="876">
        <v>7974</v>
      </c>
      <c r="C6554" s="876" t="s">
        <v>6995</v>
      </c>
      <c r="D6554" s="851">
        <v>2061.2090790000002</v>
      </c>
    </row>
    <row r="6555" spans="2:4" x14ac:dyDescent="0.2">
      <c r="B6555" s="876">
        <v>7975</v>
      </c>
      <c r="C6555" s="876" t="s">
        <v>6996</v>
      </c>
      <c r="D6555" s="851">
        <v>1515.0714370000001</v>
      </c>
    </row>
    <row r="6556" spans="2:4" x14ac:dyDescent="0.2">
      <c r="B6556" s="876">
        <v>7976</v>
      </c>
      <c r="C6556" s="876" t="s">
        <v>6997</v>
      </c>
      <c r="D6556" s="851">
        <v>1527.8000019999999</v>
      </c>
    </row>
    <row r="6557" spans="2:4" x14ac:dyDescent="0.2">
      <c r="B6557" s="876">
        <v>7977</v>
      </c>
      <c r="C6557" s="876" t="s">
        <v>6998</v>
      </c>
      <c r="D6557" s="851">
        <v>1699.176471</v>
      </c>
    </row>
    <row r="6558" spans="2:4" x14ac:dyDescent="0.2">
      <c r="B6558" s="876">
        <v>7978</v>
      </c>
      <c r="C6558" s="876" t="s">
        <v>6999</v>
      </c>
      <c r="D6558" s="851">
        <v>1718.199989</v>
      </c>
    </row>
    <row r="6559" spans="2:4" x14ac:dyDescent="0.2">
      <c r="B6559" s="876">
        <v>7979</v>
      </c>
      <c r="C6559" s="876" t="s">
        <v>7000</v>
      </c>
      <c r="D6559" s="851">
        <v>1867.5571460000001</v>
      </c>
    </row>
    <row r="6560" spans="2:4" x14ac:dyDescent="0.2">
      <c r="B6560" s="876">
        <v>7980</v>
      </c>
      <c r="C6560" s="876" t="s">
        <v>7001</v>
      </c>
      <c r="D6560" s="851">
        <v>2070.2795489999999</v>
      </c>
    </row>
    <row r="6561" spans="2:4" x14ac:dyDescent="0.2">
      <c r="B6561" s="876">
        <v>7981</v>
      </c>
      <c r="C6561" s="876" t="s">
        <v>7002</v>
      </c>
      <c r="D6561" s="851">
        <v>1685.7709689999999</v>
      </c>
    </row>
    <row r="6562" spans="2:4" x14ac:dyDescent="0.2">
      <c r="B6562" s="876">
        <v>7982</v>
      </c>
      <c r="C6562" s="876" t="s">
        <v>7003</v>
      </c>
      <c r="D6562" s="851">
        <v>1678.4615200000001</v>
      </c>
    </row>
    <row r="6563" spans="2:4" x14ac:dyDescent="0.2">
      <c r="B6563" s="876">
        <v>7983</v>
      </c>
      <c r="C6563" s="876" t="s">
        <v>7004</v>
      </c>
      <c r="D6563" s="851">
        <v>1708.7199949999999</v>
      </c>
    </row>
    <row r="6564" spans="2:4" x14ac:dyDescent="0.2">
      <c r="B6564" s="876">
        <v>7984</v>
      </c>
      <c r="C6564" s="876" t="s">
        <v>7005</v>
      </c>
      <c r="D6564" s="851">
        <v>1927.1380959999999</v>
      </c>
    </row>
    <row r="6565" spans="2:4" x14ac:dyDescent="0.2">
      <c r="B6565" s="876">
        <v>7985</v>
      </c>
      <c r="C6565" s="876" t="s">
        <v>7006</v>
      </c>
      <c r="D6565" s="851">
        <v>2290.4523749999998</v>
      </c>
    </row>
    <row r="6566" spans="2:4" x14ac:dyDescent="0.2">
      <c r="B6566" s="876">
        <v>7986</v>
      </c>
      <c r="C6566" s="876" t="s">
        <v>7007</v>
      </c>
      <c r="D6566" s="851">
        <v>2104.745809</v>
      </c>
    </row>
    <row r="6567" spans="2:4" x14ac:dyDescent="0.2">
      <c r="B6567" s="876">
        <v>7987</v>
      </c>
      <c r="C6567" s="876" t="s">
        <v>7008</v>
      </c>
      <c r="D6567" s="851">
        <v>1512.4900270000001</v>
      </c>
    </row>
    <row r="6568" spans="2:4" x14ac:dyDescent="0.2">
      <c r="B6568" s="876">
        <v>7988</v>
      </c>
      <c r="C6568" s="876" t="s">
        <v>7009</v>
      </c>
      <c r="D6568" s="851">
        <v>1940.357143</v>
      </c>
    </row>
    <row r="6569" spans="2:4" x14ac:dyDescent="0.2">
      <c r="B6569" s="876">
        <v>7989</v>
      </c>
      <c r="C6569" s="876" t="s">
        <v>7010</v>
      </c>
      <c r="D6569" s="851">
        <v>2280.0069749999998</v>
      </c>
    </row>
    <row r="6570" spans="2:4" x14ac:dyDescent="0.2">
      <c r="B6570" s="876">
        <v>7990</v>
      </c>
      <c r="C6570" s="876" t="s">
        <v>7011</v>
      </c>
      <c r="D6570" s="851">
        <v>2161.8018269999998</v>
      </c>
    </row>
    <row r="6571" spans="2:4" x14ac:dyDescent="0.2">
      <c r="B6571" s="876">
        <v>7991</v>
      </c>
      <c r="C6571" s="876" t="s">
        <v>7012</v>
      </c>
      <c r="D6571" s="851">
        <v>2118.953485</v>
      </c>
    </row>
    <row r="6572" spans="2:4" x14ac:dyDescent="0.2">
      <c r="B6572" s="876">
        <v>7992</v>
      </c>
      <c r="C6572" s="876" t="s">
        <v>7013</v>
      </c>
      <c r="D6572" s="851">
        <v>1735.2166749999999</v>
      </c>
    </row>
    <row r="6573" spans="2:4" x14ac:dyDescent="0.2">
      <c r="B6573" s="876">
        <v>7993</v>
      </c>
      <c r="C6573" s="876" t="s">
        <v>7014</v>
      </c>
      <c r="D6573" s="851">
        <v>1648.233358</v>
      </c>
    </row>
    <row r="6574" spans="2:4" x14ac:dyDescent="0.2">
      <c r="B6574" s="876">
        <v>8001</v>
      </c>
      <c r="C6574" s="876" t="s">
        <v>7015</v>
      </c>
      <c r="D6574" s="851">
        <v>684.19999700000005</v>
      </c>
    </row>
    <row r="6575" spans="2:4" x14ac:dyDescent="0.2">
      <c r="B6575" s="876">
        <v>8002</v>
      </c>
      <c r="C6575" s="876" t="s">
        <v>4805</v>
      </c>
      <c r="D6575" s="851">
        <v>640.49166400000001</v>
      </c>
    </row>
    <row r="6576" spans="2:4" x14ac:dyDescent="0.2">
      <c r="B6576" s="876">
        <v>8003</v>
      </c>
      <c r="C6576" s="876" t="s">
        <v>3990</v>
      </c>
      <c r="D6576" s="851">
        <v>652.16666699999996</v>
      </c>
    </row>
    <row r="6577" spans="2:4" x14ac:dyDescent="0.2">
      <c r="B6577" s="876">
        <v>8004</v>
      </c>
      <c r="C6577" s="876" t="s">
        <v>7016</v>
      </c>
      <c r="D6577" s="851">
        <v>634.81999499999995</v>
      </c>
    </row>
    <row r="6578" spans="2:4" x14ac:dyDescent="0.2">
      <c r="B6578" s="876">
        <v>8005</v>
      </c>
      <c r="C6578" s="876" t="s">
        <v>7017</v>
      </c>
      <c r="D6578" s="851">
        <v>652.30000299999995</v>
      </c>
    </row>
    <row r="6579" spans="2:4" x14ac:dyDescent="0.2">
      <c r="B6579" s="876">
        <v>8006</v>
      </c>
      <c r="C6579" s="876" t="s">
        <v>7018</v>
      </c>
      <c r="D6579" s="851">
        <v>643.38332600000001</v>
      </c>
    </row>
    <row r="6580" spans="2:4" x14ac:dyDescent="0.2">
      <c r="B6580" s="876">
        <v>8007</v>
      </c>
      <c r="C6580" s="876" t="s">
        <v>7019</v>
      </c>
      <c r="D6580" s="851">
        <v>673.42857100000003</v>
      </c>
    </row>
    <row r="6581" spans="2:4" x14ac:dyDescent="0.2">
      <c r="B6581" s="876">
        <v>8008</v>
      </c>
      <c r="C6581" s="876" t="s">
        <v>7020</v>
      </c>
      <c r="D6581" s="851">
        <v>690.28000499999996</v>
      </c>
    </row>
    <row r="6582" spans="2:4" x14ac:dyDescent="0.2">
      <c r="B6582" s="876">
        <v>8009</v>
      </c>
      <c r="C6582" s="876" t="s">
        <v>3008</v>
      </c>
      <c r="D6582" s="851">
        <v>655.58334400000001</v>
      </c>
    </row>
    <row r="6583" spans="2:4" x14ac:dyDescent="0.2">
      <c r="B6583" s="876">
        <v>8010</v>
      </c>
      <c r="C6583" s="876" t="s">
        <v>7021</v>
      </c>
      <c r="D6583" s="851">
        <v>631.43332899999996</v>
      </c>
    </row>
    <row r="6584" spans="2:4" x14ac:dyDescent="0.2">
      <c r="B6584" s="876">
        <v>8011</v>
      </c>
      <c r="C6584" s="876" t="s">
        <v>7022</v>
      </c>
      <c r="D6584" s="851">
        <v>653.75</v>
      </c>
    </row>
    <row r="6585" spans="2:4" x14ac:dyDescent="0.2">
      <c r="B6585" s="876">
        <v>8012</v>
      </c>
      <c r="C6585" s="876" t="s">
        <v>5604</v>
      </c>
      <c r="D6585" s="851">
        <v>658.65999799999997</v>
      </c>
    </row>
    <row r="6586" spans="2:4" x14ac:dyDescent="0.2">
      <c r="B6586" s="876">
        <v>8013</v>
      </c>
      <c r="C6586" s="876" t="s">
        <v>7023</v>
      </c>
      <c r="D6586" s="851">
        <v>667.97999900000002</v>
      </c>
    </row>
    <row r="6587" spans="2:4" x14ac:dyDescent="0.2">
      <c r="B6587" s="876">
        <v>8014</v>
      </c>
      <c r="C6587" s="876" t="s">
        <v>7024</v>
      </c>
      <c r="D6587" s="851">
        <v>654.54999799999996</v>
      </c>
    </row>
    <row r="6588" spans="2:4" x14ac:dyDescent="0.2">
      <c r="B6588" s="876">
        <v>8015</v>
      </c>
      <c r="C6588" s="876" t="s">
        <v>7025</v>
      </c>
      <c r="D6588" s="851">
        <v>658.98749499999997</v>
      </c>
    </row>
    <row r="6589" spans="2:4" x14ac:dyDescent="0.2">
      <c r="B6589" s="876">
        <v>8016</v>
      </c>
      <c r="C6589" s="876" t="s">
        <v>7026</v>
      </c>
      <c r="D6589" s="851">
        <v>690.24999000000003</v>
      </c>
    </row>
    <row r="6590" spans="2:4" x14ac:dyDescent="0.2">
      <c r="B6590" s="876">
        <v>8017</v>
      </c>
      <c r="C6590" s="876" t="s">
        <v>7027</v>
      </c>
      <c r="D6590" s="851">
        <v>654.65000899999995</v>
      </c>
    </row>
    <row r="6591" spans="2:4" x14ac:dyDescent="0.2">
      <c r="B6591" s="876">
        <v>8018</v>
      </c>
      <c r="C6591" s="876" t="s">
        <v>7028</v>
      </c>
      <c r="D6591" s="851">
        <v>681.90000399999997</v>
      </c>
    </row>
    <row r="6592" spans="2:4" x14ac:dyDescent="0.2">
      <c r="B6592" s="876">
        <v>8020</v>
      </c>
      <c r="C6592" s="876" t="s">
        <v>7029</v>
      </c>
      <c r="D6592" s="851">
        <v>639.43572600000005</v>
      </c>
    </row>
    <row r="6593" spans="2:4" x14ac:dyDescent="0.2">
      <c r="B6593" s="876">
        <v>8021</v>
      </c>
      <c r="C6593" s="876" t="s">
        <v>7030</v>
      </c>
      <c r="D6593" s="851">
        <v>650.13529300000005</v>
      </c>
    </row>
    <row r="6594" spans="2:4" x14ac:dyDescent="0.2">
      <c r="B6594" s="876">
        <v>8022</v>
      </c>
      <c r="C6594" s="876" t="s">
        <v>7031</v>
      </c>
      <c r="D6594" s="851">
        <v>650.5625</v>
      </c>
    </row>
    <row r="6595" spans="2:4" x14ac:dyDescent="0.2">
      <c r="B6595" s="876">
        <v>8023</v>
      </c>
      <c r="C6595" s="876" t="s">
        <v>7032</v>
      </c>
      <c r="D6595" s="851">
        <v>652.70001200000002</v>
      </c>
    </row>
    <row r="6596" spans="2:4" x14ac:dyDescent="0.2">
      <c r="B6596" s="876">
        <v>8024</v>
      </c>
      <c r="C6596" s="876" t="s">
        <v>7033</v>
      </c>
      <c r="D6596" s="851">
        <v>621.52501400000006</v>
      </c>
    </row>
    <row r="6597" spans="2:4" x14ac:dyDescent="0.2">
      <c r="B6597" s="876">
        <v>8025</v>
      </c>
      <c r="C6597" s="876" t="s">
        <v>7034</v>
      </c>
      <c r="D6597" s="851">
        <v>643.97499100000005</v>
      </c>
    </row>
    <row r="6598" spans="2:4" x14ac:dyDescent="0.2">
      <c r="B6598" s="876">
        <v>8026</v>
      </c>
      <c r="C6598" s="876" t="s">
        <v>7035</v>
      </c>
      <c r="D6598" s="851">
        <v>614.04286400000001</v>
      </c>
    </row>
    <row r="6599" spans="2:4" x14ac:dyDescent="0.2">
      <c r="B6599" s="876">
        <v>8027</v>
      </c>
      <c r="C6599" s="876" t="s">
        <v>4689</v>
      </c>
      <c r="D6599" s="851">
        <v>636.48334799999998</v>
      </c>
    </row>
    <row r="6600" spans="2:4" x14ac:dyDescent="0.2">
      <c r="B6600" s="876">
        <v>8028</v>
      </c>
      <c r="C6600" s="876" t="s">
        <v>7036</v>
      </c>
      <c r="D6600" s="851">
        <v>605.10416699999996</v>
      </c>
    </row>
    <row r="6601" spans="2:4" x14ac:dyDescent="0.2">
      <c r="B6601" s="876">
        <v>8029</v>
      </c>
      <c r="C6601" s="876" t="s">
        <v>7037</v>
      </c>
      <c r="D6601" s="851">
        <v>683.82500500000003</v>
      </c>
    </row>
    <row r="6602" spans="2:4" x14ac:dyDescent="0.2">
      <c r="B6602" s="876">
        <v>8030</v>
      </c>
      <c r="C6602" s="876" t="s">
        <v>7038</v>
      </c>
      <c r="D6602" s="851">
        <v>657.723074</v>
      </c>
    </row>
    <row r="6603" spans="2:4" x14ac:dyDescent="0.2">
      <c r="B6603" s="876">
        <v>8031</v>
      </c>
      <c r="C6603" s="876" t="s">
        <v>7039</v>
      </c>
      <c r="D6603" s="851">
        <v>636.80571799999996</v>
      </c>
    </row>
    <row r="6604" spans="2:4" x14ac:dyDescent="0.2">
      <c r="B6604" s="876">
        <v>8032</v>
      </c>
      <c r="C6604" s="876" t="s">
        <v>7040</v>
      </c>
      <c r="D6604" s="851">
        <v>679.52500899999995</v>
      </c>
    </row>
    <row r="6605" spans="2:4" x14ac:dyDescent="0.2">
      <c r="B6605" s="876">
        <v>8033</v>
      </c>
      <c r="C6605" s="876" t="s">
        <v>7041</v>
      </c>
      <c r="D6605" s="851">
        <v>683</v>
      </c>
    </row>
    <row r="6606" spans="2:4" x14ac:dyDescent="0.2">
      <c r="B6606" s="876">
        <v>8034</v>
      </c>
      <c r="C6606" s="876" t="s">
        <v>7042</v>
      </c>
      <c r="D6606" s="851">
        <v>690.65000399999997</v>
      </c>
    </row>
    <row r="6607" spans="2:4" x14ac:dyDescent="0.2">
      <c r="B6607" s="876">
        <v>8035</v>
      </c>
      <c r="C6607" s="876" t="s">
        <v>7043</v>
      </c>
      <c r="D6607" s="851">
        <v>680.5</v>
      </c>
    </row>
    <row r="6608" spans="2:4" x14ac:dyDescent="0.2">
      <c r="B6608" s="876">
        <v>8036</v>
      </c>
      <c r="C6608" s="876" t="s">
        <v>7044</v>
      </c>
      <c r="D6608" s="851">
        <v>681.66666699999996</v>
      </c>
    </row>
    <row r="6609" spans="2:4" x14ac:dyDescent="0.2">
      <c r="B6609" s="876">
        <v>8037</v>
      </c>
      <c r="C6609" s="876" t="s">
        <v>7045</v>
      </c>
      <c r="D6609" s="851">
        <v>678.82499700000005</v>
      </c>
    </row>
    <row r="6610" spans="2:4" x14ac:dyDescent="0.2">
      <c r="B6610" s="876">
        <v>8038</v>
      </c>
      <c r="C6610" s="876" t="s">
        <v>7046</v>
      </c>
      <c r="D6610" s="851">
        <v>657.33332299999995</v>
      </c>
    </row>
    <row r="6611" spans="2:4" x14ac:dyDescent="0.2">
      <c r="B6611" s="876">
        <v>8039</v>
      </c>
      <c r="C6611" s="876" t="s">
        <v>7047</v>
      </c>
      <c r="D6611" s="851">
        <v>665.75556099999994</v>
      </c>
    </row>
    <row r="6612" spans="2:4" x14ac:dyDescent="0.2">
      <c r="B6612" s="876">
        <v>8040</v>
      </c>
      <c r="C6612" s="876" t="s">
        <v>7048</v>
      </c>
      <c r="D6612" s="851">
        <v>676.15555800000004</v>
      </c>
    </row>
    <row r="6613" spans="2:4" x14ac:dyDescent="0.2">
      <c r="B6613" s="876">
        <v>8041</v>
      </c>
      <c r="C6613" s="876" t="s">
        <v>352</v>
      </c>
      <c r="D6613" s="851">
        <v>670.21666500000003</v>
      </c>
    </row>
    <row r="6614" spans="2:4" x14ac:dyDescent="0.2">
      <c r="B6614" s="876">
        <v>8042</v>
      </c>
      <c r="C6614" s="876" t="s">
        <v>5692</v>
      </c>
      <c r="D6614" s="851">
        <v>664.97999300000004</v>
      </c>
    </row>
    <row r="6615" spans="2:4" x14ac:dyDescent="0.2">
      <c r="B6615" s="876">
        <v>8043</v>
      </c>
      <c r="C6615" s="876" t="s">
        <v>7049</v>
      </c>
      <c r="D6615" s="851">
        <v>645.46153800000002</v>
      </c>
    </row>
    <row r="6616" spans="2:4" x14ac:dyDescent="0.2">
      <c r="B6616" s="876">
        <v>8044</v>
      </c>
      <c r="C6616" s="876" t="s">
        <v>7050</v>
      </c>
      <c r="D6616" s="851">
        <v>648.24284999999998</v>
      </c>
    </row>
    <row r="6617" spans="2:4" x14ac:dyDescent="0.2">
      <c r="B6617" s="876">
        <v>8045</v>
      </c>
      <c r="C6617" s="876" t="s">
        <v>7051</v>
      </c>
      <c r="D6617" s="851">
        <v>641.53332499999999</v>
      </c>
    </row>
    <row r="6618" spans="2:4" x14ac:dyDescent="0.2">
      <c r="B6618" s="876">
        <v>8046</v>
      </c>
      <c r="C6618" s="876" t="s">
        <v>7052</v>
      </c>
      <c r="D6618" s="851">
        <v>660.28333499999997</v>
      </c>
    </row>
    <row r="6619" spans="2:4" x14ac:dyDescent="0.2">
      <c r="B6619" s="876">
        <v>8047</v>
      </c>
      <c r="C6619" s="876" t="s">
        <v>5075</v>
      </c>
      <c r="D6619" s="851">
        <v>635.45999800000004</v>
      </c>
    </row>
    <row r="6620" spans="2:4" x14ac:dyDescent="0.2">
      <c r="B6620" s="876">
        <v>8048</v>
      </c>
      <c r="C6620" s="876" t="s">
        <v>7053</v>
      </c>
      <c r="D6620" s="851">
        <v>625.19629799999996</v>
      </c>
    </row>
    <row r="6621" spans="2:4" x14ac:dyDescent="0.2">
      <c r="B6621" s="876">
        <v>8049</v>
      </c>
      <c r="C6621" s="876" t="s">
        <v>6270</v>
      </c>
      <c r="D6621" s="851">
        <v>601.80000800000005</v>
      </c>
    </row>
    <row r="6622" spans="2:4" x14ac:dyDescent="0.2">
      <c r="B6622" s="876">
        <v>8050</v>
      </c>
      <c r="C6622" s="876" t="s">
        <v>7054</v>
      </c>
      <c r="D6622" s="851">
        <v>614.08000500000003</v>
      </c>
    </row>
    <row r="6623" spans="2:4" x14ac:dyDescent="0.2">
      <c r="B6623" s="876">
        <v>8051</v>
      </c>
      <c r="C6623" s="876" t="s">
        <v>4706</v>
      </c>
      <c r="D6623" s="851">
        <v>614.14999399999999</v>
      </c>
    </row>
    <row r="6624" spans="2:4" x14ac:dyDescent="0.2">
      <c r="B6624" s="876">
        <v>8052</v>
      </c>
      <c r="C6624" s="876" t="s">
        <v>7055</v>
      </c>
      <c r="D6624" s="851">
        <v>629.15000199999997</v>
      </c>
    </row>
    <row r="6625" spans="2:4" x14ac:dyDescent="0.2">
      <c r="B6625" s="876">
        <v>8053</v>
      </c>
      <c r="C6625" s="876" t="s">
        <v>1691</v>
      </c>
      <c r="D6625" s="851">
        <v>617.5</v>
      </c>
    </row>
    <row r="6626" spans="2:4" x14ac:dyDescent="0.2">
      <c r="B6626" s="876">
        <v>8054</v>
      </c>
      <c r="C6626" s="876" t="s">
        <v>7056</v>
      </c>
      <c r="D6626" s="851">
        <v>608.14999399999999</v>
      </c>
    </row>
    <row r="6627" spans="2:4" x14ac:dyDescent="0.2">
      <c r="B6627" s="876">
        <v>8055</v>
      </c>
      <c r="C6627" s="876" t="s">
        <v>7057</v>
      </c>
      <c r="D6627" s="851">
        <v>621.06000200000005</v>
      </c>
    </row>
    <row r="6628" spans="2:4" x14ac:dyDescent="0.2">
      <c r="B6628" s="876">
        <v>8056</v>
      </c>
      <c r="C6628" s="876" t="s">
        <v>302</v>
      </c>
      <c r="D6628" s="851">
        <v>630.74750400000005</v>
      </c>
    </row>
    <row r="6629" spans="2:4" x14ac:dyDescent="0.2">
      <c r="B6629" s="876">
        <v>8057</v>
      </c>
      <c r="C6629" s="876" t="s">
        <v>7058</v>
      </c>
      <c r="D6629" s="851">
        <v>626.88570700000002</v>
      </c>
    </row>
    <row r="6630" spans="2:4" x14ac:dyDescent="0.2">
      <c r="B6630" s="876">
        <v>8058</v>
      </c>
      <c r="C6630" s="876" t="s">
        <v>7059</v>
      </c>
      <c r="D6630" s="851">
        <v>635.125</v>
      </c>
    </row>
    <row r="6631" spans="2:4" x14ac:dyDescent="0.2">
      <c r="B6631" s="876">
        <v>8059</v>
      </c>
      <c r="C6631" s="876" t="s">
        <v>6211</v>
      </c>
      <c r="D6631" s="851">
        <v>639.19999700000005</v>
      </c>
    </row>
    <row r="6632" spans="2:4" x14ac:dyDescent="0.2">
      <c r="B6632" s="876">
        <v>8060</v>
      </c>
      <c r="C6632" s="876" t="s">
        <v>7060</v>
      </c>
      <c r="D6632" s="851">
        <v>635.56664999999998</v>
      </c>
    </row>
    <row r="6633" spans="2:4" x14ac:dyDescent="0.2">
      <c r="B6633" s="876">
        <v>8061</v>
      </c>
      <c r="C6633" s="876" t="s">
        <v>7061</v>
      </c>
      <c r="D6633" s="851">
        <v>639.62500799999998</v>
      </c>
    </row>
    <row r="6634" spans="2:4" x14ac:dyDescent="0.2">
      <c r="B6634" s="876">
        <v>8062</v>
      </c>
      <c r="C6634" s="876" t="s">
        <v>7015</v>
      </c>
      <c r="D6634" s="851">
        <v>643.45000200000004</v>
      </c>
    </row>
    <row r="6635" spans="2:4" x14ac:dyDescent="0.2">
      <c r="B6635" s="876">
        <v>8063</v>
      </c>
      <c r="C6635" s="876" t="s">
        <v>7062</v>
      </c>
      <c r="D6635" s="851">
        <v>635.46250199999997</v>
      </c>
    </row>
    <row r="6636" spans="2:4" x14ac:dyDescent="0.2">
      <c r="B6636" s="876">
        <v>8064</v>
      </c>
      <c r="C6636" s="876" t="s">
        <v>7063</v>
      </c>
      <c r="D6636" s="851">
        <v>638.19999700000005</v>
      </c>
    </row>
    <row r="6637" spans="2:4" x14ac:dyDescent="0.2">
      <c r="B6637" s="876">
        <v>8065</v>
      </c>
      <c r="C6637" s="876" t="s">
        <v>7064</v>
      </c>
      <c r="D6637" s="851">
        <v>635.75</v>
      </c>
    </row>
    <row r="6638" spans="2:4" x14ac:dyDescent="0.2">
      <c r="B6638" s="876">
        <v>8066</v>
      </c>
      <c r="C6638" s="876" t="s">
        <v>6599</v>
      </c>
      <c r="D6638" s="851">
        <v>640.09999600000003</v>
      </c>
    </row>
    <row r="6639" spans="2:4" x14ac:dyDescent="0.2">
      <c r="B6639" s="876">
        <v>8067</v>
      </c>
      <c r="C6639" s="876" t="s">
        <v>7065</v>
      </c>
      <c r="D6639" s="851">
        <v>642.11177299999997</v>
      </c>
    </row>
    <row r="6640" spans="2:4" x14ac:dyDescent="0.2">
      <c r="B6640" s="876">
        <v>8068</v>
      </c>
      <c r="C6640" s="876" t="s">
        <v>1386</v>
      </c>
      <c r="D6640" s="851">
        <v>642.64444300000002</v>
      </c>
    </row>
    <row r="6641" spans="2:4" x14ac:dyDescent="0.2">
      <c r="B6641" s="876">
        <v>8069</v>
      </c>
      <c r="C6641" s="876" t="s">
        <v>7066</v>
      </c>
      <c r="D6641" s="851">
        <v>649.89998800000001</v>
      </c>
    </row>
    <row r="6642" spans="2:4" x14ac:dyDescent="0.2">
      <c r="B6642" s="876">
        <v>8070</v>
      </c>
      <c r="C6642" s="876" t="s">
        <v>7067</v>
      </c>
      <c r="D6642" s="851">
        <v>722.14285700000005</v>
      </c>
    </row>
    <row r="6643" spans="2:4" x14ac:dyDescent="0.2">
      <c r="B6643" s="876">
        <v>8071</v>
      </c>
      <c r="C6643" s="876" t="s">
        <v>4067</v>
      </c>
      <c r="D6643" s="851">
        <v>657.32306800000003</v>
      </c>
    </row>
    <row r="6644" spans="2:4" x14ac:dyDescent="0.2">
      <c r="B6644" s="876">
        <v>8072</v>
      </c>
      <c r="C6644" s="876" t="s">
        <v>6220</v>
      </c>
      <c r="D6644" s="851">
        <v>690.69998799999996</v>
      </c>
    </row>
    <row r="6645" spans="2:4" x14ac:dyDescent="0.2">
      <c r="B6645" s="876">
        <v>8073</v>
      </c>
      <c r="C6645" s="876" t="s">
        <v>7068</v>
      </c>
      <c r="D6645" s="851">
        <v>707.47500600000001</v>
      </c>
    </row>
    <row r="6646" spans="2:4" x14ac:dyDescent="0.2">
      <c r="B6646" s="876">
        <v>8074</v>
      </c>
      <c r="C6646" s="876" t="s">
        <v>7069</v>
      </c>
      <c r="D6646" s="851">
        <v>653.48333700000001</v>
      </c>
    </row>
    <row r="6647" spans="2:4" x14ac:dyDescent="0.2">
      <c r="B6647" s="876">
        <v>8075</v>
      </c>
      <c r="C6647" s="876" t="s">
        <v>7070</v>
      </c>
      <c r="D6647" s="851">
        <v>650.10526000000004</v>
      </c>
    </row>
    <row r="6648" spans="2:4" x14ac:dyDescent="0.2">
      <c r="B6648" s="876">
        <v>8076</v>
      </c>
      <c r="C6648" s="876" t="s">
        <v>7071</v>
      </c>
      <c r="D6648" s="851">
        <v>636.90002400000003</v>
      </c>
    </row>
    <row r="6649" spans="2:4" x14ac:dyDescent="0.2">
      <c r="B6649" s="876">
        <v>8077</v>
      </c>
      <c r="C6649" s="876" t="s">
        <v>5373</v>
      </c>
      <c r="D6649" s="851">
        <v>663.22499100000005</v>
      </c>
    </row>
    <row r="6650" spans="2:4" x14ac:dyDescent="0.2">
      <c r="B6650" s="876">
        <v>8078</v>
      </c>
      <c r="C6650" s="876" t="s">
        <v>1843</v>
      </c>
      <c r="D6650" s="851">
        <v>641.47777599999995</v>
      </c>
    </row>
    <row r="6651" spans="2:4" x14ac:dyDescent="0.2">
      <c r="B6651" s="876">
        <v>8079</v>
      </c>
      <c r="C6651" s="876" t="s">
        <v>2646</v>
      </c>
      <c r="D6651" s="851">
        <v>636.73999600000002</v>
      </c>
    </row>
    <row r="6652" spans="2:4" x14ac:dyDescent="0.2">
      <c r="B6652" s="876">
        <v>8080</v>
      </c>
      <c r="C6652" s="876" t="s">
        <v>7072</v>
      </c>
      <c r="D6652" s="851">
        <v>672.08749399999999</v>
      </c>
    </row>
    <row r="6653" spans="2:4" x14ac:dyDescent="0.2">
      <c r="B6653" s="876">
        <v>8081</v>
      </c>
      <c r="C6653" s="876" t="s">
        <v>6163</v>
      </c>
      <c r="D6653" s="851">
        <v>640.616669</v>
      </c>
    </row>
    <row r="6654" spans="2:4" x14ac:dyDescent="0.2">
      <c r="B6654" s="876">
        <v>8082</v>
      </c>
      <c r="C6654" s="876" t="s">
        <v>7073</v>
      </c>
      <c r="D6654" s="851">
        <v>640.40666899999997</v>
      </c>
    </row>
    <row r="6655" spans="2:4" x14ac:dyDescent="0.2">
      <c r="B6655" s="876">
        <v>8083</v>
      </c>
      <c r="C6655" s="876" t="s">
        <v>3659</v>
      </c>
      <c r="D6655" s="851">
        <v>650.68888300000003</v>
      </c>
    </row>
    <row r="6656" spans="2:4" x14ac:dyDescent="0.2">
      <c r="B6656" s="876">
        <v>8084</v>
      </c>
      <c r="C6656" s="876" t="s">
        <v>7074</v>
      </c>
      <c r="D6656" s="851">
        <v>670.25714100000005</v>
      </c>
    </row>
    <row r="6657" spans="2:4" x14ac:dyDescent="0.2">
      <c r="B6657" s="876">
        <v>8085</v>
      </c>
      <c r="C6657" s="876" t="s">
        <v>5733</v>
      </c>
      <c r="D6657" s="851">
        <v>693.04614700000002</v>
      </c>
    </row>
    <row r="6658" spans="2:4" x14ac:dyDescent="0.2">
      <c r="B6658" s="876">
        <v>8086</v>
      </c>
      <c r="C6658" s="876" t="s">
        <v>7075</v>
      </c>
      <c r="D6658" s="851">
        <v>680.60000300000002</v>
      </c>
    </row>
    <row r="6659" spans="2:4" x14ac:dyDescent="0.2">
      <c r="B6659" s="876">
        <v>8087</v>
      </c>
      <c r="C6659" s="876" t="s">
        <v>7076</v>
      </c>
      <c r="D6659" s="851">
        <v>651.05001800000002</v>
      </c>
    </row>
    <row r="6660" spans="2:4" x14ac:dyDescent="0.2">
      <c r="B6660" s="876">
        <v>8088</v>
      </c>
      <c r="C6660" s="876" t="s">
        <v>7077</v>
      </c>
      <c r="D6660" s="851">
        <v>644.54998799999998</v>
      </c>
    </row>
    <row r="6661" spans="2:4" x14ac:dyDescent="0.2">
      <c r="B6661" s="876">
        <v>8089</v>
      </c>
      <c r="C6661" s="876" t="s">
        <v>7078</v>
      </c>
      <c r="D6661" s="851">
        <v>651.07000700000003</v>
      </c>
    </row>
    <row r="6662" spans="2:4" x14ac:dyDescent="0.2">
      <c r="B6662" s="876">
        <v>8090</v>
      </c>
      <c r="C6662" s="876" t="s">
        <v>7079</v>
      </c>
      <c r="D6662" s="851">
        <v>701</v>
      </c>
    </row>
    <row r="6663" spans="2:4" x14ac:dyDescent="0.2">
      <c r="B6663" s="876">
        <v>8091</v>
      </c>
      <c r="C6663" s="876" t="s">
        <v>7080</v>
      </c>
      <c r="D6663" s="851">
        <v>638.88750500000003</v>
      </c>
    </row>
    <row r="6664" spans="2:4" x14ac:dyDescent="0.2">
      <c r="B6664" s="876">
        <v>8092</v>
      </c>
      <c r="C6664" s="876" t="s">
        <v>7081</v>
      </c>
      <c r="D6664" s="851">
        <v>628.45333700000003</v>
      </c>
    </row>
    <row r="6665" spans="2:4" x14ac:dyDescent="0.2">
      <c r="B6665" s="876">
        <v>8093</v>
      </c>
      <c r="C6665" s="876" t="s">
        <v>7082</v>
      </c>
      <c r="D6665" s="851">
        <v>649.18333900000005</v>
      </c>
    </row>
    <row r="6666" spans="2:4" x14ac:dyDescent="0.2">
      <c r="B6666" s="876">
        <v>8094</v>
      </c>
      <c r="C6666" s="876" t="s">
        <v>7083</v>
      </c>
      <c r="D6666" s="851">
        <v>656.93200000000002</v>
      </c>
    </row>
    <row r="6667" spans="2:4" x14ac:dyDescent="0.2">
      <c r="B6667" s="876">
        <v>8095</v>
      </c>
      <c r="C6667" s="876" t="s">
        <v>7084</v>
      </c>
      <c r="D6667" s="851">
        <v>643.16999499999997</v>
      </c>
    </row>
    <row r="6668" spans="2:4" x14ac:dyDescent="0.2">
      <c r="B6668" s="876">
        <v>8096</v>
      </c>
      <c r="C6668" s="876" t="s">
        <v>7085</v>
      </c>
      <c r="D6668" s="851">
        <v>673.97142699999995</v>
      </c>
    </row>
    <row r="6669" spans="2:4" x14ac:dyDescent="0.2">
      <c r="B6669" s="876">
        <v>8097</v>
      </c>
      <c r="C6669" s="876" t="s">
        <v>7086</v>
      </c>
      <c r="D6669" s="851">
        <v>683.87272499999995</v>
      </c>
    </row>
    <row r="6670" spans="2:4" x14ac:dyDescent="0.2">
      <c r="B6670" s="876">
        <v>8098</v>
      </c>
      <c r="C6670" s="876" t="s">
        <v>7087</v>
      </c>
      <c r="D6670" s="851">
        <v>677.76153999999997</v>
      </c>
    </row>
    <row r="6671" spans="2:4" x14ac:dyDescent="0.2">
      <c r="B6671" s="876">
        <v>8099</v>
      </c>
      <c r="C6671" s="876" t="s">
        <v>7088</v>
      </c>
      <c r="D6671" s="851">
        <v>693.61052800000004</v>
      </c>
    </row>
    <row r="6672" spans="2:4" x14ac:dyDescent="0.2">
      <c r="B6672" s="876">
        <v>8100</v>
      </c>
      <c r="C6672" s="876" t="s">
        <v>7089</v>
      </c>
      <c r="D6672" s="851">
        <v>696.12999300000001</v>
      </c>
    </row>
    <row r="6673" spans="2:4" x14ac:dyDescent="0.2">
      <c r="B6673" s="876">
        <v>8101</v>
      </c>
      <c r="C6673" s="876" t="s">
        <v>7090</v>
      </c>
      <c r="D6673" s="851">
        <v>698.90002400000003</v>
      </c>
    </row>
    <row r="6674" spans="2:4" x14ac:dyDescent="0.2">
      <c r="B6674" s="876">
        <v>8102</v>
      </c>
      <c r="C6674" s="876" t="s">
        <v>7091</v>
      </c>
      <c r="D6674" s="851">
        <v>680.49167399999999</v>
      </c>
    </row>
    <row r="6675" spans="2:4" x14ac:dyDescent="0.2">
      <c r="B6675" s="876">
        <v>8103</v>
      </c>
      <c r="C6675" s="876" t="s">
        <v>7092</v>
      </c>
      <c r="D6675" s="851">
        <v>689.03076599999997</v>
      </c>
    </row>
    <row r="6676" spans="2:4" x14ac:dyDescent="0.2">
      <c r="B6676" s="876">
        <v>8104</v>
      </c>
      <c r="C6676" s="876" t="s">
        <v>7093</v>
      </c>
      <c r="D6676" s="851">
        <v>705.55999799999995</v>
      </c>
    </row>
    <row r="6677" spans="2:4" x14ac:dyDescent="0.2">
      <c r="B6677" s="876">
        <v>8105</v>
      </c>
      <c r="C6677" s="876" t="s">
        <v>7094</v>
      </c>
      <c r="D6677" s="851">
        <v>647.68077200000005</v>
      </c>
    </row>
    <row r="6678" spans="2:4" x14ac:dyDescent="0.2">
      <c r="B6678" s="876">
        <v>8106</v>
      </c>
      <c r="C6678" s="876" t="s">
        <v>6580</v>
      </c>
      <c r="D6678" s="851">
        <v>685.50476100000003</v>
      </c>
    </row>
    <row r="6679" spans="2:4" x14ac:dyDescent="0.2">
      <c r="B6679" s="876">
        <v>8107</v>
      </c>
      <c r="C6679" s="876" t="s">
        <v>7095</v>
      </c>
      <c r="D6679" s="851">
        <v>695.57499700000005</v>
      </c>
    </row>
    <row r="6680" spans="2:4" x14ac:dyDescent="0.2">
      <c r="B6680" s="876">
        <v>8108</v>
      </c>
      <c r="C6680" s="876" t="s">
        <v>7096</v>
      </c>
      <c r="D6680" s="851">
        <v>661.03332499999999</v>
      </c>
    </row>
    <row r="6681" spans="2:4" x14ac:dyDescent="0.2">
      <c r="B6681" s="876">
        <v>8109</v>
      </c>
      <c r="C6681" s="876" t="s">
        <v>7097</v>
      </c>
      <c r="D6681" s="851">
        <v>658.86666400000001</v>
      </c>
    </row>
    <row r="6682" spans="2:4" x14ac:dyDescent="0.2">
      <c r="B6682" s="876">
        <v>8110</v>
      </c>
      <c r="C6682" s="876" t="s">
        <v>7098</v>
      </c>
      <c r="D6682" s="851">
        <v>685.74000699999999</v>
      </c>
    </row>
    <row r="6683" spans="2:4" x14ac:dyDescent="0.2">
      <c r="B6683" s="876">
        <v>8111</v>
      </c>
      <c r="C6683" s="876" t="s">
        <v>7099</v>
      </c>
      <c r="D6683" s="851">
        <v>674.34000200000003</v>
      </c>
    </row>
    <row r="6684" spans="2:4" x14ac:dyDescent="0.2">
      <c r="B6684" s="876">
        <v>8112</v>
      </c>
      <c r="C6684" s="876" t="s">
        <v>7100</v>
      </c>
      <c r="D6684" s="851">
        <v>709.51110800000004</v>
      </c>
    </row>
    <row r="6685" spans="2:4" x14ac:dyDescent="0.2">
      <c r="B6685" s="876">
        <v>8113</v>
      </c>
      <c r="C6685" s="876" t="s">
        <v>5033</v>
      </c>
      <c r="D6685" s="851">
        <v>722.81664999999998</v>
      </c>
    </row>
    <row r="6686" spans="2:4" x14ac:dyDescent="0.2">
      <c r="B6686" s="876">
        <v>8114</v>
      </c>
      <c r="C6686" s="876" t="s">
        <v>7101</v>
      </c>
      <c r="D6686" s="851">
        <v>719.292868</v>
      </c>
    </row>
    <row r="6687" spans="2:4" x14ac:dyDescent="0.2">
      <c r="B6687" s="876">
        <v>8115</v>
      </c>
      <c r="C6687" s="876" t="s">
        <v>5950</v>
      </c>
      <c r="D6687" s="851">
        <v>757.42500299999995</v>
      </c>
    </row>
    <row r="6688" spans="2:4" x14ac:dyDescent="0.2">
      <c r="B6688" s="876">
        <v>8116</v>
      </c>
      <c r="C6688" s="876" t="s">
        <v>7102</v>
      </c>
      <c r="D6688" s="851">
        <v>738.80001200000004</v>
      </c>
    </row>
    <row r="6689" spans="2:4" x14ac:dyDescent="0.2">
      <c r="B6689" s="876">
        <v>8117</v>
      </c>
      <c r="C6689" s="876" t="s">
        <v>7103</v>
      </c>
      <c r="D6689" s="851">
        <v>715.736356</v>
      </c>
    </row>
    <row r="6690" spans="2:4" x14ac:dyDescent="0.2">
      <c r="B6690" s="876">
        <v>8118</v>
      </c>
      <c r="C6690" s="876" t="s">
        <v>7104</v>
      </c>
      <c r="D6690" s="851">
        <v>749.322225</v>
      </c>
    </row>
    <row r="6691" spans="2:4" x14ac:dyDescent="0.2">
      <c r="B6691" s="876">
        <v>8119</v>
      </c>
      <c r="C6691" s="876" t="s">
        <v>7105</v>
      </c>
      <c r="D6691" s="851">
        <v>721.60000600000001</v>
      </c>
    </row>
    <row r="6692" spans="2:4" x14ac:dyDescent="0.2">
      <c r="B6692" s="876">
        <v>8120</v>
      </c>
      <c r="C6692" s="876" t="s">
        <v>7106</v>
      </c>
      <c r="D6692" s="851">
        <v>759.21999500000004</v>
      </c>
    </row>
    <row r="6693" spans="2:4" x14ac:dyDescent="0.2">
      <c r="B6693" s="876">
        <v>8151</v>
      </c>
      <c r="C6693" s="876" t="s">
        <v>7107</v>
      </c>
      <c r="D6693" s="851">
        <v>671.75</v>
      </c>
    </row>
    <row r="6694" spans="2:4" x14ac:dyDescent="0.2">
      <c r="B6694" s="876">
        <v>8152</v>
      </c>
      <c r="C6694" s="876" t="s">
        <v>7108</v>
      </c>
      <c r="D6694" s="851">
        <v>646.10000200000002</v>
      </c>
    </row>
    <row r="6695" spans="2:4" x14ac:dyDescent="0.2">
      <c r="B6695" s="876">
        <v>8153</v>
      </c>
      <c r="C6695" s="876" t="s">
        <v>7109</v>
      </c>
      <c r="D6695" s="851">
        <v>627.12856599999998</v>
      </c>
    </row>
    <row r="6696" spans="2:4" x14ac:dyDescent="0.2">
      <c r="B6696" s="876">
        <v>8154</v>
      </c>
      <c r="C6696" s="876" t="s">
        <v>7110</v>
      </c>
      <c r="D6696" s="851">
        <v>650.34999600000003</v>
      </c>
    </row>
    <row r="6697" spans="2:4" x14ac:dyDescent="0.2">
      <c r="B6697" s="876">
        <v>8155</v>
      </c>
      <c r="C6697" s="876" t="s">
        <v>7111</v>
      </c>
      <c r="D6697" s="851">
        <v>628.66666699999996</v>
      </c>
    </row>
    <row r="6698" spans="2:4" x14ac:dyDescent="0.2">
      <c r="B6698" s="876">
        <v>8156</v>
      </c>
      <c r="C6698" s="876" t="s">
        <v>7112</v>
      </c>
      <c r="D6698" s="851">
        <v>643.78333499999997</v>
      </c>
    </row>
    <row r="6699" spans="2:4" x14ac:dyDescent="0.2">
      <c r="B6699" s="876">
        <v>8157</v>
      </c>
      <c r="C6699" s="876" t="s">
        <v>7113</v>
      </c>
      <c r="D6699" s="851">
        <v>651.20833300000004</v>
      </c>
    </row>
    <row r="6700" spans="2:4" x14ac:dyDescent="0.2">
      <c r="B6700" s="876">
        <v>8158</v>
      </c>
      <c r="C6700" s="876" t="s">
        <v>7114</v>
      </c>
      <c r="D6700" s="851">
        <v>646.07777199999998</v>
      </c>
    </row>
    <row r="6701" spans="2:4" x14ac:dyDescent="0.2">
      <c r="B6701" s="876">
        <v>8159</v>
      </c>
      <c r="C6701" s="876" t="s">
        <v>7115</v>
      </c>
      <c r="D6701" s="851">
        <v>642.67999299999997</v>
      </c>
    </row>
    <row r="6702" spans="2:4" x14ac:dyDescent="0.2">
      <c r="B6702" s="876">
        <v>8160</v>
      </c>
      <c r="C6702" s="876" t="s">
        <v>7116</v>
      </c>
      <c r="D6702" s="851">
        <v>664.75333699999999</v>
      </c>
    </row>
    <row r="6703" spans="2:4" x14ac:dyDescent="0.2">
      <c r="B6703" s="876">
        <v>8161</v>
      </c>
      <c r="C6703" s="876" t="s">
        <v>7117</v>
      </c>
      <c r="D6703" s="851">
        <v>657.77499399999999</v>
      </c>
    </row>
    <row r="6704" spans="2:4" x14ac:dyDescent="0.2">
      <c r="B6704" s="876">
        <v>8162</v>
      </c>
      <c r="C6704" s="876" t="s">
        <v>7118</v>
      </c>
      <c r="D6704" s="851">
        <v>680.73333700000001</v>
      </c>
    </row>
    <row r="6705" spans="2:4" x14ac:dyDescent="0.2">
      <c r="B6705" s="876">
        <v>8163</v>
      </c>
      <c r="C6705" s="876" t="s">
        <v>7119</v>
      </c>
      <c r="D6705" s="851">
        <v>665.55909299999996</v>
      </c>
    </row>
    <row r="6706" spans="2:4" x14ac:dyDescent="0.2">
      <c r="B6706" s="876">
        <v>8164</v>
      </c>
      <c r="C6706" s="876" t="s">
        <v>7120</v>
      </c>
      <c r="D6706" s="851">
        <v>674.5</v>
      </c>
    </row>
    <row r="6707" spans="2:4" x14ac:dyDescent="0.2">
      <c r="B6707" s="876">
        <v>8165</v>
      </c>
      <c r="C6707" s="876" t="s">
        <v>7121</v>
      </c>
      <c r="D6707" s="851">
        <v>676.128557</v>
      </c>
    </row>
    <row r="6708" spans="2:4" x14ac:dyDescent="0.2">
      <c r="B6708" s="876">
        <v>8166</v>
      </c>
      <c r="C6708" s="876" t="s">
        <v>7122</v>
      </c>
      <c r="D6708" s="851">
        <v>684.88572499999998</v>
      </c>
    </row>
    <row r="6709" spans="2:4" x14ac:dyDescent="0.2">
      <c r="B6709" s="876">
        <v>8167</v>
      </c>
      <c r="C6709" s="876" t="s">
        <v>7123</v>
      </c>
      <c r="D6709" s="851">
        <v>699.95999800000004</v>
      </c>
    </row>
    <row r="6710" spans="2:4" x14ac:dyDescent="0.2">
      <c r="B6710" s="876">
        <v>8168</v>
      </c>
      <c r="C6710" s="876" t="s">
        <v>7124</v>
      </c>
      <c r="D6710" s="851">
        <v>700.25</v>
      </c>
    </row>
    <row r="6711" spans="2:4" x14ac:dyDescent="0.2">
      <c r="B6711" s="876">
        <v>8169</v>
      </c>
      <c r="C6711" s="876" t="s">
        <v>1843</v>
      </c>
      <c r="D6711" s="851">
        <v>676.84997599999997</v>
      </c>
    </row>
    <row r="6712" spans="2:4" x14ac:dyDescent="0.2">
      <c r="B6712" s="876">
        <v>8170</v>
      </c>
      <c r="C6712" s="876" t="s">
        <v>7125</v>
      </c>
      <c r="D6712" s="851">
        <v>735.05000800000005</v>
      </c>
    </row>
    <row r="6713" spans="2:4" x14ac:dyDescent="0.2">
      <c r="B6713" s="876">
        <v>8171</v>
      </c>
      <c r="C6713" s="876" t="s">
        <v>7126</v>
      </c>
      <c r="D6713" s="851">
        <v>738.41250600000001</v>
      </c>
    </row>
    <row r="6714" spans="2:4" x14ac:dyDescent="0.2">
      <c r="B6714" s="876">
        <v>8172</v>
      </c>
      <c r="C6714" s="876" t="s">
        <v>7127</v>
      </c>
      <c r="D6714" s="851">
        <v>767.28749800000003</v>
      </c>
    </row>
    <row r="6715" spans="2:4" x14ac:dyDescent="0.2">
      <c r="B6715" s="876">
        <v>8173</v>
      </c>
      <c r="C6715" s="876" t="s">
        <v>4715</v>
      </c>
      <c r="D6715" s="851">
        <v>664.39999</v>
      </c>
    </row>
    <row r="6716" spans="2:4" x14ac:dyDescent="0.2">
      <c r="B6716" s="876">
        <v>8174</v>
      </c>
      <c r="C6716" s="876" t="s">
        <v>7128</v>
      </c>
      <c r="D6716" s="851">
        <v>669.29000199999996</v>
      </c>
    </row>
    <row r="6717" spans="2:4" x14ac:dyDescent="0.2">
      <c r="B6717" s="876">
        <v>8175</v>
      </c>
      <c r="C6717" s="876" t="s">
        <v>7129</v>
      </c>
      <c r="D6717" s="851">
        <v>685.01429099999996</v>
      </c>
    </row>
    <row r="6718" spans="2:4" x14ac:dyDescent="0.2">
      <c r="B6718" s="876">
        <v>8176</v>
      </c>
      <c r="C6718" s="876" t="s">
        <v>7130</v>
      </c>
      <c r="D6718" s="851">
        <v>678.14999399999999</v>
      </c>
    </row>
    <row r="6719" spans="2:4" x14ac:dyDescent="0.2">
      <c r="B6719" s="876">
        <v>8177</v>
      </c>
      <c r="C6719" s="876" t="s">
        <v>4554</v>
      </c>
      <c r="D6719" s="851">
        <v>717.25</v>
      </c>
    </row>
    <row r="6720" spans="2:4" x14ac:dyDescent="0.2">
      <c r="B6720" s="876">
        <v>8178</v>
      </c>
      <c r="C6720" s="876" t="s">
        <v>7131</v>
      </c>
      <c r="D6720" s="851">
        <v>715.39999699999998</v>
      </c>
    </row>
    <row r="6721" spans="2:4" x14ac:dyDescent="0.2">
      <c r="B6721" s="876">
        <v>8179</v>
      </c>
      <c r="C6721" s="876" t="s">
        <v>7132</v>
      </c>
      <c r="D6721" s="851">
        <v>738.95555300000001</v>
      </c>
    </row>
    <row r="6722" spans="2:4" x14ac:dyDescent="0.2">
      <c r="B6722" s="876">
        <v>8180</v>
      </c>
      <c r="C6722" s="876" t="s">
        <v>7133</v>
      </c>
      <c r="D6722" s="851">
        <v>775.60001599999998</v>
      </c>
    </row>
    <row r="6723" spans="2:4" x14ac:dyDescent="0.2">
      <c r="B6723" s="876">
        <v>8181</v>
      </c>
      <c r="C6723" s="876" t="s">
        <v>7134</v>
      </c>
      <c r="D6723" s="851">
        <v>695.85000600000001</v>
      </c>
    </row>
    <row r="6724" spans="2:4" x14ac:dyDescent="0.2">
      <c r="B6724" s="876">
        <v>8182</v>
      </c>
      <c r="C6724" s="876" t="s">
        <v>7135</v>
      </c>
      <c r="D6724" s="851">
        <v>693.62857499999996</v>
      </c>
    </row>
    <row r="6725" spans="2:4" x14ac:dyDescent="0.2">
      <c r="B6725" s="876">
        <v>8183</v>
      </c>
      <c r="C6725" s="876" t="s">
        <v>7136</v>
      </c>
      <c r="D6725" s="851">
        <v>665.55999799999995</v>
      </c>
    </row>
    <row r="6726" spans="2:4" x14ac:dyDescent="0.2">
      <c r="B6726" s="876">
        <v>8184</v>
      </c>
      <c r="C6726" s="876" t="s">
        <v>7137</v>
      </c>
      <c r="D6726" s="851">
        <v>697.33335399999999</v>
      </c>
    </row>
    <row r="6727" spans="2:4" x14ac:dyDescent="0.2">
      <c r="B6727" s="876">
        <v>8185</v>
      </c>
      <c r="C6727" s="876" t="s">
        <v>7138</v>
      </c>
      <c r="D6727" s="851">
        <v>661.09997599999997</v>
      </c>
    </row>
    <row r="6728" spans="2:4" x14ac:dyDescent="0.2">
      <c r="B6728" s="876">
        <v>8186</v>
      </c>
      <c r="C6728" s="876" t="s">
        <v>7139</v>
      </c>
      <c r="D6728" s="851">
        <v>713.39090199999998</v>
      </c>
    </row>
    <row r="6729" spans="2:4" x14ac:dyDescent="0.2">
      <c r="B6729" s="876">
        <v>8187</v>
      </c>
      <c r="C6729" s="876" t="s">
        <v>7140</v>
      </c>
      <c r="D6729" s="851">
        <v>705.31667100000004</v>
      </c>
    </row>
    <row r="6730" spans="2:4" x14ac:dyDescent="0.2">
      <c r="B6730" s="876">
        <v>8188</v>
      </c>
      <c r="C6730" s="876" t="s">
        <v>7141</v>
      </c>
      <c r="D6730" s="851">
        <v>739.50910499999998</v>
      </c>
    </row>
    <row r="6731" spans="2:4" x14ac:dyDescent="0.2">
      <c r="B6731" s="876">
        <v>8189</v>
      </c>
      <c r="C6731" s="876" t="s">
        <v>1623</v>
      </c>
      <c r="D6731" s="851">
        <v>745.74998500000004</v>
      </c>
    </row>
    <row r="6732" spans="2:4" x14ac:dyDescent="0.2">
      <c r="B6732" s="876">
        <v>8190</v>
      </c>
      <c r="C6732" s="876" t="s">
        <v>4193</v>
      </c>
      <c r="D6732" s="851">
        <v>771.09999800000003</v>
      </c>
    </row>
    <row r="6733" spans="2:4" x14ac:dyDescent="0.2">
      <c r="B6733" s="876">
        <v>8191</v>
      </c>
      <c r="C6733" s="876" t="s">
        <v>7142</v>
      </c>
      <c r="D6733" s="851">
        <v>700.91428900000005</v>
      </c>
    </row>
    <row r="6734" spans="2:4" x14ac:dyDescent="0.2">
      <c r="B6734" s="876">
        <v>8192</v>
      </c>
      <c r="C6734" s="876" t="s">
        <v>1621</v>
      </c>
      <c r="D6734" s="851">
        <v>708.71428600000002</v>
      </c>
    </row>
    <row r="6735" spans="2:4" x14ac:dyDescent="0.2">
      <c r="B6735" s="876">
        <v>8193</v>
      </c>
      <c r="C6735" s="876" t="s">
        <v>6877</v>
      </c>
      <c r="D6735" s="851">
        <v>729.33333300000004</v>
      </c>
    </row>
    <row r="6736" spans="2:4" x14ac:dyDescent="0.2">
      <c r="B6736" s="876">
        <v>8194</v>
      </c>
      <c r="C6736" s="876" t="s">
        <v>2476</v>
      </c>
      <c r="D6736" s="851">
        <v>722.67999299999997</v>
      </c>
    </row>
    <row r="6737" spans="2:4" x14ac:dyDescent="0.2">
      <c r="B6737" s="876">
        <v>8195</v>
      </c>
      <c r="C6737" s="876" t="s">
        <v>7143</v>
      </c>
      <c r="D6737" s="851">
        <v>764.74285499999996</v>
      </c>
    </row>
    <row r="6738" spans="2:4" x14ac:dyDescent="0.2">
      <c r="B6738" s="876">
        <v>8196</v>
      </c>
      <c r="C6738" s="876" t="s">
        <v>1809</v>
      </c>
      <c r="D6738" s="851">
        <v>808.27692100000002</v>
      </c>
    </row>
    <row r="6739" spans="2:4" x14ac:dyDescent="0.2">
      <c r="B6739" s="876">
        <v>8197</v>
      </c>
      <c r="C6739" s="876" t="s">
        <v>7144</v>
      </c>
      <c r="D6739" s="851">
        <v>806.625</v>
      </c>
    </row>
    <row r="6740" spans="2:4" x14ac:dyDescent="0.2">
      <c r="B6740" s="876">
        <v>8198</v>
      </c>
      <c r="C6740" s="876" t="s">
        <v>7145</v>
      </c>
      <c r="D6740" s="851">
        <v>815.366669</v>
      </c>
    </row>
    <row r="6741" spans="2:4" x14ac:dyDescent="0.2">
      <c r="B6741" s="876">
        <v>8199</v>
      </c>
      <c r="C6741" s="876" t="s">
        <v>7146</v>
      </c>
      <c r="D6741" s="851">
        <v>762.45714499999997</v>
      </c>
    </row>
    <row r="6742" spans="2:4" x14ac:dyDescent="0.2">
      <c r="B6742" s="876">
        <v>8200</v>
      </c>
      <c r="C6742" s="876" t="s">
        <v>7147</v>
      </c>
      <c r="D6742" s="851">
        <v>823.03749800000003</v>
      </c>
    </row>
    <row r="6743" spans="2:4" x14ac:dyDescent="0.2">
      <c r="B6743" s="876">
        <v>8201</v>
      </c>
      <c r="C6743" s="876" t="s">
        <v>325</v>
      </c>
      <c r="D6743" s="851">
        <v>845.89999399999999</v>
      </c>
    </row>
    <row r="6744" spans="2:4" x14ac:dyDescent="0.2">
      <c r="B6744" s="876">
        <v>8202</v>
      </c>
      <c r="C6744" s="876" t="s">
        <v>7148</v>
      </c>
      <c r="D6744" s="851">
        <v>839.42500299999995</v>
      </c>
    </row>
    <row r="6745" spans="2:4" x14ac:dyDescent="0.2">
      <c r="B6745" s="876">
        <v>8203</v>
      </c>
      <c r="C6745" s="876" t="s">
        <v>7149</v>
      </c>
      <c r="D6745" s="851">
        <v>793.76000999999997</v>
      </c>
    </row>
    <row r="6746" spans="2:4" x14ac:dyDescent="0.2">
      <c r="B6746" s="876">
        <v>8204</v>
      </c>
      <c r="C6746" s="876" t="s">
        <v>7150</v>
      </c>
      <c r="D6746" s="851">
        <v>803.97499100000005</v>
      </c>
    </row>
    <row r="6747" spans="2:4" x14ac:dyDescent="0.2">
      <c r="B6747" s="876">
        <v>8205</v>
      </c>
      <c r="C6747" s="876" t="s">
        <v>3573</v>
      </c>
      <c r="D6747" s="851">
        <v>834.17999299999997</v>
      </c>
    </row>
    <row r="6748" spans="2:4" x14ac:dyDescent="0.2">
      <c r="B6748" s="876">
        <v>8206</v>
      </c>
      <c r="C6748" s="876" t="s">
        <v>7151</v>
      </c>
      <c r="D6748" s="851">
        <v>844.04286400000001</v>
      </c>
    </row>
    <row r="6749" spans="2:4" x14ac:dyDescent="0.2">
      <c r="B6749" s="876">
        <v>8207</v>
      </c>
      <c r="C6749" s="876" t="s">
        <v>7152</v>
      </c>
      <c r="D6749" s="851">
        <v>857.379999</v>
      </c>
    </row>
    <row r="6750" spans="2:4" x14ac:dyDescent="0.2">
      <c r="B6750" s="876">
        <v>8208</v>
      </c>
      <c r="C6750" s="876" t="s">
        <v>7153</v>
      </c>
      <c r="D6750" s="851">
        <v>767.78749800000003</v>
      </c>
    </row>
    <row r="6751" spans="2:4" x14ac:dyDescent="0.2">
      <c r="B6751" s="876">
        <v>8209</v>
      </c>
      <c r="C6751" s="876" t="s">
        <v>7154</v>
      </c>
      <c r="D6751" s="851">
        <v>779.09999100000005</v>
      </c>
    </row>
    <row r="6752" spans="2:4" x14ac:dyDescent="0.2">
      <c r="B6752" s="876">
        <v>8210</v>
      </c>
      <c r="C6752" s="876" t="s">
        <v>7155</v>
      </c>
      <c r="D6752" s="851">
        <v>797.58000500000003</v>
      </c>
    </row>
    <row r="6753" spans="2:4" x14ac:dyDescent="0.2">
      <c r="B6753" s="876">
        <v>8211</v>
      </c>
      <c r="C6753" s="876" t="s">
        <v>7156</v>
      </c>
      <c r="D6753" s="851">
        <v>826.53334600000005</v>
      </c>
    </row>
    <row r="6754" spans="2:4" x14ac:dyDescent="0.2">
      <c r="B6754" s="876">
        <v>8212</v>
      </c>
      <c r="C6754" s="876" t="s">
        <v>7157</v>
      </c>
      <c r="D6754" s="851">
        <v>819.77999899999998</v>
      </c>
    </row>
    <row r="6755" spans="2:4" x14ac:dyDescent="0.2">
      <c r="B6755" s="876">
        <v>8213</v>
      </c>
      <c r="C6755" s="876" t="s">
        <v>7158</v>
      </c>
      <c r="D6755" s="851">
        <v>841.80000800000005</v>
      </c>
    </row>
    <row r="6756" spans="2:4" x14ac:dyDescent="0.2">
      <c r="B6756" s="876">
        <v>8214</v>
      </c>
      <c r="C6756" s="876" t="s">
        <v>7159</v>
      </c>
      <c r="D6756" s="851">
        <v>783.09167000000002</v>
      </c>
    </row>
    <row r="6757" spans="2:4" x14ac:dyDescent="0.2">
      <c r="B6757" s="876">
        <v>8215</v>
      </c>
      <c r="C6757" s="876" t="s">
        <v>7160</v>
      </c>
      <c r="D6757" s="851">
        <v>825.02173900000003</v>
      </c>
    </row>
    <row r="6758" spans="2:4" x14ac:dyDescent="0.2">
      <c r="B6758" s="876">
        <v>8216</v>
      </c>
      <c r="C6758" s="876" t="s">
        <v>7161</v>
      </c>
      <c r="D6758" s="851">
        <v>799.13334099999997</v>
      </c>
    </row>
    <row r="6759" spans="2:4" x14ac:dyDescent="0.2">
      <c r="B6759" s="876">
        <v>8217</v>
      </c>
      <c r="C6759" s="876" t="s">
        <v>7162</v>
      </c>
      <c r="D6759" s="851">
        <v>798.73333700000001</v>
      </c>
    </row>
    <row r="6760" spans="2:4" x14ac:dyDescent="0.2">
      <c r="B6760" s="876">
        <v>8218</v>
      </c>
      <c r="C6760" s="876" t="s">
        <v>7163</v>
      </c>
      <c r="D6760" s="851">
        <v>830.82000700000003</v>
      </c>
    </row>
    <row r="6761" spans="2:4" x14ac:dyDescent="0.2">
      <c r="B6761" s="876">
        <v>8219</v>
      </c>
      <c r="C6761" s="876" t="s">
        <v>7164</v>
      </c>
      <c r="D6761" s="851">
        <v>702.61333400000001</v>
      </c>
    </row>
    <row r="6762" spans="2:4" x14ac:dyDescent="0.2">
      <c r="B6762" s="876">
        <v>8220</v>
      </c>
      <c r="C6762" s="876" t="s">
        <v>2928</v>
      </c>
      <c r="D6762" s="851">
        <v>660.54998799999998</v>
      </c>
    </row>
    <row r="6763" spans="2:4" x14ac:dyDescent="0.2">
      <c r="B6763" s="876">
        <v>8221</v>
      </c>
      <c r="C6763" s="876" t="s">
        <v>7165</v>
      </c>
      <c r="D6763" s="851">
        <v>713.93333900000005</v>
      </c>
    </row>
    <row r="6764" spans="2:4" x14ac:dyDescent="0.2">
      <c r="B6764" s="876">
        <v>8222</v>
      </c>
      <c r="C6764" s="876" t="s">
        <v>7166</v>
      </c>
      <c r="D6764" s="851">
        <v>767.22499800000003</v>
      </c>
    </row>
    <row r="6765" spans="2:4" x14ac:dyDescent="0.2">
      <c r="B6765" s="876">
        <v>8223</v>
      </c>
      <c r="C6765" s="876" t="s">
        <v>7167</v>
      </c>
      <c r="D6765" s="851">
        <v>746.94443799999999</v>
      </c>
    </row>
    <row r="6766" spans="2:4" x14ac:dyDescent="0.2">
      <c r="B6766" s="876">
        <v>8224</v>
      </c>
      <c r="C6766" s="876" t="s">
        <v>7168</v>
      </c>
      <c r="D6766" s="851">
        <v>757.14286600000003</v>
      </c>
    </row>
    <row r="6767" spans="2:4" x14ac:dyDescent="0.2">
      <c r="B6767" s="876">
        <v>8225</v>
      </c>
      <c r="C6767" s="876" t="s">
        <v>5950</v>
      </c>
      <c r="D6767" s="851">
        <v>779.72000700000001</v>
      </c>
    </row>
    <row r="6768" spans="2:4" x14ac:dyDescent="0.2">
      <c r="B6768" s="876">
        <v>8226</v>
      </c>
      <c r="C6768" s="876" t="s">
        <v>7169</v>
      </c>
      <c r="D6768" s="851">
        <v>834.51764600000001</v>
      </c>
    </row>
    <row r="6769" spans="2:4" x14ac:dyDescent="0.2">
      <c r="B6769" s="876">
        <v>8227</v>
      </c>
      <c r="C6769" s="876" t="s">
        <v>7170</v>
      </c>
      <c r="D6769" s="851">
        <v>795.56666600000005</v>
      </c>
    </row>
    <row r="6770" spans="2:4" x14ac:dyDescent="0.2">
      <c r="B6770" s="876">
        <v>8228</v>
      </c>
      <c r="C6770" s="876" t="s">
        <v>7171</v>
      </c>
      <c r="D6770" s="851">
        <v>846.75</v>
      </c>
    </row>
    <row r="6771" spans="2:4" x14ac:dyDescent="0.2">
      <c r="B6771" s="876">
        <v>8229</v>
      </c>
      <c r="C6771" s="876" t="s">
        <v>6033</v>
      </c>
      <c r="D6771" s="851">
        <v>804.75</v>
      </c>
    </row>
    <row r="6772" spans="2:4" x14ac:dyDescent="0.2">
      <c r="B6772" s="876">
        <v>8230</v>
      </c>
      <c r="C6772" s="876" t="s">
        <v>7172</v>
      </c>
      <c r="D6772" s="851">
        <v>845.69090100000005</v>
      </c>
    </row>
    <row r="6773" spans="2:4" x14ac:dyDescent="0.2">
      <c r="B6773" s="876">
        <v>8231</v>
      </c>
      <c r="C6773" s="876" t="s">
        <v>7173</v>
      </c>
      <c r="D6773" s="851">
        <v>788.31666099999995</v>
      </c>
    </row>
    <row r="6774" spans="2:4" x14ac:dyDescent="0.2">
      <c r="B6774" s="876">
        <v>8232</v>
      </c>
      <c r="C6774" s="876" t="s">
        <v>7174</v>
      </c>
      <c r="D6774" s="851">
        <v>775.76000999999997</v>
      </c>
    </row>
    <row r="6775" spans="2:4" x14ac:dyDescent="0.2">
      <c r="B6775" s="876">
        <v>8233</v>
      </c>
      <c r="C6775" s="876" t="s">
        <v>7175</v>
      </c>
      <c r="D6775" s="851">
        <v>817.883331</v>
      </c>
    </row>
    <row r="6776" spans="2:4" x14ac:dyDescent="0.2">
      <c r="B6776" s="876">
        <v>8234</v>
      </c>
      <c r="C6776" s="876" t="s">
        <v>7176</v>
      </c>
      <c r="D6776" s="851">
        <v>874.82857000000001</v>
      </c>
    </row>
    <row r="6777" spans="2:4" x14ac:dyDescent="0.2">
      <c r="B6777" s="876">
        <v>8235</v>
      </c>
      <c r="C6777" s="876" t="s">
        <v>7177</v>
      </c>
      <c r="D6777" s="851">
        <v>884.95714499999997</v>
      </c>
    </row>
    <row r="6778" spans="2:4" x14ac:dyDescent="0.2">
      <c r="B6778" s="876">
        <v>8236</v>
      </c>
      <c r="C6778" s="876" t="s">
        <v>7178</v>
      </c>
      <c r="D6778" s="851">
        <v>854.77999899999998</v>
      </c>
    </row>
    <row r="6779" spans="2:4" x14ac:dyDescent="0.2">
      <c r="B6779" s="876">
        <v>8237</v>
      </c>
      <c r="C6779" s="876" t="s">
        <v>7179</v>
      </c>
      <c r="D6779" s="851">
        <v>833.73333700000001</v>
      </c>
    </row>
    <row r="6780" spans="2:4" x14ac:dyDescent="0.2">
      <c r="B6780" s="876">
        <v>8238</v>
      </c>
      <c r="C6780" s="876" t="s">
        <v>7180</v>
      </c>
      <c r="D6780" s="851">
        <v>855.73332700000003</v>
      </c>
    </row>
    <row r="6781" spans="2:4" x14ac:dyDescent="0.2">
      <c r="B6781" s="876">
        <v>8239</v>
      </c>
      <c r="C6781" s="876" t="s">
        <v>7181</v>
      </c>
      <c r="D6781" s="851">
        <v>840.39999799999998</v>
      </c>
    </row>
    <row r="6782" spans="2:4" x14ac:dyDescent="0.2">
      <c r="B6782" s="876">
        <v>8240</v>
      </c>
      <c r="C6782" s="876" t="s">
        <v>7182</v>
      </c>
      <c r="D6782" s="851">
        <v>845.96667500000001</v>
      </c>
    </row>
    <row r="6783" spans="2:4" x14ac:dyDescent="0.2">
      <c r="B6783" s="876">
        <v>8241</v>
      </c>
      <c r="C6783" s="876" t="s">
        <v>5736</v>
      </c>
      <c r="D6783" s="851">
        <v>821.70001200000002</v>
      </c>
    </row>
    <row r="6784" spans="2:4" x14ac:dyDescent="0.2">
      <c r="B6784" s="876">
        <v>8242</v>
      </c>
      <c r="C6784" s="876" t="s">
        <v>5550</v>
      </c>
      <c r="D6784" s="851">
        <v>819.10000600000001</v>
      </c>
    </row>
    <row r="6785" spans="2:4" x14ac:dyDescent="0.2">
      <c r="B6785" s="876">
        <v>8243</v>
      </c>
      <c r="C6785" s="876" t="s">
        <v>7183</v>
      </c>
      <c r="D6785" s="851">
        <v>834.02497900000003</v>
      </c>
    </row>
    <row r="6786" spans="2:4" x14ac:dyDescent="0.2">
      <c r="B6786" s="876">
        <v>8244</v>
      </c>
      <c r="C6786" s="876" t="s">
        <v>3704</v>
      </c>
      <c r="D6786" s="851">
        <v>824.95001200000002</v>
      </c>
    </row>
    <row r="6787" spans="2:4" x14ac:dyDescent="0.2">
      <c r="B6787" s="876">
        <v>8245</v>
      </c>
      <c r="C6787" s="876" t="s">
        <v>7184</v>
      </c>
      <c r="D6787" s="851">
        <v>831.53000499999996</v>
      </c>
    </row>
    <row r="6788" spans="2:4" x14ac:dyDescent="0.2">
      <c r="B6788" s="876">
        <v>8251</v>
      </c>
      <c r="C6788" s="876" t="s">
        <v>2638</v>
      </c>
      <c r="D6788" s="851">
        <v>828.68332899999996</v>
      </c>
    </row>
    <row r="6789" spans="2:4" x14ac:dyDescent="0.2">
      <c r="B6789" s="876">
        <v>8252</v>
      </c>
      <c r="C6789" s="876" t="s">
        <v>7185</v>
      </c>
      <c r="D6789" s="851">
        <v>788.05833399999995</v>
      </c>
    </row>
    <row r="6790" spans="2:4" x14ac:dyDescent="0.2">
      <c r="B6790" s="876">
        <v>8253</v>
      </c>
      <c r="C6790" s="876" t="s">
        <v>7186</v>
      </c>
      <c r="D6790" s="851">
        <v>788.79998799999998</v>
      </c>
    </row>
    <row r="6791" spans="2:4" x14ac:dyDescent="0.2">
      <c r="B6791" s="876">
        <v>8254</v>
      </c>
      <c r="C6791" s="876" t="s">
        <v>7143</v>
      </c>
      <c r="D6791" s="851">
        <v>786.91109900000004</v>
      </c>
    </row>
    <row r="6792" spans="2:4" x14ac:dyDescent="0.2">
      <c r="B6792" s="876">
        <v>8255</v>
      </c>
      <c r="C6792" s="876" t="s">
        <v>7187</v>
      </c>
      <c r="D6792" s="851">
        <v>784.14999399999999</v>
      </c>
    </row>
    <row r="6793" spans="2:4" x14ac:dyDescent="0.2">
      <c r="B6793" s="876">
        <v>8256</v>
      </c>
      <c r="C6793" s="876" t="s">
        <v>7188</v>
      </c>
      <c r="D6793" s="851">
        <v>832.55999799999995</v>
      </c>
    </row>
    <row r="6794" spans="2:4" x14ac:dyDescent="0.2">
      <c r="B6794" s="876">
        <v>8257</v>
      </c>
      <c r="C6794" s="876" t="s">
        <v>7189</v>
      </c>
      <c r="D6794" s="851">
        <v>870.63332100000002</v>
      </c>
    </row>
    <row r="6795" spans="2:4" x14ac:dyDescent="0.2">
      <c r="B6795" s="876">
        <v>8258</v>
      </c>
      <c r="C6795" s="876" t="s">
        <v>7190</v>
      </c>
      <c r="D6795" s="851">
        <v>844.67498799999998</v>
      </c>
    </row>
    <row r="6796" spans="2:4" x14ac:dyDescent="0.2">
      <c r="B6796" s="876">
        <v>8259</v>
      </c>
      <c r="C6796" s="876" t="s">
        <v>7191</v>
      </c>
      <c r="D6796" s="851">
        <v>802.83334400000001</v>
      </c>
    </row>
    <row r="6797" spans="2:4" x14ac:dyDescent="0.2">
      <c r="B6797" s="876">
        <v>8260</v>
      </c>
      <c r="C6797" s="876" t="s">
        <v>7192</v>
      </c>
      <c r="D6797" s="851">
        <v>802.13333499999999</v>
      </c>
    </row>
    <row r="6798" spans="2:4" x14ac:dyDescent="0.2">
      <c r="B6798" s="876">
        <v>8261</v>
      </c>
      <c r="C6798" s="876" t="s">
        <v>3494</v>
      </c>
      <c r="D6798" s="851">
        <v>798.32499700000005</v>
      </c>
    </row>
    <row r="6799" spans="2:4" x14ac:dyDescent="0.2">
      <c r="B6799" s="876">
        <v>8262</v>
      </c>
      <c r="C6799" s="876" t="s">
        <v>7193</v>
      </c>
      <c r="D6799" s="851">
        <v>779.860004</v>
      </c>
    </row>
    <row r="6800" spans="2:4" x14ac:dyDescent="0.2">
      <c r="B6800" s="876">
        <v>8263</v>
      </c>
      <c r="C6800" s="876" t="s">
        <v>7194</v>
      </c>
      <c r="D6800" s="851">
        <v>814.89999399999999</v>
      </c>
    </row>
    <row r="6801" spans="2:4" x14ac:dyDescent="0.2">
      <c r="B6801" s="876">
        <v>8264</v>
      </c>
      <c r="C6801" s="876" t="s">
        <v>7182</v>
      </c>
      <c r="D6801" s="851">
        <v>808.70000500000003</v>
      </c>
    </row>
    <row r="6802" spans="2:4" x14ac:dyDescent="0.2">
      <c r="B6802" s="876">
        <v>8265</v>
      </c>
      <c r="C6802" s="876" t="s">
        <v>7195</v>
      </c>
      <c r="D6802" s="851">
        <v>795.00000599999998</v>
      </c>
    </row>
    <row r="6803" spans="2:4" x14ac:dyDescent="0.2">
      <c r="B6803" s="876">
        <v>8266</v>
      </c>
      <c r="C6803" s="876" t="s">
        <v>7196</v>
      </c>
      <c r="D6803" s="851">
        <v>778.125</v>
      </c>
    </row>
    <row r="6804" spans="2:4" x14ac:dyDescent="0.2">
      <c r="B6804" s="876">
        <v>8267</v>
      </c>
      <c r="C6804" s="876" t="s">
        <v>7197</v>
      </c>
      <c r="D6804" s="851">
        <v>781.44999700000005</v>
      </c>
    </row>
    <row r="6805" spans="2:4" x14ac:dyDescent="0.2">
      <c r="B6805" s="876">
        <v>8268</v>
      </c>
      <c r="C6805" s="876" t="s">
        <v>5842</v>
      </c>
      <c r="D6805" s="851">
        <v>760.09999900000003</v>
      </c>
    </row>
    <row r="6806" spans="2:4" x14ac:dyDescent="0.2">
      <c r="B6806" s="876">
        <v>8269</v>
      </c>
      <c r="C6806" s="876" t="s">
        <v>7198</v>
      </c>
      <c r="D6806" s="851">
        <v>781.24999000000003</v>
      </c>
    </row>
    <row r="6807" spans="2:4" x14ac:dyDescent="0.2">
      <c r="B6807" s="876">
        <v>8270</v>
      </c>
      <c r="C6807" s="876" t="s">
        <v>7199</v>
      </c>
      <c r="D6807" s="851">
        <v>760.47692400000005</v>
      </c>
    </row>
    <row r="6808" spans="2:4" x14ac:dyDescent="0.2">
      <c r="B6808" s="876">
        <v>8271</v>
      </c>
      <c r="C6808" s="876" t="s">
        <v>7200</v>
      </c>
      <c r="D6808" s="851">
        <v>760.35556399999996</v>
      </c>
    </row>
    <row r="6809" spans="2:4" x14ac:dyDescent="0.2">
      <c r="B6809" s="876">
        <v>8272</v>
      </c>
      <c r="C6809" s="876" t="s">
        <v>7201</v>
      </c>
      <c r="D6809" s="851">
        <v>778.50000699999998</v>
      </c>
    </row>
    <row r="6810" spans="2:4" x14ac:dyDescent="0.2">
      <c r="B6810" s="876">
        <v>8273</v>
      </c>
      <c r="C6810" s="876" t="s">
        <v>5707</v>
      </c>
      <c r="D6810" s="851">
        <v>768.46363399999996</v>
      </c>
    </row>
    <row r="6811" spans="2:4" x14ac:dyDescent="0.2">
      <c r="B6811" s="876">
        <v>8274</v>
      </c>
      <c r="C6811" s="876" t="s">
        <v>5640</v>
      </c>
      <c r="D6811" s="851">
        <v>740.114284</v>
      </c>
    </row>
    <row r="6812" spans="2:4" x14ac:dyDescent="0.2">
      <c r="B6812" s="876">
        <v>8275</v>
      </c>
      <c r="C6812" s="876" t="s">
        <v>7202</v>
      </c>
      <c r="D6812" s="851">
        <v>740.81001000000003</v>
      </c>
    </row>
    <row r="6813" spans="2:4" x14ac:dyDescent="0.2">
      <c r="B6813" s="876">
        <v>8276</v>
      </c>
      <c r="C6813" s="876" t="s">
        <v>7203</v>
      </c>
      <c r="D6813" s="851">
        <v>765.79998799999998</v>
      </c>
    </row>
    <row r="6814" spans="2:4" x14ac:dyDescent="0.2">
      <c r="B6814" s="876">
        <v>8277</v>
      </c>
      <c r="C6814" s="876" t="s">
        <v>7204</v>
      </c>
      <c r="D6814" s="851">
        <v>752.15000399999997</v>
      </c>
    </row>
    <row r="6815" spans="2:4" x14ac:dyDescent="0.2">
      <c r="B6815" s="876">
        <v>8278</v>
      </c>
      <c r="C6815" s="876" t="s">
        <v>7205</v>
      </c>
      <c r="D6815" s="851">
        <v>723.30832399999997</v>
      </c>
    </row>
    <row r="6816" spans="2:4" x14ac:dyDescent="0.2">
      <c r="B6816" s="876">
        <v>8279</v>
      </c>
      <c r="C6816" s="876" t="s">
        <v>7206</v>
      </c>
      <c r="D6816" s="851">
        <v>664.79999799999996</v>
      </c>
    </row>
    <row r="6817" spans="2:4" x14ac:dyDescent="0.2">
      <c r="B6817" s="876">
        <v>8280</v>
      </c>
      <c r="C6817" s="876" t="s">
        <v>7207</v>
      </c>
      <c r="D6817" s="851">
        <v>790.29333099999997</v>
      </c>
    </row>
    <row r="6818" spans="2:4" x14ac:dyDescent="0.2">
      <c r="B6818" s="876">
        <v>8281</v>
      </c>
      <c r="C6818" s="876" t="s">
        <v>2445</v>
      </c>
      <c r="D6818" s="851">
        <v>789.14000199999998</v>
      </c>
    </row>
    <row r="6819" spans="2:4" x14ac:dyDescent="0.2">
      <c r="B6819" s="876">
        <v>8282</v>
      </c>
      <c r="C6819" s="876" t="s">
        <v>7208</v>
      </c>
      <c r="D6819" s="851">
        <v>797.13332800000001</v>
      </c>
    </row>
    <row r="6820" spans="2:4" x14ac:dyDescent="0.2">
      <c r="B6820" s="876">
        <v>8283</v>
      </c>
      <c r="C6820" s="876" t="s">
        <v>7209</v>
      </c>
      <c r="D6820" s="851">
        <v>798.80000099999995</v>
      </c>
    </row>
    <row r="6821" spans="2:4" x14ac:dyDescent="0.2">
      <c r="B6821" s="876">
        <v>8284</v>
      </c>
      <c r="C6821" s="876" t="s">
        <v>5998</v>
      </c>
      <c r="D6821" s="851">
        <v>823.95001200000002</v>
      </c>
    </row>
    <row r="6822" spans="2:4" x14ac:dyDescent="0.2">
      <c r="B6822" s="876">
        <v>8285</v>
      </c>
      <c r="C6822" s="876" t="s">
        <v>7210</v>
      </c>
      <c r="D6822" s="851">
        <v>799.25</v>
      </c>
    </row>
    <row r="6823" spans="2:4" x14ac:dyDescent="0.2">
      <c r="B6823" s="876">
        <v>8286</v>
      </c>
      <c r="C6823" s="876" t="s">
        <v>7211</v>
      </c>
      <c r="D6823" s="851">
        <v>795.41110600000002</v>
      </c>
    </row>
    <row r="6824" spans="2:4" x14ac:dyDescent="0.2">
      <c r="B6824" s="876">
        <v>8287</v>
      </c>
      <c r="C6824" s="876" t="s">
        <v>7212</v>
      </c>
      <c r="D6824" s="851">
        <v>745.55000299999995</v>
      </c>
    </row>
    <row r="6825" spans="2:4" x14ac:dyDescent="0.2">
      <c r="B6825" s="876">
        <v>8288</v>
      </c>
      <c r="C6825" s="876" t="s">
        <v>7213</v>
      </c>
      <c r="D6825" s="851">
        <v>751.8</v>
      </c>
    </row>
    <row r="6826" spans="2:4" x14ac:dyDescent="0.2">
      <c r="B6826" s="876">
        <v>8289</v>
      </c>
      <c r="C6826" s="876" t="s">
        <v>7214</v>
      </c>
      <c r="D6826" s="851">
        <v>764.42857100000003</v>
      </c>
    </row>
    <row r="6827" spans="2:4" x14ac:dyDescent="0.2">
      <c r="B6827" s="876">
        <v>8290</v>
      </c>
      <c r="C6827" s="876" t="s">
        <v>5597</v>
      </c>
      <c r="D6827" s="851">
        <v>782.36250299999995</v>
      </c>
    </row>
    <row r="6828" spans="2:4" x14ac:dyDescent="0.2">
      <c r="B6828" s="876">
        <v>8291</v>
      </c>
      <c r="C6828" s="876" t="s">
        <v>7215</v>
      </c>
      <c r="D6828" s="851">
        <v>772.01249700000005</v>
      </c>
    </row>
    <row r="6829" spans="2:4" x14ac:dyDescent="0.2">
      <c r="B6829" s="876">
        <v>8292</v>
      </c>
      <c r="C6829" s="876" t="s">
        <v>7216</v>
      </c>
      <c r="D6829" s="851">
        <v>740.08572800000002</v>
      </c>
    </row>
    <row r="6830" spans="2:4" x14ac:dyDescent="0.2">
      <c r="B6830" s="876">
        <v>8293</v>
      </c>
      <c r="C6830" s="876" t="s">
        <v>5120</v>
      </c>
      <c r="D6830" s="851">
        <v>753.10001199999999</v>
      </c>
    </row>
    <row r="6831" spans="2:4" x14ac:dyDescent="0.2">
      <c r="B6831" s="876">
        <v>8294</v>
      </c>
      <c r="C6831" s="876" t="s">
        <v>7217</v>
      </c>
      <c r="D6831" s="851">
        <v>721.63333499999999</v>
      </c>
    </row>
    <row r="6832" spans="2:4" x14ac:dyDescent="0.2">
      <c r="B6832" s="876">
        <v>8295</v>
      </c>
      <c r="C6832" s="876" t="s">
        <v>7218</v>
      </c>
      <c r="D6832" s="851">
        <v>729.61111800000003</v>
      </c>
    </row>
    <row r="6833" spans="2:4" x14ac:dyDescent="0.2">
      <c r="B6833" s="876">
        <v>8296</v>
      </c>
      <c r="C6833" s="876" t="s">
        <v>7219</v>
      </c>
      <c r="D6833" s="851">
        <v>701.94285400000001</v>
      </c>
    </row>
    <row r="6834" spans="2:4" x14ac:dyDescent="0.2">
      <c r="B6834" s="876">
        <v>8297</v>
      </c>
      <c r="C6834" s="876" t="s">
        <v>7220</v>
      </c>
      <c r="D6834" s="851">
        <v>706.616669</v>
      </c>
    </row>
    <row r="6835" spans="2:4" x14ac:dyDescent="0.2">
      <c r="B6835" s="876">
        <v>8298</v>
      </c>
      <c r="C6835" s="876" t="s">
        <v>7221</v>
      </c>
      <c r="D6835" s="851">
        <v>893.26666299999999</v>
      </c>
    </row>
    <row r="6836" spans="2:4" x14ac:dyDescent="0.2">
      <c r="B6836" s="876">
        <v>8299</v>
      </c>
      <c r="C6836" s="876" t="s">
        <v>7222</v>
      </c>
      <c r="D6836" s="851">
        <v>867.86249499999997</v>
      </c>
    </row>
    <row r="6837" spans="2:4" x14ac:dyDescent="0.2">
      <c r="B6837" s="876">
        <v>8300</v>
      </c>
      <c r="C6837" s="876" t="s">
        <v>7223</v>
      </c>
      <c r="D6837" s="851">
        <v>835.01665800000001</v>
      </c>
    </row>
    <row r="6838" spans="2:4" x14ac:dyDescent="0.2">
      <c r="B6838" s="876">
        <v>8301</v>
      </c>
      <c r="C6838" s="876" t="s">
        <v>7224</v>
      </c>
      <c r="D6838" s="851">
        <v>831.06666099999995</v>
      </c>
    </row>
    <row r="6839" spans="2:4" x14ac:dyDescent="0.2">
      <c r="B6839" s="876">
        <v>8302</v>
      </c>
      <c r="C6839" s="876" t="s">
        <v>7225</v>
      </c>
      <c r="D6839" s="851">
        <v>801.97778700000003</v>
      </c>
    </row>
    <row r="6840" spans="2:4" x14ac:dyDescent="0.2">
      <c r="B6840" s="876">
        <v>8303</v>
      </c>
      <c r="C6840" s="876" t="s">
        <v>7226</v>
      </c>
      <c r="D6840" s="851">
        <v>804.42500299999995</v>
      </c>
    </row>
    <row r="6841" spans="2:4" x14ac:dyDescent="0.2">
      <c r="B6841" s="876">
        <v>8304</v>
      </c>
      <c r="C6841" s="876" t="s">
        <v>7227</v>
      </c>
      <c r="D6841" s="851">
        <v>787.71666500000003</v>
      </c>
    </row>
    <row r="6842" spans="2:4" x14ac:dyDescent="0.2">
      <c r="B6842" s="876">
        <v>8305</v>
      </c>
      <c r="C6842" s="876" t="s">
        <v>7228</v>
      </c>
      <c r="D6842" s="851">
        <v>786.02381800000001</v>
      </c>
    </row>
    <row r="6843" spans="2:4" x14ac:dyDescent="0.2">
      <c r="B6843" s="876">
        <v>8306</v>
      </c>
      <c r="C6843" s="876" t="s">
        <v>7229</v>
      </c>
      <c r="D6843" s="851">
        <v>775.827271</v>
      </c>
    </row>
    <row r="6844" spans="2:4" x14ac:dyDescent="0.2">
      <c r="B6844" s="876">
        <v>8307</v>
      </c>
      <c r="C6844" s="876" t="s">
        <v>7230</v>
      </c>
      <c r="D6844" s="851">
        <v>826.29998799999998</v>
      </c>
    </row>
    <row r="6845" spans="2:4" x14ac:dyDescent="0.2">
      <c r="B6845" s="876">
        <v>8308</v>
      </c>
      <c r="C6845" s="876" t="s">
        <v>7231</v>
      </c>
      <c r="D6845" s="851">
        <v>808.776475</v>
      </c>
    </row>
    <row r="6846" spans="2:4" x14ac:dyDescent="0.2">
      <c r="B6846" s="876">
        <v>8309</v>
      </c>
      <c r="C6846" s="876" t="s">
        <v>7232</v>
      </c>
      <c r="D6846" s="851">
        <v>793.19999700000005</v>
      </c>
    </row>
    <row r="6847" spans="2:4" x14ac:dyDescent="0.2">
      <c r="B6847" s="876">
        <v>8310</v>
      </c>
      <c r="C6847" s="876" t="s">
        <v>7233</v>
      </c>
      <c r="D6847" s="851">
        <v>797.71111399999995</v>
      </c>
    </row>
    <row r="6848" spans="2:4" x14ac:dyDescent="0.2">
      <c r="B6848" s="876">
        <v>8311</v>
      </c>
      <c r="C6848" s="876" t="s">
        <v>2627</v>
      </c>
      <c r="D6848" s="851">
        <v>759.58332800000005</v>
      </c>
    </row>
    <row r="6849" spans="2:4" x14ac:dyDescent="0.2">
      <c r="B6849" s="876">
        <v>8312</v>
      </c>
      <c r="C6849" s="876" t="s">
        <v>7234</v>
      </c>
      <c r="D6849" s="851">
        <v>745.95714499999997</v>
      </c>
    </row>
    <row r="6850" spans="2:4" x14ac:dyDescent="0.2">
      <c r="B6850" s="876">
        <v>8313</v>
      </c>
      <c r="C6850" s="876" t="s">
        <v>7235</v>
      </c>
      <c r="D6850" s="851">
        <v>764.65999799999997</v>
      </c>
    </row>
    <row r="6851" spans="2:4" x14ac:dyDescent="0.2">
      <c r="B6851" s="876">
        <v>8314</v>
      </c>
      <c r="C6851" s="876" t="s">
        <v>7236</v>
      </c>
      <c r="D6851" s="851">
        <v>757.60000200000002</v>
      </c>
    </row>
    <row r="6852" spans="2:4" x14ac:dyDescent="0.2">
      <c r="B6852" s="876">
        <v>8315</v>
      </c>
      <c r="C6852" s="876" t="s">
        <v>7237</v>
      </c>
      <c r="D6852" s="851">
        <v>787.72499100000005</v>
      </c>
    </row>
    <row r="6853" spans="2:4" x14ac:dyDescent="0.2">
      <c r="B6853" s="876">
        <v>8316</v>
      </c>
      <c r="C6853" s="876" t="s">
        <v>7238</v>
      </c>
      <c r="D6853" s="851">
        <v>774.47142699999995</v>
      </c>
    </row>
    <row r="6854" spans="2:4" x14ac:dyDescent="0.2">
      <c r="B6854" s="876">
        <v>8317</v>
      </c>
      <c r="C6854" s="876" t="s">
        <v>7239</v>
      </c>
      <c r="D6854" s="851">
        <v>769.32223199999999</v>
      </c>
    </row>
    <row r="6855" spans="2:4" x14ac:dyDescent="0.2">
      <c r="B6855" s="876">
        <v>8318</v>
      </c>
      <c r="C6855" s="876" t="s">
        <v>7174</v>
      </c>
      <c r="D6855" s="851">
        <v>774.97500600000001</v>
      </c>
    </row>
    <row r="6856" spans="2:4" x14ac:dyDescent="0.2">
      <c r="B6856" s="876">
        <v>8319</v>
      </c>
      <c r="C6856" s="876" t="s">
        <v>7240</v>
      </c>
      <c r="D6856" s="851">
        <v>765.15000199999997</v>
      </c>
    </row>
    <row r="6857" spans="2:4" x14ac:dyDescent="0.2">
      <c r="B6857" s="876">
        <v>8320</v>
      </c>
      <c r="C6857" s="876" t="s">
        <v>7241</v>
      </c>
      <c r="D6857" s="851">
        <v>762.740002</v>
      </c>
    </row>
    <row r="6858" spans="2:4" x14ac:dyDescent="0.2">
      <c r="B6858" s="876">
        <v>8321</v>
      </c>
      <c r="C6858" s="876" t="s">
        <v>316</v>
      </c>
      <c r="D6858" s="851">
        <v>761.10952599999996</v>
      </c>
    </row>
    <row r="6859" spans="2:4" x14ac:dyDescent="0.2">
      <c r="B6859" s="876">
        <v>8322</v>
      </c>
      <c r="C6859" s="876" t="s">
        <v>7242</v>
      </c>
      <c r="D6859" s="851">
        <v>763.42500299999995</v>
      </c>
    </row>
    <row r="6860" spans="2:4" x14ac:dyDescent="0.2">
      <c r="B6860" s="876">
        <v>8323</v>
      </c>
      <c r="C6860" s="876" t="s">
        <v>7243</v>
      </c>
      <c r="D6860" s="851">
        <v>761.82666400000005</v>
      </c>
    </row>
    <row r="6861" spans="2:4" x14ac:dyDescent="0.2">
      <c r="B6861" s="876">
        <v>8324</v>
      </c>
      <c r="C6861" s="876" t="s">
        <v>7244</v>
      </c>
      <c r="D6861" s="851">
        <v>765.90000199999997</v>
      </c>
    </row>
    <row r="6862" spans="2:4" x14ac:dyDescent="0.2">
      <c r="B6862" s="876">
        <v>8325</v>
      </c>
      <c r="C6862" s="876" t="s">
        <v>7245</v>
      </c>
      <c r="D6862" s="851">
        <v>815.23333700000001</v>
      </c>
    </row>
    <row r="6863" spans="2:4" x14ac:dyDescent="0.2">
      <c r="B6863" s="876">
        <v>8326</v>
      </c>
      <c r="C6863" s="876" t="s">
        <v>2758</v>
      </c>
      <c r="D6863" s="851">
        <v>824.01250500000003</v>
      </c>
    </row>
    <row r="6864" spans="2:4" x14ac:dyDescent="0.2">
      <c r="B6864" s="876">
        <v>8327</v>
      </c>
      <c r="C6864" s="876" t="s">
        <v>7246</v>
      </c>
      <c r="D6864" s="851">
        <v>780.65713100000005</v>
      </c>
    </row>
    <row r="6865" spans="2:4" x14ac:dyDescent="0.2">
      <c r="B6865" s="876">
        <v>8328</v>
      </c>
      <c r="C6865" s="876" t="s">
        <v>7247</v>
      </c>
      <c r="D6865" s="851">
        <v>790.79999799999996</v>
      </c>
    </row>
    <row r="6866" spans="2:4" x14ac:dyDescent="0.2">
      <c r="B6866" s="876">
        <v>8329</v>
      </c>
      <c r="C6866" s="876" t="s">
        <v>7248</v>
      </c>
      <c r="D6866" s="851">
        <v>790.55384700000002</v>
      </c>
    </row>
    <row r="6867" spans="2:4" x14ac:dyDescent="0.2">
      <c r="B6867" s="876">
        <v>8330</v>
      </c>
      <c r="C6867" s="876" t="s">
        <v>7249</v>
      </c>
      <c r="D6867" s="851">
        <v>792.57500700000003</v>
      </c>
    </row>
    <row r="6868" spans="2:4" x14ac:dyDescent="0.2">
      <c r="B6868" s="876">
        <v>8331</v>
      </c>
      <c r="C6868" s="876" t="s">
        <v>7250</v>
      </c>
      <c r="D6868" s="851">
        <v>778.11110399999995</v>
      </c>
    </row>
    <row r="6869" spans="2:4" x14ac:dyDescent="0.2">
      <c r="B6869" s="876">
        <v>8332</v>
      </c>
      <c r="C6869" s="876" t="s">
        <v>7251</v>
      </c>
      <c r="D6869" s="851">
        <v>783.96667000000002</v>
      </c>
    </row>
    <row r="6870" spans="2:4" x14ac:dyDescent="0.2">
      <c r="B6870" s="876">
        <v>8333</v>
      </c>
      <c r="C6870" s="876" t="s">
        <v>7191</v>
      </c>
      <c r="D6870" s="851">
        <v>808.63333599999999</v>
      </c>
    </row>
    <row r="6871" spans="2:4" x14ac:dyDescent="0.2">
      <c r="B6871" s="876">
        <v>8334</v>
      </c>
      <c r="C6871" s="876" t="s">
        <v>6015</v>
      </c>
      <c r="D6871" s="851">
        <v>805.11034700000005</v>
      </c>
    </row>
    <row r="6872" spans="2:4" x14ac:dyDescent="0.2">
      <c r="B6872" s="876">
        <v>8335</v>
      </c>
      <c r="C6872" s="876" t="s">
        <v>7252</v>
      </c>
      <c r="D6872" s="851">
        <v>791.00370299999997</v>
      </c>
    </row>
    <row r="6873" spans="2:4" x14ac:dyDescent="0.2">
      <c r="B6873" s="876">
        <v>8336</v>
      </c>
      <c r="C6873" s="876" t="s">
        <v>7253</v>
      </c>
      <c r="D6873" s="851">
        <v>789.24285899999995</v>
      </c>
    </row>
    <row r="6874" spans="2:4" x14ac:dyDescent="0.2">
      <c r="B6874" s="876">
        <v>8351</v>
      </c>
      <c r="C6874" s="876" t="s">
        <v>7254</v>
      </c>
      <c r="D6874" s="851">
        <v>746.70740899999998</v>
      </c>
    </row>
    <row r="6875" spans="2:4" x14ac:dyDescent="0.2">
      <c r="B6875" s="876">
        <v>8352</v>
      </c>
      <c r="C6875" s="876" t="s">
        <v>2266</v>
      </c>
      <c r="D6875" s="851">
        <v>827.14616000000001</v>
      </c>
    </row>
    <row r="6876" spans="2:4" x14ac:dyDescent="0.2">
      <c r="B6876" s="876">
        <v>8353</v>
      </c>
      <c r="C6876" s="876" t="s">
        <v>7255</v>
      </c>
      <c r="D6876" s="851">
        <v>820.14117799999997</v>
      </c>
    </row>
    <row r="6877" spans="2:4" x14ac:dyDescent="0.2">
      <c r="B6877" s="876">
        <v>8354</v>
      </c>
      <c r="C6877" s="876" t="s">
        <v>7256</v>
      </c>
      <c r="D6877" s="851">
        <v>756.14762099999996</v>
      </c>
    </row>
    <row r="6878" spans="2:4" x14ac:dyDescent="0.2">
      <c r="B6878" s="876">
        <v>8355</v>
      </c>
      <c r="C6878" s="876" t="s">
        <v>7257</v>
      </c>
      <c r="D6878" s="851">
        <v>770.29999699999996</v>
      </c>
    </row>
    <row r="6879" spans="2:4" x14ac:dyDescent="0.2">
      <c r="B6879" s="876">
        <v>8356</v>
      </c>
      <c r="C6879" s="876" t="s">
        <v>3595</v>
      </c>
      <c r="D6879" s="851">
        <v>773.42727400000001</v>
      </c>
    </row>
    <row r="6880" spans="2:4" x14ac:dyDescent="0.2">
      <c r="B6880" s="876">
        <v>8357</v>
      </c>
      <c r="C6880" s="876" t="s">
        <v>7258</v>
      </c>
      <c r="D6880" s="851">
        <v>789.30000299999995</v>
      </c>
    </row>
    <row r="6881" spans="2:4" x14ac:dyDescent="0.2">
      <c r="B6881" s="876">
        <v>8358</v>
      </c>
      <c r="C6881" s="876" t="s">
        <v>7259</v>
      </c>
      <c r="D6881" s="851">
        <v>835.66110900000001</v>
      </c>
    </row>
    <row r="6882" spans="2:4" x14ac:dyDescent="0.2">
      <c r="B6882" s="876">
        <v>8359</v>
      </c>
      <c r="C6882" s="876" t="s">
        <v>5550</v>
      </c>
      <c r="D6882" s="851">
        <v>822.01765</v>
      </c>
    </row>
    <row r="6883" spans="2:4" x14ac:dyDescent="0.2">
      <c r="B6883" s="876">
        <v>8360</v>
      </c>
      <c r="C6883" s="876" t="s">
        <v>7260</v>
      </c>
      <c r="D6883" s="851">
        <v>819.14999399999999</v>
      </c>
    </row>
    <row r="6884" spans="2:4" x14ac:dyDescent="0.2">
      <c r="B6884" s="876">
        <v>8361</v>
      </c>
      <c r="C6884" s="876" t="s">
        <v>7261</v>
      </c>
      <c r="D6884" s="851">
        <v>824.76999499999999</v>
      </c>
    </row>
    <row r="6885" spans="2:4" x14ac:dyDescent="0.2">
      <c r="B6885" s="876">
        <v>8362</v>
      </c>
      <c r="C6885" s="876" t="s">
        <v>7262</v>
      </c>
      <c r="D6885" s="851">
        <v>823.10000300000002</v>
      </c>
    </row>
    <row r="6886" spans="2:4" x14ac:dyDescent="0.2">
      <c r="B6886" s="876">
        <v>8363</v>
      </c>
      <c r="C6886" s="876" t="s">
        <v>7263</v>
      </c>
      <c r="D6886" s="851">
        <v>750.55000099999995</v>
      </c>
    </row>
    <row r="6887" spans="2:4" x14ac:dyDescent="0.2">
      <c r="B6887" s="876">
        <v>8364</v>
      </c>
      <c r="C6887" s="876" t="s">
        <v>7264</v>
      </c>
      <c r="D6887" s="851">
        <v>794.21764800000005</v>
      </c>
    </row>
    <row r="6888" spans="2:4" x14ac:dyDescent="0.2">
      <c r="B6888" s="876">
        <v>8365</v>
      </c>
      <c r="C6888" s="876" t="s">
        <v>7265</v>
      </c>
      <c r="D6888" s="851">
        <v>835.28181600000005</v>
      </c>
    </row>
    <row r="6889" spans="2:4" x14ac:dyDescent="0.2">
      <c r="B6889" s="876">
        <v>8366</v>
      </c>
      <c r="C6889" s="876" t="s">
        <v>7266</v>
      </c>
      <c r="D6889" s="851">
        <v>815.684214</v>
      </c>
    </row>
    <row r="6890" spans="2:4" x14ac:dyDescent="0.2">
      <c r="B6890" s="876">
        <v>8367</v>
      </c>
      <c r="C6890" s="876" t="s">
        <v>7267</v>
      </c>
      <c r="D6890" s="851">
        <v>827.59997599999997</v>
      </c>
    </row>
    <row r="6891" spans="2:4" x14ac:dyDescent="0.2">
      <c r="B6891" s="876">
        <v>8368</v>
      </c>
      <c r="C6891" s="876" t="s">
        <v>7268</v>
      </c>
      <c r="D6891" s="851">
        <v>822.32667200000003</v>
      </c>
    </row>
    <row r="6892" spans="2:4" x14ac:dyDescent="0.2">
      <c r="B6892" s="876">
        <v>8369</v>
      </c>
      <c r="C6892" s="876" t="s">
        <v>7269</v>
      </c>
      <c r="D6892" s="851">
        <v>799.64285700000005</v>
      </c>
    </row>
    <row r="6893" spans="2:4" x14ac:dyDescent="0.2">
      <c r="B6893" s="876">
        <v>8370</v>
      </c>
      <c r="C6893" s="876" t="s">
        <v>7270</v>
      </c>
      <c r="D6893" s="851">
        <v>752.04509700000006</v>
      </c>
    </row>
    <row r="6894" spans="2:4" x14ac:dyDescent="0.2">
      <c r="B6894" s="876">
        <v>8371</v>
      </c>
      <c r="C6894" s="876" t="s">
        <v>315</v>
      </c>
      <c r="D6894" s="851">
        <v>766.47499800000003</v>
      </c>
    </row>
    <row r="6895" spans="2:4" x14ac:dyDescent="0.2">
      <c r="B6895" s="876">
        <v>8372</v>
      </c>
      <c r="C6895" s="876" t="s">
        <v>7271</v>
      </c>
      <c r="D6895" s="851">
        <v>776.65789800000005</v>
      </c>
    </row>
    <row r="6896" spans="2:4" x14ac:dyDescent="0.2">
      <c r="B6896" s="876">
        <v>8373</v>
      </c>
      <c r="C6896" s="876" t="s">
        <v>7272</v>
      </c>
      <c r="D6896" s="851">
        <v>837.29375100000004</v>
      </c>
    </row>
    <row r="6897" spans="2:4" x14ac:dyDescent="0.2">
      <c r="B6897" s="876">
        <v>8374</v>
      </c>
      <c r="C6897" s="876" t="s">
        <v>7273</v>
      </c>
      <c r="D6897" s="851">
        <v>852.79998799999998</v>
      </c>
    </row>
    <row r="6898" spans="2:4" x14ac:dyDescent="0.2">
      <c r="B6898" s="876">
        <v>8375</v>
      </c>
      <c r="C6898" s="876" t="s">
        <v>5387</v>
      </c>
      <c r="D6898" s="851">
        <v>862.51818800000001</v>
      </c>
    </row>
    <row r="6899" spans="2:4" x14ac:dyDescent="0.2">
      <c r="B6899" s="876">
        <v>8376</v>
      </c>
      <c r="C6899" s="876" t="s">
        <v>5396</v>
      </c>
      <c r="D6899" s="851">
        <v>842.58235400000001</v>
      </c>
    </row>
    <row r="6900" spans="2:4" x14ac:dyDescent="0.2">
      <c r="B6900" s="876">
        <v>8377</v>
      </c>
      <c r="C6900" s="876" t="s">
        <v>3825</v>
      </c>
      <c r="D6900" s="851">
        <v>825.60999500000003</v>
      </c>
    </row>
    <row r="6901" spans="2:4" x14ac:dyDescent="0.2">
      <c r="B6901" s="876">
        <v>8378</v>
      </c>
      <c r="C6901" s="876" t="s">
        <v>7274</v>
      </c>
      <c r="D6901" s="851">
        <v>807.20000100000004</v>
      </c>
    </row>
    <row r="6902" spans="2:4" x14ac:dyDescent="0.2">
      <c r="B6902" s="876">
        <v>8379</v>
      </c>
      <c r="C6902" s="876" t="s">
        <v>7275</v>
      </c>
      <c r="D6902" s="851">
        <v>753.57857799999999</v>
      </c>
    </row>
    <row r="6903" spans="2:4" x14ac:dyDescent="0.2">
      <c r="B6903" s="876">
        <v>8380</v>
      </c>
      <c r="C6903" s="876" t="s">
        <v>7276</v>
      </c>
      <c r="D6903" s="851">
        <v>792.67143499999997</v>
      </c>
    </row>
    <row r="6904" spans="2:4" x14ac:dyDescent="0.2">
      <c r="B6904" s="876">
        <v>8381</v>
      </c>
      <c r="C6904" s="876" t="s">
        <v>7277</v>
      </c>
      <c r="D6904" s="851">
        <v>817.30000199999995</v>
      </c>
    </row>
    <row r="6905" spans="2:4" x14ac:dyDescent="0.2">
      <c r="B6905" s="876">
        <v>8382</v>
      </c>
      <c r="C6905" s="876" t="s">
        <v>7278</v>
      </c>
      <c r="D6905" s="851">
        <v>854.58999900000003</v>
      </c>
    </row>
    <row r="6906" spans="2:4" x14ac:dyDescent="0.2">
      <c r="B6906" s="876">
        <v>8383</v>
      </c>
      <c r="C6906" s="876" t="s">
        <v>7279</v>
      </c>
      <c r="D6906" s="851">
        <v>851.88666599999999</v>
      </c>
    </row>
    <row r="6907" spans="2:4" x14ac:dyDescent="0.2">
      <c r="B6907" s="876">
        <v>8384</v>
      </c>
      <c r="C6907" s="876" t="s">
        <v>7280</v>
      </c>
      <c r="D6907" s="851">
        <v>820.5</v>
      </c>
    </row>
    <row r="6908" spans="2:4" x14ac:dyDescent="0.2">
      <c r="B6908" s="876">
        <v>8385</v>
      </c>
      <c r="C6908" s="876" t="s">
        <v>7281</v>
      </c>
      <c r="D6908" s="851">
        <v>829.12000699999999</v>
      </c>
    </row>
    <row r="6909" spans="2:4" x14ac:dyDescent="0.2">
      <c r="B6909" s="876">
        <v>8386</v>
      </c>
      <c r="C6909" s="876" t="s">
        <v>7282</v>
      </c>
      <c r="D6909" s="851">
        <v>795.11251100000004</v>
      </c>
    </row>
    <row r="6910" spans="2:4" x14ac:dyDescent="0.2">
      <c r="B6910" s="876">
        <v>8387</v>
      </c>
      <c r="C6910" s="876" t="s">
        <v>7283</v>
      </c>
      <c r="D6910" s="851">
        <v>786.44593899999995</v>
      </c>
    </row>
    <row r="6911" spans="2:4" x14ac:dyDescent="0.2">
      <c r="B6911" s="876">
        <v>8388</v>
      </c>
      <c r="C6911" s="876" t="s">
        <v>7284</v>
      </c>
      <c r="D6911" s="851">
        <v>802.01250500000003</v>
      </c>
    </row>
    <row r="6912" spans="2:4" x14ac:dyDescent="0.2">
      <c r="B6912" s="876">
        <v>8389</v>
      </c>
      <c r="C6912" s="876" t="s">
        <v>7285</v>
      </c>
      <c r="D6912" s="851">
        <v>826.45833300000004</v>
      </c>
    </row>
    <row r="6913" spans="2:4" x14ac:dyDescent="0.2">
      <c r="B6913" s="876">
        <v>8390</v>
      </c>
      <c r="C6913" s="876" t="s">
        <v>7286</v>
      </c>
      <c r="D6913" s="851">
        <v>831.42173700000001</v>
      </c>
    </row>
    <row r="6914" spans="2:4" x14ac:dyDescent="0.2">
      <c r="B6914" s="876">
        <v>8391</v>
      </c>
      <c r="C6914" s="876" t="s">
        <v>7287</v>
      </c>
      <c r="D6914" s="851">
        <v>824.27221999999995</v>
      </c>
    </row>
    <row r="6915" spans="2:4" x14ac:dyDescent="0.2">
      <c r="B6915" s="876">
        <v>8392</v>
      </c>
      <c r="C6915" s="876" t="s">
        <v>7288</v>
      </c>
      <c r="D6915" s="851">
        <v>890.41666699999996</v>
      </c>
    </row>
    <row r="6916" spans="2:4" x14ac:dyDescent="0.2">
      <c r="B6916" s="876">
        <v>8393</v>
      </c>
      <c r="C6916" s="876" t="s">
        <v>7289</v>
      </c>
      <c r="D6916" s="851">
        <v>881</v>
      </c>
    </row>
    <row r="6917" spans="2:4" x14ac:dyDescent="0.2">
      <c r="B6917" s="876">
        <v>8394</v>
      </c>
      <c r="C6917" s="876" t="s">
        <v>7290</v>
      </c>
      <c r="D6917" s="851">
        <v>824.7</v>
      </c>
    </row>
    <row r="6918" spans="2:4" x14ac:dyDescent="0.2">
      <c r="B6918" s="876">
        <v>8395</v>
      </c>
      <c r="C6918" s="876" t="s">
        <v>7291</v>
      </c>
      <c r="D6918" s="851">
        <v>843.97142699999995</v>
      </c>
    </row>
    <row r="6919" spans="2:4" x14ac:dyDescent="0.2">
      <c r="B6919" s="876">
        <v>8396</v>
      </c>
      <c r="C6919" s="876" t="s">
        <v>7292</v>
      </c>
      <c r="D6919" s="851">
        <v>895.86665900000003</v>
      </c>
    </row>
    <row r="6920" spans="2:4" x14ac:dyDescent="0.2">
      <c r="B6920" s="876">
        <v>8397</v>
      </c>
      <c r="C6920" s="876" t="s">
        <v>7293</v>
      </c>
      <c r="D6920" s="851">
        <v>823.35714299999995</v>
      </c>
    </row>
    <row r="6921" spans="2:4" x14ac:dyDescent="0.2">
      <c r="B6921" s="876">
        <v>8398</v>
      </c>
      <c r="C6921" s="876" t="s">
        <v>3540</v>
      </c>
      <c r="D6921" s="851">
        <v>851.27777800000001</v>
      </c>
    </row>
    <row r="6922" spans="2:4" x14ac:dyDescent="0.2">
      <c r="B6922" s="876">
        <v>8399</v>
      </c>
      <c r="C6922" s="876" t="s">
        <v>7294</v>
      </c>
      <c r="D6922" s="851">
        <v>871.59523200000001</v>
      </c>
    </row>
    <row r="6923" spans="2:4" x14ac:dyDescent="0.2">
      <c r="B6923" s="876">
        <v>8400</v>
      </c>
      <c r="C6923" s="876" t="s">
        <v>7295</v>
      </c>
      <c r="D6923" s="851">
        <v>915.69545700000003</v>
      </c>
    </row>
    <row r="6924" spans="2:4" x14ac:dyDescent="0.2">
      <c r="B6924" s="876">
        <v>8401</v>
      </c>
      <c r="C6924" s="876" t="s">
        <v>7296</v>
      </c>
      <c r="D6924" s="851">
        <v>952.29998799999998</v>
      </c>
    </row>
    <row r="6925" spans="2:4" x14ac:dyDescent="0.2">
      <c r="B6925" s="876">
        <v>8402</v>
      </c>
      <c r="C6925" s="876" t="s">
        <v>7297</v>
      </c>
      <c r="D6925" s="851">
        <v>955.42500700000005</v>
      </c>
    </row>
    <row r="6926" spans="2:4" x14ac:dyDescent="0.2">
      <c r="B6926" s="876">
        <v>8403</v>
      </c>
      <c r="C6926" s="876" t="s">
        <v>7298</v>
      </c>
      <c r="D6926" s="851">
        <v>964.59999600000003</v>
      </c>
    </row>
    <row r="6927" spans="2:4" x14ac:dyDescent="0.2">
      <c r="B6927" s="876">
        <v>8404</v>
      </c>
      <c r="C6927" s="876" t="s">
        <v>5909</v>
      </c>
      <c r="D6927" s="851">
        <v>1007.674988</v>
      </c>
    </row>
    <row r="6928" spans="2:4" x14ac:dyDescent="0.2">
      <c r="B6928" s="876">
        <v>8405</v>
      </c>
      <c r="C6928" s="876" t="s">
        <v>7299</v>
      </c>
      <c r="D6928" s="851">
        <v>939.24545599999999</v>
      </c>
    </row>
    <row r="6929" spans="2:4" x14ac:dyDescent="0.2">
      <c r="B6929" s="876">
        <v>8406</v>
      </c>
      <c r="C6929" s="876" t="s">
        <v>7300</v>
      </c>
      <c r="D6929" s="851">
        <v>894.91428900000005</v>
      </c>
    </row>
    <row r="6930" spans="2:4" x14ac:dyDescent="0.2">
      <c r="B6930" s="876">
        <v>8407</v>
      </c>
      <c r="C6930" s="876" t="s">
        <v>7301</v>
      </c>
      <c r="D6930" s="851">
        <v>952.72499800000003</v>
      </c>
    </row>
    <row r="6931" spans="2:4" x14ac:dyDescent="0.2">
      <c r="B6931" s="876">
        <v>8408</v>
      </c>
      <c r="C6931" s="876" t="s">
        <v>7302</v>
      </c>
      <c r="D6931" s="851">
        <v>960.98000500000001</v>
      </c>
    </row>
    <row r="6932" spans="2:4" x14ac:dyDescent="0.2">
      <c r="B6932" s="876">
        <v>8409</v>
      </c>
      <c r="C6932" s="876" t="s">
        <v>1943</v>
      </c>
      <c r="D6932" s="851">
        <v>932.32499700000005</v>
      </c>
    </row>
    <row r="6933" spans="2:4" x14ac:dyDescent="0.2">
      <c r="B6933" s="876">
        <v>8410</v>
      </c>
      <c r="C6933" s="876" t="s">
        <v>7303</v>
      </c>
      <c r="D6933" s="851">
        <v>929.48124299999995</v>
      </c>
    </row>
    <row r="6934" spans="2:4" x14ac:dyDescent="0.2">
      <c r="B6934" s="876">
        <v>8411</v>
      </c>
      <c r="C6934" s="876" t="s">
        <v>7304</v>
      </c>
      <c r="D6934" s="851">
        <v>1002.827271</v>
      </c>
    </row>
    <row r="6935" spans="2:4" x14ac:dyDescent="0.2">
      <c r="B6935" s="876">
        <v>8412</v>
      </c>
      <c r="C6935" s="876" t="s">
        <v>7305</v>
      </c>
      <c r="D6935" s="851">
        <v>1024.0999879999999</v>
      </c>
    </row>
    <row r="6936" spans="2:4" x14ac:dyDescent="0.2">
      <c r="B6936" s="876">
        <v>8413</v>
      </c>
      <c r="C6936" s="876" t="s">
        <v>7306</v>
      </c>
      <c r="D6936" s="851">
        <v>1015.724998</v>
      </c>
    </row>
    <row r="6937" spans="2:4" x14ac:dyDescent="0.2">
      <c r="B6937" s="876">
        <v>8414</v>
      </c>
      <c r="C6937" s="876" t="s">
        <v>7307</v>
      </c>
      <c r="D6937" s="851">
        <v>980.46001000000001</v>
      </c>
    </row>
    <row r="6938" spans="2:4" x14ac:dyDescent="0.2">
      <c r="B6938" s="876">
        <v>8451</v>
      </c>
      <c r="C6938" s="876" t="s">
        <v>6425</v>
      </c>
      <c r="D6938" s="851">
        <v>808.32856100000004</v>
      </c>
    </row>
    <row r="6939" spans="2:4" x14ac:dyDescent="0.2">
      <c r="B6939" s="876">
        <v>8452</v>
      </c>
      <c r="C6939" s="876" t="s">
        <v>4029</v>
      </c>
      <c r="D6939" s="851">
        <v>805.98749499999997</v>
      </c>
    </row>
    <row r="6940" spans="2:4" x14ac:dyDescent="0.2">
      <c r="B6940" s="876">
        <v>8453</v>
      </c>
      <c r="C6940" s="876" t="s">
        <v>7308</v>
      </c>
      <c r="D6940" s="851">
        <v>801.21428600000002</v>
      </c>
    </row>
    <row r="6941" spans="2:4" x14ac:dyDescent="0.2">
      <c r="B6941" s="876">
        <v>8454</v>
      </c>
      <c r="C6941" s="876" t="s">
        <v>7309</v>
      </c>
      <c r="D6941" s="851">
        <v>826.03333899999996</v>
      </c>
    </row>
    <row r="6942" spans="2:4" x14ac:dyDescent="0.2">
      <c r="B6942" s="876">
        <v>8455</v>
      </c>
      <c r="C6942" s="876" t="s">
        <v>7310</v>
      </c>
      <c r="D6942" s="851">
        <v>790.27999299999999</v>
      </c>
    </row>
    <row r="6943" spans="2:4" x14ac:dyDescent="0.2">
      <c r="B6943" s="876">
        <v>8456</v>
      </c>
      <c r="C6943" s="876" t="s">
        <v>7311</v>
      </c>
      <c r="D6943" s="851">
        <v>814.01999499999999</v>
      </c>
    </row>
    <row r="6944" spans="2:4" x14ac:dyDescent="0.2">
      <c r="B6944" s="876">
        <v>8457</v>
      </c>
      <c r="C6944" s="876" t="s">
        <v>7312</v>
      </c>
      <c r="D6944" s="851">
        <v>793.85000600000001</v>
      </c>
    </row>
    <row r="6945" spans="2:4" x14ac:dyDescent="0.2">
      <c r="B6945" s="876">
        <v>8458</v>
      </c>
      <c r="C6945" s="876" t="s">
        <v>5932</v>
      </c>
      <c r="D6945" s="851">
        <v>812.54999399999997</v>
      </c>
    </row>
    <row r="6946" spans="2:4" x14ac:dyDescent="0.2">
      <c r="B6946" s="876">
        <v>8459</v>
      </c>
      <c r="C6946" s="876" t="s">
        <v>7313</v>
      </c>
      <c r="D6946" s="851">
        <v>772.08181500000001</v>
      </c>
    </row>
    <row r="6947" spans="2:4" x14ac:dyDescent="0.2">
      <c r="B6947" s="876">
        <v>8460</v>
      </c>
      <c r="C6947" s="876" t="s">
        <v>7314</v>
      </c>
      <c r="D6947" s="851">
        <v>788.02857300000005</v>
      </c>
    </row>
    <row r="6948" spans="2:4" x14ac:dyDescent="0.2">
      <c r="B6948" s="876">
        <v>8461</v>
      </c>
      <c r="C6948" s="876" t="s">
        <v>7315</v>
      </c>
      <c r="D6948" s="851">
        <v>859.91818000000001</v>
      </c>
    </row>
    <row r="6949" spans="2:4" x14ac:dyDescent="0.2">
      <c r="B6949" s="876">
        <v>8462</v>
      </c>
      <c r="C6949" s="876" t="s">
        <v>7316</v>
      </c>
      <c r="D6949" s="851">
        <v>845.48000500000001</v>
      </c>
    </row>
    <row r="6950" spans="2:4" x14ac:dyDescent="0.2">
      <c r="B6950" s="876">
        <v>8463</v>
      </c>
      <c r="C6950" s="876" t="s">
        <v>7317</v>
      </c>
      <c r="D6950" s="851">
        <v>844.66665899999998</v>
      </c>
    </row>
    <row r="6951" spans="2:4" x14ac:dyDescent="0.2">
      <c r="B6951" s="876">
        <v>8464</v>
      </c>
      <c r="C6951" s="876" t="s">
        <v>7318</v>
      </c>
      <c r="D6951" s="851">
        <v>870.31999499999995</v>
      </c>
    </row>
    <row r="6952" spans="2:4" x14ac:dyDescent="0.2">
      <c r="B6952" s="876">
        <v>8465</v>
      </c>
      <c r="C6952" s="876" t="s">
        <v>6266</v>
      </c>
      <c r="D6952" s="851">
        <v>855.25453900000002</v>
      </c>
    </row>
    <row r="6953" spans="2:4" x14ac:dyDescent="0.2">
      <c r="B6953" s="876">
        <v>8466</v>
      </c>
      <c r="C6953" s="876" t="s">
        <v>7319</v>
      </c>
      <c r="D6953" s="851">
        <v>867.60000600000001</v>
      </c>
    </row>
    <row r="6954" spans="2:4" x14ac:dyDescent="0.2">
      <c r="B6954" s="876">
        <v>8467</v>
      </c>
      <c r="C6954" s="876" t="s">
        <v>7143</v>
      </c>
      <c r="D6954" s="851">
        <v>844.55000299999995</v>
      </c>
    </row>
    <row r="6955" spans="2:4" x14ac:dyDescent="0.2">
      <c r="B6955" s="876">
        <v>8468</v>
      </c>
      <c r="C6955" s="876" t="s">
        <v>7320</v>
      </c>
      <c r="D6955" s="851">
        <v>845.39999399999999</v>
      </c>
    </row>
    <row r="6956" spans="2:4" x14ac:dyDescent="0.2">
      <c r="B6956" s="876">
        <v>8469</v>
      </c>
      <c r="C6956" s="876" t="s">
        <v>7321</v>
      </c>
      <c r="D6956" s="851">
        <v>863.61999500000002</v>
      </c>
    </row>
    <row r="6957" spans="2:4" x14ac:dyDescent="0.2">
      <c r="B6957" s="876">
        <v>8470</v>
      </c>
      <c r="C6957" s="876" t="s">
        <v>7322</v>
      </c>
      <c r="D6957" s="851">
        <v>863.25556099999994</v>
      </c>
    </row>
    <row r="6958" spans="2:4" x14ac:dyDescent="0.2">
      <c r="B6958" s="876">
        <v>8471</v>
      </c>
      <c r="C6958" s="876" t="s">
        <v>7323</v>
      </c>
      <c r="D6958" s="851">
        <v>876.70000500000003</v>
      </c>
    </row>
    <row r="6959" spans="2:4" x14ac:dyDescent="0.2">
      <c r="B6959" s="876">
        <v>8472</v>
      </c>
      <c r="C6959" s="876" t="s">
        <v>7324</v>
      </c>
      <c r="D6959" s="851">
        <v>871.44999700000005</v>
      </c>
    </row>
    <row r="6960" spans="2:4" x14ac:dyDescent="0.2">
      <c r="B6960" s="876">
        <v>8473</v>
      </c>
      <c r="C6960" s="876" t="s">
        <v>7325</v>
      </c>
      <c r="D6960" s="851">
        <v>840.133331</v>
      </c>
    </row>
    <row r="6961" spans="2:4" x14ac:dyDescent="0.2">
      <c r="B6961" s="876">
        <v>8474</v>
      </c>
      <c r="C6961" s="876" t="s">
        <v>7326</v>
      </c>
      <c r="D6961" s="851">
        <v>842.23333700000001</v>
      </c>
    </row>
    <row r="6962" spans="2:4" x14ac:dyDescent="0.2">
      <c r="B6962" s="876">
        <v>8475</v>
      </c>
      <c r="C6962" s="876" t="s">
        <v>3439</v>
      </c>
      <c r="D6962" s="851">
        <v>889.32500500000003</v>
      </c>
    </row>
    <row r="6963" spans="2:4" x14ac:dyDescent="0.2">
      <c r="B6963" s="876">
        <v>8476</v>
      </c>
      <c r="C6963" s="876" t="s">
        <v>7327</v>
      </c>
      <c r="D6963" s="851">
        <v>880.23999000000003</v>
      </c>
    </row>
    <row r="6964" spans="2:4" x14ac:dyDescent="0.2">
      <c r="B6964" s="876">
        <v>8477</v>
      </c>
      <c r="C6964" s="876" t="s">
        <v>7328</v>
      </c>
      <c r="D6964" s="851">
        <v>914.80714599999999</v>
      </c>
    </row>
    <row r="6965" spans="2:4" x14ac:dyDescent="0.2">
      <c r="B6965" s="876">
        <v>8478</v>
      </c>
      <c r="C6965" s="876" t="s">
        <v>3541</v>
      </c>
      <c r="D6965" s="851">
        <v>882.69999199999995</v>
      </c>
    </row>
    <row r="6966" spans="2:4" x14ac:dyDescent="0.2">
      <c r="B6966" s="876">
        <v>8479</v>
      </c>
      <c r="C6966" s="876" t="s">
        <v>7329</v>
      </c>
      <c r="D6966" s="851">
        <v>893.7</v>
      </c>
    </row>
    <row r="6967" spans="2:4" x14ac:dyDescent="0.2">
      <c r="B6967" s="876">
        <v>8480</v>
      </c>
      <c r="C6967" s="876" t="s">
        <v>318</v>
      </c>
      <c r="D6967" s="851">
        <v>865.85000300000002</v>
      </c>
    </row>
    <row r="6968" spans="2:4" x14ac:dyDescent="0.2">
      <c r="B6968" s="876">
        <v>8481</v>
      </c>
      <c r="C6968" s="876" t="s">
        <v>3590</v>
      </c>
      <c r="D6968" s="851">
        <v>855.73333700000001</v>
      </c>
    </row>
    <row r="6969" spans="2:4" x14ac:dyDescent="0.2">
      <c r="B6969" s="876">
        <v>8482</v>
      </c>
      <c r="C6969" s="876" t="s">
        <v>7131</v>
      </c>
      <c r="D6969" s="851">
        <v>839.70000300000004</v>
      </c>
    </row>
    <row r="6970" spans="2:4" x14ac:dyDescent="0.2">
      <c r="B6970" s="876">
        <v>8483</v>
      </c>
      <c r="C6970" s="876" t="s">
        <v>7330</v>
      </c>
      <c r="D6970" s="851">
        <v>885.60909200000003</v>
      </c>
    </row>
    <row r="6971" spans="2:4" x14ac:dyDescent="0.2">
      <c r="B6971" s="876">
        <v>8484</v>
      </c>
      <c r="C6971" s="876" t="s">
        <v>7331</v>
      </c>
      <c r="D6971" s="851">
        <v>906.83683699999995</v>
      </c>
    </row>
    <row r="6972" spans="2:4" x14ac:dyDescent="0.2">
      <c r="B6972" s="876">
        <v>8485</v>
      </c>
      <c r="C6972" s="876" t="s">
        <v>7332</v>
      </c>
      <c r="D6972" s="851">
        <v>887.97500600000001</v>
      </c>
    </row>
    <row r="6973" spans="2:4" x14ac:dyDescent="0.2">
      <c r="B6973" s="876">
        <v>8486</v>
      </c>
      <c r="C6973" s="876" t="s">
        <v>7333</v>
      </c>
      <c r="D6973" s="851">
        <v>896.19999199999995</v>
      </c>
    </row>
    <row r="6974" spans="2:4" x14ac:dyDescent="0.2">
      <c r="B6974" s="876">
        <v>8487</v>
      </c>
      <c r="C6974" s="876" t="s">
        <v>7334</v>
      </c>
      <c r="D6974" s="851">
        <v>873.39999399999999</v>
      </c>
    </row>
    <row r="6975" spans="2:4" x14ac:dyDescent="0.2">
      <c r="B6975" s="876">
        <v>8488</v>
      </c>
      <c r="C6975" s="876" t="s">
        <v>7335</v>
      </c>
      <c r="D6975" s="851">
        <v>870.14999399999999</v>
      </c>
    </row>
    <row r="6976" spans="2:4" x14ac:dyDescent="0.2">
      <c r="B6976" s="876">
        <v>8489</v>
      </c>
      <c r="C6976" s="876" t="s">
        <v>1444</v>
      </c>
      <c r="D6976" s="851">
        <v>891.65000399999997</v>
      </c>
    </row>
    <row r="6977" spans="2:4" x14ac:dyDescent="0.2">
      <c r="B6977" s="876">
        <v>8490</v>
      </c>
      <c r="C6977" s="876" t="s">
        <v>5958</v>
      </c>
      <c r="D6977" s="851">
        <v>909.09166500000003</v>
      </c>
    </row>
    <row r="6978" spans="2:4" x14ac:dyDescent="0.2">
      <c r="B6978" s="876">
        <v>8491</v>
      </c>
      <c r="C6978" s="876" t="s">
        <v>7336</v>
      </c>
      <c r="D6978" s="851">
        <v>896.25</v>
      </c>
    </row>
    <row r="6979" spans="2:4" x14ac:dyDescent="0.2">
      <c r="B6979" s="876">
        <v>8492</v>
      </c>
      <c r="C6979" s="876" t="s">
        <v>7337</v>
      </c>
      <c r="D6979" s="851">
        <v>938.57499700000005</v>
      </c>
    </row>
    <row r="6980" spans="2:4" x14ac:dyDescent="0.2">
      <c r="B6980" s="876">
        <v>8493</v>
      </c>
      <c r="C6980" s="876" t="s">
        <v>7338</v>
      </c>
      <c r="D6980" s="851">
        <v>992.52002000000005</v>
      </c>
    </row>
    <row r="6981" spans="2:4" x14ac:dyDescent="0.2">
      <c r="B6981" s="876">
        <v>8494</v>
      </c>
      <c r="C6981" s="876" t="s">
        <v>7339</v>
      </c>
      <c r="D6981" s="851">
        <v>960.57777899999996</v>
      </c>
    </row>
    <row r="6982" spans="2:4" x14ac:dyDescent="0.2">
      <c r="B6982" s="876">
        <v>8495</v>
      </c>
      <c r="C6982" s="876" t="s">
        <v>7340</v>
      </c>
      <c r="D6982" s="851">
        <v>939.94167100000004</v>
      </c>
    </row>
    <row r="6983" spans="2:4" x14ac:dyDescent="0.2">
      <c r="B6983" s="876">
        <v>8497</v>
      </c>
      <c r="C6983" s="876" t="s">
        <v>7341</v>
      </c>
      <c r="D6983" s="851">
        <v>927.77000399999997</v>
      </c>
    </row>
    <row r="6984" spans="2:4" x14ac:dyDescent="0.2">
      <c r="B6984" s="876">
        <v>8498</v>
      </c>
      <c r="C6984" s="876" t="s">
        <v>4075</v>
      </c>
      <c r="D6984" s="851">
        <v>952.00000999999997</v>
      </c>
    </row>
    <row r="6985" spans="2:4" x14ac:dyDescent="0.2">
      <c r="B6985" s="876">
        <v>8499</v>
      </c>
      <c r="C6985" s="876" t="s">
        <v>1828</v>
      </c>
      <c r="D6985" s="851">
        <v>963.375</v>
      </c>
    </row>
    <row r="6986" spans="2:4" x14ac:dyDescent="0.2">
      <c r="B6986" s="876">
        <v>8500</v>
      </c>
      <c r="C6986" s="876" t="s">
        <v>7342</v>
      </c>
      <c r="D6986" s="851">
        <v>901.65832999999998</v>
      </c>
    </row>
    <row r="6987" spans="2:4" x14ac:dyDescent="0.2">
      <c r="B6987" s="876">
        <v>8501</v>
      </c>
      <c r="C6987" s="876" t="s">
        <v>7343</v>
      </c>
      <c r="D6987" s="851">
        <v>925.02726600000005</v>
      </c>
    </row>
    <row r="6988" spans="2:4" x14ac:dyDescent="0.2">
      <c r="B6988" s="876">
        <v>8502</v>
      </c>
      <c r="C6988" s="876" t="s">
        <v>7344</v>
      </c>
      <c r="D6988" s="851">
        <v>945.80000399999994</v>
      </c>
    </row>
    <row r="6989" spans="2:4" x14ac:dyDescent="0.2">
      <c r="B6989" s="876">
        <v>8551</v>
      </c>
      <c r="C6989" s="876" t="s">
        <v>7345</v>
      </c>
      <c r="D6989" s="851">
        <v>804.40909099999999</v>
      </c>
    </row>
    <row r="6990" spans="2:4" x14ac:dyDescent="0.2">
      <c r="B6990" s="876">
        <v>8552</v>
      </c>
      <c r="C6990" s="876" t="s">
        <v>5191</v>
      </c>
      <c r="D6990" s="851">
        <v>795.07778599999995</v>
      </c>
    </row>
    <row r="6991" spans="2:4" x14ac:dyDescent="0.2">
      <c r="B6991" s="876">
        <v>8553</v>
      </c>
      <c r="C6991" s="876" t="s">
        <v>7346</v>
      </c>
      <c r="D6991" s="851">
        <v>808.07777899999996</v>
      </c>
    </row>
    <row r="6992" spans="2:4" x14ac:dyDescent="0.2">
      <c r="B6992" s="876">
        <v>8554</v>
      </c>
      <c r="C6992" s="876" t="s">
        <v>7347</v>
      </c>
      <c r="D6992" s="851">
        <v>802.55999799999995</v>
      </c>
    </row>
    <row r="6993" spans="2:4" x14ac:dyDescent="0.2">
      <c r="B6993" s="876">
        <v>8555</v>
      </c>
      <c r="C6993" s="876" t="s">
        <v>7348</v>
      </c>
      <c r="D6993" s="851">
        <v>793.23999000000003</v>
      </c>
    </row>
    <row r="6994" spans="2:4" x14ac:dyDescent="0.2">
      <c r="B6994" s="876">
        <v>8556</v>
      </c>
      <c r="C6994" s="876" t="s">
        <v>7349</v>
      </c>
      <c r="D6994" s="851">
        <v>810.42999899999995</v>
      </c>
    </row>
    <row r="6995" spans="2:4" x14ac:dyDescent="0.2">
      <c r="B6995" s="876">
        <v>8557</v>
      </c>
      <c r="C6995" s="876" t="s">
        <v>7350</v>
      </c>
      <c r="D6995" s="851">
        <v>809.17856700000004</v>
      </c>
    </row>
    <row r="6996" spans="2:4" x14ac:dyDescent="0.2">
      <c r="B6996" s="876">
        <v>8558</v>
      </c>
      <c r="C6996" s="876" t="s">
        <v>7351</v>
      </c>
      <c r="D6996" s="851">
        <v>832.72000100000002</v>
      </c>
    </row>
    <row r="6997" spans="2:4" x14ac:dyDescent="0.2">
      <c r="B6997" s="876">
        <v>8559</v>
      </c>
      <c r="C6997" s="876" t="s">
        <v>7352</v>
      </c>
      <c r="D6997" s="851">
        <v>824.15000399999997</v>
      </c>
    </row>
    <row r="6998" spans="2:4" x14ac:dyDescent="0.2">
      <c r="B6998" s="876">
        <v>8560</v>
      </c>
      <c r="C6998" s="876" t="s">
        <v>7353</v>
      </c>
      <c r="D6998" s="851">
        <v>804.04283799999996</v>
      </c>
    </row>
    <row r="6999" spans="2:4" x14ac:dyDescent="0.2">
      <c r="B6999" s="876">
        <v>8561</v>
      </c>
      <c r="C6999" s="876" t="s">
        <v>7319</v>
      </c>
      <c r="D6999" s="851">
        <v>828.375</v>
      </c>
    </row>
    <row r="7000" spans="2:4" x14ac:dyDescent="0.2">
      <c r="B7000" s="876">
        <v>8562</v>
      </c>
      <c r="C7000" s="876" t="s">
        <v>7354</v>
      </c>
      <c r="D7000" s="851">
        <v>799.35000200000002</v>
      </c>
    </row>
    <row r="7001" spans="2:4" x14ac:dyDescent="0.2">
      <c r="B7001" s="876">
        <v>8563</v>
      </c>
      <c r="C7001" s="876" t="s">
        <v>7355</v>
      </c>
      <c r="D7001" s="851">
        <v>811.62857499999996</v>
      </c>
    </row>
    <row r="7002" spans="2:4" x14ac:dyDescent="0.2">
      <c r="B7002" s="876">
        <v>8564</v>
      </c>
      <c r="C7002" s="876" t="s">
        <v>7356</v>
      </c>
      <c r="D7002" s="851">
        <v>805.7</v>
      </c>
    </row>
    <row r="7003" spans="2:4" x14ac:dyDescent="0.2">
      <c r="B7003" s="876">
        <v>8565</v>
      </c>
      <c r="C7003" s="876" t="s">
        <v>7357</v>
      </c>
      <c r="D7003" s="851">
        <v>820.50999100000001</v>
      </c>
    </row>
    <row r="7004" spans="2:4" x14ac:dyDescent="0.2">
      <c r="B7004" s="876">
        <v>8566</v>
      </c>
      <c r="C7004" s="876" t="s">
        <v>7230</v>
      </c>
      <c r="D7004" s="851">
        <v>794.3125</v>
      </c>
    </row>
    <row r="7005" spans="2:4" x14ac:dyDescent="0.2">
      <c r="B7005" s="876">
        <v>8567</v>
      </c>
      <c r="C7005" s="876" t="s">
        <v>7358</v>
      </c>
      <c r="D7005" s="851">
        <v>802.13333499999999</v>
      </c>
    </row>
    <row r="7006" spans="2:4" x14ac:dyDescent="0.2">
      <c r="B7006" s="876">
        <v>8568</v>
      </c>
      <c r="C7006" s="876" t="s">
        <v>7359</v>
      </c>
      <c r="D7006" s="851">
        <v>826.37778000000003</v>
      </c>
    </row>
    <row r="7007" spans="2:4" x14ac:dyDescent="0.2">
      <c r="B7007" s="876">
        <v>8569</v>
      </c>
      <c r="C7007" s="876" t="s">
        <v>7360</v>
      </c>
      <c r="D7007" s="851">
        <v>832.45000200000004</v>
      </c>
    </row>
    <row r="7008" spans="2:4" x14ac:dyDescent="0.2">
      <c r="B7008" s="876">
        <v>8570</v>
      </c>
      <c r="C7008" s="876" t="s">
        <v>7361</v>
      </c>
      <c r="D7008" s="851">
        <v>806.91000399999996</v>
      </c>
    </row>
    <row r="7009" spans="2:4" x14ac:dyDescent="0.2">
      <c r="B7009" s="876">
        <v>8571</v>
      </c>
      <c r="C7009" s="876" t="s">
        <v>7362</v>
      </c>
      <c r="D7009" s="851">
        <v>844.17498799999998</v>
      </c>
    </row>
    <row r="7010" spans="2:4" x14ac:dyDescent="0.2">
      <c r="B7010" s="876">
        <v>8572</v>
      </c>
      <c r="C7010" s="876" t="s">
        <v>7363</v>
      </c>
      <c r="D7010" s="851">
        <v>846.80000800000005</v>
      </c>
    </row>
    <row r="7011" spans="2:4" x14ac:dyDescent="0.2">
      <c r="B7011" s="876">
        <v>8580</v>
      </c>
      <c r="C7011" s="876" t="s">
        <v>311</v>
      </c>
      <c r="D7011" s="851">
        <v>826.83636999999999</v>
      </c>
    </row>
    <row r="7012" spans="2:4" x14ac:dyDescent="0.2">
      <c r="B7012" s="876">
        <v>8581</v>
      </c>
      <c r="C7012" s="876" t="s">
        <v>7364</v>
      </c>
      <c r="D7012" s="851">
        <v>823.38332100000002</v>
      </c>
    </row>
    <row r="7013" spans="2:4" x14ac:dyDescent="0.2">
      <c r="B7013" s="876">
        <v>8601</v>
      </c>
      <c r="C7013" s="876" t="s">
        <v>7365</v>
      </c>
      <c r="D7013" s="851">
        <v>814.89230599999996</v>
      </c>
    </row>
    <row r="7014" spans="2:4" x14ac:dyDescent="0.2">
      <c r="B7014" s="876">
        <v>8602</v>
      </c>
      <c r="C7014" s="876" t="s">
        <v>7366</v>
      </c>
      <c r="D7014" s="851">
        <v>814.47500100000002</v>
      </c>
    </row>
    <row r="7015" spans="2:4" x14ac:dyDescent="0.2">
      <c r="B7015" s="876">
        <v>8603</v>
      </c>
      <c r="C7015" s="876" t="s">
        <v>7367</v>
      </c>
      <c r="D7015" s="851">
        <v>795.48666600000001</v>
      </c>
    </row>
    <row r="7016" spans="2:4" x14ac:dyDescent="0.2">
      <c r="B7016" s="876">
        <v>8604</v>
      </c>
      <c r="C7016" s="876" t="s">
        <v>7368</v>
      </c>
      <c r="D7016" s="851">
        <v>783.28571399999998</v>
      </c>
    </row>
    <row r="7017" spans="2:4" x14ac:dyDescent="0.2">
      <c r="B7017" s="876">
        <v>8605</v>
      </c>
      <c r="C7017" s="876" t="s">
        <v>4944</v>
      </c>
      <c r="D7017" s="851">
        <v>804.59999600000003</v>
      </c>
    </row>
    <row r="7018" spans="2:4" x14ac:dyDescent="0.2">
      <c r="B7018" s="876">
        <v>8606</v>
      </c>
      <c r="C7018" s="876" t="s">
        <v>7369</v>
      </c>
      <c r="D7018" s="851">
        <v>821.05555600000002</v>
      </c>
    </row>
    <row r="7019" spans="2:4" x14ac:dyDescent="0.2">
      <c r="B7019" s="876">
        <v>8607</v>
      </c>
      <c r="C7019" s="876" t="s">
        <v>4219</v>
      </c>
      <c r="D7019" s="851">
        <v>807.24285899999995</v>
      </c>
    </row>
    <row r="7020" spans="2:4" x14ac:dyDescent="0.2">
      <c r="B7020" s="876">
        <v>8609</v>
      </c>
      <c r="C7020" s="876" t="s">
        <v>5081</v>
      </c>
      <c r="D7020" s="851">
        <v>794.63999000000001</v>
      </c>
    </row>
    <row r="7021" spans="2:4" x14ac:dyDescent="0.2">
      <c r="B7021" s="876">
        <v>8610</v>
      </c>
      <c r="C7021" s="876" t="s">
        <v>7370</v>
      </c>
      <c r="D7021" s="851">
        <v>806.57000700000003</v>
      </c>
    </row>
    <row r="7022" spans="2:4" x14ac:dyDescent="0.2">
      <c r="B7022" s="876">
        <v>8611</v>
      </c>
      <c r="C7022" s="876" t="s">
        <v>7371</v>
      </c>
      <c r="D7022" s="851">
        <v>799.883331</v>
      </c>
    </row>
    <row r="7023" spans="2:4" x14ac:dyDescent="0.2">
      <c r="B7023" s="876">
        <v>8612</v>
      </c>
      <c r="C7023" s="876" t="s">
        <v>7372</v>
      </c>
      <c r="D7023" s="851">
        <v>829.616669</v>
      </c>
    </row>
    <row r="7024" spans="2:4" x14ac:dyDescent="0.2">
      <c r="B7024" s="876">
        <v>8613</v>
      </c>
      <c r="C7024" s="876" t="s">
        <v>1818</v>
      </c>
      <c r="D7024" s="851">
        <v>790.87498500000004</v>
      </c>
    </row>
    <row r="7025" spans="2:4" x14ac:dyDescent="0.2">
      <c r="B7025" s="876">
        <v>8614</v>
      </c>
      <c r="C7025" s="876" t="s">
        <v>7373</v>
      </c>
      <c r="D7025" s="851">
        <v>829.46667500000001</v>
      </c>
    </row>
    <row r="7026" spans="2:4" x14ac:dyDescent="0.2">
      <c r="B7026" s="876">
        <v>8615</v>
      </c>
      <c r="C7026" s="876" t="s">
        <v>7374</v>
      </c>
      <c r="D7026" s="851">
        <v>776.31666099999995</v>
      </c>
    </row>
    <row r="7027" spans="2:4" x14ac:dyDescent="0.2">
      <c r="B7027" s="876">
        <v>8616</v>
      </c>
      <c r="C7027" s="876" t="s">
        <v>7375</v>
      </c>
      <c r="D7027" s="851">
        <v>809.53334600000005</v>
      </c>
    </row>
    <row r="7028" spans="2:4" x14ac:dyDescent="0.2">
      <c r="B7028" s="876">
        <v>8617</v>
      </c>
      <c r="C7028" s="876" t="s">
        <v>7376</v>
      </c>
      <c r="D7028" s="851">
        <v>778.62498500000004</v>
      </c>
    </row>
    <row r="7029" spans="2:4" x14ac:dyDescent="0.2">
      <c r="B7029" s="876">
        <v>8618</v>
      </c>
      <c r="C7029" s="876" t="s">
        <v>7377</v>
      </c>
      <c r="D7029" s="851">
        <v>802.34444199999996</v>
      </c>
    </row>
    <row r="7030" spans="2:4" x14ac:dyDescent="0.2">
      <c r="B7030" s="876">
        <v>8619</v>
      </c>
      <c r="C7030" s="876" t="s">
        <v>7378</v>
      </c>
      <c r="D7030" s="851">
        <v>761.99998000000005</v>
      </c>
    </row>
    <row r="7031" spans="2:4" x14ac:dyDescent="0.2">
      <c r="B7031" s="876">
        <v>8620</v>
      </c>
      <c r="C7031" s="876" t="s">
        <v>7379</v>
      </c>
      <c r="D7031" s="851">
        <v>835.81052799999998</v>
      </c>
    </row>
    <row r="7032" spans="2:4" x14ac:dyDescent="0.2">
      <c r="B7032" s="876">
        <v>8621</v>
      </c>
      <c r="C7032" s="876" t="s">
        <v>7380</v>
      </c>
      <c r="D7032" s="851">
        <v>809.38667399999997</v>
      </c>
    </row>
    <row r="7033" spans="2:4" x14ac:dyDescent="0.2">
      <c r="B7033" s="876">
        <v>8622</v>
      </c>
      <c r="C7033" s="876" t="s">
        <v>7381</v>
      </c>
      <c r="D7033" s="851">
        <v>815.48000500000001</v>
      </c>
    </row>
    <row r="7034" spans="2:4" x14ac:dyDescent="0.2">
      <c r="B7034" s="876">
        <v>8623</v>
      </c>
      <c r="C7034" s="876" t="s">
        <v>7382</v>
      </c>
      <c r="D7034" s="851">
        <v>799.77999299999999</v>
      </c>
    </row>
    <row r="7035" spans="2:4" x14ac:dyDescent="0.2">
      <c r="B7035" s="876">
        <v>8624</v>
      </c>
      <c r="C7035" s="876" t="s">
        <v>7383</v>
      </c>
      <c r="D7035" s="851">
        <v>848.870588</v>
      </c>
    </row>
    <row r="7036" spans="2:4" x14ac:dyDescent="0.2">
      <c r="B7036" s="876">
        <v>8625</v>
      </c>
      <c r="C7036" s="876" t="s">
        <v>5863</v>
      </c>
      <c r="D7036" s="851">
        <v>831.77499899999998</v>
      </c>
    </row>
    <row r="7037" spans="2:4" x14ac:dyDescent="0.2">
      <c r="B7037" s="876">
        <v>8626</v>
      </c>
      <c r="C7037" s="876" t="s">
        <v>7384</v>
      </c>
      <c r="D7037" s="851">
        <v>832.87143400000002</v>
      </c>
    </row>
    <row r="7038" spans="2:4" x14ac:dyDescent="0.2">
      <c r="B7038" s="876">
        <v>8627</v>
      </c>
      <c r="C7038" s="876" t="s">
        <v>7385</v>
      </c>
      <c r="D7038" s="851">
        <v>797.29091000000005</v>
      </c>
    </row>
    <row r="7039" spans="2:4" x14ac:dyDescent="0.2">
      <c r="B7039" s="876">
        <v>8628</v>
      </c>
      <c r="C7039" s="876" t="s">
        <v>2758</v>
      </c>
      <c r="D7039" s="851">
        <v>826.42500299999995</v>
      </c>
    </row>
    <row r="7040" spans="2:4" x14ac:dyDescent="0.2">
      <c r="B7040" s="876">
        <v>8629</v>
      </c>
      <c r="C7040" s="876" t="s">
        <v>7386</v>
      </c>
      <c r="D7040" s="851">
        <v>763.59999800000003</v>
      </c>
    </row>
    <row r="7041" spans="2:4" x14ac:dyDescent="0.2">
      <c r="B7041" s="876">
        <v>8630</v>
      </c>
      <c r="C7041" s="876" t="s">
        <v>7387</v>
      </c>
      <c r="D7041" s="851">
        <v>770.46665399999995</v>
      </c>
    </row>
    <row r="7042" spans="2:4" x14ac:dyDescent="0.2">
      <c r="B7042" s="876">
        <v>8631</v>
      </c>
      <c r="C7042" s="876" t="s">
        <v>6609</v>
      </c>
      <c r="D7042" s="851">
        <v>836.11817499999995</v>
      </c>
    </row>
    <row r="7043" spans="2:4" x14ac:dyDescent="0.2">
      <c r="B7043" s="876">
        <v>8632</v>
      </c>
      <c r="C7043" s="876" t="s">
        <v>7388</v>
      </c>
      <c r="D7043" s="851">
        <v>832.02856399999996</v>
      </c>
    </row>
    <row r="7044" spans="2:4" x14ac:dyDescent="0.2">
      <c r="B7044" s="876">
        <v>8633</v>
      </c>
      <c r="C7044" s="876" t="s">
        <v>6658</v>
      </c>
      <c r="D7044" s="851">
        <v>815.34000200000003</v>
      </c>
    </row>
    <row r="7045" spans="2:4" x14ac:dyDescent="0.2">
      <c r="B7045" s="876">
        <v>8634</v>
      </c>
      <c r="C7045" s="876" t="s">
        <v>7389</v>
      </c>
      <c r="D7045" s="851">
        <v>800.55999799999995</v>
      </c>
    </row>
    <row r="7046" spans="2:4" x14ac:dyDescent="0.2">
      <c r="B7046" s="876">
        <v>8635</v>
      </c>
      <c r="C7046" s="876" t="s">
        <v>7390</v>
      </c>
      <c r="D7046" s="851">
        <v>785.35000600000001</v>
      </c>
    </row>
    <row r="7047" spans="2:4" x14ac:dyDescent="0.2">
      <c r="B7047" s="876">
        <v>8636</v>
      </c>
      <c r="C7047" s="876" t="s">
        <v>7391</v>
      </c>
      <c r="D7047" s="851">
        <v>803.38889600000005</v>
      </c>
    </row>
    <row r="7048" spans="2:4" x14ac:dyDescent="0.2">
      <c r="B7048" s="876">
        <v>8637</v>
      </c>
      <c r="C7048" s="876" t="s">
        <v>7392</v>
      </c>
      <c r="D7048" s="851">
        <v>811.85833700000001</v>
      </c>
    </row>
    <row r="7049" spans="2:4" x14ac:dyDescent="0.2">
      <c r="B7049" s="876">
        <v>8638</v>
      </c>
      <c r="C7049" s="876" t="s">
        <v>7393</v>
      </c>
      <c r="D7049" s="851">
        <v>807.60909200000003</v>
      </c>
    </row>
    <row r="7050" spans="2:4" x14ac:dyDescent="0.2">
      <c r="B7050" s="876">
        <v>8639</v>
      </c>
      <c r="C7050" s="876" t="s">
        <v>7394</v>
      </c>
      <c r="D7050" s="851">
        <v>809.76666299999999</v>
      </c>
    </row>
    <row r="7051" spans="2:4" x14ac:dyDescent="0.2">
      <c r="B7051" s="876">
        <v>8640</v>
      </c>
      <c r="C7051" s="876" t="s">
        <v>7395</v>
      </c>
      <c r="D7051" s="851">
        <v>815.77500899999995</v>
      </c>
    </row>
    <row r="7052" spans="2:4" x14ac:dyDescent="0.2">
      <c r="B7052" s="876">
        <v>8641</v>
      </c>
      <c r="C7052" s="876" t="s">
        <v>6220</v>
      </c>
      <c r="D7052" s="851">
        <v>768.67498799999998</v>
      </c>
    </row>
    <row r="7053" spans="2:4" x14ac:dyDescent="0.2">
      <c r="B7053" s="876">
        <v>8642</v>
      </c>
      <c r="C7053" s="876" t="s">
        <v>7396</v>
      </c>
      <c r="D7053" s="851">
        <v>796.34999600000003</v>
      </c>
    </row>
    <row r="7054" spans="2:4" x14ac:dyDescent="0.2">
      <c r="B7054" s="876">
        <v>8643</v>
      </c>
      <c r="C7054" s="876" t="s">
        <v>7397</v>
      </c>
      <c r="D7054" s="851">
        <v>777.90000899999995</v>
      </c>
    </row>
    <row r="7055" spans="2:4" x14ac:dyDescent="0.2">
      <c r="B7055" s="876">
        <v>8644</v>
      </c>
      <c r="C7055" s="876" t="s">
        <v>1943</v>
      </c>
      <c r="D7055" s="851">
        <v>803.74286800000004</v>
      </c>
    </row>
    <row r="7056" spans="2:4" x14ac:dyDescent="0.2">
      <c r="B7056" s="876">
        <v>8645</v>
      </c>
      <c r="C7056" s="876" t="s">
        <v>7398</v>
      </c>
      <c r="D7056" s="851">
        <v>805.06667100000004</v>
      </c>
    </row>
    <row r="7057" spans="2:4" x14ac:dyDescent="0.2">
      <c r="B7057" s="876">
        <v>8646</v>
      </c>
      <c r="C7057" s="876" t="s">
        <v>7399</v>
      </c>
      <c r="D7057" s="851">
        <v>780.02499399999999</v>
      </c>
    </row>
    <row r="7058" spans="2:4" x14ac:dyDescent="0.2">
      <c r="B7058" s="876">
        <v>8647</v>
      </c>
      <c r="C7058" s="876" t="s">
        <v>7400</v>
      </c>
      <c r="D7058" s="851">
        <v>800.71428600000002</v>
      </c>
    </row>
    <row r="7059" spans="2:4" x14ac:dyDescent="0.2">
      <c r="B7059" s="876">
        <v>8648</v>
      </c>
      <c r="C7059" s="876" t="s">
        <v>7401</v>
      </c>
      <c r="D7059" s="851">
        <v>791.66668700000002</v>
      </c>
    </row>
    <row r="7060" spans="2:4" x14ac:dyDescent="0.2">
      <c r="B7060" s="876">
        <v>8649</v>
      </c>
      <c r="C7060" s="876" t="s">
        <v>7402</v>
      </c>
      <c r="D7060" s="851">
        <v>807.1</v>
      </c>
    </row>
    <row r="7061" spans="2:4" x14ac:dyDescent="0.2">
      <c r="B7061" s="876">
        <v>8650</v>
      </c>
      <c r="C7061" s="876" t="s">
        <v>7403</v>
      </c>
      <c r="D7061" s="851">
        <v>801.10000600000001</v>
      </c>
    </row>
    <row r="7062" spans="2:4" x14ac:dyDescent="0.2">
      <c r="B7062" s="876">
        <v>8651</v>
      </c>
      <c r="C7062" s="876" t="s">
        <v>7404</v>
      </c>
      <c r="D7062" s="851">
        <v>921</v>
      </c>
    </row>
    <row r="7063" spans="2:4" x14ac:dyDescent="0.2">
      <c r="B7063" s="876">
        <v>8652</v>
      </c>
      <c r="C7063" s="876" t="s">
        <v>7405</v>
      </c>
      <c r="D7063" s="851">
        <v>901.55001800000002</v>
      </c>
    </row>
    <row r="7064" spans="2:4" x14ac:dyDescent="0.2">
      <c r="B7064" s="876">
        <v>8653</v>
      </c>
      <c r="C7064" s="876" t="s">
        <v>7406</v>
      </c>
      <c r="D7064" s="851">
        <v>929.40002400000003</v>
      </c>
    </row>
    <row r="7065" spans="2:4" x14ac:dyDescent="0.2">
      <c r="B7065" s="876">
        <v>8654</v>
      </c>
      <c r="C7065" s="876" t="s">
        <v>7407</v>
      </c>
      <c r="D7065" s="851">
        <v>932.16664600000001</v>
      </c>
    </row>
    <row r="7066" spans="2:4" x14ac:dyDescent="0.2">
      <c r="B7066" s="876">
        <v>8655</v>
      </c>
      <c r="C7066" s="876" t="s">
        <v>7408</v>
      </c>
      <c r="D7066" s="851">
        <v>944.89333499999998</v>
      </c>
    </row>
    <row r="7067" spans="2:4" x14ac:dyDescent="0.2">
      <c r="B7067" s="876">
        <v>8656</v>
      </c>
      <c r="C7067" s="876" t="s">
        <v>7409</v>
      </c>
      <c r="D7067" s="851">
        <v>926.5</v>
      </c>
    </row>
    <row r="7068" spans="2:4" x14ac:dyDescent="0.2">
      <c r="B7068" s="876">
        <v>8657</v>
      </c>
      <c r="C7068" s="876" t="s">
        <v>7410</v>
      </c>
      <c r="D7068" s="851">
        <v>950.610004</v>
      </c>
    </row>
    <row r="7069" spans="2:4" x14ac:dyDescent="0.2">
      <c r="B7069" s="876">
        <v>8658</v>
      </c>
      <c r="C7069" s="876" t="s">
        <v>7411</v>
      </c>
      <c r="D7069" s="851">
        <v>950.51667299999997</v>
      </c>
    </row>
    <row r="7070" spans="2:4" x14ac:dyDescent="0.2">
      <c r="B7070" s="876">
        <v>8659</v>
      </c>
      <c r="C7070" s="876" t="s">
        <v>7412</v>
      </c>
      <c r="D7070" s="851">
        <v>942.37501499999996</v>
      </c>
    </row>
    <row r="7071" spans="2:4" x14ac:dyDescent="0.2">
      <c r="B7071" s="876">
        <v>8660</v>
      </c>
      <c r="C7071" s="876" t="s">
        <v>7413</v>
      </c>
      <c r="D7071" s="851">
        <v>878.75999100000001</v>
      </c>
    </row>
    <row r="7072" spans="2:4" x14ac:dyDescent="0.2">
      <c r="B7072" s="876">
        <v>8661</v>
      </c>
      <c r="C7072" s="876" t="s">
        <v>7414</v>
      </c>
      <c r="D7072" s="851">
        <v>892.75651700000003</v>
      </c>
    </row>
    <row r="7073" spans="2:4" x14ac:dyDescent="0.2">
      <c r="B7073" s="876">
        <v>8662</v>
      </c>
      <c r="C7073" s="876" t="s">
        <v>7415</v>
      </c>
      <c r="D7073" s="851">
        <v>903.77368799999999</v>
      </c>
    </row>
    <row r="7074" spans="2:4" x14ac:dyDescent="0.2">
      <c r="B7074" s="876">
        <v>8663</v>
      </c>
      <c r="C7074" s="876" t="s">
        <v>7416</v>
      </c>
      <c r="D7074" s="851">
        <v>944.25715000000002</v>
      </c>
    </row>
    <row r="7075" spans="2:4" x14ac:dyDescent="0.2">
      <c r="B7075" s="876">
        <v>8664</v>
      </c>
      <c r="C7075" s="876" t="s">
        <v>7417</v>
      </c>
      <c r="D7075" s="851">
        <v>925.45999800000004</v>
      </c>
    </row>
    <row r="7076" spans="2:4" x14ac:dyDescent="0.2">
      <c r="B7076" s="876">
        <v>8665</v>
      </c>
      <c r="C7076" s="876" t="s">
        <v>7418</v>
      </c>
      <c r="D7076" s="851">
        <v>1039.573676</v>
      </c>
    </row>
    <row r="7077" spans="2:4" x14ac:dyDescent="0.2">
      <c r="B7077" s="876">
        <v>8666</v>
      </c>
      <c r="C7077" s="876" t="s">
        <v>7419</v>
      </c>
      <c r="D7077" s="851">
        <v>919.72141799999997</v>
      </c>
    </row>
    <row r="7078" spans="2:4" x14ac:dyDescent="0.2">
      <c r="B7078" s="876">
        <v>8667</v>
      </c>
      <c r="C7078" s="876" t="s">
        <v>5690</v>
      </c>
      <c r="D7078" s="851">
        <v>930.95998499999996</v>
      </c>
    </row>
    <row r="7079" spans="2:4" x14ac:dyDescent="0.2">
      <c r="B7079" s="876">
        <v>8668</v>
      </c>
      <c r="C7079" s="876" t="s">
        <v>5373</v>
      </c>
      <c r="D7079" s="851">
        <v>931.33334400000001</v>
      </c>
    </row>
    <row r="7080" spans="2:4" x14ac:dyDescent="0.2">
      <c r="B7080" s="876">
        <v>8669</v>
      </c>
      <c r="C7080" s="876" t="s">
        <v>7420</v>
      </c>
      <c r="D7080" s="851">
        <v>874.429034</v>
      </c>
    </row>
    <row r="7081" spans="2:4" x14ac:dyDescent="0.2">
      <c r="B7081" s="876">
        <v>8670</v>
      </c>
      <c r="C7081" s="876" t="s">
        <v>7421</v>
      </c>
      <c r="D7081" s="851">
        <v>874.58750899999995</v>
      </c>
    </row>
    <row r="7082" spans="2:4" x14ac:dyDescent="0.2">
      <c r="B7082" s="876">
        <v>8671</v>
      </c>
      <c r="C7082" s="876" t="s">
        <v>7422</v>
      </c>
      <c r="D7082" s="851">
        <v>983.06667100000004</v>
      </c>
    </row>
    <row r="7083" spans="2:4" x14ac:dyDescent="0.2">
      <c r="B7083" s="876">
        <v>8672</v>
      </c>
      <c r="C7083" s="876" t="s">
        <v>7423</v>
      </c>
      <c r="D7083" s="851">
        <v>844.23214499999995</v>
      </c>
    </row>
    <row r="7084" spans="2:4" x14ac:dyDescent="0.2">
      <c r="B7084" s="876">
        <v>8673</v>
      </c>
      <c r="C7084" s="876" t="s">
        <v>7424</v>
      </c>
      <c r="D7084" s="851">
        <v>947.16999499999997</v>
      </c>
    </row>
    <row r="7085" spans="2:4" x14ac:dyDescent="0.2">
      <c r="B7085" s="876">
        <v>8674</v>
      </c>
      <c r="C7085" s="876" t="s">
        <v>7425</v>
      </c>
      <c r="D7085" s="851">
        <v>994.03478199999995</v>
      </c>
    </row>
    <row r="7086" spans="2:4" x14ac:dyDescent="0.2">
      <c r="B7086" s="876">
        <v>8675</v>
      </c>
      <c r="C7086" s="876" t="s">
        <v>7426</v>
      </c>
      <c r="D7086" s="851">
        <v>947.97500600000001</v>
      </c>
    </row>
    <row r="7087" spans="2:4" x14ac:dyDescent="0.2">
      <c r="B7087" s="876">
        <v>8676</v>
      </c>
      <c r="C7087" s="876" t="s">
        <v>7427</v>
      </c>
      <c r="D7087" s="851">
        <v>1027.4833269999999</v>
      </c>
    </row>
    <row r="7088" spans="2:4" x14ac:dyDescent="0.2">
      <c r="B7088" s="876">
        <v>8677</v>
      </c>
      <c r="C7088" s="876" t="s">
        <v>4678</v>
      </c>
      <c r="D7088" s="851">
        <v>941.27691700000003</v>
      </c>
    </row>
    <row r="7089" spans="2:4" x14ac:dyDescent="0.2">
      <c r="B7089" s="876">
        <v>8678</v>
      </c>
      <c r="C7089" s="876" t="s">
        <v>7428</v>
      </c>
      <c r="D7089" s="851">
        <v>924.16001000000006</v>
      </c>
    </row>
    <row r="7090" spans="2:4" x14ac:dyDescent="0.2">
      <c r="B7090" s="876">
        <v>8679</v>
      </c>
      <c r="C7090" s="876" t="s">
        <v>7429</v>
      </c>
      <c r="D7090" s="851">
        <v>1025.075012</v>
      </c>
    </row>
    <row r="7091" spans="2:4" x14ac:dyDescent="0.2">
      <c r="B7091" s="876">
        <v>8680</v>
      </c>
      <c r="C7091" s="876" t="s">
        <v>7430</v>
      </c>
      <c r="D7091" s="851">
        <v>1082.999994</v>
      </c>
    </row>
    <row r="7092" spans="2:4" x14ac:dyDescent="0.2">
      <c r="B7092" s="876">
        <v>8681</v>
      </c>
      <c r="C7092" s="876" t="s">
        <v>7431</v>
      </c>
      <c r="D7092" s="851">
        <v>998.64736800000003</v>
      </c>
    </row>
    <row r="7093" spans="2:4" x14ac:dyDescent="0.2">
      <c r="B7093" s="876">
        <v>8682</v>
      </c>
      <c r="C7093" s="876" t="s">
        <v>7432</v>
      </c>
      <c r="D7093" s="851">
        <v>841.86190699999997</v>
      </c>
    </row>
    <row r="7094" spans="2:4" x14ac:dyDescent="0.2">
      <c r="B7094" s="876">
        <v>8683</v>
      </c>
      <c r="C7094" s="876" t="s">
        <v>7433</v>
      </c>
      <c r="D7094" s="851">
        <v>872.54999799999996</v>
      </c>
    </row>
    <row r="7095" spans="2:4" x14ac:dyDescent="0.2">
      <c r="B7095" s="876">
        <v>8684</v>
      </c>
      <c r="C7095" s="876" t="s">
        <v>7434</v>
      </c>
      <c r="D7095" s="851">
        <v>925.35000600000001</v>
      </c>
    </row>
    <row r="7096" spans="2:4" x14ac:dyDescent="0.2">
      <c r="B7096" s="876">
        <v>8685</v>
      </c>
      <c r="C7096" s="876" t="s">
        <v>7435</v>
      </c>
      <c r="D7096" s="851">
        <v>878.23846000000003</v>
      </c>
    </row>
    <row r="7097" spans="2:4" x14ac:dyDescent="0.2">
      <c r="B7097" s="876">
        <v>8686</v>
      </c>
      <c r="C7097" s="876" t="s">
        <v>7436</v>
      </c>
      <c r="D7097" s="851">
        <v>879.46665399999995</v>
      </c>
    </row>
    <row r="7098" spans="2:4" x14ac:dyDescent="0.2">
      <c r="B7098" s="876">
        <v>8687</v>
      </c>
      <c r="C7098" s="876" t="s">
        <v>7437</v>
      </c>
      <c r="D7098" s="851">
        <v>914.52222400000005</v>
      </c>
    </row>
    <row r="7099" spans="2:4" x14ac:dyDescent="0.2">
      <c r="B7099" s="876">
        <v>8688</v>
      </c>
      <c r="C7099" s="876" t="s">
        <v>7438</v>
      </c>
      <c r="D7099" s="851">
        <v>905.96000400000003</v>
      </c>
    </row>
    <row r="7100" spans="2:4" x14ac:dyDescent="0.2">
      <c r="B7100" s="876">
        <v>8689</v>
      </c>
      <c r="C7100" s="876" t="s">
        <v>2737</v>
      </c>
      <c r="D7100" s="851">
        <v>922.81666099999995</v>
      </c>
    </row>
    <row r="7101" spans="2:4" x14ac:dyDescent="0.2">
      <c r="B7101" s="876">
        <v>8690</v>
      </c>
      <c r="C7101" s="876" t="s">
        <v>7439</v>
      </c>
      <c r="D7101" s="851">
        <v>992.00001399999996</v>
      </c>
    </row>
    <row r="7102" spans="2:4" x14ac:dyDescent="0.2">
      <c r="B7102" s="876">
        <v>8691</v>
      </c>
      <c r="C7102" s="876" t="s">
        <v>7440</v>
      </c>
      <c r="D7102" s="851">
        <v>913.75</v>
      </c>
    </row>
    <row r="7103" spans="2:4" x14ac:dyDescent="0.2">
      <c r="B7103" s="876">
        <v>8692</v>
      </c>
      <c r="C7103" s="876" t="s">
        <v>7441</v>
      </c>
      <c r="D7103" s="851">
        <v>914.12501499999996</v>
      </c>
    </row>
    <row r="7104" spans="2:4" x14ac:dyDescent="0.2">
      <c r="B7104" s="876">
        <v>8693</v>
      </c>
      <c r="C7104" s="876" t="s">
        <v>7442</v>
      </c>
      <c r="D7104" s="851">
        <v>1050.952393</v>
      </c>
    </row>
    <row r="7105" spans="2:4" x14ac:dyDescent="0.2">
      <c r="B7105" s="876">
        <v>8694</v>
      </c>
      <c r="C7105" s="876" t="s">
        <v>7443</v>
      </c>
      <c r="D7105" s="851">
        <v>901.72500600000001</v>
      </c>
    </row>
    <row r="7106" spans="2:4" x14ac:dyDescent="0.2">
      <c r="B7106" s="876">
        <v>8695</v>
      </c>
      <c r="C7106" s="876" t="s">
        <v>7444</v>
      </c>
      <c r="D7106" s="851">
        <v>848.71250299999997</v>
      </c>
    </row>
    <row r="7107" spans="2:4" x14ac:dyDescent="0.2">
      <c r="B7107" s="876">
        <v>8696</v>
      </c>
      <c r="C7107" s="876" t="s">
        <v>7445</v>
      </c>
      <c r="D7107" s="851">
        <v>917.54165599999999</v>
      </c>
    </row>
    <row r="7108" spans="2:4" x14ac:dyDescent="0.2">
      <c r="B7108" s="876">
        <v>8697</v>
      </c>
      <c r="C7108" s="876" t="s">
        <v>7446</v>
      </c>
      <c r="D7108" s="851">
        <v>1053.7958349999999</v>
      </c>
    </row>
    <row r="7109" spans="2:4" x14ac:dyDescent="0.2">
      <c r="B7109" s="876">
        <v>8698</v>
      </c>
      <c r="C7109" s="876" t="s">
        <v>7447</v>
      </c>
      <c r="D7109" s="851">
        <v>961.88888899999995</v>
      </c>
    </row>
    <row r="7110" spans="2:4" x14ac:dyDescent="0.2">
      <c r="B7110" s="876">
        <v>8699</v>
      </c>
      <c r="C7110" s="876" t="s">
        <v>7448</v>
      </c>
      <c r="D7110" s="851">
        <v>972.24445300000002</v>
      </c>
    </row>
    <row r="7111" spans="2:4" x14ac:dyDescent="0.2">
      <c r="B7111" s="876">
        <v>8700</v>
      </c>
      <c r="C7111" s="876" t="s">
        <v>7449</v>
      </c>
      <c r="D7111" s="851">
        <v>1035.857143</v>
      </c>
    </row>
    <row r="7112" spans="2:4" x14ac:dyDescent="0.2">
      <c r="B7112" s="876">
        <v>8701</v>
      </c>
      <c r="C7112" s="876" t="s">
        <v>7450</v>
      </c>
      <c r="D7112" s="851">
        <v>971.52857300000005</v>
      </c>
    </row>
    <row r="7113" spans="2:4" x14ac:dyDescent="0.2">
      <c r="B7113" s="876">
        <v>8702</v>
      </c>
      <c r="C7113" s="876" t="s">
        <v>7451</v>
      </c>
      <c r="D7113" s="851">
        <v>908.38667399999997</v>
      </c>
    </row>
    <row r="7114" spans="2:4" x14ac:dyDescent="0.2">
      <c r="B7114" s="876">
        <v>8703</v>
      </c>
      <c r="C7114" s="876" t="s">
        <v>7452</v>
      </c>
      <c r="D7114" s="851">
        <v>1013.749997</v>
      </c>
    </row>
    <row r="7115" spans="2:4" x14ac:dyDescent="0.2">
      <c r="B7115" s="876">
        <v>8704</v>
      </c>
      <c r="C7115" s="876" t="s">
        <v>7453</v>
      </c>
      <c r="D7115" s="851">
        <v>1006.499988</v>
      </c>
    </row>
    <row r="7116" spans="2:4" x14ac:dyDescent="0.2">
      <c r="B7116" s="876">
        <v>8705</v>
      </c>
      <c r="C7116" s="876" t="s">
        <v>5889</v>
      </c>
      <c r="D7116" s="851">
        <v>1019.7280029999999</v>
      </c>
    </row>
    <row r="7117" spans="2:4" x14ac:dyDescent="0.2">
      <c r="B7117" s="876">
        <v>8706</v>
      </c>
      <c r="C7117" s="876" t="s">
        <v>7454</v>
      </c>
      <c r="D7117" s="851">
        <v>974.67142999999999</v>
      </c>
    </row>
    <row r="7118" spans="2:4" x14ac:dyDescent="0.2">
      <c r="B7118" s="876">
        <v>8707</v>
      </c>
      <c r="C7118" s="876" t="s">
        <v>7455</v>
      </c>
      <c r="D7118" s="851">
        <v>937.40999799999997</v>
      </c>
    </row>
    <row r="7119" spans="2:4" x14ac:dyDescent="0.2">
      <c r="B7119" s="876">
        <v>8708</v>
      </c>
      <c r="C7119" s="876" t="s">
        <v>7456</v>
      </c>
      <c r="D7119" s="851">
        <v>971.45712700000001</v>
      </c>
    </row>
    <row r="7120" spans="2:4" x14ac:dyDescent="0.2">
      <c r="B7120" s="876">
        <v>8709</v>
      </c>
      <c r="C7120" s="876" t="s">
        <v>7457</v>
      </c>
      <c r="D7120" s="851">
        <v>884.43846699999995</v>
      </c>
    </row>
    <row r="7121" spans="2:4" x14ac:dyDescent="0.2">
      <c r="B7121" s="876">
        <v>8710</v>
      </c>
      <c r="C7121" s="876" t="s">
        <v>7458</v>
      </c>
      <c r="D7121" s="851">
        <v>987.23571300000003</v>
      </c>
    </row>
    <row r="7122" spans="2:4" x14ac:dyDescent="0.2">
      <c r="B7122" s="876">
        <v>8711</v>
      </c>
      <c r="C7122" s="876" t="s">
        <v>7459</v>
      </c>
      <c r="D7122" s="851">
        <v>893.2</v>
      </c>
    </row>
    <row r="7123" spans="2:4" x14ac:dyDescent="0.2">
      <c r="B7123" s="876">
        <v>8712</v>
      </c>
      <c r="C7123" s="876" t="s">
        <v>7460</v>
      </c>
      <c r="D7123" s="851">
        <v>821.53529300000002</v>
      </c>
    </row>
    <row r="7124" spans="2:4" x14ac:dyDescent="0.2">
      <c r="B7124" s="876">
        <v>8713</v>
      </c>
      <c r="C7124" s="876" t="s">
        <v>7461</v>
      </c>
      <c r="D7124" s="851">
        <v>1108.3264770000001</v>
      </c>
    </row>
    <row r="7125" spans="2:4" x14ac:dyDescent="0.2">
      <c r="B7125" s="876">
        <v>8714</v>
      </c>
      <c r="C7125" s="876" t="s">
        <v>7462</v>
      </c>
      <c r="D7125" s="851">
        <v>1115.546161</v>
      </c>
    </row>
    <row r="7126" spans="2:4" x14ac:dyDescent="0.2">
      <c r="B7126" s="876">
        <v>8715</v>
      </c>
      <c r="C7126" s="876" t="s">
        <v>7463</v>
      </c>
      <c r="D7126" s="851">
        <v>1050.0823580000001</v>
      </c>
    </row>
    <row r="7127" spans="2:4" x14ac:dyDescent="0.2">
      <c r="B7127" s="876">
        <v>8717</v>
      </c>
      <c r="C7127" s="876" t="s">
        <v>7464</v>
      </c>
      <c r="D7127" s="851">
        <v>1048.8228590000001</v>
      </c>
    </row>
    <row r="7128" spans="2:4" x14ac:dyDescent="0.2">
      <c r="B7128" s="876">
        <v>8720</v>
      </c>
      <c r="C7128" s="876" t="s">
        <v>7465</v>
      </c>
      <c r="D7128" s="851">
        <v>993.24285499999996</v>
      </c>
    </row>
    <row r="7129" spans="2:4" x14ac:dyDescent="0.2">
      <c r="B7129" s="876">
        <v>8751</v>
      </c>
      <c r="C7129" s="876" t="s">
        <v>7466</v>
      </c>
      <c r="D7129" s="851">
        <v>902.14375299999995</v>
      </c>
    </row>
    <row r="7130" spans="2:4" x14ac:dyDescent="0.2">
      <c r="B7130" s="876">
        <v>8752</v>
      </c>
      <c r="C7130" s="876" t="s">
        <v>7467</v>
      </c>
      <c r="D7130" s="851">
        <v>997.07646599999998</v>
      </c>
    </row>
    <row r="7131" spans="2:4" x14ac:dyDescent="0.2">
      <c r="B7131" s="876">
        <v>8753</v>
      </c>
      <c r="C7131" s="876" t="s">
        <v>7468</v>
      </c>
      <c r="D7131" s="851">
        <v>989.67999599999996</v>
      </c>
    </row>
    <row r="7132" spans="2:4" x14ac:dyDescent="0.2">
      <c r="B7132" s="876">
        <v>8754</v>
      </c>
      <c r="C7132" s="876" t="s">
        <v>2646</v>
      </c>
      <c r="D7132" s="851">
        <v>997.94090700000004</v>
      </c>
    </row>
    <row r="7133" spans="2:4" x14ac:dyDescent="0.2">
      <c r="B7133" s="876">
        <v>8755</v>
      </c>
      <c r="C7133" s="876" t="s">
        <v>312</v>
      </c>
      <c r="D7133" s="851">
        <v>976.15556200000003</v>
      </c>
    </row>
    <row r="7134" spans="2:4" x14ac:dyDescent="0.2">
      <c r="B7134" s="876">
        <v>8756</v>
      </c>
      <c r="C7134" s="876" t="s">
        <v>7469</v>
      </c>
      <c r="D7134" s="851">
        <v>1044.194438</v>
      </c>
    </row>
    <row r="7135" spans="2:4" x14ac:dyDescent="0.2">
      <c r="B7135" s="876">
        <v>8757</v>
      </c>
      <c r="C7135" s="876" t="s">
        <v>7470</v>
      </c>
      <c r="D7135" s="851">
        <v>985.08000500000003</v>
      </c>
    </row>
    <row r="7136" spans="2:4" x14ac:dyDescent="0.2">
      <c r="B7136" s="876">
        <v>8758</v>
      </c>
      <c r="C7136" s="876" t="s">
        <v>7471</v>
      </c>
      <c r="D7136" s="851">
        <v>872.00001299999997</v>
      </c>
    </row>
    <row r="7137" spans="2:4" x14ac:dyDescent="0.2">
      <c r="B7137" s="876">
        <v>8759</v>
      </c>
      <c r="C7137" s="876" t="s">
        <v>7472</v>
      </c>
      <c r="D7137" s="851">
        <v>1007.209522</v>
      </c>
    </row>
    <row r="7138" spans="2:4" x14ac:dyDescent="0.2">
      <c r="B7138" s="876">
        <v>8760</v>
      </c>
      <c r="C7138" s="876" t="s">
        <v>7473</v>
      </c>
      <c r="D7138" s="851">
        <v>848.322225</v>
      </c>
    </row>
    <row r="7139" spans="2:4" x14ac:dyDescent="0.2">
      <c r="B7139" s="876">
        <v>8761</v>
      </c>
      <c r="C7139" s="876" t="s">
        <v>7376</v>
      </c>
      <c r="D7139" s="851">
        <v>995.68125299999997</v>
      </c>
    </row>
    <row r="7140" spans="2:4" x14ac:dyDescent="0.2">
      <c r="B7140" s="876">
        <v>8762</v>
      </c>
      <c r="C7140" s="876" t="s">
        <v>7474</v>
      </c>
      <c r="D7140" s="851">
        <v>956.5</v>
      </c>
    </row>
    <row r="7141" spans="2:4" x14ac:dyDescent="0.2">
      <c r="B7141" s="876">
        <v>8763</v>
      </c>
      <c r="C7141" s="876" t="s">
        <v>7475</v>
      </c>
      <c r="D7141" s="851">
        <v>972.36111500000004</v>
      </c>
    </row>
    <row r="7142" spans="2:4" x14ac:dyDescent="0.2">
      <c r="B7142" s="876">
        <v>8764</v>
      </c>
      <c r="C7142" s="876" t="s">
        <v>7476</v>
      </c>
      <c r="D7142" s="851">
        <v>1027.561113</v>
      </c>
    </row>
    <row r="7143" spans="2:4" x14ac:dyDescent="0.2">
      <c r="B7143" s="876">
        <v>8765</v>
      </c>
      <c r="C7143" s="876" t="s">
        <v>7477</v>
      </c>
      <c r="D7143" s="851">
        <v>1002.700012</v>
      </c>
    </row>
    <row r="7144" spans="2:4" x14ac:dyDescent="0.2">
      <c r="B7144" s="876">
        <v>8766</v>
      </c>
      <c r="C7144" s="876" t="s">
        <v>7478</v>
      </c>
      <c r="D7144" s="851">
        <v>1009.03333</v>
      </c>
    </row>
    <row r="7145" spans="2:4" x14ac:dyDescent="0.2">
      <c r="B7145" s="876">
        <v>8767</v>
      </c>
      <c r="C7145" s="876" t="s">
        <v>7438</v>
      </c>
      <c r="D7145" s="851">
        <v>1028.96111</v>
      </c>
    </row>
    <row r="7146" spans="2:4" x14ac:dyDescent="0.2">
      <c r="B7146" s="876">
        <v>8768</v>
      </c>
      <c r="C7146" s="876" t="s">
        <v>7479</v>
      </c>
      <c r="D7146" s="851">
        <v>967.83998999999994</v>
      </c>
    </row>
    <row r="7147" spans="2:4" x14ac:dyDescent="0.2">
      <c r="B7147" s="876">
        <v>8769</v>
      </c>
      <c r="C7147" s="876" t="s">
        <v>1639</v>
      </c>
      <c r="D7147" s="851">
        <v>1005.427277</v>
      </c>
    </row>
    <row r="7148" spans="2:4" x14ac:dyDescent="0.2">
      <c r="B7148" s="876">
        <v>8770</v>
      </c>
      <c r="C7148" s="876" t="s">
        <v>7480</v>
      </c>
      <c r="D7148" s="851">
        <v>1056.2999990000001</v>
      </c>
    </row>
    <row r="7149" spans="2:4" x14ac:dyDescent="0.2">
      <c r="B7149" s="876">
        <v>8771</v>
      </c>
      <c r="C7149" s="876" t="s">
        <v>7481</v>
      </c>
      <c r="D7149" s="851">
        <v>973.05000299999995</v>
      </c>
    </row>
    <row r="7150" spans="2:4" x14ac:dyDescent="0.2">
      <c r="B7150" s="876">
        <v>8772</v>
      </c>
      <c r="C7150" s="876" t="s">
        <v>7482</v>
      </c>
      <c r="D7150" s="851">
        <v>953.82058700000005</v>
      </c>
    </row>
    <row r="7151" spans="2:4" x14ac:dyDescent="0.2">
      <c r="B7151" s="876">
        <v>8773</v>
      </c>
      <c r="C7151" s="876" t="s">
        <v>7483</v>
      </c>
      <c r="D7151" s="851">
        <v>859.64666699999998</v>
      </c>
    </row>
    <row r="7152" spans="2:4" x14ac:dyDescent="0.2">
      <c r="B7152" s="876">
        <v>8774</v>
      </c>
      <c r="C7152" s="876" t="s">
        <v>7484</v>
      </c>
      <c r="D7152" s="851">
        <v>904.11817499999995</v>
      </c>
    </row>
    <row r="7153" spans="2:4" x14ac:dyDescent="0.2">
      <c r="B7153" s="876">
        <v>8775</v>
      </c>
      <c r="C7153" s="876" t="s">
        <v>7485</v>
      </c>
      <c r="D7153" s="851">
        <v>1027.871416</v>
      </c>
    </row>
    <row r="7154" spans="2:4" x14ac:dyDescent="0.2">
      <c r="B7154" s="876">
        <v>8776</v>
      </c>
      <c r="C7154" s="876" t="s">
        <v>5887</v>
      </c>
      <c r="D7154" s="851">
        <v>1001</v>
      </c>
    </row>
    <row r="7155" spans="2:4" x14ac:dyDescent="0.2">
      <c r="B7155" s="876">
        <v>8777</v>
      </c>
      <c r="C7155" s="876" t="s">
        <v>7486</v>
      </c>
      <c r="D7155" s="851">
        <v>873.47272799999996</v>
      </c>
    </row>
    <row r="7156" spans="2:4" x14ac:dyDescent="0.2">
      <c r="B7156" s="876">
        <v>8778</v>
      </c>
      <c r="C7156" s="876" t="s">
        <v>7487</v>
      </c>
      <c r="D7156" s="851">
        <v>994.01612699999998</v>
      </c>
    </row>
    <row r="7157" spans="2:4" x14ac:dyDescent="0.2">
      <c r="B7157" s="876">
        <v>8779</v>
      </c>
      <c r="C7157" s="876" t="s">
        <v>7488</v>
      </c>
      <c r="D7157" s="851">
        <v>1006.327276</v>
      </c>
    </row>
    <row r="7158" spans="2:4" x14ac:dyDescent="0.2">
      <c r="B7158" s="876">
        <v>8780</v>
      </c>
      <c r="C7158" s="876" t="s">
        <v>7489</v>
      </c>
      <c r="D7158" s="851">
        <v>1043.8882450000001</v>
      </c>
    </row>
    <row r="7159" spans="2:4" x14ac:dyDescent="0.2">
      <c r="B7159" s="876">
        <v>8781</v>
      </c>
      <c r="C7159" s="876" t="s">
        <v>7490</v>
      </c>
      <c r="D7159" s="851">
        <v>997.66665599999999</v>
      </c>
    </row>
    <row r="7160" spans="2:4" x14ac:dyDescent="0.2">
      <c r="B7160" s="876">
        <v>8782</v>
      </c>
      <c r="C7160" s="876" t="s">
        <v>7491</v>
      </c>
      <c r="D7160" s="851">
        <v>922.49354600000004</v>
      </c>
    </row>
    <row r="7161" spans="2:4" x14ac:dyDescent="0.2">
      <c r="B7161" s="876">
        <v>8783</v>
      </c>
      <c r="C7161" s="876" t="s">
        <v>7492</v>
      </c>
      <c r="D7161" s="851">
        <v>964.383331</v>
      </c>
    </row>
    <row r="7162" spans="2:4" x14ac:dyDescent="0.2">
      <c r="B7162" s="876">
        <v>8784</v>
      </c>
      <c r="C7162" s="876" t="s">
        <v>7493</v>
      </c>
      <c r="D7162" s="851">
        <v>985.40713900000003</v>
      </c>
    </row>
    <row r="7163" spans="2:4" x14ac:dyDescent="0.2">
      <c r="B7163" s="876">
        <v>8801</v>
      </c>
      <c r="C7163" s="876" t="s">
        <v>7494</v>
      </c>
      <c r="D7163" s="851">
        <v>799.62221299999999</v>
      </c>
    </row>
    <row r="7164" spans="2:4" x14ac:dyDescent="0.2">
      <c r="B7164" s="876">
        <v>8802</v>
      </c>
      <c r="C7164" s="876" t="s">
        <v>7495</v>
      </c>
      <c r="D7164" s="851">
        <v>801.83333300000004</v>
      </c>
    </row>
    <row r="7165" spans="2:4" x14ac:dyDescent="0.2">
      <c r="B7165" s="876">
        <v>8803</v>
      </c>
      <c r="C7165" s="876" t="s">
        <v>7496</v>
      </c>
      <c r="D7165" s="851">
        <v>785.94998199999998</v>
      </c>
    </row>
    <row r="7166" spans="2:4" x14ac:dyDescent="0.2">
      <c r="B7166" s="876">
        <v>8804</v>
      </c>
      <c r="C7166" s="876" t="s">
        <v>7497</v>
      </c>
      <c r="D7166" s="851">
        <v>780.22855900000002</v>
      </c>
    </row>
    <row r="7167" spans="2:4" x14ac:dyDescent="0.2">
      <c r="B7167" s="876">
        <v>8805</v>
      </c>
      <c r="C7167" s="876" t="s">
        <v>7498</v>
      </c>
      <c r="D7167" s="851">
        <v>790.33333300000004</v>
      </c>
    </row>
    <row r="7168" spans="2:4" x14ac:dyDescent="0.2">
      <c r="B7168" s="876">
        <v>8806</v>
      </c>
      <c r="C7168" s="876" t="s">
        <v>7143</v>
      </c>
      <c r="D7168" s="851">
        <v>797.13636899999995</v>
      </c>
    </row>
    <row r="7169" spans="2:4" x14ac:dyDescent="0.2">
      <c r="B7169" s="876">
        <v>8807</v>
      </c>
      <c r="C7169" s="876" t="s">
        <v>7499</v>
      </c>
      <c r="D7169" s="851">
        <v>778.14999399999999</v>
      </c>
    </row>
    <row r="7170" spans="2:4" x14ac:dyDescent="0.2">
      <c r="B7170" s="876">
        <v>8808</v>
      </c>
      <c r="C7170" s="876" t="s">
        <v>7500</v>
      </c>
      <c r="D7170" s="851">
        <v>770.10713799999996</v>
      </c>
    </row>
    <row r="7171" spans="2:4" x14ac:dyDescent="0.2">
      <c r="B7171" s="876">
        <v>8809</v>
      </c>
      <c r="C7171" s="876" t="s">
        <v>3315</v>
      </c>
      <c r="D7171" s="851">
        <v>769.81000400000005</v>
      </c>
    </row>
    <row r="7172" spans="2:4" x14ac:dyDescent="0.2">
      <c r="B7172" s="876">
        <v>8810</v>
      </c>
      <c r="C7172" s="876" t="s">
        <v>7501</v>
      </c>
      <c r="D7172" s="851">
        <v>733.45001200000002</v>
      </c>
    </row>
    <row r="7173" spans="2:4" x14ac:dyDescent="0.2">
      <c r="B7173" s="876">
        <v>8811</v>
      </c>
      <c r="C7173" s="876" t="s">
        <v>7502</v>
      </c>
      <c r="D7173" s="851">
        <v>761.36667899999998</v>
      </c>
    </row>
    <row r="7174" spans="2:4" x14ac:dyDescent="0.2">
      <c r="B7174" s="876">
        <v>8812</v>
      </c>
      <c r="C7174" s="876" t="s">
        <v>7503</v>
      </c>
      <c r="D7174" s="851">
        <v>782.48000500000001</v>
      </c>
    </row>
    <row r="7175" spans="2:4" x14ac:dyDescent="0.2">
      <c r="B7175" s="876">
        <v>8813</v>
      </c>
      <c r="C7175" s="876" t="s">
        <v>3955</v>
      </c>
      <c r="D7175" s="851">
        <v>776.21428600000002</v>
      </c>
    </row>
    <row r="7176" spans="2:4" x14ac:dyDescent="0.2">
      <c r="B7176" s="876">
        <v>8814</v>
      </c>
      <c r="C7176" s="876" t="s">
        <v>5205</v>
      </c>
      <c r="D7176" s="851">
        <v>782.83846300000005</v>
      </c>
    </row>
    <row r="7177" spans="2:4" x14ac:dyDescent="0.2">
      <c r="B7177" s="876">
        <v>8815</v>
      </c>
      <c r="C7177" s="876" t="s">
        <v>7504</v>
      </c>
      <c r="D7177" s="851">
        <v>777.30832399999997</v>
      </c>
    </row>
    <row r="7178" spans="2:4" x14ac:dyDescent="0.2">
      <c r="B7178" s="876">
        <v>8816</v>
      </c>
      <c r="C7178" s="876" t="s">
        <v>7505</v>
      </c>
      <c r="D7178" s="851">
        <v>783.81176400000004</v>
      </c>
    </row>
    <row r="7179" spans="2:4" x14ac:dyDescent="0.2">
      <c r="B7179" s="876">
        <v>8817</v>
      </c>
      <c r="C7179" s="876" t="s">
        <v>7506</v>
      </c>
      <c r="D7179" s="851">
        <v>745.37999300000001</v>
      </c>
    </row>
    <row r="7180" spans="2:4" x14ac:dyDescent="0.2">
      <c r="B7180" s="876">
        <v>8818</v>
      </c>
      <c r="C7180" s="876" t="s">
        <v>7507</v>
      </c>
      <c r="D7180" s="851">
        <v>770.84999600000003</v>
      </c>
    </row>
    <row r="7181" spans="2:4" x14ac:dyDescent="0.2">
      <c r="B7181" s="876">
        <v>8819</v>
      </c>
      <c r="C7181" s="876" t="s">
        <v>7508</v>
      </c>
      <c r="D7181" s="851">
        <v>774.25</v>
      </c>
    </row>
    <row r="7182" spans="2:4" x14ac:dyDescent="0.2">
      <c r="B7182" s="876">
        <v>8820</v>
      </c>
      <c r="C7182" s="876" t="s">
        <v>7509</v>
      </c>
      <c r="D7182" s="851">
        <v>779.99285499999996</v>
      </c>
    </row>
    <row r="7183" spans="2:4" x14ac:dyDescent="0.2">
      <c r="B7183" s="876">
        <v>8821</v>
      </c>
      <c r="C7183" s="876" t="s">
        <v>1311</v>
      </c>
      <c r="D7183" s="851">
        <v>792.80833900000005</v>
      </c>
    </row>
    <row r="7184" spans="2:4" x14ac:dyDescent="0.2">
      <c r="B7184" s="876">
        <v>8822</v>
      </c>
      <c r="C7184" s="876" t="s">
        <v>7510</v>
      </c>
      <c r="D7184" s="851">
        <v>786.56667100000004</v>
      </c>
    </row>
    <row r="7185" spans="2:4" x14ac:dyDescent="0.2">
      <c r="B7185" s="876">
        <v>8823</v>
      </c>
      <c r="C7185" s="876" t="s">
        <v>7511</v>
      </c>
      <c r="D7185" s="851">
        <v>765.57691799999998</v>
      </c>
    </row>
    <row r="7186" spans="2:4" x14ac:dyDescent="0.2">
      <c r="B7186" s="876">
        <v>8824</v>
      </c>
      <c r="C7186" s="876" t="s">
        <v>2415</v>
      </c>
      <c r="D7186" s="851">
        <v>785.10000600000001</v>
      </c>
    </row>
    <row r="7187" spans="2:4" x14ac:dyDescent="0.2">
      <c r="B7187" s="876">
        <v>8825</v>
      </c>
      <c r="C7187" s="876" t="s">
        <v>7512</v>
      </c>
      <c r="D7187" s="851">
        <v>781.58333300000004</v>
      </c>
    </row>
    <row r="7188" spans="2:4" x14ac:dyDescent="0.2">
      <c r="B7188" s="876">
        <v>8826</v>
      </c>
      <c r="C7188" s="876" t="s">
        <v>7513</v>
      </c>
      <c r="D7188" s="851">
        <v>783.75883199999998</v>
      </c>
    </row>
    <row r="7189" spans="2:4" x14ac:dyDescent="0.2">
      <c r="B7189" s="876">
        <v>8827</v>
      </c>
      <c r="C7189" s="876" t="s">
        <v>7514</v>
      </c>
      <c r="D7189" s="851">
        <v>787.48333200000002</v>
      </c>
    </row>
    <row r="7190" spans="2:4" x14ac:dyDescent="0.2">
      <c r="B7190" s="876">
        <v>8828</v>
      </c>
      <c r="C7190" s="876" t="s">
        <v>7515</v>
      </c>
      <c r="D7190" s="851">
        <v>801.81000400000005</v>
      </c>
    </row>
    <row r="7191" spans="2:4" x14ac:dyDescent="0.2">
      <c r="B7191" s="876">
        <v>8829</v>
      </c>
      <c r="C7191" s="876" t="s">
        <v>7516</v>
      </c>
      <c r="D7191" s="851">
        <v>896.13333599999999</v>
      </c>
    </row>
    <row r="7192" spans="2:4" x14ac:dyDescent="0.2">
      <c r="B7192" s="876">
        <v>8830</v>
      </c>
      <c r="C7192" s="876" t="s">
        <v>7517</v>
      </c>
      <c r="D7192" s="851">
        <v>827.27222700000004</v>
      </c>
    </row>
    <row r="7193" spans="2:4" x14ac:dyDescent="0.2">
      <c r="B7193" s="876">
        <v>8831</v>
      </c>
      <c r="C7193" s="876" t="s">
        <v>7518</v>
      </c>
      <c r="D7193" s="851">
        <v>775.47272799999996</v>
      </c>
    </row>
    <row r="7194" spans="2:4" x14ac:dyDescent="0.2">
      <c r="B7194" s="876">
        <v>8832</v>
      </c>
      <c r="C7194" s="876" t="s">
        <v>7519</v>
      </c>
      <c r="D7194" s="851">
        <v>764.08570199999997</v>
      </c>
    </row>
    <row r="7195" spans="2:4" x14ac:dyDescent="0.2">
      <c r="B7195" s="876">
        <v>8833</v>
      </c>
      <c r="C7195" s="876" t="s">
        <v>7520</v>
      </c>
      <c r="D7195" s="851">
        <v>774.97777599999995</v>
      </c>
    </row>
    <row r="7196" spans="2:4" x14ac:dyDescent="0.2">
      <c r="B7196" s="876">
        <v>8834</v>
      </c>
      <c r="C7196" s="876" t="s">
        <v>7521</v>
      </c>
      <c r="D7196" s="851">
        <v>763.77856899999995</v>
      </c>
    </row>
    <row r="7197" spans="2:4" x14ac:dyDescent="0.2">
      <c r="B7197" s="876">
        <v>8835</v>
      </c>
      <c r="C7197" s="876" t="s">
        <v>7522</v>
      </c>
      <c r="D7197" s="851">
        <v>762.83331299999998</v>
      </c>
    </row>
    <row r="7198" spans="2:4" x14ac:dyDescent="0.2">
      <c r="B7198" s="876">
        <v>8836</v>
      </c>
      <c r="C7198" s="876" t="s">
        <v>7523</v>
      </c>
      <c r="D7198" s="851">
        <v>812.17727400000001</v>
      </c>
    </row>
    <row r="7199" spans="2:4" x14ac:dyDescent="0.2">
      <c r="B7199" s="876">
        <v>8837</v>
      </c>
      <c r="C7199" s="876" t="s">
        <v>3707</v>
      </c>
      <c r="D7199" s="851">
        <v>742.92000700000006</v>
      </c>
    </row>
    <row r="7200" spans="2:4" x14ac:dyDescent="0.2">
      <c r="B7200" s="876">
        <v>8838</v>
      </c>
      <c r="C7200" s="876" t="s">
        <v>2758</v>
      </c>
      <c r="D7200" s="851">
        <v>844.65002400000003</v>
      </c>
    </row>
    <row r="7201" spans="2:4" x14ac:dyDescent="0.2">
      <c r="B7201" s="876">
        <v>8839</v>
      </c>
      <c r="C7201" s="876" t="s">
        <v>7524</v>
      </c>
      <c r="D7201" s="851">
        <v>768.26153099999999</v>
      </c>
    </row>
    <row r="7202" spans="2:4" x14ac:dyDescent="0.2">
      <c r="B7202" s="876">
        <v>8840</v>
      </c>
      <c r="C7202" s="876" t="s">
        <v>7525</v>
      </c>
      <c r="D7202" s="851">
        <v>757.72666800000002</v>
      </c>
    </row>
    <row r="7203" spans="2:4" x14ac:dyDescent="0.2">
      <c r="B7203" s="876">
        <v>8841</v>
      </c>
      <c r="C7203" s="876" t="s">
        <v>7526</v>
      </c>
      <c r="D7203" s="851">
        <v>768.51000399999998</v>
      </c>
    </row>
    <row r="7204" spans="2:4" x14ac:dyDescent="0.2">
      <c r="B7204" s="876">
        <v>8842</v>
      </c>
      <c r="C7204" s="876" t="s">
        <v>7527</v>
      </c>
      <c r="D7204" s="851">
        <v>763.25556800000004</v>
      </c>
    </row>
    <row r="7205" spans="2:4" x14ac:dyDescent="0.2">
      <c r="B7205" s="876">
        <v>8843</v>
      </c>
      <c r="C7205" s="876" t="s">
        <v>7528</v>
      </c>
      <c r="D7205" s="851">
        <v>758.02499399999999</v>
      </c>
    </row>
    <row r="7206" spans="2:4" x14ac:dyDescent="0.2">
      <c r="B7206" s="876">
        <v>8844</v>
      </c>
      <c r="C7206" s="876" t="s">
        <v>323</v>
      </c>
      <c r="D7206" s="851">
        <v>750.78571399999998</v>
      </c>
    </row>
    <row r="7207" spans="2:4" x14ac:dyDescent="0.2">
      <c r="B7207" s="876">
        <v>8845</v>
      </c>
      <c r="C7207" s="876" t="s">
        <v>7529</v>
      </c>
      <c r="D7207" s="851">
        <v>789.04000199999996</v>
      </c>
    </row>
    <row r="7208" spans="2:4" x14ac:dyDescent="0.2">
      <c r="B7208" s="876">
        <v>8846</v>
      </c>
      <c r="C7208" s="876" t="s">
        <v>7530</v>
      </c>
      <c r="D7208" s="851">
        <v>856.46110699999997</v>
      </c>
    </row>
    <row r="7209" spans="2:4" x14ac:dyDescent="0.2">
      <c r="B7209" s="876">
        <v>8847</v>
      </c>
      <c r="C7209" s="876" t="s">
        <v>7531</v>
      </c>
      <c r="D7209" s="851">
        <v>815.240002</v>
      </c>
    </row>
    <row r="7210" spans="2:4" x14ac:dyDescent="0.2">
      <c r="B7210" s="876">
        <v>8848</v>
      </c>
      <c r="C7210" s="876" t="s">
        <v>7532</v>
      </c>
      <c r="D7210" s="851">
        <v>805.66665999999998</v>
      </c>
    </row>
    <row r="7211" spans="2:4" x14ac:dyDescent="0.2">
      <c r="B7211" s="876">
        <v>8849</v>
      </c>
      <c r="C7211" s="876" t="s">
        <v>7533</v>
      </c>
      <c r="D7211" s="851">
        <v>779.28571399999998</v>
      </c>
    </row>
    <row r="7212" spans="2:4" x14ac:dyDescent="0.2">
      <c r="B7212" s="876">
        <v>8850</v>
      </c>
      <c r="C7212" s="876" t="s">
        <v>7534</v>
      </c>
      <c r="D7212" s="851">
        <v>780.527781</v>
      </c>
    </row>
    <row r="7213" spans="2:4" x14ac:dyDescent="0.2">
      <c r="B7213" s="876">
        <v>8851</v>
      </c>
      <c r="C7213" s="876" t="s">
        <v>7273</v>
      </c>
      <c r="D7213" s="851">
        <v>817.91249800000003</v>
      </c>
    </row>
    <row r="7214" spans="2:4" x14ac:dyDescent="0.2">
      <c r="B7214" s="876">
        <v>8852</v>
      </c>
      <c r="C7214" s="876" t="s">
        <v>7535</v>
      </c>
      <c r="D7214" s="851">
        <v>780.55000500000006</v>
      </c>
    </row>
    <row r="7215" spans="2:4" x14ac:dyDescent="0.2">
      <c r="B7215" s="876">
        <v>8853</v>
      </c>
      <c r="C7215" s="876" t="s">
        <v>7536</v>
      </c>
      <c r="D7215" s="851">
        <v>863.82632000000001</v>
      </c>
    </row>
    <row r="7216" spans="2:4" x14ac:dyDescent="0.2">
      <c r="B7216" s="876">
        <v>8854</v>
      </c>
      <c r="C7216" s="876" t="s">
        <v>7537</v>
      </c>
      <c r="D7216" s="851">
        <v>844.56666099999995</v>
      </c>
    </row>
    <row r="7217" spans="2:4" x14ac:dyDescent="0.2">
      <c r="B7217" s="876">
        <v>8855</v>
      </c>
      <c r="C7217" s="876" t="s">
        <v>7538</v>
      </c>
      <c r="D7217" s="851">
        <v>842.82999900000004</v>
      </c>
    </row>
    <row r="7218" spans="2:4" x14ac:dyDescent="0.2">
      <c r="B7218" s="876">
        <v>8856</v>
      </c>
      <c r="C7218" s="876" t="s">
        <v>7539</v>
      </c>
      <c r="D7218" s="851">
        <v>878.47777599999995</v>
      </c>
    </row>
    <row r="7219" spans="2:4" x14ac:dyDescent="0.2">
      <c r="B7219" s="876">
        <v>8857</v>
      </c>
      <c r="C7219" s="876" t="s">
        <v>7540</v>
      </c>
      <c r="D7219" s="851">
        <v>829.40002400000003</v>
      </c>
    </row>
    <row r="7220" spans="2:4" x14ac:dyDescent="0.2">
      <c r="B7220" s="876">
        <v>8858</v>
      </c>
      <c r="C7220" s="876" t="s">
        <v>3334</v>
      </c>
      <c r="D7220" s="851">
        <v>831.25555799999995</v>
      </c>
    </row>
    <row r="7221" spans="2:4" x14ac:dyDescent="0.2">
      <c r="B7221" s="876">
        <v>8859</v>
      </c>
      <c r="C7221" s="876" t="s">
        <v>5889</v>
      </c>
      <c r="D7221" s="851">
        <v>898.58333800000003</v>
      </c>
    </row>
    <row r="7222" spans="2:4" x14ac:dyDescent="0.2">
      <c r="B7222" s="876">
        <v>8860</v>
      </c>
      <c r="C7222" s="876" t="s">
        <v>7541</v>
      </c>
      <c r="D7222" s="851">
        <v>912.67500299999995</v>
      </c>
    </row>
    <row r="7223" spans="2:4" x14ac:dyDescent="0.2">
      <c r="B7223" s="876">
        <v>8901</v>
      </c>
      <c r="C7223" s="876" t="s">
        <v>307</v>
      </c>
      <c r="D7223" s="851">
        <v>788.10001</v>
      </c>
    </row>
    <row r="7224" spans="2:4" x14ac:dyDescent="0.2">
      <c r="B7224" s="876">
        <v>8902</v>
      </c>
      <c r="C7224" s="876" t="s">
        <v>7542</v>
      </c>
      <c r="D7224" s="851">
        <v>800.58572000000004</v>
      </c>
    </row>
    <row r="7225" spans="2:4" x14ac:dyDescent="0.2">
      <c r="B7225" s="876">
        <v>8903</v>
      </c>
      <c r="C7225" s="876" t="s">
        <v>7543</v>
      </c>
      <c r="D7225" s="851">
        <v>844.11428799999999</v>
      </c>
    </row>
    <row r="7226" spans="2:4" x14ac:dyDescent="0.2">
      <c r="B7226" s="876">
        <v>8904</v>
      </c>
      <c r="C7226" s="876" t="s">
        <v>1316</v>
      </c>
      <c r="D7226" s="851">
        <v>851.13635299999999</v>
      </c>
    </row>
    <row r="7227" spans="2:4" x14ac:dyDescent="0.2">
      <c r="B7227" s="876">
        <v>8905</v>
      </c>
      <c r="C7227" s="876" t="s">
        <v>7544</v>
      </c>
      <c r="D7227" s="851">
        <v>833.23334199999999</v>
      </c>
    </row>
    <row r="7228" spans="2:4" x14ac:dyDescent="0.2">
      <c r="B7228" s="876">
        <v>8906</v>
      </c>
      <c r="C7228" s="876" t="s">
        <v>7280</v>
      </c>
      <c r="D7228" s="851">
        <v>840.05454899999995</v>
      </c>
    </row>
    <row r="7229" spans="2:4" x14ac:dyDescent="0.2">
      <c r="B7229" s="876">
        <v>8907</v>
      </c>
      <c r="C7229" s="876" t="s">
        <v>7545</v>
      </c>
      <c r="D7229" s="851">
        <v>822.40713900000003</v>
      </c>
    </row>
    <row r="7230" spans="2:4" x14ac:dyDescent="0.2">
      <c r="B7230" s="876">
        <v>8908</v>
      </c>
      <c r="C7230" s="876" t="s">
        <v>7546</v>
      </c>
      <c r="D7230" s="851">
        <v>803.10001</v>
      </c>
    </row>
    <row r="7231" spans="2:4" x14ac:dyDescent="0.2">
      <c r="B7231" s="876">
        <v>8909</v>
      </c>
      <c r="C7231" s="876" t="s">
        <v>7547</v>
      </c>
      <c r="D7231" s="851">
        <v>870.06363699999997</v>
      </c>
    </row>
    <row r="7232" spans="2:4" x14ac:dyDescent="0.2">
      <c r="B7232" s="876">
        <v>8910</v>
      </c>
      <c r="C7232" s="876" t="s">
        <v>3620</v>
      </c>
      <c r="D7232" s="851">
        <v>882.29999899999996</v>
      </c>
    </row>
    <row r="7233" spans="2:4" x14ac:dyDescent="0.2">
      <c r="B7233" s="876">
        <v>8911</v>
      </c>
      <c r="C7233" s="876" t="s">
        <v>7548</v>
      </c>
      <c r="D7233" s="851">
        <v>948.06111299999998</v>
      </c>
    </row>
    <row r="7234" spans="2:4" x14ac:dyDescent="0.2">
      <c r="B7234" s="876">
        <v>8912</v>
      </c>
      <c r="C7234" s="876" t="s">
        <v>7549</v>
      </c>
      <c r="D7234" s="851">
        <v>819.14167299999997</v>
      </c>
    </row>
    <row r="7235" spans="2:4" x14ac:dyDescent="0.2">
      <c r="B7235" s="876">
        <v>8913</v>
      </c>
      <c r="C7235" s="876" t="s">
        <v>7550</v>
      </c>
      <c r="D7235" s="851">
        <v>867.41249800000003</v>
      </c>
    </row>
    <row r="7236" spans="2:4" x14ac:dyDescent="0.2">
      <c r="B7236" s="876">
        <v>8914</v>
      </c>
      <c r="C7236" s="876" t="s">
        <v>7551</v>
      </c>
      <c r="D7236" s="851">
        <v>821.98570900000004</v>
      </c>
    </row>
    <row r="7237" spans="2:4" x14ac:dyDescent="0.2">
      <c r="B7237" s="876">
        <v>8915</v>
      </c>
      <c r="C7237" s="876" t="s">
        <v>7552</v>
      </c>
      <c r="D7237" s="851">
        <v>810.04001500000004</v>
      </c>
    </row>
    <row r="7238" spans="2:4" x14ac:dyDescent="0.2">
      <c r="B7238" s="876">
        <v>8916</v>
      </c>
      <c r="C7238" s="876" t="s">
        <v>1618</v>
      </c>
      <c r="D7238" s="851">
        <v>876.15714800000001</v>
      </c>
    </row>
    <row r="7239" spans="2:4" x14ac:dyDescent="0.2">
      <c r="B7239" s="876">
        <v>8918</v>
      </c>
      <c r="C7239" s="876" t="s">
        <v>7553</v>
      </c>
      <c r="D7239" s="851">
        <v>933.52940799999999</v>
      </c>
    </row>
    <row r="7240" spans="2:4" x14ac:dyDescent="0.2">
      <c r="B7240" s="876">
        <v>8919</v>
      </c>
      <c r="C7240" s="876" t="s">
        <v>7554</v>
      </c>
      <c r="D7240" s="851">
        <v>836.5</v>
      </c>
    </row>
    <row r="7241" spans="2:4" x14ac:dyDescent="0.2">
      <c r="B7241" s="876">
        <v>8920</v>
      </c>
      <c r="C7241" s="876" t="s">
        <v>7555</v>
      </c>
      <c r="D7241" s="851">
        <v>907.68999599999995</v>
      </c>
    </row>
    <row r="7242" spans="2:4" x14ac:dyDescent="0.2">
      <c r="B7242" s="876">
        <v>8921</v>
      </c>
      <c r="C7242" s="876" t="s">
        <v>7556</v>
      </c>
      <c r="D7242" s="851">
        <v>850.323533</v>
      </c>
    </row>
    <row r="7243" spans="2:4" x14ac:dyDescent="0.2">
      <c r="B7243" s="876">
        <v>8922</v>
      </c>
      <c r="C7243" s="876" t="s">
        <v>7557</v>
      </c>
      <c r="D7243" s="851">
        <v>891.10000600000001</v>
      </c>
    </row>
    <row r="7244" spans="2:4" x14ac:dyDescent="0.2">
      <c r="B7244" s="876">
        <v>8923</v>
      </c>
      <c r="C7244" s="876" t="s">
        <v>7558</v>
      </c>
      <c r="D7244" s="851">
        <v>777.27999299999999</v>
      </c>
    </row>
    <row r="7245" spans="2:4" x14ac:dyDescent="0.2">
      <c r="B7245" s="876">
        <v>8924</v>
      </c>
      <c r="C7245" s="876" t="s">
        <v>7559</v>
      </c>
      <c r="D7245" s="851">
        <v>797.58001100000001</v>
      </c>
    </row>
    <row r="7246" spans="2:4" x14ac:dyDescent="0.2">
      <c r="B7246" s="876">
        <v>8925</v>
      </c>
      <c r="C7246" s="876" t="s">
        <v>7560</v>
      </c>
      <c r="D7246" s="851">
        <v>850.184617</v>
      </c>
    </row>
    <row r="7247" spans="2:4" x14ac:dyDescent="0.2">
      <c r="B7247" s="876">
        <v>8926</v>
      </c>
      <c r="C7247" s="876" t="s">
        <v>7561</v>
      </c>
      <c r="D7247" s="851">
        <v>817.51110800000004</v>
      </c>
    </row>
    <row r="7248" spans="2:4" x14ac:dyDescent="0.2">
      <c r="B7248" s="876">
        <v>8927</v>
      </c>
      <c r="C7248" s="876" t="s">
        <v>7562</v>
      </c>
      <c r="D7248" s="851">
        <v>792.65832499999999</v>
      </c>
    </row>
    <row r="7249" spans="2:4" x14ac:dyDescent="0.2">
      <c r="B7249" s="876">
        <v>8928</v>
      </c>
      <c r="C7249" s="876" t="s">
        <v>7563</v>
      </c>
      <c r="D7249" s="851">
        <v>910.65555099999995</v>
      </c>
    </row>
    <row r="7250" spans="2:4" x14ac:dyDescent="0.2">
      <c r="B7250" s="876">
        <v>8929</v>
      </c>
      <c r="C7250" s="876" t="s">
        <v>7564</v>
      </c>
      <c r="D7250" s="851">
        <v>834.90000299999997</v>
      </c>
    </row>
    <row r="7251" spans="2:4" x14ac:dyDescent="0.2">
      <c r="B7251" s="876">
        <v>8930</v>
      </c>
      <c r="C7251" s="876" t="s">
        <v>7565</v>
      </c>
      <c r="D7251" s="851">
        <v>820.17142999999999</v>
      </c>
    </row>
    <row r="7252" spans="2:4" x14ac:dyDescent="0.2">
      <c r="B7252" s="876">
        <v>8931</v>
      </c>
      <c r="C7252" s="876" t="s">
        <v>7566</v>
      </c>
      <c r="D7252" s="851">
        <v>765.95555999999999</v>
      </c>
    </row>
    <row r="7253" spans="2:4" x14ac:dyDescent="0.2">
      <c r="B7253" s="876">
        <v>8932</v>
      </c>
      <c r="C7253" s="876" t="s">
        <v>7567</v>
      </c>
      <c r="D7253" s="851">
        <v>831.67000700000006</v>
      </c>
    </row>
    <row r="7254" spans="2:4" x14ac:dyDescent="0.2">
      <c r="B7254" s="876">
        <v>8933</v>
      </c>
      <c r="C7254" s="876" t="s">
        <v>7568</v>
      </c>
      <c r="D7254" s="851">
        <v>858</v>
      </c>
    </row>
    <row r="7255" spans="2:4" x14ac:dyDescent="0.2">
      <c r="B7255" s="876">
        <v>8934</v>
      </c>
      <c r="C7255" s="876" t="s">
        <v>7569</v>
      </c>
      <c r="D7255" s="851">
        <v>818.5</v>
      </c>
    </row>
    <row r="7256" spans="2:4" x14ac:dyDescent="0.2">
      <c r="B7256" s="876">
        <v>8935</v>
      </c>
      <c r="C7256" s="876" t="s">
        <v>7031</v>
      </c>
      <c r="D7256" s="851">
        <v>839.54286400000001</v>
      </c>
    </row>
    <row r="7257" spans="2:4" x14ac:dyDescent="0.2">
      <c r="B7257" s="876">
        <v>8936</v>
      </c>
      <c r="C7257" s="876" t="s">
        <v>7570</v>
      </c>
      <c r="D7257" s="851">
        <v>777.44000200000005</v>
      </c>
    </row>
    <row r="7258" spans="2:4" x14ac:dyDescent="0.2">
      <c r="B7258" s="876">
        <v>8937</v>
      </c>
      <c r="C7258" s="876" t="s">
        <v>7571</v>
      </c>
      <c r="D7258" s="851">
        <v>752.17142200000001</v>
      </c>
    </row>
    <row r="7259" spans="2:4" x14ac:dyDescent="0.2">
      <c r="B7259" s="876">
        <v>8938</v>
      </c>
      <c r="C7259" s="876" t="s">
        <v>7572</v>
      </c>
      <c r="D7259" s="851">
        <v>796.50001499999996</v>
      </c>
    </row>
    <row r="7260" spans="2:4" x14ac:dyDescent="0.2">
      <c r="B7260" s="876">
        <v>8939</v>
      </c>
      <c r="C7260" s="876" t="s">
        <v>7573</v>
      </c>
      <c r="D7260" s="851">
        <v>815.17499799999996</v>
      </c>
    </row>
    <row r="7261" spans="2:4" x14ac:dyDescent="0.2">
      <c r="B7261" s="876">
        <v>8940</v>
      </c>
      <c r="C7261" s="876" t="s">
        <v>7574</v>
      </c>
      <c r="D7261" s="851">
        <v>835.70000700000003</v>
      </c>
    </row>
    <row r="7262" spans="2:4" x14ac:dyDescent="0.2">
      <c r="B7262" s="876">
        <v>8941</v>
      </c>
      <c r="C7262" s="876" t="s">
        <v>7575</v>
      </c>
      <c r="D7262" s="851">
        <v>861.48000500000001</v>
      </c>
    </row>
    <row r="7263" spans="2:4" x14ac:dyDescent="0.2">
      <c r="B7263" s="876">
        <v>8942</v>
      </c>
      <c r="C7263" s="876" t="s">
        <v>7576</v>
      </c>
      <c r="D7263" s="851">
        <v>787.7</v>
      </c>
    </row>
    <row r="7264" spans="2:4" x14ac:dyDescent="0.2">
      <c r="B7264" s="876">
        <v>8943</v>
      </c>
      <c r="C7264" s="876" t="s">
        <v>7577</v>
      </c>
      <c r="D7264" s="851">
        <v>892.80000399999994</v>
      </c>
    </row>
    <row r="7265" spans="2:4" x14ac:dyDescent="0.2">
      <c r="B7265" s="876">
        <v>8944</v>
      </c>
      <c r="C7265" s="876" t="s">
        <v>7578</v>
      </c>
      <c r="D7265" s="851">
        <v>809.74615900000003</v>
      </c>
    </row>
    <row r="7266" spans="2:4" x14ac:dyDescent="0.2">
      <c r="B7266" s="876">
        <v>8945</v>
      </c>
      <c r="C7266" s="876" t="s">
        <v>7579</v>
      </c>
      <c r="D7266" s="851">
        <v>778.22222199999999</v>
      </c>
    </row>
    <row r="7267" spans="2:4" x14ac:dyDescent="0.2">
      <c r="B7267" s="876">
        <v>8946</v>
      </c>
      <c r="C7267" s="876" t="s">
        <v>7580</v>
      </c>
      <c r="D7267" s="851">
        <v>814.823083</v>
      </c>
    </row>
    <row r="7268" spans="2:4" x14ac:dyDescent="0.2">
      <c r="B7268" s="876">
        <v>8947</v>
      </c>
      <c r="C7268" s="876" t="s">
        <v>7581</v>
      </c>
      <c r="D7268" s="851">
        <v>822.34285599999998</v>
      </c>
    </row>
    <row r="7269" spans="2:4" x14ac:dyDescent="0.2">
      <c r="B7269" s="876">
        <v>8948</v>
      </c>
      <c r="C7269" s="876" t="s">
        <v>7582</v>
      </c>
      <c r="D7269" s="851">
        <v>838.16666699999996</v>
      </c>
    </row>
    <row r="7270" spans="2:4" x14ac:dyDescent="0.2">
      <c r="B7270" s="876">
        <v>8949</v>
      </c>
      <c r="C7270" s="876" t="s">
        <v>7583</v>
      </c>
      <c r="D7270" s="851">
        <v>831.37778000000003</v>
      </c>
    </row>
    <row r="7271" spans="2:4" x14ac:dyDescent="0.2">
      <c r="B7271" s="876">
        <v>8950</v>
      </c>
      <c r="C7271" s="876" t="s">
        <v>7584</v>
      </c>
      <c r="D7271" s="851">
        <v>827.69999199999995</v>
      </c>
    </row>
    <row r="7272" spans="2:4" x14ac:dyDescent="0.2">
      <c r="B7272" s="876">
        <v>8951</v>
      </c>
      <c r="C7272" s="876" t="s">
        <v>7585</v>
      </c>
      <c r="D7272" s="851">
        <v>968.77272200000004</v>
      </c>
    </row>
    <row r="7273" spans="2:4" x14ac:dyDescent="0.2">
      <c r="B7273" s="876">
        <v>9001</v>
      </c>
      <c r="C7273" s="876" t="s">
        <v>7586</v>
      </c>
      <c r="D7273" s="851">
        <v>1058.853854</v>
      </c>
    </row>
    <row r="7274" spans="2:4" x14ac:dyDescent="0.2">
      <c r="B7274" s="876">
        <v>9002</v>
      </c>
      <c r="C7274" s="876" t="s">
        <v>7587</v>
      </c>
      <c r="D7274" s="851">
        <v>995.37780099999998</v>
      </c>
    </row>
    <row r="7275" spans="2:4" x14ac:dyDescent="0.2">
      <c r="B7275" s="876">
        <v>9003</v>
      </c>
      <c r="C7275" s="876" t="s">
        <v>7588</v>
      </c>
      <c r="D7275" s="851">
        <v>856.96666500000003</v>
      </c>
    </row>
    <row r="7276" spans="2:4" x14ac:dyDescent="0.2">
      <c r="B7276" s="876">
        <v>9004</v>
      </c>
      <c r="C7276" s="876" t="s">
        <v>7589</v>
      </c>
      <c r="D7276" s="851">
        <v>887.30000800000005</v>
      </c>
    </row>
    <row r="7277" spans="2:4" x14ac:dyDescent="0.2">
      <c r="B7277" s="876">
        <v>9005</v>
      </c>
      <c r="C7277" s="876" t="s">
        <v>7590</v>
      </c>
      <c r="D7277" s="851">
        <v>1044.768423</v>
      </c>
    </row>
    <row r="7278" spans="2:4" x14ac:dyDescent="0.2">
      <c r="B7278" s="876">
        <v>9006</v>
      </c>
      <c r="C7278" s="876" t="s">
        <v>7591</v>
      </c>
      <c r="D7278" s="851">
        <v>906.56666700000005</v>
      </c>
    </row>
    <row r="7279" spans="2:4" x14ac:dyDescent="0.2">
      <c r="B7279" s="876">
        <v>9007</v>
      </c>
      <c r="C7279" s="876" t="s">
        <v>7592</v>
      </c>
      <c r="D7279" s="851">
        <v>950.42307700000003</v>
      </c>
    </row>
    <row r="7280" spans="2:4" x14ac:dyDescent="0.2">
      <c r="B7280" s="876">
        <v>9008</v>
      </c>
      <c r="C7280" s="876" t="s">
        <v>7593</v>
      </c>
      <c r="D7280" s="851">
        <v>1088.5719919999999</v>
      </c>
    </row>
    <row r="7281" spans="2:4" x14ac:dyDescent="0.2">
      <c r="B7281" s="876">
        <v>9009</v>
      </c>
      <c r="C7281" s="876" t="s">
        <v>7594</v>
      </c>
      <c r="D7281" s="851">
        <v>857.98103700000001</v>
      </c>
    </row>
    <row r="7282" spans="2:4" x14ac:dyDescent="0.2">
      <c r="B7282" s="876">
        <v>9010</v>
      </c>
      <c r="C7282" s="876" t="s">
        <v>7595</v>
      </c>
      <c r="D7282" s="851">
        <v>944.59997599999997</v>
      </c>
    </row>
    <row r="7283" spans="2:4" x14ac:dyDescent="0.2">
      <c r="B7283" s="876">
        <v>9011</v>
      </c>
      <c r="C7283" s="876" t="s">
        <v>7596</v>
      </c>
      <c r="D7283" s="851">
        <v>884.60000600000001</v>
      </c>
    </row>
    <row r="7284" spans="2:4" x14ac:dyDescent="0.2">
      <c r="B7284" s="876">
        <v>9012</v>
      </c>
      <c r="C7284" s="876" t="s">
        <v>7597</v>
      </c>
      <c r="D7284" s="851">
        <v>863.20833300000004</v>
      </c>
    </row>
    <row r="7285" spans="2:4" x14ac:dyDescent="0.2">
      <c r="B7285" s="876">
        <v>9013</v>
      </c>
      <c r="C7285" s="876" t="s">
        <v>7598</v>
      </c>
      <c r="D7285" s="851">
        <v>956.74999000000003</v>
      </c>
    </row>
    <row r="7286" spans="2:4" x14ac:dyDescent="0.2">
      <c r="B7286" s="876">
        <v>9014</v>
      </c>
      <c r="C7286" s="876" t="s">
        <v>7599</v>
      </c>
      <c r="D7286" s="851">
        <v>936.02000699999996</v>
      </c>
    </row>
    <row r="7287" spans="2:4" x14ac:dyDescent="0.2">
      <c r="B7287" s="876">
        <v>9015</v>
      </c>
      <c r="C7287" s="876" t="s">
        <v>7600</v>
      </c>
      <c r="D7287" s="851">
        <v>1035.676927</v>
      </c>
    </row>
    <row r="7288" spans="2:4" x14ac:dyDescent="0.2">
      <c r="B7288" s="876">
        <v>9016</v>
      </c>
      <c r="C7288" s="876" t="s">
        <v>7601</v>
      </c>
      <c r="D7288" s="851">
        <v>895.9</v>
      </c>
    </row>
    <row r="7289" spans="2:4" x14ac:dyDescent="0.2">
      <c r="B7289" s="876">
        <v>9017</v>
      </c>
      <c r="C7289" s="876" t="s">
        <v>7602</v>
      </c>
      <c r="D7289" s="851">
        <v>883.02728300000001</v>
      </c>
    </row>
    <row r="7290" spans="2:4" x14ac:dyDescent="0.2">
      <c r="B7290" s="876">
        <v>9018</v>
      </c>
      <c r="C7290" s="876" t="s">
        <v>7603</v>
      </c>
      <c r="D7290" s="851">
        <v>944.42500299999995</v>
      </c>
    </row>
    <row r="7291" spans="2:4" x14ac:dyDescent="0.2">
      <c r="B7291" s="876">
        <v>9019</v>
      </c>
      <c r="C7291" s="876" t="s">
        <v>7604</v>
      </c>
      <c r="D7291" s="851">
        <v>897.69231200000002</v>
      </c>
    </row>
    <row r="7292" spans="2:4" x14ac:dyDescent="0.2">
      <c r="B7292" s="876">
        <v>9020</v>
      </c>
      <c r="C7292" s="876" t="s">
        <v>7605</v>
      </c>
      <c r="D7292" s="851">
        <v>890.52857300000005</v>
      </c>
    </row>
    <row r="7293" spans="2:4" x14ac:dyDescent="0.2">
      <c r="B7293" s="876">
        <v>9021</v>
      </c>
      <c r="C7293" s="876" t="s">
        <v>7606</v>
      </c>
      <c r="D7293" s="851">
        <v>879.17142999999999</v>
      </c>
    </row>
    <row r="7294" spans="2:4" x14ac:dyDescent="0.2">
      <c r="B7294" s="876">
        <v>9022</v>
      </c>
      <c r="C7294" s="876" t="s">
        <v>7607</v>
      </c>
      <c r="D7294" s="851">
        <v>977.02856399999996</v>
      </c>
    </row>
    <row r="7295" spans="2:4" x14ac:dyDescent="0.2">
      <c r="B7295" s="876">
        <v>9023</v>
      </c>
      <c r="C7295" s="876" t="s">
        <v>7608</v>
      </c>
      <c r="D7295" s="851">
        <v>891.47143600000004</v>
      </c>
    </row>
    <row r="7296" spans="2:4" x14ac:dyDescent="0.2">
      <c r="B7296" s="876">
        <v>9024</v>
      </c>
      <c r="C7296" s="876" t="s">
        <v>7609</v>
      </c>
      <c r="D7296" s="851">
        <v>927.133331</v>
      </c>
    </row>
    <row r="7297" spans="2:4" x14ac:dyDescent="0.2">
      <c r="B7297" s="876">
        <v>9025</v>
      </c>
      <c r="C7297" s="876" t="s">
        <v>7610</v>
      </c>
      <c r="D7297" s="851">
        <v>863.29999799999996</v>
      </c>
    </row>
    <row r="7298" spans="2:4" x14ac:dyDescent="0.2">
      <c r="B7298" s="876">
        <v>9026</v>
      </c>
      <c r="C7298" s="876" t="s">
        <v>1498</v>
      </c>
      <c r="D7298" s="851">
        <v>982.72726699999998</v>
      </c>
    </row>
    <row r="7299" spans="2:4" x14ac:dyDescent="0.2">
      <c r="B7299" s="876">
        <v>9027</v>
      </c>
      <c r="C7299" s="876" t="s">
        <v>7611</v>
      </c>
      <c r="D7299" s="851">
        <v>906.46250899999995</v>
      </c>
    </row>
    <row r="7300" spans="2:4" x14ac:dyDescent="0.2">
      <c r="B7300" s="876">
        <v>9028</v>
      </c>
      <c r="C7300" s="876" t="s">
        <v>7612</v>
      </c>
      <c r="D7300" s="851">
        <v>886.55624399999999</v>
      </c>
    </row>
    <row r="7301" spans="2:4" x14ac:dyDescent="0.2">
      <c r="B7301" s="876">
        <v>9029</v>
      </c>
      <c r="C7301" s="876" t="s">
        <v>7613</v>
      </c>
      <c r="D7301" s="851">
        <v>984.74284999999998</v>
      </c>
    </row>
    <row r="7302" spans="2:4" x14ac:dyDescent="0.2">
      <c r="B7302" s="876">
        <v>9030</v>
      </c>
      <c r="C7302" s="876" t="s">
        <v>7614</v>
      </c>
      <c r="D7302" s="851">
        <v>888.35999800000002</v>
      </c>
    </row>
    <row r="7303" spans="2:4" x14ac:dyDescent="0.2">
      <c r="B7303" s="876">
        <v>9031</v>
      </c>
      <c r="C7303" s="876" t="s">
        <v>7615</v>
      </c>
      <c r="D7303" s="851">
        <v>896.85882200000003</v>
      </c>
    </row>
    <row r="7304" spans="2:4" x14ac:dyDescent="0.2">
      <c r="B7304" s="876">
        <v>9032</v>
      </c>
      <c r="C7304" s="876" t="s">
        <v>7616</v>
      </c>
      <c r="D7304" s="851">
        <v>1045.739984</v>
      </c>
    </row>
    <row r="7305" spans="2:4" x14ac:dyDescent="0.2">
      <c r="B7305" s="876">
        <v>9033</v>
      </c>
      <c r="C7305" s="876" t="s">
        <v>320</v>
      </c>
      <c r="D7305" s="851">
        <v>934.17940899999996</v>
      </c>
    </row>
    <row r="7306" spans="2:4" x14ac:dyDescent="0.2">
      <c r="B7306" s="876">
        <v>9034</v>
      </c>
      <c r="C7306" s="876" t="s">
        <v>7617</v>
      </c>
      <c r="D7306" s="851">
        <v>1026.9772780000001</v>
      </c>
    </row>
    <row r="7307" spans="2:4" x14ac:dyDescent="0.2">
      <c r="B7307" s="876">
        <v>9035</v>
      </c>
      <c r="C7307" s="876" t="s">
        <v>4688</v>
      </c>
      <c r="D7307" s="851">
        <v>970.259998</v>
      </c>
    </row>
    <row r="7308" spans="2:4" x14ac:dyDescent="0.2">
      <c r="B7308" s="876">
        <v>9036</v>
      </c>
      <c r="C7308" s="876" t="s">
        <v>7618</v>
      </c>
      <c r="D7308" s="851">
        <v>1014.5857109999999</v>
      </c>
    </row>
    <row r="7309" spans="2:4" x14ac:dyDescent="0.2">
      <c r="B7309" s="876">
        <v>9037</v>
      </c>
      <c r="C7309" s="876" t="s">
        <v>7619</v>
      </c>
      <c r="D7309" s="851">
        <v>992.19999199999995</v>
      </c>
    </row>
    <row r="7310" spans="2:4" x14ac:dyDescent="0.2">
      <c r="B7310" s="876">
        <v>9038</v>
      </c>
      <c r="C7310" s="876" t="s">
        <v>7620</v>
      </c>
      <c r="D7310" s="851">
        <v>897.86667899999998</v>
      </c>
    </row>
    <row r="7311" spans="2:4" x14ac:dyDescent="0.2">
      <c r="B7311" s="876">
        <v>9039</v>
      </c>
      <c r="C7311" s="876" t="s">
        <v>7621</v>
      </c>
      <c r="D7311" s="851">
        <v>967.77999299999999</v>
      </c>
    </row>
    <row r="7312" spans="2:4" x14ac:dyDescent="0.2">
      <c r="B7312" s="876">
        <v>9040</v>
      </c>
      <c r="C7312" s="876" t="s">
        <v>7622</v>
      </c>
      <c r="D7312" s="851">
        <v>949.86250299999995</v>
      </c>
    </row>
    <row r="7313" spans="2:4" x14ac:dyDescent="0.2">
      <c r="B7313" s="876">
        <v>9041</v>
      </c>
      <c r="C7313" s="876" t="s">
        <v>7623</v>
      </c>
      <c r="D7313" s="851">
        <v>909.48889199999996</v>
      </c>
    </row>
    <row r="7314" spans="2:4" x14ac:dyDescent="0.2">
      <c r="B7314" s="876">
        <v>9042</v>
      </c>
      <c r="C7314" s="876" t="s">
        <v>7624</v>
      </c>
      <c r="D7314" s="851">
        <v>866.18332899999996</v>
      </c>
    </row>
    <row r="7315" spans="2:4" x14ac:dyDescent="0.2">
      <c r="B7315" s="876">
        <v>9043</v>
      </c>
      <c r="C7315" s="876" t="s">
        <v>7625</v>
      </c>
      <c r="D7315" s="851">
        <v>930.61249499999997</v>
      </c>
    </row>
    <row r="7316" spans="2:4" x14ac:dyDescent="0.2">
      <c r="B7316" s="876">
        <v>9044</v>
      </c>
      <c r="C7316" s="876" t="s">
        <v>7626</v>
      </c>
      <c r="D7316" s="851">
        <v>902.07501200000002</v>
      </c>
    </row>
    <row r="7317" spans="2:4" x14ac:dyDescent="0.2">
      <c r="B7317" s="876">
        <v>9045</v>
      </c>
      <c r="C7317" s="876" t="s">
        <v>7627</v>
      </c>
      <c r="D7317" s="851">
        <v>921.60000600000001</v>
      </c>
    </row>
    <row r="7318" spans="2:4" x14ac:dyDescent="0.2">
      <c r="B7318" s="876">
        <v>9046</v>
      </c>
      <c r="C7318" s="876" t="s">
        <v>7628</v>
      </c>
      <c r="D7318" s="851">
        <v>925.794444</v>
      </c>
    </row>
    <row r="7319" spans="2:4" x14ac:dyDescent="0.2">
      <c r="B7319" s="876">
        <v>9047</v>
      </c>
      <c r="C7319" s="876" t="s">
        <v>7629</v>
      </c>
      <c r="D7319" s="851">
        <v>860.214294</v>
      </c>
    </row>
    <row r="7320" spans="2:4" x14ac:dyDescent="0.2">
      <c r="B7320" s="876">
        <v>9048</v>
      </c>
      <c r="C7320" s="876" t="s">
        <v>7630</v>
      </c>
      <c r="D7320" s="851">
        <v>869.85000600000001</v>
      </c>
    </row>
    <row r="7321" spans="2:4" x14ac:dyDescent="0.2">
      <c r="B7321" s="876">
        <v>9049</v>
      </c>
      <c r="C7321" s="876" t="s">
        <v>7631</v>
      </c>
      <c r="D7321" s="851">
        <v>968.65998500000001</v>
      </c>
    </row>
    <row r="7322" spans="2:4" x14ac:dyDescent="0.2">
      <c r="B7322" s="876">
        <v>9050</v>
      </c>
      <c r="C7322" s="876" t="s">
        <v>4952</v>
      </c>
      <c r="D7322" s="851">
        <v>937.29998799999998</v>
      </c>
    </row>
    <row r="7323" spans="2:4" x14ac:dyDescent="0.2">
      <c r="B7323" s="876">
        <v>9051</v>
      </c>
      <c r="C7323" s="876" t="s">
        <v>7632</v>
      </c>
      <c r="D7323" s="851">
        <v>826.46190799999999</v>
      </c>
    </row>
    <row r="7324" spans="2:4" x14ac:dyDescent="0.2">
      <c r="B7324" s="876">
        <v>9052</v>
      </c>
      <c r="C7324" s="876" t="s">
        <v>7633</v>
      </c>
      <c r="D7324" s="851">
        <v>972.98332700000003</v>
      </c>
    </row>
    <row r="7325" spans="2:4" x14ac:dyDescent="0.2">
      <c r="B7325" s="876">
        <v>9053</v>
      </c>
      <c r="C7325" s="876" t="s">
        <v>7634</v>
      </c>
      <c r="D7325" s="851">
        <v>907.27499399999999</v>
      </c>
    </row>
    <row r="7326" spans="2:4" x14ac:dyDescent="0.2">
      <c r="B7326" s="876">
        <v>9054</v>
      </c>
      <c r="C7326" s="876" t="s">
        <v>7635</v>
      </c>
      <c r="D7326" s="851">
        <v>1044.866659</v>
      </c>
    </row>
    <row r="7327" spans="2:4" x14ac:dyDescent="0.2">
      <c r="B7327" s="876">
        <v>9055</v>
      </c>
      <c r="C7327" s="876" t="s">
        <v>7636</v>
      </c>
      <c r="D7327" s="851">
        <v>962.35000600000001</v>
      </c>
    </row>
    <row r="7328" spans="2:4" x14ac:dyDescent="0.2">
      <c r="B7328" s="876">
        <v>9056</v>
      </c>
      <c r="C7328" s="876" t="s">
        <v>7637</v>
      </c>
      <c r="D7328" s="851">
        <v>858.79998799999998</v>
      </c>
    </row>
    <row r="7329" spans="2:4" x14ac:dyDescent="0.2">
      <c r="B7329" s="876">
        <v>9057</v>
      </c>
      <c r="C7329" s="876" t="s">
        <v>7638</v>
      </c>
      <c r="D7329" s="851">
        <v>1042.627774</v>
      </c>
    </row>
    <row r="7330" spans="2:4" x14ac:dyDescent="0.2">
      <c r="B7330" s="876">
        <v>9058</v>
      </c>
      <c r="C7330" s="876" t="s">
        <v>7639</v>
      </c>
      <c r="D7330" s="851">
        <v>951.93334500000003</v>
      </c>
    </row>
    <row r="7331" spans="2:4" x14ac:dyDescent="0.2">
      <c r="B7331" s="876">
        <v>9059</v>
      </c>
      <c r="C7331" s="876" t="s">
        <v>7640</v>
      </c>
      <c r="D7331" s="851">
        <v>828.15789800000005</v>
      </c>
    </row>
    <row r="7332" spans="2:4" x14ac:dyDescent="0.2">
      <c r="B7332" s="876">
        <v>9060</v>
      </c>
      <c r="C7332" s="876" t="s">
        <v>7641</v>
      </c>
      <c r="D7332" s="851">
        <v>937.73636699999997</v>
      </c>
    </row>
    <row r="7333" spans="2:4" x14ac:dyDescent="0.2">
      <c r="B7333" s="876">
        <v>9061</v>
      </c>
      <c r="C7333" s="876" t="s">
        <v>7642</v>
      </c>
      <c r="D7333" s="851">
        <v>887.64443600000004</v>
      </c>
    </row>
    <row r="7334" spans="2:4" x14ac:dyDescent="0.2">
      <c r="B7334" s="876">
        <v>9062</v>
      </c>
      <c r="C7334" s="876" t="s">
        <v>7643</v>
      </c>
      <c r="D7334" s="851">
        <v>950.4</v>
      </c>
    </row>
    <row r="7335" spans="2:4" x14ac:dyDescent="0.2">
      <c r="B7335" s="876">
        <v>9063</v>
      </c>
      <c r="C7335" s="876" t="s">
        <v>7644</v>
      </c>
      <c r="D7335" s="851">
        <v>945.87998000000005</v>
      </c>
    </row>
    <row r="7336" spans="2:4" x14ac:dyDescent="0.2">
      <c r="B7336" s="876">
        <v>9064</v>
      </c>
      <c r="C7336" s="876" t="s">
        <v>5518</v>
      </c>
      <c r="D7336" s="851">
        <v>991.45454500000005</v>
      </c>
    </row>
    <row r="7337" spans="2:4" x14ac:dyDescent="0.2">
      <c r="B7337" s="876">
        <v>9065</v>
      </c>
      <c r="C7337" s="876" t="s">
        <v>7645</v>
      </c>
      <c r="D7337" s="851">
        <v>974.01111500000002</v>
      </c>
    </row>
    <row r="7338" spans="2:4" x14ac:dyDescent="0.2">
      <c r="B7338" s="876">
        <v>9066</v>
      </c>
      <c r="C7338" s="876" t="s">
        <v>7646</v>
      </c>
      <c r="D7338" s="851">
        <v>965.76250500000003</v>
      </c>
    </row>
    <row r="7339" spans="2:4" x14ac:dyDescent="0.2">
      <c r="B7339" s="876">
        <v>9067</v>
      </c>
      <c r="C7339" s="876" t="s">
        <v>7647</v>
      </c>
      <c r="D7339" s="851">
        <v>993.89998400000002</v>
      </c>
    </row>
    <row r="7340" spans="2:4" x14ac:dyDescent="0.2">
      <c r="B7340" s="876">
        <v>9068</v>
      </c>
      <c r="C7340" s="876" t="s">
        <v>7648</v>
      </c>
      <c r="D7340" s="851">
        <v>963.75714100000005</v>
      </c>
    </row>
    <row r="7341" spans="2:4" x14ac:dyDescent="0.2">
      <c r="B7341" s="876">
        <v>9069</v>
      </c>
      <c r="C7341" s="876" t="s">
        <v>7649</v>
      </c>
      <c r="D7341" s="851">
        <v>952.37999300000001</v>
      </c>
    </row>
    <row r="7342" spans="2:4" x14ac:dyDescent="0.2">
      <c r="B7342" s="876">
        <v>9070</v>
      </c>
      <c r="C7342" s="876" t="s">
        <v>7650</v>
      </c>
      <c r="D7342" s="851">
        <v>893.00000799999998</v>
      </c>
    </row>
    <row r="7343" spans="2:4" x14ac:dyDescent="0.2">
      <c r="B7343" s="876">
        <v>9071</v>
      </c>
      <c r="C7343" s="876" t="s">
        <v>7651</v>
      </c>
      <c r="D7343" s="851">
        <v>899.15000899999995</v>
      </c>
    </row>
    <row r="7344" spans="2:4" x14ac:dyDescent="0.2">
      <c r="B7344" s="876">
        <v>9072</v>
      </c>
      <c r="C7344" s="876" t="s">
        <v>7652</v>
      </c>
      <c r="D7344" s="851">
        <v>906</v>
      </c>
    </row>
    <row r="7345" spans="2:4" x14ac:dyDescent="0.2">
      <c r="B7345" s="876">
        <v>9073</v>
      </c>
      <c r="C7345" s="876" t="s">
        <v>7653</v>
      </c>
      <c r="D7345" s="851">
        <v>907.96666500000003</v>
      </c>
    </row>
    <row r="7346" spans="2:4" x14ac:dyDescent="0.2">
      <c r="B7346" s="876">
        <v>9074</v>
      </c>
      <c r="C7346" s="876" t="s">
        <v>7654</v>
      </c>
      <c r="D7346" s="851">
        <v>918.38125200000002</v>
      </c>
    </row>
    <row r="7347" spans="2:4" x14ac:dyDescent="0.2">
      <c r="B7347" s="876">
        <v>9075</v>
      </c>
      <c r="C7347" s="876" t="s">
        <v>7655</v>
      </c>
      <c r="D7347" s="851">
        <v>874.263644</v>
      </c>
    </row>
    <row r="7348" spans="2:4" x14ac:dyDescent="0.2">
      <c r="B7348" s="876">
        <v>9076</v>
      </c>
      <c r="C7348" s="876" t="s">
        <v>7656</v>
      </c>
      <c r="D7348" s="851">
        <v>875.74545000000001</v>
      </c>
    </row>
    <row r="7349" spans="2:4" x14ac:dyDescent="0.2">
      <c r="B7349" s="876">
        <v>9077</v>
      </c>
      <c r="C7349" s="876" t="s">
        <v>4633</v>
      </c>
      <c r="D7349" s="851">
        <v>838.85998500000005</v>
      </c>
    </row>
    <row r="7350" spans="2:4" x14ac:dyDescent="0.2">
      <c r="B7350" s="876">
        <v>9078</v>
      </c>
      <c r="C7350" s="876" t="s">
        <v>7657</v>
      </c>
      <c r="D7350" s="851">
        <v>1001.353341</v>
      </c>
    </row>
    <row r="7351" spans="2:4" x14ac:dyDescent="0.2">
      <c r="B7351" s="876">
        <v>9079</v>
      </c>
      <c r="C7351" s="876" t="s">
        <v>7658</v>
      </c>
      <c r="D7351" s="851">
        <v>1067.424988</v>
      </c>
    </row>
    <row r="7352" spans="2:4" x14ac:dyDescent="0.2">
      <c r="B7352" s="876">
        <v>9081</v>
      </c>
      <c r="C7352" s="876" t="s">
        <v>6661</v>
      </c>
      <c r="D7352" s="851">
        <v>1087.269221</v>
      </c>
    </row>
    <row r="7353" spans="2:4" x14ac:dyDescent="0.2">
      <c r="B7353" s="876">
        <v>9082</v>
      </c>
      <c r="C7353" s="876" t="s">
        <v>7659</v>
      </c>
      <c r="D7353" s="851">
        <v>1142.869995</v>
      </c>
    </row>
    <row r="7354" spans="2:4" x14ac:dyDescent="0.2">
      <c r="B7354" s="876">
        <v>9083</v>
      </c>
      <c r="C7354" s="876" t="s">
        <v>7660</v>
      </c>
      <c r="D7354" s="851">
        <v>1122.2888929999999</v>
      </c>
    </row>
    <row r="7355" spans="2:4" x14ac:dyDescent="0.2">
      <c r="B7355" s="876">
        <v>9084</v>
      </c>
      <c r="C7355" s="876" t="s">
        <v>7661</v>
      </c>
      <c r="D7355" s="851">
        <v>1054.984633</v>
      </c>
    </row>
    <row r="7356" spans="2:4" x14ac:dyDescent="0.2">
      <c r="B7356" s="876">
        <v>9085</v>
      </c>
      <c r="C7356" s="876" t="s">
        <v>7662</v>
      </c>
      <c r="D7356" s="851">
        <v>1158.4128169999999</v>
      </c>
    </row>
    <row r="7357" spans="2:4" x14ac:dyDescent="0.2">
      <c r="B7357" s="876">
        <v>9086</v>
      </c>
      <c r="C7357" s="876" t="s">
        <v>7663</v>
      </c>
      <c r="D7357" s="851">
        <v>1115.738885</v>
      </c>
    </row>
    <row r="7358" spans="2:4" x14ac:dyDescent="0.2">
      <c r="B7358" s="876">
        <v>9087</v>
      </c>
      <c r="C7358" s="876" t="s">
        <v>7664</v>
      </c>
      <c r="D7358" s="851">
        <v>1151.799998</v>
      </c>
    </row>
    <row r="7359" spans="2:4" x14ac:dyDescent="0.2">
      <c r="B7359" s="876">
        <v>9088</v>
      </c>
      <c r="C7359" s="876" t="s">
        <v>7665</v>
      </c>
      <c r="D7359" s="851">
        <v>1337.829999</v>
      </c>
    </row>
    <row r="7360" spans="2:4" x14ac:dyDescent="0.2">
      <c r="B7360" s="876">
        <v>9089</v>
      </c>
      <c r="C7360" s="876" t="s">
        <v>7666</v>
      </c>
      <c r="D7360" s="851">
        <v>1074.7307599999999</v>
      </c>
    </row>
    <row r="7361" spans="2:4" x14ac:dyDescent="0.2">
      <c r="B7361" s="876">
        <v>9090</v>
      </c>
      <c r="C7361" s="876" t="s">
        <v>6885</v>
      </c>
      <c r="D7361" s="851">
        <v>1155.4874950000001</v>
      </c>
    </row>
    <row r="7362" spans="2:4" x14ac:dyDescent="0.2">
      <c r="B7362" s="876">
        <v>9091</v>
      </c>
      <c r="C7362" s="876" t="s">
        <v>2758</v>
      </c>
      <c r="D7362" s="851">
        <v>1196.7591</v>
      </c>
    </row>
    <row r="7363" spans="2:4" x14ac:dyDescent="0.2">
      <c r="B7363" s="876">
        <v>9092</v>
      </c>
      <c r="C7363" s="876" t="s">
        <v>7667</v>
      </c>
      <c r="D7363" s="851">
        <v>1094.3303069999999</v>
      </c>
    </row>
    <row r="7364" spans="2:4" x14ac:dyDescent="0.2">
      <c r="B7364" s="876">
        <v>9093</v>
      </c>
      <c r="C7364" s="876" t="s">
        <v>7668</v>
      </c>
      <c r="D7364" s="851">
        <v>1233.518738</v>
      </c>
    </row>
    <row r="7365" spans="2:4" x14ac:dyDescent="0.2">
      <c r="B7365" s="876">
        <v>9094</v>
      </c>
      <c r="C7365" s="876" t="s">
        <v>7669</v>
      </c>
      <c r="D7365" s="851">
        <v>1194.038098</v>
      </c>
    </row>
    <row r="7366" spans="2:4" x14ac:dyDescent="0.2">
      <c r="B7366" s="876">
        <v>9095</v>
      </c>
      <c r="C7366" s="876" t="s">
        <v>7670</v>
      </c>
      <c r="D7366" s="851">
        <v>1148.185704</v>
      </c>
    </row>
    <row r="7367" spans="2:4" x14ac:dyDescent="0.2">
      <c r="B7367" s="876">
        <v>9096</v>
      </c>
      <c r="C7367" s="876" t="s">
        <v>7671</v>
      </c>
      <c r="D7367" s="851">
        <v>1069.0450069999999</v>
      </c>
    </row>
    <row r="7368" spans="2:4" x14ac:dyDescent="0.2">
      <c r="B7368" s="876">
        <v>9097</v>
      </c>
      <c r="C7368" s="876" t="s">
        <v>3955</v>
      </c>
      <c r="D7368" s="851">
        <v>1280.054543</v>
      </c>
    </row>
    <row r="7369" spans="2:4" x14ac:dyDescent="0.2">
      <c r="B7369" s="876">
        <v>9098</v>
      </c>
      <c r="C7369" s="876" t="s">
        <v>7672</v>
      </c>
      <c r="D7369" s="851">
        <v>1085.227273</v>
      </c>
    </row>
    <row r="7370" spans="2:4" x14ac:dyDescent="0.2">
      <c r="B7370" s="876">
        <v>9099</v>
      </c>
      <c r="C7370" s="876" t="s">
        <v>7673</v>
      </c>
      <c r="D7370" s="851">
        <v>1093.9499719999999</v>
      </c>
    </row>
    <row r="7371" spans="2:4" x14ac:dyDescent="0.2">
      <c r="B7371" s="876">
        <v>9100</v>
      </c>
      <c r="C7371" s="876" t="s">
        <v>7674</v>
      </c>
      <c r="D7371" s="851">
        <v>1116.6800049999999</v>
      </c>
    </row>
    <row r="7372" spans="2:4" x14ac:dyDescent="0.2">
      <c r="B7372" s="876">
        <v>9101</v>
      </c>
      <c r="C7372" s="876" t="s">
        <v>7675</v>
      </c>
      <c r="D7372" s="851">
        <v>1151.2833459999999</v>
      </c>
    </row>
    <row r="7373" spans="2:4" x14ac:dyDescent="0.2">
      <c r="B7373" s="876">
        <v>9102</v>
      </c>
      <c r="C7373" s="876" t="s">
        <v>7676</v>
      </c>
      <c r="D7373" s="851">
        <v>1186.9499940000001</v>
      </c>
    </row>
    <row r="7374" spans="2:4" x14ac:dyDescent="0.2">
      <c r="B7374" s="876">
        <v>9103</v>
      </c>
      <c r="C7374" s="876" t="s">
        <v>7677</v>
      </c>
      <c r="D7374" s="851">
        <v>1503.3816320000001</v>
      </c>
    </row>
    <row r="7375" spans="2:4" x14ac:dyDescent="0.2">
      <c r="B7375" s="876">
        <v>9104</v>
      </c>
      <c r="C7375" s="876" t="s">
        <v>7678</v>
      </c>
      <c r="D7375" s="851">
        <v>1551.5600340000001</v>
      </c>
    </row>
    <row r="7376" spans="2:4" x14ac:dyDescent="0.2">
      <c r="B7376" s="876">
        <v>9151</v>
      </c>
      <c r="C7376" s="876" t="s">
        <v>7679</v>
      </c>
      <c r="D7376" s="851">
        <v>946.84782600000005</v>
      </c>
    </row>
    <row r="7377" spans="2:4" x14ac:dyDescent="0.2">
      <c r="B7377" s="876">
        <v>9152</v>
      </c>
      <c r="C7377" s="876" t="s">
        <v>7680</v>
      </c>
      <c r="D7377" s="851">
        <v>956.9375</v>
      </c>
    </row>
    <row r="7378" spans="2:4" x14ac:dyDescent="0.2">
      <c r="B7378" s="876">
        <v>9153</v>
      </c>
      <c r="C7378" s="876" t="s">
        <v>7681</v>
      </c>
      <c r="D7378" s="851">
        <v>965.22499600000003</v>
      </c>
    </row>
    <row r="7379" spans="2:4" x14ac:dyDescent="0.2">
      <c r="B7379" s="876">
        <v>9154</v>
      </c>
      <c r="C7379" s="876" t="s">
        <v>7682</v>
      </c>
      <c r="D7379" s="851">
        <v>934.04000199999996</v>
      </c>
    </row>
    <row r="7380" spans="2:4" x14ac:dyDescent="0.2">
      <c r="B7380" s="876">
        <v>9155</v>
      </c>
      <c r="C7380" s="876" t="s">
        <v>7683</v>
      </c>
      <c r="D7380" s="851">
        <v>950.45385299999998</v>
      </c>
    </row>
    <row r="7381" spans="2:4" x14ac:dyDescent="0.2">
      <c r="B7381" s="876">
        <v>9156</v>
      </c>
      <c r="C7381" s="876" t="s">
        <v>7684</v>
      </c>
      <c r="D7381" s="851">
        <v>950.18182400000001</v>
      </c>
    </row>
    <row r="7382" spans="2:4" x14ac:dyDescent="0.2">
      <c r="B7382" s="876">
        <v>9157</v>
      </c>
      <c r="C7382" s="876" t="s">
        <v>7685</v>
      </c>
      <c r="D7382" s="851">
        <v>951.69999900000005</v>
      </c>
    </row>
    <row r="7383" spans="2:4" x14ac:dyDescent="0.2">
      <c r="B7383" s="876">
        <v>9158</v>
      </c>
      <c r="C7383" s="876" t="s">
        <v>7686</v>
      </c>
      <c r="D7383" s="851">
        <v>975.76000999999997</v>
      </c>
    </row>
    <row r="7384" spans="2:4" x14ac:dyDescent="0.2">
      <c r="B7384" s="876">
        <v>9159</v>
      </c>
      <c r="C7384" s="876" t="s">
        <v>7687</v>
      </c>
      <c r="D7384" s="851">
        <v>901.84444900000005</v>
      </c>
    </row>
    <row r="7385" spans="2:4" x14ac:dyDescent="0.2">
      <c r="B7385" s="876">
        <v>9160</v>
      </c>
      <c r="C7385" s="876" t="s">
        <v>7688</v>
      </c>
      <c r="D7385" s="851">
        <v>911.18333900000005</v>
      </c>
    </row>
    <row r="7386" spans="2:4" x14ac:dyDescent="0.2">
      <c r="B7386" s="876">
        <v>9161</v>
      </c>
      <c r="C7386" s="876" t="s">
        <v>7689</v>
      </c>
      <c r="D7386" s="851">
        <v>906.31666099999995</v>
      </c>
    </row>
    <row r="7387" spans="2:4" x14ac:dyDescent="0.2">
      <c r="B7387" s="876">
        <v>9162</v>
      </c>
      <c r="C7387" s="876" t="s">
        <v>7690</v>
      </c>
      <c r="D7387" s="851">
        <v>963.02500899999995</v>
      </c>
    </row>
    <row r="7388" spans="2:4" x14ac:dyDescent="0.2">
      <c r="B7388" s="876">
        <v>9163</v>
      </c>
      <c r="C7388" s="876" t="s">
        <v>2372</v>
      </c>
      <c r="D7388" s="851">
        <v>1010.362499</v>
      </c>
    </row>
    <row r="7389" spans="2:4" x14ac:dyDescent="0.2">
      <c r="B7389" s="876">
        <v>9164</v>
      </c>
      <c r="C7389" s="876" t="s">
        <v>7691</v>
      </c>
      <c r="D7389" s="851">
        <v>990.24737200000004</v>
      </c>
    </row>
    <row r="7390" spans="2:4" x14ac:dyDescent="0.2">
      <c r="B7390" s="876">
        <v>9165</v>
      </c>
      <c r="C7390" s="876" t="s">
        <v>5027</v>
      </c>
      <c r="D7390" s="851">
        <v>1042.5999979999999</v>
      </c>
    </row>
    <row r="7391" spans="2:4" x14ac:dyDescent="0.2">
      <c r="B7391" s="876">
        <v>9166</v>
      </c>
      <c r="C7391" s="876" t="s">
        <v>7692</v>
      </c>
      <c r="D7391" s="851">
        <v>870.64999399999999</v>
      </c>
    </row>
    <row r="7392" spans="2:4" x14ac:dyDescent="0.2">
      <c r="B7392" s="876">
        <v>9167</v>
      </c>
      <c r="C7392" s="876" t="s">
        <v>2314</v>
      </c>
      <c r="D7392" s="851">
        <v>993.47691899999995</v>
      </c>
    </row>
    <row r="7393" spans="2:4" x14ac:dyDescent="0.2">
      <c r="B7393" s="876">
        <v>9168</v>
      </c>
      <c r="C7393" s="876" t="s">
        <v>7693</v>
      </c>
      <c r="D7393" s="851">
        <v>900.8</v>
      </c>
    </row>
    <row r="7394" spans="2:4" x14ac:dyDescent="0.2">
      <c r="B7394" s="876">
        <v>9169</v>
      </c>
      <c r="C7394" s="876" t="s">
        <v>7694</v>
      </c>
      <c r="D7394" s="851">
        <v>899.133331</v>
      </c>
    </row>
    <row r="7395" spans="2:4" x14ac:dyDescent="0.2">
      <c r="B7395" s="876">
        <v>9170</v>
      </c>
      <c r="C7395" s="876" t="s">
        <v>7695</v>
      </c>
      <c r="D7395" s="851">
        <v>952.52500899999995</v>
      </c>
    </row>
    <row r="7396" spans="2:4" x14ac:dyDescent="0.2">
      <c r="B7396" s="876">
        <v>9171</v>
      </c>
      <c r="C7396" s="876" t="s">
        <v>7696</v>
      </c>
      <c r="D7396" s="851">
        <v>933.76000999999997</v>
      </c>
    </row>
    <row r="7397" spans="2:4" x14ac:dyDescent="0.2">
      <c r="B7397" s="876">
        <v>9172</v>
      </c>
      <c r="C7397" s="876" t="s">
        <v>7697</v>
      </c>
      <c r="D7397" s="851">
        <v>1026.949989</v>
      </c>
    </row>
    <row r="7398" spans="2:4" x14ac:dyDescent="0.2">
      <c r="B7398" s="876">
        <v>9173</v>
      </c>
      <c r="C7398" s="876" t="s">
        <v>7698</v>
      </c>
      <c r="D7398" s="851">
        <v>1053.1571220000001</v>
      </c>
    </row>
    <row r="7399" spans="2:4" x14ac:dyDescent="0.2">
      <c r="B7399" s="876">
        <v>9174</v>
      </c>
      <c r="C7399" s="876" t="s">
        <v>7699</v>
      </c>
      <c r="D7399" s="851">
        <v>1068.450012</v>
      </c>
    </row>
    <row r="7400" spans="2:4" x14ac:dyDescent="0.2">
      <c r="B7400" s="876">
        <v>9175</v>
      </c>
      <c r="C7400" s="876" t="s">
        <v>7098</v>
      </c>
      <c r="D7400" s="851">
        <v>1104.5249940000001</v>
      </c>
    </row>
    <row r="7401" spans="2:4" x14ac:dyDescent="0.2">
      <c r="B7401" s="876">
        <v>9176</v>
      </c>
      <c r="C7401" s="876" t="s">
        <v>7700</v>
      </c>
      <c r="D7401" s="851">
        <v>880.25714500000004</v>
      </c>
    </row>
    <row r="7402" spans="2:4" x14ac:dyDescent="0.2">
      <c r="B7402" s="876">
        <v>9177</v>
      </c>
      <c r="C7402" s="876" t="s">
        <v>7701</v>
      </c>
      <c r="D7402" s="851">
        <v>951.35000600000001</v>
      </c>
    </row>
    <row r="7403" spans="2:4" x14ac:dyDescent="0.2">
      <c r="B7403" s="876">
        <v>9178</v>
      </c>
      <c r="C7403" s="876" t="s">
        <v>7702</v>
      </c>
      <c r="D7403" s="851">
        <v>996.23846000000003</v>
      </c>
    </row>
    <row r="7404" spans="2:4" x14ac:dyDescent="0.2">
      <c r="B7404" s="876">
        <v>9179</v>
      </c>
      <c r="C7404" s="876" t="s">
        <v>7703</v>
      </c>
      <c r="D7404" s="851">
        <v>1052.4800049999999</v>
      </c>
    </row>
    <row r="7405" spans="2:4" x14ac:dyDescent="0.2">
      <c r="B7405" s="876">
        <v>9180</v>
      </c>
      <c r="C7405" s="876" t="s">
        <v>7704</v>
      </c>
      <c r="D7405" s="851">
        <v>1101.599993</v>
      </c>
    </row>
    <row r="7406" spans="2:4" x14ac:dyDescent="0.2">
      <c r="B7406" s="876">
        <v>9181</v>
      </c>
      <c r="C7406" s="876" t="s">
        <v>326</v>
      </c>
      <c r="D7406" s="851">
        <v>1077.12222</v>
      </c>
    </row>
    <row r="7407" spans="2:4" x14ac:dyDescent="0.2">
      <c r="B7407" s="876">
        <v>9182</v>
      </c>
      <c r="C7407" s="876" t="s">
        <v>7705</v>
      </c>
      <c r="D7407" s="851">
        <v>1080.5</v>
      </c>
    </row>
    <row r="7408" spans="2:4" x14ac:dyDescent="0.2">
      <c r="B7408" s="876">
        <v>9183</v>
      </c>
      <c r="C7408" s="876" t="s">
        <v>7706</v>
      </c>
      <c r="D7408" s="851">
        <v>993.37331900000004</v>
      </c>
    </row>
    <row r="7409" spans="2:4" x14ac:dyDescent="0.2">
      <c r="B7409" s="876">
        <v>9184</v>
      </c>
      <c r="C7409" s="876" t="s">
        <v>7707</v>
      </c>
      <c r="D7409" s="851">
        <v>1058.549988</v>
      </c>
    </row>
    <row r="7410" spans="2:4" x14ac:dyDescent="0.2">
      <c r="B7410" s="876">
        <v>9185</v>
      </c>
      <c r="C7410" s="876" t="s">
        <v>7708</v>
      </c>
      <c r="D7410" s="851">
        <v>1054.6999820000001</v>
      </c>
    </row>
    <row r="7411" spans="2:4" x14ac:dyDescent="0.2">
      <c r="B7411" s="876">
        <v>9186</v>
      </c>
      <c r="C7411" s="876" t="s">
        <v>7709</v>
      </c>
      <c r="D7411" s="851">
        <v>1088.366659</v>
      </c>
    </row>
    <row r="7412" spans="2:4" x14ac:dyDescent="0.2">
      <c r="B7412" s="876">
        <v>9187</v>
      </c>
      <c r="C7412" s="876" t="s">
        <v>7710</v>
      </c>
      <c r="D7412" s="851">
        <v>1158.9750059999999</v>
      </c>
    </row>
    <row r="7413" spans="2:4" x14ac:dyDescent="0.2">
      <c r="B7413" s="876">
        <v>9188</v>
      </c>
      <c r="C7413" s="876" t="s">
        <v>7711</v>
      </c>
      <c r="D7413" s="851">
        <v>1039.4428539999999</v>
      </c>
    </row>
    <row r="7414" spans="2:4" x14ac:dyDescent="0.2">
      <c r="B7414" s="876">
        <v>9189</v>
      </c>
      <c r="C7414" s="876" t="s">
        <v>7712</v>
      </c>
      <c r="D7414" s="851">
        <v>1073.6599980000001</v>
      </c>
    </row>
    <row r="7415" spans="2:4" x14ac:dyDescent="0.2">
      <c r="B7415" s="876">
        <v>9190</v>
      </c>
      <c r="C7415" s="876" t="s">
        <v>2638</v>
      </c>
      <c r="D7415" s="851">
        <v>1095.4999800000001</v>
      </c>
    </row>
    <row r="7416" spans="2:4" x14ac:dyDescent="0.2">
      <c r="B7416" s="876">
        <v>9191</v>
      </c>
      <c r="C7416" s="876" t="s">
        <v>4657</v>
      </c>
      <c r="D7416" s="851">
        <v>1143.0250140000001</v>
      </c>
    </row>
    <row r="7417" spans="2:4" x14ac:dyDescent="0.2">
      <c r="B7417" s="876">
        <v>9192</v>
      </c>
      <c r="C7417" s="876" t="s">
        <v>7713</v>
      </c>
      <c r="D7417" s="851">
        <v>1071.12499</v>
      </c>
    </row>
    <row r="7418" spans="2:4" x14ac:dyDescent="0.2">
      <c r="B7418" s="876">
        <v>9193</v>
      </c>
      <c r="C7418" s="876" t="s">
        <v>7714</v>
      </c>
      <c r="D7418" s="851">
        <v>1078.6818290000001</v>
      </c>
    </row>
    <row r="7419" spans="2:4" x14ac:dyDescent="0.2">
      <c r="B7419" s="876">
        <v>9194</v>
      </c>
      <c r="C7419" s="876" t="s">
        <v>7715</v>
      </c>
      <c r="D7419" s="851">
        <v>1059.8444420000001</v>
      </c>
    </row>
    <row r="7420" spans="2:4" x14ac:dyDescent="0.2">
      <c r="B7420" s="876">
        <v>9195</v>
      </c>
      <c r="C7420" s="876" t="s">
        <v>7716</v>
      </c>
      <c r="D7420" s="851">
        <v>1141.318182</v>
      </c>
    </row>
    <row r="7421" spans="2:4" x14ac:dyDescent="0.2">
      <c r="B7421" s="876">
        <v>9196</v>
      </c>
      <c r="C7421" s="876" t="s">
        <v>7717</v>
      </c>
      <c r="D7421" s="851">
        <v>1075.7999950000001</v>
      </c>
    </row>
    <row r="7422" spans="2:4" x14ac:dyDescent="0.2">
      <c r="B7422" s="876">
        <v>9197</v>
      </c>
      <c r="C7422" s="876" t="s">
        <v>7718</v>
      </c>
      <c r="D7422" s="851">
        <v>1067.455931</v>
      </c>
    </row>
    <row r="7423" spans="2:4" x14ac:dyDescent="0.2">
      <c r="B7423" s="876">
        <v>9201</v>
      </c>
      <c r="C7423" s="876" t="s">
        <v>7719</v>
      </c>
      <c r="D7423" s="851">
        <v>903.59000200000003</v>
      </c>
    </row>
    <row r="7424" spans="2:4" x14ac:dyDescent="0.2">
      <c r="B7424" s="876">
        <v>9202</v>
      </c>
      <c r="C7424" s="876" t="s">
        <v>7720</v>
      </c>
      <c r="D7424" s="851">
        <v>1010.478258</v>
      </c>
    </row>
    <row r="7425" spans="2:4" x14ac:dyDescent="0.2">
      <c r="B7425" s="876">
        <v>9203</v>
      </c>
      <c r="C7425" s="876" t="s">
        <v>7721</v>
      </c>
      <c r="D7425" s="851">
        <v>952.60476200000005</v>
      </c>
    </row>
    <row r="7426" spans="2:4" x14ac:dyDescent="0.2">
      <c r="B7426" s="876">
        <v>9204</v>
      </c>
      <c r="C7426" s="876" t="s">
        <v>7722</v>
      </c>
      <c r="D7426" s="851">
        <v>1018.854996</v>
      </c>
    </row>
    <row r="7427" spans="2:4" x14ac:dyDescent="0.2">
      <c r="B7427" s="876">
        <v>9205</v>
      </c>
      <c r="C7427" s="876" t="s">
        <v>7723</v>
      </c>
      <c r="D7427" s="851">
        <v>1071.930777</v>
      </c>
    </row>
    <row r="7428" spans="2:4" x14ac:dyDescent="0.2">
      <c r="B7428" s="876">
        <v>9206</v>
      </c>
      <c r="C7428" s="876" t="s">
        <v>2827</v>
      </c>
      <c r="D7428" s="851">
        <v>1057.9000020000001</v>
      </c>
    </row>
    <row r="7429" spans="2:4" x14ac:dyDescent="0.2">
      <c r="B7429" s="876">
        <v>9207</v>
      </c>
      <c r="C7429" s="876" t="s">
        <v>7724</v>
      </c>
      <c r="D7429" s="851">
        <v>1039.475001</v>
      </c>
    </row>
    <row r="7430" spans="2:4" x14ac:dyDescent="0.2">
      <c r="B7430" s="876">
        <v>9208</v>
      </c>
      <c r="C7430" s="876" t="s">
        <v>1891</v>
      </c>
      <c r="D7430" s="851">
        <v>1054.4551710000001</v>
      </c>
    </row>
    <row r="7431" spans="2:4" x14ac:dyDescent="0.2">
      <c r="B7431" s="876">
        <v>9209</v>
      </c>
      <c r="C7431" s="876" t="s">
        <v>7725</v>
      </c>
      <c r="D7431" s="851">
        <v>1028.7857140000001</v>
      </c>
    </row>
    <row r="7432" spans="2:4" x14ac:dyDescent="0.2">
      <c r="B7432" s="876">
        <v>9210</v>
      </c>
      <c r="C7432" s="876" t="s">
        <v>7074</v>
      </c>
      <c r="D7432" s="851">
        <v>1019.449982</v>
      </c>
    </row>
    <row r="7433" spans="2:4" x14ac:dyDescent="0.2">
      <c r="B7433" s="876">
        <v>9211</v>
      </c>
      <c r="C7433" s="876" t="s">
        <v>7726</v>
      </c>
      <c r="D7433" s="851">
        <v>1124.623075</v>
      </c>
    </row>
    <row r="7434" spans="2:4" x14ac:dyDescent="0.2">
      <c r="B7434" s="876">
        <v>9212</v>
      </c>
      <c r="C7434" s="876" t="s">
        <v>7727</v>
      </c>
      <c r="D7434" s="851">
        <v>1079.3076920000001</v>
      </c>
    </row>
    <row r="7435" spans="2:4" x14ac:dyDescent="0.2">
      <c r="B7435" s="876">
        <v>9213</v>
      </c>
      <c r="C7435" s="876" t="s">
        <v>7728</v>
      </c>
      <c r="D7435" s="851">
        <v>1148.711114</v>
      </c>
    </row>
    <row r="7436" spans="2:4" x14ac:dyDescent="0.2">
      <c r="B7436" s="876">
        <v>9214</v>
      </c>
      <c r="C7436" s="876" t="s">
        <v>7729</v>
      </c>
      <c r="D7436" s="851">
        <v>1213.0181769999999</v>
      </c>
    </row>
    <row r="7437" spans="2:4" x14ac:dyDescent="0.2">
      <c r="B7437" s="876">
        <v>9215</v>
      </c>
      <c r="C7437" s="876" t="s">
        <v>7730</v>
      </c>
      <c r="D7437" s="851">
        <v>1230.7678530000001</v>
      </c>
    </row>
    <row r="7438" spans="2:4" x14ac:dyDescent="0.2">
      <c r="B7438" s="876">
        <v>9216</v>
      </c>
      <c r="C7438" s="876" t="s">
        <v>7731</v>
      </c>
      <c r="D7438" s="851">
        <v>1047.3714219999999</v>
      </c>
    </row>
    <row r="7439" spans="2:4" x14ac:dyDescent="0.2">
      <c r="B7439" s="876">
        <v>9217</v>
      </c>
      <c r="C7439" s="876" t="s">
        <v>7732</v>
      </c>
      <c r="D7439" s="851">
        <v>993.30000299999995</v>
      </c>
    </row>
    <row r="7440" spans="2:4" x14ac:dyDescent="0.2">
      <c r="B7440" s="876">
        <v>9218</v>
      </c>
      <c r="C7440" s="876" t="s">
        <v>7733</v>
      </c>
      <c r="D7440" s="851">
        <v>1074.133325</v>
      </c>
    </row>
    <row r="7441" spans="2:4" x14ac:dyDescent="0.2">
      <c r="B7441" s="876">
        <v>9219</v>
      </c>
      <c r="C7441" s="876" t="s">
        <v>7734</v>
      </c>
      <c r="D7441" s="851">
        <v>1016.163635</v>
      </c>
    </row>
    <row r="7442" spans="2:4" x14ac:dyDescent="0.2">
      <c r="B7442" s="876">
        <v>9220</v>
      </c>
      <c r="C7442" s="876" t="s">
        <v>7535</v>
      </c>
      <c r="D7442" s="851">
        <v>1061.8461540000001</v>
      </c>
    </row>
    <row r="7443" spans="2:4" x14ac:dyDescent="0.2">
      <c r="B7443" s="876">
        <v>9221</v>
      </c>
      <c r="C7443" s="876" t="s">
        <v>6270</v>
      </c>
      <c r="D7443" s="851">
        <v>1119.7499800000001</v>
      </c>
    </row>
    <row r="7444" spans="2:4" x14ac:dyDescent="0.2">
      <c r="B7444" s="876">
        <v>9222</v>
      </c>
      <c r="C7444" s="876" t="s">
        <v>7735</v>
      </c>
      <c r="D7444" s="851">
        <v>1229.9750059999999</v>
      </c>
    </row>
    <row r="7445" spans="2:4" x14ac:dyDescent="0.2">
      <c r="B7445" s="876">
        <v>9223</v>
      </c>
      <c r="C7445" s="876" t="s">
        <v>7736</v>
      </c>
      <c r="D7445" s="851">
        <v>1176.613642</v>
      </c>
    </row>
    <row r="7446" spans="2:4" x14ac:dyDescent="0.2">
      <c r="B7446" s="876">
        <v>9224</v>
      </c>
      <c r="C7446" s="876" t="s">
        <v>5733</v>
      </c>
      <c r="D7446" s="851">
        <v>1094.4437479999999</v>
      </c>
    </row>
    <row r="7447" spans="2:4" x14ac:dyDescent="0.2">
      <c r="B7447" s="876">
        <v>9225</v>
      </c>
      <c r="C7447" s="876" t="s">
        <v>7737</v>
      </c>
      <c r="D7447" s="851">
        <v>1153.608348</v>
      </c>
    </row>
    <row r="7448" spans="2:4" x14ac:dyDescent="0.2">
      <c r="B7448" s="876">
        <v>9226</v>
      </c>
      <c r="C7448" s="876" t="s">
        <v>7738</v>
      </c>
      <c r="D7448" s="851">
        <v>1202.6687469999999</v>
      </c>
    </row>
    <row r="7449" spans="2:4" x14ac:dyDescent="0.2">
      <c r="B7449" s="876">
        <v>9227</v>
      </c>
      <c r="C7449" s="876" t="s">
        <v>7739</v>
      </c>
      <c r="D7449" s="851">
        <v>1253.230769</v>
      </c>
    </row>
    <row r="7450" spans="2:4" x14ac:dyDescent="0.2">
      <c r="B7450" s="876">
        <v>9228</v>
      </c>
      <c r="C7450" s="876" t="s">
        <v>7740</v>
      </c>
      <c r="D7450" s="851">
        <v>1267.6272859999999</v>
      </c>
    </row>
    <row r="7451" spans="2:4" x14ac:dyDescent="0.2">
      <c r="B7451" s="876">
        <v>9229</v>
      </c>
      <c r="C7451" s="876" t="s">
        <v>7741</v>
      </c>
      <c r="D7451" s="851">
        <v>1280.4208269999999</v>
      </c>
    </row>
    <row r="7452" spans="2:4" x14ac:dyDescent="0.2">
      <c r="B7452" s="876">
        <v>9230</v>
      </c>
      <c r="C7452" s="876" t="s">
        <v>7742</v>
      </c>
      <c r="D7452" s="851">
        <v>1338.542864</v>
      </c>
    </row>
    <row r="7453" spans="2:4" x14ac:dyDescent="0.2">
      <c r="B7453" s="876">
        <v>9231</v>
      </c>
      <c r="C7453" s="876" t="s">
        <v>7743</v>
      </c>
      <c r="D7453" s="851">
        <v>1346.294118</v>
      </c>
    </row>
    <row r="7454" spans="2:4" x14ac:dyDescent="0.2">
      <c r="B7454" s="876">
        <v>9232</v>
      </c>
      <c r="C7454" s="876" t="s">
        <v>7744</v>
      </c>
      <c r="D7454" s="851">
        <v>1281.957684</v>
      </c>
    </row>
    <row r="7455" spans="2:4" x14ac:dyDescent="0.2">
      <c r="B7455" s="876">
        <v>9233</v>
      </c>
      <c r="C7455" s="876" t="s">
        <v>7745</v>
      </c>
      <c r="D7455" s="851">
        <v>1212.8000079999999</v>
      </c>
    </row>
    <row r="7456" spans="2:4" x14ac:dyDescent="0.2">
      <c r="B7456" s="876">
        <v>9234</v>
      </c>
      <c r="C7456" s="876" t="s">
        <v>7746</v>
      </c>
      <c r="D7456" s="851">
        <v>1214.3277989999999</v>
      </c>
    </row>
    <row r="7457" spans="2:4" x14ac:dyDescent="0.2">
      <c r="B7457" s="876">
        <v>9235</v>
      </c>
      <c r="C7457" s="876" t="s">
        <v>7747</v>
      </c>
      <c r="D7457" s="851">
        <v>1298.8000179999999</v>
      </c>
    </row>
    <row r="7458" spans="2:4" x14ac:dyDescent="0.2">
      <c r="B7458" s="876">
        <v>9236</v>
      </c>
      <c r="C7458" s="876" t="s">
        <v>7748</v>
      </c>
      <c r="D7458" s="851">
        <v>1399.0699950000001</v>
      </c>
    </row>
    <row r="7459" spans="2:4" x14ac:dyDescent="0.2">
      <c r="B7459" s="876">
        <v>9237</v>
      </c>
      <c r="C7459" s="876" t="s">
        <v>7749</v>
      </c>
      <c r="D7459" s="851">
        <v>1342.3874969999999</v>
      </c>
    </row>
    <row r="7460" spans="2:4" x14ac:dyDescent="0.2">
      <c r="B7460" s="876">
        <v>9238</v>
      </c>
      <c r="C7460" s="876" t="s">
        <v>7750</v>
      </c>
      <c r="D7460" s="851">
        <v>1279.0947389999999</v>
      </c>
    </row>
    <row r="7461" spans="2:4" x14ac:dyDescent="0.2">
      <c r="B7461" s="876">
        <v>9239</v>
      </c>
      <c r="C7461" s="876" t="s">
        <v>7751</v>
      </c>
      <c r="D7461" s="851">
        <v>1325.829403</v>
      </c>
    </row>
    <row r="7462" spans="2:4" x14ac:dyDescent="0.2">
      <c r="B7462" s="876">
        <v>9240</v>
      </c>
      <c r="C7462" s="876" t="s">
        <v>7752</v>
      </c>
      <c r="D7462" s="851">
        <v>1541.390474</v>
      </c>
    </row>
    <row r="7463" spans="2:4" x14ac:dyDescent="0.2">
      <c r="B7463" s="876">
        <v>9241</v>
      </c>
      <c r="C7463" s="876" t="s">
        <v>7753</v>
      </c>
      <c r="D7463" s="851">
        <v>1447.1437639999999</v>
      </c>
    </row>
    <row r="7464" spans="2:4" x14ac:dyDescent="0.2">
      <c r="B7464" s="876">
        <v>9242</v>
      </c>
      <c r="C7464" s="876" t="s">
        <v>7754</v>
      </c>
      <c r="D7464" s="851">
        <v>1283.0416620000001</v>
      </c>
    </row>
    <row r="7465" spans="2:4" x14ac:dyDescent="0.2">
      <c r="B7465" s="876">
        <v>9243</v>
      </c>
      <c r="C7465" s="876" t="s">
        <v>7755</v>
      </c>
      <c r="D7465" s="851">
        <v>1316.2499800000001</v>
      </c>
    </row>
    <row r="7466" spans="2:4" x14ac:dyDescent="0.2">
      <c r="B7466" s="876">
        <v>9244</v>
      </c>
      <c r="C7466" s="876" t="s">
        <v>7756</v>
      </c>
      <c r="D7466" s="851">
        <v>1279.2800050000001</v>
      </c>
    </row>
    <row r="7467" spans="2:4" x14ac:dyDescent="0.2">
      <c r="B7467" s="876">
        <v>9245</v>
      </c>
      <c r="C7467" s="876" t="s">
        <v>7757</v>
      </c>
      <c r="D7467" s="851">
        <v>1438.9166560000001</v>
      </c>
    </row>
    <row r="7468" spans="2:4" x14ac:dyDescent="0.2">
      <c r="B7468" s="876">
        <v>9246</v>
      </c>
      <c r="C7468" s="876" t="s">
        <v>7758</v>
      </c>
      <c r="D7468" s="851">
        <v>1387.7727379999999</v>
      </c>
    </row>
    <row r="7469" spans="2:4" x14ac:dyDescent="0.2">
      <c r="B7469" s="876">
        <v>9247</v>
      </c>
      <c r="C7469" s="876" t="s">
        <v>7759</v>
      </c>
      <c r="D7469" s="851">
        <v>1580.8720069999999</v>
      </c>
    </row>
    <row r="7470" spans="2:4" x14ac:dyDescent="0.2">
      <c r="B7470" s="876">
        <v>9248</v>
      </c>
      <c r="C7470" s="876" t="s">
        <v>7760</v>
      </c>
      <c r="D7470" s="851">
        <v>1552.5325499999999</v>
      </c>
    </row>
    <row r="7471" spans="2:4" x14ac:dyDescent="0.2">
      <c r="B7471" s="876">
        <v>9249</v>
      </c>
      <c r="C7471" s="876" t="s">
        <v>7761</v>
      </c>
      <c r="D7471" s="851">
        <v>1681.9035730000001</v>
      </c>
    </row>
    <row r="7472" spans="2:4" x14ac:dyDescent="0.2">
      <c r="B7472" s="876">
        <v>9250</v>
      </c>
      <c r="C7472" s="876" t="s">
        <v>7762</v>
      </c>
      <c r="D7472" s="851">
        <v>1771.579997</v>
      </c>
    </row>
    <row r="7473" spans="2:4" x14ac:dyDescent="0.2">
      <c r="B7473" s="876">
        <v>9251</v>
      </c>
      <c r="C7473" s="876" t="s">
        <v>7763</v>
      </c>
      <c r="D7473" s="851">
        <v>1689.3310289999999</v>
      </c>
    </row>
    <row r="7474" spans="2:4" x14ac:dyDescent="0.2">
      <c r="B7474" s="876">
        <v>9252</v>
      </c>
      <c r="C7474" s="876" t="s">
        <v>7764</v>
      </c>
      <c r="D7474" s="851">
        <v>1650.4967750000001</v>
      </c>
    </row>
    <row r="7475" spans="2:4" x14ac:dyDescent="0.2">
      <c r="B7475" s="876">
        <v>9253</v>
      </c>
      <c r="C7475" s="876" t="s">
        <v>7765</v>
      </c>
      <c r="D7475" s="851">
        <v>1643.4999909999999</v>
      </c>
    </row>
    <row r="7476" spans="2:4" x14ac:dyDescent="0.2">
      <c r="B7476" s="876">
        <v>9254</v>
      </c>
      <c r="C7476" s="876" t="s">
        <v>7766</v>
      </c>
      <c r="D7476" s="851">
        <v>1903.621249</v>
      </c>
    </row>
    <row r="7477" spans="2:4" x14ac:dyDescent="0.2">
      <c r="B7477" s="876">
        <v>9255</v>
      </c>
      <c r="C7477" s="876" t="s">
        <v>7767</v>
      </c>
      <c r="D7477" s="851">
        <v>1692.973684</v>
      </c>
    </row>
    <row r="7478" spans="2:4" x14ac:dyDescent="0.2">
      <c r="B7478" s="876">
        <v>9256</v>
      </c>
      <c r="C7478" s="876" t="s">
        <v>7768</v>
      </c>
      <c r="D7478" s="851">
        <v>1580.837509</v>
      </c>
    </row>
    <row r="7479" spans="2:4" x14ac:dyDescent="0.2">
      <c r="B7479" s="876">
        <v>9257</v>
      </c>
      <c r="C7479" s="876" t="s">
        <v>7769</v>
      </c>
      <c r="D7479" s="851">
        <v>1781.212125</v>
      </c>
    </row>
    <row r="7480" spans="2:4" x14ac:dyDescent="0.2">
      <c r="B7480" s="876">
        <v>9258</v>
      </c>
      <c r="C7480" s="876" t="s">
        <v>7770</v>
      </c>
      <c r="D7480" s="851">
        <v>1596.3583369999999</v>
      </c>
    </row>
    <row r="7481" spans="2:4" x14ac:dyDescent="0.2">
      <c r="B7481" s="876">
        <v>9259</v>
      </c>
      <c r="C7481" s="876" t="s">
        <v>7771</v>
      </c>
      <c r="D7481" s="851">
        <v>1673.5489399999999</v>
      </c>
    </row>
    <row r="7482" spans="2:4" x14ac:dyDescent="0.2">
      <c r="B7482" s="876">
        <v>9260</v>
      </c>
      <c r="C7482" s="876" t="s">
        <v>7772</v>
      </c>
      <c r="D7482" s="851">
        <v>1595.9740400000001</v>
      </c>
    </row>
    <row r="7483" spans="2:4" x14ac:dyDescent="0.2">
      <c r="B7483" s="876">
        <v>9261</v>
      </c>
      <c r="C7483" s="876" t="s">
        <v>7773</v>
      </c>
      <c r="D7483" s="851">
        <v>1879.007087</v>
      </c>
    </row>
    <row r="7484" spans="2:4" x14ac:dyDescent="0.2">
      <c r="B7484" s="876">
        <v>9262</v>
      </c>
      <c r="C7484" s="876" t="s">
        <v>7774</v>
      </c>
      <c r="D7484" s="851">
        <v>1566.8100019999999</v>
      </c>
    </row>
    <row r="7485" spans="2:4" x14ac:dyDescent="0.2">
      <c r="B7485" s="876">
        <v>9301</v>
      </c>
      <c r="C7485" s="876" t="s">
        <v>7775</v>
      </c>
      <c r="D7485" s="851">
        <v>1070.4624940000001</v>
      </c>
    </row>
    <row r="7486" spans="2:4" x14ac:dyDescent="0.2">
      <c r="B7486" s="876">
        <v>9302</v>
      </c>
      <c r="C7486" s="876" t="s">
        <v>7776</v>
      </c>
      <c r="D7486" s="851">
        <v>1134.023524</v>
      </c>
    </row>
    <row r="7487" spans="2:4" x14ac:dyDescent="0.2">
      <c r="B7487" s="876">
        <v>9303</v>
      </c>
      <c r="C7487" s="876" t="s">
        <v>7777</v>
      </c>
      <c r="D7487" s="851">
        <v>1082.760006</v>
      </c>
    </row>
    <row r="7488" spans="2:4" x14ac:dyDescent="0.2">
      <c r="B7488" s="876">
        <v>9304</v>
      </c>
      <c r="C7488" s="876" t="s">
        <v>7778</v>
      </c>
      <c r="D7488" s="851">
        <v>1145.388234</v>
      </c>
    </row>
    <row r="7489" spans="2:4" x14ac:dyDescent="0.2">
      <c r="B7489" s="876">
        <v>9306</v>
      </c>
      <c r="C7489" s="876" t="s">
        <v>7779</v>
      </c>
      <c r="D7489" s="851">
        <v>1086.133335</v>
      </c>
    </row>
    <row r="7490" spans="2:4" x14ac:dyDescent="0.2">
      <c r="B7490" s="876">
        <v>9307</v>
      </c>
      <c r="C7490" s="876" t="s">
        <v>1217</v>
      </c>
      <c r="D7490" s="851">
        <v>1146.836348</v>
      </c>
    </row>
    <row r="7491" spans="2:4" x14ac:dyDescent="0.2">
      <c r="B7491" s="876">
        <v>9308</v>
      </c>
      <c r="C7491" s="876" t="s">
        <v>7780</v>
      </c>
      <c r="D7491" s="851">
        <v>1151.3629739999999</v>
      </c>
    </row>
    <row r="7492" spans="2:4" x14ac:dyDescent="0.2">
      <c r="B7492" s="876">
        <v>9309</v>
      </c>
      <c r="C7492" s="876" t="s">
        <v>7781</v>
      </c>
      <c r="D7492" s="851">
        <v>1154.6000059999999</v>
      </c>
    </row>
    <row r="7493" spans="2:4" x14ac:dyDescent="0.2">
      <c r="B7493" s="876">
        <v>9310</v>
      </c>
      <c r="C7493" s="876" t="s">
        <v>7280</v>
      </c>
      <c r="D7493" s="851">
        <v>1201.3799799999999</v>
      </c>
    </row>
    <row r="7494" spans="2:4" x14ac:dyDescent="0.2">
      <c r="B7494" s="876">
        <v>9311</v>
      </c>
      <c r="C7494" s="876" t="s">
        <v>4662</v>
      </c>
      <c r="D7494" s="851">
        <v>1121.399991</v>
      </c>
    </row>
    <row r="7495" spans="2:4" x14ac:dyDescent="0.2">
      <c r="B7495" s="876">
        <v>9312</v>
      </c>
      <c r="C7495" s="876" t="s">
        <v>7782</v>
      </c>
      <c r="D7495" s="851">
        <v>1145</v>
      </c>
    </row>
    <row r="7496" spans="2:4" x14ac:dyDescent="0.2">
      <c r="B7496" s="876">
        <v>9313</v>
      </c>
      <c r="C7496" s="876" t="s">
        <v>7783</v>
      </c>
      <c r="D7496" s="851">
        <v>1200.085693</v>
      </c>
    </row>
    <row r="7497" spans="2:4" x14ac:dyDescent="0.2">
      <c r="B7497" s="876">
        <v>9314</v>
      </c>
      <c r="C7497" s="876" t="s">
        <v>7784</v>
      </c>
      <c r="D7497" s="851">
        <v>1153.2428500000001</v>
      </c>
    </row>
    <row r="7498" spans="2:4" x14ac:dyDescent="0.2">
      <c r="B7498" s="876">
        <v>9315</v>
      </c>
      <c r="C7498" s="876" t="s">
        <v>7785</v>
      </c>
      <c r="D7498" s="851">
        <v>1188.2923020000001</v>
      </c>
    </row>
    <row r="7499" spans="2:4" x14ac:dyDescent="0.2">
      <c r="B7499" s="876">
        <v>9316</v>
      </c>
      <c r="C7499" s="876" t="s">
        <v>7786</v>
      </c>
      <c r="D7499" s="851">
        <v>1206.25</v>
      </c>
    </row>
    <row r="7500" spans="2:4" x14ac:dyDescent="0.2">
      <c r="B7500" s="876">
        <v>9317</v>
      </c>
      <c r="C7500" s="876" t="s">
        <v>5139</v>
      </c>
      <c r="D7500" s="851">
        <v>1225.9181570000001</v>
      </c>
    </row>
    <row r="7501" spans="2:4" x14ac:dyDescent="0.2">
      <c r="B7501" s="876">
        <v>9318</v>
      </c>
      <c r="C7501" s="876" t="s">
        <v>7787</v>
      </c>
      <c r="D7501" s="851">
        <v>1132.7210500000001</v>
      </c>
    </row>
    <row r="7502" spans="2:4" x14ac:dyDescent="0.2">
      <c r="B7502" s="876">
        <v>9319</v>
      </c>
      <c r="C7502" s="876" t="s">
        <v>7788</v>
      </c>
      <c r="D7502" s="851">
        <v>1157.182601</v>
      </c>
    </row>
    <row r="7503" spans="2:4" x14ac:dyDescent="0.2">
      <c r="B7503" s="876">
        <v>9320</v>
      </c>
      <c r="C7503" s="876" t="s">
        <v>5219</v>
      </c>
      <c r="D7503" s="851">
        <v>1133.830005</v>
      </c>
    </row>
    <row r="7504" spans="2:4" x14ac:dyDescent="0.2">
      <c r="B7504" s="876">
        <v>9321</v>
      </c>
      <c r="C7504" s="876" t="s">
        <v>7789</v>
      </c>
      <c r="D7504" s="851">
        <v>1124.0249940000001</v>
      </c>
    </row>
    <row r="7505" spans="2:4" x14ac:dyDescent="0.2">
      <c r="B7505" s="876">
        <v>9322</v>
      </c>
      <c r="C7505" s="876" t="s">
        <v>2384</v>
      </c>
      <c r="D7505" s="851">
        <v>1111.25</v>
      </c>
    </row>
    <row r="7506" spans="2:4" x14ac:dyDescent="0.2">
      <c r="B7506" s="876">
        <v>9323</v>
      </c>
      <c r="C7506" s="876" t="s">
        <v>7473</v>
      </c>
      <c r="D7506" s="851">
        <v>1140.544447</v>
      </c>
    </row>
    <row r="7507" spans="2:4" x14ac:dyDescent="0.2">
      <c r="B7507" s="876">
        <v>9324</v>
      </c>
      <c r="C7507" s="876" t="s">
        <v>7790</v>
      </c>
      <c r="D7507" s="851">
        <v>1186.6600100000001</v>
      </c>
    </row>
    <row r="7508" spans="2:4" x14ac:dyDescent="0.2">
      <c r="B7508" s="876">
        <v>9325</v>
      </c>
      <c r="C7508" s="876" t="s">
        <v>7791</v>
      </c>
      <c r="D7508" s="851">
        <v>1161.349976</v>
      </c>
    </row>
    <row r="7509" spans="2:4" x14ac:dyDescent="0.2">
      <c r="B7509" s="876">
        <v>9326</v>
      </c>
      <c r="C7509" s="876" t="s">
        <v>7792</v>
      </c>
      <c r="D7509" s="851">
        <v>1186.9833269999999</v>
      </c>
    </row>
    <row r="7510" spans="2:4" x14ac:dyDescent="0.2">
      <c r="B7510" s="876">
        <v>9327</v>
      </c>
      <c r="C7510" s="876" t="s">
        <v>7793</v>
      </c>
      <c r="D7510" s="851">
        <v>1295.5200070000001</v>
      </c>
    </row>
    <row r="7511" spans="2:4" x14ac:dyDescent="0.2">
      <c r="B7511" s="876">
        <v>9328</v>
      </c>
      <c r="C7511" s="876" t="s">
        <v>3771</v>
      </c>
      <c r="D7511" s="851">
        <v>1305.012489</v>
      </c>
    </row>
    <row r="7512" spans="2:4" x14ac:dyDescent="0.2">
      <c r="B7512" s="876">
        <v>9329</v>
      </c>
      <c r="C7512" s="876" t="s">
        <v>7794</v>
      </c>
      <c r="D7512" s="851">
        <v>1265.443481</v>
      </c>
    </row>
    <row r="7513" spans="2:4" x14ac:dyDescent="0.2">
      <c r="B7513" s="876">
        <v>9330</v>
      </c>
      <c r="C7513" s="876" t="s">
        <v>7795</v>
      </c>
      <c r="D7513" s="851">
        <v>1313.833347</v>
      </c>
    </row>
    <row r="7514" spans="2:4" x14ac:dyDescent="0.2">
      <c r="B7514" s="876">
        <v>9331</v>
      </c>
      <c r="C7514" s="876" t="s">
        <v>7796</v>
      </c>
      <c r="D7514" s="851">
        <v>1349.930758</v>
      </c>
    </row>
    <row r="7515" spans="2:4" x14ac:dyDescent="0.2">
      <c r="B7515" s="876">
        <v>9332</v>
      </c>
      <c r="C7515" s="876" t="s">
        <v>7797</v>
      </c>
      <c r="D7515" s="851">
        <v>1331.9944459999999</v>
      </c>
    </row>
    <row r="7516" spans="2:4" x14ac:dyDescent="0.2">
      <c r="B7516" s="876">
        <v>9333</v>
      </c>
      <c r="C7516" s="876" t="s">
        <v>6556</v>
      </c>
      <c r="D7516" s="851">
        <v>1181.1999840000001</v>
      </c>
    </row>
    <row r="7517" spans="2:4" x14ac:dyDescent="0.2">
      <c r="B7517" s="876">
        <v>9334</v>
      </c>
      <c r="C7517" s="876" t="s">
        <v>7798</v>
      </c>
      <c r="D7517" s="851">
        <v>1187.3999960000001</v>
      </c>
    </row>
    <row r="7518" spans="2:4" x14ac:dyDescent="0.2">
      <c r="B7518" s="876">
        <v>9335</v>
      </c>
      <c r="C7518" s="876" t="s">
        <v>7799</v>
      </c>
      <c r="D7518" s="851">
        <v>1233.150007</v>
      </c>
    </row>
    <row r="7519" spans="2:4" x14ac:dyDescent="0.2">
      <c r="B7519" s="876">
        <v>9336</v>
      </c>
      <c r="C7519" s="876" t="s">
        <v>7800</v>
      </c>
      <c r="D7519" s="851">
        <v>1247.1206810000001</v>
      </c>
    </row>
    <row r="7520" spans="2:4" x14ac:dyDescent="0.2">
      <c r="B7520" s="876">
        <v>9337</v>
      </c>
      <c r="C7520" s="876" t="s">
        <v>5581</v>
      </c>
      <c r="D7520" s="851">
        <v>1288.6999920000001</v>
      </c>
    </row>
    <row r="7521" spans="2:4" x14ac:dyDescent="0.2">
      <c r="B7521" s="876">
        <v>9338</v>
      </c>
      <c r="C7521" s="876" t="s">
        <v>7801</v>
      </c>
      <c r="D7521" s="851">
        <v>1272.136375</v>
      </c>
    </row>
    <row r="7522" spans="2:4" x14ac:dyDescent="0.2">
      <c r="B7522" s="876">
        <v>9401</v>
      </c>
      <c r="C7522" s="876" t="s">
        <v>7802</v>
      </c>
      <c r="D7522" s="851">
        <v>1278.161527</v>
      </c>
    </row>
    <row r="7523" spans="2:4" x14ac:dyDescent="0.2">
      <c r="B7523" s="876">
        <v>9402</v>
      </c>
      <c r="C7523" s="876" t="s">
        <v>7803</v>
      </c>
      <c r="D7523" s="851">
        <v>1520.488231</v>
      </c>
    </row>
    <row r="7524" spans="2:4" x14ac:dyDescent="0.2">
      <c r="B7524" s="876">
        <v>9403</v>
      </c>
      <c r="C7524" s="876" t="s">
        <v>7804</v>
      </c>
      <c r="D7524" s="851">
        <v>1332.418191</v>
      </c>
    </row>
    <row r="7525" spans="2:4" x14ac:dyDescent="0.2">
      <c r="B7525" s="876">
        <v>9404</v>
      </c>
      <c r="C7525" s="876" t="s">
        <v>7805</v>
      </c>
      <c r="D7525" s="851">
        <v>1354.691671</v>
      </c>
    </row>
    <row r="7526" spans="2:4" x14ac:dyDescent="0.2">
      <c r="B7526" s="876">
        <v>9405</v>
      </c>
      <c r="C7526" s="876" t="s">
        <v>7806</v>
      </c>
      <c r="D7526" s="851">
        <v>1521.0666639999999</v>
      </c>
    </row>
    <row r="7527" spans="2:4" x14ac:dyDescent="0.2">
      <c r="B7527" s="876">
        <v>9406</v>
      </c>
      <c r="C7527" s="876" t="s">
        <v>7807</v>
      </c>
      <c r="D7527" s="851">
        <v>1748.7685719999999</v>
      </c>
    </row>
    <row r="7528" spans="2:4" x14ac:dyDescent="0.2">
      <c r="B7528" s="876">
        <v>9407</v>
      </c>
      <c r="C7528" s="876" t="s">
        <v>7808</v>
      </c>
      <c r="D7528" s="851">
        <v>1435.1100100000001</v>
      </c>
    </row>
    <row r="7529" spans="2:4" x14ac:dyDescent="0.2">
      <c r="B7529" s="876">
        <v>9408</v>
      </c>
      <c r="C7529" s="876" t="s">
        <v>7809</v>
      </c>
      <c r="D7529" s="851">
        <v>1406.560876</v>
      </c>
    </row>
    <row r="7530" spans="2:4" x14ac:dyDescent="0.2">
      <c r="B7530" s="876">
        <v>9409</v>
      </c>
      <c r="C7530" s="876" t="s">
        <v>7810</v>
      </c>
      <c r="D7530" s="851">
        <v>1403.4500029999999</v>
      </c>
    </row>
    <row r="7531" spans="2:4" x14ac:dyDescent="0.2">
      <c r="B7531" s="876">
        <v>9410</v>
      </c>
      <c r="C7531" s="876" t="s">
        <v>7811</v>
      </c>
      <c r="D7531" s="851">
        <v>1470.4375</v>
      </c>
    </row>
    <row r="7532" spans="2:4" x14ac:dyDescent="0.2">
      <c r="B7532" s="876">
        <v>9411</v>
      </c>
      <c r="C7532" s="876" t="s">
        <v>7812</v>
      </c>
      <c r="D7532" s="851">
        <v>1438.080013</v>
      </c>
    </row>
    <row r="7533" spans="2:4" x14ac:dyDescent="0.2">
      <c r="B7533" s="876">
        <v>9412</v>
      </c>
      <c r="C7533" s="876" t="s">
        <v>4550</v>
      </c>
      <c r="D7533" s="851">
        <v>1773.0026889999999</v>
      </c>
    </row>
    <row r="7534" spans="2:4" x14ac:dyDescent="0.2">
      <c r="B7534" s="876">
        <v>9413</v>
      </c>
      <c r="C7534" s="876" t="s">
        <v>7813</v>
      </c>
      <c r="D7534" s="851">
        <v>1532.2692400000001</v>
      </c>
    </row>
    <row r="7535" spans="2:4" x14ac:dyDescent="0.2">
      <c r="B7535" s="876">
        <v>9414</v>
      </c>
      <c r="C7535" s="876" t="s">
        <v>7814</v>
      </c>
      <c r="D7535" s="851">
        <v>1705.2051280000001</v>
      </c>
    </row>
    <row r="7536" spans="2:4" x14ac:dyDescent="0.2">
      <c r="B7536" s="876">
        <v>9415</v>
      </c>
      <c r="C7536" s="876" t="s">
        <v>7815</v>
      </c>
      <c r="D7536" s="851">
        <v>1580.5439940000001</v>
      </c>
    </row>
    <row r="7537" spans="2:4" x14ac:dyDescent="0.2">
      <c r="B7537" s="876">
        <v>9416</v>
      </c>
      <c r="C7537" s="876" t="s">
        <v>7816</v>
      </c>
      <c r="D7537" s="851">
        <v>1761.652558</v>
      </c>
    </row>
    <row r="7538" spans="2:4" x14ac:dyDescent="0.2">
      <c r="B7538" s="876">
        <v>9417</v>
      </c>
      <c r="C7538" s="876" t="s">
        <v>7817</v>
      </c>
      <c r="D7538" s="851">
        <v>1829.1092410000001</v>
      </c>
    </row>
    <row r="7539" spans="2:4" x14ac:dyDescent="0.2">
      <c r="B7539" s="876">
        <v>9418</v>
      </c>
      <c r="C7539" s="876" t="s">
        <v>7818</v>
      </c>
      <c r="D7539" s="851">
        <v>1894.4093210000001</v>
      </c>
    </row>
    <row r="7540" spans="2:4" x14ac:dyDescent="0.2">
      <c r="B7540" s="876">
        <v>9419</v>
      </c>
      <c r="C7540" s="876" t="s">
        <v>7819</v>
      </c>
      <c r="D7540" s="851">
        <v>1433.2555609999999</v>
      </c>
    </row>
    <row r="7541" spans="2:4" x14ac:dyDescent="0.2">
      <c r="B7541" s="876">
        <v>9420</v>
      </c>
      <c r="C7541" s="876" t="s">
        <v>7820</v>
      </c>
      <c r="D7541" s="851">
        <v>1546.526926</v>
      </c>
    </row>
    <row r="7542" spans="2:4" x14ac:dyDescent="0.2">
      <c r="B7542" s="876">
        <v>9421</v>
      </c>
      <c r="C7542" s="876" t="s">
        <v>7821</v>
      </c>
      <c r="D7542" s="851">
        <v>1495.4266520000001</v>
      </c>
    </row>
    <row r="7543" spans="2:4" x14ac:dyDescent="0.2">
      <c r="B7543" s="876">
        <v>9422</v>
      </c>
      <c r="C7543" s="876" t="s">
        <v>7822</v>
      </c>
      <c r="D7543" s="851">
        <v>1555.355564</v>
      </c>
    </row>
    <row r="7544" spans="2:4" x14ac:dyDescent="0.2">
      <c r="B7544" s="876">
        <v>9423</v>
      </c>
      <c r="C7544" s="876" t="s">
        <v>7823</v>
      </c>
      <c r="D7544" s="851">
        <v>1937.5242249999999</v>
      </c>
    </row>
    <row r="7545" spans="2:4" x14ac:dyDescent="0.2">
      <c r="B7545" s="876">
        <v>9424</v>
      </c>
      <c r="C7545" s="876" t="s">
        <v>7824</v>
      </c>
      <c r="D7545" s="851">
        <v>1636.530438</v>
      </c>
    </row>
    <row r="7546" spans="2:4" x14ac:dyDescent="0.2">
      <c r="B7546" s="876">
        <v>9425</v>
      </c>
      <c r="C7546" s="876" t="s">
        <v>5126</v>
      </c>
      <c r="D7546" s="851">
        <v>2072.5951239999999</v>
      </c>
    </row>
    <row r="7547" spans="2:4" x14ac:dyDescent="0.2">
      <c r="B7547" s="876">
        <v>9426</v>
      </c>
      <c r="C7547" s="876" t="s">
        <v>7825</v>
      </c>
      <c r="D7547" s="851">
        <v>2057.9898330000001</v>
      </c>
    </row>
    <row r="7548" spans="2:4" x14ac:dyDescent="0.2">
      <c r="B7548" s="876">
        <v>9501</v>
      </c>
      <c r="C7548" s="876" t="s">
        <v>7826</v>
      </c>
      <c r="D7548" s="851">
        <v>1192.1631500000001</v>
      </c>
    </row>
    <row r="7549" spans="2:4" x14ac:dyDescent="0.2">
      <c r="B7549" s="876">
        <v>9502</v>
      </c>
      <c r="C7549" s="876" t="s">
        <v>7827</v>
      </c>
      <c r="D7549" s="851">
        <v>1331.645714</v>
      </c>
    </row>
    <row r="7550" spans="2:4" x14ac:dyDescent="0.2">
      <c r="B7550" s="876">
        <v>9503</v>
      </c>
      <c r="C7550" s="876" t="s">
        <v>1705</v>
      </c>
      <c r="D7550" s="851">
        <v>1236.23999</v>
      </c>
    </row>
    <row r="7551" spans="2:4" x14ac:dyDescent="0.2">
      <c r="B7551" s="876">
        <v>9504</v>
      </c>
      <c r="C7551" s="876" t="s">
        <v>7828</v>
      </c>
      <c r="D7551" s="851">
        <v>1165.756517</v>
      </c>
    </row>
    <row r="7552" spans="2:4" x14ac:dyDescent="0.2">
      <c r="B7552" s="876">
        <v>9505</v>
      </c>
      <c r="C7552" s="876" t="s">
        <v>7829</v>
      </c>
      <c r="D7552" s="851">
        <v>1227.7785730000001</v>
      </c>
    </row>
    <row r="7553" spans="2:4" x14ac:dyDescent="0.2">
      <c r="B7553" s="876">
        <v>9506</v>
      </c>
      <c r="C7553" s="876" t="s">
        <v>7830</v>
      </c>
      <c r="D7553" s="851">
        <v>1187.4521749999999</v>
      </c>
    </row>
    <row r="7554" spans="2:4" x14ac:dyDescent="0.2">
      <c r="B7554" s="876">
        <v>9507</v>
      </c>
      <c r="C7554" s="876" t="s">
        <v>7831</v>
      </c>
      <c r="D7554" s="851">
        <v>1332.5500019999999</v>
      </c>
    </row>
    <row r="7555" spans="2:4" x14ac:dyDescent="0.2">
      <c r="B7555" s="876">
        <v>9508</v>
      </c>
      <c r="C7555" s="876" t="s">
        <v>7832</v>
      </c>
      <c r="D7555" s="851">
        <v>1390.7588029999999</v>
      </c>
    </row>
    <row r="7556" spans="2:4" x14ac:dyDescent="0.2">
      <c r="B7556" s="876">
        <v>9509</v>
      </c>
      <c r="C7556" s="876" t="s">
        <v>7833</v>
      </c>
      <c r="D7556" s="851">
        <v>1335.1153939999999</v>
      </c>
    </row>
    <row r="7557" spans="2:4" x14ac:dyDescent="0.2">
      <c r="B7557" s="876">
        <v>9510</v>
      </c>
      <c r="C7557" s="876" t="s">
        <v>7834</v>
      </c>
      <c r="D7557" s="851">
        <v>1284.3625030000001</v>
      </c>
    </row>
    <row r="7558" spans="2:4" x14ac:dyDescent="0.2">
      <c r="B7558" s="876">
        <v>9511</v>
      </c>
      <c r="C7558" s="876" t="s">
        <v>5707</v>
      </c>
      <c r="D7558" s="851">
        <v>1322.080005</v>
      </c>
    </row>
    <row r="7559" spans="2:4" x14ac:dyDescent="0.2">
      <c r="B7559" s="876">
        <v>9512</v>
      </c>
      <c r="C7559" s="876" t="s">
        <v>7835</v>
      </c>
      <c r="D7559" s="851">
        <v>1178.1439989999999</v>
      </c>
    </row>
    <row r="7560" spans="2:4" x14ac:dyDescent="0.2">
      <c r="B7560" s="876">
        <v>9513</v>
      </c>
      <c r="C7560" s="876" t="s">
        <v>7836</v>
      </c>
      <c r="D7560" s="851">
        <v>1369.2142940000001</v>
      </c>
    </row>
    <row r="7561" spans="2:4" x14ac:dyDescent="0.2">
      <c r="B7561" s="876">
        <v>9514</v>
      </c>
      <c r="C7561" s="876" t="s">
        <v>321</v>
      </c>
      <c r="D7561" s="851">
        <v>1349.4499510000001</v>
      </c>
    </row>
    <row r="7562" spans="2:4" x14ac:dyDescent="0.2">
      <c r="B7562" s="876">
        <v>9515</v>
      </c>
      <c r="C7562" s="876" t="s">
        <v>5216</v>
      </c>
      <c r="D7562" s="851">
        <v>1410.6647089999999</v>
      </c>
    </row>
    <row r="7563" spans="2:4" x14ac:dyDescent="0.2">
      <c r="B7563" s="876">
        <v>9516</v>
      </c>
      <c r="C7563" s="876" t="s">
        <v>7837</v>
      </c>
      <c r="D7563" s="851">
        <v>1294.205005</v>
      </c>
    </row>
    <row r="7564" spans="2:4" x14ac:dyDescent="0.2">
      <c r="B7564" s="876">
        <v>9517</v>
      </c>
      <c r="C7564" s="876" t="s">
        <v>7838</v>
      </c>
      <c r="D7564" s="851">
        <v>1581.0391259999999</v>
      </c>
    </row>
    <row r="7565" spans="2:4" x14ac:dyDescent="0.2">
      <c r="B7565" s="876">
        <v>9518</v>
      </c>
      <c r="C7565" s="876" t="s">
        <v>7839</v>
      </c>
      <c r="D7565" s="851">
        <v>1446.3545369999999</v>
      </c>
    </row>
    <row r="7566" spans="2:4" x14ac:dyDescent="0.2">
      <c r="B7566" s="876">
        <v>9519</v>
      </c>
      <c r="C7566" s="876" t="s">
        <v>7840</v>
      </c>
      <c r="D7566" s="851">
        <v>1399.6272690000001</v>
      </c>
    </row>
    <row r="7567" spans="2:4" x14ac:dyDescent="0.2">
      <c r="B7567" s="876">
        <v>9520</v>
      </c>
      <c r="C7567" s="876" t="s">
        <v>7841</v>
      </c>
      <c r="D7567" s="851">
        <v>1552.690691</v>
      </c>
    </row>
    <row r="7568" spans="2:4" x14ac:dyDescent="0.2">
      <c r="B7568" s="876">
        <v>9521</v>
      </c>
      <c r="C7568" s="876" t="s">
        <v>7842</v>
      </c>
      <c r="D7568" s="851">
        <v>1919.444438</v>
      </c>
    </row>
    <row r="7569" spans="2:4" x14ac:dyDescent="0.2">
      <c r="B7569" s="876">
        <v>9522</v>
      </c>
      <c r="C7569" s="876" t="s">
        <v>7843</v>
      </c>
      <c r="D7569" s="851">
        <v>1666.4407980000001</v>
      </c>
    </row>
    <row r="7570" spans="2:4" x14ac:dyDescent="0.2">
      <c r="B7570" s="876">
        <v>9601</v>
      </c>
      <c r="C7570" s="876" t="s">
        <v>7844</v>
      </c>
      <c r="D7570" s="851">
        <v>1104.857125</v>
      </c>
    </row>
    <row r="7571" spans="2:4" x14ac:dyDescent="0.2">
      <c r="B7571" s="876">
        <v>9602</v>
      </c>
      <c r="C7571" s="876" t="s">
        <v>7845</v>
      </c>
      <c r="D7571" s="851">
        <v>1225.838454</v>
      </c>
    </row>
    <row r="7572" spans="2:4" x14ac:dyDescent="0.2">
      <c r="B7572" s="876">
        <v>9603</v>
      </c>
      <c r="C7572" s="876" t="s">
        <v>7846</v>
      </c>
      <c r="D7572" s="851">
        <v>1060.1266720000001</v>
      </c>
    </row>
    <row r="7573" spans="2:4" x14ac:dyDescent="0.2">
      <c r="B7573" s="876">
        <v>9604</v>
      </c>
      <c r="C7573" s="876" t="s">
        <v>7847</v>
      </c>
      <c r="D7573" s="851">
        <v>1034.733348</v>
      </c>
    </row>
    <row r="7574" spans="2:4" x14ac:dyDescent="0.2">
      <c r="B7574" s="876">
        <v>9605</v>
      </c>
      <c r="C7574" s="876" t="s">
        <v>7848</v>
      </c>
      <c r="D7574" s="851">
        <v>1388.039996</v>
      </c>
    </row>
    <row r="7575" spans="2:4" x14ac:dyDescent="0.2">
      <c r="B7575" s="876">
        <v>9606</v>
      </c>
      <c r="C7575" s="876" t="s">
        <v>7849</v>
      </c>
      <c r="D7575" s="851">
        <v>1001.549995</v>
      </c>
    </row>
    <row r="7576" spans="2:4" x14ac:dyDescent="0.2">
      <c r="B7576" s="876">
        <v>9607</v>
      </c>
      <c r="C7576" s="876" t="s">
        <v>7850</v>
      </c>
      <c r="D7576" s="851">
        <v>1468.56665</v>
      </c>
    </row>
    <row r="7577" spans="2:4" x14ac:dyDescent="0.2">
      <c r="B7577" s="876">
        <v>9608</v>
      </c>
      <c r="C7577" s="876" t="s">
        <v>7851</v>
      </c>
      <c r="D7577" s="851">
        <v>1220.369995</v>
      </c>
    </row>
    <row r="7578" spans="2:4" x14ac:dyDescent="0.2">
      <c r="B7578" s="876">
        <v>9609</v>
      </c>
      <c r="C7578" s="876" t="s">
        <v>7852</v>
      </c>
      <c r="D7578" s="851">
        <v>1034.5280029999999</v>
      </c>
    </row>
    <row r="7579" spans="2:4" x14ac:dyDescent="0.2">
      <c r="B7579" s="876">
        <v>9610</v>
      </c>
      <c r="C7579" s="876" t="s">
        <v>7853</v>
      </c>
      <c r="D7579" s="851">
        <v>1231.0333250000001</v>
      </c>
    </row>
    <row r="7580" spans="2:4" x14ac:dyDescent="0.2">
      <c r="B7580" s="876">
        <v>9611</v>
      </c>
      <c r="C7580" s="876" t="s">
        <v>7854</v>
      </c>
      <c r="D7580" s="851">
        <v>1197.177762</v>
      </c>
    </row>
    <row r="7581" spans="2:4" x14ac:dyDescent="0.2">
      <c r="B7581" s="876">
        <v>9612</v>
      </c>
      <c r="C7581" s="876" t="s">
        <v>3733</v>
      </c>
      <c r="D7581" s="851">
        <v>1104.2999950000001</v>
      </c>
    </row>
    <row r="7582" spans="2:4" x14ac:dyDescent="0.2">
      <c r="B7582" s="876">
        <v>9613</v>
      </c>
      <c r="C7582" s="876" t="s">
        <v>7855</v>
      </c>
      <c r="D7582" s="851">
        <v>1158.039137</v>
      </c>
    </row>
    <row r="7583" spans="2:4" x14ac:dyDescent="0.2">
      <c r="B7583" s="876">
        <v>9614</v>
      </c>
      <c r="C7583" s="876" t="s">
        <v>7856</v>
      </c>
      <c r="D7583" s="851">
        <v>1047.125</v>
      </c>
    </row>
    <row r="7584" spans="2:4" x14ac:dyDescent="0.2">
      <c r="B7584" s="876">
        <v>9615</v>
      </c>
      <c r="C7584" s="876" t="s">
        <v>7857</v>
      </c>
      <c r="D7584" s="851">
        <v>1152.7642739999999</v>
      </c>
    </row>
    <row r="7585" spans="2:4" x14ac:dyDescent="0.2">
      <c r="B7585" s="876">
        <v>9616</v>
      </c>
      <c r="C7585" s="876" t="s">
        <v>7858</v>
      </c>
      <c r="D7585" s="851">
        <v>1124.128575</v>
      </c>
    </row>
    <row r="7586" spans="2:4" x14ac:dyDescent="0.2">
      <c r="B7586" s="876">
        <v>9617</v>
      </c>
      <c r="C7586" s="876" t="s">
        <v>5373</v>
      </c>
      <c r="D7586" s="851">
        <v>1086.3499879999999</v>
      </c>
    </row>
    <row r="7587" spans="2:4" x14ac:dyDescent="0.2">
      <c r="B7587" s="876">
        <v>9618</v>
      </c>
      <c r="C7587" s="876" t="s">
        <v>7859</v>
      </c>
      <c r="D7587" s="851">
        <v>1372.94444</v>
      </c>
    </row>
    <row r="7588" spans="2:4" x14ac:dyDescent="0.2">
      <c r="B7588" s="876">
        <v>9619</v>
      </c>
      <c r="C7588" s="876" t="s">
        <v>7860</v>
      </c>
      <c r="D7588" s="851">
        <v>1541.6320020000001</v>
      </c>
    </row>
    <row r="7589" spans="2:4" x14ac:dyDescent="0.2">
      <c r="B7589" s="876">
        <v>9620</v>
      </c>
      <c r="C7589" s="876" t="s">
        <v>7861</v>
      </c>
      <c r="D7589" s="851">
        <v>1051.2166649999999</v>
      </c>
    </row>
    <row r="7590" spans="2:4" x14ac:dyDescent="0.2">
      <c r="B7590" s="876">
        <v>9621</v>
      </c>
      <c r="C7590" s="876" t="s">
        <v>7862</v>
      </c>
      <c r="D7590" s="851">
        <v>1451.5166630000001</v>
      </c>
    </row>
    <row r="7591" spans="2:4" x14ac:dyDescent="0.2">
      <c r="B7591" s="876">
        <v>9622</v>
      </c>
      <c r="C7591" s="876" t="s">
        <v>7863</v>
      </c>
      <c r="D7591" s="851">
        <v>1250.616679</v>
      </c>
    </row>
    <row r="7592" spans="2:4" x14ac:dyDescent="0.2">
      <c r="B7592" s="876">
        <v>9623</v>
      </c>
      <c r="C7592" s="876" t="s">
        <v>7864</v>
      </c>
      <c r="D7592" s="851">
        <v>1224.833333</v>
      </c>
    </row>
    <row r="7593" spans="2:4" x14ac:dyDescent="0.2">
      <c r="B7593" s="876">
        <v>9624</v>
      </c>
      <c r="C7593" s="876" t="s">
        <v>7865</v>
      </c>
      <c r="D7593" s="851">
        <v>1178.4300049999999</v>
      </c>
    </row>
    <row r="7594" spans="2:4" x14ac:dyDescent="0.2">
      <c r="B7594" s="876">
        <v>9625</v>
      </c>
      <c r="C7594" s="876" t="s">
        <v>7866</v>
      </c>
      <c r="D7594" s="851">
        <v>1061.8000030000001</v>
      </c>
    </row>
    <row r="7595" spans="2:4" x14ac:dyDescent="0.2">
      <c r="B7595" s="876">
        <v>9626</v>
      </c>
      <c r="C7595" s="876" t="s">
        <v>7867</v>
      </c>
      <c r="D7595" s="851">
        <v>1204.7699950000001</v>
      </c>
    </row>
    <row r="7596" spans="2:4" x14ac:dyDescent="0.2">
      <c r="B7596" s="876">
        <v>9627</v>
      </c>
      <c r="C7596" s="876" t="s">
        <v>7868</v>
      </c>
      <c r="D7596" s="851">
        <v>1053.23334</v>
      </c>
    </row>
    <row r="7597" spans="2:4" x14ac:dyDescent="0.2">
      <c r="B7597" s="876">
        <v>9628</v>
      </c>
      <c r="C7597" s="876" t="s">
        <v>7869</v>
      </c>
      <c r="D7597" s="851">
        <v>1112.3000079999999</v>
      </c>
    </row>
    <row r="7598" spans="2:4" x14ac:dyDescent="0.2">
      <c r="B7598" s="876">
        <v>9629</v>
      </c>
      <c r="C7598" s="876" t="s">
        <v>6382</v>
      </c>
      <c r="D7598" s="851">
        <v>1042.4800290000001</v>
      </c>
    </row>
    <row r="7599" spans="2:4" x14ac:dyDescent="0.2">
      <c r="B7599" s="876">
        <v>9631</v>
      </c>
      <c r="C7599" s="876" t="s">
        <v>7870</v>
      </c>
      <c r="D7599" s="851">
        <v>1167.1249849999999</v>
      </c>
    </row>
    <row r="7600" spans="2:4" x14ac:dyDescent="0.2">
      <c r="B7600" s="876">
        <v>9632</v>
      </c>
      <c r="C7600" s="876" t="s">
        <v>7871</v>
      </c>
      <c r="D7600" s="851">
        <v>1149.257167</v>
      </c>
    </row>
    <row r="7601" spans="2:4" x14ac:dyDescent="0.2">
      <c r="B7601" s="876">
        <v>9633</v>
      </c>
      <c r="C7601" s="876" t="s">
        <v>7872</v>
      </c>
      <c r="D7601" s="851">
        <v>1370.9888780000001</v>
      </c>
    </row>
    <row r="7602" spans="2:4" x14ac:dyDescent="0.2">
      <c r="B7602" s="876">
        <v>9634</v>
      </c>
      <c r="C7602" s="876" t="s">
        <v>7873</v>
      </c>
      <c r="D7602" s="851">
        <v>992.28750200000002</v>
      </c>
    </row>
    <row r="7603" spans="2:4" x14ac:dyDescent="0.2">
      <c r="B7603" s="876">
        <v>9635</v>
      </c>
      <c r="C7603" s="876" t="s">
        <v>7874</v>
      </c>
      <c r="D7603" s="851">
        <v>1357.1800049999999</v>
      </c>
    </row>
    <row r="7604" spans="2:4" x14ac:dyDescent="0.2">
      <c r="B7604" s="876">
        <v>9636</v>
      </c>
      <c r="C7604" s="876" t="s">
        <v>7716</v>
      </c>
      <c r="D7604" s="851">
        <v>1022.568745</v>
      </c>
    </row>
    <row r="7605" spans="2:4" x14ac:dyDescent="0.2">
      <c r="B7605" s="876">
        <v>9638</v>
      </c>
      <c r="C7605" s="876" t="s">
        <v>7875</v>
      </c>
      <c r="D7605" s="851">
        <v>1132.277785</v>
      </c>
    </row>
    <row r="7606" spans="2:4" x14ac:dyDescent="0.2">
      <c r="B7606" s="876">
        <v>9639</v>
      </c>
      <c r="C7606" s="876" t="s">
        <v>7876</v>
      </c>
      <c r="D7606" s="851">
        <v>1945.640005</v>
      </c>
    </row>
    <row r="7607" spans="2:4" x14ac:dyDescent="0.2">
      <c r="B7607" s="876">
        <v>9640</v>
      </c>
      <c r="C7607" s="876" t="s">
        <v>7877</v>
      </c>
      <c r="D7607" s="851">
        <v>995.48260000000005</v>
      </c>
    </row>
    <row r="7608" spans="2:4" x14ac:dyDescent="0.2">
      <c r="B7608" s="876">
        <v>9641</v>
      </c>
      <c r="C7608" s="876" t="s">
        <v>7878</v>
      </c>
      <c r="D7608" s="851">
        <v>1011.1</v>
      </c>
    </row>
    <row r="7609" spans="2:4" x14ac:dyDescent="0.2">
      <c r="B7609" s="876">
        <v>9642</v>
      </c>
      <c r="C7609" s="876" t="s">
        <v>7879</v>
      </c>
      <c r="D7609" s="851">
        <v>1441.2468719999999</v>
      </c>
    </row>
    <row r="7610" spans="2:4" x14ac:dyDescent="0.2">
      <c r="B7610" s="876">
        <v>9643</v>
      </c>
      <c r="C7610" s="876" t="s">
        <v>7880</v>
      </c>
      <c r="D7610" s="851">
        <v>1076.3428610000001</v>
      </c>
    </row>
    <row r="7611" spans="2:4" x14ac:dyDescent="0.2">
      <c r="B7611" s="876">
        <v>9644</v>
      </c>
      <c r="C7611" s="876" t="s">
        <v>7881</v>
      </c>
      <c r="D7611" s="851">
        <v>1036.2222220000001</v>
      </c>
    </row>
    <row r="7612" spans="2:4" x14ac:dyDescent="0.2">
      <c r="B7612" s="876">
        <v>9645</v>
      </c>
      <c r="C7612" s="876" t="s">
        <v>2758</v>
      </c>
      <c r="D7612" s="851">
        <v>1250.8499959999999</v>
      </c>
    </row>
    <row r="7613" spans="2:4" x14ac:dyDescent="0.2">
      <c r="B7613" s="876">
        <v>9646</v>
      </c>
      <c r="C7613" s="876" t="s">
        <v>7882</v>
      </c>
      <c r="D7613" s="851">
        <v>1187.318182</v>
      </c>
    </row>
    <row r="7614" spans="2:4" x14ac:dyDescent="0.2">
      <c r="B7614" s="876">
        <v>9647</v>
      </c>
      <c r="C7614" s="876" t="s">
        <v>7883</v>
      </c>
      <c r="D7614" s="851">
        <v>1034.961127</v>
      </c>
    </row>
    <row r="7615" spans="2:4" x14ac:dyDescent="0.2">
      <c r="B7615" s="876">
        <v>9648</v>
      </c>
      <c r="C7615" s="876" t="s">
        <v>7884</v>
      </c>
      <c r="D7615" s="851">
        <v>1035.870007</v>
      </c>
    </row>
    <row r="7616" spans="2:4" x14ac:dyDescent="0.2">
      <c r="B7616" s="876">
        <v>9649</v>
      </c>
      <c r="C7616" s="876" t="s">
        <v>7885</v>
      </c>
      <c r="D7616" s="851">
        <v>1173.742833</v>
      </c>
    </row>
    <row r="7617" spans="2:4" x14ac:dyDescent="0.2">
      <c r="B7617" s="876">
        <v>9650</v>
      </c>
      <c r="C7617" s="876" t="s">
        <v>5538</v>
      </c>
      <c r="D7617" s="851">
        <v>1033.3000079999999</v>
      </c>
    </row>
    <row r="7618" spans="2:4" x14ac:dyDescent="0.2">
      <c r="B7618" s="876">
        <v>9651</v>
      </c>
      <c r="C7618" s="876" t="s">
        <v>7886</v>
      </c>
      <c r="D7618" s="851">
        <v>1148.2199949999999</v>
      </c>
    </row>
    <row r="7619" spans="2:4" x14ac:dyDescent="0.2">
      <c r="B7619" s="876">
        <v>9652</v>
      </c>
      <c r="C7619" s="876" t="s">
        <v>7887</v>
      </c>
      <c r="D7619" s="851">
        <v>1249.837509</v>
      </c>
    </row>
    <row r="7620" spans="2:4" x14ac:dyDescent="0.2">
      <c r="B7620" s="876">
        <v>9653</v>
      </c>
      <c r="C7620" s="876" t="s">
        <v>7888</v>
      </c>
      <c r="D7620" s="851">
        <v>1657.2384689999999</v>
      </c>
    </row>
    <row r="7621" spans="2:4" x14ac:dyDescent="0.2">
      <c r="B7621" s="876">
        <v>9654</v>
      </c>
      <c r="C7621" s="876" t="s">
        <v>7889</v>
      </c>
      <c r="D7621" s="851">
        <v>1329.0916649999999</v>
      </c>
    </row>
    <row r="7622" spans="2:4" x14ac:dyDescent="0.2">
      <c r="B7622" s="876">
        <v>9655</v>
      </c>
      <c r="C7622" s="876" t="s">
        <v>7890</v>
      </c>
      <c r="D7622" s="851">
        <v>1374.960879</v>
      </c>
    </row>
    <row r="7623" spans="2:4" x14ac:dyDescent="0.2">
      <c r="B7623" s="876">
        <v>9656</v>
      </c>
      <c r="C7623" s="876" t="s">
        <v>7891</v>
      </c>
      <c r="D7623" s="851">
        <v>1343.7749960000001</v>
      </c>
    </row>
    <row r="7624" spans="2:4" x14ac:dyDescent="0.2">
      <c r="B7624" s="876">
        <v>9657</v>
      </c>
      <c r="C7624" s="876" t="s">
        <v>7892</v>
      </c>
      <c r="D7624" s="851">
        <v>1068.98928</v>
      </c>
    </row>
    <row r="7625" spans="2:4" x14ac:dyDescent="0.2">
      <c r="B7625" s="876">
        <v>9658</v>
      </c>
      <c r="C7625" s="876" t="s">
        <v>4251</v>
      </c>
      <c r="D7625" s="851">
        <v>1141.583333</v>
      </c>
    </row>
    <row r="7626" spans="2:4" x14ac:dyDescent="0.2">
      <c r="B7626" s="876">
        <v>9659</v>
      </c>
      <c r="C7626" s="876" t="s">
        <v>7893</v>
      </c>
      <c r="D7626" s="851">
        <v>1244.436379</v>
      </c>
    </row>
    <row r="7627" spans="2:4" x14ac:dyDescent="0.2">
      <c r="B7627" s="876">
        <v>9660</v>
      </c>
      <c r="C7627" s="876" t="s">
        <v>7894</v>
      </c>
      <c r="D7627" s="851">
        <v>1280.136364</v>
      </c>
    </row>
    <row r="7628" spans="2:4" x14ac:dyDescent="0.2">
      <c r="B7628" s="876">
        <v>9661</v>
      </c>
      <c r="C7628" s="876" t="s">
        <v>7895</v>
      </c>
      <c r="D7628" s="851">
        <v>1137.4312359999999</v>
      </c>
    </row>
    <row r="7629" spans="2:4" x14ac:dyDescent="0.2">
      <c r="B7629" s="876">
        <v>9662</v>
      </c>
      <c r="C7629" s="876" t="s">
        <v>7896</v>
      </c>
      <c r="D7629" s="851">
        <v>1148.9571530000001</v>
      </c>
    </row>
    <row r="7630" spans="2:4" x14ac:dyDescent="0.2">
      <c r="B7630" s="876">
        <v>9663</v>
      </c>
      <c r="C7630" s="876" t="s">
        <v>7897</v>
      </c>
      <c r="D7630" s="851">
        <v>1136.4750369999999</v>
      </c>
    </row>
    <row r="7631" spans="2:4" x14ac:dyDescent="0.2">
      <c r="B7631" s="876">
        <v>9664</v>
      </c>
      <c r="C7631" s="876" t="s">
        <v>7898</v>
      </c>
      <c r="D7631" s="851">
        <v>1247.8363589999999</v>
      </c>
    </row>
    <row r="7632" spans="2:4" x14ac:dyDescent="0.2">
      <c r="B7632" s="876">
        <v>9665</v>
      </c>
      <c r="C7632" s="876" t="s">
        <v>7899</v>
      </c>
      <c r="D7632" s="851">
        <v>1220.883321</v>
      </c>
    </row>
    <row r="7633" spans="2:4" x14ac:dyDescent="0.2">
      <c r="B7633" s="876">
        <v>9666</v>
      </c>
      <c r="C7633" s="876" t="s">
        <v>7900</v>
      </c>
      <c r="D7633" s="851">
        <v>1203.4812549999999</v>
      </c>
    </row>
    <row r="7634" spans="2:4" x14ac:dyDescent="0.2">
      <c r="B7634" s="876">
        <v>9667</v>
      </c>
      <c r="C7634" s="876" t="s">
        <v>305</v>
      </c>
      <c r="D7634" s="851">
        <v>1070.1272750000001</v>
      </c>
    </row>
    <row r="7635" spans="2:4" x14ac:dyDescent="0.2">
      <c r="B7635" s="876">
        <v>9668</v>
      </c>
      <c r="C7635" s="876" t="s">
        <v>7901</v>
      </c>
      <c r="D7635" s="851">
        <v>1348.4125059999999</v>
      </c>
    </row>
    <row r="7636" spans="2:4" x14ac:dyDescent="0.2">
      <c r="B7636" s="876">
        <v>9669</v>
      </c>
      <c r="C7636" s="876" t="s">
        <v>7902</v>
      </c>
      <c r="D7636" s="851">
        <v>1033.1667070000001</v>
      </c>
    </row>
    <row r="7637" spans="2:4" x14ac:dyDescent="0.2">
      <c r="B7637" s="876">
        <v>9670</v>
      </c>
      <c r="C7637" s="876" t="s">
        <v>7903</v>
      </c>
      <c r="D7637" s="851">
        <v>2106.2085729999999</v>
      </c>
    </row>
    <row r="7638" spans="2:4" x14ac:dyDescent="0.2">
      <c r="B7638" s="876">
        <v>9671</v>
      </c>
      <c r="C7638" s="876" t="s">
        <v>7904</v>
      </c>
      <c r="D7638" s="851">
        <v>1081.5703739999999</v>
      </c>
    </row>
    <row r="7639" spans="2:4" x14ac:dyDescent="0.2">
      <c r="B7639" s="876">
        <v>9672</v>
      </c>
      <c r="C7639" s="876" t="s">
        <v>7905</v>
      </c>
      <c r="D7639" s="851">
        <v>1329.7</v>
      </c>
    </row>
    <row r="7640" spans="2:4" x14ac:dyDescent="0.2">
      <c r="B7640" s="876">
        <v>9673</v>
      </c>
      <c r="C7640" s="876" t="s">
        <v>5550</v>
      </c>
      <c r="D7640" s="851">
        <v>1482.400009</v>
      </c>
    </row>
    <row r="7641" spans="2:4" x14ac:dyDescent="0.2">
      <c r="B7641" s="876">
        <v>9674</v>
      </c>
      <c r="C7641" s="876" t="s">
        <v>7906</v>
      </c>
      <c r="D7641" s="851">
        <v>1156.180636</v>
      </c>
    </row>
    <row r="7642" spans="2:4" x14ac:dyDescent="0.2">
      <c r="B7642" s="876">
        <v>9675</v>
      </c>
      <c r="C7642" s="876" t="s">
        <v>7907</v>
      </c>
      <c r="D7642" s="851">
        <v>1045.2700010000001</v>
      </c>
    </row>
    <row r="7643" spans="2:4" x14ac:dyDescent="0.2">
      <c r="B7643" s="876">
        <v>9676</v>
      </c>
      <c r="C7643" s="876" t="s">
        <v>7908</v>
      </c>
      <c r="D7643" s="851">
        <v>1483.4222139999999</v>
      </c>
    </row>
    <row r="7644" spans="2:4" x14ac:dyDescent="0.2">
      <c r="B7644" s="876">
        <v>9677</v>
      </c>
      <c r="C7644" s="876" t="s">
        <v>7909</v>
      </c>
      <c r="D7644" s="851">
        <v>1005.995461</v>
      </c>
    </row>
    <row r="7645" spans="2:4" x14ac:dyDescent="0.2">
      <c r="B7645" s="876">
        <v>9678</v>
      </c>
      <c r="C7645" s="876" t="s">
        <v>7910</v>
      </c>
      <c r="D7645" s="851">
        <v>1445.5571640000001</v>
      </c>
    </row>
    <row r="7646" spans="2:4" x14ac:dyDescent="0.2">
      <c r="B7646" s="876">
        <v>9679</v>
      </c>
      <c r="C7646" s="876" t="s">
        <v>7911</v>
      </c>
      <c r="D7646" s="851">
        <v>1093.7349979999999</v>
      </c>
    </row>
    <row r="7647" spans="2:4" x14ac:dyDescent="0.2">
      <c r="B7647" s="876">
        <v>9680</v>
      </c>
      <c r="C7647" s="876" t="s">
        <v>7912</v>
      </c>
      <c r="D7647" s="851">
        <v>1008.329405</v>
      </c>
    </row>
    <row r="7648" spans="2:4" x14ac:dyDescent="0.2">
      <c r="B7648" s="876">
        <v>9681</v>
      </c>
      <c r="C7648" s="876" t="s">
        <v>7913</v>
      </c>
      <c r="D7648" s="851">
        <v>1056.208333</v>
      </c>
    </row>
    <row r="7649" spans="2:4" x14ac:dyDescent="0.2">
      <c r="B7649" s="876">
        <v>9682</v>
      </c>
      <c r="C7649" s="876" t="s">
        <v>7914</v>
      </c>
      <c r="D7649" s="851">
        <v>1152.6555450000001</v>
      </c>
    </row>
    <row r="7650" spans="2:4" x14ac:dyDescent="0.2">
      <c r="B7650" s="876">
        <v>9683</v>
      </c>
      <c r="C7650" s="876" t="s">
        <v>7915</v>
      </c>
      <c r="D7650" s="851">
        <v>1351.8154019999999</v>
      </c>
    </row>
    <row r="7651" spans="2:4" x14ac:dyDescent="0.2">
      <c r="B7651" s="876">
        <v>9684</v>
      </c>
      <c r="C7651" s="876" t="s">
        <v>7916</v>
      </c>
      <c r="D7651" s="851">
        <v>1024.157148</v>
      </c>
    </row>
    <row r="7652" spans="2:4" x14ac:dyDescent="0.2">
      <c r="B7652" s="876">
        <v>9685</v>
      </c>
      <c r="C7652" s="876" t="s">
        <v>7917</v>
      </c>
      <c r="D7652" s="851">
        <v>1013.933322</v>
      </c>
    </row>
    <row r="7653" spans="2:4" x14ac:dyDescent="0.2">
      <c r="B7653" s="876">
        <v>9701</v>
      </c>
      <c r="C7653" s="876" t="s">
        <v>7918</v>
      </c>
      <c r="D7653" s="851">
        <v>1033.8333540000001</v>
      </c>
    </row>
    <row r="7654" spans="2:4" x14ac:dyDescent="0.2">
      <c r="B7654" s="876">
        <v>9702</v>
      </c>
      <c r="C7654" s="876" t="s">
        <v>7919</v>
      </c>
      <c r="D7654" s="851">
        <v>1029.0250140000001</v>
      </c>
    </row>
    <row r="7655" spans="2:4" x14ac:dyDescent="0.2">
      <c r="B7655" s="876">
        <v>9703</v>
      </c>
      <c r="C7655" s="876" t="s">
        <v>7920</v>
      </c>
      <c r="D7655" s="851">
        <v>985.80908799999997</v>
      </c>
    </row>
    <row r="7656" spans="2:4" x14ac:dyDescent="0.2">
      <c r="B7656" s="876">
        <v>9706</v>
      </c>
      <c r="C7656" s="876" t="s">
        <v>7921</v>
      </c>
      <c r="D7656" s="851">
        <v>940.20001200000002</v>
      </c>
    </row>
    <row r="7657" spans="2:4" x14ac:dyDescent="0.2">
      <c r="B7657" s="876">
        <v>9707</v>
      </c>
      <c r="C7657" s="876" t="s">
        <v>7015</v>
      </c>
      <c r="D7657" s="851">
        <v>1003.477783</v>
      </c>
    </row>
    <row r="7658" spans="2:4" x14ac:dyDescent="0.2">
      <c r="B7658" s="876">
        <v>9708</v>
      </c>
      <c r="C7658" s="876" t="s">
        <v>4595</v>
      </c>
      <c r="D7658" s="851">
        <v>946.63748899999996</v>
      </c>
    </row>
    <row r="7659" spans="2:4" x14ac:dyDescent="0.2">
      <c r="B7659" s="876">
        <v>9709</v>
      </c>
      <c r="C7659" s="876" t="s">
        <v>7922</v>
      </c>
      <c r="D7659" s="851">
        <v>912.52220999999997</v>
      </c>
    </row>
    <row r="7660" spans="2:4" x14ac:dyDescent="0.2">
      <c r="B7660" s="876">
        <v>9711</v>
      </c>
      <c r="C7660" s="876" t="s">
        <v>5631</v>
      </c>
      <c r="D7660" s="851">
        <v>964.97501399999999</v>
      </c>
    </row>
    <row r="7661" spans="2:4" x14ac:dyDescent="0.2">
      <c r="B7661" s="876">
        <v>9712</v>
      </c>
      <c r="C7661" s="876" t="s">
        <v>7923</v>
      </c>
      <c r="D7661" s="851">
        <v>967.21111399999995</v>
      </c>
    </row>
    <row r="7662" spans="2:4" x14ac:dyDescent="0.2">
      <c r="B7662" s="876">
        <v>9713</v>
      </c>
      <c r="C7662" s="876" t="s">
        <v>2638</v>
      </c>
      <c r="D7662" s="851">
        <v>993.29999499999997</v>
      </c>
    </row>
    <row r="7663" spans="2:4" x14ac:dyDescent="0.2">
      <c r="B7663" s="876">
        <v>9716</v>
      </c>
      <c r="C7663" s="876" t="s">
        <v>7924</v>
      </c>
      <c r="D7663" s="851">
        <v>900.99230499999999</v>
      </c>
    </row>
    <row r="7664" spans="2:4" x14ac:dyDescent="0.2">
      <c r="B7664" s="876">
        <v>9717</v>
      </c>
      <c r="C7664" s="876" t="s">
        <v>7925</v>
      </c>
      <c r="D7664" s="851">
        <v>941.56000400000005</v>
      </c>
    </row>
    <row r="7665" spans="2:4" x14ac:dyDescent="0.2">
      <c r="B7665" s="876">
        <v>9718</v>
      </c>
      <c r="C7665" s="876" t="s">
        <v>7926</v>
      </c>
      <c r="D7665" s="851">
        <v>914.34286099999997</v>
      </c>
    </row>
    <row r="7666" spans="2:4" x14ac:dyDescent="0.2">
      <c r="B7666" s="876">
        <v>9721</v>
      </c>
      <c r="C7666" s="876" t="s">
        <v>7927</v>
      </c>
      <c r="D7666" s="851">
        <v>833.90002400000003</v>
      </c>
    </row>
    <row r="7667" spans="2:4" x14ac:dyDescent="0.2">
      <c r="B7667" s="876">
        <v>9722</v>
      </c>
      <c r="C7667" s="876" t="s">
        <v>7928</v>
      </c>
      <c r="D7667" s="851">
        <v>901.69230800000003</v>
      </c>
    </row>
    <row r="7668" spans="2:4" x14ac:dyDescent="0.2">
      <c r="B7668" s="876">
        <v>9723</v>
      </c>
      <c r="C7668" s="876" t="s">
        <v>7929</v>
      </c>
      <c r="D7668" s="851">
        <v>883.71110699999997</v>
      </c>
    </row>
    <row r="7669" spans="2:4" x14ac:dyDescent="0.2">
      <c r="B7669" s="876">
        <v>9724</v>
      </c>
      <c r="C7669" s="876" t="s">
        <v>7930</v>
      </c>
      <c r="D7669" s="851">
        <v>835.26666299999999</v>
      </c>
    </row>
    <row r="7670" spans="2:4" x14ac:dyDescent="0.2">
      <c r="B7670" s="876">
        <v>9725</v>
      </c>
      <c r="C7670" s="876" t="s">
        <v>7931</v>
      </c>
      <c r="D7670" s="851">
        <v>884.96666800000003</v>
      </c>
    </row>
    <row r="7671" spans="2:4" x14ac:dyDescent="0.2">
      <c r="B7671" s="876">
        <v>9726</v>
      </c>
      <c r="C7671" s="876" t="s">
        <v>7932</v>
      </c>
      <c r="D7671" s="851">
        <v>919.885716</v>
      </c>
    </row>
    <row r="7672" spans="2:4" x14ac:dyDescent="0.2">
      <c r="B7672" s="876">
        <v>9727</v>
      </c>
      <c r="C7672" s="876" t="s">
        <v>7933</v>
      </c>
      <c r="D7672" s="851">
        <v>939.67142999999999</v>
      </c>
    </row>
    <row r="7673" spans="2:4" x14ac:dyDescent="0.2">
      <c r="B7673" s="876">
        <v>9732</v>
      </c>
      <c r="C7673" s="876" t="s">
        <v>3972</v>
      </c>
      <c r="D7673" s="851">
        <v>932.23331700000006</v>
      </c>
    </row>
    <row r="7674" spans="2:4" x14ac:dyDescent="0.2">
      <c r="B7674" s="876">
        <v>9733</v>
      </c>
      <c r="C7674" s="876" t="s">
        <v>7205</v>
      </c>
      <c r="D7674" s="851">
        <v>922.13334099999997</v>
      </c>
    </row>
    <row r="7675" spans="2:4" x14ac:dyDescent="0.2">
      <c r="B7675" s="876">
        <v>9734</v>
      </c>
      <c r="C7675" s="876" t="s">
        <v>7934</v>
      </c>
      <c r="D7675" s="851">
        <v>894.014274</v>
      </c>
    </row>
    <row r="7676" spans="2:4" x14ac:dyDescent="0.2">
      <c r="B7676" s="876">
        <v>9735</v>
      </c>
      <c r="C7676" s="876" t="s">
        <v>7935</v>
      </c>
      <c r="D7676" s="851">
        <v>899.77273300000002</v>
      </c>
    </row>
    <row r="7677" spans="2:4" x14ac:dyDescent="0.2">
      <c r="B7677" s="876">
        <v>9736</v>
      </c>
      <c r="C7677" s="876" t="s">
        <v>7936</v>
      </c>
      <c r="D7677" s="851">
        <v>965.23333700000001</v>
      </c>
    </row>
    <row r="7678" spans="2:4" x14ac:dyDescent="0.2">
      <c r="B7678" s="876">
        <v>9737</v>
      </c>
      <c r="C7678" s="876" t="s">
        <v>7937</v>
      </c>
      <c r="D7678" s="851">
        <v>963.89090799999997</v>
      </c>
    </row>
    <row r="7679" spans="2:4" x14ac:dyDescent="0.2">
      <c r="B7679" s="876">
        <v>9738</v>
      </c>
      <c r="C7679" s="876" t="s">
        <v>7938</v>
      </c>
      <c r="D7679" s="851">
        <v>959.85555699999998</v>
      </c>
    </row>
    <row r="7680" spans="2:4" x14ac:dyDescent="0.2">
      <c r="B7680" s="876">
        <v>9739</v>
      </c>
      <c r="C7680" s="876" t="s">
        <v>7939</v>
      </c>
      <c r="D7680" s="851">
        <v>960.911112</v>
      </c>
    </row>
    <row r="7681" spans="2:4" x14ac:dyDescent="0.2">
      <c r="B7681" s="876">
        <v>9740</v>
      </c>
      <c r="C7681" s="876" t="s">
        <v>5033</v>
      </c>
      <c r="D7681" s="851">
        <v>968.79999699999996</v>
      </c>
    </row>
    <row r="7682" spans="2:4" x14ac:dyDescent="0.2">
      <c r="B7682" s="876">
        <v>9741</v>
      </c>
      <c r="C7682" s="876" t="s">
        <v>7940</v>
      </c>
      <c r="D7682" s="851">
        <v>965.63750500000003</v>
      </c>
    </row>
    <row r="7683" spans="2:4" x14ac:dyDescent="0.2">
      <c r="B7683" s="876">
        <v>9742</v>
      </c>
      <c r="C7683" s="876" t="s">
        <v>7941</v>
      </c>
      <c r="D7683" s="851">
        <v>987.98749499999997</v>
      </c>
    </row>
    <row r="7684" spans="2:4" x14ac:dyDescent="0.2">
      <c r="B7684" s="876">
        <v>9746</v>
      </c>
      <c r="C7684" s="876" t="s">
        <v>7942</v>
      </c>
      <c r="D7684" s="851">
        <v>981.04286400000001</v>
      </c>
    </row>
    <row r="7685" spans="2:4" x14ac:dyDescent="0.2">
      <c r="B7685" s="876">
        <v>9747</v>
      </c>
      <c r="C7685" s="876" t="s">
        <v>3009</v>
      </c>
      <c r="D7685" s="851">
        <v>968.89999</v>
      </c>
    </row>
    <row r="7686" spans="2:4" x14ac:dyDescent="0.2">
      <c r="B7686" s="876">
        <v>9748</v>
      </c>
      <c r="C7686" s="876" t="s">
        <v>7943</v>
      </c>
      <c r="D7686" s="851">
        <v>973.87273600000003</v>
      </c>
    </row>
    <row r="7687" spans="2:4" x14ac:dyDescent="0.2">
      <c r="B7687" s="876">
        <v>9749</v>
      </c>
      <c r="C7687" s="876" t="s">
        <v>7944</v>
      </c>
      <c r="D7687" s="851">
        <v>965.48571300000003</v>
      </c>
    </row>
    <row r="7688" spans="2:4" x14ac:dyDescent="0.2">
      <c r="B7688" s="876">
        <v>9751</v>
      </c>
      <c r="C7688" s="876" t="s">
        <v>7945</v>
      </c>
      <c r="D7688" s="851">
        <v>952.47777599999995</v>
      </c>
    </row>
    <row r="7689" spans="2:4" x14ac:dyDescent="0.2">
      <c r="B7689" s="876">
        <v>9752</v>
      </c>
      <c r="C7689" s="876" t="s">
        <v>4556</v>
      </c>
      <c r="D7689" s="851">
        <v>903.385716</v>
      </c>
    </row>
    <row r="7690" spans="2:4" x14ac:dyDescent="0.2">
      <c r="B7690" s="876">
        <v>9753</v>
      </c>
      <c r="C7690" s="876" t="s">
        <v>7946</v>
      </c>
      <c r="D7690" s="851">
        <v>949.9375</v>
      </c>
    </row>
    <row r="7691" spans="2:4" x14ac:dyDescent="0.2">
      <c r="B7691" s="876">
        <v>9756</v>
      </c>
      <c r="C7691" s="876" t="s">
        <v>7947</v>
      </c>
      <c r="D7691" s="851">
        <v>930.91000399999996</v>
      </c>
    </row>
    <row r="7692" spans="2:4" x14ac:dyDescent="0.2">
      <c r="B7692" s="876">
        <v>9757</v>
      </c>
      <c r="C7692" s="876" t="s">
        <v>4097</v>
      </c>
      <c r="D7692" s="851">
        <v>923.49999400000002</v>
      </c>
    </row>
    <row r="7693" spans="2:4" x14ac:dyDescent="0.2">
      <c r="B7693" s="876">
        <v>9758</v>
      </c>
      <c r="C7693" s="876" t="s">
        <v>7628</v>
      </c>
      <c r="D7693" s="851">
        <v>950.88888199999997</v>
      </c>
    </row>
    <row r="7694" spans="2:4" x14ac:dyDescent="0.2">
      <c r="B7694" s="876">
        <v>9760</v>
      </c>
      <c r="C7694" s="876" t="s">
        <v>7948</v>
      </c>
      <c r="D7694" s="851">
        <v>955.73331700000006</v>
      </c>
    </row>
    <row r="7695" spans="2:4" x14ac:dyDescent="0.2">
      <c r="B7695" s="876">
        <v>9762</v>
      </c>
      <c r="C7695" s="876" t="s">
        <v>7949</v>
      </c>
      <c r="D7695" s="851">
        <v>943.53636600000004</v>
      </c>
    </row>
    <row r="7696" spans="2:4" x14ac:dyDescent="0.2">
      <c r="B7696" s="876">
        <v>9763</v>
      </c>
      <c r="C7696" s="876" t="s">
        <v>7950</v>
      </c>
      <c r="D7696" s="851">
        <v>911.728568</v>
      </c>
    </row>
    <row r="7697" spans="2:4" x14ac:dyDescent="0.2">
      <c r="B7697" s="876">
        <v>9767</v>
      </c>
      <c r="C7697" s="876" t="s">
        <v>7951</v>
      </c>
      <c r="D7697" s="851">
        <v>981.44999700000005</v>
      </c>
    </row>
    <row r="7698" spans="2:4" x14ac:dyDescent="0.2">
      <c r="B7698" s="876">
        <v>9768</v>
      </c>
      <c r="C7698" s="876" t="s">
        <v>7952</v>
      </c>
      <c r="D7698" s="851">
        <v>997.94286199999999</v>
      </c>
    </row>
    <row r="7699" spans="2:4" x14ac:dyDescent="0.2">
      <c r="B7699" s="876">
        <v>9769</v>
      </c>
      <c r="C7699" s="876" t="s">
        <v>3955</v>
      </c>
      <c r="D7699" s="851">
        <v>963.240002</v>
      </c>
    </row>
    <row r="7700" spans="2:4" x14ac:dyDescent="0.2">
      <c r="B7700" s="876">
        <v>9770</v>
      </c>
      <c r="C7700" s="876" t="s">
        <v>6011</v>
      </c>
      <c r="D7700" s="851">
        <v>990.94999900000005</v>
      </c>
    </row>
    <row r="7701" spans="2:4" x14ac:dyDescent="0.2">
      <c r="B7701" s="876">
        <v>9771</v>
      </c>
      <c r="C7701" s="876" t="s">
        <v>7953</v>
      </c>
      <c r="D7701" s="851">
        <v>994.663635</v>
      </c>
    </row>
    <row r="7702" spans="2:4" x14ac:dyDescent="0.2">
      <c r="B7702" s="876">
        <v>9772</v>
      </c>
      <c r="C7702" s="876" t="s">
        <v>5373</v>
      </c>
      <c r="D7702" s="851">
        <v>954.92857100000003</v>
      </c>
    </row>
    <row r="7703" spans="2:4" x14ac:dyDescent="0.2">
      <c r="B7703" s="876">
        <v>9775</v>
      </c>
      <c r="C7703" s="876" t="s">
        <v>7954</v>
      </c>
      <c r="D7703" s="851">
        <v>1018</v>
      </c>
    </row>
    <row r="7704" spans="2:4" x14ac:dyDescent="0.2">
      <c r="B7704" s="876">
        <v>9776</v>
      </c>
      <c r="C7704" s="876" t="s">
        <v>7955</v>
      </c>
      <c r="D7704" s="851">
        <v>973.24374799999998</v>
      </c>
    </row>
    <row r="7705" spans="2:4" x14ac:dyDescent="0.2">
      <c r="B7705" s="876">
        <v>9777</v>
      </c>
      <c r="C7705" s="876" t="s">
        <v>7956</v>
      </c>
      <c r="D7705" s="851">
        <v>975.66666699999996</v>
      </c>
    </row>
    <row r="7706" spans="2:4" x14ac:dyDescent="0.2">
      <c r="B7706" s="876">
        <v>9778</v>
      </c>
      <c r="C7706" s="876" t="s">
        <v>1828</v>
      </c>
      <c r="D7706" s="851">
        <v>960.74285899999995</v>
      </c>
    </row>
    <row r="7707" spans="2:4" x14ac:dyDescent="0.2">
      <c r="B7707" s="876">
        <v>9781</v>
      </c>
      <c r="C7707" s="876" t="s">
        <v>7957</v>
      </c>
      <c r="D7707" s="851">
        <v>995.67498799999998</v>
      </c>
    </row>
    <row r="7708" spans="2:4" x14ac:dyDescent="0.2">
      <c r="B7708" s="876">
        <v>9782</v>
      </c>
      <c r="C7708" s="876" t="s">
        <v>7958</v>
      </c>
      <c r="D7708" s="851">
        <v>1006.119995</v>
      </c>
    </row>
    <row r="7709" spans="2:4" x14ac:dyDescent="0.2">
      <c r="B7709" s="876">
        <v>9786</v>
      </c>
      <c r="C7709" s="876" t="s">
        <v>7959</v>
      </c>
      <c r="D7709" s="851">
        <v>1048.9700009999999</v>
      </c>
    </row>
    <row r="7710" spans="2:4" x14ac:dyDescent="0.2">
      <c r="B7710" s="876">
        <v>9787</v>
      </c>
      <c r="C7710" s="876" t="s">
        <v>7960</v>
      </c>
      <c r="D7710" s="851">
        <v>980.70908399999996</v>
      </c>
    </row>
    <row r="7711" spans="2:4" x14ac:dyDescent="0.2">
      <c r="B7711" s="876">
        <v>9788</v>
      </c>
      <c r="C7711" s="876" t="s">
        <v>7961</v>
      </c>
      <c r="D7711" s="851">
        <v>980.67142200000001</v>
      </c>
    </row>
    <row r="7712" spans="2:4" x14ac:dyDescent="0.2">
      <c r="B7712" s="876">
        <v>9789</v>
      </c>
      <c r="C7712" s="876" t="s">
        <v>7962</v>
      </c>
      <c r="D7712" s="851">
        <v>1033.3583369999999</v>
      </c>
    </row>
    <row r="7713" spans="2:4" x14ac:dyDescent="0.2">
      <c r="B7713" s="876">
        <v>9801</v>
      </c>
      <c r="C7713" s="876" t="s">
        <v>7963</v>
      </c>
      <c r="D7713" s="851">
        <v>990.69032100000004</v>
      </c>
    </row>
    <row r="7714" spans="2:4" x14ac:dyDescent="0.2">
      <c r="B7714" s="876">
        <v>9802</v>
      </c>
      <c r="C7714" s="876" t="s">
        <v>7964</v>
      </c>
      <c r="D7714" s="851">
        <v>905.64374899999996</v>
      </c>
    </row>
    <row r="7715" spans="2:4" x14ac:dyDescent="0.2">
      <c r="B7715" s="876">
        <v>9803</v>
      </c>
      <c r="C7715" s="876" t="s">
        <v>7965</v>
      </c>
      <c r="D7715" s="851">
        <v>987.153324</v>
      </c>
    </row>
    <row r="7716" spans="2:4" x14ac:dyDescent="0.2">
      <c r="B7716" s="876">
        <v>9804</v>
      </c>
      <c r="C7716" s="876" t="s">
        <v>7966</v>
      </c>
      <c r="D7716" s="851">
        <v>919.41818000000001</v>
      </c>
    </row>
    <row r="7717" spans="2:4" x14ac:dyDescent="0.2">
      <c r="B7717" s="876">
        <v>9805</v>
      </c>
      <c r="C7717" s="876" t="s">
        <v>7967</v>
      </c>
      <c r="D7717" s="851">
        <v>899.385716</v>
      </c>
    </row>
    <row r="7718" spans="2:4" x14ac:dyDescent="0.2">
      <c r="B7718" s="876">
        <v>9806</v>
      </c>
      <c r="C7718" s="876" t="s">
        <v>4667</v>
      </c>
      <c r="D7718" s="851">
        <v>914.22500600000001</v>
      </c>
    </row>
    <row r="7719" spans="2:4" x14ac:dyDescent="0.2">
      <c r="B7719" s="876">
        <v>9807</v>
      </c>
      <c r="C7719" s="876" t="s">
        <v>5880</v>
      </c>
      <c r="D7719" s="851">
        <v>921.64544699999999</v>
      </c>
    </row>
    <row r="7720" spans="2:4" x14ac:dyDescent="0.2">
      <c r="B7720" s="876">
        <v>9808</v>
      </c>
      <c r="C7720" s="876" t="s">
        <v>7968</v>
      </c>
      <c r="D7720" s="851">
        <v>966.34210800000005</v>
      </c>
    </row>
    <row r="7721" spans="2:4" x14ac:dyDescent="0.2">
      <c r="B7721" s="876">
        <v>9809</v>
      </c>
      <c r="C7721" s="876" t="s">
        <v>7969</v>
      </c>
      <c r="D7721" s="851">
        <v>969.07778299999995</v>
      </c>
    </row>
    <row r="7722" spans="2:4" x14ac:dyDescent="0.2">
      <c r="B7722" s="876">
        <v>9810</v>
      </c>
      <c r="C7722" s="876" t="s">
        <v>7970</v>
      </c>
      <c r="D7722" s="851">
        <v>1076.743759</v>
      </c>
    </row>
    <row r="7723" spans="2:4" x14ac:dyDescent="0.2">
      <c r="B7723" s="876">
        <v>9811</v>
      </c>
      <c r="C7723" s="876" t="s">
        <v>7971</v>
      </c>
      <c r="D7723" s="851">
        <v>1099.9037069999999</v>
      </c>
    </row>
    <row r="7724" spans="2:4" x14ac:dyDescent="0.2">
      <c r="B7724" s="876">
        <v>9812</v>
      </c>
      <c r="C7724" s="876" t="s">
        <v>7972</v>
      </c>
      <c r="D7724" s="851">
        <v>1036.8956459999999</v>
      </c>
    </row>
    <row r="7725" spans="2:4" x14ac:dyDescent="0.2">
      <c r="B7725" s="876">
        <v>9813</v>
      </c>
      <c r="C7725" s="876" t="s">
        <v>7973</v>
      </c>
      <c r="D7725" s="851">
        <v>1118.8535770000001</v>
      </c>
    </row>
    <row r="7726" spans="2:4" x14ac:dyDescent="0.2">
      <c r="B7726" s="876">
        <v>9814</v>
      </c>
      <c r="C7726" s="876" t="s">
        <v>7974</v>
      </c>
      <c r="D7726" s="851">
        <v>1128.2923069999999</v>
      </c>
    </row>
    <row r="7727" spans="2:4" x14ac:dyDescent="0.2">
      <c r="B7727" s="876">
        <v>9815</v>
      </c>
      <c r="C7727" s="876" t="s">
        <v>7975</v>
      </c>
      <c r="D7727" s="851">
        <v>1087.207707</v>
      </c>
    </row>
    <row r="7728" spans="2:4" x14ac:dyDescent="0.2">
      <c r="B7728" s="876">
        <v>9816</v>
      </c>
      <c r="C7728" s="876" t="s">
        <v>7976</v>
      </c>
      <c r="D7728" s="851">
        <v>1089.8181930000001</v>
      </c>
    </row>
    <row r="7729" spans="2:4" x14ac:dyDescent="0.2">
      <c r="B7729" s="876">
        <v>9817</v>
      </c>
      <c r="C7729" s="876" t="s">
        <v>7977</v>
      </c>
      <c r="D7729" s="851">
        <v>1036.868755</v>
      </c>
    </row>
    <row r="7730" spans="2:4" x14ac:dyDescent="0.2">
      <c r="B7730" s="876">
        <v>9818</v>
      </c>
      <c r="C7730" s="876" t="s">
        <v>7978</v>
      </c>
      <c r="D7730" s="851">
        <v>1004.7</v>
      </c>
    </row>
    <row r="7731" spans="2:4" x14ac:dyDescent="0.2">
      <c r="B7731" s="876">
        <v>9819</v>
      </c>
      <c r="C7731" s="876" t="s">
        <v>1340</v>
      </c>
      <c r="D7731" s="851">
        <v>1012.849998</v>
      </c>
    </row>
    <row r="7732" spans="2:4" x14ac:dyDescent="0.2">
      <c r="B7732" s="876">
        <v>9820</v>
      </c>
      <c r="C7732" s="876" t="s">
        <v>1986</v>
      </c>
      <c r="D7732" s="851">
        <v>1066.3142869999999</v>
      </c>
    </row>
    <row r="7733" spans="2:4" x14ac:dyDescent="0.2">
      <c r="B7733" s="876">
        <v>9821</v>
      </c>
      <c r="C7733" s="876" t="s">
        <v>7979</v>
      </c>
      <c r="D7733" s="851">
        <v>1162.1000160000001</v>
      </c>
    </row>
    <row r="7734" spans="2:4" x14ac:dyDescent="0.2">
      <c r="B7734" s="876">
        <v>9822</v>
      </c>
      <c r="C7734" s="876" t="s">
        <v>7980</v>
      </c>
      <c r="D7734" s="851">
        <v>1146.0749920000001</v>
      </c>
    </row>
    <row r="7735" spans="2:4" x14ac:dyDescent="0.2">
      <c r="B7735" s="876">
        <v>9823</v>
      </c>
      <c r="C7735" s="876" t="s">
        <v>7981</v>
      </c>
      <c r="D7735" s="851">
        <v>1188.0285819999999</v>
      </c>
    </row>
    <row r="7736" spans="2:4" x14ac:dyDescent="0.2">
      <c r="B7736" s="876">
        <v>9824</v>
      </c>
      <c r="C7736" s="876" t="s">
        <v>7528</v>
      </c>
      <c r="D7736" s="851">
        <v>1204.0833230000001</v>
      </c>
    </row>
    <row r="7737" spans="2:4" x14ac:dyDescent="0.2">
      <c r="B7737" s="876">
        <v>9825</v>
      </c>
      <c r="C7737" s="876" t="s">
        <v>7982</v>
      </c>
      <c r="D7737" s="851">
        <v>1240.4625020000001</v>
      </c>
    </row>
    <row r="7738" spans="2:4" x14ac:dyDescent="0.2">
      <c r="B7738" s="876">
        <v>9826</v>
      </c>
      <c r="C7738" s="876" t="s">
        <v>7983</v>
      </c>
      <c r="D7738" s="851">
        <v>1240</v>
      </c>
    </row>
    <row r="7739" spans="2:4" x14ac:dyDescent="0.2">
      <c r="B7739" s="876">
        <v>9827</v>
      </c>
      <c r="C7739" s="876" t="s">
        <v>7984</v>
      </c>
      <c r="D7739" s="851">
        <v>1234.0124969999999</v>
      </c>
    </row>
    <row r="7740" spans="2:4" x14ac:dyDescent="0.2">
      <c r="B7740" s="876">
        <v>9828</v>
      </c>
      <c r="C7740" s="876" t="s">
        <v>7985</v>
      </c>
      <c r="D7740" s="851">
        <v>1146.412491</v>
      </c>
    </row>
    <row r="7741" spans="2:4" x14ac:dyDescent="0.2">
      <c r="B7741" s="876">
        <v>9829</v>
      </c>
      <c r="C7741" s="876" t="s">
        <v>7986</v>
      </c>
      <c r="D7741" s="851">
        <v>1091.5916649999999</v>
      </c>
    </row>
    <row r="7742" spans="2:4" x14ac:dyDescent="0.2">
      <c r="B7742" s="876">
        <v>9830</v>
      </c>
      <c r="C7742" s="876" t="s">
        <v>7987</v>
      </c>
      <c r="D7742" s="851">
        <v>1126</v>
      </c>
    </row>
    <row r="7743" spans="2:4" x14ac:dyDescent="0.2">
      <c r="B7743" s="876">
        <v>9831</v>
      </c>
      <c r="C7743" s="876" t="s">
        <v>7988</v>
      </c>
      <c r="D7743" s="851">
        <v>1135.542864</v>
      </c>
    </row>
    <row r="7744" spans="2:4" x14ac:dyDescent="0.2">
      <c r="B7744" s="876">
        <v>9832</v>
      </c>
      <c r="C7744" s="876" t="s">
        <v>7989</v>
      </c>
      <c r="D7744" s="851">
        <v>1163.3249820000001</v>
      </c>
    </row>
    <row r="7745" spans="2:4" x14ac:dyDescent="0.2">
      <c r="B7745" s="876">
        <v>9833</v>
      </c>
      <c r="C7745" s="876" t="s">
        <v>7990</v>
      </c>
      <c r="D7745" s="851">
        <v>1149.918191</v>
      </c>
    </row>
    <row r="7746" spans="2:4" x14ac:dyDescent="0.2">
      <c r="B7746" s="876">
        <v>9834</v>
      </c>
      <c r="C7746" s="876" t="s">
        <v>6213</v>
      </c>
      <c r="D7746" s="851">
        <v>1112.875</v>
      </c>
    </row>
    <row r="7747" spans="2:4" x14ac:dyDescent="0.2">
      <c r="B7747" s="876">
        <v>9835</v>
      </c>
      <c r="C7747" s="876" t="s">
        <v>7421</v>
      </c>
      <c r="D7747" s="851">
        <v>1153.600021</v>
      </c>
    </row>
    <row r="7748" spans="2:4" x14ac:dyDescent="0.2">
      <c r="B7748" s="876">
        <v>9836</v>
      </c>
      <c r="C7748" s="876" t="s">
        <v>7991</v>
      </c>
      <c r="D7748" s="851">
        <v>1044.400024</v>
      </c>
    </row>
    <row r="7749" spans="2:4" x14ac:dyDescent="0.2">
      <c r="B7749" s="876">
        <v>9837</v>
      </c>
      <c r="C7749" s="876" t="s">
        <v>7992</v>
      </c>
      <c r="D7749" s="851">
        <v>1079.0699890000001</v>
      </c>
    </row>
    <row r="7750" spans="2:4" x14ac:dyDescent="0.2">
      <c r="B7750" s="876">
        <v>9838</v>
      </c>
      <c r="C7750" s="876" t="s">
        <v>7993</v>
      </c>
      <c r="D7750" s="851">
        <v>1179.0600099999999</v>
      </c>
    </row>
    <row r="7751" spans="2:4" x14ac:dyDescent="0.2">
      <c r="B7751" s="876">
        <v>9839</v>
      </c>
      <c r="C7751" s="876" t="s">
        <v>7994</v>
      </c>
      <c r="D7751" s="851">
        <v>1023.3833519999999</v>
      </c>
    </row>
    <row r="7752" spans="2:4" x14ac:dyDescent="0.2">
      <c r="B7752" s="876">
        <v>9841</v>
      </c>
      <c r="C7752" s="876" t="s">
        <v>7995</v>
      </c>
      <c r="D7752" s="851">
        <v>1236.3421049999999</v>
      </c>
    </row>
    <row r="7753" spans="2:4" x14ac:dyDescent="0.2">
      <c r="B7753" s="876">
        <v>9842</v>
      </c>
      <c r="C7753" s="876" t="s">
        <v>7996</v>
      </c>
      <c r="D7753" s="851">
        <v>1205.994803</v>
      </c>
    </row>
    <row r="7754" spans="2:4" x14ac:dyDescent="0.2">
      <c r="B7754" s="876">
        <v>9844</v>
      </c>
      <c r="C7754" s="876" t="s">
        <v>7997</v>
      </c>
      <c r="D7754" s="851">
        <v>1274.609375</v>
      </c>
    </row>
    <row r="7755" spans="2:4" x14ac:dyDescent="0.2">
      <c r="B7755" s="876">
        <v>9845</v>
      </c>
      <c r="C7755" s="876" t="s">
        <v>7998</v>
      </c>
      <c r="D7755" s="851">
        <v>1320.3333270000001</v>
      </c>
    </row>
    <row r="7756" spans="2:4" x14ac:dyDescent="0.2">
      <c r="B7756" s="876">
        <v>9846</v>
      </c>
      <c r="C7756" s="876" t="s">
        <v>7999</v>
      </c>
      <c r="D7756" s="851">
        <v>1278.1750030000001</v>
      </c>
    </row>
    <row r="7757" spans="2:4" x14ac:dyDescent="0.2">
      <c r="B7757" s="876">
        <v>9847</v>
      </c>
      <c r="C7757" s="876" t="s">
        <v>8000</v>
      </c>
      <c r="D7757" s="851">
        <v>1341.477783</v>
      </c>
    </row>
    <row r="7758" spans="2:4" x14ac:dyDescent="0.2">
      <c r="B7758" s="876">
        <v>9848</v>
      </c>
      <c r="C7758" s="876" t="s">
        <v>4217</v>
      </c>
      <c r="D7758" s="851">
        <v>1336.3000139999999</v>
      </c>
    </row>
    <row r="7759" spans="2:4" x14ac:dyDescent="0.2">
      <c r="B7759" s="876">
        <v>9849</v>
      </c>
      <c r="C7759" s="876" t="s">
        <v>8001</v>
      </c>
      <c r="D7759" s="851">
        <v>1237.258832</v>
      </c>
    </row>
    <row r="7760" spans="2:4" x14ac:dyDescent="0.2">
      <c r="B7760" s="876">
        <v>9850</v>
      </c>
      <c r="C7760" s="876" t="s">
        <v>327</v>
      </c>
      <c r="D7760" s="851">
        <v>1402.73999</v>
      </c>
    </row>
    <row r="7761" spans="2:4" x14ac:dyDescent="0.2">
      <c r="B7761" s="876">
        <v>9851</v>
      </c>
      <c r="C7761" s="876" t="s">
        <v>3494</v>
      </c>
      <c r="D7761" s="851">
        <v>1491.3777669999999</v>
      </c>
    </row>
    <row r="7762" spans="2:4" x14ac:dyDescent="0.2">
      <c r="B7762" s="876">
        <v>9852</v>
      </c>
      <c r="C7762" s="876" t="s">
        <v>2487</v>
      </c>
      <c r="D7762" s="851">
        <v>1416.9499510000001</v>
      </c>
    </row>
    <row r="7763" spans="2:4" x14ac:dyDescent="0.2">
      <c r="B7763" s="876">
        <v>9853</v>
      </c>
      <c r="C7763" s="876" t="s">
        <v>8002</v>
      </c>
      <c r="D7763" s="851">
        <v>1527.6000019999999</v>
      </c>
    </row>
    <row r="7764" spans="2:4" x14ac:dyDescent="0.2">
      <c r="B7764" s="876">
        <v>9854</v>
      </c>
      <c r="C7764" s="876" t="s">
        <v>8003</v>
      </c>
      <c r="D7764" s="851">
        <v>1395.2437520000001</v>
      </c>
    </row>
    <row r="7765" spans="2:4" x14ac:dyDescent="0.2">
      <c r="B7765" s="876">
        <v>9855</v>
      </c>
      <c r="C7765" s="876" t="s">
        <v>1314</v>
      </c>
      <c r="D7765" s="851">
        <v>1370.012512</v>
      </c>
    </row>
    <row r="7766" spans="2:4" x14ac:dyDescent="0.2">
      <c r="B7766" s="876">
        <v>9856</v>
      </c>
      <c r="C7766" s="876" t="s">
        <v>8004</v>
      </c>
      <c r="D7766" s="851">
        <v>1626.6562650000001</v>
      </c>
    </row>
    <row r="7767" spans="2:4" x14ac:dyDescent="0.2">
      <c r="B7767" s="876">
        <v>9857</v>
      </c>
      <c r="C7767" s="876" t="s">
        <v>8005</v>
      </c>
      <c r="D7767" s="851">
        <v>1499.500014</v>
      </c>
    </row>
    <row r="7768" spans="2:4" x14ac:dyDescent="0.2">
      <c r="B7768" s="876">
        <v>9858</v>
      </c>
      <c r="C7768" s="876" t="s">
        <v>8006</v>
      </c>
      <c r="D7768" s="851">
        <v>1645.1583250000001</v>
      </c>
    </row>
    <row r="7769" spans="2:4" x14ac:dyDescent="0.2">
      <c r="B7769" s="876">
        <v>9859</v>
      </c>
      <c r="C7769" s="876" t="s">
        <v>8007</v>
      </c>
      <c r="D7769" s="851">
        <v>1637.0600039999999</v>
      </c>
    </row>
    <row r="7770" spans="2:4" x14ac:dyDescent="0.2">
      <c r="B7770" s="876">
        <v>9860</v>
      </c>
      <c r="C7770" s="876" t="s">
        <v>4067</v>
      </c>
      <c r="D7770" s="851">
        <v>1516.9533369999999</v>
      </c>
    </row>
    <row r="7771" spans="2:4" x14ac:dyDescent="0.2">
      <c r="B7771" s="876">
        <v>9861</v>
      </c>
      <c r="C7771" s="876" t="s">
        <v>8008</v>
      </c>
      <c r="D7771" s="851">
        <v>1833.1294089999999</v>
      </c>
    </row>
    <row r="7772" spans="2:4" x14ac:dyDescent="0.2">
      <c r="B7772" s="876">
        <v>9862</v>
      </c>
      <c r="C7772" s="876" t="s">
        <v>1828</v>
      </c>
      <c r="D7772" s="851">
        <v>1460.6571570000001</v>
      </c>
    </row>
    <row r="7773" spans="2:4" x14ac:dyDescent="0.2">
      <c r="B7773" s="876">
        <v>9863</v>
      </c>
      <c r="C7773" s="876" t="s">
        <v>8009</v>
      </c>
      <c r="D7773" s="851">
        <v>1434.5700200000001</v>
      </c>
    </row>
    <row r="7774" spans="2:4" x14ac:dyDescent="0.2">
      <c r="B7774" s="876">
        <v>9864</v>
      </c>
      <c r="C7774" s="876" t="s">
        <v>8010</v>
      </c>
      <c r="D7774" s="851">
        <v>1546.7857320000001</v>
      </c>
    </row>
    <row r="7775" spans="2:4" x14ac:dyDescent="0.2">
      <c r="B7775" s="876">
        <v>9865</v>
      </c>
      <c r="C7775" s="876" t="s">
        <v>8011</v>
      </c>
      <c r="D7775" s="851">
        <v>1576.6333010000001</v>
      </c>
    </row>
    <row r="7776" spans="2:4" x14ac:dyDescent="0.2">
      <c r="B7776" s="876">
        <v>9866</v>
      </c>
      <c r="C7776" s="876" t="s">
        <v>8012</v>
      </c>
      <c r="D7776" s="851">
        <v>1651.9375</v>
      </c>
    </row>
    <row r="7777" spans="2:4" x14ac:dyDescent="0.2">
      <c r="B7777" s="876">
        <v>9867</v>
      </c>
      <c r="C7777" s="876" t="s">
        <v>8013</v>
      </c>
      <c r="D7777" s="851">
        <v>1500.46875</v>
      </c>
    </row>
    <row r="7778" spans="2:4" x14ac:dyDescent="0.2">
      <c r="B7778" s="876">
        <v>9868</v>
      </c>
      <c r="C7778" s="876" t="s">
        <v>8014</v>
      </c>
      <c r="D7778" s="851">
        <v>1642.7769310000001</v>
      </c>
    </row>
    <row r="7779" spans="2:4" x14ac:dyDescent="0.2">
      <c r="B7779" s="876">
        <v>9870</v>
      </c>
      <c r="C7779" s="876" t="s">
        <v>8015</v>
      </c>
      <c r="D7779" s="851">
        <v>1938.7645219999999</v>
      </c>
    </row>
    <row r="7780" spans="2:4" x14ac:dyDescent="0.2">
      <c r="B7780" s="876">
        <v>9871</v>
      </c>
      <c r="C7780" s="876" t="s">
        <v>8016</v>
      </c>
      <c r="D7780" s="851">
        <v>1589.95</v>
      </c>
    </row>
    <row r="7781" spans="2:4" x14ac:dyDescent="0.2">
      <c r="B7781" s="876">
        <v>9872</v>
      </c>
      <c r="C7781" s="876" t="s">
        <v>8017</v>
      </c>
      <c r="D7781" s="851">
        <v>1830.2370330000001</v>
      </c>
    </row>
    <row r="7782" spans="2:4" x14ac:dyDescent="0.2">
      <c r="B7782" s="876">
        <v>9873</v>
      </c>
      <c r="C7782" s="876" t="s">
        <v>8018</v>
      </c>
      <c r="D7782" s="851">
        <v>1758.8999920000001</v>
      </c>
    </row>
    <row r="7783" spans="2:4" x14ac:dyDescent="0.2">
      <c r="B7783" s="876">
        <v>9874</v>
      </c>
      <c r="C7783" s="876" t="s">
        <v>8019</v>
      </c>
      <c r="D7783" s="851">
        <v>2124.0037069999998</v>
      </c>
    </row>
    <row r="7784" spans="2:4" x14ac:dyDescent="0.2">
      <c r="B7784" s="876">
        <v>9875</v>
      </c>
      <c r="C7784" s="876" t="s">
        <v>8020</v>
      </c>
      <c r="D7784" s="851">
        <v>1975.5357059999999</v>
      </c>
    </row>
    <row r="7785" spans="2:4" x14ac:dyDescent="0.2">
      <c r="B7785" s="876">
        <v>9876</v>
      </c>
      <c r="C7785" s="876" t="s">
        <v>8021</v>
      </c>
      <c r="D7785" s="851">
        <v>1945.964303</v>
      </c>
    </row>
    <row r="7786" spans="2:4" x14ac:dyDescent="0.2">
      <c r="B7786" s="876">
        <v>9877</v>
      </c>
      <c r="C7786" s="876" t="s">
        <v>1843</v>
      </c>
      <c r="D7786" s="851">
        <v>1736.9368380000001</v>
      </c>
    </row>
    <row r="7787" spans="2:4" x14ac:dyDescent="0.2">
      <c r="B7787" s="876">
        <v>9878</v>
      </c>
      <c r="C7787" s="876" t="s">
        <v>8022</v>
      </c>
      <c r="D7787" s="851">
        <v>2099.8566850000002</v>
      </c>
    </row>
    <row r="7788" spans="2:4" x14ac:dyDescent="0.2">
      <c r="B7788" s="876">
        <v>9879</v>
      </c>
      <c r="C7788" s="876" t="s">
        <v>8023</v>
      </c>
      <c r="D7788" s="851">
        <v>1837.751618</v>
      </c>
    </row>
    <row r="7789" spans="2:4" x14ac:dyDescent="0.2">
      <c r="B7789" s="876">
        <v>9880</v>
      </c>
      <c r="C7789" s="876" t="s">
        <v>8024</v>
      </c>
      <c r="D7789" s="851">
        <v>1766.1408140000001</v>
      </c>
    </row>
    <row r="7790" spans="2:4" x14ac:dyDescent="0.2">
      <c r="B7790" s="876">
        <v>9881</v>
      </c>
      <c r="C7790" s="876" t="s">
        <v>8025</v>
      </c>
      <c r="D7790" s="851">
        <v>1754.9124979999999</v>
      </c>
    </row>
    <row r="7791" spans="2:4" x14ac:dyDescent="0.2">
      <c r="B7791" s="876">
        <v>9882</v>
      </c>
      <c r="C7791" s="876" t="s">
        <v>8026</v>
      </c>
      <c r="D7791" s="851">
        <v>1948.433338</v>
      </c>
    </row>
    <row r="7792" spans="2:4" x14ac:dyDescent="0.2">
      <c r="B7792" s="876">
        <v>9901</v>
      </c>
      <c r="C7792" s="876" t="s">
        <v>2266</v>
      </c>
      <c r="D7792" s="851">
        <v>1117.5</v>
      </c>
    </row>
    <row r="7793" spans="2:4" x14ac:dyDescent="0.2">
      <c r="B7793" s="876">
        <v>9902</v>
      </c>
      <c r="C7793" s="876" t="s">
        <v>8027</v>
      </c>
      <c r="D7793" s="851">
        <v>1078.9137929999999</v>
      </c>
    </row>
    <row r="7794" spans="2:4" x14ac:dyDescent="0.2">
      <c r="B7794" s="876">
        <v>9903</v>
      </c>
      <c r="C7794" s="876" t="s">
        <v>8028</v>
      </c>
      <c r="D7794" s="851">
        <v>1035.6799960000001</v>
      </c>
    </row>
    <row r="7795" spans="2:4" x14ac:dyDescent="0.2">
      <c r="B7795" s="876">
        <v>9904</v>
      </c>
      <c r="C7795" s="876" t="s">
        <v>8029</v>
      </c>
      <c r="D7795" s="851">
        <v>896.57333600000004</v>
      </c>
    </row>
    <row r="7796" spans="2:4" x14ac:dyDescent="0.2">
      <c r="B7796" s="876">
        <v>9905</v>
      </c>
      <c r="C7796" s="876" t="s">
        <v>8030</v>
      </c>
      <c r="D7796" s="851">
        <v>939.31999499999995</v>
      </c>
    </row>
    <row r="7797" spans="2:4" x14ac:dyDescent="0.2">
      <c r="B7797" s="876">
        <v>9906</v>
      </c>
      <c r="C7797" s="876" t="s">
        <v>8031</v>
      </c>
      <c r="D7797" s="851">
        <v>966.171425</v>
      </c>
    </row>
    <row r="7798" spans="2:4" x14ac:dyDescent="0.2">
      <c r="B7798" s="876">
        <v>9907</v>
      </c>
      <c r="C7798" s="876" t="s">
        <v>1742</v>
      </c>
      <c r="D7798" s="851">
        <v>927.78461600000003</v>
      </c>
    </row>
    <row r="7799" spans="2:4" x14ac:dyDescent="0.2">
      <c r="B7799" s="876">
        <v>9908</v>
      </c>
      <c r="C7799" s="876" t="s">
        <v>8032</v>
      </c>
      <c r="D7799" s="851">
        <v>987.383331</v>
      </c>
    </row>
    <row r="7800" spans="2:4" x14ac:dyDescent="0.2">
      <c r="B7800" s="876">
        <v>9909</v>
      </c>
      <c r="C7800" s="876" t="s">
        <v>8033</v>
      </c>
      <c r="D7800" s="851">
        <v>1011.7916719999999</v>
      </c>
    </row>
    <row r="7801" spans="2:4" x14ac:dyDescent="0.2">
      <c r="B7801" s="876">
        <v>9910</v>
      </c>
      <c r="C7801" s="876" t="s">
        <v>8034</v>
      </c>
      <c r="D7801" s="851">
        <v>1052.322218</v>
      </c>
    </row>
    <row r="7802" spans="2:4" x14ac:dyDescent="0.2">
      <c r="B7802" s="876">
        <v>9911</v>
      </c>
      <c r="C7802" s="876" t="s">
        <v>8035</v>
      </c>
      <c r="D7802" s="851">
        <v>946.06667100000004</v>
      </c>
    </row>
    <row r="7803" spans="2:4" x14ac:dyDescent="0.2">
      <c r="B7803" s="876">
        <v>9912</v>
      </c>
      <c r="C7803" s="876" t="s">
        <v>8036</v>
      </c>
      <c r="D7803" s="851">
        <v>985.73000300000001</v>
      </c>
    </row>
    <row r="7804" spans="2:4" x14ac:dyDescent="0.2">
      <c r="B7804" s="876">
        <v>9913</v>
      </c>
      <c r="C7804" s="876" t="s">
        <v>8037</v>
      </c>
      <c r="D7804" s="851">
        <v>1036.616689</v>
      </c>
    </row>
    <row r="7805" spans="2:4" x14ac:dyDescent="0.2">
      <c r="B7805" s="876">
        <v>9914</v>
      </c>
      <c r="C7805" s="876" t="s">
        <v>8038</v>
      </c>
      <c r="D7805" s="851">
        <v>1047.925</v>
      </c>
    </row>
    <row r="7806" spans="2:4" x14ac:dyDescent="0.2">
      <c r="B7806" s="876">
        <v>9915</v>
      </c>
      <c r="C7806" s="876" t="s">
        <v>8039</v>
      </c>
      <c r="D7806" s="851">
        <v>1021.537506</v>
      </c>
    </row>
    <row r="7807" spans="2:4" x14ac:dyDescent="0.2">
      <c r="B7807" s="876">
        <v>9916</v>
      </c>
      <c r="C7807" s="876" t="s">
        <v>8040</v>
      </c>
      <c r="D7807" s="851">
        <v>1132.7705940000001</v>
      </c>
    </row>
    <row r="7808" spans="2:4" x14ac:dyDescent="0.2">
      <c r="B7808" s="876">
        <v>9917</v>
      </c>
      <c r="C7808" s="876" t="s">
        <v>8041</v>
      </c>
      <c r="D7808" s="851">
        <v>1177.542864</v>
      </c>
    </row>
    <row r="7809" spans="2:4" x14ac:dyDescent="0.2">
      <c r="B7809" s="876">
        <v>9918</v>
      </c>
      <c r="C7809" s="876" t="s">
        <v>8042</v>
      </c>
      <c r="D7809" s="851">
        <v>1138.0166630000001</v>
      </c>
    </row>
    <row r="7810" spans="2:4" x14ac:dyDescent="0.2">
      <c r="B7810" s="876">
        <v>9919</v>
      </c>
      <c r="C7810" s="876" t="s">
        <v>8043</v>
      </c>
      <c r="D7810" s="851">
        <v>1032.8000489999999</v>
      </c>
    </row>
    <row r="7811" spans="2:4" x14ac:dyDescent="0.2">
      <c r="B7811" s="876">
        <v>9920</v>
      </c>
      <c r="C7811" s="876" t="s">
        <v>8044</v>
      </c>
      <c r="D7811" s="851">
        <v>1061.1999510000001</v>
      </c>
    </row>
    <row r="7812" spans="2:4" x14ac:dyDescent="0.2">
      <c r="B7812" s="876">
        <v>9921</v>
      </c>
      <c r="C7812" s="876" t="s">
        <v>8045</v>
      </c>
      <c r="D7812" s="851">
        <v>1081.054549</v>
      </c>
    </row>
    <row r="7813" spans="2:4" x14ac:dyDescent="0.2">
      <c r="B7813" s="876">
        <v>9922</v>
      </c>
      <c r="C7813" s="876" t="s">
        <v>5805</v>
      </c>
      <c r="D7813" s="851">
        <v>1090.9000040000001</v>
      </c>
    </row>
    <row r="7814" spans="2:4" x14ac:dyDescent="0.2">
      <c r="B7814" s="876">
        <v>9923</v>
      </c>
      <c r="C7814" s="876" t="s">
        <v>8046</v>
      </c>
      <c r="D7814" s="851">
        <v>1055.325012</v>
      </c>
    </row>
    <row r="7815" spans="2:4" x14ac:dyDescent="0.2">
      <c r="B7815" s="876">
        <v>9924</v>
      </c>
      <c r="C7815" s="876" t="s">
        <v>8047</v>
      </c>
      <c r="D7815" s="851">
        <v>1306.2222220000001</v>
      </c>
    </row>
    <row r="7816" spans="2:4" x14ac:dyDescent="0.2">
      <c r="B7816" s="876">
        <v>9925</v>
      </c>
      <c r="C7816" s="876" t="s">
        <v>8048</v>
      </c>
      <c r="D7816" s="851">
        <v>1230.2090840000001</v>
      </c>
    </row>
    <row r="7817" spans="2:4" x14ac:dyDescent="0.2">
      <c r="B7817" s="876">
        <v>9926</v>
      </c>
      <c r="C7817" s="876" t="s">
        <v>8049</v>
      </c>
      <c r="D7817" s="851">
        <v>1178.499986</v>
      </c>
    </row>
    <row r="7818" spans="2:4" x14ac:dyDescent="0.2">
      <c r="B7818" s="876">
        <v>9927</v>
      </c>
      <c r="C7818" s="876" t="s">
        <v>8050</v>
      </c>
      <c r="D7818" s="851">
        <v>1295.7571499999999</v>
      </c>
    </row>
    <row r="7819" spans="2:4" x14ac:dyDescent="0.2">
      <c r="B7819" s="876">
        <v>9928</v>
      </c>
      <c r="C7819" s="876" t="s">
        <v>8051</v>
      </c>
      <c r="D7819" s="851">
        <v>1218.880005</v>
      </c>
    </row>
    <row r="7820" spans="2:4" x14ac:dyDescent="0.2">
      <c r="B7820" s="876">
        <v>9929</v>
      </c>
      <c r="C7820" s="876" t="s">
        <v>8052</v>
      </c>
      <c r="D7820" s="851">
        <v>1518.080005</v>
      </c>
    </row>
    <row r="7821" spans="2:4" x14ac:dyDescent="0.2">
      <c r="B7821" s="876">
        <v>9930</v>
      </c>
      <c r="C7821" s="876" t="s">
        <v>8053</v>
      </c>
      <c r="D7821" s="851">
        <v>1506.619995</v>
      </c>
    </row>
    <row r="7822" spans="2:4" x14ac:dyDescent="0.2">
      <c r="B7822" s="876">
        <v>9931</v>
      </c>
      <c r="C7822" s="876" t="s">
        <v>8054</v>
      </c>
      <c r="D7822" s="851">
        <v>1243.7444390000001</v>
      </c>
    </row>
    <row r="7823" spans="2:4" x14ac:dyDescent="0.2">
      <c r="B7823" s="876">
        <v>9932</v>
      </c>
      <c r="C7823" s="876" t="s">
        <v>8055</v>
      </c>
      <c r="D7823" s="851">
        <v>1142.9576790000001</v>
      </c>
    </row>
    <row r="7824" spans="2:4" x14ac:dyDescent="0.2">
      <c r="B7824" s="876">
        <v>9933</v>
      </c>
      <c r="C7824" s="876" t="s">
        <v>8056</v>
      </c>
      <c r="D7824" s="851">
        <v>1141.5</v>
      </c>
    </row>
    <row r="7825" spans="2:4" x14ac:dyDescent="0.2">
      <c r="B7825" s="876">
        <v>9934</v>
      </c>
      <c r="C7825" s="876" t="s">
        <v>8057</v>
      </c>
      <c r="D7825" s="851">
        <v>1178.092304</v>
      </c>
    </row>
    <row r="7826" spans="2:4" x14ac:dyDescent="0.2">
      <c r="B7826" s="876">
        <v>9935</v>
      </c>
      <c r="C7826" s="876" t="s">
        <v>6311</v>
      </c>
      <c r="D7826" s="851">
        <v>1157.3500059999999</v>
      </c>
    </row>
    <row r="7827" spans="2:4" x14ac:dyDescent="0.2">
      <c r="B7827" s="876">
        <v>9936</v>
      </c>
      <c r="C7827" s="876" t="s">
        <v>8058</v>
      </c>
      <c r="D7827" s="851">
        <v>1168.4727230000001</v>
      </c>
    </row>
    <row r="7828" spans="2:4" x14ac:dyDescent="0.2">
      <c r="B7828" s="876">
        <v>9937</v>
      </c>
      <c r="C7828" s="876" t="s">
        <v>8059</v>
      </c>
      <c r="D7828" s="851">
        <v>1758.9357130000001</v>
      </c>
    </row>
    <row r="7829" spans="2:4" x14ac:dyDescent="0.2">
      <c r="B7829" s="876">
        <v>9938</v>
      </c>
      <c r="C7829" s="876" t="s">
        <v>8060</v>
      </c>
      <c r="D7829" s="851">
        <v>1452.51001</v>
      </c>
    </row>
    <row r="7830" spans="2:4" x14ac:dyDescent="0.2">
      <c r="B7830" s="876">
        <v>9939</v>
      </c>
      <c r="C7830" s="876" t="s">
        <v>7175</v>
      </c>
      <c r="D7830" s="851">
        <v>1300.25</v>
      </c>
    </row>
    <row r="7831" spans="2:4" x14ac:dyDescent="0.2">
      <c r="B7831" s="876">
        <v>9940</v>
      </c>
      <c r="C7831" s="876" t="s">
        <v>8061</v>
      </c>
      <c r="D7831" s="851">
        <v>1212.963634</v>
      </c>
    </row>
    <row r="7832" spans="2:4" x14ac:dyDescent="0.2">
      <c r="B7832" s="876">
        <v>9941</v>
      </c>
      <c r="C7832" s="876" t="s">
        <v>8062</v>
      </c>
      <c r="D7832" s="851">
        <v>1372.0889010000001</v>
      </c>
    </row>
    <row r="7833" spans="2:4" x14ac:dyDescent="0.2">
      <c r="B7833" s="876">
        <v>9942</v>
      </c>
      <c r="C7833" s="876" t="s">
        <v>8063</v>
      </c>
      <c r="D7833" s="851">
        <v>1809.68335</v>
      </c>
    </row>
    <row r="7834" spans="2:4" x14ac:dyDescent="0.2">
      <c r="B7834" s="876">
        <v>9943</v>
      </c>
      <c r="C7834" s="876" t="s">
        <v>8064</v>
      </c>
      <c r="D7834" s="851">
        <v>1667.8000079999999</v>
      </c>
    </row>
    <row r="7835" spans="2:4" x14ac:dyDescent="0.2">
      <c r="B7835" s="876">
        <v>9944</v>
      </c>
      <c r="C7835" s="876" t="s">
        <v>8065</v>
      </c>
      <c r="D7835" s="851">
        <v>1864.4206879999999</v>
      </c>
    </row>
    <row r="7836" spans="2:4" x14ac:dyDescent="0.2">
      <c r="B7836" s="876">
        <v>9945</v>
      </c>
      <c r="C7836" s="876" t="s">
        <v>8066</v>
      </c>
      <c r="D7836" s="851">
        <v>1542.149981</v>
      </c>
    </row>
    <row r="7837" spans="2:4" x14ac:dyDescent="0.2">
      <c r="B7837" s="876">
        <v>9946</v>
      </c>
      <c r="C7837" s="876" t="s">
        <v>8067</v>
      </c>
      <c r="D7837" s="851">
        <v>1566.246672</v>
      </c>
    </row>
    <row r="7838" spans="2:4" x14ac:dyDescent="0.2">
      <c r="B7838" s="876">
        <v>9947</v>
      </c>
      <c r="C7838" s="876" t="s">
        <v>5122</v>
      </c>
      <c r="D7838" s="851">
        <v>1554.921748</v>
      </c>
    </row>
    <row r="7839" spans="2:4" x14ac:dyDescent="0.2">
      <c r="B7839" s="876">
        <v>9948</v>
      </c>
      <c r="C7839" s="876" t="s">
        <v>8068</v>
      </c>
      <c r="D7839" s="851">
        <v>1366.700012</v>
      </c>
    </row>
    <row r="7840" spans="2:4" x14ac:dyDescent="0.2">
      <c r="B7840" s="876">
        <v>9949</v>
      </c>
      <c r="C7840" s="876" t="s">
        <v>8069</v>
      </c>
      <c r="D7840" s="851">
        <v>1301.2499800000001</v>
      </c>
    </row>
    <row r="7841" spans="2:4" x14ac:dyDescent="0.2">
      <c r="B7841" s="876">
        <v>9950</v>
      </c>
      <c r="C7841" s="876" t="s">
        <v>8070</v>
      </c>
      <c r="D7841" s="851">
        <v>1516.840015</v>
      </c>
    </row>
    <row r="7842" spans="2:4" x14ac:dyDescent="0.2">
      <c r="B7842" s="876">
        <v>9952</v>
      </c>
      <c r="C7842" s="876" t="s">
        <v>8071</v>
      </c>
      <c r="D7842" s="851">
        <v>1577.5749920000001</v>
      </c>
    </row>
    <row r="7843" spans="2:4" x14ac:dyDescent="0.2">
      <c r="B7843" s="876">
        <v>9953</v>
      </c>
      <c r="C7843" s="876" t="s">
        <v>8072</v>
      </c>
      <c r="D7843" s="851">
        <v>1867.0384710000001</v>
      </c>
    </row>
    <row r="7844" spans="2:4" x14ac:dyDescent="0.2">
      <c r="B7844" s="876">
        <v>9954</v>
      </c>
      <c r="C7844" s="876" t="s">
        <v>8073</v>
      </c>
      <c r="D7844" s="851">
        <v>1892.0928610000001</v>
      </c>
    </row>
    <row r="7845" spans="2:4" x14ac:dyDescent="0.2">
      <c r="B7845" s="876">
        <v>9956</v>
      </c>
      <c r="C7845" s="876" t="s">
        <v>8074</v>
      </c>
      <c r="D7845" s="851">
        <v>1603.2294199999999</v>
      </c>
    </row>
    <row r="7846" spans="2:4" x14ac:dyDescent="0.2">
      <c r="B7846" s="876">
        <v>9957</v>
      </c>
      <c r="C7846" s="876" t="s">
        <v>8075</v>
      </c>
      <c r="D7846" s="851">
        <v>2143.2062529999998</v>
      </c>
    </row>
    <row r="7847" spans="2:4" x14ac:dyDescent="0.2">
      <c r="B7847" s="876">
        <v>9958</v>
      </c>
      <c r="C7847" s="876" t="s">
        <v>8076</v>
      </c>
      <c r="D7847" s="851">
        <v>1972</v>
      </c>
    </row>
    <row r="7848" spans="2:4" x14ac:dyDescent="0.2">
      <c r="B7848" s="876">
        <v>9959</v>
      </c>
      <c r="C7848" s="876" t="s">
        <v>8077</v>
      </c>
      <c r="D7848" s="851">
        <v>1943.1666459999999</v>
      </c>
    </row>
    <row r="7849" spans="2:4" x14ac:dyDescent="0.2">
      <c r="B7849" s="876">
        <v>9960</v>
      </c>
      <c r="C7849" s="876" t="s">
        <v>8078</v>
      </c>
      <c r="D7849" s="851">
        <v>2062.9800289999998</v>
      </c>
    </row>
    <row r="7850" spans="2:4" x14ac:dyDescent="0.2">
      <c r="B7850" s="876">
        <v>9961</v>
      </c>
      <c r="C7850" s="876" t="s">
        <v>6972</v>
      </c>
      <c r="D7850" s="851">
        <v>1840.366679</v>
      </c>
    </row>
    <row r="7851" spans="2:4" x14ac:dyDescent="0.2">
      <c r="B7851" s="876">
        <v>9962</v>
      </c>
      <c r="C7851" s="876" t="s">
        <v>8079</v>
      </c>
      <c r="D7851" s="851">
        <v>1860.400024</v>
      </c>
    </row>
    <row r="7852" spans="2:4" x14ac:dyDescent="0.2">
      <c r="B7852" s="876">
        <v>9963</v>
      </c>
      <c r="C7852" s="876" t="s">
        <v>2487</v>
      </c>
      <c r="D7852" s="851">
        <v>1808.107694</v>
      </c>
    </row>
    <row r="7853" spans="2:4" x14ac:dyDescent="0.2">
      <c r="B7853" s="876">
        <v>9964</v>
      </c>
      <c r="C7853" s="876" t="s">
        <v>8080</v>
      </c>
      <c r="D7853" s="851">
        <v>1643.541166</v>
      </c>
    </row>
    <row r="7854" spans="2:4" x14ac:dyDescent="0.2">
      <c r="B7854" s="876">
        <v>9965</v>
      </c>
      <c r="C7854" s="876" t="s">
        <v>8081</v>
      </c>
      <c r="D7854" s="851">
        <v>1426.950012</v>
      </c>
    </row>
    <row r="7855" spans="2:4" x14ac:dyDescent="0.2">
      <c r="B7855" s="876">
        <v>9966</v>
      </c>
      <c r="C7855" s="876" t="s">
        <v>8082</v>
      </c>
      <c r="D7855" s="851">
        <v>1876.9699949999999</v>
      </c>
    </row>
    <row r="7856" spans="2:4" x14ac:dyDescent="0.2">
      <c r="B7856" s="876">
        <v>9967</v>
      </c>
      <c r="C7856" s="876" t="s">
        <v>8083</v>
      </c>
      <c r="D7856" s="851">
        <v>1786.6095379999999</v>
      </c>
    </row>
    <row r="7857" spans="2:4" x14ac:dyDescent="0.2">
      <c r="B7857" s="876">
        <v>9968</v>
      </c>
      <c r="C7857" s="876" t="s">
        <v>8084</v>
      </c>
      <c r="D7857" s="851">
        <v>1595.825012</v>
      </c>
    </row>
    <row r="7858" spans="2:4" x14ac:dyDescent="0.2">
      <c r="B7858" s="876">
        <v>9969</v>
      </c>
      <c r="C7858" s="876" t="s">
        <v>8085</v>
      </c>
      <c r="D7858" s="851">
        <v>1636.473332</v>
      </c>
    </row>
    <row r="7859" spans="2:4" x14ac:dyDescent="0.2">
      <c r="B7859" s="876">
        <v>9970</v>
      </c>
      <c r="C7859" s="876" t="s">
        <v>4273</v>
      </c>
      <c r="D7859" s="851">
        <v>1557.8909249999999</v>
      </c>
    </row>
    <row r="7860" spans="2:4" x14ac:dyDescent="0.2">
      <c r="B7860" s="876">
        <v>9971</v>
      </c>
      <c r="C7860" s="876" t="s">
        <v>8086</v>
      </c>
      <c r="D7860" s="851">
        <v>1474.485735</v>
      </c>
    </row>
    <row r="7861" spans="2:4" x14ac:dyDescent="0.2">
      <c r="B7861" s="876">
        <v>9972</v>
      </c>
      <c r="C7861" s="876" t="s">
        <v>8087</v>
      </c>
      <c r="D7861" s="851">
        <v>1899.904438</v>
      </c>
    </row>
    <row r="7862" spans="2:4" x14ac:dyDescent="0.2">
      <c r="B7862" s="876">
        <v>9973</v>
      </c>
      <c r="C7862" s="876" t="s">
        <v>8088</v>
      </c>
      <c r="D7862" s="851">
        <v>1989.8756760000001</v>
      </c>
    </row>
    <row r="7863" spans="2:4" x14ac:dyDescent="0.2">
      <c r="B7863" s="876">
        <v>9974</v>
      </c>
      <c r="C7863" s="876" t="s">
        <v>8089</v>
      </c>
      <c r="D7863" s="851">
        <v>2085.631034</v>
      </c>
    </row>
    <row r="7864" spans="2:4" x14ac:dyDescent="0.2">
      <c r="B7864" s="876">
        <v>9975</v>
      </c>
      <c r="C7864" s="876" t="s">
        <v>8090</v>
      </c>
      <c r="D7864" s="851">
        <v>2143.6451609999999</v>
      </c>
    </row>
  </sheetData>
  <sheetProtection algorithmName="SHA-512" hashValue="d6z4A9POprRAlLQSQtgVDZ/noW5rFqwARkUwknYo5n0y65HZO/cmbtUIwq+HiM+SMAp+inL5qUoePUDG8sUxOA==" saltValue="mI18Q6Sh3vPhz18o9N02bg==" spinCount="100000" sheet="1" autoFilter="0"/>
  <autoFilter ref="B5:C7864"/>
  <mergeCells count="2">
    <mergeCell ref="B1:D1"/>
    <mergeCell ref="B3:D3"/>
  </mergeCells>
  <conditionalFormatting sqref="C2397">
    <cfRule type="duplicateValues" dxfId="1" priority="1"/>
  </conditionalFormatting>
  <pageMargins left="0.70866141732283472" right="0.70866141732283472" top="0.78740157480314965" bottom="0.78740157480314965" header="0.31496062992125984" footer="0.31496062992125984"/>
  <pageSetup paperSize="9" orientation="portrait" horizontalDpi="300" r:id="rId1"/>
  <headerFooter>
    <oddFooter>&amp;C© Bayerische Landesanstalt für Landwirtschaft (Of, Kj. Mk); Stand: 17.10.24</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1"/>
  <sheetViews>
    <sheetView showGridLines="0" zoomScaleNormal="100" zoomScaleSheetLayoutView="100" workbookViewId="0"/>
  </sheetViews>
  <sheetFormatPr baseColWidth="10" defaultColWidth="11.42578125" defaultRowHeight="12.75" x14ac:dyDescent="0.2"/>
  <cols>
    <col min="1" max="1" width="4.28515625" style="2000" customWidth="1"/>
    <col min="2" max="2" width="42.85546875" style="2000" customWidth="1"/>
    <col min="3" max="3" width="2.28515625" style="2000" customWidth="1"/>
    <col min="4" max="4" width="6.85546875" style="2000" customWidth="1"/>
    <col min="5" max="5" width="44.5703125" style="2000" customWidth="1"/>
    <col min="6" max="6" width="2.42578125" style="2000" customWidth="1"/>
    <col min="7" max="16384" width="11.42578125" style="2000"/>
  </cols>
  <sheetData>
    <row r="1" spans="1:6" ht="15.95" customHeight="1" x14ac:dyDescent="0.3">
      <c r="A1" s="1997" t="s">
        <v>8688</v>
      </c>
      <c r="B1" s="1998"/>
      <c r="C1" s="1998"/>
      <c r="D1" s="1999"/>
      <c r="E1" s="1998"/>
      <c r="F1" s="1998"/>
    </row>
    <row r="2" spans="1:6" ht="6" customHeight="1" x14ac:dyDescent="0.25">
      <c r="A2" s="2001"/>
      <c r="B2" s="2002"/>
      <c r="C2" s="2002"/>
      <c r="D2" s="2001"/>
      <c r="E2" s="2002"/>
      <c r="F2" s="2002"/>
    </row>
    <row r="3" spans="1:6" ht="15.95" customHeight="1" x14ac:dyDescent="0.25">
      <c r="A3" s="3224" t="s">
        <v>87</v>
      </c>
      <c r="B3" s="3225"/>
      <c r="C3" s="2003"/>
      <c r="D3" s="2004"/>
      <c r="E3" s="2005" t="s">
        <v>8689</v>
      </c>
      <c r="F3" s="2006"/>
    </row>
    <row r="4" spans="1:6" ht="14.1" customHeight="1" x14ac:dyDescent="0.2">
      <c r="A4" s="2007" t="s">
        <v>88</v>
      </c>
      <c r="B4" s="2008" t="s">
        <v>89</v>
      </c>
      <c r="C4" s="2009"/>
      <c r="D4" s="2010"/>
      <c r="E4" s="2011" t="s">
        <v>90</v>
      </c>
      <c r="F4" s="2012"/>
    </row>
    <row r="5" spans="1:6" ht="5.0999999999999996" customHeight="1" x14ac:dyDescent="0.2">
      <c r="A5" s="2009"/>
      <c r="B5" s="2012"/>
      <c r="C5" s="2012"/>
      <c r="D5" s="2013"/>
      <c r="E5" s="2014"/>
      <c r="F5" s="2012"/>
    </row>
    <row r="6" spans="1:6" ht="12.95" customHeight="1" x14ac:dyDescent="0.2">
      <c r="C6" s="2015"/>
      <c r="D6" s="2016"/>
      <c r="E6" s="2017" t="s">
        <v>93</v>
      </c>
      <c r="F6" s="2012"/>
    </row>
    <row r="7" spans="1:6" ht="12.95" customHeight="1" x14ac:dyDescent="0.2">
      <c r="A7" s="2018" t="s">
        <v>91</v>
      </c>
      <c r="B7" s="2019" t="s">
        <v>92</v>
      </c>
      <c r="C7" s="2015"/>
      <c r="D7" s="2016"/>
      <c r="E7" s="2020" t="s">
        <v>8690</v>
      </c>
      <c r="F7" s="2012"/>
    </row>
    <row r="8" spans="1:6" ht="12.95" customHeight="1" x14ac:dyDescent="0.2">
      <c r="A8" s="2021"/>
      <c r="B8" s="2022"/>
      <c r="C8" s="2015"/>
      <c r="D8" s="2016"/>
      <c r="E8" s="2023" t="s">
        <v>8691</v>
      </c>
      <c r="F8" s="2012"/>
    </row>
    <row r="9" spans="1:6" ht="5.0999999999999996" customHeight="1" x14ac:dyDescent="0.2">
      <c r="A9" s="2021"/>
      <c r="B9" s="2022"/>
      <c r="C9" s="2015"/>
      <c r="D9" s="2016"/>
      <c r="E9" s="2024"/>
      <c r="F9" s="2012"/>
    </row>
    <row r="10" spans="1:6" ht="12.95" customHeight="1" x14ac:dyDescent="0.2">
      <c r="A10" s="2089" t="s">
        <v>94</v>
      </c>
      <c r="B10" s="2091" t="s">
        <v>95</v>
      </c>
      <c r="C10" s="2012"/>
      <c r="D10" s="2016"/>
      <c r="E10" s="2017" t="s">
        <v>95</v>
      </c>
      <c r="F10" s="2012"/>
    </row>
    <row r="11" spans="1:6" ht="12.95" customHeight="1" x14ac:dyDescent="0.2">
      <c r="A11" s="2092" t="s">
        <v>96</v>
      </c>
      <c r="B11" s="2093" t="s">
        <v>97</v>
      </c>
      <c r="C11" s="2012"/>
      <c r="D11" s="2016"/>
      <c r="E11" s="2020" t="s">
        <v>98</v>
      </c>
      <c r="F11" s="2012"/>
    </row>
    <row r="12" spans="1:6" ht="12.95" customHeight="1" x14ac:dyDescent="0.2">
      <c r="A12" s="2090" t="s">
        <v>99</v>
      </c>
      <c r="B12" s="2094" t="s">
        <v>100</v>
      </c>
      <c r="C12" s="2012"/>
      <c r="D12" s="2016"/>
      <c r="E12" s="2023" t="s">
        <v>101</v>
      </c>
      <c r="F12" s="2012"/>
    </row>
    <row r="13" spans="1:6" ht="5.0999999999999996" customHeight="1" x14ac:dyDescent="0.2">
      <c r="A13" s="2021"/>
      <c r="B13" s="2014"/>
      <c r="C13" s="2012"/>
      <c r="D13" s="2016"/>
      <c r="E13" s="2024"/>
      <c r="F13" s="2012"/>
    </row>
    <row r="14" spans="1:6" ht="12.95" customHeight="1" x14ac:dyDescent="0.2">
      <c r="A14" s="2089" t="s">
        <v>102</v>
      </c>
      <c r="B14" s="2091" t="s">
        <v>103</v>
      </c>
      <c r="C14" s="2012"/>
      <c r="D14" s="2016"/>
      <c r="E14" s="2017" t="s">
        <v>104</v>
      </c>
      <c r="F14" s="2012"/>
    </row>
    <row r="15" spans="1:6" ht="12.95" customHeight="1" x14ac:dyDescent="0.2">
      <c r="A15" s="2092" t="s">
        <v>105</v>
      </c>
      <c r="B15" s="2093" t="s">
        <v>106</v>
      </c>
      <c r="C15" s="2012"/>
      <c r="D15" s="2016"/>
      <c r="E15" s="2020" t="s">
        <v>106</v>
      </c>
      <c r="F15" s="2012"/>
    </row>
    <row r="16" spans="1:6" ht="12.95" customHeight="1" x14ac:dyDescent="0.2">
      <c r="A16" s="2090" t="s">
        <v>107</v>
      </c>
      <c r="B16" s="2094" t="s">
        <v>108</v>
      </c>
      <c r="C16" s="2012"/>
      <c r="D16" s="2016"/>
      <c r="E16" s="2023" t="s">
        <v>108</v>
      </c>
      <c r="F16" s="2012"/>
    </row>
    <row r="17" spans="1:6" ht="5.0999999999999996" customHeight="1" x14ac:dyDescent="0.2">
      <c r="A17" s="2021"/>
      <c r="B17" s="2014"/>
      <c r="C17" s="2012"/>
      <c r="D17" s="2016"/>
      <c r="E17" s="2024"/>
      <c r="F17" s="2012"/>
    </row>
    <row r="18" spans="1:6" ht="12.95" customHeight="1" x14ac:dyDescent="0.2">
      <c r="A18" s="3226">
        <v>18</v>
      </c>
      <c r="B18" s="3228" t="s">
        <v>109</v>
      </c>
      <c r="C18" s="2012"/>
      <c r="D18" s="2016"/>
      <c r="E18" s="2017" t="s">
        <v>8692</v>
      </c>
      <c r="F18" s="2012"/>
    </row>
    <row r="19" spans="1:6" ht="12.95" customHeight="1" x14ac:dyDescent="0.2">
      <c r="A19" s="3227"/>
      <c r="B19" s="3229"/>
      <c r="C19" s="2012"/>
      <c r="D19" s="2016"/>
      <c r="E19" s="2023" t="s">
        <v>110</v>
      </c>
      <c r="F19" s="2012"/>
    </row>
    <row r="20" spans="1:6" ht="5.0999999999999996" customHeight="1" x14ac:dyDescent="0.2">
      <c r="A20" s="2021"/>
      <c r="B20" s="2014"/>
      <c r="C20" s="2012"/>
      <c r="D20" s="2016"/>
      <c r="E20" s="2024"/>
      <c r="F20" s="2012"/>
    </row>
    <row r="21" spans="1:6" ht="12.95" customHeight="1" x14ac:dyDescent="0.2">
      <c r="A21" s="2025" t="s">
        <v>111</v>
      </c>
      <c r="B21" s="2026" t="s">
        <v>112</v>
      </c>
      <c r="C21" s="2012"/>
      <c r="D21" s="2016"/>
      <c r="E21" s="3230" t="s">
        <v>113</v>
      </c>
      <c r="F21" s="2012"/>
    </row>
    <row r="22" spans="1:6" ht="12.95" customHeight="1" x14ac:dyDescent="0.2">
      <c r="A22" s="2092" t="s">
        <v>114</v>
      </c>
      <c r="B22" s="2093" t="s">
        <v>115</v>
      </c>
      <c r="C22" s="2012"/>
      <c r="D22" s="2016"/>
      <c r="E22" s="3231"/>
      <c r="F22" s="2012"/>
    </row>
    <row r="23" spans="1:6" ht="12.95" customHeight="1" x14ac:dyDescent="0.2">
      <c r="A23" s="2092" t="s">
        <v>116</v>
      </c>
      <c r="B23" s="2093" t="s">
        <v>117</v>
      </c>
      <c r="C23" s="2012"/>
      <c r="D23" s="2016"/>
      <c r="E23" s="2027" t="s">
        <v>118</v>
      </c>
      <c r="F23" s="2012"/>
    </row>
    <row r="24" spans="1:6" ht="12" customHeight="1" x14ac:dyDescent="0.2">
      <c r="A24" s="2090" t="s">
        <v>119</v>
      </c>
      <c r="B24" s="2094" t="s">
        <v>120</v>
      </c>
      <c r="C24" s="2012"/>
      <c r="D24" s="2016"/>
      <c r="E24" s="2096"/>
      <c r="F24" s="2012"/>
    </row>
    <row r="25" spans="1:6" ht="5.0999999999999996" customHeight="1" x14ac:dyDescent="0.2">
      <c r="A25" s="2021"/>
      <c r="B25" s="2014"/>
      <c r="C25" s="2012"/>
      <c r="D25" s="2016"/>
      <c r="E25" s="2014"/>
      <c r="F25" s="2012"/>
    </row>
    <row r="26" spans="1:6" ht="12.95" customHeight="1" x14ac:dyDescent="0.2">
      <c r="A26" s="2089" t="s">
        <v>121</v>
      </c>
      <c r="B26" s="2091" t="s">
        <v>122</v>
      </c>
      <c r="C26" s="2012"/>
      <c r="D26" s="2016"/>
      <c r="E26" s="3232" t="s">
        <v>123</v>
      </c>
      <c r="F26" s="2012"/>
    </row>
    <row r="27" spans="1:6" ht="12.95" customHeight="1" x14ac:dyDescent="0.2">
      <c r="A27" s="2090" t="s">
        <v>124</v>
      </c>
      <c r="B27" s="2094" t="s">
        <v>125</v>
      </c>
      <c r="C27" s="2012"/>
      <c r="D27" s="2016"/>
      <c r="E27" s="3233"/>
      <c r="F27" s="2012"/>
    </row>
    <row r="28" spans="1:6" ht="5.0999999999999996" customHeight="1" x14ac:dyDescent="0.2">
      <c r="A28" s="2021"/>
      <c r="B28" s="2014"/>
      <c r="C28" s="2012"/>
      <c r="D28" s="2016"/>
      <c r="E28" s="2014"/>
      <c r="F28" s="2012"/>
    </row>
    <row r="29" spans="1:6" ht="12.95" customHeight="1" x14ac:dyDescent="0.2">
      <c r="A29" s="2089" t="s">
        <v>126</v>
      </c>
      <c r="B29" s="2091" t="s">
        <v>127</v>
      </c>
      <c r="C29" s="2012"/>
      <c r="D29" s="2016"/>
      <c r="E29" s="2095" t="s">
        <v>128</v>
      </c>
      <c r="F29" s="2012"/>
    </row>
    <row r="30" spans="1:6" ht="12.95" customHeight="1" x14ac:dyDescent="0.2">
      <c r="A30" s="2090" t="s">
        <v>129</v>
      </c>
      <c r="B30" s="2094" t="s">
        <v>130</v>
      </c>
      <c r="C30" s="2012"/>
      <c r="D30" s="2016"/>
      <c r="E30" s="2096" t="s">
        <v>131</v>
      </c>
      <c r="F30" s="2012"/>
    </row>
    <row r="31" spans="1:6" ht="8.1" customHeight="1" x14ac:dyDescent="0.2">
      <c r="A31" s="2021"/>
      <c r="B31" s="2014"/>
      <c r="C31" s="2012"/>
      <c r="D31" s="2016"/>
      <c r="E31" s="2014"/>
      <c r="F31" s="2012"/>
    </row>
    <row r="32" spans="1:6" ht="12.95" customHeight="1" x14ac:dyDescent="0.2">
      <c r="A32" s="3226" t="s">
        <v>132</v>
      </c>
      <c r="B32" s="3228" t="s">
        <v>133</v>
      </c>
      <c r="C32" s="2012"/>
      <c r="D32" s="2016"/>
      <c r="E32" s="2028" t="s">
        <v>134</v>
      </c>
      <c r="F32" s="2012"/>
    </row>
    <row r="33" spans="1:6" ht="12.95" customHeight="1" x14ac:dyDescent="0.2">
      <c r="A33" s="3234"/>
      <c r="B33" s="3236"/>
      <c r="C33" s="2012"/>
      <c r="D33" s="2013"/>
      <c r="E33" s="2029" t="s">
        <v>135</v>
      </c>
      <c r="F33" s="2012"/>
    </row>
    <row r="34" spans="1:6" ht="12.95" customHeight="1" x14ac:dyDescent="0.2">
      <c r="A34" s="3235"/>
      <c r="B34" s="3237"/>
      <c r="C34" s="2012"/>
      <c r="D34" s="2013"/>
      <c r="E34" s="2029" t="s">
        <v>8693</v>
      </c>
      <c r="F34" s="2012"/>
    </row>
    <row r="35" spans="1:6" ht="12.95" customHeight="1" x14ac:dyDescent="0.2">
      <c r="A35" s="2030"/>
      <c r="B35" s="2031"/>
      <c r="C35" s="2012"/>
      <c r="D35" s="2013"/>
      <c r="E35" s="2032" t="s">
        <v>8854</v>
      </c>
      <c r="F35" s="2012"/>
    </row>
    <row r="36" spans="1:6" ht="9.9499999999999993" customHeight="1" x14ac:dyDescent="0.2">
      <c r="A36" s="2021"/>
      <c r="B36" s="2014"/>
      <c r="C36" s="2012"/>
      <c r="D36" s="2013"/>
      <c r="E36" s="2014"/>
      <c r="F36" s="2012"/>
    </row>
    <row r="37" spans="1:6" ht="12.95" customHeight="1" x14ac:dyDescent="0.2">
      <c r="A37" s="2021"/>
      <c r="B37" s="2014"/>
      <c r="C37" s="2012"/>
      <c r="D37" s="2016"/>
      <c r="E37" s="2017" t="s">
        <v>136</v>
      </c>
      <c r="F37" s="2012"/>
    </row>
    <row r="38" spans="1:6" ht="12.95" customHeight="1" x14ac:dyDescent="0.2">
      <c r="A38" s="2021"/>
      <c r="B38" s="2014"/>
      <c r="C38" s="2012"/>
      <c r="D38" s="2013"/>
      <c r="E38" s="2020" t="s">
        <v>137</v>
      </c>
      <c r="F38" s="2012"/>
    </row>
    <row r="39" spans="1:6" ht="12.95" customHeight="1" x14ac:dyDescent="0.2">
      <c r="A39" s="2021"/>
      <c r="B39" s="2014"/>
      <c r="C39" s="2012"/>
      <c r="D39" s="2013"/>
      <c r="E39" s="2020" t="s">
        <v>8694</v>
      </c>
      <c r="F39" s="2012"/>
    </row>
    <row r="40" spans="1:6" ht="12.95" customHeight="1" x14ac:dyDescent="0.2">
      <c r="A40" s="2021"/>
      <c r="B40" s="2014"/>
      <c r="C40" s="2012"/>
      <c r="D40" s="2013"/>
      <c r="E40" s="2033" t="s">
        <v>138</v>
      </c>
      <c r="F40" s="2012"/>
    </row>
    <row r="41" spans="1:6" ht="12.95" customHeight="1" x14ac:dyDescent="0.2">
      <c r="A41" s="3226" t="s">
        <v>139</v>
      </c>
      <c r="B41" s="3228" t="s">
        <v>140</v>
      </c>
      <c r="C41" s="2012"/>
      <c r="D41" s="2013"/>
      <c r="E41" s="2029" t="s">
        <v>141</v>
      </c>
      <c r="F41" s="2012"/>
    </row>
    <row r="42" spans="1:6" ht="12.95" customHeight="1" x14ac:dyDescent="0.2">
      <c r="A42" s="3234"/>
      <c r="B42" s="3236"/>
      <c r="C42" s="2012"/>
      <c r="D42" s="2013"/>
      <c r="E42" s="2034" t="s">
        <v>8695</v>
      </c>
      <c r="F42" s="2012"/>
    </row>
    <row r="43" spans="1:6" ht="12.95" customHeight="1" x14ac:dyDescent="0.2">
      <c r="A43" s="3235"/>
      <c r="B43" s="3237"/>
      <c r="C43" s="2012"/>
      <c r="D43" s="2016"/>
      <c r="E43" s="2188" t="s">
        <v>142</v>
      </c>
      <c r="F43" s="2012"/>
    </row>
    <row r="44" spans="1:6" ht="12.95" customHeight="1" x14ac:dyDescent="0.2">
      <c r="A44" s="2021"/>
      <c r="B44" s="2014"/>
      <c r="C44" s="2012"/>
      <c r="D44" s="2013"/>
      <c r="E44" s="2188" t="s">
        <v>143</v>
      </c>
      <c r="F44" s="2012"/>
    </row>
    <row r="45" spans="1:6" ht="12.95" customHeight="1" x14ac:dyDescent="0.2">
      <c r="A45" s="2021"/>
      <c r="B45" s="2014"/>
      <c r="C45" s="2012"/>
      <c r="D45" s="2013"/>
      <c r="E45" s="2188" t="s">
        <v>8696</v>
      </c>
      <c r="F45" s="2012"/>
    </row>
    <row r="46" spans="1:6" ht="12.95" customHeight="1" x14ac:dyDescent="0.2">
      <c r="A46" s="2021"/>
      <c r="B46" s="2014"/>
      <c r="C46" s="2012"/>
      <c r="D46" s="2013"/>
      <c r="E46" s="2189" t="s">
        <v>144</v>
      </c>
      <c r="F46" s="2012"/>
    </row>
    <row r="47" spans="1:6" ht="12.95" customHeight="1" x14ac:dyDescent="0.2">
      <c r="A47" s="2021"/>
      <c r="B47" s="2014"/>
      <c r="C47" s="2012"/>
      <c r="D47" s="2013"/>
      <c r="E47" s="2189" t="s">
        <v>145</v>
      </c>
      <c r="F47" s="2012"/>
    </row>
    <row r="48" spans="1:6" ht="12.95" customHeight="1" x14ac:dyDescent="0.2">
      <c r="A48" s="2021"/>
      <c r="B48" s="2014"/>
      <c r="C48" s="2012"/>
      <c r="D48" s="2013"/>
      <c r="E48" s="2189" t="s">
        <v>8697</v>
      </c>
      <c r="F48" s="2012"/>
    </row>
    <row r="49" spans="1:6" ht="12.95" customHeight="1" x14ac:dyDescent="0.2">
      <c r="A49" s="2021"/>
      <c r="B49" s="2014"/>
      <c r="C49" s="2012"/>
      <c r="D49" s="2013"/>
      <c r="E49" s="2190" t="s">
        <v>8853</v>
      </c>
      <c r="F49" s="2012"/>
    </row>
    <row r="50" spans="1:6" ht="5.0999999999999996" customHeight="1" x14ac:dyDescent="0.2">
      <c r="A50" s="2021"/>
      <c r="B50" s="2014"/>
      <c r="C50" s="2012"/>
      <c r="D50" s="2013"/>
      <c r="E50" s="2014"/>
      <c r="F50" s="2012"/>
    </row>
    <row r="51" spans="1:6" ht="12.95" customHeight="1" x14ac:dyDescent="0.2">
      <c r="A51" s="2021"/>
      <c r="B51" s="2014"/>
      <c r="C51" s="2012"/>
      <c r="D51" s="2016"/>
      <c r="E51" s="2095" t="s">
        <v>8746</v>
      </c>
      <c r="F51" s="2012"/>
    </row>
    <row r="52" spans="1:6" ht="12.95" customHeight="1" x14ac:dyDescent="0.2">
      <c r="A52" s="2021"/>
      <c r="B52" s="2014"/>
      <c r="C52" s="2012"/>
      <c r="D52" s="2016"/>
      <c r="E52" s="2027" t="s">
        <v>8747</v>
      </c>
      <c r="F52" s="2012"/>
    </row>
    <row r="53" spans="1:6" ht="12.95" customHeight="1" x14ac:dyDescent="0.2">
      <c r="A53" s="2021"/>
      <c r="B53" s="2014"/>
      <c r="C53" s="2012"/>
      <c r="D53" s="2016"/>
      <c r="E53" s="2027" t="s">
        <v>8698</v>
      </c>
      <c r="F53" s="2012"/>
    </row>
    <row r="54" spans="1:6" ht="12.95" customHeight="1" x14ac:dyDescent="0.2">
      <c r="A54" s="2021"/>
      <c r="B54" s="2014"/>
      <c r="C54" s="2012"/>
      <c r="D54" s="2016"/>
      <c r="E54" s="2027" t="s">
        <v>8699</v>
      </c>
      <c r="F54" s="2012"/>
    </row>
    <row r="55" spans="1:6" ht="12.95" customHeight="1" x14ac:dyDescent="0.2">
      <c r="C55" s="2012"/>
      <c r="D55" s="2016"/>
      <c r="E55" s="2027" t="s">
        <v>8700</v>
      </c>
      <c r="F55" s="2012"/>
    </row>
    <row r="56" spans="1:6" ht="12.95" customHeight="1" x14ac:dyDescent="0.2">
      <c r="A56" s="2089" t="s">
        <v>146</v>
      </c>
      <c r="B56" s="2091" t="s">
        <v>147</v>
      </c>
      <c r="C56" s="2012"/>
      <c r="D56" s="2013"/>
      <c r="E56" s="2027" t="s">
        <v>8701</v>
      </c>
      <c r="F56" s="2012"/>
    </row>
    <row r="57" spans="1:6" ht="12.95" customHeight="1" x14ac:dyDescent="0.2">
      <c r="A57" s="2092" t="s">
        <v>148</v>
      </c>
      <c r="B57" s="2093" t="s">
        <v>149</v>
      </c>
      <c r="C57" s="2012"/>
      <c r="D57" s="2013"/>
      <c r="E57" s="2027" t="s">
        <v>8702</v>
      </c>
      <c r="F57" s="2012"/>
    </row>
    <row r="58" spans="1:6" ht="12.95" customHeight="1" x14ac:dyDescent="0.2">
      <c r="A58" s="2090" t="s">
        <v>151</v>
      </c>
      <c r="B58" s="2094" t="s">
        <v>152</v>
      </c>
      <c r="C58" s="2012"/>
      <c r="D58" s="2013"/>
      <c r="E58" s="2027" t="s">
        <v>8703</v>
      </c>
      <c r="F58" s="2012"/>
    </row>
    <row r="59" spans="1:6" ht="12.95" customHeight="1" x14ac:dyDescent="0.2">
      <c r="C59" s="2012"/>
      <c r="D59" s="2013"/>
      <c r="E59" s="2027" t="s">
        <v>150</v>
      </c>
      <c r="F59" s="2012"/>
    </row>
    <row r="60" spans="1:6" ht="12.95" customHeight="1" x14ac:dyDescent="0.2">
      <c r="C60" s="2012"/>
      <c r="D60" s="2013"/>
      <c r="E60" s="2027" t="s">
        <v>153</v>
      </c>
      <c r="F60" s="2012"/>
    </row>
    <row r="61" spans="1:6" ht="12.95" customHeight="1" x14ac:dyDescent="0.2">
      <c r="C61" s="2012"/>
      <c r="D61" s="2013"/>
      <c r="E61" s="2027" t="s">
        <v>8704</v>
      </c>
      <c r="F61" s="2012"/>
    </row>
    <row r="62" spans="1:6" ht="12.95" customHeight="1" x14ac:dyDescent="0.2">
      <c r="C62" s="2012"/>
      <c r="D62" s="2013"/>
      <c r="E62" s="2027" t="s">
        <v>8705</v>
      </c>
      <c r="F62" s="2012"/>
    </row>
    <row r="63" spans="1:6" ht="12.95" customHeight="1" x14ac:dyDescent="0.2">
      <c r="C63" s="2012"/>
      <c r="D63" s="2013"/>
      <c r="E63" s="2027" t="s">
        <v>8706</v>
      </c>
      <c r="F63" s="2012"/>
    </row>
    <row r="64" spans="1:6" ht="12.95" customHeight="1" x14ac:dyDescent="0.2">
      <c r="C64" s="2012"/>
      <c r="D64" s="2013"/>
      <c r="E64" s="2027" t="s">
        <v>8707</v>
      </c>
      <c r="F64" s="2012"/>
    </row>
    <row r="65" spans="1:6" ht="12.95" customHeight="1" x14ac:dyDescent="0.2">
      <c r="C65" s="2012"/>
      <c r="D65" s="2013"/>
      <c r="E65" s="2027" t="s">
        <v>8708</v>
      </c>
      <c r="F65" s="2012"/>
    </row>
    <row r="66" spans="1:6" ht="12.95" customHeight="1" x14ac:dyDescent="0.2">
      <c r="C66" s="2012"/>
      <c r="D66" s="2013"/>
      <c r="E66" s="2027" t="s">
        <v>8709</v>
      </c>
      <c r="F66" s="2012"/>
    </row>
    <row r="67" spans="1:6" ht="12.95" customHeight="1" x14ac:dyDescent="0.2">
      <c r="C67" s="2012"/>
      <c r="D67" s="2013"/>
      <c r="E67" s="2027" t="s">
        <v>8854</v>
      </c>
      <c r="F67" s="2012"/>
    </row>
    <row r="68" spans="1:6" ht="12.95" customHeight="1" x14ac:dyDescent="0.2">
      <c r="C68" s="2012"/>
      <c r="D68" s="2013"/>
      <c r="E68" s="2096" t="s">
        <v>154</v>
      </c>
      <c r="F68" s="2012"/>
    </row>
    <row r="69" spans="1:6" ht="8.1" customHeight="1" x14ac:dyDescent="0.2">
      <c r="A69" s="2021"/>
      <c r="B69" s="2014"/>
      <c r="C69" s="2012"/>
      <c r="D69" s="2013"/>
      <c r="E69" s="2014"/>
      <c r="F69" s="2012"/>
    </row>
    <row r="70" spans="1:6" ht="12.95" customHeight="1" x14ac:dyDescent="0.2">
      <c r="A70" s="3226" t="s">
        <v>155</v>
      </c>
      <c r="B70" s="3228" t="s">
        <v>156</v>
      </c>
      <c r="C70" s="2012"/>
      <c r="D70" s="2016"/>
      <c r="E70" s="2095" t="s">
        <v>157</v>
      </c>
      <c r="F70" s="2012"/>
    </row>
    <row r="71" spans="1:6" ht="12.95" customHeight="1" x14ac:dyDescent="0.2">
      <c r="A71" s="3227"/>
      <c r="B71" s="3229"/>
      <c r="C71" s="2012"/>
      <c r="D71" s="2013"/>
      <c r="E71" s="2096" t="s">
        <v>158</v>
      </c>
      <c r="F71" s="2012"/>
    </row>
    <row r="72" spans="1:6" ht="5.0999999999999996" customHeight="1" x14ac:dyDescent="0.2">
      <c r="A72" s="2021"/>
      <c r="B72" s="2014"/>
      <c r="C72" s="2012"/>
      <c r="D72" s="2013"/>
      <c r="E72" s="2035"/>
      <c r="F72" s="2012"/>
    </row>
    <row r="73" spans="1:6" ht="12.95" customHeight="1" x14ac:dyDescent="0.2">
      <c r="A73" s="3226" t="s">
        <v>159</v>
      </c>
      <c r="B73" s="3238" t="s">
        <v>160</v>
      </c>
      <c r="C73" s="2012"/>
      <c r="D73" s="2016"/>
      <c r="E73" s="2095" t="s">
        <v>161</v>
      </c>
      <c r="F73" s="2012"/>
    </row>
    <row r="74" spans="1:6" ht="12.95" customHeight="1" x14ac:dyDescent="0.2">
      <c r="A74" s="3227"/>
      <c r="B74" s="3239"/>
      <c r="C74" s="2012"/>
      <c r="D74" s="2013"/>
      <c r="E74" s="2096" t="s">
        <v>162</v>
      </c>
      <c r="F74" s="2012"/>
    </row>
    <row r="75" spans="1:6" ht="5.0999999999999996" customHeight="1" x14ac:dyDescent="0.2">
      <c r="A75" s="2021"/>
      <c r="B75" s="2014"/>
      <c r="C75" s="2012"/>
      <c r="D75" s="2013"/>
      <c r="E75" s="2035"/>
      <c r="F75" s="2012"/>
    </row>
    <row r="76" spans="1:6" ht="12.95" customHeight="1" x14ac:dyDescent="0.2">
      <c r="A76" s="3226" t="s">
        <v>163</v>
      </c>
      <c r="B76" s="3238" t="s">
        <v>164</v>
      </c>
      <c r="C76" s="2012"/>
      <c r="D76" s="2016"/>
      <c r="E76" s="2095" t="s">
        <v>165</v>
      </c>
      <c r="F76" s="2012"/>
    </row>
    <row r="77" spans="1:6" ht="12.95" customHeight="1" x14ac:dyDescent="0.2">
      <c r="A77" s="3227"/>
      <c r="B77" s="3239"/>
      <c r="C77" s="2012"/>
      <c r="D77" s="2013"/>
      <c r="E77" s="2096" t="s">
        <v>166</v>
      </c>
      <c r="F77" s="2012"/>
    </row>
    <row r="78" spans="1:6" ht="5.0999999999999996" customHeight="1" x14ac:dyDescent="0.2">
      <c r="A78" s="2021"/>
      <c r="B78" s="2014"/>
      <c r="C78" s="2012"/>
      <c r="D78" s="2013"/>
      <c r="E78" s="2035"/>
      <c r="F78" s="2012"/>
    </row>
    <row r="79" spans="1:6" ht="12.95" customHeight="1" x14ac:dyDescent="0.2">
      <c r="A79" s="3226" t="s">
        <v>167</v>
      </c>
      <c r="B79" s="3228" t="s">
        <v>168</v>
      </c>
      <c r="C79" s="2012"/>
      <c r="D79" s="2016"/>
      <c r="E79" s="2095" t="s">
        <v>169</v>
      </c>
      <c r="F79" s="2012"/>
    </row>
    <row r="80" spans="1:6" ht="12.95" customHeight="1" x14ac:dyDescent="0.2">
      <c r="A80" s="3235"/>
      <c r="B80" s="3237"/>
      <c r="C80" s="2012"/>
      <c r="D80" s="2013"/>
      <c r="E80" s="2096" t="s">
        <v>170</v>
      </c>
      <c r="F80" s="2012"/>
    </row>
    <row r="81" spans="1:6" ht="5.0999999999999996" customHeight="1" x14ac:dyDescent="0.2">
      <c r="A81" s="2021"/>
      <c r="B81" s="2014"/>
      <c r="C81" s="2012"/>
      <c r="D81" s="2013"/>
      <c r="E81" s="2035"/>
      <c r="F81" s="2012"/>
    </row>
    <row r="82" spans="1:6" ht="12.95" customHeight="1" x14ac:dyDescent="0.2">
      <c r="A82" s="2018" t="s">
        <v>171</v>
      </c>
      <c r="B82" s="2036" t="s">
        <v>172</v>
      </c>
      <c r="C82" s="2012"/>
      <c r="D82" s="2013"/>
      <c r="E82" s="2037" t="s">
        <v>173</v>
      </c>
      <c r="F82" s="2012"/>
    </row>
    <row r="83" spans="1:6" ht="5.0999999999999996" customHeight="1" x14ac:dyDescent="0.2">
      <c r="A83" s="2021"/>
      <c r="B83" s="2014"/>
      <c r="C83" s="2012"/>
      <c r="D83" s="2013"/>
      <c r="E83" s="2035"/>
      <c r="F83" s="2012"/>
    </row>
    <row r="84" spans="1:6" ht="12.95" customHeight="1" x14ac:dyDescent="0.2">
      <c r="A84" s="2021"/>
      <c r="B84" s="2014"/>
      <c r="C84" s="2012"/>
      <c r="D84" s="2013"/>
      <c r="E84" s="2095" t="s">
        <v>174</v>
      </c>
      <c r="F84" s="2012"/>
    </row>
    <row r="85" spans="1:6" ht="12.95" customHeight="1" x14ac:dyDescent="0.2">
      <c r="A85" s="3226" t="s">
        <v>175</v>
      </c>
      <c r="B85" s="3238" t="s">
        <v>176</v>
      </c>
      <c r="C85" s="2012"/>
      <c r="D85" s="2013"/>
      <c r="E85" s="2027" t="s">
        <v>177</v>
      </c>
      <c r="F85" s="2012"/>
    </row>
    <row r="86" spans="1:6" ht="12.95" customHeight="1" x14ac:dyDescent="0.2">
      <c r="A86" s="3227"/>
      <c r="B86" s="3239"/>
      <c r="C86" s="2012"/>
      <c r="D86" s="2013"/>
      <c r="E86" s="2027" t="s">
        <v>178</v>
      </c>
      <c r="F86" s="2012"/>
    </row>
    <row r="87" spans="1:6" ht="12.95" customHeight="1" x14ac:dyDescent="0.2">
      <c r="A87" s="2021"/>
      <c r="B87" s="2014"/>
      <c r="C87" s="2012"/>
      <c r="D87" s="2013"/>
      <c r="E87" s="2096" t="s">
        <v>179</v>
      </c>
      <c r="F87" s="2012"/>
    </row>
    <row r="88" spans="1:6" ht="5.0999999999999996" customHeight="1" x14ac:dyDescent="0.2">
      <c r="A88" s="2021"/>
      <c r="B88" s="2014"/>
      <c r="C88" s="2012"/>
      <c r="D88" s="2013"/>
      <c r="E88" s="2035"/>
      <c r="F88" s="2012"/>
    </row>
    <row r="89" spans="1:6" ht="12.95" customHeight="1" x14ac:dyDescent="0.2">
      <c r="A89" s="2018" t="s">
        <v>180</v>
      </c>
      <c r="B89" s="2038" t="s">
        <v>181</v>
      </c>
      <c r="C89" s="2039"/>
      <c r="D89" s="2013"/>
      <c r="E89" s="2037" t="s">
        <v>182</v>
      </c>
      <c r="F89" s="2012"/>
    </row>
    <row r="90" spans="1:6" ht="5.0999999999999996" customHeight="1" x14ac:dyDescent="0.2">
      <c r="A90" s="2021"/>
      <c r="B90" s="2014"/>
      <c r="C90" s="2012"/>
      <c r="D90" s="2013"/>
      <c r="E90" s="2035"/>
      <c r="F90" s="2012"/>
    </row>
    <row r="91" spans="1:6" ht="12.95" customHeight="1" x14ac:dyDescent="0.2">
      <c r="A91" s="3226" t="s">
        <v>183</v>
      </c>
      <c r="B91" s="3242" t="s">
        <v>184</v>
      </c>
      <c r="C91" s="2039"/>
      <c r="D91" s="2013"/>
      <c r="E91" s="2095" t="s">
        <v>185</v>
      </c>
      <c r="F91" s="2012"/>
    </row>
    <row r="92" spans="1:6" ht="12.95" customHeight="1" x14ac:dyDescent="0.2">
      <c r="A92" s="3235"/>
      <c r="B92" s="3243"/>
      <c r="C92" s="2039"/>
      <c r="D92" s="2013"/>
      <c r="E92" s="2096" t="s">
        <v>8710</v>
      </c>
      <c r="F92" s="2012"/>
    </row>
    <row r="93" spans="1:6" ht="5.0999999999999996" customHeight="1" x14ac:dyDescent="0.2">
      <c r="A93" s="2021"/>
      <c r="B93" s="2014"/>
      <c r="C93" s="2012"/>
      <c r="D93" s="2013"/>
      <c r="E93" s="2035"/>
      <c r="F93" s="2012"/>
    </row>
    <row r="94" spans="1:6" ht="12.95" customHeight="1" x14ac:dyDescent="0.2">
      <c r="A94" s="3226" t="s">
        <v>186</v>
      </c>
      <c r="B94" s="3242" t="s">
        <v>187</v>
      </c>
      <c r="C94" s="2039"/>
      <c r="D94" s="2013"/>
      <c r="E94" s="2095" t="s">
        <v>188</v>
      </c>
      <c r="F94" s="2012"/>
    </row>
    <row r="95" spans="1:6" ht="12.95" customHeight="1" x14ac:dyDescent="0.2">
      <c r="A95" s="3235"/>
      <c r="B95" s="3243"/>
      <c r="C95" s="2039"/>
      <c r="D95" s="2013"/>
      <c r="E95" s="2096" t="s">
        <v>8711</v>
      </c>
      <c r="F95" s="2012"/>
    </row>
    <row r="96" spans="1:6" ht="5.0999999999999996" customHeight="1" x14ac:dyDescent="0.2">
      <c r="A96" s="2021"/>
      <c r="B96" s="2014"/>
      <c r="C96" s="2012"/>
      <c r="D96" s="2013"/>
      <c r="E96" s="2035"/>
      <c r="F96" s="2012"/>
    </row>
    <row r="97" spans="1:6" ht="12.95" customHeight="1" x14ac:dyDescent="0.2">
      <c r="A97" s="3226" t="s">
        <v>189</v>
      </c>
      <c r="B97" s="3240" t="s">
        <v>190</v>
      </c>
      <c r="C97" s="2039"/>
      <c r="D97" s="2013"/>
      <c r="E97" s="2095" t="s">
        <v>8712</v>
      </c>
      <c r="F97" s="2012"/>
    </row>
    <row r="98" spans="1:6" ht="12.95" customHeight="1" x14ac:dyDescent="0.2">
      <c r="A98" s="3235"/>
      <c r="B98" s="3241"/>
      <c r="C98" s="2039"/>
      <c r="D98" s="2013"/>
      <c r="E98" s="2096" t="s">
        <v>8713</v>
      </c>
      <c r="F98" s="2012"/>
    </row>
    <row r="99" spans="1:6" ht="5.0999999999999996" customHeight="1" x14ac:dyDescent="0.25">
      <c r="A99" s="2001"/>
      <c r="B99" s="2002"/>
      <c r="C99" s="2002"/>
      <c r="D99" s="2001"/>
      <c r="E99" s="2002"/>
      <c r="F99" s="2002"/>
    </row>
    <row r="100" spans="1:6" ht="15" hidden="1" x14ac:dyDescent="0.25">
      <c r="A100" s="2018" t="s">
        <v>191</v>
      </c>
      <c r="B100" s="2038" t="s">
        <v>192</v>
      </c>
      <c r="C100" s="2002"/>
      <c r="D100" s="2001"/>
      <c r="E100" s="2037" t="s">
        <v>193</v>
      </c>
      <c r="F100" s="2002"/>
    </row>
    <row r="101" spans="1:6" ht="15" x14ac:dyDescent="0.25">
      <c r="A101" s="2001"/>
      <c r="B101" s="2002"/>
      <c r="C101" s="2002"/>
      <c r="D101" s="2001"/>
      <c r="E101" s="2002" t="s">
        <v>8714</v>
      </c>
      <c r="F101" s="2002"/>
    </row>
  </sheetData>
  <sheetProtection algorithmName="SHA-512" hashValue="CErEP22tQNFAaYAYDJjVtfIWrMA/+g8ileMZtF7DvwYw2UGkuSKoVBNni2OUaDlEcQzA39PaDu5vBhEt2gI8Uw==" saltValue="akTRGyjjN05DgYr9ArTWsA==" spinCount="100000" sheet="1" objects="1" scenarios="1"/>
  <mergeCells count="25">
    <mergeCell ref="A97:A98"/>
    <mergeCell ref="B97:B98"/>
    <mergeCell ref="A85:A86"/>
    <mergeCell ref="B85:B86"/>
    <mergeCell ref="A91:A92"/>
    <mergeCell ref="B91:B92"/>
    <mergeCell ref="A94:A95"/>
    <mergeCell ref="B94:B95"/>
    <mergeCell ref="A73:A74"/>
    <mergeCell ref="B73:B74"/>
    <mergeCell ref="A76:A77"/>
    <mergeCell ref="B76:B77"/>
    <mergeCell ref="A79:A80"/>
    <mergeCell ref="B79:B80"/>
    <mergeCell ref="A41:A43"/>
    <mergeCell ref="B41:B43"/>
    <mergeCell ref="A70:A71"/>
    <mergeCell ref="B70:B71"/>
    <mergeCell ref="A32:A34"/>
    <mergeCell ref="B32:B34"/>
    <mergeCell ref="A3:B3"/>
    <mergeCell ref="A18:A19"/>
    <mergeCell ref="B18:B19"/>
    <mergeCell ref="E21:E22"/>
    <mergeCell ref="E26:E27"/>
  </mergeCells>
  <pageMargins left="0.23622047244094491" right="0.23622047244094491" top="0.74803149606299213" bottom="0.74803149606299213" header="0.31496062992125984" footer="0.31496062992125984"/>
  <pageSetup paperSize="9" scale="98" fitToWidth="0" fitToHeight="0" orientation="portrait" r:id="rId1"/>
  <headerFooter>
    <oddFooter>&amp;L© Bayerische Landesanstalt für Landwirtschaft, Agrarökologie - Düngung (Of, Kj, Mk); Stand: 17.10.24</oddFooter>
  </headerFooter>
  <rowBreaks count="1" manualBreakCount="1">
    <brk id="49"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2:K22"/>
  <sheetViews>
    <sheetView showGridLines="0" zoomScaleNormal="100" workbookViewId="0"/>
  </sheetViews>
  <sheetFormatPr baseColWidth="10" defaultRowHeight="12.75" x14ac:dyDescent="0.2"/>
  <cols>
    <col min="1" max="1" width="3.28515625" customWidth="1"/>
    <col min="2" max="2" width="8.28515625" customWidth="1"/>
  </cols>
  <sheetData>
    <row r="2" spans="1:11" ht="33" customHeight="1" x14ac:dyDescent="0.2">
      <c r="A2" s="3246" t="s">
        <v>770</v>
      </c>
      <c r="B2" s="3246"/>
      <c r="C2" s="3246"/>
      <c r="D2" s="3246"/>
      <c r="E2" s="3246"/>
      <c r="F2" s="3246"/>
      <c r="G2" s="3246"/>
      <c r="H2" s="3246"/>
    </row>
    <row r="4" spans="1:11" x14ac:dyDescent="0.2">
      <c r="A4" s="26" t="s">
        <v>757</v>
      </c>
      <c r="C4" s="26" t="s">
        <v>760</v>
      </c>
    </row>
    <row r="5" spans="1:11" x14ac:dyDescent="0.2">
      <c r="A5" s="26"/>
      <c r="C5" s="26" t="s">
        <v>758</v>
      </c>
    </row>
    <row r="6" spans="1:11" x14ac:dyDescent="0.2">
      <c r="A6" s="26"/>
      <c r="C6" s="26" t="s">
        <v>759</v>
      </c>
    </row>
    <row r="7" spans="1:11" x14ac:dyDescent="0.2">
      <c r="A7" s="26"/>
      <c r="C7" s="26" t="s">
        <v>761</v>
      </c>
      <c r="K7" s="586"/>
    </row>
    <row r="8" spans="1:11" x14ac:dyDescent="0.2">
      <c r="A8" s="26"/>
    </row>
    <row r="9" spans="1:11" x14ac:dyDescent="0.2">
      <c r="A9" s="585" t="s">
        <v>763</v>
      </c>
    </row>
    <row r="10" spans="1:11" ht="15" x14ac:dyDescent="0.2">
      <c r="A10" s="26"/>
      <c r="B10" s="3245" t="s">
        <v>768</v>
      </c>
      <c r="C10" s="3245"/>
      <c r="D10" s="3245"/>
      <c r="E10" s="3245"/>
      <c r="F10" s="3245"/>
      <c r="G10" s="3245"/>
      <c r="H10" s="3245"/>
    </row>
    <row r="11" spans="1:11" x14ac:dyDescent="0.2">
      <c r="A11" s="26"/>
    </row>
    <row r="12" spans="1:11" ht="13.5" customHeight="1" x14ac:dyDescent="0.2">
      <c r="A12" s="585" t="s">
        <v>764</v>
      </c>
    </row>
    <row r="13" spans="1:11" ht="32.25" customHeight="1" x14ac:dyDescent="0.2">
      <c r="A13" s="26"/>
      <c r="B13" s="3244" t="s">
        <v>766</v>
      </c>
      <c r="C13" s="3244"/>
      <c r="D13" s="3244"/>
      <c r="E13" s="3244"/>
      <c r="F13" s="3244"/>
      <c r="G13" s="3244"/>
      <c r="H13" s="3244"/>
    </row>
    <row r="14" spans="1:11" ht="53.25" customHeight="1" x14ac:dyDescent="0.2">
      <c r="A14" s="26"/>
      <c r="B14" s="3244" t="s">
        <v>767</v>
      </c>
      <c r="C14" s="3244"/>
      <c r="D14" s="3244"/>
      <c r="E14" s="3244"/>
      <c r="F14" s="3244"/>
      <c r="G14" s="3244"/>
      <c r="H14" s="3244"/>
    </row>
    <row r="15" spans="1:11" ht="43.5" customHeight="1" x14ac:dyDescent="0.2">
      <c r="B15" s="3244" t="s">
        <v>769</v>
      </c>
      <c r="C15" s="3244"/>
      <c r="D15" s="3244"/>
      <c r="E15" s="3244"/>
      <c r="F15" s="3244"/>
      <c r="G15" s="3244"/>
      <c r="H15" s="3244"/>
    </row>
    <row r="17" spans="1:2" x14ac:dyDescent="0.2">
      <c r="A17" s="585" t="s">
        <v>765</v>
      </c>
    </row>
    <row r="18" spans="1:2" x14ac:dyDescent="0.2">
      <c r="B18" s="26" t="s">
        <v>762</v>
      </c>
    </row>
    <row r="20" spans="1:2" x14ac:dyDescent="0.2">
      <c r="A20" s="26"/>
    </row>
    <row r="21" spans="1:2" x14ac:dyDescent="0.2">
      <c r="A21" s="26"/>
    </row>
    <row r="22" spans="1:2" x14ac:dyDescent="0.2">
      <c r="A22" s="26"/>
    </row>
  </sheetData>
  <sheetProtection algorithmName="SHA-512" hashValue="tPRT138DOYmlefDzQ4ctPDIrSjFLaztCmngpVA6xReJKbmDkt9Lp2T+OcAIUduVZWpydqi2MaHCrdkOL97E0iw==" saltValue="DNqbZTS9XdrtIM49m5ZpZA==" spinCount="100000" sheet="1" objects="1" scenarios="1"/>
  <mergeCells count="5">
    <mergeCell ref="B13:H13"/>
    <mergeCell ref="B14:H14"/>
    <mergeCell ref="B15:H15"/>
    <mergeCell ref="B10:H10"/>
    <mergeCell ref="A2:H2"/>
  </mergeCells>
  <pageMargins left="0.70866141732283472" right="0.70866141732283472" top="0.78740157480314965" bottom="0.78740157480314965" header="0.31496062992125984" footer="0.31496062992125984"/>
  <pageSetup paperSize="9" orientation="portrait" r:id="rId1"/>
  <headerFooter>
    <oddFooter>&amp;C© Bayerische Landesanstalt für Landwirtschaft (Of, Kj, Mk); Stand: 17.10.24</oddFooter>
  </headerFooter>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Q150"/>
  <sheetViews>
    <sheetView workbookViewId="0"/>
  </sheetViews>
  <sheetFormatPr baseColWidth="10" defaultColWidth="11.5703125" defaultRowHeight="15" x14ac:dyDescent="0.25"/>
  <cols>
    <col min="1" max="1" width="11.5703125" style="1685"/>
    <col min="2" max="2" width="24.140625" style="1685" customWidth="1"/>
    <col min="3" max="3" width="25.85546875" style="1685" customWidth="1"/>
    <col min="4" max="4" width="25.7109375" style="1685" customWidth="1"/>
    <col min="5" max="6" width="23.28515625" style="1685" customWidth="1"/>
    <col min="7" max="7" width="52.28515625" style="1685" customWidth="1"/>
    <col min="8" max="8" width="18.5703125" style="1685" customWidth="1"/>
    <col min="9" max="9" width="11.5703125" style="1685"/>
    <col min="10" max="10" width="11.42578125" style="1685" customWidth="1"/>
    <col min="11" max="69" width="11.5703125" style="1685"/>
    <col min="70" max="81" width="11.5703125" style="1685" customWidth="1"/>
    <col min="82" max="82" width="4.28515625" style="1685" customWidth="1"/>
    <col min="83" max="91" width="11.5703125" style="1685" customWidth="1"/>
    <col min="92" max="92" width="5.7109375" style="1685" customWidth="1"/>
    <col min="93" max="93" width="17.42578125" style="1685" customWidth="1"/>
    <col min="94" max="98" width="13.7109375" style="1685" customWidth="1"/>
    <col min="99" max="99" width="17.42578125" style="1685" customWidth="1"/>
    <col min="100" max="104" width="13.7109375" style="1685" customWidth="1"/>
    <col min="105" max="105" width="17.42578125" style="1685" customWidth="1"/>
    <col min="106" max="107" width="13.28515625" style="1685" customWidth="1"/>
    <col min="108" max="110" width="13.7109375" style="1685" customWidth="1"/>
    <col min="111" max="111" width="17.42578125" style="1685" customWidth="1"/>
    <col min="112" max="113" width="13.28515625" style="1685" customWidth="1"/>
    <col min="114" max="116" width="13.7109375" style="1685" customWidth="1"/>
    <col min="117" max="117" width="17.42578125" style="1685" customWidth="1"/>
    <col min="118" max="121" width="13.28515625" style="1685" customWidth="1"/>
    <col min="122" max="122" width="13.7109375" style="1685" customWidth="1"/>
    <col min="123" max="123" width="11.5703125" style="1685" customWidth="1"/>
    <col min="124" max="124" width="4" style="1685" customWidth="1"/>
    <col min="125" max="125" width="17.140625" style="1685" customWidth="1"/>
    <col min="126" max="127" width="13.7109375" style="1685" customWidth="1"/>
    <col min="128" max="130" width="12.85546875" style="1685" customWidth="1"/>
    <col min="131" max="131" width="18.85546875" style="1685" customWidth="1"/>
    <col min="132" max="133" width="14" style="1685" customWidth="1"/>
    <col min="134" max="136" width="12.42578125" style="1685" customWidth="1"/>
    <col min="137" max="137" width="20.5703125" style="1685" customWidth="1"/>
    <col min="138" max="139" width="14.28515625" style="1685" customWidth="1"/>
    <col min="140" max="142" width="12.140625" style="1685" customWidth="1"/>
    <col min="143" max="143" width="20" style="1685" customWidth="1"/>
    <col min="144" max="145" width="13.5703125" style="1685" customWidth="1"/>
    <col min="146" max="148" width="13.7109375" style="1685" customWidth="1"/>
    <col min="149" max="149" width="18.7109375" style="1685" customWidth="1"/>
    <col min="150" max="151" width="13.85546875" style="1685" customWidth="1"/>
    <col min="152" max="154" width="14.28515625" style="1685" customWidth="1"/>
    <col min="155" max="155" width="13.85546875" style="1685" customWidth="1"/>
    <col min="156" max="156" width="11.5703125" style="1685" customWidth="1"/>
    <col min="157" max="157" width="17.7109375" style="1705" customWidth="1"/>
    <col min="158" max="159" width="11.5703125" style="1705" customWidth="1"/>
    <col min="160" max="162" width="11.85546875" style="1705" customWidth="1"/>
    <col min="163" max="163" width="18.28515625" style="1705" customWidth="1"/>
    <col min="164" max="165" width="11.5703125" style="1705" customWidth="1"/>
    <col min="166" max="168" width="12.5703125" style="1705" customWidth="1"/>
    <col min="169" max="169" width="17.28515625" style="1705" customWidth="1"/>
    <col min="170" max="171" width="11.5703125" style="1705" customWidth="1"/>
    <col min="172" max="174" width="12.85546875" style="1705" customWidth="1"/>
    <col min="175" max="175" width="17.7109375" style="1705" customWidth="1"/>
    <col min="176" max="177" width="11.5703125" style="1705" customWidth="1"/>
    <col min="178" max="180" width="10.7109375" style="1705" customWidth="1"/>
    <col min="181" max="181" width="17.140625" style="1705" customWidth="1"/>
    <col min="182" max="183" width="11.5703125" style="1705" customWidth="1"/>
    <col min="184" max="186" width="11.85546875" style="1705" customWidth="1"/>
    <col min="187" max="188" width="11.5703125" style="1685" customWidth="1"/>
    <col min="189" max="189" width="17.7109375" style="1685" customWidth="1"/>
    <col min="190" max="194" width="11.5703125" style="1685" customWidth="1"/>
    <col min="195" max="195" width="19.140625" style="1685" customWidth="1"/>
    <col min="196" max="197" width="11.5703125" style="1685" customWidth="1"/>
    <col min="198" max="200" width="12.28515625" style="1685" customWidth="1"/>
    <col min="201" max="201" width="17.42578125" style="1685" customWidth="1"/>
    <col min="202" max="206" width="11.5703125" style="1685" customWidth="1"/>
    <col min="207" max="207" width="17.7109375" style="1685" customWidth="1"/>
    <col min="208" max="212" width="11.5703125" style="1685" customWidth="1"/>
    <col min="213" max="213" width="16.42578125" style="1685" customWidth="1"/>
    <col min="214" max="221" width="11.5703125" style="1685" customWidth="1"/>
    <col min="222" max="222" width="21" style="1685" customWidth="1"/>
    <col min="223" max="227" width="11.5703125" style="1685" customWidth="1"/>
    <col min="228" max="228" width="16.7109375" style="1685" customWidth="1"/>
    <col min="229" max="235" width="11.5703125" style="1685" customWidth="1"/>
    <col min="236" max="236" width="21" style="1685" customWidth="1"/>
    <col min="237" max="241" width="11.5703125" style="1685" customWidth="1"/>
    <col min="242" max="242" width="16.7109375" style="1685" customWidth="1"/>
    <col min="243" max="249" width="11.5703125" style="1685" customWidth="1"/>
    <col min="250" max="250" width="21" style="1685" customWidth="1"/>
    <col min="251" max="255" width="11.5703125" style="1685" customWidth="1"/>
    <col min="256" max="256" width="16.7109375" style="1685" customWidth="1"/>
    <col min="257" max="263" width="11.5703125" style="1685" customWidth="1"/>
    <col min="264" max="264" width="21" style="1685" customWidth="1"/>
    <col min="265" max="269" width="11.5703125" style="1685" customWidth="1"/>
    <col min="270" max="270" width="16.7109375" style="1685" customWidth="1"/>
    <col min="271" max="276" width="11.5703125" style="1685" customWidth="1"/>
    <col min="277" max="16384" width="11.5703125" style="1685"/>
  </cols>
  <sheetData>
    <row r="1" spans="1:303" ht="34.15" customHeight="1" thickBot="1" x14ac:dyDescent="0.3">
      <c r="A1" s="1685" t="s">
        <v>8625</v>
      </c>
      <c r="B1" s="1686" t="s">
        <v>8541</v>
      </c>
      <c r="C1" s="1687"/>
      <c r="D1" s="1687"/>
      <c r="E1" s="1687"/>
      <c r="F1" s="1687"/>
      <c r="G1" s="1687"/>
      <c r="H1" s="1688"/>
      <c r="AR1" s="1685" t="s">
        <v>8542</v>
      </c>
      <c r="AS1" s="3251"/>
      <c r="AT1" s="3251"/>
      <c r="AU1" s="3251"/>
      <c r="AV1" s="3251"/>
      <c r="AW1" s="3251"/>
      <c r="AX1" s="3251"/>
      <c r="AY1" s="3251"/>
      <c r="AZ1" s="3251"/>
      <c r="BA1" s="3251"/>
      <c r="BB1" s="3251"/>
      <c r="BC1" s="3251"/>
      <c r="BD1" s="3251"/>
      <c r="BE1" s="3251"/>
      <c r="BF1" s="3251"/>
      <c r="BG1" s="3251"/>
      <c r="BH1" s="3251"/>
      <c r="BI1" s="3251"/>
      <c r="BJ1" s="3251"/>
      <c r="BK1" s="3251"/>
      <c r="BL1" s="3251"/>
      <c r="BM1" s="3251"/>
      <c r="BN1" s="3251"/>
      <c r="BO1" s="3251"/>
      <c r="BP1" s="3251"/>
      <c r="BQ1" s="3251"/>
      <c r="BR1" s="3251"/>
      <c r="BS1" s="3251"/>
      <c r="BT1" s="3251"/>
      <c r="BU1" s="3251"/>
      <c r="BV1" s="3251"/>
      <c r="BW1" s="3251"/>
      <c r="BX1" s="3251"/>
      <c r="BY1" s="1689"/>
      <c r="BZ1" s="1689"/>
      <c r="CA1" s="1689"/>
      <c r="CB1" s="1689"/>
      <c r="CC1" s="1689"/>
      <c r="CO1" s="1690"/>
      <c r="CP1" s="1690"/>
      <c r="CQ1" s="1690"/>
      <c r="CR1" s="1690"/>
      <c r="CS1" s="1690"/>
      <c r="CT1" s="1690"/>
      <c r="CU1" s="1690"/>
      <c r="CV1" s="1690"/>
      <c r="CW1" s="1690"/>
      <c r="CX1" s="1690"/>
      <c r="CY1" s="1690"/>
      <c r="CZ1" s="1690"/>
      <c r="DA1" s="1690"/>
      <c r="DB1" s="1690"/>
      <c r="DC1" s="1690"/>
      <c r="DD1" s="1690"/>
      <c r="DE1" s="1690"/>
      <c r="DF1" s="1690"/>
      <c r="DG1" s="1690"/>
      <c r="DH1" s="1690"/>
      <c r="DI1" s="1690"/>
      <c r="DJ1" s="1690"/>
      <c r="DK1" s="1690"/>
      <c r="DL1" s="1690"/>
      <c r="DM1" s="1690"/>
      <c r="DN1" s="1690"/>
      <c r="DO1" s="1690"/>
      <c r="DP1" s="1690"/>
      <c r="DQ1" s="1690"/>
      <c r="DR1" s="1690"/>
      <c r="DU1" s="1690"/>
      <c r="DV1" s="1690"/>
      <c r="DW1" s="1690"/>
      <c r="DX1" s="1690"/>
      <c r="DY1" s="1690"/>
      <c r="DZ1" s="1690"/>
      <c r="EA1" s="1690"/>
      <c r="EB1" s="1690"/>
      <c r="EC1" s="1690"/>
      <c r="ED1" s="1690"/>
      <c r="EE1" s="1690"/>
      <c r="EF1" s="1690"/>
      <c r="EG1" s="1690"/>
      <c r="EH1" s="1690"/>
      <c r="EI1" s="1690"/>
      <c r="EJ1" s="1690"/>
      <c r="EK1" s="1690"/>
      <c r="EL1" s="1690"/>
      <c r="EM1" s="1690"/>
      <c r="EN1" s="1690"/>
      <c r="EO1" s="1690"/>
      <c r="EP1" s="1690"/>
      <c r="EQ1" s="1690"/>
      <c r="ER1" s="1690"/>
      <c r="ES1" s="1690"/>
      <c r="ET1" s="1690"/>
      <c r="EU1" s="1690"/>
      <c r="EV1" s="1690"/>
      <c r="EW1" s="1691"/>
      <c r="EX1" s="1691"/>
      <c r="EY1" s="1692"/>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4"/>
      <c r="GD1" s="1694"/>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6"/>
      <c r="HJ1" s="1696"/>
      <c r="HK1" s="1696"/>
      <c r="HN1" s="1690"/>
      <c r="HO1" s="1690"/>
      <c r="HP1" s="1690"/>
      <c r="HQ1" s="1690"/>
      <c r="HR1" s="1690"/>
      <c r="HS1" s="1690"/>
      <c r="HT1" s="1690"/>
      <c r="HU1" s="1690"/>
      <c r="HV1" s="1690"/>
      <c r="HW1" s="1690"/>
      <c r="HX1" s="1691"/>
      <c r="HY1" s="1691"/>
      <c r="IB1" s="1690"/>
      <c r="IC1" s="1690"/>
      <c r="ID1" s="1690"/>
      <c r="IE1" s="1690"/>
      <c r="IF1" s="1690"/>
      <c r="IG1" s="1690"/>
      <c r="IH1" s="1690"/>
      <c r="II1" s="1690"/>
      <c r="IJ1" s="1690"/>
      <c r="IK1" s="1690"/>
      <c r="IL1" s="1691"/>
      <c r="IM1" s="1691"/>
      <c r="IP1" s="1690"/>
      <c r="IQ1" s="1690"/>
      <c r="IR1" s="1690"/>
      <c r="IS1" s="1690"/>
      <c r="IT1" s="1690"/>
      <c r="IU1" s="1690"/>
      <c r="IV1" s="1690"/>
      <c r="IW1" s="1690"/>
      <c r="IX1" s="1690"/>
      <c r="IY1" s="1690"/>
      <c r="IZ1" s="1691"/>
      <c r="JA1" s="1691"/>
      <c r="JD1" s="1690"/>
      <c r="JE1" s="1690"/>
      <c r="JF1" s="1690"/>
      <c r="JG1" s="1690"/>
      <c r="JH1" s="1690"/>
      <c r="JI1" s="1690"/>
      <c r="JJ1" s="1690"/>
      <c r="JK1" s="1690"/>
      <c r="JL1" s="1690"/>
      <c r="JM1" s="1690"/>
      <c r="JN1" s="1691"/>
      <c r="JO1" s="1691"/>
      <c r="JZ1" s="1697"/>
      <c r="KA1" s="1697"/>
      <c r="KB1" s="1697"/>
      <c r="KC1" s="1697"/>
      <c r="KD1" s="1697"/>
      <c r="KE1" s="1697"/>
      <c r="KF1" s="1697"/>
      <c r="KG1" s="1697"/>
      <c r="KH1" s="1697"/>
      <c r="KI1" s="1697"/>
      <c r="KJ1" s="1697"/>
      <c r="KK1" s="1697"/>
      <c r="KL1" s="1697"/>
      <c r="KM1" s="1697"/>
      <c r="KN1" s="1697"/>
      <c r="KO1" s="1697"/>
      <c r="KP1" s="1697"/>
      <c r="KQ1" s="1697"/>
    </row>
    <row r="2" spans="1:303" ht="14.45" customHeight="1" x14ac:dyDescent="0.3">
      <c r="H2" s="1698"/>
      <c r="I2" s="1698"/>
      <c r="L2" s="1699" t="s">
        <v>8543</v>
      </c>
      <c r="W2" s="3251" t="s">
        <v>8544</v>
      </c>
      <c r="X2" s="3251"/>
      <c r="Y2" s="3251"/>
      <c r="AP2" s="1685" t="s">
        <v>8489</v>
      </c>
      <c r="AS2" s="3252" t="s">
        <v>8504</v>
      </c>
      <c r="AT2" s="3252"/>
      <c r="AU2" s="3252"/>
      <c r="AV2" s="3252"/>
      <c r="AW2" s="3252"/>
      <c r="AX2" s="3253" t="s">
        <v>8505</v>
      </c>
      <c r="AY2" s="3253"/>
      <c r="AZ2" s="3253"/>
      <c r="BA2" s="3253"/>
      <c r="BB2" s="3253"/>
      <c r="BC2" s="3252" t="s">
        <v>8506</v>
      </c>
      <c r="BD2" s="3252"/>
      <c r="BE2" s="3252"/>
      <c r="BF2" s="3252"/>
      <c r="BG2" s="3252"/>
      <c r="BH2" s="3253" t="s">
        <v>8507</v>
      </c>
      <c r="BI2" s="3253"/>
      <c r="BJ2" s="3253"/>
      <c r="BK2" s="3253"/>
      <c r="BL2" s="3253"/>
      <c r="BM2" s="3252" t="s">
        <v>8508</v>
      </c>
      <c r="BN2" s="3252"/>
      <c r="BO2" s="3252"/>
      <c r="BP2" s="3252"/>
      <c r="BQ2" s="3252"/>
      <c r="BR2" s="3253" t="s">
        <v>8509</v>
      </c>
      <c r="BS2" s="3253"/>
      <c r="BT2" s="3253"/>
      <c r="BU2" s="3253"/>
      <c r="BV2" s="3253"/>
      <c r="BW2" s="3253"/>
      <c r="BX2" s="3253"/>
      <c r="BY2" s="3252" t="s">
        <v>8510</v>
      </c>
      <c r="BZ2" s="3252"/>
      <c r="CA2" s="3252"/>
      <c r="CB2" s="3252"/>
      <c r="CC2" s="3252"/>
      <c r="CT2" s="1689"/>
      <c r="CX2" s="1689"/>
      <c r="CY2" s="1689"/>
      <c r="CZ2" s="1689"/>
      <c r="DD2" s="1689"/>
      <c r="DE2" s="1689"/>
      <c r="DF2" s="1689"/>
      <c r="DJ2" s="1689"/>
      <c r="DK2" s="1689"/>
      <c r="DL2" s="1689"/>
      <c r="DP2" s="1689"/>
      <c r="DQ2" s="1689"/>
      <c r="DR2" s="1689"/>
      <c r="DU2" s="1689"/>
      <c r="DV2" s="1689"/>
      <c r="DW2" s="1689"/>
      <c r="DX2" s="1689"/>
      <c r="DY2" s="1689"/>
      <c r="DZ2" s="1689"/>
      <c r="EA2" s="1689"/>
      <c r="EB2" s="1689"/>
      <c r="EC2" s="1689"/>
      <c r="ED2" s="1689"/>
      <c r="EE2" s="1689"/>
      <c r="EF2" s="1689"/>
      <c r="EG2" s="1689"/>
      <c r="EH2" s="1689"/>
      <c r="EI2" s="1689"/>
      <c r="EJ2" s="1689"/>
      <c r="EK2" s="1689"/>
      <c r="EL2" s="1689"/>
      <c r="EM2" s="1689"/>
      <c r="EN2" s="1689"/>
      <c r="EO2" s="1689"/>
      <c r="EP2" s="1689"/>
      <c r="EQ2" s="1689"/>
      <c r="ER2" s="1689"/>
      <c r="ES2" s="1689"/>
      <c r="ET2" s="1689"/>
      <c r="EU2" s="1689"/>
      <c r="EV2" s="1689"/>
      <c r="EW2" s="1689"/>
      <c r="EX2" s="1689"/>
      <c r="EY2" s="1689"/>
      <c r="FA2" s="1700"/>
      <c r="FB2" s="1700"/>
      <c r="FC2" s="1700"/>
      <c r="FD2" s="1700"/>
      <c r="FE2" s="1700"/>
      <c r="FF2" s="1700"/>
      <c r="FG2" s="1700"/>
      <c r="FH2" s="1700"/>
      <c r="FI2" s="1700"/>
      <c r="FJ2" s="1700"/>
      <c r="FK2" s="1700"/>
      <c r="FL2" s="1700"/>
      <c r="FM2" s="1700"/>
      <c r="FN2" s="1700"/>
      <c r="FO2" s="1700"/>
      <c r="FP2" s="1700"/>
      <c r="FQ2" s="1700"/>
      <c r="FR2" s="1700"/>
      <c r="FS2" s="1700"/>
      <c r="FT2" s="1700"/>
      <c r="FU2" s="1700"/>
      <c r="FV2" s="1700"/>
      <c r="FW2" s="1700"/>
      <c r="FX2" s="1700"/>
      <c r="FY2" s="1700"/>
      <c r="FZ2" s="1700"/>
      <c r="GA2" s="1700"/>
      <c r="GB2" s="1700"/>
      <c r="GC2" s="1700"/>
      <c r="GD2" s="1700"/>
      <c r="GG2" s="1700"/>
      <c r="GH2" s="1700"/>
      <c r="GI2" s="1700"/>
      <c r="GJ2" s="1700"/>
      <c r="GK2" s="1700"/>
      <c r="GL2" s="1700"/>
      <c r="GM2" s="1700"/>
      <c r="GN2" s="1700"/>
      <c r="GO2" s="1700"/>
      <c r="GP2" s="1700"/>
      <c r="GQ2" s="1700"/>
      <c r="GR2" s="1700"/>
      <c r="GS2" s="1700"/>
      <c r="GT2" s="1700"/>
      <c r="GU2" s="1700"/>
      <c r="GV2" s="1700"/>
      <c r="GW2" s="1700"/>
      <c r="GX2" s="1700"/>
      <c r="GY2" s="1700"/>
      <c r="GZ2" s="1700"/>
      <c r="HA2" s="1700"/>
      <c r="HB2" s="1700"/>
      <c r="HC2" s="1700"/>
      <c r="HD2" s="1700"/>
      <c r="HE2" s="1700"/>
      <c r="HF2" s="1700"/>
      <c r="HG2" s="1700"/>
      <c r="HH2" s="1700"/>
      <c r="HI2" s="1700"/>
      <c r="HJ2" s="1700"/>
      <c r="HK2" s="1700"/>
      <c r="HN2" s="1689"/>
      <c r="HO2" s="1689"/>
      <c r="HP2" s="1689"/>
      <c r="HQ2" s="1689"/>
      <c r="HR2" s="1689"/>
      <c r="HS2" s="1689"/>
      <c r="HT2" s="1689"/>
      <c r="HU2" s="1689"/>
      <c r="HV2" s="1689"/>
      <c r="HW2" s="1689"/>
      <c r="HX2" s="1689"/>
      <c r="HY2" s="1689"/>
      <c r="IB2" s="1689"/>
      <c r="IC2" s="1689"/>
      <c r="ID2" s="1689"/>
      <c r="IE2" s="1689"/>
      <c r="IF2" s="1689"/>
      <c r="IG2" s="1689"/>
      <c r="IH2" s="1689"/>
      <c r="II2" s="1689"/>
      <c r="IJ2" s="1689"/>
      <c r="IK2" s="1689"/>
      <c r="IL2" s="1689"/>
      <c r="IM2" s="1689"/>
      <c r="IP2" s="1689"/>
      <c r="IQ2" s="1689"/>
      <c r="IR2" s="1689"/>
      <c r="IS2" s="1689"/>
      <c r="IT2" s="1689"/>
      <c r="IU2" s="1689"/>
      <c r="IV2" s="1689"/>
      <c r="IW2" s="1689"/>
      <c r="IX2" s="1689"/>
      <c r="IY2" s="1689"/>
      <c r="IZ2" s="1689"/>
      <c r="JA2" s="1689"/>
      <c r="JD2" s="1689"/>
      <c r="JE2" s="1689"/>
      <c r="JF2" s="1689"/>
      <c r="JG2" s="1689"/>
      <c r="JH2" s="1689"/>
      <c r="JI2" s="1689"/>
      <c r="JJ2" s="1689"/>
      <c r="JK2" s="1689"/>
      <c r="JL2" s="1689"/>
      <c r="JM2" s="1689"/>
      <c r="JN2" s="1689"/>
      <c r="JO2" s="1689"/>
    </row>
    <row r="3" spans="1:303" ht="18.75" x14ac:dyDescent="0.3">
      <c r="B3" s="1701" t="s">
        <v>8545</v>
      </c>
      <c r="C3" s="1702"/>
      <c r="D3" s="1702"/>
      <c r="E3" s="1702"/>
      <c r="F3" s="1702"/>
      <c r="G3" s="1702"/>
      <c r="H3" s="1702"/>
      <c r="I3" s="1703"/>
      <c r="L3" s="1685" t="s">
        <v>234</v>
      </c>
      <c r="Q3" s="3251" t="s">
        <v>8546</v>
      </c>
      <c r="R3" s="3251"/>
      <c r="S3" s="3251"/>
      <c r="T3" s="3251" t="s">
        <v>8547</v>
      </c>
      <c r="U3" s="3251"/>
      <c r="V3" s="3251"/>
      <c r="W3" s="1685" t="s">
        <v>8548</v>
      </c>
      <c r="X3" s="1685" t="s">
        <v>8549</v>
      </c>
      <c r="Y3" s="1685" t="s">
        <v>8550</v>
      </c>
      <c r="Z3" s="1685" t="s">
        <v>8551</v>
      </c>
      <c r="AG3" s="1685" t="s">
        <v>8552</v>
      </c>
      <c r="AJ3" s="1685" t="s">
        <v>8553</v>
      </c>
      <c r="AP3" s="1704" t="s">
        <v>8503</v>
      </c>
      <c r="AR3" s="1685" t="s">
        <v>8521</v>
      </c>
      <c r="AS3" s="1705" t="s">
        <v>8554</v>
      </c>
      <c r="AT3" s="1705" t="s">
        <v>8555</v>
      </c>
      <c r="AU3" s="1705" t="s">
        <v>8556</v>
      </c>
      <c r="AV3" s="1705" t="s">
        <v>8557</v>
      </c>
      <c r="AW3" s="1705" t="s">
        <v>8558</v>
      </c>
      <c r="AX3" s="1705" t="s">
        <v>8554</v>
      </c>
      <c r="AY3" s="1705" t="s">
        <v>8555</v>
      </c>
      <c r="AZ3" s="1705" t="s">
        <v>8556</v>
      </c>
      <c r="BA3" s="1705" t="s">
        <v>8557</v>
      </c>
      <c r="BB3" s="1705" t="s">
        <v>8558</v>
      </c>
      <c r="BC3" s="1705" t="s">
        <v>8554</v>
      </c>
      <c r="BD3" s="1705" t="s">
        <v>8555</v>
      </c>
      <c r="BE3" s="1705" t="s">
        <v>8556</v>
      </c>
      <c r="BF3" s="1705" t="s">
        <v>8557</v>
      </c>
      <c r="BG3" s="1705" t="s">
        <v>8558</v>
      </c>
      <c r="BH3" s="1705" t="s">
        <v>8554</v>
      </c>
      <c r="BI3" s="1705" t="s">
        <v>8555</v>
      </c>
      <c r="BJ3" s="1705" t="s">
        <v>8556</v>
      </c>
      <c r="BK3" s="1705" t="s">
        <v>8557</v>
      </c>
      <c r="BL3" s="1705" t="s">
        <v>8558</v>
      </c>
      <c r="BM3" s="1705" t="s">
        <v>8554</v>
      </c>
      <c r="BN3" s="1705" t="s">
        <v>8555</v>
      </c>
      <c r="BO3" s="1705" t="s">
        <v>8556</v>
      </c>
      <c r="BP3" s="1705" t="s">
        <v>8557</v>
      </c>
      <c r="BQ3" s="1705" t="s">
        <v>8558</v>
      </c>
      <c r="BR3" s="1705" t="s">
        <v>8559</v>
      </c>
      <c r="BS3" s="1705" t="s">
        <v>8560</v>
      </c>
      <c r="BT3" s="1705" t="s">
        <v>8561</v>
      </c>
      <c r="BU3" s="1705" t="s">
        <v>8562</v>
      </c>
      <c r="BV3" s="1705" t="s">
        <v>8563</v>
      </c>
      <c r="BW3" s="1705" t="s">
        <v>8564</v>
      </c>
      <c r="BX3" s="1705" t="s">
        <v>8565</v>
      </c>
      <c r="BY3" s="1705" t="s">
        <v>8559</v>
      </c>
      <c r="BZ3" s="1705" t="s">
        <v>8560</v>
      </c>
      <c r="CA3" s="1705" t="s">
        <v>8561</v>
      </c>
      <c r="CB3" s="1705" t="s">
        <v>8562</v>
      </c>
      <c r="CC3" s="1705" t="s">
        <v>8563</v>
      </c>
    </row>
    <row r="4" spans="1:303" x14ac:dyDescent="0.25">
      <c r="A4" s="1706" t="s">
        <v>8566</v>
      </c>
      <c r="B4" t="s">
        <v>8567</v>
      </c>
      <c r="C4"/>
      <c r="D4"/>
      <c r="E4" t="s">
        <v>8568</v>
      </c>
      <c r="F4" t="s">
        <v>195</v>
      </c>
      <c r="G4" t="s">
        <v>8569</v>
      </c>
      <c r="H4" t="s">
        <v>8570</v>
      </c>
      <c r="I4" t="s">
        <v>8571</v>
      </c>
      <c r="J4" t="s">
        <v>8096</v>
      </c>
      <c r="K4" t="s">
        <v>8572</v>
      </c>
      <c r="L4" t="s">
        <v>8573</v>
      </c>
      <c r="M4" t="s">
        <v>8574</v>
      </c>
      <c r="N4" t="s">
        <v>8575</v>
      </c>
      <c r="O4" t="s">
        <v>8576</v>
      </c>
      <c r="P4" t="s">
        <v>8577</v>
      </c>
      <c r="Q4" t="s">
        <v>35</v>
      </c>
      <c r="R4" t="s">
        <v>36</v>
      </c>
      <c r="S4" t="s">
        <v>37</v>
      </c>
      <c r="T4" t="s">
        <v>35</v>
      </c>
      <c r="U4" t="s">
        <v>36</v>
      </c>
      <c r="V4" t="s">
        <v>37</v>
      </c>
      <c r="W4"/>
      <c r="X4"/>
      <c r="Y4"/>
      <c r="Z4"/>
      <c r="AA4"/>
      <c r="AB4"/>
      <c r="AC4"/>
      <c r="AD4"/>
      <c r="AE4"/>
      <c r="AF4"/>
      <c r="AG4"/>
      <c r="AH4"/>
      <c r="AI4"/>
      <c r="AJ4"/>
      <c r="AK4"/>
      <c r="AL4"/>
      <c r="AM4"/>
      <c r="AN4"/>
      <c r="AO4"/>
      <c r="AP4" s="1707" t="s">
        <v>8519</v>
      </c>
      <c r="AR4" s="1708">
        <v>8</v>
      </c>
      <c r="AS4" s="1709">
        <f>IF(OR($C$12=$AR4,$D$12=$AR4),Schweine_Werte!$C4*0.5,IF(OR($C$12&gt;$AR4,$D$12&lt;$AR4),0,Schweine_Werte!$C4))</f>
        <v>0</v>
      </c>
      <c r="AT4" s="1709">
        <f>IF(OR($C$24=$AR4,$D$24=$AR4),Schweine_Werte!$C4*0.5,IF(OR($C$24&gt;$AR4,$D$24&lt;$AR4),0,Schweine_Werte!$C4))</f>
        <v>0</v>
      </c>
      <c r="AU4" s="1709">
        <f>IF(OR($C$36=$AR4,$D$36=$AR4),Schweine_Werte!$C4*0.5,IF(OR($C$36&gt;$AR4,$D$36&lt;$AR4),0,Schweine_Werte!$C4))</f>
        <v>0</v>
      </c>
      <c r="AV4" s="1709">
        <f>IF(OR($C$48=$AR4,$D$48=$AR4),Schweine_Werte!$C4*0.5,IF(OR($C$48&gt;$AR4,$D$48&lt;$AR4),0,Schweine_Werte!$C4))</f>
        <v>0</v>
      </c>
      <c r="AW4" s="1709">
        <f>IF(OR($C$60=$AR4,$D$60=$AR4),Schweine_Werte!$C4*0.5,IF(OR($C$60&gt;$AR4,$D$60&lt;$AR4),0,Schweine_Werte!$C4))</f>
        <v>0</v>
      </c>
      <c r="AX4" s="1709">
        <f>IF(OR($C$12=$AR4,$D$12=$AR4),Schweine_Werte!$E4*0.5,IF(OR($C$12&gt;$AR4,$D$12&lt;$AR4),0,Schweine_Werte!$E4))</f>
        <v>0</v>
      </c>
      <c r="AY4" s="1709">
        <f>IF(OR($C$24=$AR4,$D$24=$AR4),Schweine_Werte!$E4*0.5,IF(OR($C$24&gt;$AR4,$D$24&lt;$AR4),0,Schweine_Werte!$E4))</f>
        <v>0</v>
      </c>
      <c r="AZ4" s="1709">
        <f>IF(OR($C$36=$AR4,$D$36=$AR4),Schweine_Werte!$E4*0.5,IF(OR($C$36&gt;$AR4,$D$36&lt;$AR4),0,Schweine_Werte!$E4))</f>
        <v>0</v>
      </c>
      <c r="BA4" s="1709">
        <f>IF(OR($C$48=$AR4,$D$48=$AR4),Schweine_Werte!$E4*0.5,IF(OR($C$48&gt;$AR4,$D$48&lt;$AR4),0,Schweine_Werte!$E4))</f>
        <v>0</v>
      </c>
      <c r="BB4" s="1709">
        <f>IF(OR($C$60=$AR4,$D$60=$AR4),Schweine_Werte!$E4*0.5,IF(OR($C$60&gt;$AR4,$D$60&lt;$AR4),0,Schweine_Werte!$E4))</f>
        <v>0</v>
      </c>
      <c r="BC4" s="1709">
        <f>IF(OR($C$12=$AR4,$D$12=$AR4),Schweine_Werte!$G4*0.5,IF(OR($C$12&gt;$AR4,$D$12&lt;$AR4),0,Schweine_Werte!$G4))</f>
        <v>0</v>
      </c>
      <c r="BD4" s="1709">
        <f>IF(OR($C$24=$AR4,$D$24=$AR4),Schweine_Werte!$G4*0.5,IF(OR($C$24&gt;$AR4,$D$24&lt;$AR4),0,Schweine_Werte!$G4))</f>
        <v>0</v>
      </c>
      <c r="BE4" s="1709">
        <f>IF(OR($C$36=$AR4,$D$36=$AR4),Schweine_Werte!$G4*0.5,IF(OR($C$36&gt;$AR4,$D$36&lt;$AR4),0,Schweine_Werte!$G4))</f>
        <v>0</v>
      </c>
      <c r="BF4" s="1709">
        <f>IF(OR($C$48=$AR4,$D$48=$AR4),Schweine_Werte!$G4*0.5,IF(OR($C$48&gt;$AR4,$D$48&lt;$AR4),0,Schweine_Werte!$G4))</f>
        <v>0</v>
      </c>
      <c r="BG4" s="1709">
        <f>IF(OR($C$60=$AR4,$D$60=$AR4),Schweine_Werte!$G4*0.5,IF(OR($C$60&gt;$AR4,$D$60&lt;$AR4),0,Schweine_Werte!$G4))</f>
        <v>0</v>
      </c>
      <c r="BH4" s="1709">
        <f>IF(OR($C$12=$AR4,$D$12=$AR4),Schweine_Werte!$I4*0.5,IF(OR($C$12&gt;$AR4,$D$12&lt;$AR4),0,Schweine_Werte!$I4))</f>
        <v>0</v>
      </c>
      <c r="BI4" s="1709">
        <f>IF(OR($C$24=$AR4,$D$24=$AR4),Schweine_Werte!$I4*0.5,IF(OR($C$24&gt;$AR4,$D$24&lt;$AR4),0,Schweine_Werte!$I4))</f>
        <v>0</v>
      </c>
      <c r="BJ4" s="1709">
        <f>IF(OR($C$36=$AR4,$D$36=$AR4),Schweine_Werte!$I4*0.5,IF(OR($C$36&gt;$AR4,$D$36&lt;$AR4),0,Schweine_Werte!$I4))</f>
        <v>0</v>
      </c>
      <c r="BK4" s="1709">
        <f>IF(OR($C$48=$AR4,$D$48=$AR4),Schweine_Werte!$I4*0.5,IF(OR($C$48&gt;$AR4,$D$48&lt;$AR4),0,Schweine_Werte!$I4))</f>
        <v>0</v>
      </c>
      <c r="BL4" s="1709">
        <f>IF(OR($C$60=$AR4,$D$60=$AR4),Schweine_Werte!$I4*0.5,IF(OR($C$60&gt;$AR4,$D$60&lt;$AR4),0,Schweine_Werte!$I4))</f>
        <v>0</v>
      </c>
      <c r="BM4" s="1709">
        <f>IF(OR($C$12=$AR4,$D$12=$AR4),Schweine_Werte!$K4*0.5,IF(OR($C$12&gt;$AR4,$D$12&lt;$AR4),0,Schweine_Werte!$K4))</f>
        <v>0</v>
      </c>
      <c r="BN4" s="1709">
        <f>IF(OR($C$24=$AR4,$D$24=$AR4),Schweine_Werte!$K4*0.5,IF(OR($C$24&gt;$AR4,$D$24&lt;$AR4),0,Schweine_Werte!$K4))</f>
        <v>0</v>
      </c>
      <c r="BO4" s="1709">
        <f>IF(OR($C$36=$AR4,$D$36=$AR4),Schweine_Werte!$K4*0.5,IF(OR($C$36&gt;$AR4,$D$36&lt;$AR4),0,Schweine_Werte!$K4))</f>
        <v>0</v>
      </c>
      <c r="BP4" s="1709">
        <f>IF(OR($C$48=$AR4,$D$48=$AR4),Schweine_Werte!$K4*0.5,IF(OR($C$48&gt;$AR4,$D$48&lt;$AR4),0,Schweine_Werte!$K4))</f>
        <v>0</v>
      </c>
      <c r="BQ4" s="1709">
        <f>IF(OR($C$60=$AR4,$D$60=$AR4),Schweine_Werte!$K4*0.5,IF(OR($C$60&gt;$AR4,$D$60&lt;$AR4),0,Schweine_Werte!$K4))</f>
        <v>0</v>
      </c>
      <c r="BR4" s="1710">
        <f>IF(OR($C$74=$AR4,$D$74=$AR4),Schweine_Werte!$M4*0.5,IF(OR($C$74&gt;$AR4,$D$74&lt;$AR4),0,Schweine_Werte!$M4))</f>
        <v>0</v>
      </c>
      <c r="BS4" s="1710">
        <f>IF(OR($C$83=$AR4,$D$83=$AR4),Schweine_Werte!$M4*0.5,IF(OR($C$83&gt;$AR4,$D$83&lt;$AR4),0,Schweine_Werte!$M4))</f>
        <v>0</v>
      </c>
      <c r="BT4" s="1710">
        <f>IF(OR($C$92=$AR4,$D$92=$AR4),Schweine_Werte!$M4*0.5,IF(OR($C$92&gt;$AR4,$D$92&lt;$AR4),0,Schweine_Werte!$M4))</f>
        <v>0</v>
      </c>
      <c r="BU4" s="1710">
        <f>IF(OR($C$101=$AR4,$D$101=$AR4),Schweine_Werte!$M4*0.5,IF(OR($C$101&gt;$AR4,$D$101&lt;$AR4),0,Schweine_Werte!$M4))</f>
        <v>0</v>
      </c>
      <c r="BV4" s="1710">
        <f>IF(OR($C$110=$AR4,$D$110=$AR4),Schweine_Werte!$M4*0.5,IF(OR($C$110&gt;$AR4,$D$110&lt;$AR4),0,Schweine_Werte!$M4))</f>
        <v>0</v>
      </c>
      <c r="BW4" s="1710">
        <f>IF(OR(8=$AR4,$E$127=$AR4),Schweine_Werte!$M4*0.5,IF(OR(8&gt;$AR4,$E$127&lt;$AR4),0,Schweine_Werte!$M4))</f>
        <v>1.6700354626182841</v>
      </c>
      <c r="BX4" s="1710">
        <f>IF(OR(8=$AR4,$E$145=$AR4),Schweine_Werte!$M4*0.5,IF(OR(8&gt;$AR4,$E$145&lt;$AR4),0,Schweine_Werte!$M4))</f>
        <v>1.6700354626182841</v>
      </c>
      <c r="BY4" s="1710">
        <f>IF(OR($C$74=$AR4,$D$74=$AR4),Schweine_Werte!$O4*0.5,IF(OR($C$74&gt;$AR4,$D$74&lt;$AR4),0,Schweine_Werte!$O4))</f>
        <v>0</v>
      </c>
      <c r="BZ4" s="1710">
        <f>IF(OR($C$83=$AR4,$D$83=$AR4),Schweine_Werte!$O4*0.5,IF(OR($C$83&gt;$AR4,$D$83&lt;$AR4),0,Schweine_Werte!$O4))</f>
        <v>0</v>
      </c>
      <c r="CA4" s="1710">
        <f>IF(OR($C$92=$AR4,$D$92=$AR4),Schweine_Werte!$O4*0.5,IF(OR($C$92&gt;$AR4,$D$92&lt;$AR4),0,Schweine_Werte!$O4))</f>
        <v>0</v>
      </c>
      <c r="CB4" s="1710">
        <f>IF(OR($C$101=$AR4,$D$101=$AR4),Schweine_Werte!$O4*0.5,IF(OR($C$101&gt;$AR4,$D$101&lt;$AR4),0,Schweine_Werte!$O4))</f>
        <v>0</v>
      </c>
      <c r="CC4" s="1710">
        <f>IF(OR($C$110=$AR4,$D$110=$AR4),Schweine_Werte!$O4*0.5,IF(OR($C$110&gt;$AR4,$D$110&lt;$AR4),0,Schweine_Werte!$O4))</f>
        <v>0</v>
      </c>
    </row>
    <row r="5" spans="1:303" x14ac:dyDescent="0.25">
      <c r="A5" s="1711" t="s">
        <v>8578</v>
      </c>
      <c r="B5" s="1712">
        <v>700</v>
      </c>
      <c r="C5"/>
      <c r="D5" s="885"/>
      <c r="E5" s="885" t="e">
        <f>($D12-$C12)*1000/SUM($AS$4:$AS$146)</f>
        <v>#VALUE!</v>
      </c>
      <c r="F5" s="885" t="e">
        <f>SUMPRODUCT($AS$4:$AS$146,Schweine_Werte!$Q$4:$Q$146)/SUM($AS$4:$AS$146)</f>
        <v>#DIV/0!</v>
      </c>
      <c r="G5" s="885" t="e">
        <f>IF($B12=$A$8,SUMPRODUCT($AS$4:$AS$146,Schweine_Werte!EH$4:EH$146)/SUM($AS$4:$AS$146),IF($B12=$A$7,SUMPRODUCT($AS$4:$AS$146,Schweine_Werte!DB$4:DB$146)/SUM($AS$4:$AS$146),IF($B12=$A$6,SUMPRODUCT($AS$4:$AS$146,Schweine_Werte!BV$4:BV$146)/SUM($AS$4:$AS$146),SUMPRODUCT($AS$4:$AS$146,Schweine_Werte!AP$4:AP$146)/SUM($AS$4:$AS$146))))</f>
        <v>#DIV/0!</v>
      </c>
      <c r="H5" s="885" t="e">
        <f>IF($B12=$A$8,SUMPRODUCT($AS$4:$AS$146,Schweine_Werte!EI$4:EI$146)/SUM($AS$4:$AS$146),IF($B12=$A$7,SUMPRODUCT($AS$4:$AS$146,Schweine_Werte!DC$4:DC$146)/SUM($AS$4:$AS$146),IF($B12=$A$6,SUMPRODUCT($AS$4:$AS$146,Schweine_Werte!BW$4:BW$146)/SUM($AS$4:$AS$146),SUMPRODUCT($AS$4:$AS$146,Schweine_Werte!AQ$4:AQ$146)/SUM($AS$4:$AS$146))))</f>
        <v>#DIV/0!</v>
      </c>
      <c r="I5" s="885" t="e">
        <f>IF($B12=$A$8,SUMPRODUCT($AS$4:$AS$146,Schweine_Werte!EJ$4:EJ$146)/SUM($AS$4:$AS$146),IF($B12=$A$7,SUMPRODUCT($AS$4:$AS$146,Schweine_Werte!DD$4:DD$146)/SUM($AS$4:$AS$146),IF($B12=$A$6,SUMPRODUCT($AS$4:$AS$146,Schweine_Werte!BX$4:BX$146)/SUM($AS$4:$AS$146),SUMPRODUCT($AS$4:$AS$146,Schweine_Werte!AR$4:AR$146)/SUM($AS$4:$AS$146))))</f>
        <v>#DIV/0!</v>
      </c>
      <c r="J5" s="885" t="e">
        <f>SUMPRODUCT($AS$4:$AS$146,Schweine_Werte!$Y$4:$Y$146)/SUM($AS$4:$AS$146)</f>
        <v>#DIV/0!</v>
      </c>
      <c r="K5" s="885" t="e">
        <f>SUMPRODUCT($AS$4:$AS$146,Schweine_Werte!$AG$4:$AG$146)/SUM($AS$4:$AS$146)</f>
        <v>#DIV/0!</v>
      </c>
      <c r="L5" s="1914" t="e">
        <f>T5*$F5*365/1000+$J5-$K5</f>
        <v>#DIV/0!</v>
      </c>
      <c r="M5" s="885" t="e">
        <f>U5*$F5*365/1000+$J5-$K5/2</f>
        <v>#DIV/0!</v>
      </c>
      <c r="N5" s="885" t="e">
        <f>V5*$F5*365/1000+$J5</f>
        <v>#DIV/0!</v>
      </c>
      <c r="O5" s="885">
        <f>IF($C12&lt;28,SUM($AS$4:$AS$23)+IF($D12&gt;28,$AS$24*0.5,$AS$24),0)</f>
        <v>0</v>
      </c>
      <c r="P5" s="885">
        <f>IF($D12&gt;28,SUM($AS$25:$AS$146)+IF($C12&lt;28,$AS$24*0.5,$AS$24),0)</f>
        <v>0</v>
      </c>
      <c r="Q5" s="885" t="e">
        <f t="shared" ref="Q5:S8" si="0">+T5*$F5</f>
        <v>#DIV/0!</v>
      </c>
      <c r="R5" s="885" t="e">
        <f t="shared" si="0"/>
        <v>#DIV/0!</v>
      </c>
      <c r="S5" s="885" t="e">
        <f t="shared" si="0"/>
        <v>#DIV/0!</v>
      </c>
      <c r="T5" s="885" t="e">
        <f>+($O5*Schweine_Werte!$HT$5+$P5*Schweine_Werte!$HU$5)/SUM($O5:$P5)</f>
        <v>#DIV/0!</v>
      </c>
      <c r="U5" s="885" t="e">
        <f>+($O5*Schweine_Werte!$HV$5+$P5*Schweine_Werte!$HW$5)/SUM($O5:$P5)</f>
        <v>#DIV/0!</v>
      </c>
      <c r="V5" s="885" t="e">
        <f>+($O5*Schweine_Werte!$HX$5+$P5*Schweine_Werte!$HY$5)/SUM($O5:$P5)</f>
        <v>#DIV/0!</v>
      </c>
      <c r="W5" s="1915" t="e">
        <f>($J5*0.055+T5*0.365*0.86*$F5-$K5*0.018)/L5*100</f>
        <v>#DIV/0!</v>
      </c>
      <c r="X5" s="885" t="e">
        <f>($J5*0.055+U5*0.365*0.86*$F5-$K5*0.018/2)/M5*100</f>
        <v>#DIV/0!</v>
      </c>
      <c r="Y5" s="885" t="e">
        <f>($J5*0.055+V5*0.365*0.86*$F5)/N5*100</f>
        <v>#DIV/0!</v>
      </c>
      <c r="Z5" s="885" t="e">
        <f>IF($B12=$A$8,SUMPRODUCT($AS$4:$AS$146,Schweine_Werte!$EK$4:$EK$146,Schweine_Werte!$EL$4:$EL$146)/SUMPRODUCT($AS$4:$AS$146,Schweine_Werte!$EK$4:$EK$146),IF($B12=$A$7,SUMPRODUCT($AS$4:$AS$146,Schweine_Werte!$DE$4:$DE$146,Schweine_Werte!$DF$4:$DF$146)/SUMPRODUCT($AS$4:$AS$146,Schweine_Werte!$DE$4:$DE$146),IF($B12=$A$6,SUMPRODUCT($AS$4:$AS$146,Schweine_Werte!$BY$4:$BY$146,Schweine_Werte!$BZ$4:$BZ$146)/SUMPRODUCT($AS$4:$AS$146,Schweine_Werte!$BY$4:$BY$146),SUMPRODUCT($AS$4:$AS$146,Schweine_Werte!$AS$4:$AS$146,Schweine_Werte!$AT$4:$AT$146)/SUMPRODUCT($AS$4:$AS$146,Schweine_Werte!$AS$4:$AS$146))))</f>
        <v>#DIV/0!</v>
      </c>
      <c r="AA5" s="885"/>
      <c r="AB5" s="885">
        <f>IF($B12=$A$8,SUMIF(Schweine_Werte!$AO$4:$AO$146,$C12,Schweine_Werte!$EL$4:$EL$146),IF($B12=$A$7,SUMIF(Schweine_Werte!$AO$4:$AO$146,$C12,Schweine_Werte!$DF$4:$DF$146),IF($B12=$A$6,SUMIF(Schweine_Werte!$AO$4:$AO$146,$C12,Schweine_Werte!$BZ$4:$BZ$146),SUMIF(Schweine_Werte!$AO$4:$AO$146,$C12,Schweine_Werte!$AT$4:$AT$146))))</f>
        <v>0</v>
      </c>
      <c r="AC5" s="885"/>
      <c r="AD5" s="885">
        <f>IF($B12=$A$8,SUMIF(Schweine_Werte!$AO$4:$AO$146,$D12,Schweine_Werte!$EL$4:$EL$146),IF($B12=$A$7,SUMIF(Schweine_Werte!$AO$4:$AO$146,$D12,Schweine_Werte!$DF$4:$DF$146),IF($B12=$A$6,SUMIF(Schweine_Werte!$AO$4:$AO$146,$D12,Schweine_Werte!$BZ$4:$BZ$146),SUMIF(Schweine_Werte!$AO$4:$AO$146,$D12,Schweine_Werte!$AT$4:$AT$146))))</f>
        <v>0</v>
      </c>
      <c r="AE5" s="885"/>
      <c r="AF5" s="885"/>
      <c r="AG5" s="885" t="e">
        <f>IF($B12=$A$8,SUMPRODUCT($AS$4:$AS$146,Schweine_Werte!$EK$4:$EK$146)/SUM($AS$4:$AS$146),IF($B12=$A$7,SUMPRODUCT($AS$4:$AS$146,Schweine_Werte!$DE$4:$DE$146)/SUM($AS$4:$AS$146),IF($B12=$A$6,SUMPRODUCT($AS$4:$AS$146,Schweine_Werte!$BY$4:$BY$146)/SUM($AS$4:$AS$146),SUMPRODUCT($AS$4:$AS$146,Schweine_Werte!$AS$4:$AS$146)/SUM($AS$4:$AS$146))))</f>
        <v>#DIV/0!</v>
      </c>
      <c r="AH5" s="885"/>
      <c r="AI5" s="885"/>
      <c r="AJ5" s="885" t="e">
        <f>IF($B12=$A$8,SUMPRODUCT($AS$4:$AS$146,Schweine_Werte!$EK$4:$EK$146,Schweine_Werte!$EM$4:$EM$146)/SUMPRODUCT($AS$4:$AS$146,Schweine_Werte!$EK$4:$EK$146),IF($B12=$A$7,SUMPRODUCT($AS$4:$AS$146,Schweine_Werte!$DE$4:$DE$146,Schweine_Werte!$DG$4:$DG$146)/SUMPRODUCT($AS$4:$AS$146,Schweine_Werte!$DE$4:$DE$146),IF($B12=$A$6,SUMPRODUCT($AS$4:$AS$146,Schweine_Werte!$BY$4:$BY$146,Schweine_Werte!$CA$4:$CA$146)/SUMPRODUCT($AS$4:$AS$146,Schweine_Werte!$BY$4:$BY$146),SUMPRODUCT($AS$4:$AS$146,Schweine_Werte!$AS$4:$AS$146,Schweine_Werte!$AU$4:$AU$146)/SUMPRODUCT($AS$4:$AS$146,Schweine_Werte!$AS$4:$AS$146))))</f>
        <v>#DIV/0!</v>
      </c>
      <c r="AK5" s="885"/>
      <c r="AL5" s="885">
        <f>IF($B12=$A$8,SUMIF(Schweine_Werte!$AO$4:$AO$146,$C12,Schweine_Werte!$EM$4:$EM$146),IF($B12=$A$7,SUMIF(Schweine_Werte!$AO$4:$AO$146,$C12,Schweine_Werte!$DG$4:$DG$146),IF($B12=$A$6,SUMIF(Schweine_Werte!$AO$4:$AO$146,$C12,Schweine_Werte!$CA$4:$CA$146),SUMIF(Schweine_Werte!$AO$4:$AO$146,$C12,Schweine_Werte!$AU$4:$AU$146))))</f>
        <v>0</v>
      </c>
      <c r="AM5" s="885"/>
      <c r="AN5" s="885">
        <f>IF($B12=$A$8,SUMIF(Schweine_Werte!$AO$4:$AO$146,$D12,Schweine_Werte!$EM$4:$EM$146),IF($B12=$A$7,SUMIF(Schweine_Werte!$AO$4:$AO$146,$D12,Schweine_Werte!$DG$4:$DG$146),IF($B12=$A$6,SUMIF(Schweine_Werte!$AO$4:$AO$146,$D12,Schweine_Werte!$CA$4:$CA$146),SUMIF(Schweine_Werte!$AO$4:$AO$146,$D12,Schweine_Werte!$AU$4:$AU$146))))</f>
        <v>0</v>
      </c>
      <c r="AO5"/>
      <c r="AR5" s="1708">
        <v>9</v>
      </c>
      <c r="AS5" s="1709">
        <f>IF(OR($C$12=$AR5,$D$12=$AR5),Schweine_Werte!$C5*0.5,IF(OR($C$12&gt;$AR5,$D$12&lt;$AR5),0,Schweine_Werte!$C5))</f>
        <v>0</v>
      </c>
      <c r="AT5" s="1709">
        <f>IF(OR($C$24=$AR5,$D$24=$AR5),Schweine_Werte!$C5*0.5,IF(OR($C$24&gt;$AR5,$D$24&lt;$AR5),0,Schweine_Werte!$C5))</f>
        <v>0</v>
      </c>
      <c r="AU5" s="1709">
        <f>IF(OR($C$36=$AR5,$D$36=$AR5),Schweine_Werte!$C5*0.5,IF(OR($C$36&gt;$AR5,$D$36&lt;$AR5),0,Schweine_Werte!$C5))</f>
        <v>0</v>
      </c>
      <c r="AV5" s="1709">
        <f>IF(OR($C$48=$AR5,$D$48=$AR5),Schweine_Werte!$C5*0.5,IF(OR($C$48&gt;$AR5,$D$48&lt;$AR5),0,Schweine_Werte!$C5))</f>
        <v>0</v>
      </c>
      <c r="AW5" s="1709">
        <f>IF(OR($C$60=$AR5,$D$60=$AR5),Schweine_Werte!$C5*0.5,IF(OR($C$60&gt;$AR5,$D$60&lt;$AR5),0,Schweine_Werte!$C5))</f>
        <v>0</v>
      </c>
      <c r="AX5" s="1709">
        <f>IF(OR($C$12=$AR5,$D$12=$AR5),Schweine_Werte!$E5*0.5,IF(OR($C$12&gt;$AR5,$D$12&lt;$AR5),0,Schweine_Werte!$E5))</f>
        <v>0</v>
      </c>
      <c r="AY5" s="1709">
        <f>IF(OR($C$24=$AR5,$D$24=$AR5),Schweine_Werte!$E5*0.5,IF(OR($C$24&gt;$AR5,$D$24&lt;$AR5),0,Schweine_Werte!$E5))</f>
        <v>0</v>
      </c>
      <c r="AZ5" s="1714">
        <f>IF(OR($C$36=$AR5,$D$36=$AR5),Schweine_Werte!$E5*0.5,IF(OR($C$36&gt;$AR5,$D$36&lt;$AR5),0,Schweine_Werte!$E5))</f>
        <v>0</v>
      </c>
      <c r="BA5" s="1714">
        <f>IF(OR($C$48=$AR5,$D$48=$AR5),Schweine_Werte!$E5*0.5,IF(OR($C$48&gt;$AR5,$D$48&lt;$AR5),0,Schweine_Werte!$E5))</f>
        <v>0</v>
      </c>
      <c r="BB5" s="1714">
        <f>IF(OR($C$60=$AR5,$D$60=$AR5),Schweine_Werte!$E5*0.5,IF(OR($C$60&gt;$AR5,$D$60&lt;$AR5),0,Schweine_Werte!$E5))</f>
        <v>0</v>
      </c>
      <c r="BC5" s="1709">
        <f>IF(OR($C$12=$AR5,$D$12=$AR5),Schweine_Werte!$G5*0.5,IF(OR($C$12&gt;$AR5,$D$12&lt;$AR5),0,Schweine_Werte!$G5))</f>
        <v>0</v>
      </c>
      <c r="BD5" s="1709">
        <f>IF(OR($C$24=$AR5,$D$24=$AR5),Schweine_Werte!$G5*0.5,IF(OR($C$24&gt;$AR5,$D$24&lt;$AR5),0,Schweine_Werte!$G5))</f>
        <v>0</v>
      </c>
      <c r="BE5" s="1714">
        <f>IF(OR($C$36=$AR5,$D$36=$AR5),Schweine_Werte!$G5*0.5,IF(OR($C$36&gt;$AR5,$D$36&lt;$AR5),0,Schweine_Werte!$G5))</f>
        <v>0</v>
      </c>
      <c r="BF5" s="1714">
        <f>IF(OR($C$48=$AR5,$D$48=$AR5),Schweine_Werte!$G5*0.5,IF(OR($C$48&gt;$AR5,$D$48&lt;$AR5),0,Schweine_Werte!$G5))</f>
        <v>0</v>
      </c>
      <c r="BG5" s="1714">
        <f>IF(OR($C$60=$AR5,$D$60=$AR5),Schweine_Werte!$G5*0.5,IF(OR($C$60&gt;$AR5,$D$60&lt;$AR5),0,Schweine_Werte!$G5))</f>
        <v>0</v>
      </c>
      <c r="BH5" s="1709">
        <f>IF(OR($C$12=$AR5,$D$12=$AR5),Schweine_Werte!$I5*0.5,IF(OR($C$12&gt;$AR5,$D$12&lt;$AR5),0,Schweine_Werte!$I5))</f>
        <v>0</v>
      </c>
      <c r="BI5" s="1709">
        <f>IF(OR($C$24=$AR5,$D$24=$AR5),Schweine_Werte!$I5*0.5,IF(OR($C$24&gt;$AR5,$D$24&lt;$AR5),0,Schweine_Werte!$I5))</f>
        <v>0</v>
      </c>
      <c r="BJ5" s="1714">
        <f>IF(OR($C$36=$AR5,$D$36=$AR5),Schweine_Werte!$I5*0.5,IF(OR($C$36&gt;$AR5,$D$36&lt;$AR5),0,Schweine_Werte!$I5))</f>
        <v>0</v>
      </c>
      <c r="BK5" s="1714">
        <f>IF(OR($C$48=$AR5,$D$48=$AR5),Schweine_Werte!$I5*0.5,IF(OR($C$48&gt;$AR5,$D$48&lt;$AR5),0,Schweine_Werte!$I5))</f>
        <v>0</v>
      </c>
      <c r="BL5" s="1714">
        <f>IF(OR($C$60=$AR5,$D$60=$AR5),Schweine_Werte!$I5*0.5,IF(OR($C$60&gt;$AR5,$D$60&lt;$AR5),0,Schweine_Werte!$I5))</f>
        <v>0</v>
      </c>
      <c r="BM5" s="1709">
        <f>IF(OR($C$12=$AR5,$D$12=$AR5),Schweine_Werte!$K5*0.5,IF(OR($C$12&gt;$AR5,$D$12&lt;$AR5),0,Schweine_Werte!$K5))</f>
        <v>0</v>
      </c>
      <c r="BN5" s="1709">
        <f>IF(OR($C$24=$AR5,$D$24=$AR5),Schweine_Werte!$K5*0.5,IF(OR($C$24&gt;$AR5,$D$24&lt;$AR5),0,Schweine_Werte!$K5))</f>
        <v>0</v>
      </c>
      <c r="BO5" s="1714">
        <f>IF(OR($C$36=$AR5,$D$36=$AR5),Schweine_Werte!$K5*0.5,IF(OR($C$36&gt;$AR5,$D$36&lt;$AR5),0,Schweine_Werte!$K5))</f>
        <v>0</v>
      </c>
      <c r="BP5" s="1714">
        <f>IF(OR($C$48=$AR5,$D$48=$AR5),Schweine_Werte!$K5*0.5,IF(OR($C$48&gt;$AR5,$D$48&lt;$AR5),0,Schweine_Werte!$K5))</f>
        <v>0</v>
      </c>
      <c r="BQ5" s="1714">
        <f>IF(OR($C$60=$AR5,$D$60=$AR5),Schweine_Werte!$K5*0.5,IF(OR($C$60&gt;$AR5,$D$60&lt;$AR5),0,Schweine_Werte!$K5))</f>
        <v>0</v>
      </c>
      <c r="BR5" s="1710">
        <f>IF(OR($C$74=$AR5,$D$74=$AR5),Schweine_Werte!$M5*0.5,IF(OR($C$74&gt;$AR5,$D$74&lt;$AR5),0,Schweine_Werte!$M5))</f>
        <v>0</v>
      </c>
      <c r="BS5" s="1710">
        <f>IF(OR($C$83=$AR5,$D$83=$AR5),Schweine_Werte!$M5*0.5,IF(OR($C$83&gt;$AR5,$D$83&lt;$AR5),0,Schweine_Werte!$M5))</f>
        <v>0</v>
      </c>
      <c r="BT5" s="1713">
        <f>IF(OR($C$92=$AR5,$D$92=$AR5),Schweine_Werte!$M5*0.5,IF(OR($C$92&gt;$AR5,$D$92&lt;$AR5),0,Schweine_Werte!$M5))</f>
        <v>0</v>
      </c>
      <c r="BU5" s="1713">
        <f>IF(OR($C$101=$AR5,$D$101=$AR5),Schweine_Werte!$M5*0.5,IF(OR($C$101&gt;$AR5,$D$101&lt;$AR5),0,Schweine_Werte!$M5))</f>
        <v>0</v>
      </c>
      <c r="BV5" s="1713">
        <f>IF(OR($C$110=$AR5,$D$110=$AR5),Schweine_Werte!$M5*0.5,IF(OR($C$110&gt;$AR5,$D$110&lt;$AR5),0,Schweine_Werte!$M5))</f>
        <v>0</v>
      </c>
      <c r="BW5" s="1713">
        <f>IF(OR(8=$AR5,$E$127=$AR5),Schweine_Werte!$M5*0.5,IF(OR(8&gt;$AR5,$E$127&lt;$AR5),0,Schweine_Werte!$M5))</f>
        <v>3.141935976776089</v>
      </c>
      <c r="BX5" s="1713">
        <f>IF(OR(8=$AR5,$E$145=$AR5),Schweine_Werte!$M5*0.5,IF(OR(8&gt;$AR5,$E$145&lt;$AR5),0,Schweine_Werte!$M5))</f>
        <v>3.141935976776089</v>
      </c>
      <c r="BY5" s="1710">
        <f>IF(OR($C$74=$AR5,$D$74=$AR5),Schweine_Werte!$O5*0.5,IF(OR($C$74&gt;$AR5,$D$74&lt;$AR5),0,Schweine_Werte!$O5))</f>
        <v>0</v>
      </c>
      <c r="BZ5" s="1710">
        <f>IF(OR($C$83=$AR5,$D$83=$AR5),Schweine_Werte!$O5*0.5,IF(OR($C$83&gt;$AR5,$D$83&lt;$AR5),0,Schweine_Werte!$O5))</f>
        <v>0</v>
      </c>
      <c r="CA5" s="1713">
        <f>IF(OR($C$92=$AR5,$D$92=$AR5),Schweine_Werte!$O5*0.5,IF(OR($C$92&gt;$AR5,$D$92&lt;$AR5),0,Schweine_Werte!$O5))</f>
        <v>0</v>
      </c>
      <c r="CB5" s="1713">
        <f>IF(OR($C$101=$AR5,$D$101=$AR5),Schweine_Werte!$O5*0.5,IF(OR($C$101&gt;$AR5,$D$101&lt;$AR5),0,Schweine_Werte!$O5))</f>
        <v>0</v>
      </c>
      <c r="CC5" s="1713">
        <f>IF(OR($C$110=$AR5,$D$110=$AR5),Schweine_Werte!$O5*0.5,IF(OR($C$110&gt;$AR5,$D$110&lt;$AR5),0,Schweine_Werte!$O5))</f>
        <v>0</v>
      </c>
    </row>
    <row r="6" spans="1:303" x14ac:dyDescent="0.25">
      <c r="A6" s="1711" t="s">
        <v>8579</v>
      </c>
      <c r="B6" s="1712">
        <v>750</v>
      </c>
      <c r="C6"/>
      <c r="D6" s="1916"/>
      <c r="E6" s="885" t="e">
        <f>($D12-$C12)*1000/SUM($AX$4:$AX$146)</f>
        <v>#VALUE!</v>
      </c>
      <c r="F6" s="885" t="e">
        <f>SUMPRODUCT($AX$4:$AX$146,Schweine_Werte!$R$4:$R$146)/SUM($AX$4:$AX$146)</f>
        <v>#DIV/0!</v>
      </c>
      <c r="G6" s="885" t="e">
        <f>IF($B12=$A$8,SUMPRODUCT($AX$4:$AX$146,Schweine_Werte!EN$4:EN$146)/SUM($AX$4:$AX$146),IF($B12=$A$7,SUMPRODUCT($AX$4:$AX$146,Schweine_Werte!DH$4:DH$146)/SUM($AX$4:$AX$146),IF($B12=$A$6,SUMPRODUCT($AX$4:$AX$146,Schweine_Werte!CB$4:CB$146)/SUM($AX$4:$AX$146),SUMPRODUCT($AX$4:$AX$146,Schweine_Werte!AV$4:AV$146)/SUM($AX$4:$AX$146))))</f>
        <v>#DIV/0!</v>
      </c>
      <c r="H6" s="885" t="e">
        <f>IF($B12=$A$8,SUMPRODUCT($AX$4:$AX$146,Schweine_Werte!EO$4:EO$146)/SUM($AX$4:$AX$146),IF($B12=$A$7,SUMPRODUCT($AX$4:$AX$146,Schweine_Werte!DI$4:DI$146)/SUM($AX$4:$AX$146),IF($B12=$A$6,SUMPRODUCT($AX$4:$AX$146,Schweine_Werte!CC$4:CC$146)/SUM($AX$4:$AX$146),SUMPRODUCT($AX$4:$AX$146,Schweine_Werte!AW$4:AW$146)/SUM($AX$4:$AX$146))))</f>
        <v>#DIV/0!</v>
      </c>
      <c r="I6" s="885" t="e">
        <f>IF($B12=$A$8,SUMPRODUCT($AX$4:$AX$146,Schweine_Werte!EP$4:EP$146)/SUM($AX$4:$AX$146),IF($B12=$A$7,SUMPRODUCT($AX$4:$AX$146,Schweine_Werte!DJ$4:DJ$146)/SUM($AX$4:$AX$146),IF($B12=$A$6,SUMPRODUCT($AX$4:$AX$146,Schweine_Werte!CD$4:CD$146)/SUM($AX$4:$AX$146),SUMPRODUCT($AX$4:$AX$146,Schweine_Werte!AX$4:AX$146)/SUM($AX$4:$AX$146))))</f>
        <v>#DIV/0!</v>
      </c>
      <c r="J6" s="885" t="e">
        <f>SUMPRODUCT($AX$4:$AX$146,Schweine_Werte!$Z$4:$Z$146)/SUM($AX$4:$AX$146)</f>
        <v>#DIV/0!</v>
      </c>
      <c r="K6" s="885" t="e">
        <f>SUMPRODUCT($AX$4:$AX$146,Schweine_Werte!$AH$4:$AH$146)/SUM($AX$4:$AX$146)</f>
        <v>#DIV/0!</v>
      </c>
      <c r="L6" s="1914" t="e">
        <f>T6*$F6*365/1000+$J6-$K6</f>
        <v>#DIV/0!</v>
      </c>
      <c r="M6" s="885" t="e">
        <f>U6*$F6*365/1000+$J6-$K6/2</f>
        <v>#DIV/0!</v>
      </c>
      <c r="N6" s="885" t="e">
        <f>V6*$F6*365/1000+$J6</f>
        <v>#DIV/0!</v>
      </c>
      <c r="O6" s="885">
        <f>IF($C12&lt;28,SUM($AX$4:$AX$23)+IF($D12&gt;28,$AX$24*0.5,$AX$24),0)</f>
        <v>0</v>
      </c>
      <c r="P6" s="885">
        <f>IF($D12&gt;28,SUM($AX$25:$AX$146)+IF($C12&lt;28,$AX$24*0.5,$AX$24),0)</f>
        <v>0</v>
      </c>
      <c r="Q6" s="885" t="e">
        <f t="shared" si="0"/>
        <v>#DIV/0!</v>
      </c>
      <c r="R6" s="885" t="e">
        <f t="shared" si="0"/>
        <v>#DIV/0!</v>
      </c>
      <c r="S6" s="885" t="e">
        <f t="shared" si="0"/>
        <v>#DIV/0!</v>
      </c>
      <c r="T6" s="885" t="e">
        <f>+($O6*Schweine_Werte!$HT$6+$P6*Schweine_Werte!$HU$6)/SUM($O6:$P6)</f>
        <v>#DIV/0!</v>
      </c>
      <c r="U6" s="885" t="e">
        <f>+($O6*Schweine_Werte!$HV$6+$P6*Schweine_Werte!$HW$6)/SUM($O6:$P6)</f>
        <v>#DIV/0!</v>
      </c>
      <c r="V6" s="885" t="e">
        <f>+($O6*Schweine_Werte!$HX$6+$P6*Schweine_Werte!$HY$6)/SUM($O6:$P6)</f>
        <v>#DIV/0!</v>
      </c>
      <c r="W6" s="1915" t="e">
        <f>($J6*0.055+T6*0.365*0.86*$F6-$K6*0.018)/L6*100</f>
        <v>#DIV/0!</v>
      </c>
      <c r="X6" s="885" t="e">
        <f>($J6*0.055+U6*0.365*0.86*$F6-$K6*0.018/2)/M6*100</f>
        <v>#DIV/0!</v>
      </c>
      <c r="Y6" s="885" t="e">
        <f>($J6*0.055+V6*0.365*0.86*$F6)/N6*100</f>
        <v>#DIV/0!</v>
      </c>
      <c r="Z6" s="885" t="e">
        <f>IF($B12=$A$8,SUMPRODUCT($AX$4:$AX$146,Schweine_Werte!$EQ$4:$EQ$146,Schweine_Werte!$ER$4:$ER$146)/SUMPRODUCT($AX$4:$AX$146,Schweine_Werte!$EQ$4:$EQ$146),IF($B12=$A$7,SUMPRODUCT($AX$4:$AX$146,Schweine_Werte!$DK$4:$DK$146,Schweine_Werte!$DL$4:$DL$146)/SUMPRODUCT($AX$4:$AX$146,Schweine_Werte!$DK$4:$DK$146),IF($B12=$A$6,SUMPRODUCT($AX$4:$AX$146,Schweine_Werte!$CE$4:$CE$146,Schweine_Werte!$CF$4:$CF$146)/SUMPRODUCT($AX$4:$AX$146,Schweine_Werte!$CE$4:$CE$146),SUMPRODUCT($AX$4:$AX$146,Schweine_Werte!$AY$4:$AY$146,Schweine_Werte!$AZ$4:$AZ$146)/SUMPRODUCT($AX$4:$AX$146,Schweine_Werte!$AY$4:$AY$146))))</f>
        <v>#DIV/0!</v>
      </c>
      <c r="AA6" s="885"/>
      <c r="AB6" s="885">
        <f>IF($B12=$A$8,SUMIF(Schweine_Werte!$AO$4:$AO$146,$C12,Schweine_Werte!$ER$4:$ER$146),IF($B12=$A$7,SUMIF(Schweine_Werte!$AO$4:$AO$146,$C12,Schweine_Werte!$DL$4:$DL$146),IF($B12=$A$6,SUMIF(Schweine_Werte!$AO$4:$AO$146,$C12,Schweine_Werte!$CF$4:$CF$146),SUMIF(Schweine_Werte!$AO$4:$AO$146,$C12,Schweine_Werte!$AZ$4:$AZ$146))))</f>
        <v>0</v>
      </c>
      <c r="AC6" s="885"/>
      <c r="AD6" s="885">
        <f>IF($B12=$A$8,SUMIF(Schweine_Werte!$AO$4:$AO$146,$D12,Schweine_Werte!$ER$4:$ER$146),IF($B12=$A$7,SUMIF(Schweine_Werte!$AO$4:$AO$146,$D12,Schweine_Werte!$DL$4:$DL$146),IF($B12=$A$6,SUMIF(Schweine_Werte!$AO$4:$AO$146,$D12,Schweine_Werte!$CF$4:$CF$146),SUMIF(Schweine_Werte!$AO$4:$AO$146,$D12,Schweine_Werte!$AZ$4:$AZ$146))))</f>
        <v>0</v>
      </c>
      <c r="AE6" s="885"/>
      <c r="AF6" s="885"/>
      <c r="AG6" s="885" t="e">
        <f>IF($B12=$A$8,SUMPRODUCT($AX$4:$AX$146,Schweine_Werte!$EQ$4:$EQ$146)/SUM($AX$4:$AX$146),IF($B12=$A$7,SUMPRODUCT($AX$4:$AX$146,Schweine_Werte!$DK$4:$DK$146)/SUM($AX$4:$AX$146),IF($B12=$A$6,SUMPRODUCT($AX$4:$AX$146,Schweine_Werte!$CE$4:$CE$146)/SUM($AX$4:$AX$146),SUMPRODUCT($AX$4:$AX$146,Schweine_Werte!$AY$4:$AY$146)/SUM($AX$4:$AX$146))))</f>
        <v>#DIV/0!</v>
      </c>
      <c r="AH6" s="885"/>
      <c r="AI6" s="885"/>
      <c r="AJ6" s="885" t="e">
        <f>IF($B12=$A$8,SUMPRODUCT($AX$4:$AX$146,Schweine_Werte!$EQ$4:$EQ$146,Schweine_Werte!$ES$4:$ES$146)/SUMPRODUCT($AX$4:$AX$146,Schweine_Werte!$EQ$4:$EQ$146),IF($B12=$A$7,SUMPRODUCT($AX$4:$AX$146,Schweine_Werte!$DK$4:$DK$146,Schweine_Werte!$DM$4:$DM$146)/SUMPRODUCT($AX$4:$AX$146,Schweine_Werte!$DK$4:$DK$146),IF($B12=$A$6,SUMPRODUCT($AX$4:$AX$146,Schweine_Werte!$CE$4:$CE$146,Schweine_Werte!$CG$4:$CG$146)/SUMPRODUCT($AX$4:$AX$146,Schweine_Werte!$CE$4:$CE$146),SUMPRODUCT($AX$4:$AX$146,Schweine_Werte!$AY$4:$AY$146,Schweine_Werte!$BA$4:$BA$146)/SUMPRODUCT($AX$4:$AX$146,Schweine_Werte!$AY$4:$AY$146))))</f>
        <v>#DIV/0!</v>
      </c>
      <c r="AK6" s="885"/>
      <c r="AL6" s="885">
        <f>IF($B12=$A$8,SUMIF(Schweine_Werte!$AO$4:$AO$146,$C12,Schweine_Werte!$ES$4:$ES$146),IF($B12=$A$7,SUMIF(Schweine_Werte!$AO$4:$AO$146,$C12,Schweine_Werte!$DM$4:$DM$146),IF($B12=$A$6,SUMIF(Schweine_Werte!$AO$4:$AO$146,$C12,Schweine_Werte!$CG$4:$CG$146),SUMIF(Schweine_Werte!$AO$4:$AO$146,$C12,Schweine_Werte!$BA$4:$BA$146))))</f>
        <v>0</v>
      </c>
      <c r="AM6" s="885"/>
      <c r="AN6" s="885">
        <f>IF($B12=$A$8,SUMIF(Schweine_Werte!$AO$4:$AO$146,$D12,Schweine_Werte!$ES$4:$ES$146),IF($B12=$A$7,SUMIF(Schweine_Werte!$AO$4:$AO$146,$D12,Schweine_Werte!$DM$4:$DM$146),IF($B12=$A$6,SUMIF(Schweine_Werte!$AO$4:$AO$146,$D12,Schweine_Werte!$CG$4:$CG$146),SUMIF(Schweine_Werte!$AO$4:$AO$146,$D12,Schweine_Werte!$BA$4:$BA$146))))</f>
        <v>0</v>
      </c>
      <c r="AO6"/>
      <c r="AR6" s="1708">
        <v>10</v>
      </c>
      <c r="AS6" s="1709">
        <f>IF(OR($C$12=$AR6,$D$12=$AR6),Schweine_Werte!$C6*0.5,IF(OR($C$12&gt;$AR6,$D$12&lt;$AR6),0,Schweine_Werte!$C6))</f>
        <v>0</v>
      </c>
      <c r="AT6" s="1709">
        <f>IF(OR($C$24=$AR6,$D$24=$AR6),Schweine_Werte!$C6*0.5,IF(OR($C$24&gt;$AR6,$D$24&lt;$AR6),0,Schweine_Werte!$C6))</f>
        <v>0</v>
      </c>
      <c r="AU6" s="1709">
        <f>IF(OR($C$36=$AR6,$D$36=$AR6),Schweine_Werte!$C6*0.5,IF(OR($C$36&gt;$AR6,$D$36&lt;$AR6),0,Schweine_Werte!$C6))</f>
        <v>0</v>
      </c>
      <c r="AV6" s="1709">
        <f>IF(OR($C$48=$AR6,$D$48=$AR6),Schweine_Werte!$C6*0.5,IF(OR($C$48&gt;$AR6,$D$48&lt;$AR6),0,Schweine_Werte!$C6))</f>
        <v>0</v>
      </c>
      <c r="AW6" s="1709">
        <f>IF(OR($C$60=$AR6,$D$60=$AR6),Schweine_Werte!$C6*0.5,IF(OR($C$60&gt;$AR6,$D$60&lt;$AR6),0,Schweine_Werte!$C6))</f>
        <v>0</v>
      </c>
      <c r="AX6" s="1709">
        <f>IF(OR($C$12=$AR6,$D$12=$AR6),Schweine_Werte!$E6*0.5,IF(OR($C$12&gt;$AR6,$D$12&lt;$AR6),0,Schweine_Werte!$E6))</f>
        <v>0</v>
      </c>
      <c r="AY6" s="1709">
        <f>IF(OR($C$24=$AR6,$D$24=$AR6),Schweine_Werte!$E6*0.5,IF(OR($C$24&gt;$AR6,$D$24&lt;$AR6),0,Schweine_Werte!$E6))</f>
        <v>0</v>
      </c>
      <c r="AZ6" s="1714">
        <f>IF(OR($C$36=$AR6,$D$36=$AR6),Schweine_Werte!$E6*0.5,IF(OR($C$36&gt;$AR6,$D$36&lt;$AR6),0,Schweine_Werte!$E6))</f>
        <v>0</v>
      </c>
      <c r="BA6" s="1714">
        <f>IF(OR($C$48=$AR6,$D$48=$AR6),Schweine_Werte!$E6*0.5,IF(OR($C$48&gt;$AR6,$D$48&lt;$AR6),0,Schweine_Werte!$E6))</f>
        <v>0</v>
      </c>
      <c r="BB6" s="1714">
        <f>IF(OR($C$60=$AR6,$D$60=$AR6),Schweine_Werte!$E6*0.5,IF(OR($C$60&gt;$AR6,$D$60&lt;$AR6),0,Schweine_Werte!$E6))</f>
        <v>0</v>
      </c>
      <c r="BC6" s="1709">
        <f>IF(OR($C$12=$AR6,$D$12=$AR6),Schweine_Werte!$G6*0.5,IF(OR($C$12&gt;$AR6,$D$12&lt;$AR6),0,Schweine_Werte!$G6))</f>
        <v>0</v>
      </c>
      <c r="BD6" s="1709">
        <f>IF(OR($C$24=$AR6,$D$24=$AR6),Schweine_Werte!$G6*0.5,IF(OR($C$24&gt;$AR6,$D$24&lt;$AR6),0,Schweine_Werte!$G6))</f>
        <v>0</v>
      </c>
      <c r="BE6" s="1714">
        <f>IF(OR($C$36=$AR6,$D$36=$AR6),Schweine_Werte!$G6*0.5,IF(OR($C$36&gt;$AR6,$D$36&lt;$AR6),0,Schweine_Werte!$G6))</f>
        <v>0</v>
      </c>
      <c r="BF6" s="1714">
        <f>IF(OR($C$48=$AR6,$D$48=$AR6),Schweine_Werte!$G6*0.5,IF(OR($C$48&gt;$AR6,$D$48&lt;$AR6),0,Schweine_Werte!$G6))</f>
        <v>0</v>
      </c>
      <c r="BG6" s="1714">
        <f>IF(OR($C$60=$AR6,$D$60=$AR6),Schweine_Werte!$G6*0.5,IF(OR($C$60&gt;$AR6,$D$60&lt;$AR6),0,Schweine_Werte!$G6))</f>
        <v>0</v>
      </c>
      <c r="BH6" s="1709">
        <f>IF(OR($C$12=$AR6,$D$12=$AR6),Schweine_Werte!$I6*0.5,IF(OR($C$12&gt;$AR6,$D$12&lt;$AR6),0,Schweine_Werte!$I6))</f>
        <v>0</v>
      </c>
      <c r="BI6" s="1709">
        <f>IF(OR($C$24=$AR6,$D$24=$AR6),Schweine_Werte!$I6*0.5,IF(OR($C$24&gt;$AR6,$D$24&lt;$AR6),0,Schweine_Werte!$I6))</f>
        <v>0</v>
      </c>
      <c r="BJ6" s="1714">
        <f>IF(OR($C$36=$AR6,$D$36=$AR6),Schweine_Werte!$I6*0.5,IF(OR($C$36&gt;$AR6,$D$36&lt;$AR6),0,Schweine_Werte!$I6))</f>
        <v>0</v>
      </c>
      <c r="BK6" s="1714">
        <f>IF(OR($C$48=$AR6,$D$48=$AR6),Schweine_Werte!$I6*0.5,IF(OR($C$48&gt;$AR6,$D$48&lt;$AR6),0,Schweine_Werte!$I6))</f>
        <v>0</v>
      </c>
      <c r="BL6" s="1714">
        <f>IF(OR($C$60=$AR6,$D$60=$AR6),Schweine_Werte!$I6*0.5,IF(OR($C$60&gt;$AR6,$D$60&lt;$AR6),0,Schweine_Werte!$I6))</f>
        <v>0</v>
      </c>
      <c r="BM6" s="1709">
        <f>IF(OR($C$12=$AR6,$D$12=$AR6),Schweine_Werte!$K6*0.5,IF(OR($C$12&gt;$AR6,$D$12&lt;$AR6),0,Schweine_Werte!$K6))</f>
        <v>0</v>
      </c>
      <c r="BN6" s="1709">
        <f>IF(OR($C$24=$AR6,$D$24=$AR6),Schweine_Werte!$K6*0.5,IF(OR($C$24&gt;$AR6,$D$24&lt;$AR6),0,Schweine_Werte!$K6))</f>
        <v>0</v>
      </c>
      <c r="BO6" s="1714">
        <f>IF(OR($C$36=$AR6,$D$36=$AR6),Schweine_Werte!$K6*0.5,IF(OR($C$36&gt;$AR6,$D$36&lt;$AR6),0,Schweine_Werte!$K6))</f>
        <v>0</v>
      </c>
      <c r="BP6" s="1714">
        <f>IF(OR($C$48=$AR6,$D$48=$AR6),Schweine_Werte!$K6*0.5,IF(OR($C$48&gt;$AR6,$D$48&lt;$AR6),0,Schweine_Werte!$K6))</f>
        <v>0</v>
      </c>
      <c r="BQ6" s="1714">
        <f>IF(OR($C$60=$AR6,$D$60=$AR6),Schweine_Werte!$K6*0.5,IF(OR($C$60&gt;$AR6,$D$60&lt;$AR6),0,Schweine_Werte!$K6))</f>
        <v>0</v>
      </c>
      <c r="BR6" s="1710">
        <f>IF(OR($C$74=$AR6,$D$74=$AR6),Schweine_Werte!$M6*0.5,IF(OR($C$74&gt;$AR6,$D$74&lt;$AR6),0,Schweine_Werte!$M6))</f>
        <v>0</v>
      </c>
      <c r="BS6" s="1710">
        <f>IF(OR($C$83=$AR6,$D$83=$AR6),Schweine_Werte!$M6*0.5,IF(OR($C$83&gt;$AR6,$D$83&lt;$AR6),0,Schweine_Werte!$M6))</f>
        <v>0</v>
      </c>
      <c r="BT6" s="1713">
        <f>IF(OR($C$92=$AR6,$D$92=$AR6),Schweine_Werte!$M6*0.5,IF(OR($C$92&gt;$AR6,$D$92&lt;$AR6),0,Schweine_Werte!$M6))</f>
        <v>0</v>
      </c>
      <c r="BU6" s="1713">
        <f>IF(OR($C$101=$AR6,$D$101=$AR6),Schweine_Werte!$M6*0.5,IF(OR($C$101&gt;$AR6,$D$101&lt;$AR6),0,Schweine_Werte!$M6))</f>
        <v>0</v>
      </c>
      <c r="BV6" s="1713">
        <f>IF(OR($C$110=$AR6,$D$110=$AR6),Schweine_Werte!$M6*0.5,IF(OR($C$110&gt;$AR6,$D$110&lt;$AR6),0,Schweine_Werte!$M6))</f>
        <v>0</v>
      </c>
      <c r="BW6" s="1713">
        <f>IF(OR(8=$AR6,$E$127=$AR6),Schweine_Werte!$M6*0.5,IF(OR(8&gt;$AR6,$E$127&lt;$AR6),0,Schweine_Werte!$M6))</f>
        <v>2.9682487532941839</v>
      </c>
      <c r="BX6" s="1713">
        <f>IF(OR(8=$AR6,$E$145=$AR6),Schweine_Werte!$M6*0.5,IF(OR(8&gt;$AR6,$E$145&lt;$AR6),0,Schweine_Werte!$M6))</f>
        <v>2.9682487532941839</v>
      </c>
      <c r="BY6" s="1710">
        <f>IF(OR($C$74=$AR6,$D$74=$AR6),Schweine_Werte!$O6*0.5,IF(OR($C$74&gt;$AR6,$D$74&lt;$AR6),0,Schweine_Werte!$O6))</f>
        <v>0</v>
      </c>
      <c r="BZ6" s="1710">
        <f>IF(OR($C$83=$AR6,$D$83=$AR6),Schweine_Werte!$O6*0.5,IF(OR($C$83&gt;$AR6,$D$83&lt;$AR6),0,Schweine_Werte!$O6))</f>
        <v>0</v>
      </c>
      <c r="CA6" s="1713">
        <f>IF(OR($C$92=$AR6,$D$92=$AR6),Schweine_Werte!$O6*0.5,IF(OR($C$92&gt;$AR6,$D$92&lt;$AR6),0,Schweine_Werte!$O6))</f>
        <v>0</v>
      </c>
      <c r="CB6" s="1713">
        <f>IF(OR($C$101=$AR6,$D$101=$AR6),Schweine_Werte!$O6*0.5,IF(OR($C$101&gt;$AR6,$D$101&lt;$AR6),0,Schweine_Werte!$O6))</f>
        <v>0</v>
      </c>
      <c r="CC6" s="1713">
        <f>IF(OR($C$110=$AR6,$D$110=$AR6),Schweine_Werte!$O6*0.5,IF(OR($C$110&gt;$AR6,$D$110&lt;$AR6),0,Schweine_Werte!$O6))</f>
        <v>0</v>
      </c>
    </row>
    <row r="7" spans="1:303" x14ac:dyDescent="0.25">
      <c r="A7" s="1711" t="s">
        <v>8580</v>
      </c>
      <c r="B7" s="1712">
        <v>850</v>
      </c>
      <c r="C7"/>
      <c r="D7" s="885"/>
      <c r="E7" s="885" t="e">
        <f>($D12-$C12)*1000/SUM($BC$4:$BC$146)</f>
        <v>#VALUE!</v>
      </c>
      <c r="F7" s="885" t="e">
        <f>SUMPRODUCT($BC$4:$BC$146,Schweine_Werte!$S$4:$S$146)/SUM($BC$4:$BC$146)</f>
        <v>#DIV/0!</v>
      </c>
      <c r="G7" s="885" t="e">
        <f>IF($B12=$A$8,SUMPRODUCT($BC$4:$BC$146,Schweine_Werte!ET$4:ET$146)/SUM($BC$4:$BC$146),IF($B12=$A$7,SUMPRODUCT($BC$4:$BC$146,Schweine_Werte!DN$4:DN$146)/SUM($BC$4:$BC$146),IF($B12=$A$6,SUMPRODUCT($BC$4:$BC$146,Schweine_Werte!CH$4:CH$146)/SUM($BC$4:$BC$146),SUMPRODUCT($BC$4:$BC$146,Schweine_Werte!BB$4:BB$146)/SUM($BC$4:$BC$146))))</f>
        <v>#DIV/0!</v>
      </c>
      <c r="H7" s="885" t="e">
        <f>IF($B12=$A$8,SUMPRODUCT($BC$4:$BC$146,Schweine_Werte!EU$4:EU$146)/SUM($BC$4:$BC$146),IF($B12=$A$7,SUMPRODUCT($BC$4:$BC$146,Schweine_Werte!DO$4:DO$146)/SUM($BC$4:$BC$146),IF($B12=$A$6,SUMPRODUCT($BC$4:$BC$146,Schweine_Werte!CI$4:CI$146)/SUM($BC$4:$BC$146),SUMPRODUCT($BC$4:$BC$146,Schweine_Werte!BC$4:BC$146)/SUM($BC$4:$BC$146))))</f>
        <v>#DIV/0!</v>
      </c>
      <c r="I7" s="885" t="e">
        <f>IF($B12=$A$8,SUMPRODUCT($BC$4:$BC$146,Schweine_Werte!EV$4:EV$146)/SUM($BC$4:$BC$146),IF($B12=$A$7,SUMPRODUCT($BC$4:$BC$146,Schweine_Werte!DP$4:DP$146)/SUM($BC$4:$BC$146),IF($B12=$A$6,SUMPRODUCT($BC$4:$BC$146,Schweine_Werte!CJ$4:CJ$146)/SUM($BC$4:$BC$146),SUMPRODUCT($BC$4:$BC$146,Schweine_Werte!BD$4:BD$146)/SUM($BC$4:$BC$146))))</f>
        <v>#DIV/0!</v>
      </c>
      <c r="J7" s="885" t="e">
        <f>SUMPRODUCT($BC$4:$BC$146,Schweine_Werte!$AA$4:$AA$146)/SUM($BC$4:$BC$146)</f>
        <v>#DIV/0!</v>
      </c>
      <c r="K7" s="885" t="e">
        <f>SUMPRODUCT($BC$4:$BC$146,Schweine_Werte!$AI$4:$AI$146)/SUM($BC$4:$BC$146)</f>
        <v>#DIV/0!</v>
      </c>
      <c r="L7" s="885" t="e">
        <f>T7*$F7*365/1000+$J7-$K7</f>
        <v>#DIV/0!</v>
      </c>
      <c r="M7" s="885" t="e">
        <f>U7*$F7*365/1000+$J7-$K7/2</f>
        <v>#DIV/0!</v>
      </c>
      <c r="N7" s="885" t="e">
        <f>V7*$F7*365/1000+$J7</f>
        <v>#DIV/0!</v>
      </c>
      <c r="O7" s="885">
        <f>IF($C12&lt;28,SUM($BC$4:$BC$23)+IF($D12&gt;28,$BC$24*0.5,$BC$24),0)</f>
        <v>0</v>
      </c>
      <c r="P7" s="885">
        <f>IF($D12&gt;28,SUM($BC$25:$BC$146)+IF($C12&lt;28,$BC$24*0.5,$BC$24),0)</f>
        <v>0</v>
      </c>
      <c r="Q7" s="885" t="e">
        <f t="shared" si="0"/>
        <v>#DIV/0!</v>
      </c>
      <c r="R7" s="885" t="e">
        <f t="shared" si="0"/>
        <v>#DIV/0!</v>
      </c>
      <c r="S7" s="885" t="e">
        <f t="shared" si="0"/>
        <v>#DIV/0!</v>
      </c>
      <c r="T7" s="885" t="e">
        <f>+($O7*Schweine_Werte!$HT$7+$P7*Schweine_Werte!$HU$7)/SUM($O7:$P7)</f>
        <v>#DIV/0!</v>
      </c>
      <c r="U7" s="885" t="e">
        <f>+($O7*Schweine_Werte!$HV$7+$P7*Schweine_Werte!$HW$7)/SUM($O7:$P7)</f>
        <v>#DIV/0!</v>
      </c>
      <c r="V7" s="885" t="e">
        <f>+($O7*Schweine_Werte!$HX$7+$P7*Schweine_Werte!$HY$7)/SUM($O7:$P7)</f>
        <v>#DIV/0!</v>
      </c>
      <c r="W7" s="885" t="e">
        <f>($J7*0.055+T7*0.365*0.86*$F7-$K7*0.018)/L7*100</f>
        <v>#DIV/0!</v>
      </c>
      <c r="X7" s="885" t="e">
        <f>($J7*0.055+U7*0.365*0.86*$F7-$K7*0.018/2)/M7*100</f>
        <v>#DIV/0!</v>
      </c>
      <c r="Y7" s="885" t="e">
        <f>($J7*0.055+V7*0.365*0.86*$F7)/N7*100</f>
        <v>#DIV/0!</v>
      </c>
      <c r="Z7" s="885" t="e">
        <f>IF($B12=$A$8,SUMPRODUCT($BC$4:$BC$146,Schweine_Werte!$EW$4:$EW$146,Schweine_Werte!$EX$4:$EX$146)/SUMPRODUCT($BC$4:$BC$146,Schweine_Werte!$EW$4:$EW$146),IF($B12=$A$7,SUMPRODUCT($BC$4:$BC$146,Schweine_Werte!$DQ$4:$DQ$146,Schweine_Werte!$DR$4:$DR$146)/SUMPRODUCT($BC$4:$BC$146,Schweine_Werte!$DQ$4:$DQ$146),IF($B12=$A$6,SUMPRODUCT($BC$4:$BC$146,Schweine_Werte!$CK$4:$CK$146,Schweine_Werte!$CL$4:$CL$146)/SUMPRODUCT($BC$4:$BC$146,Schweine_Werte!$CK$4:$CK$146),SUMPRODUCT($BC$4:$BC$146,Schweine_Werte!$BE$4:$BE$146,Schweine_Werte!$BF$4:$BF$146)/SUMPRODUCT($BC$4:$BC$146,Schweine_Werte!$BE$4:$BE$146))))</f>
        <v>#DIV/0!</v>
      </c>
      <c r="AA7" s="885"/>
      <c r="AB7" s="885">
        <f>IF($B12=$A$8,SUMIF(Schweine_Werte!$AO$4:$AO$146,$C12,Schweine_Werte!$EX$4:$EX$146),IF($B12=$A$7,SUMIF(Schweine_Werte!$AO$4:$AO$146,$C12,Schweine_Werte!$DR$4:$DR$146),IF($B12=$A$6,SUMIF(Schweine_Werte!$AO$4:$AO$146,$C12,Schweine_Werte!$CL$4:$CL$146),SUMIF(Schweine_Werte!$AO$4:$AO$146,$C12,Schweine_Werte!$BF$4:$BF$146))))</f>
        <v>0</v>
      </c>
      <c r="AC7" s="885"/>
      <c r="AD7" s="885">
        <f>IF($B12=$A$8,SUMIF(Schweine_Werte!$AO$4:$AO$146,$D12,Schweine_Werte!$EX$4:$EX$146),IF($B12=$A$7,SUMIF(Schweine_Werte!$AO$4:$AO$146,$D12,Schweine_Werte!$DR$4:$DR$146),IF($B12=$A$6,SUMIF(Schweine_Werte!$AO$4:$AO$146,$D12,Schweine_Werte!$CL$4:$CL$146),SUMIF(Schweine_Werte!$AO$4:$AO$146,$D12,Schweine_Werte!$BF$4:$BF$146))))</f>
        <v>0</v>
      </c>
      <c r="AE7" s="885"/>
      <c r="AF7" s="885"/>
      <c r="AG7" s="885" t="e">
        <f>IF($B12=$A$8,SUMPRODUCT($BC$4:$BC$146,Schweine_Werte!$EW$4:$EW$146)/SUM($BC$4:$BC$146),IF($B12=$A$7,SUMPRODUCT($BC$4:$BC$146,Schweine_Werte!$DQ$4:$DQ$146)/SUM($BC$4:$BC$146),IF($B12=$A$6,SUMPRODUCT($BC$4:$BC$146,Schweine_Werte!$CK$4:$CK$146)/SUM($BC$4:$BC$146),SUMPRODUCT($BC$4:$BC$146,Schweine_Werte!$BE$4:$BE$146)/SUM($BC$4:$BC$146))))</f>
        <v>#DIV/0!</v>
      </c>
      <c r="AH7" s="885"/>
      <c r="AI7" s="885"/>
      <c r="AJ7" s="885" t="e">
        <f>IF($B12=$A$8,SUMPRODUCT($BC$4:$BC$146,Schweine_Werte!$EW$4:$EW$146,Schweine_Werte!$EY$4:$EY$146)/SUMPRODUCT($BC$4:$BC$146,Schweine_Werte!$EW$4:$EW$146),IF($B12=$A$7,SUMPRODUCT($BC$4:$BC$146,Schweine_Werte!$DQ$4:$DQ$146,Schweine_Werte!$DS$4:$DS$146)/SUMPRODUCT($BC$4:$BC$146,Schweine_Werte!$DQ$4:$DQ$146),IF($B12=$A$6,SUMPRODUCT($BC$4:$BC$146,Schweine_Werte!$CK$4:$CK$146,Schweine_Werte!$CM$4:$CM$146)/SUMPRODUCT($BC$4:$BC$146,Schweine_Werte!$CK$4:$CK$146),SUMPRODUCT($BC$4:$BC$146,Schweine_Werte!$BE$4:$BE$146,Schweine_Werte!$BG$4:$BG$146)/SUMPRODUCT($BC$4:$BC$146,Schweine_Werte!$BE$4:$BE$146))))</f>
        <v>#DIV/0!</v>
      </c>
      <c r="AK7" s="885"/>
      <c r="AL7" s="885">
        <f>IF($B12=$A$8,SUMIF(Schweine_Werte!$AO$4:$AO$146,$C12,Schweine_Werte!$EY$4:$EY$146),IF($B12=$A$7,SUMIF(Schweine_Werte!$AO$4:$AO$146,$C12,Schweine_Werte!$DS$4:$DS$146),IF($B12=$A$6,SUMIF(Schweine_Werte!$AO$4:$AO$146,$C12,Schweine_Werte!$CM$4:$CM$146),SUMIF(Schweine_Werte!$AO$4:$AO$146,$C12,Schweine_Werte!$BG$4:$BG$146))))</f>
        <v>0</v>
      </c>
      <c r="AM7" s="885"/>
      <c r="AN7" s="885">
        <f>IF($B12=$A$8,SUMIF(Schweine_Werte!$AO$4:$AO$146,$D12,Schweine_Werte!$EY$4:$EY$146),IF($B12=$A$7,SUMIF(Schweine_Werte!$AO$4:$AO$146,$D12,Schweine_Werte!$DS$4:$DS$146),IF($B12=$A$6,SUMIF(Schweine_Werte!$AO$4:$AO$146,$D12,Schweine_Werte!$CM$4:$CM$146),SUMIF(Schweine_Werte!$AO$4:$AO$146,$D12,Schweine_Werte!$BG$4:$BG$146))))</f>
        <v>0</v>
      </c>
      <c r="AO7"/>
      <c r="AR7" s="1708">
        <v>11</v>
      </c>
      <c r="AS7" s="1709">
        <f>IF(OR($C$12=$AR7,$D$12=$AR7),Schweine_Werte!$C7*0.5,IF(OR($C$12&gt;$AR7,$D$12&lt;$AR7),0,Schweine_Werte!$C7))</f>
        <v>0</v>
      </c>
      <c r="AT7" s="1709">
        <f>IF(OR($C$24=$AR7,$D$24=$AR7),Schweine_Werte!$C7*0.5,IF(OR($C$24&gt;$AR7,$D$24&lt;$AR7),0,Schweine_Werte!$C7))</f>
        <v>0</v>
      </c>
      <c r="AU7" s="1709">
        <f>IF(OR($C$36=$AR7,$D$36=$AR7),Schweine_Werte!$C7*0.5,IF(OR($C$36&gt;$AR7,$D$36&lt;$AR7),0,Schweine_Werte!$C7))</f>
        <v>0</v>
      </c>
      <c r="AV7" s="1709">
        <f>IF(OR($C$48=$AR7,$D$48=$AR7),Schweine_Werte!$C7*0.5,IF(OR($C$48&gt;$AR7,$D$48&lt;$AR7),0,Schweine_Werte!$C7))</f>
        <v>0</v>
      </c>
      <c r="AW7" s="1709">
        <f>IF(OR($C$60=$AR7,$D$60=$AR7),Schweine_Werte!$C7*0.5,IF(OR($C$60&gt;$AR7,$D$60&lt;$AR7),0,Schweine_Werte!$C7))</f>
        <v>0</v>
      </c>
      <c r="AX7" s="1709">
        <f>IF(OR($C$12=$AR7,$D$12=$AR7),Schweine_Werte!$E7*0.5,IF(OR($C$12&gt;$AR7,$D$12&lt;$AR7),0,Schweine_Werte!$E7))</f>
        <v>0</v>
      </c>
      <c r="AY7" s="1709">
        <f>IF(OR($C$24=$AR7,$D$24=$AR7),Schweine_Werte!$E7*0.5,IF(OR($C$24&gt;$AR7,$D$24&lt;$AR7),0,Schweine_Werte!$E7))</f>
        <v>0</v>
      </c>
      <c r="AZ7" s="1714">
        <f>IF(OR($C$36=$AR7,$D$36=$AR7),Schweine_Werte!$E7*0.5,IF(OR($C$36&gt;$AR7,$D$36&lt;$AR7),0,Schweine_Werte!$E7))</f>
        <v>0</v>
      </c>
      <c r="BA7" s="1714">
        <f>IF(OR($C$48=$AR7,$D$48=$AR7),Schweine_Werte!$E7*0.5,IF(OR($C$48&gt;$AR7,$D$48&lt;$AR7),0,Schweine_Werte!$E7))</f>
        <v>0</v>
      </c>
      <c r="BB7" s="1714">
        <f>IF(OR($C$60=$AR7,$D$60=$AR7),Schweine_Werte!$E7*0.5,IF(OR($C$60&gt;$AR7,$D$60&lt;$AR7),0,Schweine_Werte!$E7))</f>
        <v>0</v>
      </c>
      <c r="BC7" s="1709">
        <f>IF(OR($C$12=$AR7,$D$12=$AR7),Schweine_Werte!$G7*0.5,IF(OR($C$12&gt;$AR7,$D$12&lt;$AR7),0,Schweine_Werte!$G7))</f>
        <v>0</v>
      </c>
      <c r="BD7" s="1709">
        <f>IF(OR($C$24=$AR7,$D$24=$AR7),Schweine_Werte!$G7*0.5,IF(OR($C$24&gt;$AR7,$D$24&lt;$AR7),0,Schweine_Werte!$G7))</f>
        <v>0</v>
      </c>
      <c r="BE7" s="1714">
        <f>IF(OR($C$36=$AR7,$D$36=$AR7),Schweine_Werte!$G7*0.5,IF(OR($C$36&gt;$AR7,$D$36&lt;$AR7),0,Schweine_Werte!$G7))</f>
        <v>0</v>
      </c>
      <c r="BF7" s="1714">
        <f>IF(OR($C$48=$AR7,$D$48=$AR7),Schweine_Werte!$G7*0.5,IF(OR($C$48&gt;$AR7,$D$48&lt;$AR7),0,Schweine_Werte!$G7))</f>
        <v>0</v>
      </c>
      <c r="BG7" s="1714">
        <f>IF(OR($C$60=$AR7,$D$60=$AR7),Schweine_Werte!$G7*0.5,IF(OR($C$60&gt;$AR7,$D$60&lt;$AR7),0,Schweine_Werte!$G7))</f>
        <v>0</v>
      </c>
      <c r="BH7" s="1709">
        <f>IF(OR($C$12=$AR7,$D$12=$AR7),Schweine_Werte!$I7*0.5,IF(OR($C$12&gt;$AR7,$D$12&lt;$AR7),0,Schweine_Werte!$I7))</f>
        <v>0</v>
      </c>
      <c r="BI7" s="1709">
        <f>IF(OR($C$24=$AR7,$D$24=$AR7),Schweine_Werte!$I7*0.5,IF(OR($C$24&gt;$AR7,$D$24&lt;$AR7),0,Schweine_Werte!$I7))</f>
        <v>0</v>
      </c>
      <c r="BJ7" s="1714">
        <f>IF(OR($C$36=$AR7,$D$36=$AR7),Schweine_Werte!$I7*0.5,IF(OR($C$36&gt;$AR7,$D$36&lt;$AR7),0,Schweine_Werte!$I7))</f>
        <v>0</v>
      </c>
      <c r="BK7" s="1714">
        <f>IF(OR($C$48=$AR7,$D$48=$AR7),Schweine_Werte!$I7*0.5,IF(OR($C$48&gt;$AR7,$D$48&lt;$AR7),0,Schweine_Werte!$I7))</f>
        <v>0</v>
      </c>
      <c r="BL7" s="1714">
        <f>IF(OR($C$60=$AR7,$D$60=$AR7),Schweine_Werte!$I7*0.5,IF(OR($C$60&gt;$AR7,$D$60&lt;$AR7),0,Schweine_Werte!$I7))</f>
        <v>0</v>
      </c>
      <c r="BM7" s="1709">
        <f>IF(OR($C$12=$AR7,$D$12=$AR7),Schweine_Werte!$K7*0.5,IF(OR($C$12&gt;$AR7,$D$12&lt;$AR7),0,Schweine_Werte!$K7))</f>
        <v>0</v>
      </c>
      <c r="BN7" s="1709">
        <f>IF(OR($C$24=$AR7,$D$24=$AR7),Schweine_Werte!$K7*0.5,IF(OR($C$24&gt;$AR7,$D$24&lt;$AR7),0,Schweine_Werte!$K7))</f>
        <v>0</v>
      </c>
      <c r="BO7" s="1714">
        <f>IF(OR($C$36=$AR7,$D$36=$AR7),Schweine_Werte!$K7*0.5,IF(OR($C$36&gt;$AR7,$D$36&lt;$AR7),0,Schweine_Werte!$K7))</f>
        <v>0</v>
      </c>
      <c r="BP7" s="1714">
        <f>IF(OR($C$48=$AR7,$D$48=$AR7),Schweine_Werte!$K7*0.5,IF(OR($C$48&gt;$AR7,$D$48&lt;$AR7),0,Schweine_Werte!$K7))</f>
        <v>0</v>
      </c>
      <c r="BQ7" s="1714">
        <f>IF(OR($C$60=$AR7,$D$60=$AR7),Schweine_Werte!$K7*0.5,IF(OR($C$60&gt;$AR7,$D$60&lt;$AR7),0,Schweine_Werte!$K7))</f>
        <v>0</v>
      </c>
      <c r="BR7" s="1710">
        <f>IF(OR($C$74=$AR7,$D$74=$AR7),Schweine_Werte!$M7*0.5,IF(OR($C$74&gt;$AR7,$D$74&lt;$AR7),0,Schweine_Werte!$M7))</f>
        <v>0</v>
      </c>
      <c r="BS7" s="1710">
        <f>IF(OR($C$83=$AR7,$D$83=$AR7),Schweine_Werte!$M7*0.5,IF(OR($C$83&gt;$AR7,$D$83&lt;$AR7),0,Schweine_Werte!$M7))</f>
        <v>0</v>
      </c>
      <c r="BT7" s="1713">
        <f>IF(OR($C$92=$AR7,$D$92=$AR7),Schweine_Werte!$M7*0.5,IF(OR($C$92&gt;$AR7,$D$92&lt;$AR7),0,Schweine_Werte!$M7))</f>
        <v>0</v>
      </c>
      <c r="BU7" s="1713">
        <f>IF(OR($C$101=$AR7,$D$101=$AR7),Schweine_Werte!$M7*0.5,IF(OR($C$101&gt;$AR7,$D$101&lt;$AR7),0,Schweine_Werte!$M7))</f>
        <v>0</v>
      </c>
      <c r="BV7" s="1713">
        <f>IF(OR($C$110=$AR7,$D$110=$AR7),Schweine_Werte!$M7*0.5,IF(OR($C$110&gt;$AR7,$D$110&lt;$AR7),0,Schweine_Werte!$M7))</f>
        <v>0</v>
      </c>
      <c r="BW7" s="1713">
        <f>IF(OR(8=$AR7,$E$127=$AR7),Schweine_Werte!$M7*0.5,IF(OR(8&gt;$AR7,$E$127&lt;$AR7),0,Schweine_Werte!$M7))</f>
        <v>2.8148019927048371</v>
      </c>
      <c r="BX7" s="1713">
        <f>IF(OR(8=$AR7,$E$145=$AR7),Schweine_Werte!$M7*0.5,IF(OR(8&gt;$AR7,$E$145&lt;$AR7),0,Schweine_Werte!$M7))</f>
        <v>2.8148019927048371</v>
      </c>
      <c r="BY7" s="1710">
        <f>IF(OR($C$74=$AR7,$D$74=$AR7),Schweine_Werte!$O7*0.5,IF(OR($C$74&gt;$AR7,$D$74&lt;$AR7),0,Schweine_Werte!$O7))</f>
        <v>0</v>
      </c>
      <c r="BZ7" s="1710">
        <f>IF(OR($C$83=$AR7,$D$83=$AR7),Schweine_Werte!$O7*0.5,IF(OR($C$83&gt;$AR7,$D$83&lt;$AR7),0,Schweine_Werte!$O7))</f>
        <v>0</v>
      </c>
      <c r="CA7" s="1713">
        <f>IF(OR($C$92=$AR7,$D$92=$AR7),Schweine_Werte!$O7*0.5,IF(OR($C$92&gt;$AR7,$D$92&lt;$AR7),0,Schweine_Werte!$O7))</f>
        <v>0</v>
      </c>
      <c r="CB7" s="1713">
        <f>IF(OR($C$101=$AR7,$D$101=$AR7),Schweine_Werte!$O7*0.5,IF(OR($C$101&gt;$AR7,$D$101&lt;$AR7),0,Schweine_Werte!$O7))</f>
        <v>0</v>
      </c>
      <c r="CC7" s="1713">
        <f>IF(OR($C$110=$AR7,$D$110=$AR7),Schweine_Werte!$O7*0.5,IF(OR($C$110&gt;$AR7,$D$110&lt;$AR7),0,Schweine_Werte!$O7))</f>
        <v>0</v>
      </c>
    </row>
    <row r="8" spans="1:303" x14ac:dyDescent="0.25">
      <c r="A8" s="1715" t="s">
        <v>8581</v>
      </c>
      <c r="B8" s="1712">
        <v>950</v>
      </c>
      <c r="C8"/>
      <c r="D8" s="885"/>
      <c r="E8" s="885" t="e">
        <f>($D12-$C12)*1000/SUM($BH$4:$BH$146)</f>
        <v>#VALUE!</v>
      </c>
      <c r="F8" s="885" t="e">
        <f>SUMPRODUCT($BH$4:$BH$146,Schweine_Werte!$T$4:$T$146)/SUM($BH$4:$BH$146)</f>
        <v>#DIV/0!</v>
      </c>
      <c r="G8" s="885" t="e">
        <f>IF($B12=$A$8,SUMPRODUCT($BH$4:$BH$146,Schweine_Werte!EZ$4:EZ$146)/SUM($BH$4:$BH$146),IF($B12=$A$7,SUMPRODUCT($BH$4:$BH$146,Schweine_Werte!DT$4:DT$146)/SUM($BH$4:$BH$146),IF($B12=$A$6,SUMPRODUCT($BH$4:$BH$146,Schweine_Werte!CN$4:CN$146)/SUM($BH$4:$BH$146),SUMPRODUCT($BH$4:$BH$146,Schweine_Werte!BH$4:BH$146)/SUM($BH$4:$BH$146))))</f>
        <v>#DIV/0!</v>
      </c>
      <c r="H8" s="885" t="e">
        <f>IF($B12=$A$8,SUMPRODUCT($BH$4:$BH$146,Schweine_Werte!FA$4:FA$146)/SUM($BH$4:$BH$146),IF($B12=$A$7,SUMPRODUCT($BH$4:$BH$146,Schweine_Werte!DU$4:DU$146)/SUM($BH$4:$BH$146),IF($B12=$A$6,SUMPRODUCT($BH$4:$BH$146,Schweine_Werte!CO$4:CO$146)/SUM($BH$4:$BH$146),SUMPRODUCT($BH$4:$BH$146,Schweine_Werte!BI$4:BI$146)/SUM($BH$4:$BH$146))))</f>
        <v>#DIV/0!</v>
      </c>
      <c r="I8" s="885" t="e">
        <f>IF($B12=$A$8,SUMPRODUCT($BH$4:$BH$146,Schweine_Werte!FB$4:FB$146)/SUM($BH$4:$BH$146),IF($B12=$A$7,SUMPRODUCT($BH$4:$BH$146,Schweine_Werte!DV$4:DV$146)/SUM($BH$4:$BH$146),IF($B12=$A$6,SUMPRODUCT($BH$4:$BH$146,Schweine_Werte!CP$4:CP$146)/SUM($BH$4:$BH$146),SUMPRODUCT($BH$4:$BH$146,Schweine_Werte!BJ$4:BJ$146)/SUM($BH$4:$BH$146))))</f>
        <v>#DIV/0!</v>
      </c>
      <c r="J8" s="885" t="e">
        <f>SUMPRODUCT($BH$4:$BH$146,Schweine_Werte!$AB$4:$AB$146)/SUM($BH$4:$BH$146)</f>
        <v>#DIV/0!</v>
      </c>
      <c r="K8" s="885" t="e">
        <f>SUMPRODUCT($BH$4:$BH$146,Schweine_Werte!$AJ$4:$AJ$146)/SUM($BH$4:$BH$146)</f>
        <v>#DIV/0!</v>
      </c>
      <c r="L8" s="1914" t="e">
        <f>T8*$F8*365/1000+$J8-$K8</f>
        <v>#DIV/0!</v>
      </c>
      <c r="M8" s="885" t="e">
        <f>U8*$F8*365/1000+$J8-$K8/2</f>
        <v>#DIV/0!</v>
      </c>
      <c r="N8" s="885" t="e">
        <f>V8*$F8*365/1000+$J8</f>
        <v>#DIV/0!</v>
      </c>
      <c r="O8" s="885">
        <f>IF($C12&lt;28,SUM($BH$4:$BH$23)+IF($D12&gt;28,$BH$24*0.5,$BH$24),0)</f>
        <v>0</v>
      </c>
      <c r="P8" s="885">
        <f>IF($D12&gt;28,SUM($BH$25:$BH$146)+IF($C12&lt;28,$BH$24*0.5,$BH$24),0)</f>
        <v>0</v>
      </c>
      <c r="Q8" s="885" t="e">
        <f t="shared" si="0"/>
        <v>#DIV/0!</v>
      </c>
      <c r="R8" s="885" t="e">
        <f t="shared" si="0"/>
        <v>#DIV/0!</v>
      </c>
      <c r="S8" s="885" t="e">
        <f t="shared" si="0"/>
        <v>#DIV/0!</v>
      </c>
      <c r="T8" s="885" t="e">
        <f>+($O8*Schweine_Werte!$HT$8+$P8*Schweine_Werte!$HU$8)/SUM($O8:$P8)</f>
        <v>#DIV/0!</v>
      </c>
      <c r="U8" s="885" t="e">
        <f>+($O8*Schweine_Werte!$HV$8+$P8*Schweine_Werte!$HW$8)/SUM($O8:$P8)</f>
        <v>#DIV/0!</v>
      </c>
      <c r="V8" s="885" t="e">
        <f>+($O8*Schweine_Werte!$HX$8+$P8*Schweine_Werte!$HY$8)/SUM($O8:$P8)</f>
        <v>#DIV/0!</v>
      </c>
      <c r="W8" s="1915" t="e">
        <f>($J8*0.055+T8*0.365*0.86*$F8-$K8*0.018)/L8*100</f>
        <v>#DIV/0!</v>
      </c>
      <c r="X8" s="885" t="e">
        <f>($J8*0.055+U8*0.365*0.86*$F8-$K8*0.018/2)/M8*100</f>
        <v>#DIV/0!</v>
      </c>
      <c r="Y8" s="885" t="e">
        <f>($J8*0.055+V8*0.365*0.86*$F8)/N8*100</f>
        <v>#DIV/0!</v>
      </c>
      <c r="Z8" s="885" t="e">
        <f>IF($B12=$A$8,SUMPRODUCT($BH$4:$BH$146,Schweine_Werte!$FC$4:$FC$146,Schweine_Werte!$FD$4:$FD$146)/SUMPRODUCT($BH$4:$BH$146,Schweine_Werte!$FC$4:$FC$146),IF($B12=$A$7,SUMPRODUCT($BH$4:$BH$146,Schweine_Werte!$DW$4:$DW$146,Schweine_Werte!$DX$4:$DX$146)/SUMPRODUCT($BH$4:$BH$146,Schweine_Werte!$DW$4:$DW$146),IF($B12=$A$6,SUMPRODUCT($BH$4:$BH$146,Schweine_Werte!$CQ$4:$CQ$146,Schweine_Werte!$CR$4:$CR$146)/SUMPRODUCT($BH$4:$BH$146,Schweine_Werte!$CQ$4:$CQ$146),SUMPRODUCT($BH$4:$BH$146,Schweine_Werte!$BK$4:$BK$146,Schweine_Werte!$BL$4:$BL$146)/SUMPRODUCT($BH$4:$BH$146,Schweine_Werte!$BK$4:$BK$146))))</f>
        <v>#DIV/0!</v>
      </c>
      <c r="AA8" s="885"/>
      <c r="AB8" s="885">
        <f>IF($B12=$A$8,SUMIF(Schweine_Werte!$AO$4:$AO$146,$C12,Schweine_Werte!$FD$4:$FD$146),IF($B12=$A$7,SUMIF(Schweine_Werte!$AO$4:$AO$146,$C12,Schweine_Werte!$DX$4:$DX$146),IF($B12=$A$6,SUMIF(Schweine_Werte!$AO$4:$AO$146,$C12,Schweine_Werte!$CR$4:$CR$146),SUMIF(Schweine_Werte!$AO$4:$AO$146,$C12,Schweine_Werte!$BL$4:$BL$146))))</f>
        <v>0</v>
      </c>
      <c r="AC8" s="885"/>
      <c r="AD8" s="885">
        <f>IF($B12=$A$8,SUMIF(Schweine_Werte!$AO$4:$AO$146,$D12,Schweine_Werte!$FD$4:$FD$146),IF($B12=$A$7,SUMIF(Schweine_Werte!$AO$4:$AO$146,$D12,Schweine_Werte!$DX$4:$DX$146),IF($B12=$A$6,SUMIF(Schweine_Werte!$AO$4:$AO$146,$D12,Schweine_Werte!$CR$4:$CR$146),SUMIF(Schweine_Werte!$AO$4:$AO$146,$D12,Schweine_Werte!$BL$4:$BL$146))))</f>
        <v>0</v>
      </c>
      <c r="AE8" s="885"/>
      <c r="AF8" s="885"/>
      <c r="AG8" s="885" t="e">
        <f>IF($B12=$A$8,SUMPRODUCT($BH$4:$BH$146,Schweine_Werte!$FC$4:$FC$146)/SUM($BH$4:$BH$146),IF($B12=$A$7,SUMPRODUCT($BH$4:$BH$146,Schweine_Werte!$DW$4:$DW$146)/SUM($BH$4:$BH$146),IF($B12=$A$6,SUMPRODUCT($BH$4:$BH$146,Schweine_Werte!$CQ$4:$CQ$146)/SUM($BH$4:$BH$146),SUMPRODUCT($BH$4:$BH$146,Schweine_Werte!$BK$4:$BK$146)/SUM($BH$4:$BH$146))))</f>
        <v>#DIV/0!</v>
      </c>
      <c r="AH8" s="885"/>
      <c r="AI8" s="885"/>
      <c r="AJ8" s="885" t="e">
        <f>IF($B12=$A$8,SUMPRODUCT($BH$4:$BH$146,Schweine_Werte!$FC$4:$FC$146,Schweine_Werte!$FE$4:$FE$146)/SUMPRODUCT($BH$4:$BH$146,Schweine_Werte!$FC$4:$FC$146),IF($B12=$A$7,SUMPRODUCT($BH$4:$BH$146,Schweine_Werte!$DW$4:$DW$146,Schweine_Werte!$DY$4:$DY$146)/SUMPRODUCT($BH$4:$BH$146,Schweine_Werte!$DW$4:$DW$146),IF($B12=$A$6,SUMPRODUCT($BH$4:$BH$146,Schweine_Werte!$CQ$4:$CQ$146,Schweine_Werte!$CS$4:$CS$146)/SUMPRODUCT($BH$4:$BH$146,Schweine_Werte!$CQ$4:$CQ$146),SUMPRODUCT($BH$4:$BH$146,Schweine_Werte!$BK$4:$BK$146,Schweine_Werte!$BM$4:$BM$146)/SUMPRODUCT($BH$4:$BH$146,Schweine_Werte!$BK$4:$BK$146))))</f>
        <v>#DIV/0!</v>
      </c>
      <c r="AK8" s="885"/>
      <c r="AL8" s="885">
        <f>IF($B12=$A$8,SUMIF(Schweine_Werte!$AO$4:$AO$146,$C12,Schweine_Werte!$FE$4:$FE$146),IF($B12=$A$7,SUMIF(Schweine_Werte!$AO$4:$AO$146,$C12,Schweine_Werte!$DY$4:$DY$146),IF($B12=$A$6,SUMIF(Schweine_Werte!$AO$4:$AO$146,$C12,Schweine_Werte!$CS$4:$CS$146),SUMIF(Schweine_Werte!$AO$4:$AO$146,$C12,Schweine_Werte!$BM$4:$BM$146))))</f>
        <v>0</v>
      </c>
      <c r="AM8" s="885"/>
      <c r="AN8" s="885">
        <f>IF($B12=$A$8,SUMIF(Schweine_Werte!$AO$4:$AO$146,$D12,Schweine_Werte!$FE$4:$FE$146),IF($B12=$A$7,SUMIF(Schweine_Werte!$AO$4:$AO$146,$D12,Schweine_Werte!$DY$4:$DY$146),IF($B12=$A$6,SUMIF(Schweine_Werte!$AO$4:$AO$146,$D12,Schweine_Werte!$CS$4:$CS$146),SUMIF(Schweine_Werte!$AO$4:$AO$146,$D12,Schweine_Werte!$BM$4:$BM$146))))</f>
        <v>0</v>
      </c>
      <c r="AO8"/>
      <c r="AR8" s="1708">
        <v>12</v>
      </c>
      <c r="AS8" s="1709">
        <f>IF(OR($C$12=$AR8,$D$12=$AR8),Schweine_Werte!$C8*0.5,IF(OR($C$12&gt;$AR8,$D$12&lt;$AR8),0,Schweine_Werte!$C8))</f>
        <v>0</v>
      </c>
      <c r="AT8" s="1709">
        <f>IF(OR($C$24=$AR8,$D$24=$AR8),Schweine_Werte!$C8*0.5,IF(OR($C$24&gt;$AR8,$D$24&lt;$AR8),0,Schweine_Werte!$C8))</f>
        <v>0</v>
      </c>
      <c r="AU8" s="1709">
        <f>IF(OR($C$36=$AR8,$D$36=$AR8),Schweine_Werte!$C8*0.5,IF(OR($C$36&gt;$AR8,$D$36&lt;$AR8),0,Schweine_Werte!$C8))</f>
        <v>0</v>
      </c>
      <c r="AV8" s="1709">
        <f>IF(OR($C$48=$AR8,$D$48=$AR8),Schweine_Werte!$C8*0.5,IF(OR($C$48&gt;$AR8,$D$48&lt;$AR8),0,Schweine_Werte!$C8))</f>
        <v>0</v>
      </c>
      <c r="AW8" s="1709">
        <f>IF(OR($C$60=$AR8,$D$60=$AR8),Schweine_Werte!$C8*0.5,IF(OR($C$60&gt;$AR8,$D$60&lt;$AR8),0,Schweine_Werte!$C8))</f>
        <v>0</v>
      </c>
      <c r="AX8" s="1709">
        <f>IF(OR($C$12=$AR8,$D$12=$AR8),Schweine_Werte!$E8*0.5,IF(OR($C$12&gt;$AR8,$D$12&lt;$AR8),0,Schweine_Werte!$E8))</f>
        <v>0</v>
      </c>
      <c r="AY8" s="1709">
        <f>IF(OR($C$24=$AR8,$D$24=$AR8),Schweine_Werte!$E8*0.5,IF(OR($C$24&gt;$AR8,$D$24&lt;$AR8),0,Schweine_Werte!$E8))</f>
        <v>0</v>
      </c>
      <c r="AZ8" s="1714">
        <f>IF(OR($C$36=$AR8,$D$36=$AR8),Schweine_Werte!$E8*0.5,IF(OR($C$36&gt;$AR8,$D$36&lt;$AR8),0,Schweine_Werte!$E8))</f>
        <v>0</v>
      </c>
      <c r="BA8" s="1714">
        <f>IF(OR($C$48=$AR8,$D$48=$AR8),Schweine_Werte!$E8*0.5,IF(OR($C$48&gt;$AR8,$D$48&lt;$AR8),0,Schweine_Werte!$E8))</f>
        <v>0</v>
      </c>
      <c r="BB8" s="1714">
        <f>IF(OR($C$60=$AR8,$D$60=$AR8),Schweine_Werte!$E8*0.5,IF(OR($C$60&gt;$AR8,$D$60&lt;$AR8),0,Schweine_Werte!$E8))</f>
        <v>0</v>
      </c>
      <c r="BC8" s="1709">
        <f>IF(OR($C$12=$AR8,$D$12=$AR8),Schweine_Werte!$G8*0.5,IF(OR($C$12&gt;$AR8,$D$12&lt;$AR8),0,Schweine_Werte!$G8))</f>
        <v>0</v>
      </c>
      <c r="BD8" s="1709">
        <f>IF(OR($C$24=$AR8,$D$24=$AR8),Schweine_Werte!$G8*0.5,IF(OR($C$24&gt;$AR8,$D$24&lt;$AR8),0,Schweine_Werte!$G8))</f>
        <v>0</v>
      </c>
      <c r="BE8" s="1714">
        <f>IF(OR($C$36=$AR8,$D$36=$AR8),Schweine_Werte!$G8*0.5,IF(OR($C$36&gt;$AR8,$D$36&lt;$AR8),0,Schweine_Werte!$G8))</f>
        <v>0</v>
      </c>
      <c r="BF8" s="1714">
        <f>IF(OR($C$48=$AR8,$D$48=$AR8),Schweine_Werte!$G8*0.5,IF(OR($C$48&gt;$AR8,$D$48&lt;$AR8),0,Schweine_Werte!$G8))</f>
        <v>0</v>
      </c>
      <c r="BG8" s="1714">
        <f>IF(OR($C$60=$AR8,$D$60=$AR8),Schweine_Werte!$G8*0.5,IF(OR($C$60&gt;$AR8,$D$60&lt;$AR8),0,Schweine_Werte!$G8))</f>
        <v>0</v>
      </c>
      <c r="BH8" s="1709">
        <f>IF(OR($C$12=$AR8,$D$12=$AR8),Schweine_Werte!$I8*0.5,IF(OR($C$12&gt;$AR8,$D$12&lt;$AR8),0,Schweine_Werte!$I8))</f>
        <v>0</v>
      </c>
      <c r="BI8" s="1709">
        <f>IF(OR($C$24=$AR8,$D$24=$AR8),Schweine_Werte!$I8*0.5,IF(OR($C$24&gt;$AR8,$D$24&lt;$AR8),0,Schweine_Werte!$I8))</f>
        <v>0</v>
      </c>
      <c r="BJ8" s="1714">
        <f>IF(OR($C$36=$AR8,$D$36=$AR8),Schweine_Werte!$I8*0.5,IF(OR($C$36&gt;$AR8,$D$36&lt;$AR8),0,Schweine_Werte!$I8))</f>
        <v>0</v>
      </c>
      <c r="BK8" s="1714">
        <f>IF(OR($C$48=$AR8,$D$48=$AR8),Schweine_Werte!$I8*0.5,IF(OR($C$48&gt;$AR8,$D$48&lt;$AR8),0,Schweine_Werte!$I8))</f>
        <v>0</v>
      </c>
      <c r="BL8" s="1714">
        <f>IF(OR($C$60=$AR8,$D$60=$AR8),Schweine_Werte!$I8*0.5,IF(OR($C$60&gt;$AR8,$D$60&lt;$AR8),0,Schweine_Werte!$I8))</f>
        <v>0</v>
      </c>
      <c r="BM8" s="1709">
        <f>IF(OR($C$12=$AR8,$D$12=$AR8),Schweine_Werte!$K8*0.5,IF(OR($C$12&gt;$AR8,$D$12&lt;$AR8),0,Schweine_Werte!$K8))</f>
        <v>0</v>
      </c>
      <c r="BN8" s="1709">
        <f>IF(OR($C$24=$AR8,$D$24=$AR8),Schweine_Werte!$K8*0.5,IF(OR($C$24&gt;$AR8,$D$24&lt;$AR8),0,Schweine_Werte!$K8))</f>
        <v>0</v>
      </c>
      <c r="BO8" s="1714">
        <f>IF(OR($C$36=$AR8,$D$36=$AR8),Schweine_Werte!$K8*0.5,IF(OR($C$36&gt;$AR8,$D$36&lt;$AR8),0,Schweine_Werte!$K8))</f>
        <v>0</v>
      </c>
      <c r="BP8" s="1714">
        <f>IF(OR($C$48=$AR8,$D$48=$AR8),Schweine_Werte!$K8*0.5,IF(OR($C$48&gt;$AR8,$D$48&lt;$AR8),0,Schweine_Werte!$K8))</f>
        <v>0</v>
      </c>
      <c r="BQ8" s="1714">
        <f>IF(OR($C$60=$AR8,$D$60=$AR8),Schweine_Werte!$K8*0.5,IF(OR($C$60&gt;$AR8,$D$60&lt;$AR8),0,Schweine_Werte!$K8))</f>
        <v>0</v>
      </c>
      <c r="BR8" s="1710">
        <f>IF(OR($C$74=$AR8,$D$74=$AR8),Schweine_Werte!$M8*0.5,IF(OR($C$74&gt;$AR8,$D$74&lt;$AR8),0,Schweine_Werte!$M8))</f>
        <v>0</v>
      </c>
      <c r="BS8" s="1710">
        <f>IF(OR($C$83=$AR8,$D$83=$AR8),Schweine_Werte!$M8*0.5,IF(OR($C$83&gt;$AR8,$D$83&lt;$AR8),0,Schweine_Werte!$M8))</f>
        <v>0</v>
      </c>
      <c r="BT8" s="1713">
        <f>IF(OR($C$92=$AR8,$D$92=$AR8),Schweine_Werte!$M8*0.5,IF(OR($C$92&gt;$AR8,$D$92&lt;$AR8),0,Schweine_Werte!$M8))</f>
        <v>0</v>
      </c>
      <c r="BU8" s="1713">
        <f>IF(OR($C$101=$AR8,$D$101=$AR8),Schweine_Werte!$M8*0.5,IF(OR($C$101&gt;$AR8,$D$101&lt;$AR8),0,Schweine_Werte!$M8))</f>
        <v>0</v>
      </c>
      <c r="BV8" s="1713">
        <f>IF(OR($C$110=$AR8,$D$110=$AR8),Schweine_Werte!$M8*0.5,IF(OR($C$110&gt;$AR8,$D$110&lt;$AR8),0,Schweine_Werte!$M8))</f>
        <v>0</v>
      </c>
      <c r="BW8" s="1713">
        <f>IF(OR(8=$AR8,$E$127=$AR8),Schweine_Werte!$M8*0.5,IF(OR(8&gt;$AR8,$E$127&lt;$AR8),0,Schweine_Werte!$M8))</f>
        <v>2.6783028291716549</v>
      </c>
      <c r="BX8" s="1713">
        <f>IF(OR(8=$AR8,$E$145=$AR8),Schweine_Werte!$M8*0.5,IF(OR(8&gt;$AR8,$E$145&lt;$AR8),0,Schweine_Werte!$M8))</f>
        <v>2.6783028291716549</v>
      </c>
      <c r="BY8" s="1710">
        <f>IF(OR($C$74=$AR8,$D$74=$AR8),Schweine_Werte!$O8*0.5,IF(OR($C$74&gt;$AR8,$D$74&lt;$AR8),0,Schweine_Werte!$O8))</f>
        <v>0</v>
      </c>
      <c r="BZ8" s="1710">
        <f>IF(OR($C$83=$AR8,$D$83=$AR8),Schweine_Werte!$O8*0.5,IF(OR($C$83&gt;$AR8,$D$83&lt;$AR8),0,Schweine_Werte!$O8))</f>
        <v>0</v>
      </c>
      <c r="CA8" s="1713">
        <f>IF(OR($C$92=$AR8,$D$92=$AR8),Schweine_Werte!$O8*0.5,IF(OR($C$92&gt;$AR8,$D$92&lt;$AR8),0,Schweine_Werte!$O8))</f>
        <v>0</v>
      </c>
      <c r="CB8" s="1713">
        <f>IF(OR($C$101=$AR8,$D$101=$AR8),Schweine_Werte!$O8*0.5,IF(OR($C$101&gt;$AR8,$D$101&lt;$AR8),0,Schweine_Werte!$O8))</f>
        <v>0</v>
      </c>
      <c r="CC8" s="1713">
        <f>IF(OR($C$110=$AR8,$D$110=$AR8),Schweine_Werte!$O8*0.5,IF(OR($C$110&gt;$AR8,$D$110&lt;$AR8),0,Schweine_Werte!$O8))</f>
        <v>0</v>
      </c>
    </row>
    <row r="9" spans="1:303" x14ac:dyDescent="0.25">
      <c r="B9" s="1712"/>
      <c r="D9" s="1713"/>
      <c r="E9" s="1713"/>
      <c r="F9" s="1713"/>
      <c r="G9" s="1713"/>
      <c r="H9" s="1713"/>
      <c r="I9" s="1713"/>
      <c r="J9" s="1713"/>
      <c r="K9" s="1713"/>
      <c r="L9" s="1713"/>
      <c r="M9" s="1713"/>
      <c r="N9" s="1713"/>
      <c r="O9" s="1713"/>
      <c r="P9" s="1713"/>
      <c r="Q9" s="1713"/>
      <c r="R9" s="1713"/>
      <c r="S9" s="1713"/>
      <c r="T9" s="1713"/>
      <c r="U9" s="1713"/>
      <c r="V9" s="1713"/>
      <c r="W9" s="1699"/>
      <c r="X9" s="1713"/>
      <c r="Y9" s="1713"/>
      <c r="Z9" s="1713"/>
      <c r="AA9" s="1713"/>
      <c r="AB9" s="1713"/>
      <c r="AC9" s="1713"/>
      <c r="AD9" s="1713"/>
      <c r="AE9" s="1713"/>
      <c r="AF9" s="1713"/>
      <c r="AG9" s="1713"/>
      <c r="AH9" s="1713"/>
      <c r="AI9" s="1713"/>
      <c r="AJ9" s="1713"/>
      <c r="AK9" s="1713"/>
      <c r="AL9" s="1713"/>
      <c r="AM9" s="1713"/>
      <c r="AN9" s="1713"/>
      <c r="AR9" s="1708">
        <v>13</v>
      </c>
      <c r="AS9" s="1709">
        <f>IF(OR($C$12=$AR9,$D$12=$AR9),Schweine_Werte!$C9*0.5,IF(OR($C$12&gt;$AR9,$D$12&lt;$AR9),0,Schweine_Werte!$C9))</f>
        <v>0</v>
      </c>
      <c r="AT9" s="1709">
        <f>IF(OR($C$24=$AR9,$D$24=$AR9),Schweine_Werte!$C9*0.5,IF(OR($C$24&gt;$AR9,$D$24&lt;$AR9),0,Schweine_Werte!$C9))</f>
        <v>0</v>
      </c>
      <c r="AU9" s="1709">
        <f>IF(OR($C$36=$AR9,$D$36=$AR9),Schweine_Werte!$C9*0.5,IF(OR($C$36&gt;$AR9,$D$36&lt;$AR9),0,Schweine_Werte!$C9))</f>
        <v>0</v>
      </c>
      <c r="AV9" s="1709">
        <f>IF(OR($C$48=$AR9,$D$48=$AR9),Schweine_Werte!$C9*0.5,IF(OR($C$48&gt;$AR9,$D$48&lt;$AR9),0,Schweine_Werte!$C9))</f>
        <v>0</v>
      </c>
      <c r="AW9" s="1709">
        <f>IF(OR($C$60=$AR9,$D$60=$AR9),Schweine_Werte!$C9*0.5,IF(OR($C$60&gt;$AR9,$D$60&lt;$AR9),0,Schweine_Werte!$C9))</f>
        <v>0</v>
      </c>
      <c r="AX9" s="1709">
        <f>IF(OR($C$12=$AR9,$D$12=$AR9),Schweine_Werte!$E9*0.5,IF(OR($C$12&gt;$AR9,$D$12&lt;$AR9),0,Schweine_Werte!$E9))</f>
        <v>0</v>
      </c>
      <c r="AY9" s="1709">
        <f>IF(OR($C$24=$AR9,$D$24=$AR9),Schweine_Werte!$E9*0.5,IF(OR($C$24&gt;$AR9,$D$24&lt;$AR9),0,Schweine_Werte!$E9))</f>
        <v>0</v>
      </c>
      <c r="AZ9" s="1714">
        <f>IF(OR($C$36=$AR9,$D$36=$AR9),Schweine_Werte!$E9*0.5,IF(OR($C$36&gt;$AR9,$D$36&lt;$AR9),0,Schweine_Werte!$E9))</f>
        <v>0</v>
      </c>
      <c r="BA9" s="1714">
        <f>IF(OR($C$48=$AR9,$D$48=$AR9),Schweine_Werte!$E9*0.5,IF(OR($C$48&gt;$AR9,$D$48&lt;$AR9),0,Schweine_Werte!$E9))</f>
        <v>0</v>
      </c>
      <c r="BB9" s="1714">
        <f>IF(OR($C$60=$AR9,$D$60=$AR9),Schweine_Werte!$E9*0.5,IF(OR($C$60&gt;$AR9,$D$60&lt;$AR9),0,Schweine_Werte!$E9))</f>
        <v>0</v>
      </c>
      <c r="BC9" s="1709">
        <f>IF(OR($C$12=$AR9,$D$12=$AR9),Schweine_Werte!$G9*0.5,IF(OR($C$12&gt;$AR9,$D$12&lt;$AR9),0,Schweine_Werte!$G9))</f>
        <v>0</v>
      </c>
      <c r="BD9" s="1709">
        <f>IF(OR($C$24=$AR9,$D$24=$AR9),Schweine_Werte!$G9*0.5,IF(OR($C$24&gt;$AR9,$D$24&lt;$AR9),0,Schweine_Werte!$G9))</f>
        <v>0</v>
      </c>
      <c r="BE9" s="1714">
        <f>IF(OR($C$36=$AR9,$D$36=$AR9),Schweine_Werte!$G9*0.5,IF(OR($C$36&gt;$AR9,$D$36&lt;$AR9),0,Schweine_Werte!$G9))</f>
        <v>0</v>
      </c>
      <c r="BF9" s="1714">
        <f>IF(OR($C$48=$AR9,$D$48=$AR9),Schweine_Werte!$G9*0.5,IF(OR($C$48&gt;$AR9,$D$48&lt;$AR9),0,Schweine_Werte!$G9))</f>
        <v>0</v>
      </c>
      <c r="BG9" s="1714">
        <f>IF(OR($C$60=$AR9,$D$60=$AR9),Schweine_Werte!$G9*0.5,IF(OR($C$60&gt;$AR9,$D$60&lt;$AR9),0,Schweine_Werte!$G9))</f>
        <v>0</v>
      </c>
      <c r="BH9" s="1709">
        <f>IF(OR($C$12=$AR9,$D$12=$AR9),Schweine_Werte!$I9*0.5,IF(OR($C$12&gt;$AR9,$D$12&lt;$AR9),0,Schweine_Werte!$I9))</f>
        <v>0</v>
      </c>
      <c r="BI9" s="1709">
        <f>IF(OR($C$24=$AR9,$D$24=$AR9),Schweine_Werte!$I9*0.5,IF(OR($C$24&gt;$AR9,$D$24&lt;$AR9),0,Schweine_Werte!$I9))</f>
        <v>0</v>
      </c>
      <c r="BJ9" s="1714">
        <f>IF(OR($C$36=$AR9,$D$36=$AR9),Schweine_Werte!$I9*0.5,IF(OR($C$36&gt;$AR9,$D$36&lt;$AR9),0,Schweine_Werte!$I9))</f>
        <v>0</v>
      </c>
      <c r="BK9" s="1714">
        <f>IF(OR($C$48=$AR9,$D$48=$AR9),Schweine_Werte!$I9*0.5,IF(OR($C$48&gt;$AR9,$D$48&lt;$AR9),0,Schweine_Werte!$I9))</f>
        <v>0</v>
      </c>
      <c r="BL9" s="1714">
        <f>IF(OR($C$60=$AR9,$D$60=$AR9),Schweine_Werte!$I9*0.5,IF(OR($C$60&gt;$AR9,$D$60&lt;$AR9),0,Schweine_Werte!$I9))</f>
        <v>0</v>
      </c>
      <c r="BM9" s="1709">
        <f>IF(OR($C$12=$AR9,$D$12=$AR9),Schweine_Werte!$K9*0.5,IF(OR($C$12&gt;$AR9,$D$12&lt;$AR9),0,Schweine_Werte!$K9))</f>
        <v>0</v>
      </c>
      <c r="BN9" s="1709">
        <f>IF(OR($C$24=$AR9,$D$24=$AR9),Schweine_Werte!$K9*0.5,IF(OR($C$24&gt;$AR9,$D$24&lt;$AR9),0,Schweine_Werte!$K9))</f>
        <v>0</v>
      </c>
      <c r="BO9" s="1714">
        <f>IF(OR($C$36=$AR9,$D$36=$AR9),Schweine_Werte!$K9*0.5,IF(OR($C$36&gt;$AR9,$D$36&lt;$AR9),0,Schweine_Werte!$K9))</f>
        <v>0</v>
      </c>
      <c r="BP9" s="1714">
        <f>IF(OR($C$48=$AR9,$D$48=$AR9),Schweine_Werte!$K9*0.5,IF(OR($C$48&gt;$AR9,$D$48&lt;$AR9),0,Schweine_Werte!$K9))</f>
        <v>0</v>
      </c>
      <c r="BQ9" s="1714">
        <f>IF(OR($C$60=$AR9,$D$60=$AR9),Schweine_Werte!$K9*0.5,IF(OR($C$60&gt;$AR9,$D$60&lt;$AR9),0,Schweine_Werte!$K9))</f>
        <v>0</v>
      </c>
      <c r="BR9" s="1710">
        <f>IF(OR($C$74=$AR9,$D$74=$AR9),Schweine_Werte!$M9*0.5,IF(OR($C$74&gt;$AR9,$D$74&lt;$AR9),0,Schweine_Werte!$M9))</f>
        <v>0</v>
      </c>
      <c r="BS9" s="1710">
        <f>IF(OR($C$83=$AR9,$D$83=$AR9),Schweine_Werte!$M9*0.5,IF(OR($C$83&gt;$AR9,$D$83&lt;$AR9),0,Schweine_Werte!$M9))</f>
        <v>0</v>
      </c>
      <c r="BT9" s="1713">
        <f>IF(OR($C$92=$AR9,$D$92=$AR9),Schweine_Werte!$M9*0.5,IF(OR($C$92&gt;$AR9,$D$92&lt;$AR9),0,Schweine_Werte!$M9))</f>
        <v>0</v>
      </c>
      <c r="BU9" s="1713">
        <f>IF(OR($C$101=$AR9,$D$101=$AR9),Schweine_Werte!$M9*0.5,IF(OR($C$101&gt;$AR9,$D$101&lt;$AR9),0,Schweine_Werte!$M9))</f>
        <v>0</v>
      </c>
      <c r="BV9" s="1713">
        <f>IF(OR($C$110=$AR9,$D$110=$AR9),Schweine_Werte!$M9*0.5,IF(OR($C$110&gt;$AR9,$D$110&lt;$AR9),0,Schweine_Werte!$M9))</f>
        <v>0</v>
      </c>
      <c r="BW9" s="1713">
        <f>IF(OR(8=$AR9,$E$127=$AR9),Schweine_Werte!$M9*0.5,IF(OR(8&gt;$AR9,$E$127&lt;$AR9),0,Schweine_Werte!$M9))</f>
        <v>2.5561372243616485</v>
      </c>
      <c r="BX9" s="1713">
        <f>IF(OR(8=$AR9,$E$145=$AR9),Schweine_Werte!$M9*0.5,IF(OR(8&gt;$AR9,$E$145&lt;$AR9),0,Schweine_Werte!$M9))</f>
        <v>2.5561372243616485</v>
      </c>
      <c r="BY9" s="1710">
        <f>IF(OR($C$74=$AR9,$D$74=$AR9),Schweine_Werte!$O9*0.5,IF(OR($C$74&gt;$AR9,$D$74&lt;$AR9),0,Schweine_Werte!$O9))</f>
        <v>0</v>
      </c>
      <c r="BZ9" s="1710">
        <f>IF(OR($C$83=$AR9,$D$83=$AR9),Schweine_Werte!$O9*0.5,IF(OR($C$83&gt;$AR9,$D$83&lt;$AR9),0,Schweine_Werte!$O9))</f>
        <v>0</v>
      </c>
      <c r="CA9" s="1713">
        <f>IF(OR($C$92=$AR9,$D$92=$AR9),Schweine_Werte!$O9*0.5,IF(OR($C$92&gt;$AR9,$D$92&lt;$AR9),0,Schweine_Werte!$O9))</f>
        <v>0</v>
      </c>
      <c r="CB9" s="1713">
        <f>IF(OR($C$101=$AR9,$D$101=$AR9),Schweine_Werte!$O9*0.5,IF(OR($C$101&gt;$AR9,$D$101&lt;$AR9),0,Schweine_Werte!$O9))</f>
        <v>0</v>
      </c>
      <c r="CC9" s="1713">
        <f>IF(OR($C$110=$AR9,$D$110=$AR9),Schweine_Werte!$O9*0.5,IF(OR($C$110&gt;$AR9,$D$110&lt;$AR9),0,Schweine_Werte!$O9))</f>
        <v>0</v>
      </c>
    </row>
    <row r="10" spans="1:303" ht="15.75" x14ac:dyDescent="0.25">
      <c r="F10" s="1716"/>
      <c r="G10" s="3257" t="s">
        <v>8582</v>
      </c>
      <c r="H10" s="3258"/>
      <c r="I10" s="3259"/>
      <c r="J10" s="1717" t="s">
        <v>8096</v>
      </c>
      <c r="K10" s="1717" t="s">
        <v>204</v>
      </c>
      <c r="L10" s="3260" t="s">
        <v>8583</v>
      </c>
      <c r="M10" s="3260"/>
      <c r="N10" s="3260"/>
      <c r="O10" s="3247" t="s">
        <v>8584</v>
      </c>
      <c r="P10" s="3249"/>
      <c r="Q10" s="3247" t="s">
        <v>8585</v>
      </c>
      <c r="R10" s="3248"/>
      <c r="S10" s="3249"/>
      <c r="T10" s="3247" t="s">
        <v>8586</v>
      </c>
      <c r="U10" s="3248"/>
      <c r="V10" s="3249"/>
      <c r="W10" s="3247" t="s">
        <v>8587</v>
      </c>
      <c r="X10" s="3248"/>
      <c r="Y10" s="3249"/>
      <c r="Z10" s="3250" t="s">
        <v>8588</v>
      </c>
      <c r="AA10" s="3250"/>
      <c r="AB10" s="3250" t="s">
        <v>8589</v>
      </c>
      <c r="AC10" s="3250"/>
      <c r="AD10" s="3250" t="s">
        <v>8590</v>
      </c>
      <c r="AE10" s="3250"/>
      <c r="AF10" s="1718" t="s">
        <v>8591</v>
      </c>
      <c r="AG10" s="3254" t="s">
        <v>8592</v>
      </c>
      <c r="AH10" s="3255"/>
      <c r="AI10" s="1719" t="s">
        <v>8593</v>
      </c>
      <c r="AJ10" s="3250" t="s">
        <v>8588</v>
      </c>
      <c r="AK10" s="3250"/>
      <c r="AL10" s="3250" t="s">
        <v>8589</v>
      </c>
      <c r="AM10" s="3250"/>
      <c r="AN10" s="3250" t="s">
        <v>8590</v>
      </c>
      <c r="AO10" s="3250"/>
      <c r="AR10" s="1708">
        <v>14</v>
      </c>
      <c r="AS10" s="1709">
        <f>IF(OR($C$12=$AR10,$D$12=$AR10),Schweine_Werte!$C10*0.5,IF(OR($C$12&gt;$AR10,$D$12&lt;$AR10),0,Schweine_Werte!$C10))</f>
        <v>0</v>
      </c>
      <c r="AT10" s="1709">
        <f>IF(OR($C$24=$AR10,$D$24=$AR10),Schweine_Werte!$C10*0.5,IF(OR($C$24&gt;$AR10,$D$24&lt;$AR10),0,Schweine_Werte!$C10))</f>
        <v>0</v>
      </c>
      <c r="AU10" s="1709">
        <f>IF(OR($C$36=$AR10,$D$36=$AR10),Schweine_Werte!$C10*0.5,IF(OR($C$36&gt;$AR10,$D$36&lt;$AR10),0,Schweine_Werte!$C10))</f>
        <v>0</v>
      </c>
      <c r="AV10" s="1709">
        <f>IF(OR($C$48=$AR10,$D$48=$AR10),Schweine_Werte!$C10*0.5,IF(OR($C$48&gt;$AR10,$D$48&lt;$AR10),0,Schweine_Werte!$C10))</f>
        <v>0</v>
      </c>
      <c r="AW10" s="1709">
        <f>IF(OR($C$60=$AR10,$D$60=$AR10),Schweine_Werte!$C10*0.5,IF(OR($C$60&gt;$AR10,$D$60&lt;$AR10),0,Schweine_Werte!$C10))</f>
        <v>0</v>
      </c>
      <c r="AX10" s="1709">
        <f>IF(OR($C$12=$AR10,$D$12=$AR10),Schweine_Werte!$E10*0.5,IF(OR($C$12&gt;$AR10,$D$12&lt;$AR10),0,Schweine_Werte!$E10))</f>
        <v>0</v>
      </c>
      <c r="AY10" s="1709">
        <f>IF(OR($C$24=$AR10,$D$24=$AR10),Schweine_Werte!$E10*0.5,IF(OR($C$24&gt;$AR10,$D$24&lt;$AR10),0,Schweine_Werte!$E10))</f>
        <v>0</v>
      </c>
      <c r="AZ10" s="1714">
        <f>IF(OR($C$36=$AR10,$D$36=$AR10),Schweine_Werte!$E10*0.5,IF(OR($C$36&gt;$AR10,$D$36&lt;$AR10),0,Schweine_Werte!$E10))</f>
        <v>0</v>
      </c>
      <c r="BA10" s="1714">
        <f>IF(OR($C$48=$AR10,$D$48=$AR10),Schweine_Werte!$E10*0.5,IF(OR($C$48&gt;$AR10,$D$48&lt;$AR10),0,Schweine_Werte!$E10))</f>
        <v>0</v>
      </c>
      <c r="BB10" s="1714">
        <f>IF(OR($C$60=$AR10,$D$60=$AR10),Schweine_Werte!$E10*0.5,IF(OR($C$60&gt;$AR10,$D$60&lt;$AR10),0,Schweine_Werte!$E10))</f>
        <v>0</v>
      </c>
      <c r="BC10" s="1709">
        <f>IF(OR($C$12=$AR10,$D$12=$AR10),Schweine_Werte!$G10*0.5,IF(OR($C$12&gt;$AR10,$D$12&lt;$AR10),0,Schweine_Werte!$G10))</f>
        <v>0</v>
      </c>
      <c r="BD10" s="1709">
        <f>IF(OR($C$24=$AR10,$D$24=$AR10),Schweine_Werte!$G10*0.5,IF(OR($C$24&gt;$AR10,$D$24&lt;$AR10),0,Schweine_Werte!$G10))</f>
        <v>0</v>
      </c>
      <c r="BE10" s="1714">
        <f>IF(OR($C$36=$AR10,$D$36=$AR10),Schweine_Werte!$G10*0.5,IF(OR($C$36&gt;$AR10,$D$36&lt;$AR10),0,Schweine_Werte!$G10))</f>
        <v>0</v>
      </c>
      <c r="BF10" s="1714">
        <f>IF(OR($C$48=$AR10,$D$48=$AR10),Schweine_Werte!$G10*0.5,IF(OR($C$48&gt;$AR10,$D$48&lt;$AR10),0,Schweine_Werte!$G10))</f>
        <v>0</v>
      </c>
      <c r="BG10" s="1714">
        <f>IF(OR($C$60=$AR10,$D$60=$AR10),Schweine_Werte!$G10*0.5,IF(OR($C$60&gt;$AR10,$D$60&lt;$AR10),0,Schweine_Werte!$G10))</f>
        <v>0</v>
      </c>
      <c r="BH10" s="1709">
        <f>IF(OR($C$12=$AR10,$D$12=$AR10),Schweine_Werte!$I10*0.5,IF(OR($C$12&gt;$AR10,$D$12&lt;$AR10),0,Schweine_Werte!$I10))</f>
        <v>0</v>
      </c>
      <c r="BI10" s="1709">
        <f>IF(OR($C$24=$AR10,$D$24=$AR10),Schweine_Werte!$I10*0.5,IF(OR($C$24&gt;$AR10,$D$24&lt;$AR10),0,Schweine_Werte!$I10))</f>
        <v>0</v>
      </c>
      <c r="BJ10" s="1714">
        <f>IF(OR($C$36=$AR10,$D$36=$AR10),Schweine_Werte!$I10*0.5,IF(OR($C$36&gt;$AR10,$D$36&lt;$AR10),0,Schweine_Werte!$I10))</f>
        <v>0</v>
      </c>
      <c r="BK10" s="1714">
        <f>IF(OR($C$48=$AR10,$D$48=$AR10),Schweine_Werte!$I10*0.5,IF(OR($C$48&gt;$AR10,$D$48&lt;$AR10),0,Schweine_Werte!$I10))</f>
        <v>0</v>
      </c>
      <c r="BL10" s="1714">
        <f>IF(OR($C$60=$AR10,$D$60=$AR10),Schweine_Werte!$I10*0.5,IF(OR($C$60&gt;$AR10,$D$60&lt;$AR10),0,Schweine_Werte!$I10))</f>
        <v>0</v>
      </c>
      <c r="BM10" s="1709">
        <f>IF(OR($C$12=$AR10,$D$12=$AR10),Schweine_Werte!$K10*0.5,IF(OR($C$12&gt;$AR10,$D$12&lt;$AR10),0,Schweine_Werte!$K10))</f>
        <v>0</v>
      </c>
      <c r="BN10" s="1709">
        <f>IF(OR($C$24=$AR10,$D$24=$AR10),Schweine_Werte!$K10*0.5,IF(OR($C$24&gt;$AR10,$D$24&lt;$AR10),0,Schweine_Werte!$K10))</f>
        <v>0</v>
      </c>
      <c r="BO10" s="1714">
        <f>IF(OR($C$36=$AR10,$D$36=$AR10),Schweine_Werte!$K10*0.5,IF(OR($C$36&gt;$AR10,$D$36&lt;$AR10),0,Schweine_Werte!$K10))</f>
        <v>0</v>
      </c>
      <c r="BP10" s="1714">
        <f>IF(OR($C$48=$AR10,$D$48=$AR10),Schweine_Werte!$K10*0.5,IF(OR($C$48&gt;$AR10,$D$48&lt;$AR10),0,Schweine_Werte!$K10))</f>
        <v>0</v>
      </c>
      <c r="BQ10" s="1714">
        <f>IF(OR($C$60=$AR10,$D$60=$AR10),Schweine_Werte!$K10*0.5,IF(OR($C$60&gt;$AR10,$D$60&lt;$AR10),0,Schweine_Werte!$K10))</f>
        <v>0</v>
      </c>
      <c r="BR10" s="1710">
        <f>IF(OR($C$74=$AR10,$D$74=$AR10),Schweine_Werte!$M10*0.5,IF(OR($C$74&gt;$AR10,$D$74&lt;$AR10),0,Schweine_Werte!$M10))</f>
        <v>0</v>
      </c>
      <c r="BS10" s="1710">
        <f>IF(OR($C$83=$AR10,$D$83=$AR10),Schweine_Werte!$M10*0.5,IF(OR($C$83&gt;$AR10,$D$83&lt;$AR10),0,Schweine_Werte!$M10))</f>
        <v>0</v>
      </c>
      <c r="BT10" s="1713">
        <f>IF(OR($C$92=$AR10,$D$92=$AR10),Schweine_Werte!$M10*0.5,IF(OR($C$92&gt;$AR10,$D$92&lt;$AR10),0,Schweine_Werte!$M10))</f>
        <v>0</v>
      </c>
      <c r="BU10" s="1713">
        <f>IF(OR($C$101=$AR10,$D$101=$AR10),Schweine_Werte!$M10*0.5,IF(OR($C$101&gt;$AR10,$D$101&lt;$AR10),0,Schweine_Werte!$M10))</f>
        <v>0</v>
      </c>
      <c r="BV10" s="1713">
        <f>IF(OR($C$110=$AR10,$D$110=$AR10),Schweine_Werte!$M10*0.5,IF(OR($C$110&gt;$AR10,$D$110&lt;$AR10),0,Schweine_Werte!$M10))</f>
        <v>0</v>
      </c>
      <c r="BW10" s="1713">
        <f>IF(OR(8=$AR10,$E$127=$AR10),Schweine_Werte!$M10*0.5,IF(OR(8&gt;$AR10,$E$127&lt;$AR10),0,Schweine_Werte!$M10))</f>
        <v>2.446203657340817</v>
      </c>
      <c r="BX10" s="1713">
        <f>IF(OR(8=$AR10,$E$145=$AR10),Schweine_Werte!$M10*0.5,IF(OR(8&gt;$AR10,$E$145&lt;$AR10),0,Schweine_Werte!$M10))</f>
        <v>2.446203657340817</v>
      </c>
      <c r="BY10" s="1710">
        <f>IF(OR($C$74=$AR10,$D$74=$AR10),Schweine_Werte!$O10*0.5,IF(OR($C$74&gt;$AR10,$D$74&lt;$AR10),0,Schweine_Werte!$O10))</f>
        <v>0</v>
      </c>
      <c r="BZ10" s="1710">
        <f>IF(OR($C$83=$AR10,$D$83=$AR10),Schweine_Werte!$O10*0.5,IF(OR($C$83&gt;$AR10,$D$83&lt;$AR10),0,Schweine_Werte!$O10))</f>
        <v>0</v>
      </c>
      <c r="CA10" s="1713">
        <f>IF(OR($C$92=$AR10,$D$92=$AR10),Schweine_Werte!$O10*0.5,IF(OR($C$92&gt;$AR10,$D$92&lt;$AR10),0,Schweine_Werte!$O10))</f>
        <v>0</v>
      </c>
      <c r="CB10" s="1713">
        <f>IF(OR($C$101=$AR10,$D$101=$AR10),Schweine_Werte!$O10*0.5,IF(OR($C$101&gt;$AR10,$D$101&lt;$AR10),0,Schweine_Werte!$O10))</f>
        <v>0</v>
      </c>
      <c r="CC10" s="1713">
        <f>IF(OR($C$110=$AR10,$D$110=$AR10),Schweine_Werte!$O10*0.5,IF(OR($C$110&gt;$AR10,$D$110&lt;$AR10),0,Schweine_Werte!$O10))</f>
        <v>0</v>
      </c>
    </row>
    <row r="11" spans="1:303" ht="18.75" x14ac:dyDescent="0.25">
      <c r="B11" s="1720" t="s">
        <v>8594</v>
      </c>
      <c r="C11" s="1721" t="s">
        <v>8595</v>
      </c>
      <c r="D11" s="1721" t="s">
        <v>8596</v>
      </c>
      <c r="E11" s="1721" t="s">
        <v>8597</v>
      </c>
      <c r="F11" s="1722" t="s">
        <v>195</v>
      </c>
      <c r="G11" s="1723" t="s">
        <v>4</v>
      </c>
      <c r="H11" s="1723" t="s">
        <v>8598</v>
      </c>
      <c r="I11" s="1723" t="s">
        <v>8599</v>
      </c>
      <c r="J11" s="1724" t="s">
        <v>8600</v>
      </c>
      <c r="K11" s="1724" t="s">
        <v>8600</v>
      </c>
      <c r="L11" s="1725" t="s">
        <v>35</v>
      </c>
      <c r="M11" s="1725" t="s">
        <v>8601</v>
      </c>
      <c r="N11" s="1725" t="s">
        <v>37</v>
      </c>
      <c r="O11" s="1726" t="s">
        <v>0</v>
      </c>
      <c r="P11" s="1726" t="s">
        <v>9</v>
      </c>
      <c r="Q11" s="1725" t="s">
        <v>35</v>
      </c>
      <c r="R11" s="1725" t="s">
        <v>36</v>
      </c>
      <c r="S11" s="1725" t="s">
        <v>37</v>
      </c>
      <c r="T11" s="1725" t="s">
        <v>35</v>
      </c>
      <c r="U11" s="1725" t="s">
        <v>36</v>
      </c>
      <c r="V11" s="1725" t="s">
        <v>37</v>
      </c>
      <c r="W11" s="1724" t="s">
        <v>8528</v>
      </c>
      <c r="X11" s="1724" t="s">
        <v>8529</v>
      </c>
      <c r="Y11" s="1724" t="s">
        <v>8530</v>
      </c>
      <c r="Z11" s="1727" t="s">
        <v>8602</v>
      </c>
      <c r="AA11" s="1727" t="s">
        <v>8603</v>
      </c>
      <c r="AB11" s="1727" t="s">
        <v>8602</v>
      </c>
      <c r="AC11" s="1727" t="s">
        <v>8603</v>
      </c>
      <c r="AD11" s="1727" t="s">
        <v>8602</v>
      </c>
      <c r="AE11" s="1727" t="s">
        <v>8603</v>
      </c>
      <c r="AF11" s="1727" t="s">
        <v>8604</v>
      </c>
      <c r="AG11" s="1728" t="s">
        <v>8605</v>
      </c>
      <c r="AH11" s="1727" t="s">
        <v>216</v>
      </c>
      <c r="AI11" s="1727"/>
      <c r="AJ11" s="1727" t="s">
        <v>8527</v>
      </c>
      <c r="AK11" s="1727" t="s">
        <v>8606</v>
      </c>
      <c r="AL11" s="1727" t="s">
        <v>8607</v>
      </c>
      <c r="AM11" s="1727" t="s">
        <v>8608</v>
      </c>
      <c r="AN11" s="1727" t="s">
        <v>8607</v>
      </c>
      <c r="AO11" s="1727" t="s">
        <v>8609</v>
      </c>
      <c r="AR11" s="1708">
        <v>15</v>
      </c>
      <c r="AS11" s="1709">
        <f>IF(OR($C$12=$AR11,$D$12=$AR11),Schweine_Werte!$C11*0.5,IF(OR($C$12&gt;$AR11,$D$12&lt;$AR11),0,Schweine_Werte!$C11))</f>
        <v>0</v>
      </c>
      <c r="AT11" s="1709">
        <f>IF(OR($C$24=$AR11,$D$24=$AR11),Schweine_Werte!$C11*0.5,IF(OR($C$24&gt;$AR11,$D$24&lt;$AR11),0,Schweine_Werte!$C11))</f>
        <v>0</v>
      </c>
      <c r="AU11" s="1709">
        <f>IF(OR($C$36=$AR11,$D$36=$AR11),Schweine_Werte!$C11*0.5,IF(OR($C$36&gt;$AR11,$D$36&lt;$AR11),0,Schweine_Werte!$C11))</f>
        <v>0</v>
      </c>
      <c r="AV11" s="1709">
        <f>IF(OR($C$48=$AR11,$D$48=$AR11),Schweine_Werte!$C11*0.5,IF(OR($C$48&gt;$AR11,$D$48&lt;$AR11),0,Schweine_Werte!$C11))</f>
        <v>0</v>
      </c>
      <c r="AW11" s="1709">
        <f>IF(OR($C$60=$AR11,$D$60=$AR11),Schweine_Werte!$C11*0.5,IF(OR($C$60&gt;$AR11,$D$60&lt;$AR11),0,Schweine_Werte!$C11))</f>
        <v>0</v>
      </c>
      <c r="AX11" s="1709">
        <f>IF(OR($C$12=$AR11,$D$12=$AR11),Schweine_Werte!$E11*0.5,IF(OR($C$12&gt;$AR11,$D$12&lt;$AR11),0,Schweine_Werte!$E11))</f>
        <v>0</v>
      </c>
      <c r="AY11" s="1709">
        <f>IF(OR($C$24=$AR11,$D$24=$AR11),Schweine_Werte!$E11*0.5,IF(OR($C$24&gt;$AR11,$D$24&lt;$AR11),0,Schweine_Werte!$E11))</f>
        <v>0</v>
      </c>
      <c r="AZ11" s="1714">
        <f>IF(OR($C$36=$AR11,$D$36=$AR11),Schweine_Werte!$E11*0.5,IF(OR($C$36&gt;$AR11,$D$36&lt;$AR11),0,Schweine_Werte!$E11))</f>
        <v>0</v>
      </c>
      <c r="BA11" s="1714">
        <f>IF(OR($C$48=$AR11,$D$48=$AR11),Schweine_Werte!$E11*0.5,IF(OR($C$48&gt;$AR11,$D$48&lt;$AR11),0,Schweine_Werte!$E11))</f>
        <v>0</v>
      </c>
      <c r="BB11" s="1714">
        <f>IF(OR($C$60=$AR11,$D$60=$AR11),Schweine_Werte!$E11*0.5,IF(OR($C$60&gt;$AR11,$D$60&lt;$AR11),0,Schweine_Werte!$E11))</f>
        <v>0</v>
      </c>
      <c r="BC11" s="1709">
        <f>IF(OR($C$12=$AR11,$D$12=$AR11),Schweine_Werte!$G11*0.5,IF(OR($C$12&gt;$AR11,$D$12&lt;$AR11),0,Schweine_Werte!$G11))</f>
        <v>0</v>
      </c>
      <c r="BD11" s="1709">
        <f>IF(OR($C$24=$AR11,$D$24=$AR11),Schweine_Werte!$G11*0.5,IF(OR($C$24&gt;$AR11,$D$24&lt;$AR11),0,Schweine_Werte!$G11))</f>
        <v>0</v>
      </c>
      <c r="BE11" s="1714">
        <f>IF(OR($C$36=$AR11,$D$36=$AR11),Schweine_Werte!$G11*0.5,IF(OR($C$36&gt;$AR11,$D$36&lt;$AR11),0,Schweine_Werte!$G11))</f>
        <v>0</v>
      </c>
      <c r="BF11" s="1714">
        <f>IF(OR($C$48=$AR11,$D$48=$AR11),Schweine_Werte!$G11*0.5,IF(OR($C$48&gt;$AR11,$D$48&lt;$AR11),0,Schweine_Werte!$G11))</f>
        <v>0</v>
      </c>
      <c r="BG11" s="1714">
        <f>IF(OR($C$60=$AR11,$D$60=$AR11),Schweine_Werte!$G11*0.5,IF(OR($C$60&gt;$AR11,$D$60&lt;$AR11),0,Schweine_Werte!$G11))</f>
        <v>0</v>
      </c>
      <c r="BH11" s="1709">
        <f>IF(OR($C$12=$AR11,$D$12=$AR11),Schweine_Werte!$I11*0.5,IF(OR($C$12&gt;$AR11,$D$12&lt;$AR11),0,Schweine_Werte!$I11))</f>
        <v>0</v>
      </c>
      <c r="BI11" s="1709">
        <f>IF(OR($C$24=$AR11,$D$24=$AR11),Schweine_Werte!$I11*0.5,IF(OR($C$24&gt;$AR11,$D$24&lt;$AR11),0,Schweine_Werte!$I11))</f>
        <v>0</v>
      </c>
      <c r="BJ11" s="1714">
        <f>IF(OR($C$36=$AR11,$D$36=$AR11),Schweine_Werte!$I11*0.5,IF(OR($C$36&gt;$AR11,$D$36&lt;$AR11),0,Schweine_Werte!$I11))</f>
        <v>0</v>
      </c>
      <c r="BK11" s="1714">
        <f>IF(OR($C$48=$AR11,$D$48=$AR11),Schweine_Werte!$I11*0.5,IF(OR($C$48&gt;$AR11,$D$48&lt;$AR11),0,Schweine_Werte!$I11))</f>
        <v>0</v>
      </c>
      <c r="BL11" s="1714">
        <f>IF(OR($C$60=$AR11,$D$60=$AR11),Schweine_Werte!$I11*0.5,IF(OR($C$60&gt;$AR11,$D$60&lt;$AR11),0,Schweine_Werte!$I11))</f>
        <v>0</v>
      </c>
      <c r="BM11" s="1709">
        <f>IF(OR($C$12=$AR11,$D$12=$AR11),Schweine_Werte!$K11*0.5,IF(OR($C$12&gt;$AR11,$D$12&lt;$AR11),0,Schweine_Werte!$K11))</f>
        <v>0</v>
      </c>
      <c r="BN11" s="1709">
        <f>IF(OR($C$24=$AR11,$D$24=$AR11),Schweine_Werte!$K11*0.5,IF(OR($C$24&gt;$AR11,$D$24&lt;$AR11),0,Schweine_Werte!$K11))</f>
        <v>0</v>
      </c>
      <c r="BO11" s="1714">
        <f>IF(OR($C$36=$AR11,$D$36=$AR11),Schweine_Werte!$K11*0.5,IF(OR($C$36&gt;$AR11,$D$36&lt;$AR11),0,Schweine_Werte!$K11))</f>
        <v>0</v>
      </c>
      <c r="BP11" s="1714">
        <f>IF(OR($C$48=$AR11,$D$48=$AR11),Schweine_Werte!$K11*0.5,IF(OR($C$48&gt;$AR11,$D$48&lt;$AR11),0,Schweine_Werte!$K11))</f>
        <v>0</v>
      </c>
      <c r="BQ11" s="1714">
        <f>IF(OR($C$60=$AR11,$D$60=$AR11),Schweine_Werte!$K11*0.5,IF(OR($C$60&gt;$AR11,$D$60&lt;$AR11),0,Schweine_Werte!$K11))</f>
        <v>0</v>
      </c>
      <c r="BR11" s="1710">
        <f>IF(OR($C$74=$AR11,$D$74=$AR11),Schweine_Werte!$M11*0.5,IF(OR($C$74&gt;$AR11,$D$74&lt;$AR11),0,Schweine_Werte!$M11))</f>
        <v>0</v>
      </c>
      <c r="BS11" s="1710">
        <f>IF(OR($C$83=$AR11,$D$83=$AR11),Schweine_Werte!$M11*0.5,IF(OR($C$83&gt;$AR11,$D$83&lt;$AR11),0,Schweine_Werte!$M11))</f>
        <v>0</v>
      </c>
      <c r="BT11" s="1713">
        <f>IF(OR($C$92=$AR11,$D$92=$AR11),Schweine_Werte!$M11*0.5,IF(OR($C$92&gt;$AR11,$D$92&lt;$AR11),0,Schweine_Werte!$M11))</f>
        <v>0</v>
      </c>
      <c r="BU11" s="1713">
        <f>IF(OR($C$101=$AR11,$D$101=$AR11),Schweine_Werte!$M11*0.5,IF(OR($C$101&gt;$AR11,$D$101&lt;$AR11),0,Schweine_Werte!$M11))</f>
        <v>0</v>
      </c>
      <c r="BV11" s="1713">
        <f>IF(OR($C$110=$AR11,$D$110=$AR11),Schweine_Werte!$M11*0.5,IF(OR($C$110&gt;$AR11,$D$110&lt;$AR11),0,Schweine_Werte!$M11))</f>
        <v>0</v>
      </c>
      <c r="BW11" s="1713">
        <f>IF(OR(8=$AR11,$E$127=$AR11),Schweine_Werte!$M11*0.5,IF(OR(8&gt;$AR11,$E$127&lt;$AR11),0,Schweine_Werte!$M11))</f>
        <v>2.3467934266915833</v>
      </c>
      <c r="BX11" s="1713">
        <f>IF(OR(8=$AR11,$E$145=$AR11),Schweine_Werte!$M11*0.5,IF(OR(8&gt;$AR11,$E$145&lt;$AR11),0,Schweine_Werte!$M11))</f>
        <v>2.3467934266915833</v>
      </c>
      <c r="BY11" s="1710">
        <f>IF(OR($C$74=$AR11,$D$74=$AR11),Schweine_Werte!$O11*0.5,IF(OR($C$74&gt;$AR11,$D$74&lt;$AR11),0,Schweine_Werte!$O11))</f>
        <v>0</v>
      </c>
      <c r="BZ11" s="1710">
        <f>IF(OR($C$83=$AR11,$D$83=$AR11),Schweine_Werte!$O11*0.5,IF(OR($C$83&gt;$AR11,$D$83&lt;$AR11),0,Schweine_Werte!$O11))</f>
        <v>0</v>
      </c>
      <c r="CA11" s="1713">
        <f>IF(OR($C$92=$AR11,$D$92=$AR11),Schweine_Werte!$O11*0.5,IF(OR($C$92&gt;$AR11,$D$92&lt;$AR11),0,Schweine_Werte!$O11))</f>
        <v>0</v>
      </c>
      <c r="CB11" s="1713">
        <f>IF(OR($C$101=$AR11,$D$101=$AR11),Schweine_Werte!$O11*0.5,IF(OR($C$101&gt;$AR11,$D$101&lt;$AR11),0,Schweine_Werte!$O11))</f>
        <v>0</v>
      </c>
      <c r="CC11" s="1713">
        <f>IF(OR($C$110=$AR11,$D$110=$AR11),Schweine_Werte!$O11*0.5,IF(OR($C$110&gt;$AR11,$D$110&lt;$AR11),0,Schweine_Werte!$O11))</f>
        <v>0</v>
      </c>
    </row>
    <row r="12" spans="1:303" ht="15.75" x14ac:dyDescent="0.25">
      <c r="A12" s="1685" t="s">
        <v>8554</v>
      </c>
      <c r="B12" s="1756" t="str">
        <f>IF('Eigene, abweichende Tierdaten'!AD5=1,'Eigene, abweichende Tierdaten'!F5,"")</f>
        <v/>
      </c>
      <c r="C12" s="1754" t="str">
        <f>IF('Eigene, abweichende Tierdaten'!AD5=1,'Eigene, abweichende Tierdaten'!J5,"")</f>
        <v/>
      </c>
      <c r="D12" s="1754" t="str">
        <f>+IF('Eigene, abweichende Tierdaten'!AD5=1,'Eigene, abweichende Tierdaten'!L5,"")</f>
        <v/>
      </c>
      <c r="E12" s="1757" t="str">
        <f>+IF('Eigene, abweichende Tierdaten'!AD5=1,'Eigene, abweichende Tierdaten'!N5,"")</f>
        <v/>
      </c>
      <c r="F12" s="1729" t="e">
        <f t="shared" ref="F12:N12" si="1">IF($E12&lt;=$E5,F5,IF(AND($E12&gt;$E5,$E12&lt;=$E6),F5+(F6-F5)/($E6-$E5)*($E12-$E5),IF(AND($E12&gt;$E6,$E12&lt;=$E7),F6+(F7-F6)/($E7-$E6)*($E12-$E6),IF(AND($E12&gt;$E7,$E12&lt;=$E8),F7+(F8-F7)/($E8-$E7)*($E12-$E7),IF($E12&gt;$E8,F8)))))</f>
        <v>#VALUE!</v>
      </c>
      <c r="G12" s="1729" t="e">
        <f t="shared" si="1"/>
        <v>#VALUE!</v>
      </c>
      <c r="H12" s="1729" t="e">
        <f t="shared" si="1"/>
        <v>#VALUE!</v>
      </c>
      <c r="I12" s="1729" t="e">
        <f t="shared" si="1"/>
        <v>#VALUE!</v>
      </c>
      <c r="J12" s="1729" t="e">
        <f t="shared" si="1"/>
        <v>#VALUE!</v>
      </c>
      <c r="K12" s="1729" t="e">
        <f t="shared" si="1"/>
        <v>#VALUE!</v>
      </c>
      <c r="L12" s="1729" t="e">
        <f t="shared" si="1"/>
        <v>#VALUE!</v>
      </c>
      <c r="M12" s="1729" t="e">
        <f t="shared" si="1"/>
        <v>#VALUE!</v>
      </c>
      <c r="N12" s="1729" t="e">
        <f t="shared" si="1"/>
        <v>#VALUE!</v>
      </c>
      <c r="O12" s="1730">
        <v>5.5</v>
      </c>
      <c r="P12" s="1730">
        <v>1.8</v>
      </c>
      <c r="Q12" s="1729" t="e">
        <f t="shared" ref="Q12:Z12" si="2">IF($E12&lt;=$E5,Q5,IF(AND($E12&gt;$E5,$E12&lt;=$E6),Q5+(Q6-Q5)/($E6-$E5)*($E12-$E5),IF(AND($E12&gt;$E6,$E12&lt;=$E7),Q6+(Q7-Q6)/($E7-$E6)*($E12-$E6),IF(AND($E12&gt;$E7,$E12&lt;=$E8),Q7+(Q8-Q7)/($E8-$E7)*($E12-$E7),IF($E12&gt;$E8,Q8)))))</f>
        <v>#VALUE!</v>
      </c>
      <c r="R12" s="1729" t="e">
        <f t="shared" si="2"/>
        <v>#VALUE!</v>
      </c>
      <c r="S12" s="1729" t="e">
        <f t="shared" si="2"/>
        <v>#VALUE!</v>
      </c>
      <c r="T12" s="1729" t="e">
        <f t="shared" si="2"/>
        <v>#VALUE!</v>
      </c>
      <c r="U12" s="1729" t="e">
        <f t="shared" si="2"/>
        <v>#VALUE!</v>
      </c>
      <c r="V12" s="1729" t="e">
        <f t="shared" si="2"/>
        <v>#VALUE!</v>
      </c>
      <c r="W12" s="1729" t="e">
        <f t="shared" si="2"/>
        <v>#VALUE!</v>
      </c>
      <c r="X12" s="1729" t="e">
        <f t="shared" si="2"/>
        <v>#VALUE!</v>
      </c>
      <c r="Y12" s="1729" t="e">
        <f t="shared" si="2"/>
        <v>#VALUE!</v>
      </c>
      <c r="Z12" s="1729" t="e">
        <f t="shared" si="2"/>
        <v>#VALUE!</v>
      </c>
      <c r="AA12" s="1731" t="e">
        <f>+Z12*6.25</f>
        <v>#VALUE!</v>
      </c>
      <c r="AB12" s="1729" t="e">
        <f>IF($E12&lt;=$E5,AB5,IF(AND($E12&gt;$E5,$E12&lt;=$E6),AB5+(AB6-AB5)/($E6-$E5)*($E12-$E5),IF(AND($E12&gt;$E6,$E12&lt;=$E7),AB6+(AB7-AB6)/($E7-$E6)*($E12-$E6),IF(AND($E12&gt;$E7,$E12&lt;=$E8),AB7+(AB8-AB7)/($E8-$E7)*($E12-$E7),IF($E12&gt;$E8,AB8)))))</f>
        <v>#VALUE!</v>
      </c>
      <c r="AC12" s="1731" t="e">
        <f>+AB12*6.25</f>
        <v>#VALUE!</v>
      </c>
      <c r="AD12" s="1729" t="e">
        <f>IF($E12&lt;=$E5,AD5,IF(AND($E12&gt;$E5,$E12&lt;=$E6),AD5+(AD6-AD5)/($E6-$E5)*($E12-$E5),IF(AND($E12&gt;$E6,$E12&lt;=$E7),AD6+(AD7-AD6)/($E7-$E6)*($E12-$E6),IF(AND($E12&gt;$E7,$E12&lt;=$E8),AD7+(AD8-AD7)/($E8-$E7)*($E12-$E7),IF($E12&gt;$E8,AD8)))))</f>
        <v>#VALUE!</v>
      </c>
      <c r="AE12" s="1731" t="e">
        <f>+AD12*6.25</f>
        <v>#VALUE!</v>
      </c>
      <c r="AF12" s="1731" t="e">
        <f>365/((D12-C12)/E12*1000)</f>
        <v>#VALUE!</v>
      </c>
      <c r="AG12" s="1729" t="e">
        <f>IF($E12&lt;=$E5,AG5,IF(AND($E12&gt;$E5,$E12&lt;=$E6),AG5+(AG6-AG5)/($E6-$E5)*($E12-$E5),IF(AND($E12&gt;$E6,$E12&lt;=$E7),AG6+(AG7-AG6)/($E7-$E6)*($E12-$E6),IF(AND($E12&gt;$E7,$E12&lt;=$E8),AG7+(AG8-AG7)/($E8-$E7)*($E12-$E7),IF($E12&gt;$E8,AG8)))))</f>
        <v>#VALUE!</v>
      </c>
      <c r="AH12" s="1731" t="e">
        <f>+AG12/AF12</f>
        <v>#VALUE!</v>
      </c>
      <c r="AI12" s="1731" t="e">
        <f>+CONCATENATE(ROUND(AH12/(D12-C12),1)," : 1")</f>
        <v>#VALUE!</v>
      </c>
      <c r="AJ12" s="1729" t="e">
        <f>IF($E12&lt;=$E5,AJ5,IF(AND($E12&gt;$E5,$E12&lt;=$E6),AJ5+(AJ6-AJ5)/($E6-$E5)*($E12-$E5),IF(AND($E12&gt;$E6,$E12&lt;=$E7),AJ6+(AJ7-AJ6)/($E7-$E6)*($E12-$E6),IF(AND($E12&gt;$E7,$E12&lt;=$E8),AJ7+(AJ8-AJ7)/($E8-$E7)*($E12-$E7),IF($E12&gt;$E8,AJ8)))))</f>
        <v>#VALUE!</v>
      </c>
      <c r="AK12" s="1731" t="e">
        <f>+AJ12/2.291</f>
        <v>#VALUE!</v>
      </c>
      <c r="AL12" s="1729" t="e">
        <f>IF($E12&lt;=$E5,AL5,IF(AND($E12&gt;$E5,$E12&lt;=$E6),AL5+(AL6-AL5)/($E6-$E5)*($E12-$E5),IF(AND($E12&gt;$E6,$E12&lt;=$E7),AL6+(AL7-AL6)/($E7-$E6)*($E12-$E6),IF(AND($E12&gt;$E7,$E12&lt;=$E8),AL7+(AL8-AL7)/($E8-$E7)*($E12-$E7),IF($E12&gt;$E8,AL8)))))</f>
        <v>#VALUE!</v>
      </c>
      <c r="AM12" s="1731" t="e">
        <f>+AL12/2.291</f>
        <v>#VALUE!</v>
      </c>
      <c r="AN12" s="1729" t="e">
        <f>IF($E12&lt;=$E5,AN5,IF(AND($E12&gt;$E5,$E12&lt;=$E6),AN5+(AN6-AN5)/($E6-$E5)*($E12-$E5),IF(AND($E12&gt;$E6,$E12&lt;=$E7),AN6+(AN7-AN6)/($E7-$E6)*($E12-$E6),IF(AND($E12&gt;$E7,$E12&lt;=$E8),AN7+(AN8-AN7)/($E8-$E7)*($E12-$E7),IF($E12&gt;$E8,AN8)))))</f>
        <v>#VALUE!</v>
      </c>
      <c r="AO12" s="1731" t="e">
        <f>+AN12/2.291</f>
        <v>#VALUE!</v>
      </c>
      <c r="AP12" s="1732"/>
      <c r="AQ12" s="1729" t="e">
        <f>IF($E12&lt;=$E5,AQ5,IF(AND($E12&gt;$E5,$E12&lt;=$E6),AQ5+(AQ6-AQ5)/($E6-$E5)*($E12-$E5),IF(AND($E12&gt;$E6,$E12&lt;=$E7),AQ6+(AQ7-AQ6)/($E7-$E6)*($E12-$E6),IF(AND($E12&gt;$E7,$E12&lt;=$E8),AQ7+(AQ8-AQ7)/($E8-$E7)*($E12-$E7),IF(AND($E12&gt;$E8,$E12&lt;=$E9),AQ8+(AQ9-AQ8)/($E9-$E8)*($E12-$E8),IF($E12&gt;$E9,AQ9))))))</f>
        <v>#VALUE!</v>
      </c>
      <c r="AR12" s="1708">
        <v>16</v>
      </c>
      <c r="AS12" s="1709">
        <f>IF(OR($C$12=$AR12,$D$12=$AR12),Schweine_Werte!$C12*0.5,IF(OR($C$12&gt;$AR12,$D$12&lt;$AR12),0,Schweine_Werte!$C12))</f>
        <v>0</v>
      </c>
      <c r="AT12" s="1709">
        <f>IF(OR($C$24=$AR12,$D$24=$AR12),Schweine_Werte!$C12*0.5,IF(OR($C$24&gt;$AR12,$D$24&lt;$AR12),0,Schweine_Werte!$C12))</f>
        <v>0</v>
      </c>
      <c r="AU12" s="1709">
        <f>IF(OR($C$36=$AR12,$D$36=$AR12),Schweine_Werte!$C12*0.5,IF(OR($C$36&gt;$AR12,$D$36&lt;$AR12),0,Schweine_Werte!$C12))</f>
        <v>0</v>
      </c>
      <c r="AV12" s="1709">
        <f>IF(OR($C$48=$AR12,$D$48=$AR12),Schweine_Werte!$C12*0.5,IF(OR($C$48&gt;$AR12,$D$48&lt;$AR12),0,Schweine_Werte!$C12))</f>
        <v>0</v>
      </c>
      <c r="AW12" s="1709">
        <f>IF(OR($C$60=$AR12,$D$60=$AR12),Schweine_Werte!$C12*0.5,IF(OR($C$60&gt;$AR12,$D$60&lt;$AR12),0,Schweine_Werte!$C12))</f>
        <v>0</v>
      </c>
      <c r="AX12" s="1709">
        <f>IF(OR($C$12=$AR12,$D$12=$AR12),Schweine_Werte!$E12*0.5,IF(OR($C$12&gt;$AR12,$D$12&lt;$AR12),0,Schweine_Werte!$E12))</f>
        <v>0</v>
      </c>
      <c r="AY12" s="1709">
        <f>IF(OR($C$24=$AR12,$D$24=$AR12),Schweine_Werte!$E12*0.5,IF(OR($C$24&gt;$AR12,$D$24&lt;$AR12),0,Schweine_Werte!$E12))</f>
        <v>0</v>
      </c>
      <c r="AZ12" s="1714">
        <f>IF(OR($C$36=$AR12,$D$36=$AR12),Schweine_Werte!$E12*0.5,IF(OR($C$36&gt;$AR12,$D$36&lt;$AR12),0,Schweine_Werte!$E12))</f>
        <v>0</v>
      </c>
      <c r="BA12" s="1714">
        <f>IF(OR($C$48=$AR12,$D$48=$AR12),Schweine_Werte!$E12*0.5,IF(OR($C$48&gt;$AR12,$D$48&lt;$AR12),0,Schweine_Werte!$E12))</f>
        <v>0</v>
      </c>
      <c r="BB12" s="1714">
        <f>IF(OR($C$60=$AR12,$D$60=$AR12),Schweine_Werte!$E12*0.5,IF(OR($C$60&gt;$AR12,$D$60&lt;$AR12),0,Schweine_Werte!$E12))</f>
        <v>0</v>
      </c>
      <c r="BC12" s="1709">
        <f>IF(OR($C$12=$AR12,$D$12=$AR12),Schweine_Werte!$G12*0.5,IF(OR($C$12&gt;$AR12,$D$12&lt;$AR12),0,Schweine_Werte!$G12))</f>
        <v>0</v>
      </c>
      <c r="BD12" s="1709">
        <f>IF(OR($C$24=$AR12,$D$24=$AR12),Schweine_Werte!$G12*0.5,IF(OR($C$24&gt;$AR12,$D$24&lt;$AR12),0,Schweine_Werte!$G12))</f>
        <v>0</v>
      </c>
      <c r="BE12" s="1714">
        <f>IF(OR($C$36=$AR12,$D$36=$AR12),Schweine_Werte!$G12*0.5,IF(OR($C$36&gt;$AR12,$D$36&lt;$AR12),0,Schweine_Werte!$G12))</f>
        <v>0</v>
      </c>
      <c r="BF12" s="1714">
        <f>IF(OR($C$48=$AR12,$D$48=$AR12),Schweine_Werte!$G12*0.5,IF(OR($C$48&gt;$AR12,$D$48&lt;$AR12),0,Schweine_Werte!$G12))</f>
        <v>0</v>
      </c>
      <c r="BG12" s="1714">
        <f>IF(OR($C$60=$AR12,$D$60=$AR12),Schweine_Werte!$G12*0.5,IF(OR($C$60&gt;$AR12,$D$60&lt;$AR12),0,Schweine_Werte!$G12))</f>
        <v>0</v>
      </c>
      <c r="BH12" s="1709">
        <f>IF(OR($C$12=$AR12,$D$12=$AR12),Schweine_Werte!$I12*0.5,IF(OR($C$12&gt;$AR12,$D$12&lt;$AR12),0,Schweine_Werte!$I12))</f>
        <v>0</v>
      </c>
      <c r="BI12" s="1709">
        <f>IF(OR($C$24=$AR12,$D$24=$AR12),Schweine_Werte!$I12*0.5,IF(OR($C$24&gt;$AR12,$D$24&lt;$AR12),0,Schweine_Werte!$I12))</f>
        <v>0</v>
      </c>
      <c r="BJ12" s="1714">
        <f>IF(OR($C$36=$AR12,$D$36=$AR12),Schweine_Werte!$I12*0.5,IF(OR($C$36&gt;$AR12,$D$36&lt;$AR12),0,Schweine_Werte!$I12))</f>
        <v>0</v>
      </c>
      <c r="BK12" s="1714">
        <f>IF(OR($C$48=$AR12,$D$48=$AR12),Schweine_Werte!$I12*0.5,IF(OR($C$48&gt;$AR12,$D$48&lt;$AR12),0,Schweine_Werte!$I12))</f>
        <v>0</v>
      </c>
      <c r="BL12" s="1714">
        <f>IF(OR($C$60=$AR12,$D$60=$AR12),Schweine_Werte!$I12*0.5,IF(OR($C$60&gt;$AR12,$D$60&lt;$AR12),0,Schweine_Werte!$I12))</f>
        <v>0</v>
      </c>
      <c r="BM12" s="1709">
        <f>IF(OR($C$12=$AR12,$D$12=$AR12),Schweine_Werte!$K12*0.5,IF(OR($C$12&gt;$AR12,$D$12&lt;$AR12),0,Schweine_Werte!$K12))</f>
        <v>0</v>
      </c>
      <c r="BN12" s="1709">
        <f>IF(OR($C$24=$AR12,$D$24=$AR12),Schweine_Werte!$K12*0.5,IF(OR($C$24&gt;$AR12,$D$24&lt;$AR12),0,Schweine_Werte!$K12))</f>
        <v>0</v>
      </c>
      <c r="BO12" s="1714">
        <f>IF(OR($C$36=$AR12,$D$36=$AR12),Schweine_Werte!$K12*0.5,IF(OR($C$36&gt;$AR12,$D$36&lt;$AR12),0,Schweine_Werte!$K12))</f>
        <v>0</v>
      </c>
      <c r="BP12" s="1714">
        <f>IF(OR($C$48=$AR12,$D$48=$AR12),Schweine_Werte!$K12*0.5,IF(OR($C$48&gt;$AR12,$D$48&lt;$AR12),0,Schweine_Werte!$K12))</f>
        <v>0</v>
      </c>
      <c r="BQ12" s="1714">
        <f>IF(OR($C$60=$AR12,$D$60=$AR12),Schweine_Werte!$K12*0.5,IF(OR($C$60&gt;$AR12,$D$60&lt;$AR12),0,Schweine_Werte!$K12))</f>
        <v>0</v>
      </c>
      <c r="BR12" s="1710">
        <f>IF(OR($C$74=$AR12,$D$74=$AR12),Schweine_Werte!$M12*0.5,IF(OR($C$74&gt;$AR12,$D$74&lt;$AR12),0,Schweine_Werte!$M12))</f>
        <v>0</v>
      </c>
      <c r="BS12" s="1710">
        <f>IF(OR($C$83=$AR12,$D$83=$AR12),Schweine_Werte!$M12*0.5,IF(OR($C$83&gt;$AR12,$D$83&lt;$AR12),0,Schweine_Werte!$M12))</f>
        <v>0</v>
      </c>
      <c r="BT12" s="1713">
        <f>IF(OR($C$92=$AR12,$D$92=$AR12),Schweine_Werte!$M12*0.5,IF(OR($C$92&gt;$AR12,$D$92&lt;$AR12),0,Schweine_Werte!$M12))</f>
        <v>0</v>
      </c>
      <c r="BU12" s="1713">
        <f>IF(OR($C$101=$AR12,$D$101=$AR12),Schweine_Werte!$M12*0.5,IF(OR($C$101&gt;$AR12,$D$101&lt;$AR12),0,Schweine_Werte!$M12))</f>
        <v>0</v>
      </c>
      <c r="BV12" s="1713">
        <f>IF(OR($C$110=$AR12,$D$110=$AR12),Schweine_Werte!$M12*0.5,IF(OR($C$110&gt;$AR12,$D$110&lt;$AR12),0,Schweine_Werte!$M12))</f>
        <v>0</v>
      </c>
      <c r="BW12" s="1713">
        <f>IF(OR(8=$AR12,$E$127=$AR12),Schweine_Werte!$M12*0.5,IF(OR(8&gt;$AR12,$E$127&lt;$AR12),0,Schweine_Werte!$M12))</f>
        <v>2.2565030036209643</v>
      </c>
      <c r="BX12" s="1713">
        <f>IF(OR(8=$AR12,$E$145=$AR12),Schweine_Werte!$M12*0.5,IF(OR(8&gt;$AR12,$E$145&lt;$AR12),0,Schweine_Werte!$M12))</f>
        <v>2.2565030036209643</v>
      </c>
      <c r="BY12" s="1710">
        <f>IF(OR($C$74=$AR12,$D$74=$AR12),Schweine_Werte!$O12*0.5,IF(OR($C$74&gt;$AR12,$D$74&lt;$AR12),0,Schweine_Werte!$O12))</f>
        <v>0</v>
      </c>
      <c r="BZ12" s="1710">
        <f>IF(OR($C$83=$AR12,$D$83=$AR12),Schweine_Werte!$O12*0.5,IF(OR($C$83&gt;$AR12,$D$83&lt;$AR12),0,Schweine_Werte!$O12))</f>
        <v>0</v>
      </c>
      <c r="CA12" s="1713">
        <f>IF(OR($C$92=$AR12,$D$92=$AR12),Schweine_Werte!$O12*0.5,IF(OR($C$92&gt;$AR12,$D$92&lt;$AR12),0,Schweine_Werte!$O12))</f>
        <v>0</v>
      </c>
      <c r="CB12" s="1713">
        <f>IF(OR($C$101=$AR12,$D$101=$AR12),Schweine_Werte!$O12*0.5,IF(OR($C$101&gt;$AR12,$D$101&lt;$AR12),0,Schweine_Werte!$O12))</f>
        <v>0</v>
      </c>
      <c r="CC12" s="1713">
        <f>IF(OR($C$110=$AR12,$D$110=$AR12),Schweine_Werte!$O12*0.5,IF(OR($C$110&gt;$AR12,$D$110&lt;$AR12),0,Schweine_Werte!$O12))</f>
        <v>0</v>
      </c>
    </row>
    <row r="13" spans="1:303" x14ac:dyDescent="0.25">
      <c r="C13" s="3256" t="s">
        <v>8610</v>
      </c>
      <c r="D13" s="3256"/>
      <c r="AR13" s="1708">
        <v>17</v>
      </c>
      <c r="AS13" s="1709">
        <f>IF(OR($C$12=$AR13,$D$12=$AR13),Schweine_Werte!$C13*0.5,IF(OR($C$12&gt;$AR13,$D$12&lt;$AR13),0,Schweine_Werte!$C13))</f>
        <v>0</v>
      </c>
      <c r="AT13" s="1709">
        <f>IF(OR($C$24=$AR13,$D$24=$AR13),Schweine_Werte!$C13*0.5,IF(OR($C$24&gt;$AR13,$D$24&lt;$AR13),0,Schweine_Werte!$C13))</f>
        <v>0</v>
      </c>
      <c r="AU13" s="1709">
        <f>IF(OR($C$36=$AR13,$D$36=$AR13),Schweine_Werte!$C13*0.5,IF(OR($C$36&gt;$AR13,$D$36&lt;$AR13),0,Schweine_Werte!$C13))</f>
        <v>0</v>
      </c>
      <c r="AV13" s="1709">
        <f>IF(OR($C$48=$AR13,$D$48=$AR13),Schweine_Werte!$C13*0.5,IF(OR($C$48&gt;$AR13,$D$48&lt;$AR13),0,Schweine_Werte!$C13))</f>
        <v>0</v>
      </c>
      <c r="AW13" s="1709">
        <f>IF(OR($C$60=$AR13,$D$60=$AR13),Schweine_Werte!$C13*0.5,IF(OR($C$60&gt;$AR13,$D$60&lt;$AR13),0,Schweine_Werte!$C13))</f>
        <v>0</v>
      </c>
      <c r="AX13" s="1709">
        <f>IF(OR($C$12=$AR13,$D$12=$AR13),Schweine_Werte!$E13*0.5,IF(OR($C$12&gt;$AR13,$D$12&lt;$AR13),0,Schweine_Werte!$E13))</f>
        <v>0</v>
      </c>
      <c r="AY13" s="1709">
        <f>IF(OR($C$24=$AR13,$D$24=$AR13),Schweine_Werte!$E13*0.5,IF(OR($C$24&gt;$AR13,$D$24&lt;$AR13),0,Schweine_Werte!$E13))</f>
        <v>0</v>
      </c>
      <c r="AZ13" s="1714">
        <f>IF(OR($C$36=$AR13,$D$36=$AR13),Schweine_Werte!$E13*0.5,IF(OR($C$36&gt;$AR13,$D$36&lt;$AR13),0,Schweine_Werte!$E13))</f>
        <v>0</v>
      </c>
      <c r="BA13" s="1714">
        <f>IF(OR($C$48=$AR13,$D$48=$AR13),Schweine_Werte!$E13*0.5,IF(OR($C$48&gt;$AR13,$D$48&lt;$AR13),0,Schweine_Werte!$E13))</f>
        <v>0</v>
      </c>
      <c r="BB13" s="1714">
        <f>IF(OR($C$60=$AR13,$D$60=$AR13),Schweine_Werte!$E13*0.5,IF(OR($C$60&gt;$AR13,$D$60&lt;$AR13),0,Schweine_Werte!$E13))</f>
        <v>0</v>
      </c>
      <c r="BC13" s="1709">
        <f>IF(OR($C$12=$AR13,$D$12=$AR13),Schweine_Werte!$G13*0.5,IF(OR($C$12&gt;$AR13,$D$12&lt;$AR13),0,Schweine_Werte!$G13))</f>
        <v>0</v>
      </c>
      <c r="BD13" s="1709">
        <f>IF(OR($C$24=$AR13,$D$24=$AR13),Schweine_Werte!$G13*0.5,IF(OR($C$24&gt;$AR13,$D$24&lt;$AR13),0,Schweine_Werte!$G13))</f>
        <v>0</v>
      </c>
      <c r="BE13" s="1714">
        <f>IF(OR($C$36=$AR13,$D$36=$AR13),Schweine_Werte!$G13*0.5,IF(OR($C$36&gt;$AR13,$D$36&lt;$AR13),0,Schweine_Werte!$G13))</f>
        <v>0</v>
      </c>
      <c r="BF13" s="1714">
        <f>IF(OR($C$48=$AR13,$D$48=$AR13),Schweine_Werte!$G13*0.5,IF(OR($C$48&gt;$AR13,$D$48&lt;$AR13),0,Schweine_Werte!$G13))</f>
        <v>0</v>
      </c>
      <c r="BG13" s="1714">
        <f>IF(OR($C$60=$AR13,$D$60=$AR13),Schweine_Werte!$G13*0.5,IF(OR($C$60&gt;$AR13,$D$60&lt;$AR13),0,Schweine_Werte!$G13))</f>
        <v>0</v>
      </c>
      <c r="BH13" s="1709">
        <f>IF(OR($C$12=$AR13,$D$12=$AR13),Schweine_Werte!$I13*0.5,IF(OR($C$12&gt;$AR13,$D$12&lt;$AR13),0,Schweine_Werte!$I13))</f>
        <v>0</v>
      </c>
      <c r="BI13" s="1709">
        <f>IF(OR($C$24=$AR13,$D$24=$AR13),Schweine_Werte!$I13*0.5,IF(OR($C$24&gt;$AR13,$D$24&lt;$AR13),0,Schweine_Werte!$I13))</f>
        <v>0</v>
      </c>
      <c r="BJ13" s="1714">
        <f>IF(OR($C$36=$AR13,$D$36=$AR13),Schweine_Werte!$I13*0.5,IF(OR($C$36&gt;$AR13,$D$36&lt;$AR13),0,Schweine_Werte!$I13))</f>
        <v>0</v>
      </c>
      <c r="BK13" s="1714">
        <f>IF(OR($C$48=$AR13,$D$48=$AR13),Schweine_Werte!$I13*0.5,IF(OR($C$48&gt;$AR13,$D$48&lt;$AR13),0,Schweine_Werte!$I13))</f>
        <v>0</v>
      </c>
      <c r="BL13" s="1714">
        <f>IF(OR($C$60=$AR13,$D$60=$AR13),Schweine_Werte!$I13*0.5,IF(OR($C$60&gt;$AR13,$D$60&lt;$AR13),0,Schweine_Werte!$I13))</f>
        <v>0</v>
      </c>
      <c r="BM13" s="1709">
        <f>IF(OR($C$12=$AR13,$D$12=$AR13),Schweine_Werte!$K13*0.5,IF(OR($C$12&gt;$AR13,$D$12&lt;$AR13),0,Schweine_Werte!$K13))</f>
        <v>0</v>
      </c>
      <c r="BN13" s="1709">
        <f>IF(OR($C$24=$AR13,$D$24=$AR13),Schweine_Werte!$K13*0.5,IF(OR($C$24&gt;$AR13,$D$24&lt;$AR13),0,Schweine_Werte!$K13))</f>
        <v>0</v>
      </c>
      <c r="BO13" s="1714">
        <f>IF(OR($C$36=$AR13,$D$36=$AR13),Schweine_Werte!$K13*0.5,IF(OR($C$36&gt;$AR13,$D$36&lt;$AR13),0,Schweine_Werte!$K13))</f>
        <v>0</v>
      </c>
      <c r="BP13" s="1714">
        <f>IF(OR($C$48=$AR13,$D$48=$AR13),Schweine_Werte!$K13*0.5,IF(OR($C$48&gt;$AR13,$D$48&lt;$AR13),0,Schweine_Werte!$K13))</f>
        <v>0</v>
      </c>
      <c r="BQ13" s="1714">
        <f>IF(OR($C$60=$AR13,$D$60=$AR13),Schweine_Werte!$K13*0.5,IF(OR($C$60&gt;$AR13,$D$60&lt;$AR13),0,Schweine_Werte!$K13))</f>
        <v>0</v>
      </c>
      <c r="BR13" s="1710">
        <f>IF(OR($C$74=$AR13,$D$74=$AR13),Schweine_Werte!$M13*0.5,IF(OR($C$74&gt;$AR13,$D$74&lt;$AR13),0,Schweine_Werte!$M13))</f>
        <v>0</v>
      </c>
      <c r="BS13" s="1710">
        <f>IF(OR($C$83=$AR13,$D$83=$AR13),Schweine_Werte!$M13*0.5,IF(OR($C$83&gt;$AR13,$D$83&lt;$AR13),0,Schweine_Werte!$M13))</f>
        <v>0</v>
      </c>
      <c r="BT13" s="1713">
        <f>IF(OR($C$92=$AR13,$D$92=$AR13),Schweine_Werte!$M13*0.5,IF(OR($C$92&gt;$AR13,$D$92&lt;$AR13),0,Schweine_Werte!$M13))</f>
        <v>0</v>
      </c>
      <c r="BU13" s="1713">
        <f>IF(OR($C$101=$AR13,$D$101=$AR13),Schweine_Werte!$M13*0.5,IF(OR($C$101&gt;$AR13,$D$101&lt;$AR13),0,Schweine_Werte!$M13))</f>
        <v>0</v>
      </c>
      <c r="BV13" s="1713">
        <f>IF(OR($C$110=$AR13,$D$110=$AR13),Schweine_Werte!$M13*0.5,IF(OR($C$110&gt;$AR13,$D$110&lt;$AR13),0,Schweine_Werte!$M13))</f>
        <v>0</v>
      </c>
      <c r="BW13" s="1713">
        <f>IF(OR(8=$AR13,$E$127=$AR13),Schweine_Werte!$M13*0.5,IF(OR(8&gt;$AR13,$E$127&lt;$AR13),0,Schweine_Werte!$M13))</f>
        <v>2.174168851366757</v>
      </c>
      <c r="BX13" s="1713">
        <f>IF(OR(8=$AR13,$E$145=$AR13),Schweine_Werte!$M13*0.5,IF(OR(8&gt;$AR13,$E$145&lt;$AR13),0,Schweine_Werte!$M13))</f>
        <v>2.174168851366757</v>
      </c>
      <c r="BY13" s="1710">
        <f>IF(OR($C$74=$AR13,$D$74=$AR13),Schweine_Werte!$O13*0.5,IF(OR($C$74&gt;$AR13,$D$74&lt;$AR13),0,Schweine_Werte!$O13))</f>
        <v>0</v>
      </c>
      <c r="BZ13" s="1710">
        <f>IF(OR($C$83=$AR13,$D$83=$AR13),Schweine_Werte!$O13*0.5,IF(OR($C$83&gt;$AR13,$D$83&lt;$AR13),0,Schweine_Werte!$O13))</f>
        <v>0</v>
      </c>
      <c r="CA13" s="1713">
        <f>IF(OR($C$92=$AR13,$D$92=$AR13),Schweine_Werte!$O13*0.5,IF(OR($C$92&gt;$AR13,$D$92&lt;$AR13),0,Schweine_Werte!$O13))</f>
        <v>0</v>
      </c>
      <c r="CB13" s="1713">
        <f>IF(OR($C$101=$AR13,$D$101=$AR13),Schweine_Werte!$O13*0.5,IF(OR($C$101&gt;$AR13,$D$101&lt;$AR13),0,Schweine_Werte!$O13))</f>
        <v>0</v>
      </c>
      <c r="CC13" s="1713">
        <f>IF(OR($C$110=$AR13,$D$110=$AR13),Schweine_Werte!$O13*0.5,IF(OR($C$110&gt;$AR13,$D$110&lt;$AR13),0,Schweine_Werte!$O13))</f>
        <v>0</v>
      </c>
    </row>
    <row r="14" spans="1:303" ht="18.75" x14ac:dyDescent="0.3">
      <c r="H14" s="1698"/>
      <c r="I14" s="1698"/>
      <c r="L14" s="1699" t="s">
        <v>8543</v>
      </c>
      <c r="W14" s="3251" t="s">
        <v>8544</v>
      </c>
      <c r="X14" s="3251"/>
      <c r="Y14" s="3251"/>
      <c r="AR14" s="1708">
        <v>18</v>
      </c>
      <c r="AS14" s="1709">
        <f>IF(OR($C$12=$AR14,$D$12=$AR14),Schweine_Werte!$C14*0.5,IF(OR($C$12&gt;$AR14,$D$12&lt;$AR14),0,Schweine_Werte!$C14))</f>
        <v>0</v>
      </c>
      <c r="AT14" s="1709">
        <f>IF(OR($C$24=$AR14,$D$24=$AR14),Schweine_Werte!$C14*0.5,IF(OR($C$24&gt;$AR14,$D$24&lt;$AR14),0,Schweine_Werte!$C14))</f>
        <v>0</v>
      </c>
      <c r="AU14" s="1709">
        <f>IF(OR($C$36=$AR14,$D$36=$AR14),Schweine_Werte!$C14*0.5,IF(OR($C$36&gt;$AR14,$D$36&lt;$AR14),0,Schweine_Werte!$C14))</f>
        <v>0</v>
      </c>
      <c r="AV14" s="1709">
        <f>IF(OR($C$48=$AR14,$D$48=$AR14),Schweine_Werte!$C14*0.5,IF(OR($C$48&gt;$AR14,$D$48&lt;$AR14),0,Schweine_Werte!$C14))</f>
        <v>0</v>
      </c>
      <c r="AW14" s="1709">
        <f>IF(OR($C$60=$AR14,$D$60=$AR14),Schweine_Werte!$C14*0.5,IF(OR($C$60&gt;$AR14,$D$60&lt;$AR14),0,Schweine_Werte!$C14))</f>
        <v>0</v>
      </c>
      <c r="AX14" s="1709">
        <f>IF(OR($C$12=$AR14,$D$12=$AR14),Schweine_Werte!$E14*0.5,IF(OR($C$12&gt;$AR14,$D$12&lt;$AR14),0,Schweine_Werte!$E14))</f>
        <v>0</v>
      </c>
      <c r="AY14" s="1709">
        <f>IF(OR($C$24=$AR14,$D$24=$AR14),Schweine_Werte!$E14*0.5,IF(OR($C$24&gt;$AR14,$D$24&lt;$AR14),0,Schweine_Werte!$E14))</f>
        <v>0</v>
      </c>
      <c r="AZ14" s="1714">
        <f>IF(OR($C$36=$AR14,$D$36=$AR14),Schweine_Werte!$E14*0.5,IF(OR($C$36&gt;$AR14,$D$36&lt;$AR14),0,Schweine_Werte!$E14))</f>
        <v>0</v>
      </c>
      <c r="BA14" s="1714">
        <f>IF(OR($C$48=$AR14,$D$48=$AR14),Schweine_Werte!$E14*0.5,IF(OR($C$48&gt;$AR14,$D$48&lt;$AR14),0,Schweine_Werte!$E14))</f>
        <v>0</v>
      </c>
      <c r="BB14" s="1714">
        <f>IF(OR($C$60=$AR14,$D$60=$AR14),Schweine_Werte!$E14*0.5,IF(OR($C$60&gt;$AR14,$D$60&lt;$AR14),0,Schweine_Werte!$E14))</f>
        <v>0</v>
      </c>
      <c r="BC14" s="1709">
        <f>IF(OR($C$12=$AR14,$D$12=$AR14),Schweine_Werte!$G14*0.5,IF(OR($C$12&gt;$AR14,$D$12&lt;$AR14),0,Schweine_Werte!$G14))</f>
        <v>0</v>
      </c>
      <c r="BD14" s="1709">
        <f>IF(OR($C$24=$AR14,$D$24=$AR14),Schweine_Werte!$G14*0.5,IF(OR($C$24&gt;$AR14,$D$24&lt;$AR14),0,Schweine_Werte!$G14))</f>
        <v>0</v>
      </c>
      <c r="BE14" s="1714">
        <f>IF(OR($C$36=$AR14,$D$36=$AR14),Schweine_Werte!$G14*0.5,IF(OR($C$36&gt;$AR14,$D$36&lt;$AR14),0,Schweine_Werte!$G14))</f>
        <v>0</v>
      </c>
      <c r="BF14" s="1714">
        <f>IF(OR($C$48=$AR14,$D$48=$AR14),Schweine_Werte!$G14*0.5,IF(OR($C$48&gt;$AR14,$D$48&lt;$AR14),0,Schweine_Werte!$G14))</f>
        <v>0</v>
      </c>
      <c r="BG14" s="1714">
        <f>IF(OR($C$60=$AR14,$D$60=$AR14),Schweine_Werte!$G14*0.5,IF(OR($C$60&gt;$AR14,$D$60&lt;$AR14),0,Schweine_Werte!$G14))</f>
        <v>0</v>
      </c>
      <c r="BH14" s="1709">
        <f>IF(OR($C$12=$AR14,$D$12=$AR14),Schweine_Werte!$I14*0.5,IF(OR($C$12&gt;$AR14,$D$12&lt;$AR14),0,Schweine_Werte!$I14))</f>
        <v>0</v>
      </c>
      <c r="BI14" s="1709">
        <f>IF(OR($C$24=$AR14,$D$24=$AR14),Schweine_Werte!$I14*0.5,IF(OR($C$24&gt;$AR14,$D$24&lt;$AR14),0,Schweine_Werte!$I14))</f>
        <v>0</v>
      </c>
      <c r="BJ14" s="1714">
        <f>IF(OR($C$36=$AR14,$D$36=$AR14),Schweine_Werte!$I14*0.5,IF(OR($C$36&gt;$AR14,$D$36&lt;$AR14),0,Schweine_Werte!$I14))</f>
        <v>0</v>
      </c>
      <c r="BK14" s="1714">
        <f>IF(OR($C$48=$AR14,$D$48=$AR14),Schweine_Werte!$I14*0.5,IF(OR($C$48&gt;$AR14,$D$48&lt;$AR14),0,Schweine_Werte!$I14))</f>
        <v>0</v>
      </c>
      <c r="BL14" s="1714">
        <f>IF(OR($C$60=$AR14,$D$60=$AR14),Schweine_Werte!$I14*0.5,IF(OR($C$60&gt;$AR14,$D$60&lt;$AR14),0,Schweine_Werte!$I14))</f>
        <v>0</v>
      </c>
      <c r="BM14" s="1709">
        <f>IF(OR($C$12=$AR14,$D$12=$AR14),Schweine_Werte!$K14*0.5,IF(OR($C$12&gt;$AR14,$D$12&lt;$AR14),0,Schweine_Werte!$K14))</f>
        <v>0</v>
      </c>
      <c r="BN14" s="1709">
        <f>IF(OR($C$24=$AR14,$D$24=$AR14),Schweine_Werte!$K14*0.5,IF(OR($C$24&gt;$AR14,$D$24&lt;$AR14),0,Schweine_Werte!$K14))</f>
        <v>0</v>
      </c>
      <c r="BO14" s="1714">
        <f>IF(OR($C$36=$AR14,$D$36=$AR14),Schweine_Werte!$K14*0.5,IF(OR($C$36&gt;$AR14,$D$36&lt;$AR14),0,Schweine_Werte!$K14))</f>
        <v>0</v>
      </c>
      <c r="BP14" s="1714">
        <f>IF(OR($C$48=$AR14,$D$48=$AR14),Schweine_Werte!$K14*0.5,IF(OR($C$48&gt;$AR14,$D$48&lt;$AR14),0,Schweine_Werte!$K14))</f>
        <v>0</v>
      </c>
      <c r="BQ14" s="1714">
        <f>IF(OR($C$60=$AR14,$D$60=$AR14),Schweine_Werte!$K14*0.5,IF(OR($C$60&gt;$AR14,$D$60&lt;$AR14),0,Schweine_Werte!$K14))</f>
        <v>0</v>
      </c>
      <c r="BR14" s="1710">
        <f>IF(OR($C$74=$AR14,$D$74=$AR14),Schweine_Werte!$M14*0.5,IF(OR($C$74&gt;$AR14,$D$74&lt;$AR14),0,Schweine_Werte!$M14))</f>
        <v>0</v>
      </c>
      <c r="BS14" s="1710">
        <f>IF(OR($C$83=$AR14,$D$83=$AR14),Schweine_Werte!$M14*0.5,IF(OR($C$83&gt;$AR14,$D$83&lt;$AR14),0,Schweine_Werte!$M14))</f>
        <v>0</v>
      </c>
      <c r="BT14" s="1713">
        <f>IF(OR($C$92=$AR14,$D$92=$AR14),Schweine_Werte!$M14*0.5,IF(OR($C$92&gt;$AR14,$D$92&lt;$AR14),0,Schweine_Werte!$M14))</f>
        <v>0</v>
      </c>
      <c r="BU14" s="1713">
        <f>IF(OR($C$101=$AR14,$D$101=$AR14),Schweine_Werte!$M14*0.5,IF(OR($C$101&gt;$AR14,$D$101&lt;$AR14),0,Schweine_Werte!$M14))</f>
        <v>0</v>
      </c>
      <c r="BV14" s="1713">
        <f>IF(OR($C$110=$AR14,$D$110=$AR14),Schweine_Werte!$M14*0.5,IF(OR($C$110&gt;$AR14,$D$110&lt;$AR14),0,Schweine_Werte!$M14))</f>
        <v>0</v>
      </c>
      <c r="BW14" s="1713">
        <f>IF(OR(8=$AR14,$E$127=$AR14),Schweine_Werte!$M14*0.5,IF(OR(8&gt;$AR14,$E$127&lt;$AR14),0,Schweine_Werte!$M14))</f>
        <v>2.0988182677263927</v>
      </c>
      <c r="BX14" s="1713">
        <f>IF(OR(8=$AR14,$E$145=$AR14),Schweine_Werte!$M14*0.5,IF(OR(8&gt;$AR14,$E$145&lt;$AR14),0,Schweine_Werte!$M14))</f>
        <v>2.0988182677263927</v>
      </c>
      <c r="BY14" s="1710">
        <f>IF(OR($C$74=$AR14,$D$74=$AR14),Schweine_Werte!$O14*0.5,IF(OR($C$74&gt;$AR14,$D$74&lt;$AR14),0,Schweine_Werte!$O14))</f>
        <v>0</v>
      </c>
      <c r="BZ14" s="1710">
        <f>IF(OR($C$83=$AR14,$D$83=$AR14),Schweine_Werte!$O14*0.5,IF(OR($C$83&gt;$AR14,$D$83&lt;$AR14),0,Schweine_Werte!$O14))</f>
        <v>0</v>
      </c>
      <c r="CA14" s="1713">
        <f>IF(OR($C$92=$AR14,$D$92=$AR14),Schweine_Werte!$O14*0.5,IF(OR($C$92&gt;$AR14,$D$92&lt;$AR14),0,Schweine_Werte!$O14))</f>
        <v>0</v>
      </c>
      <c r="CB14" s="1713">
        <f>IF(OR($C$101=$AR14,$D$101=$AR14),Schweine_Werte!$O14*0.5,IF(OR($C$101&gt;$AR14,$D$101&lt;$AR14),0,Schweine_Werte!$O14))</f>
        <v>0</v>
      </c>
      <c r="CC14" s="1713">
        <f>IF(OR($C$110=$AR14,$D$110=$AR14),Schweine_Werte!$O14*0.5,IF(OR($C$110&gt;$AR14,$D$110&lt;$AR14),0,Schweine_Werte!$O14))</f>
        <v>0</v>
      </c>
    </row>
    <row r="15" spans="1:303" ht="14.45" customHeight="1" x14ac:dyDescent="0.3">
      <c r="B15" s="1702"/>
      <c r="C15" s="1702"/>
      <c r="D15" s="1702"/>
      <c r="E15" s="1702"/>
      <c r="F15" s="1702"/>
      <c r="G15" s="1702"/>
      <c r="H15" s="1703"/>
      <c r="L15" s="1685" t="s">
        <v>234</v>
      </c>
      <c r="Q15" s="3251" t="s">
        <v>8546</v>
      </c>
      <c r="R15" s="3251"/>
      <c r="S15" s="3251"/>
      <c r="T15" s="3251" t="s">
        <v>8547</v>
      </c>
      <c r="U15" s="3251"/>
      <c r="V15" s="3251"/>
      <c r="W15" s="1685" t="s">
        <v>8548</v>
      </c>
      <c r="X15" s="1685" t="s">
        <v>8549</v>
      </c>
      <c r="Y15" s="1685" t="s">
        <v>8550</v>
      </c>
      <c r="Z15" s="1685" t="s">
        <v>8551</v>
      </c>
      <c r="AG15" s="1685" t="s">
        <v>8552</v>
      </c>
      <c r="AJ15" s="1685" t="s">
        <v>8553</v>
      </c>
      <c r="AR15" s="1708">
        <v>19</v>
      </c>
      <c r="AS15" s="1709">
        <f>IF(OR($C$12=$AR15,$D$12=$AR15),Schweine_Werte!$C15*0.5,IF(OR($C$12&gt;$AR15,$D$12&lt;$AR15),0,Schweine_Werte!$C15))</f>
        <v>0</v>
      </c>
      <c r="AT15" s="1709">
        <f>IF(OR($C$24=$AR15,$D$24=$AR15),Schweine_Werte!$C15*0.5,IF(OR($C$24&gt;$AR15,$D$24&lt;$AR15),0,Schweine_Werte!$C15))</f>
        <v>0</v>
      </c>
      <c r="AU15" s="1709">
        <f>IF(OR($C$36=$AR15,$D$36=$AR15),Schweine_Werte!$C15*0.5,IF(OR($C$36&gt;$AR15,$D$36&lt;$AR15),0,Schweine_Werte!$C15))</f>
        <v>0</v>
      </c>
      <c r="AV15" s="1709">
        <f>IF(OR($C$48=$AR15,$D$48=$AR15),Schweine_Werte!$C15*0.5,IF(OR($C$48&gt;$AR15,$D$48&lt;$AR15),0,Schweine_Werte!$C15))</f>
        <v>0</v>
      </c>
      <c r="AW15" s="1709">
        <f>IF(OR($C$60=$AR15,$D$60=$AR15),Schweine_Werte!$C15*0.5,IF(OR($C$60&gt;$AR15,$D$60&lt;$AR15),0,Schweine_Werte!$C15))</f>
        <v>0</v>
      </c>
      <c r="AX15" s="1709">
        <f>IF(OR($C$12=$AR15,$D$12=$AR15),Schweine_Werte!$E15*0.5,IF(OR($C$12&gt;$AR15,$D$12&lt;$AR15),0,Schweine_Werte!$E15))</f>
        <v>0</v>
      </c>
      <c r="AY15" s="1709">
        <f>IF(OR($C$24=$AR15,$D$24=$AR15),Schweine_Werte!$E15*0.5,IF(OR($C$24&gt;$AR15,$D$24&lt;$AR15),0,Schweine_Werte!$E15))</f>
        <v>0</v>
      </c>
      <c r="AZ15" s="1714">
        <f>IF(OR($C$36=$AR15,$D$36=$AR15),Schweine_Werte!$E15*0.5,IF(OR($C$36&gt;$AR15,$D$36&lt;$AR15),0,Schweine_Werte!$E15))</f>
        <v>0</v>
      </c>
      <c r="BA15" s="1714">
        <f>IF(OR($C$48=$AR15,$D$48=$AR15),Schweine_Werte!$E15*0.5,IF(OR($C$48&gt;$AR15,$D$48&lt;$AR15),0,Schweine_Werte!$E15))</f>
        <v>0</v>
      </c>
      <c r="BB15" s="1714">
        <f>IF(OR($C$60=$AR15,$D$60=$AR15),Schweine_Werte!$E15*0.5,IF(OR($C$60&gt;$AR15,$D$60&lt;$AR15),0,Schweine_Werte!$E15))</f>
        <v>0</v>
      </c>
      <c r="BC15" s="1709">
        <f>IF(OR($C$12=$AR15,$D$12=$AR15),Schweine_Werte!$G15*0.5,IF(OR($C$12&gt;$AR15,$D$12&lt;$AR15),0,Schweine_Werte!$G15))</f>
        <v>0</v>
      </c>
      <c r="BD15" s="1709">
        <f>IF(OR($C$24=$AR15,$D$24=$AR15),Schweine_Werte!$G15*0.5,IF(OR($C$24&gt;$AR15,$D$24&lt;$AR15),0,Schweine_Werte!$G15))</f>
        <v>0</v>
      </c>
      <c r="BE15" s="1714">
        <f>IF(OR($C$36=$AR15,$D$36=$AR15),Schweine_Werte!$G15*0.5,IF(OR($C$36&gt;$AR15,$D$36&lt;$AR15),0,Schweine_Werte!$G15))</f>
        <v>0</v>
      </c>
      <c r="BF15" s="1714">
        <f>IF(OR($C$48=$AR15,$D$48=$AR15),Schweine_Werte!$G15*0.5,IF(OR($C$48&gt;$AR15,$D$48&lt;$AR15),0,Schweine_Werte!$G15))</f>
        <v>0</v>
      </c>
      <c r="BG15" s="1714">
        <f>IF(OR($C$60=$AR15,$D$60=$AR15),Schweine_Werte!$G15*0.5,IF(OR($C$60&gt;$AR15,$D$60&lt;$AR15),0,Schweine_Werte!$G15))</f>
        <v>0</v>
      </c>
      <c r="BH15" s="1709">
        <f>IF(OR($C$12=$AR15,$D$12=$AR15),Schweine_Werte!$I15*0.5,IF(OR($C$12&gt;$AR15,$D$12&lt;$AR15),0,Schweine_Werte!$I15))</f>
        <v>0</v>
      </c>
      <c r="BI15" s="1709">
        <f>IF(OR($C$24=$AR15,$D$24=$AR15),Schweine_Werte!$I15*0.5,IF(OR($C$24&gt;$AR15,$D$24&lt;$AR15),0,Schweine_Werte!$I15))</f>
        <v>0</v>
      </c>
      <c r="BJ15" s="1714">
        <f>IF(OR($C$36=$AR15,$D$36=$AR15),Schweine_Werte!$I15*0.5,IF(OR($C$36&gt;$AR15,$D$36&lt;$AR15),0,Schweine_Werte!$I15))</f>
        <v>0</v>
      </c>
      <c r="BK15" s="1714">
        <f>IF(OR($C$48=$AR15,$D$48=$AR15),Schweine_Werte!$I15*0.5,IF(OR($C$48&gt;$AR15,$D$48&lt;$AR15),0,Schweine_Werte!$I15))</f>
        <v>0</v>
      </c>
      <c r="BL15" s="1714">
        <f>IF(OR($C$60=$AR15,$D$60=$AR15),Schweine_Werte!$I15*0.5,IF(OR($C$60&gt;$AR15,$D$60&lt;$AR15),0,Schweine_Werte!$I15))</f>
        <v>0</v>
      </c>
      <c r="BM15" s="1709">
        <f>IF(OR($C$12=$AR15,$D$12=$AR15),Schweine_Werte!$K15*0.5,IF(OR($C$12&gt;$AR15,$D$12&lt;$AR15),0,Schweine_Werte!$K15))</f>
        <v>0</v>
      </c>
      <c r="BN15" s="1709">
        <f>IF(OR($C$24=$AR15,$D$24=$AR15),Schweine_Werte!$K15*0.5,IF(OR($C$24&gt;$AR15,$D$24&lt;$AR15),0,Schweine_Werte!$K15))</f>
        <v>0</v>
      </c>
      <c r="BO15" s="1714">
        <f>IF(OR($C$36=$AR15,$D$36=$AR15),Schweine_Werte!$K15*0.5,IF(OR($C$36&gt;$AR15,$D$36&lt;$AR15),0,Schweine_Werte!$K15))</f>
        <v>0</v>
      </c>
      <c r="BP15" s="1714">
        <f>IF(OR($C$48=$AR15,$D$48=$AR15),Schweine_Werte!$K15*0.5,IF(OR($C$48&gt;$AR15,$D$48&lt;$AR15),0,Schweine_Werte!$K15))</f>
        <v>0</v>
      </c>
      <c r="BQ15" s="1714">
        <f>IF(OR($C$60=$AR15,$D$60=$AR15),Schweine_Werte!$K15*0.5,IF(OR($C$60&gt;$AR15,$D$60&lt;$AR15),0,Schweine_Werte!$K15))</f>
        <v>0</v>
      </c>
      <c r="BR15" s="1710">
        <f>IF(OR($C$74=$AR15,$D$74=$AR15),Schweine_Werte!$M15*0.5,IF(OR($C$74&gt;$AR15,$D$74&lt;$AR15),0,Schweine_Werte!$M15))</f>
        <v>0</v>
      </c>
      <c r="BS15" s="1710">
        <f>IF(OR($C$83=$AR15,$D$83=$AR15),Schweine_Werte!$M15*0.5,IF(OR($C$83&gt;$AR15,$D$83&lt;$AR15),0,Schweine_Werte!$M15))</f>
        <v>0</v>
      </c>
      <c r="BT15" s="1713">
        <f>IF(OR($C$92=$AR15,$D$92=$AR15),Schweine_Werte!$M15*0.5,IF(OR($C$92&gt;$AR15,$D$92&lt;$AR15),0,Schweine_Werte!$M15))</f>
        <v>0</v>
      </c>
      <c r="BU15" s="1713">
        <f>IF(OR($C$101=$AR15,$D$101=$AR15),Schweine_Werte!$M15*0.5,IF(OR($C$101&gt;$AR15,$D$101&lt;$AR15),0,Schweine_Werte!$M15))</f>
        <v>0</v>
      </c>
      <c r="BV15" s="1713">
        <f>IF(OR($C$110=$AR15,$D$110=$AR15),Schweine_Werte!$M15*0.5,IF(OR($C$110&gt;$AR15,$D$110&lt;$AR15),0,Schweine_Werte!$M15))</f>
        <v>0</v>
      </c>
      <c r="BW15" s="1713">
        <f>IF(OR(8=$AR15,$E$127=$AR15),Schweine_Werte!$M15*0.5,IF(OR(8&gt;$AR15,$E$127&lt;$AR15),0,Schweine_Werte!$M15))</f>
        <v>2.0329975728926217</v>
      </c>
      <c r="BX15" s="1713">
        <f>IF(OR(8=$AR15,$E$145=$AR15),Schweine_Werte!$M15*0.5,IF(OR(8&gt;$AR15,$E$145&lt;$AR15),0,Schweine_Werte!$M15))</f>
        <v>2.0329975728926217</v>
      </c>
      <c r="BY15" s="1710">
        <f>IF(OR($C$74=$AR15,$D$74=$AR15),Schweine_Werte!$O15*0.5,IF(OR($C$74&gt;$AR15,$D$74&lt;$AR15),0,Schweine_Werte!$O15))</f>
        <v>0</v>
      </c>
      <c r="BZ15" s="1710">
        <f>IF(OR($C$83=$AR15,$D$83=$AR15),Schweine_Werte!$O15*0.5,IF(OR($C$83&gt;$AR15,$D$83&lt;$AR15),0,Schweine_Werte!$O15))</f>
        <v>0</v>
      </c>
      <c r="CA15" s="1713">
        <f>IF(OR($C$92=$AR15,$D$92=$AR15),Schweine_Werte!$O15*0.5,IF(OR($C$92&gt;$AR15,$D$92&lt;$AR15),0,Schweine_Werte!$O15))</f>
        <v>0</v>
      </c>
      <c r="CB15" s="1713">
        <f>IF(OR($C$101=$AR15,$D$101=$AR15),Schweine_Werte!$O15*0.5,IF(OR($C$101&gt;$AR15,$D$101&lt;$AR15),0,Schweine_Werte!$O15))</f>
        <v>0</v>
      </c>
      <c r="CC15" s="1713">
        <f>IF(OR($C$110=$AR15,$D$110=$AR15),Schweine_Werte!$O15*0.5,IF(OR($C$110&gt;$AR15,$D$110&lt;$AR15),0,Schweine_Werte!$O15))</f>
        <v>0</v>
      </c>
    </row>
    <row r="16" spans="1:303" x14ac:dyDescent="0.25">
      <c r="B16" t="s">
        <v>8567</v>
      </c>
      <c r="C16"/>
      <c r="D16"/>
      <c r="E16" t="s">
        <v>8568</v>
      </c>
      <c r="F16" t="s">
        <v>195</v>
      </c>
      <c r="G16" t="s">
        <v>8569</v>
      </c>
      <c r="H16" t="s">
        <v>8570</v>
      </c>
      <c r="I16" t="s">
        <v>8571</v>
      </c>
      <c r="J16" t="s">
        <v>8096</v>
      </c>
      <c r="K16" t="s">
        <v>8572</v>
      </c>
      <c r="L16" t="s">
        <v>8573</v>
      </c>
      <c r="M16" t="s">
        <v>8574</v>
      </c>
      <c r="N16" t="s">
        <v>8575</v>
      </c>
      <c r="O16" t="s">
        <v>8576</v>
      </c>
      <c r="P16" t="s">
        <v>8577</v>
      </c>
      <c r="Q16" t="s">
        <v>35</v>
      </c>
      <c r="R16" t="s">
        <v>36</v>
      </c>
      <c r="S16" t="s">
        <v>37</v>
      </c>
      <c r="T16" t="s">
        <v>35</v>
      </c>
      <c r="U16" t="s">
        <v>36</v>
      </c>
      <c r="V16" t="s">
        <v>37</v>
      </c>
      <c r="W16"/>
      <c r="X16"/>
      <c r="Y16"/>
      <c r="Z16"/>
      <c r="AA16"/>
      <c r="AB16"/>
      <c r="AC16"/>
      <c r="AD16"/>
      <c r="AE16"/>
      <c r="AF16"/>
      <c r="AG16"/>
      <c r="AH16"/>
      <c r="AI16"/>
      <c r="AJ16"/>
      <c r="AK16"/>
      <c r="AL16"/>
      <c r="AM16"/>
      <c r="AN16"/>
      <c r="AO16"/>
      <c r="AR16" s="1733">
        <v>20</v>
      </c>
      <c r="AS16" s="1710">
        <f>IF(OR($C$12=$AR16,$D$12=$AR16),Schweine_Werte!$C16*0.5,IF(OR($C$12&gt;$AR16,$D$12&lt;$AR16),0,Schweine_Werte!$C16))</f>
        <v>0</v>
      </c>
      <c r="AT16" s="1713">
        <f>IF(OR($C$24=$AR16,$D$24=$AR16),Schweine_Werte!$C16*0.5,IF(OR($C$24&gt;$AR16,$D$24&lt;$AR16),0,Schweine_Werte!$C16))</f>
        <v>0</v>
      </c>
      <c r="AU16" s="1710">
        <f>IF(OR($C$36=$AR16,$D$36=$AR16),Schweine_Werte!$C16*0.5,IF(OR($C$36&gt;$AR16,$D$36&lt;$AR16),0,Schweine_Werte!$C16))</f>
        <v>0</v>
      </c>
      <c r="AV16" s="1710">
        <f>IF(OR($C$48=$AR16,$D$48=$AR16),Schweine_Werte!$C16*0.5,IF(OR($C$48&gt;$AR16,$D$48&lt;$AR16),0,Schweine_Werte!$C16))</f>
        <v>0</v>
      </c>
      <c r="AW16" s="1710">
        <f>IF(OR($C$60=$AR16,$D$60=$AR16),Schweine_Werte!$C16*0.5,IF(OR($C$60&gt;$AR16,$D$60&lt;$AR16),0,Schweine_Werte!$C16))</f>
        <v>0</v>
      </c>
      <c r="AX16" s="1710">
        <f>IF(OR($C$12=$AR16,$D$12=$AR16),Schweine_Werte!$E16*0.5,IF(OR($C$12&gt;$AR16,$D$12&lt;$AR16),0,Schweine_Werte!$E16))</f>
        <v>0</v>
      </c>
      <c r="AY16" s="1713">
        <f>IF(OR($C$24=$AR16,$D$24=$AR16),Schweine_Werte!$E16*0.5,IF(OR($C$24&gt;$AR16,$D$24&lt;$AR16),0,Schweine_Werte!$E16))</f>
        <v>0</v>
      </c>
      <c r="AZ16" s="1713">
        <f>IF(OR($C$36=$AR16,$D$36=$AR16),Schweine_Werte!$E16*0.5,IF(OR($C$36&gt;$AR16,$D$36&lt;$AR16),0,Schweine_Werte!$E16))</f>
        <v>0</v>
      </c>
      <c r="BA16" s="1713">
        <f>IF(OR($C$48=$AR16,$D$48=$AR16),Schweine_Werte!$E16*0.5,IF(OR($C$48&gt;$AR16,$D$48&lt;$AR16),0,Schweine_Werte!$E16))</f>
        <v>0</v>
      </c>
      <c r="BB16" s="1713">
        <f>IF(OR($C$60=$AR16,$D$60=$AR16),Schweine_Werte!$E16*0.5,IF(OR($C$60&gt;$AR16,$D$60&lt;$AR16),0,Schweine_Werte!$E16))</f>
        <v>0</v>
      </c>
      <c r="BC16" s="1710">
        <f>IF(OR($C$12=$AR16,$D$12=$AR16),Schweine_Werte!$G16*0.5,IF(OR($C$12&gt;$AR16,$D$12&lt;$AR16),0,Schweine_Werte!$G16))</f>
        <v>0</v>
      </c>
      <c r="BD16" s="1713">
        <f>IF(OR($C$24=$AR16,$D$24=$AR16),Schweine_Werte!$G16*0.5,IF(OR($C$24&gt;$AR16,$D$24&lt;$AR16),0,Schweine_Werte!$G16))</f>
        <v>0</v>
      </c>
      <c r="BE16" s="1713">
        <f>IF(OR($C$36=$AR16,$D$36=$AR16),Schweine_Werte!$G16*0.5,IF(OR($C$36&gt;$AR16,$D$36&lt;$AR16),0,Schweine_Werte!$G16))</f>
        <v>0</v>
      </c>
      <c r="BF16" s="1713">
        <f>IF(OR($C$48=$AR16,$D$48=$AR16),Schweine_Werte!$G16*0.5,IF(OR($C$48&gt;$AR16,$D$48&lt;$AR16),0,Schweine_Werte!$G16))</f>
        <v>0</v>
      </c>
      <c r="BG16" s="1713">
        <f>IF(OR($C$60=$AR16,$D$60=$AR16),Schweine_Werte!$G16*0.5,IF(OR($C$60&gt;$AR16,$D$60&lt;$AR16),0,Schweine_Werte!$G16))</f>
        <v>0</v>
      </c>
      <c r="BH16" s="1710">
        <f>IF(OR($C$12=$AR16,$D$12=$AR16),Schweine_Werte!$I16*0.5,IF(OR($C$12&gt;$AR16,$D$12&lt;$AR16),0,Schweine_Werte!$I16))</f>
        <v>0</v>
      </c>
      <c r="BI16" s="1713">
        <f>IF(OR($C$24=$AR16,$D$24=$AR16),Schweine_Werte!$I16*0.5,IF(OR($C$24&gt;$AR16,$D$24&lt;$AR16),0,Schweine_Werte!$I16))</f>
        <v>0</v>
      </c>
      <c r="BJ16" s="1713">
        <f>IF(OR($C$36=$AR16,$D$36=$AR16),Schweine_Werte!$I16*0.5,IF(OR($C$36&gt;$AR16,$D$36&lt;$AR16),0,Schweine_Werte!$I16))</f>
        <v>0</v>
      </c>
      <c r="BK16" s="1713">
        <f>IF(OR($C$48=$AR16,$D$48=$AR16),Schweine_Werte!$I16*0.5,IF(OR($C$48&gt;$AR16,$D$48&lt;$AR16),0,Schweine_Werte!$I16))</f>
        <v>0</v>
      </c>
      <c r="BL16" s="1713">
        <f>IF(OR($C$60=$AR16,$D$60=$AR16),Schweine_Werte!$I16*0.5,IF(OR($C$60&gt;$AR16,$D$60&lt;$AR16),0,Schweine_Werte!$I16))</f>
        <v>0</v>
      </c>
      <c r="BM16" s="1710">
        <f>IF(OR($C$12=$AR16,$D$12=$AR16),Schweine_Werte!$K16*0.5,IF(OR($C$12&gt;$AR16,$D$12&lt;$AR16),0,Schweine_Werte!$K16))</f>
        <v>0</v>
      </c>
      <c r="BN16" s="1713">
        <f>IF(OR($C$24=$AR16,$D$24=$AR16),Schweine_Werte!$K16*0.5,IF(OR($C$24&gt;$AR16,$D$24&lt;$AR16),0,Schweine_Werte!$K16))</f>
        <v>0</v>
      </c>
      <c r="BO16" s="1713">
        <f>IF(OR($C$36=$AR16,$D$36=$AR16),Schweine_Werte!$K16*0.5,IF(OR($C$36&gt;$AR16,$D$36&lt;$AR16),0,Schweine_Werte!$K16))</f>
        <v>0</v>
      </c>
      <c r="BP16" s="1713">
        <f>IF(OR($C$48=$AR16,$D$48=$AR16),Schweine_Werte!$K16*0.5,IF(OR($C$48&gt;$AR16,$D$48&lt;$AR16),0,Schweine_Werte!$K16))</f>
        <v>0</v>
      </c>
      <c r="BQ16" s="1713">
        <f>IF(OR($C$60=$AR16,$D$60=$AR16),Schweine_Werte!$K16*0.5,IF(OR($C$60&gt;$AR16,$D$60&lt;$AR16),0,Schweine_Werte!$K16))</f>
        <v>0</v>
      </c>
      <c r="BR16" s="1710">
        <f>IF(OR($C$74=$AR16,$D$74=$AR16),Schweine_Werte!$M16*0.5,IF(OR($C$74&gt;$AR16,$D$74&lt;$AR16),0,Schweine_Werte!$M16))</f>
        <v>0</v>
      </c>
      <c r="BS16" s="1710">
        <f>IF(OR($C$83=$AR16,$D$83=$AR16),Schweine_Werte!$M16*0.5,IF(OR($C$83&gt;$AR16,$D$83&lt;$AR16),0,Schweine_Werte!$M16))</f>
        <v>0</v>
      </c>
      <c r="BT16" s="1713">
        <f>IF(OR($C$92=$AR16,$D$92=$AR16),Schweine_Werte!$M16*0.5,IF(OR($C$92&gt;$AR16,$D$92&lt;$AR16),0,Schweine_Werte!$M16))</f>
        <v>0</v>
      </c>
      <c r="BU16" s="1713">
        <f>IF(OR($C$101=$AR16,$D$101=$AR16),Schweine_Werte!$M16*0.5,IF(OR($C$101&gt;$AR16,$D$101&lt;$AR16),0,Schweine_Werte!$M16))</f>
        <v>0</v>
      </c>
      <c r="BV16" s="1713">
        <f>IF(OR($C$110=$AR16,$D$110=$AR16),Schweine_Werte!$M16*0.5,IF(OR($C$110&gt;$AR16,$D$110&lt;$AR16),0,Schweine_Werte!$M16))</f>
        <v>0</v>
      </c>
      <c r="BW16" s="1713">
        <f>IF(OR(8=$AR16,$E$127=$AR16),Schweine_Werte!$M16*0.5,IF(OR(8&gt;$AR16,$E$127&lt;$AR16),0,Schweine_Werte!$M16))</f>
        <v>1.9726458822816806</v>
      </c>
      <c r="BX16" s="1713">
        <f>IF(OR(8=$AR16,$E$145=$AR16),Schweine_Werte!$M16*0.5,IF(OR(8&gt;$AR16,$E$145&lt;$AR16),0,Schweine_Werte!$M16))</f>
        <v>1.9726458822816806</v>
      </c>
      <c r="BY16" s="1710">
        <f>IF(OR($C$74=$AR16,$D$74=$AR16),Schweine_Werte!$O16*0.5,IF(OR($C$74&gt;$AR16,$D$74&lt;$AR16),0,Schweine_Werte!$O16))</f>
        <v>0</v>
      </c>
      <c r="BZ16" s="1710">
        <f>IF(OR($C$83=$AR16,$D$83=$AR16),Schweine_Werte!$O16*0.5,IF(OR($C$83&gt;$AR16,$D$83&lt;$AR16),0,Schweine_Werte!$O16))</f>
        <v>0</v>
      </c>
      <c r="CA16" s="1713">
        <f>IF(OR($C$92=$AR16,$D$92=$AR16),Schweine_Werte!$O16*0.5,IF(OR($C$92&gt;$AR16,$D$92&lt;$AR16),0,Schweine_Werte!$O16))</f>
        <v>0</v>
      </c>
      <c r="CB16" s="1713">
        <f>IF(OR($C$101=$AR16,$D$101=$AR16),Schweine_Werte!$O16*0.5,IF(OR($C$101&gt;$AR16,$D$101&lt;$AR16),0,Schweine_Werte!$O16))</f>
        <v>0</v>
      </c>
      <c r="CC16" s="1713">
        <f>IF(OR($C$110=$AR16,$D$110=$AR16),Schweine_Werte!$O16*0.5,IF(OR($C$110&gt;$AR16,$D$110&lt;$AR16),0,Schweine_Werte!$O16))</f>
        <v>0</v>
      </c>
    </row>
    <row r="17" spans="1:81" x14ac:dyDescent="0.25">
      <c r="B17" s="1712">
        <v>700</v>
      </c>
      <c r="C17"/>
      <c r="D17" s="885"/>
      <c r="E17" s="885" t="e">
        <f>($D24-$C24)*1000/SUM($AT$4:$AT$146)</f>
        <v>#VALUE!</v>
      </c>
      <c r="F17" s="885" t="e">
        <f>SUMPRODUCT($AT$4:$AT$146,Schweine_Werte!$Q$4:$Q$146)/SUM($AT$4:$AT$146)</f>
        <v>#DIV/0!</v>
      </c>
      <c r="G17" s="885" t="e">
        <f>IF($B24=$A$8,SUMPRODUCT($AT$4:$AT$146,Schweine_Werte!EH$4:EH$146)/SUM($AT$4:$AT$146),IF($B24=$A$7,SUMPRODUCT($AT$4:$AT$146,Schweine_Werte!DB$4:DB$146)/SUM($AT$4:$AT$146),IF($B24=$A$6,SUMPRODUCT($AT$4:$AT$146,Schweine_Werte!BV$4:BV$146)/SUM($AT$4:$AT$146),SUMPRODUCT($AT$4:$AT$146,Schweine_Werte!AP$4:AP$146)/SUM($AT$4:$AT$146))))</f>
        <v>#DIV/0!</v>
      </c>
      <c r="H17" s="885" t="e">
        <f>IF($B24=$A$8,SUMPRODUCT($AT$4:$AT$146,Schweine_Werte!EI$4:EI$146)/SUM($AT$4:$AT$146),IF($B24=$A$7,SUMPRODUCT($AT$4:$AT$146,Schweine_Werte!DC$4:DC$146)/SUM($AT$4:$AT$146),IF($B24=$A$6,SUMPRODUCT($AT$4:$AT$146,Schweine_Werte!BW$4:BW$146)/SUM($AT$4:$AT$146),SUMPRODUCT($AT$4:$AT$146,Schweine_Werte!AQ$4:AQ$146)/SUM($AT$4:$AT$146))))</f>
        <v>#DIV/0!</v>
      </c>
      <c r="I17" s="885" t="e">
        <f>IF($B24=$A$8,SUMPRODUCT($AT$4:$AT$146,Schweine_Werte!EJ$4:EJ$146)/SUM($AT$4:$AT$146),IF($B24=$A$7,SUMPRODUCT($AT$4:$AT$146,Schweine_Werte!DD$4:DD$146)/SUM($AT$4:$AT$146),IF($B24=$A$6,SUMPRODUCT($AT$4:$AT$146,Schweine_Werte!BX$4:BX$146)/SUM($AT$4:$AT$146),SUMPRODUCT($AT$4:$AT$146,Schweine_Werte!AR$4:AR$146)/SUM($AT$4:$AT$146))))</f>
        <v>#DIV/0!</v>
      </c>
      <c r="J17" s="885" t="e">
        <f>SUMPRODUCT($AT$4:$AT$146,Schweine_Werte!$Y$4:$Y$146)/SUM($AT$4:$AT$146)</f>
        <v>#DIV/0!</v>
      </c>
      <c r="K17" s="885" t="e">
        <f>SUMPRODUCT($AT$4:$AT$146,Schweine_Werte!$AG$4:$AG$146)/SUM($AT$4:$AT$146)</f>
        <v>#DIV/0!</v>
      </c>
      <c r="L17" s="1914" t="e">
        <f>T17*$F17*365/1000+$J17-$K17</f>
        <v>#DIV/0!</v>
      </c>
      <c r="M17" s="885" t="e">
        <f>U17*$F17*365/1000+$J17-$K17/2</f>
        <v>#DIV/0!</v>
      </c>
      <c r="N17" s="885" t="e">
        <f>V17*$F17*365/1000+$J17</f>
        <v>#DIV/0!</v>
      </c>
      <c r="O17" s="885">
        <f>IF($C24&lt;28,SUM($AT$4:$AT$23)+IF($D24&gt;28,$AT$24*0.5,$AT$24),0)</f>
        <v>0</v>
      </c>
      <c r="P17" s="885">
        <f>IF($D24&gt;28,SUM($AT$25:$AT$146)+IF($C24&lt;28,$AT$24*0.5,$AT$24),0)</f>
        <v>0</v>
      </c>
      <c r="Q17" s="885" t="e">
        <f t="shared" ref="Q17:S20" si="3">+T17*$F17</f>
        <v>#DIV/0!</v>
      </c>
      <c r="R17" s="885" t="e">
        <f t="shared" si="3"/>
        <v>#DIV/0!</v>
      </c>
      <c r="S17" s="885" t="e">
        <f t="shared" si="3"/>
        <v>#DIV/0!</v>
      </c>
      <c r="T17" s="885" t="e">
        <f>+($O17*Schweine_Werte!$HT$5+$P17*Schweine_Werte!$HU$5)/SUM($O17:$P17)</f>
        <v>#DIV/0!</v>
      </c>
      <c r="U17" s="885" t="e">
        <f>+($O17*Schweine_Werte!$HV$5+$P17*Schweine_Werte!$HW$5)/SUM($O17:$P17)</f>
        <v>#DIV/0!</v>
      </c>
      <c r="V17" s="885" t="e">
        <f>+($O17*Schweine_Werte!$HX$5+$P17*Schweine_Werte!$HY$5)/SUM($O17:$P17)</f>
        <v>#DIV/0!</v>
      </c>
      <c r="W17" s="1915" t="e">
        <f>($J17*0.055+T17*0.365*0.86*$F17-$K17*0.018)/L17*100</f>
        <v>#DIV/0!</v>
      </c>
      <c r="X17" s="885" t="e">
        <f>($J17*0.055+U17*0.365*0.86*$F17-$K17*0.018/2)/M17*100</f>
        <v>#DIV/0!</v>
      </c>
      <c r="Y17" s="885" t="e">
        <f>($J17*0.055+V17*0.365*0.86*$F17)/N17*100</f>
        <v>#DIV/0!</v>
      </c>
      <c r="Z17" s="885" t="e">
        <f>IF($B24=$A$8,SUMPRODUCT($AT$4:$AT$146,Schweine_Werte!$EK$4:$EK$146,Schweine_Werte!$EL$4:$EL$146)/SUMPRODUCT($AT$4:$AT$146,Schweine_Werte!$EK$4:$EK$146),IF($B24=$A$7,SUMPRODUCT($AT$4:$AT$146,Schweine_Werte!$DE$4:$DE$146,Schweine_Werte!$DF$4:$DF$146)/SUMPRODUCT($AT$4:$AT$146,Schweine_Werte!$DE$4:$DE$146),IF($B24=$A$6,SUMPRODUCT($AT$4:$AT$146,Schweine_Werte!$BY$4:$BY$146,Schweine_Werte!$BZ$4:$BZ$146)/SUMPRODUCT($AT$4:$AT$146,Schweine_Werte!$BY$4:$BY$146),SUMPRODUCT($AT$4:$AT$146,Schweine_Werte!$AS$4:$AS$146,Schweine_Werte!$AT$4:$AT$146)/SUMPRODUCT($AT$4:$AT$146,Schweine_Werte!$AS$4:$AS$146))))</f>
        <v>#DIV/0!</v>
      </c>
      <c r="AA17" s="885"/>
      <c r="AB17" s="885">
        <f>IF($B24=$A$8,SUMIF(Schweine_Werte!$AO$4:$AO$146,$C24,Schweine_Werte!$EL$4:$EL$146),IF($B24=$A$7,SUMIF(Schweine_Werte!$AO$4:$AO$146,$C24,Schweine_Werte!$DF$4:$DF$146),IF($B24=$A$6,SUMIF(Schweine_Werte!$AO$4:$AO$146,$C24,Schweine_Werte!$BZ$4:$BZ$146),SUMIF(Schweine_Werte!$AO$4:$AO$146,$C24,Schweine_Werte!$AT$4:$AT$146))))</f>
        <v>0</v>
      </c>
      <c r="AC17" s="885"/>
      <c r="AD17" s="885">
        <f>IF($B24=$A$8,SUMIF(Schweine_Werte!$AO$4:$AO$146,$D24,Schweine_Werte!$EL$4:$EL$146),IF($B24=$A$7,SUMIF(Schweine_Werte!$AO$4:$AO$146,$D24,Schweine_Werte!$DF$4:$DF$146),IF($B24=$A$6,SUMIF(Schweine_Werte!$AO$4:$AO$146,$D24,Schweine_Werte!$BZ$4:$BZ$146),SUMIF(Schweine_Werte!$AO$4:$AO$146,$D24,Schweine_Werte!$AT$4:$AT$146))))</f>
        <v>0</v>
      </c>
      <c r="AE17" s="885"/>
      <c r="AF17" s="885"/>
      <c r="AG17" s="885" t="e">
        <f>IF($B24=$A$8,SUMPRODUCT($AT$4:$AT$146,Schweine_Werte!$EK$4:$EK$146)/SUM($AT$4:$AT$146),IF($B24=$A$7,SUMPRODUCT($AT$4:$AT$146,Schweine_Werte!$DE$4:$DE$146)/SUM($AT$4:$AT$146),IF($B24=$A$6,SUMPRODUCT($AT$4:$AT$146,Schweine_Werte!$BY$4:$BY$146)/SUM($AT$4:$AT$146),SUMPRODUCT($AT$4:$AT$146,Schweine_Werte!$AS$4:$AS$146)/SUM($AT$4:$AT$146))))</f>
        <v>#DIV/0!</v>
      </c>
      <c r="AH17" s="885"/>
      <c r="AI17" s="885"/>
      <c r="AJ17" s="885" t="e">
        <f>IF($B24=$A$8,SUMPRODUCT($AT$4:$AT$146,Schweine_Werte!$EK$4:$EK$146,Schweine_Werte!$EM$4:$EM$146)/SUMPRODUCT($AT$4:$AT$146,Schweine_Werte!$EK$4:$EK$146),IF($B24=$A$7,SUMPRODUCT($AT$4:$AT$146,Schweine_Werte!$DE$4:$DE$146,Schweine_Werte!$DG$4:$DG$146)/SUMPRODUCT($AT$4:$AT$146,Schweine_Werte!$DE$4:$DE$146),IF($B24=$A$6,SUMPRODUCT($AT$4:$AT$146,Schweine_Werte!$BY$4:$BY$146,Schweine_Werte!$CA$4:$CA$146)/SUMPRODUCT($AT$4:$AT$146,Schweine_Werte!$BY$4:$BY$146),SUMPRODUCT($AT$4:$AT$146,Schweine_Werte!$AS$4:$AS$146,Schweine_Werte!$AU$4:$AU$146)/SUMPRODUCT($AT$4:$AT$146,Schweine_Werte!$AS$4:$AS$146))))</f>
        <v>#DIV/0!</v>
      </c>
      <c r="AK17" s="885"/>
      <c r="AL17" s="885">
        <f>IF($B24=$A$8,SUMIF(Schweine_Werte!$AO$4:$AO$146,$C24,Schweine_Werte!$EM$4:$EM$146),IF($B24=$A$7,SUMIF(Schweine_Werte!$AO$4:$AO$146,$C24,Schweine_Werte!$DG$4:$DG$146),IF($B24=$A$6,SUMIF(Schweine_Werte!$AO$4:$AO$146,$C24,Schweine_Werte!$CA$4:$CA$146),SUMIF(Schweine_Werte!$AO$4:$AO$146,$C24,Schweine_Werte!$AU$4:$AU$146))))</f>
        <v>0</v>
      </c>
      <c r="AM17" s="885"/>
      <c r="AN17" s="885">
        <f>IF($B24=$A$8,SUMIF(Schweine_Werte!$AO$4:$AO$146,$D24,Schweine_Werte!$EM$4:$EM$146),IF($B24=$A$7,SUMIF(Schweine_Werte!$AO$4:$AO$146,$D24,Schweine_Werte!$DG$4:$DG$146),IF($B24=$A$6,SUMIF(Schweine_Werte!$AO$4:$AO$146,$D24,Schweine_Werte!$CA$4:$CA$146),SUMIF(Schweine_Werte!$AO$4:$AO$146,$D24,Schweine_Werte!$AU$4:$AU$146))))</f>
        <v>0</v>
      </c>
      <c r="AO17" s="885"/>
      <c r="AR17" s="1733">
        <v>21</v>
      </c>
      <c r="AS17" s="1710">
        <f>IF(OR($C$12=$AR17,$D$12=$AR17),Schweine_Werte!$C17*0.5,IF(OR($C$12&gt;$AR17,$D$12&lt;$AR17),0,Schweine_Werte!$C17))</f>
        <v>0</v>
      </c>
      <c r="AT17" s="1713">
        <f>IF(OR($C$24=$AR17,$D$24=$AR17),Schweine_Werte!$C17*0.5,IF(OR($C$24&gt;$AR17,$D$24&lt;$AR17),0,Schweine_Werte!$C17))</f>
        <v>0</v>
      </c>
      <c r="AU17" s="1710">
        <f>IF(OR($C$36=$AR17,$D$36=$AR17),Schweine_Werte!$C17*0.5,IF(OR($C$36&gt;$AR17,$D$36&lt;$AR17),0,Schweine_Werte!$C17))</f>
        <v>0</v>
      </c>
      <c r="AV17" s="1710">
        <f>IF(OR($C$48=$AR17,$D$48=$AR17),Schweine_Werte!$C17*0.5,IF(OR($C$48&gt;$AR17,$D$48&lt;$AR17),0,Schweine_Werte!$C17))</f>
        <v>0</v>
      </c>
      <c r="AW17" s="1710">
        <f>IF(OR($C$60=$AR17,$D$60=$AR17),Schweine_Werte!$C17*0.5,IF(OR($C$60&gt;$AR17,$D$60&lt;$AR17),0,Schweine_Werte!$C17))</f>
        <v>0</v>
      </c>
      <c r="AX17" s="1710">
        <f>IF(OR($C$12=$AR17,$D$12=$AR17),Schweine_Werte!$E17*0.5,IF(OR($C$12&gt;$AR17,$D$12&lt;$AR17),0,Schweine_Werte!$E17))</f>
        <v>0</v>
      </c>
      <c r="AY17" s="1713">
        <f>IF(OR($C$24=$AR17,$D$24=$AR17),Schweine_Werte!$E17*0.5,IF(OR($C$24&gt;$AR17,$D$24&lt;$AR17),0,Schweine_Werte!$E17))</f>
        <v>0</v>
      </c>
      <c r="AZ17" s="1713">
        <f>IF(OR($C$36=$AR17,$D$36=$AR17),Schweine_Werte!$E17*0.5,IF(OR($C$36&gt;$AR17,$D$36&lt;$AR17),0,Schweine_Werte!$E17))</f>
        <v>0</v>
      </c>
      <c r="BA17" s="1713">
        <f>IF(OR($C$48=$AR17,$D$48=$AR17),Schweine_Werte!$E17*0.5,IF(OR($C$48&gt;$AR17,$D$48&lt;$AR17),0,Schweine_Werte!$E17))</f>
        <v>0</v>
      </c>
      <c r="BB17" s="1713">
        <f>IF(OR($C$60=$AR17,$D$60=$AR17),Schweine_Werte!$E17*0.5,IF(OR($C$60&gt;$AR17,$D$60&lt;$AR17),0,Schweine_Werte!$E17))</f>
        <v>0</v>
      </c>
      <c r="BC17" s="1710">
        <f>IF(OR($C$12=$AR17,$D$12=$AR17),Schweine_Werte!$G17*0.5,IF(OR($C$12&gt;$AR17,$D$12&lt;$AR17),0,Schweine_Werte!$G17))</f>
        <v>0</v>
      </c>
      <c r="BD17" s="1713">
        <f>IF(OR($C$24=$AR17,$D$24=$AR17),Schweine_Werte!$G17*0.5,IF(OR($C$24&gt;$AR17,$D$24&lt;$AR17),0,Schweine_Werte!$G17))</f>
        <v>0</v>
      </c>
      <c r="BE17" s="1713">
        <f>IF(OR($C$36=$AR17,$D$36=$AR17),Schweine_Werte!$G17*0.5,IF(OR($C$36&gt;$AR17,$D$36&lt;$AR17),0,Schweine_Werte!$G17))</f>
        <v>0</v>
      </c>
      <c r="BF17" s="1713">
        <f>IF(OR($C$48=$AR17,$D$48=$AR17),Schweine_Werte!$G17*0.5,IF(OR($C$48&gt;$AR17,$D$48&lt;$AR17),0,Schweine_Werte!$G17))</f>
        <v>0</v>
      </c>
      <c r="BG17" s="1713">
        <f>IF(OR($C$60=$AR17,$D$60=$AR17),Schweine_Werte!$G17*0.5,IF(OR($C$60&gt;$AR17,$D$60&lt;$AR17),0,Schweine_Werte!$G17))</f>
        <v>0</v>
      </c>
      <c r="BH17" s="1710">
        <f>IF(OR($C$12=$AR17,$D$12=$AR17),Schweine_Werte!$I17*0.5,IF(OR($C$12&gt;$AR17,$D$12&lt;$AR17),0,Schweine_Werte!$I17))</f>
        <v>0</v>
      </c>
      <c r="BI17" s="1713">
        <f>IF(OR($C$24=$AR17,$D$24=$AR17),Schweine_Werte!$I17*0.5,IF(OR($C$24&gt;$AR17,$D$24&lt;$AR17),0,Schweine_Werte!$I17))</f>
        <v>0</v>
      </c>
      <c r="BJ17" s="1713">
        <f>IF(OR($C$36=$AR17,$D$36=$AR17),Schweine_Werte!$I17*0.5,IF(OR($C$36&gt;$AR17,$D$36&lt;$AR17),0,Schweine_Werte!$I17))</f>
        <v>0</v>
      </c>
      <c r="BK17" s="1713">
        <f>IF(OR($C$48=$AR17,$D$48=$AR17),Schweine_Werte!$I17*0.5,IF(OR($C$48&gt;$AR17,$D$48&lt;$AR17),0,Schweine_Werte!$I17))</f>
        <v>0</v>
      </c>
      <c r="BL17" s="1713">
        <f>IF(OR($C$60=$AR17,$D$60=$AR17),Schweine_Werte!$I17*0.5,IF(OR($C$60&gt;$AR17,$D$60&lt;$AR17),0,Schweine_Werte!$I17))</f>
        <v>0</v>
      </c>
      <c r="BM17" s="1710">
        <f>IF(OR($C$12=$AR17,$D$12=$AR17),Schweine_Werte!$K17*0.5,IF(OR($C$12&gt;$AR17,$D$12&lt;$AR17),0,Schweine_Werte!$K17))</f>
        <v>0</v>
      </c>
      <c r="BN17" s="1713">
        <f>IF(OR($C$24=$AR17,$D$24=$AR17),Schweine_Werte!$K17*0.5,IF(OR($C$24&gt;$AR17,$D$24&lt;$AR17),0,Schweine_Werte!$K17))</f>
        <v>0</v>
      </c>
      <c r="BO17" s="1713">
        <f>IF(OR($C$36=$AR17,$D$36=$AR17),Schweine_Werte!$K17*0.5,IF(OR($C$36&gt;$AR17,$D$36&lt;$AR17),0,Schweine_Werte!$K17))</f>
        <v>0</v>
      </c>
      <c r="BP17" s="1713">
        <f>IF(OR($C$48=$AR17,$D$48=$AR17),Schweine_Werte!$K17*0.5,IF(OR($C$48&gt;$AR17,$D$48&lt;$AR17),0,Schweine_Werte!$K17))</f>
        <v>0</v>
      </c>
      <c r="BQ17" s="1713">
        <f>IF(OR($C$60=$AR17,$D$60=$AR17),Schweine_Werte!$K17*0.5,IF(OR($C$60&gt;$AR17,$D$60&lt;$AR17),0,Schweine_Werte!$K17))</f>
        <v>0</v>
      </c>
      <c r="BR17" s="1710">
        <f>IF(OR($C$74=$AR17,$D$74=$AR17),Schweine_Werte!$M17*0.5,IF(OR($C$74&gt;$AR17,$D$74&lt;$AR17),0,Schweine_Werte!$M17))</f>
        <v>0</v>
      </c>
      <c r="BS17" s="1710">
        <f>IF(OR($C$83=$AR17,$D$83=$AR17),Schweine_Werte!$M17*0.5,IF(OR($C$83&gt;$AR17,$D$83&lt;$AR17),0,Schweine_Werte!$M17))</f>
        <v>0</v>
      </c>
      <c r="BT17" s="1713">
        <f>IF(OR($C$92=$AR17,$D$92=$AR17),Schweine_Werte!$M17*0.5,IF(OR($C$92&gt;$AR17,$D$92&lt;$AR17),0,Schweine_Werte!$M17))</f>
        <v>0</v>
      </c>
      <c r="BU17" s="1713">
        <f>IF(OR($C$101=$AR17,$D$101=$AR17),Schweine_Werte!$M17*0.5,IF(OR($C$101&gt;$AR17,$D$101&lt;$AR17),0,Schweine_Werte!$M17))</f>
        <v>0</v>
      </c>
      <c r="BV17" s="1713">
        <f>IF(OR($C$110=$AR17,$D$110=$AR17),Schweine_Werte!$M17*0.5,IF(OR($C$110&gt;$AR17,$D$110&lt;$AR17),0,Schweine_Werte!$M17))</f>
        <v>0</v>
      </c>
      <c r="BW17" s="1713">
        <f>IF(OR(8=$AR17,$E$127=$AR17),Schweine_Werte!$M17*0.5,IF(OR(8&gt;$AR17,$E$127&lt;$AR17),0,Schweine_Werte!$M17))</f>
        <v>1.9171696517583841</v>
      </c>
      <c r="BX17" s="1713">
        <f>IF(OR(8=$AR17,$E$145=$AR17),Schweine_Werte!$M17*0.5,IF(OR(8&gt;$AR17,$E$145&lt;$AR17),0,Schweine_Werte!$M17))</f>
        <v>1.9171696517583841</v>
      </c>
      <c r="BY17" s="1710">
        <f>IF(OR($C$74=$AR17,$D$74=$AR17),Schweine_Werte!$O17*0.5,IF(OR($C$74&gt;$AR17,$D$74&lt;$AR17),0,Schweine_Werte!$O17))</f>
        <v>0</v>
      </c>
      <c r="BZ17" s="1710">
        <f>IF(OR($C$83=$AR17,$D$83=$AR17),Schweine_Werte!$O17*0.5,IF(OR($C$83&gt;$AR17,$D$83&lt;$AR17),0,Schweine_Werte!$O17))</f>
        <v>0</v>
      </c>
      <c r="CA17" s="1713">
        <f>IF(OR($C$92=$AR17,$D$92=$AR17),Schweine_Werte!$O17*0.5,IF(OR($C$92&gt;$AR17,$D$92&lt;$AR17),0,Schweine_Werte!$O17))</f>
        <v>0</v>
      </c>
      <c r="CB17" s="1713">
        <f>IF(OR($C$101=$AR17,$D$101=$AR17),Schweine_Werte!$O17*0.5,IF(OR($C$101&gt;$AR17,$D$101&lt;$AR17),0,Schweine_Werte!$O17))</f>
        <v>0</v>
      </c>
      <c r="CC17" s="1713">
        <f>IF(OR($C$110=$AR17,$D$110=$AR17),Schweine_Werte!$O17*0.5,IF(OR($C$110&gt;$AR17,$D$110&lt;$AR17),0,Schweine_Werte!$O17))</f>
        <v>0</v>
      </c>
    </row>
    <row r="18" spans="1:81" x14ac:dyDescent="0.25">
      <c r="B18" s="1712">
        <v>750</v>
      </c>
      <c r="C18"/>
      <c r="D18" s="1916"/>
      <c r="E18" s="885" t="e">
        <f>($D24-$C24)*1000/SUM($AY$4:$AY$146)</f>
        <v>#VALUE!</v>
      </c>
      <c r="F18" s="885" t="e">
        <f>SUMPRODUCT($AY$4:$AY$146,Schweine_Werte!$R$4:$R$146)/SUM($AY$4:$AY$146)</f>
        <v>#DIV/0!</v>
      </c>
      <c r="G18" s="885" t="e">
        <f>IF($B24=$A$8,SUMPRODUCT($AY$4:$AY$146,Schweine_Werte!EN$4:EN$146)/SUM($AY$4:$AY$146),IF($B24=$A$7,SUMPRODUCT($AY$4:$AY$146,Schweine_Werte!DH$4:DH$146)/SUM($AY$4:$AY$146),IF($B24=$A$6,SUMPRODUCT($AY$4:$AY$146,Schweine_Werte!CB$4:CB$146)/SUM($AY$4:$AY$146),SUMPRODUCT($AY$4:$AY$146,Schweine_Werte!AV$4:AV$146)/SUM($AY$4:$AY$146))))</f>
        <v>#DIV/0!</v>
      </c>
      <c r="H18" s="885" t="e">
        <f>IF($B24=$A$8,SUMPRODUCT($AY$4:$AY$146,Schweine_Werte!EO$4:EO$146)/SUM($AY$4:$AY$146),IF($B24=$A$7,SUMPRODUCT($AY$4:$AY$146,Schweine_Werte!DI$4:DI$146)/SUM($AY$4:$AY$146),IF($B24=$A$6,SUMPRODUCT($AY$4:$AY$146,Schweine_Werte!CC$4:CC$146)/SUM($AY$4:$AY$146),SUMPRODUCT($AY$4:$AY$146,Schweine_Werte!AW$4:AW$146)/SUM($AY$4:$AY$146))))</f>
        <v>#DIV/0!</v>
      </c>
      <c r="I18" s="885" t="e">
        <f>IF($B24=$A$8,SUMPRODUCT($AY$4:$AY$146,Schweine_Werte!EP$4:EP$146)/SUM($AY$4:$AY$146),IF($B24=$A$7,SUMPRODUCT($AY$4:$AY$146,Schweine_Werte!DJ$4:DJ$146)/SUM($AY$4:$AY$146),IF($B24=$A$6,SUMPRODUCT($AY$4:$AY$146,Schweine_Werte!CD$4:CD$146)/SUM($AY$4:$AY$146),SUMPRODUCT($AY$4:$AY$146,Schweine_Werte!AX$4:AX$146)/SUM($AY$4:$AY$146))))</f>
        <v>#DIV/0!</v>
      </c>
      <c r="J18" s="885" t="e">
        <f>SUMPRODUCT($AY$4:$AY$146,Schweine_Werte!$Z$4:$Z$146)/SUM($AY$4:$AY$146)</f>
        <v>#DIV/0!</v>
      </c>
      <c r="K18" s="885" t="e">
        <f>SUMPRODUCT($AY$4:$AY$146,Schweine_Werte!$AH$4:$AH$146)/SUM($AY$4:$AY$146)</f>
        <v>#DIV/0!</v>
      </c>
      <c r="L18" s="1914" t="e">
        <f>T18*$F18*365/1000+$J18-$K18</f>
        <v>#DIV/0!</v>
      </c>
      <c r="M18" s="885" t="e">
        <f>U18*$F18*365/1000+$J18-$K18/2</f>
        <v>#DIV/0!</v>
      </c>
      <c r="N18" s="885" t="e">
        <f>V18*$F18*365/1000+$J18</f>
        <v>#DIV/0!</v>
      </c>
      <c r="O18" s="885">
        <f>IF($C24&lt;28,SUM($AY$4:$AY$23)+IF($D24&gt;28,$AY$24*0.5,$AY$24),0)</f>
        <v>0</v>
      </c>
      <c r="P18" s="885">
        <f>IF($D24&gt;28,SUM($AY$25:$AY$146)+IF($C24&lt;28,$AY$24*0.5,$AY$24),0)</f>
        <v>0</v>
      </c>
      <c r="Q18" s="885" t="e">
        <f t="shared" si="3"/>
        <v>#DIV/0!</v>
      </c>
      <c r="R18" s="885" t="e">
        <f t="shared" si="3"/>
        <v>#DIV/0!</v>
      </c>
      <c r="S18" s="885" t="e">
        <f t="shared" si="3"/>
        <v>#DIV/0!</v>
      </c>
      <c r="T18" s="885" t="e">
        <f>+($O18*Schweine_Werte!$HT$6+$P18*Schweine_Werte!$HU$6)/SUM($O18:$P18)</f>
        <v>#DIV/0!</v>
      </c>
      <c r="U18" s="885" t="e">
        <f>+($O18*Schweine_Werte!$HV$6+$P18*Schweine_Werte!$HW$6)/SUM($O18:$P18)</f>
        <v>#DIV/0!</v>
      </c>
      <c r="V18" s="885" t="e">
        <f>+($O18*Schweine_Werte!$HX$6+$P18*Schweine_Werte!$HY$6)/SUM($O18:$P18)</f>
        <v>#DIV/0!</v>
      </c>
      <c r="W18" s="1915" t="e">
        <f>($J18*0.055+T18*0.365*0.86*$F18-$K18*0.018)/L18*100</f>
        <v>#DIV/0!</v>
      </c>
      <c r="X18" s="885" t="e">
        <f>($J18*0.055+U18*0.365*0.86*$F18-$K18*0.018/2)/M18*100</f>
        <v>#DIV/0!</v>
      </c>
      <c r="Y18" s="885" t="e">
        <f>($J18*0.055+V18*0.365*0.86*$F18)/N18*100</f>
        <v>#DIV/0!</v>
      </c>
      <c r="Z18" s="885" t="e">
        <f>IF($B24=$A$8,SUMPRODUCT($AY$4:$AY$146,Schweine_Werte!$EQ$4:$EQ$146,Schweine_Werte!$ER$4:$ER$146)/SUMPRODUCT($AY$4:$AY$146,Schweine_Werte!$EQ$4:$EQ$146),IF($B24=$A$7,SUMPRODUCT($AY$4:$AY$146,Schweine_Werte!$DK$4:$DK$146,Schweine_Werte!$DL$4:$DL$146)/SUMPRODUCT($AY$4:$AY$146,Schweine_Werte!$DK$4:$DK$146),IF($B24=$A$6,SUMPRODUCT($AY$4:$AY$146,Schweine_Werte!$CE$4:$CE$146,Schweine_Werte!$CF$4:$CF$146)/SUMPRODUCT($AY$4:$AY$146,Schweine_Werte!$CE$4:$CE$146),SUMPRODUCT($AY$4:$AY$146,Schweine_Werte!$AY$4:$AY$146,Schweine_Werte!$AZ$4:$AZ$146)/SUMPRODUCT($AY$4:$AY$146,Schweine_Werte!$AY$4:$AY$146))))</f>
        <v>#DIV/0!</v>
      </c>
      <c r="AA18" s="885"/>
      <c r="AB18" s="885">
        <f>IF($B24=$A$8,SUMIF(Schweine_Werte!$AO$4:$AO$146,$C24,Schweine_Werte!$ER$4:$ER$146),IF($B24=$A$7,SUMIF(Schweine_Werte!$AO$4:$AO$146,$C24,Schweine_Werte!$DL$4:$DL$146),IF($B24=$A$6,SUMIF(Schweine_Werte!$AO$4:$AO$146,$C24,Schweine_Werte!$CF$4:$CF$146),SUMIF(Schweine_Werte!$AO$4:$AO$146,$C24,Schweine_Werte!$AZ$4:$AZ$146))))</f>
        <v>0</v>
      </c>
      <c r="AC18" s="885"/>
      <c r="AD18" s="885">
        <f>IF($B24=$A$8,SUMIF(Schweine_Werte!$AO$4:$AO$146,$D24,Schweine_Werte!$ER$4:$ER$146),IF($B24=$A$7,SUMIF(Schweine_Werte!$AO$4:$AO$146,$D24,Schweine_Werte!$DL$4:$DL$146),IF($B24=$A$6,SUMIF(Schweine_Werte!$AO$4:$AO$146,$D24,Schweine_Werte!$CF$4:$CF$146),SUMIF(Schweine_Werte!$AO$4:$AO$146,$D24,Schweine_Werte!$AZ$4:$AZ$146))))</f>
        <v>0</v>
      </c>
      <c r="AE18" s="885"/>
      <c r="AF18" s="885"/>
      <c r="AG18" s="885" t="e">
        <f>IF($B24=$A$8,SUMPRODUCT($AY$4:$AY$146,Schweine_Werte!$EQ$4:$EQ$146)/SUM($AY$4:$AY$146),IF($B24=$A$7,SUMPRODUCT($AY$4:$AY$146,Schweine_Werte!$DK$4:$DK$146)/SUM($AY$4:$AY$146),IF($B24=$A$6,SUMPRODUCT($AY$4:$AY$146,Schweine_Werte!$CE$4:$CE$146)/SUM($AY$4:$AY$146),SUMPRODUCT($AY$4:$AY$146,Schweine_Werte!$AY$4:$AY$146)/SUM($AY$4:$AY$146))))</f>
        <v>#DIV/0!</v>
      </c>
      <c r="AH18" s="885"/>
      <c r="AI18" s="885"/>
      <c r="AJ18" s="885" t="e">
        <f>IF($B24=$A$8,SUMPRODUCT($AY$4:$AY$146,Schweine_Werte!$EQ$4:$EQ$146,Schweine_Werte!$ES$4:$ES$146)/SUMPRODUCT($AY$4:$AY$146,Schweine_Werte!$EQ$4:$EQ$146),IF($B24=$A$7,SUMPRODUCT($AY$4:$AY$146,Schweine_Werte!$DK$4:$DK$146,Schweine_Werte!$DM$4:$DM$146)/SUMPRODUCT($AY$4:$AY$146,Schweine_Werte!$DK$4:$DK$146),IF($B24=$A$6,SUMPRODUCT($AY$4:$AY$146,Schweine_Werte!$CE$4:$CE$146,Schweine_Werte!$CG$4:$CG$146)/SUMPRODUCT($AY$4:$AY$146,Schweine_Werte!$CE$4:$CE$146),SUMPRODUCT($AY$4:$AY$146,Schweine_Werte!$AY$4:$AY$146,Schweine_Werte!$BA$4:$BA$146)/SUMPRODUCT($AY$4:$AY$146,Schweine_Werte!$AY$4:$AY$146))))</f>
        <v>#DIV/0!</v>
      </c>
      <c r="AK18" s="885"/>
      <c r="AL18" s="885">
        <f>IF($B24=$A$8,SUMIF(Schweine_Werte!$AO$4:$AO$146,$C24,Schweine_Werte!$ES$4:$ES$146),IF($B24=$A$7,SUMIF(Schweine_Werte!$AO$4:$AO$146,$C24,Schweine_Werte!$DM$4:$DM$146),IF($B24=$A$6,SUMIF(Schweine_Werte!$AO$4:$AO$146,$C24,Schweine_Werte!$CG$4:$CG$146),SUMIF(Schweine_Werte!$AO$4:$AO$146,$C24,Schweine_Werte!$BA$4:$BA$146))))</f>
        <v>0</v>
      </c>
      <c r="AM18" s="885"/>
      <c r="AN18" s="885">
        <f>IF($B24=$A$8,SUMIF(Schweine_Werte!$AO$4:$AO$146,$D24,Schweine_Werte!$ES$4:$ES$146),IF($B24=$A$7,SUMIF(Schweine_Werte!$AO$4:$AO$146,$D24,Schweine_Werte!$DM$4:$DM$146),IF($B24=$A$6,SUMIF(Schweine_Werte!$AO$4:$AO$146,$D24,Schweine_Werte!$CG$4:$CG$146),SUMIF(Schweine_Werte!$AO$4:$AO$146,$D24,Schweine_Werte!$BA$4:$BA$146))))</f>
        <v>0</v>
      </c>
      <c r="AO18" s="885"/>
      <c r="AR18" s="1733">
        <v>22</v>
      </c>
      <c r="AS18" s="1710">
        <f>IF(OR($C$12=$AR18,$D$12=$AR18),Schweine_Werte!$C18*0.5,IF(OR($C$12&gt;$AR18,$D$12&lt;$AR18),0,Schweine_Werte!$C18))</f>
        <v>0</v>
      </c>
      <c r="AT18" s="1713">
        <f>IF(OR($C$24=$AR18,$D$24=$AR18),Schweine_Werte!$C18*0.5,IF(OR($C$24&gt;$AR18,$D$24&lt;$AR18),0,Schweine_Werte!$C18))</f>
        <v>0</v>
      </c>
      <c r="AU18" s="1710">
        <f>IF(OR($C$36=$AR18,$D$36=$AR18),Schweine_Werte!$C18*0.5,IF(OR($C$36&gt;$AR18,$D$36&lt;$AR18),0,Schweine_Werte!$C18))</f>
        <v>0</v>
      </c>
      <c r="AV18" s="1710">
        <f>IF(OR($C$48=$AR18,$D$48=$AR18),Schweine_Werte!$C18*0.5,IF(OR($C$48&gt;$AR18,$D$48&lt;$AR18),0,Schweine_Werte!$C18))</f>
        <v>0</v>
      </c>
      <c r="AW18" s="1710">
        <f>IF(OR($C$60=$AR18,$D$60=$AR18),Schweine_Werte!$C18*0.5,IF(OR($C$60&gt;$AR18,$D$60&lt;$AR18),0,Schweine_Werte!$C18))</f>
        <v>0</v>
      </c>
      <c r="AX18" s="1710">
        <f>IF(OR($C$12=$AR18,$D$12=$AR18),Schweine_Werte!$E18*0.5,IF(OR($C$12&gt;$AR18,$D$12&lt;$AR18),0,Schweine_Werte!$E18))</f>
        <v>0</v>
      </c>
      <c r="AY18" s="1713">
        <f>IF(OR($C$24=$AR18,$D$24=$AR18),Schweine_Werte!$E18*0.5,IF(OR($C$24&gt;$AR18,$D$24&lt;$AR18),0,Schweine_Werte!$E18))</f>
        <v>0</v>
      </c>
      <c r="AZ18" s="1713">
        <f>IF(OR($C$36=$AR18,$D$36=$AR18),Schweine_Werte!$E18*0.5,IF(OR($C$36&gt;$AR18,$D$36&lt;$AR18),0,Schweine_Werte!$E18))</f>
        <v>0</v>
      </c>
      <c r="BA18" s="1713">
        <f>IF(OR($C$48=$AR18,$D$48=$AR18),Schweine_Werte!$E18*0.5,IF(OR($C$48&gt;$AR18,$D$48&lt;$AR18),0,Schweine_Werte!$E18))</f>
        <v>0</v>
      </c>
      <c r="BB18" s="1713">
        <f>IF(OR($C$60=$AR18,$D$60=$AR18),Schweine_Werte!$E18*0.5,IF(OR($C$60&gt;$AR18,$D$60&lt;$AR18),0,Schweine_Werte!$E18))</f>
        <v>0</v>
      </c>
      <c r="BC18" s="1710">
        <f>IF(OR($C$12=$AR18,$D$12=$AR18),Schweine_Werte!$G18*0.5,IF(OR($C$12&gt;$AR18,$D$12&lt;$AR18),0,Schweine_Werte!$G18))</f>
        <v>0</v>
      </c>
      <c r="BD18" s="1713">
        <f>IF(OR($C$24=$AR18,$D$24=$AR18),Schweine_Werte!$G18*0.5,IF(OR($C$24&gt;$AR18,$D$24&lt;$AR18),0,Schweine_Werte!$G18))</f>
        <v>0</v>
      </c>
      <c r="BE18" s="1713">
        <f>IF(OR($C$36=$AR18,$D$36=$AR18),Schweine_Werte!$G18*0.5,IF(OR($C$36&gt;$AR18,$D$36&lt;$AR18),0,Schweine_Werte!$G18))</f>
        <v>0</v>
      </c>
      <c r="BF18" s="1713">
        <f>IF(OR($C$48=$AR18,$D$48=$AR18),Schweine_Werte!$G18*0.5,IF(OR($C$48&gt;$AR18,$D$48&lt;$AR18),0,Schweine_Werte!$G18))</f>
        <v>0</v>
      </c>
      <c r="BG18" s="1713">
        <f>IF(OR($C$60=$AR18,$D$60=$AR18),Schweine_Werte!$G18*0.5,IF(OR($C$60&gt;$AR18,$D$60&lt;$AR18),0,Schweine_Werte!$G18))</f>
        <v>0</v>
      </c>
      <c r="BH18" s="1710">
        <f>IF(OR($C$12=$AR18,$D$12=$AR18),Schweine_Werte!$I18*0.5,IF(OR($C$12&gt;$AR18,$D$12&lt;$AR18),0,Schweine_Werte!$I18))</f>
        <v>0</v>
      </c>
      <c r="BI18" s="1713">
        <f>IF(OR($C$24=$AR18,$D$24=$AR18),Schweine_Werte!$I18*0.5,IF(OR($C$24&gt;$AR18,$D$24&lt;$AR18),0,Schweine_Werte!$I18))</f>
        <v>0</v>
      </c>
      <c r="BJ18" s="1713">
        <f>IF(OR($C$36=$AR18,$D$36=$AR18),Schweine_Werte!$I18*0.5,IF(OR($C$36&gt;$AR18,$D$36&lt;$AR18),0,Schweine_Werte!$I18))</f>
        <v>0</v>
      </c>
      <c r="BK18" s="1713">
        <f>IF(OR($C$48=$AR18,$D$48=$AR18),Schweine_Werte!$I18*0.5,IF(OR($C$48&gt;$AR18,$D$48&lt;$AR18),0,Schweine_Werte!$I18))</f>
        <v>0</v>
      </c>
      <c r="BL18" s="1713">
        <f>IF(OR($C$60=$AR18,$D$60=$AR18),Schweine_Werte!$I18*0.5,IF(OR($C$60&gt;$AR18,$D$60&lt;$AR18),0,Schweine_Werte!$I18))</f>
        <v>0</v>
      </c>
      <c r="BM18" s="1710">
        <f>IF(OR($C$12=$AR18,$D$12=$AR18),Schweine_Werte!$K18*0.5,IF(OR($C$12&gt;$AR18,$D$12&lt;$AR18),0,Schweine_Werte!$K18))</f>
        <v>0</v>
      </c>
      <c r="BN18" s="1713">
        <f>IF(OR($C$24=$AR18,$D$24=$AR18),Schweine_Werte!$K18*0.5,IF(OR($C$24&gt;$AR18,$D$24&lt;$AR18),0,Schweine_Werte!$K18))</f>
        <v>0</v>
      </c>
      <c r="BO18" s="1713">
        <f>IF(OR($C$36=$AR18,$D$36=$AR18),Schweine_Werte!$K18*0.5,IF(OR($C$36&gt;$AR18,$D$36&lt;$AR18),0,Schweine_Werte!$K18))</f>
        <v>0</v>
      </c>
      <c r="BP18" s="1713">
        <f>IF(OR($C$48=$AR18,$D$48=$AR18),Schweine_Werte!$K18*0.5,IF(OR($C$48&gt;$AR18,$D$48&lt;$AR18),0,Schweine_Werte!$K18))</f>
        <v>0</v>
      </c>
      <c r="BQ18" s="1713">
        <f>IF(OR($C$60=$AR18,$D$60=$AR18),Schweine_Werte!$K18*0.5,IF(OR($C$60&gt;$AR18,$D$60&lt;$AR18),0,Schweine_Werte!$K18))</f>
        <v>0</v>
      </c>
      <c r="BR18" s="1710">
        <f>IF(OR($C$74=$AR18,$D$74=$AR18),Schweine_Werte!$M18*0.5,IF(OR($C$74&gt;$AR18,$D$74&lt;$AR18),0,Schweine_Werte!$M18))</f>
        <v>0</v>
      </c>
      <c r="BS18" s="1710">
        <f>IF(OR($C$83=$AR18,$D$83=$AR18),Schweine_Werte!$M18*0.5,IF(OR($C$83&gt;$AR18,$D$83&lt;$AR18),0,Schweine_Werte!$M18))</f>
        <v>0</v>
      </c>
      <c r="BT18" s="1713">
        <f>IF(OR($C$92=$AR18,$D$92=$AR18),Schweine_Werte!$M18*0.5,IF(OR($C$92&gt;$AR18,$D$92&lt;$AR18),0,Schweine_Werte!$M18))</f>
        <v>0</v>
      </c>
      <c r="BU18" s="1713">
        <f>IF(OR($C$101=$AR18,$D$101=$AR18),Schweine_Werte!$M18*0.5,IF(OR($C$101&gt;$AR18,$D$101&lt;$AR18),0,Schweine_Werte!$M18))</f>
        <v>0</v>
      </c>
      <c r="BV18" s="1713">
        <f>IF(OR($C$110=$AR18,$D$110=$AR18),Schweine_Werte!$M18*0.5,IF(OR($C$110&gt;$AR18,$D$110&lt;$AR18),0,Schweine_Werte!$M18))</f>
        <v>0</v>
      </c>
      <c r="BW18" s="1713">
        <f>IF(OR(8=$AR18,$E$127=$AR18),Schweine_Werte!$M18*0.5,IF(OR(8&gt;$AR18,$E$127&lt;$AR18),0,Schweine_Werte!$M18))</f>
        <v>1.8660590635640175</v>
      </c>
      <c r="BX18" s="1713">
        <f>IF(OR(8=$AR18,$E$145=$AR18),Schweine_Werte!$M18*0.5,IF(OR(8&gt;$AR18,$E$145&lt;$AR18),0,Schweine_Werte!$M18))</f>
        <v>1.8660590635640175</v>
      </c>
      <c r="BY18" s="1710">
        <f>IF(OR($C$74=$AR18,$D$74=$AR18),Schweine_Werte!$O18*0.5,IF(OR($C$74&gt;$AR18,$D$74&lt;$AR18),0,Schweine_Werte!$O18))</f>
        <v>0</v>
      </c>
      <c r="BZ18" s="1710">
        <f>IF(OR($C$83=$AR18,$D$83=$AR18),Schweine_Werte!$O18*0.5,IF(OR($C$83&gt;$AR18,$D$83&lt;$AR18),0,Schweine_Werte!$O18))</f>
        <v>0</v>
      </c>
      <c r="CA18" s="1713">
        <f>IF(OR($C$92=$AR18,$D$92=$AR18),Schweine_Werte!$O18*0.5,IF(OR($C$92&gt;$AR18,$D$92&lt;$AR18),0,Schweine_Werte!$O18))</f>
        <v>0</v>
      </c>
      <c r="CB18" s="1713">
        <f>IF(OR($C$101=$AR18,$D$101=$AR18),Schweine_Werte!$O18*0.5,IF(OR($C$101&gt;$AR18,$D$101&lt;$AR18),0,Schweine_Werte!$O18))</f>
        <v>0</v>
      </c>
      <c r="CC18" s="1713">
        <f>IF(OR($C$110=$AR18,$D$110=$AR18),Schweine_Werte!$O18*0.5,IF(OR($C$110&gt;$AR18,$D$110&lt;$AR18),0,Schweine_Werte!$O18))</f>
        <v>0</v>
      </c>
    </row>
    <row r="19" spans="1:81" x14ac:dyDescent="0.25">
      <c r="B19" s="1712">
        <v>850</v>
      </c>
      <c r="C19"/>
      <c r="D19" s="885"/>
      <c r="E19" s="885" t="e">
        <f>($D24-$C24)*1000/SUM($BD$4:$BD$146)</f>
        <v>#VALUE!</v>
      </c>
      <c r="F19" s="885" t="e">
        <f>SUMPRODUCT($BD$4:$BD$146,Schweine_Werte!$S$4:$S$146)/SUM($BD$4:$BD$146)</f>
        <v>#DIV/0!</v>
      </c>
      <c r="G19" s="885" t="e">
        <f>IF($B24=$A$8,SUMPRODUCT($BD$4:$BD$146,Schweine_Werte!ET$4:ET$146)/SUM($BD$4:$BD$146),IF($B24=$A$7,SUMPRODUCT($BD$4:$BD$146,Schweine_Werte!DN$4:DN$146)/SUM($BD$4:$BD$146),IF($B24=$A$6,SUMPRODUCT($BD$4:$BD$146,Schweine_Werte!CH$4:CH$146)/SUM($BD$4:$BD$146),SUMPRODUCT($BD$4:$BD$146,Schweine_Werte!BB$4:BB$146)/SUM($BD$4:$BD$146))))</f>
        <v>#DIV/0!</v>
      </c>
      <c r="H19" s="885" t="e">
        <f>IF($B24=$A$8,SUMPRODUCT($BD$4:$BD$146,Schweine_Werte!EU$4:EU$146)/SUM($BD$4:$BD$146),IF($B24=$A$7,SUMPRODUCT($BD$4:$BD$146,Schweine_Werte!DO$4:DO$146)/SUM($BD$4:$BD$146),IF($B24=$A$6,SUMPRODUCT($BD$4:$BD$146,Schweine_Werte!CI$4:CI$146)/SUM($BD$4:$BD$146),SUMPRODUCT($BD$4:$BD$146,Schweine_Werte!BC$4:BC$146)/SUM($BD$4:$BD$146))))</f>
        <v>#DIV/0!</v>
      </c>
      <c r="I19" s="885" t="e">
        <f>IF($B24=$A$8,SUMPRODUCT($BD$4:$BD$146,Schweine_Werte!EV$4:EV$146)/SUM($BD$4:$BD$146),IF($B24=$A$7,SUMPRODUCT($BD$4:$BD$146,Schweine_Werte!DP$4:DP$146)/SUM($BD$4:$BD$146),IF($B24=$A$6,SUMPRODUCT($BD$4:$BD$146,Schweine_Werte!CJ$4:CJ$146)/SUM($BD$4:$BD$146),SUMPRODUCT($BD$4:$BD$146,Schweine_Werte!BD$4:BD$146)/SUM($BD$4:$BD$146))))</f>
        <v>#DIV/0!</v>
      </c>
      <c r="J19" s="885" t="e">
        <f>SUMPRODUCT($BD$4:$BD$146,Schweine_Werte!$AA$4:$AA$146)/SUM($BD$4:$BD$146)</f>
        <v>#DIV/0!</v>
      </c>
      <c r="K19" s="885" t="e">
        <f>SUMPRODUCT($BD$4:$BD$146,Schweine_Werte!$AI$4:$AI$146)/SUM($BD$4:$BD$146)</f>
        <v>#DIV/0!</v>
      </c>
      <c r="L19" s="885" t="e">
        <f>T19*$F19*365/1000+$J19-$K19</f>
        <v>#DIV/0!</v>
      </c>
      <c r="M19" s="885" t="e">
        <f>U19*$F19*365/1000+$J19-$K19/2</f>
        <v>#DIV/0!</v>
      </c>
      <c r="N19" s="885" t="e">
        <f>V19*$F19*365/1000+$J19</f>
        <v>#DIV/0!</v>
      </c>
      <c r="O19" s="885">
        <f>IF($C24&lt;28,SUM($BD$4:$BD$23)+IF($D24&gt;28,$BD$24*0.5,$BD$24),0)</f>
        <v>0</v>
      </c>
      <c r="P19" s="885">
        <f>IF($D24&gt;28,SUM($BD$25:$BD$146)+IF($C24&lt;28,$BD$24*0.5,$BD$24),0)</f>
        <v>0</v>
      </c>
      <c r="Q19" s="885" t="e">
        <f t="shared" si="3"/>
        <v>#DIV/0!</v>
      </c>
      <c r="R19" s="885" t="e">
        <f t="shared" si="3"/>
        <v>#DIV/0!</v>
      </c>
      <c r="S19" s="885" t="e">
        <f t="shared" si="3"/>
        <v>#DIV/0!</v>
      </c>
      <c r="T19" s="885" t="e">
        <f>+($O19*Schweine_Werte!$HT$7+$P19*Schweine_Werte!$HU$7)/SUM($O19:$P19)</f>
        <v>#DIV/0!</v>
      </c>
      <c r="U19" s="885" t="e">
        <f>+($O19*Schweine_Werte!$HV$7+$P19*Schweine_Werte!$HW$7)/SUM($O19:$P19)</f>
        <v>#DIV/0!</v>
      </c>
      <c r="V19" s="885" t="e">
        <f>+($O19*Schweine_Werte!$HX$7+$P19*Schweine_Werte!$HY$7)/SUM($O19:$P19)</f>
        <v>#DIV/0!</v>
      </c>
      <c r="W19" s="885" t="e">
        <f>($J19*0.055+T19*0.365*0.86*$F19-$K19*0.018)/L19*100</f>
        <v>#DIV/0!</v>
      </c>
      <c r="X19" s="885" t="e">
        <f>($J19*0.055+U19*0.365*0.86*$F19-$K19*0.018/2)/M19*100</f>
        <v>#DIV/0!</v>
      </c>
      <c r="Y19" s="885" t="e">
        <f>($J19*0.055+V19*0.365*0.86*$F19)/N19*100</f>
        <v>#DIV/0!</v>
      </c>
      <c r="Z19" s="885" t="e">
        <f>IF($B24=$A$8,SUMPRODUCT($BD$4:$BD$146,Schweine_Werte!$EW$4:$EW$146,Schweine_Werte!$EX$4:$EX$146)/SUMPRODUCT($BD$4:$BD$146,Schweine_Werte!$EW$4:$EW$146),IF($B24=$A$7,SUMPRODUCT($BD$4:$BD$146,Schweine_Werte!$DQ$4:$DQ$146,Schweine_Werte!$DR$4:$DR$146)/SUMPRODUCT($BD$4:$BD$146,Schweine_Werte!$DQ$4:$DQ$146),IF($B24=$A$6,SUMPRODUCT($BD$4:$BD$146,Schweine_Werte!$CK$4:$CK$146,Schweine_Werte!$CL$4:$CL$146)/SUMPRODUCT($BD$4:$BD$146,Schweine_Werte!$CK$4:$CK$146),SUMPRODUCT($BD$4:$BD$146,Schweine_Werte!$BE$4:$BE$146,Schweine_Werte!$BF$4:$BF$146)/SUMPRODUCT($BD$4:$BD$146,Schweine_Werte!$BE$4:$BE$146))))</f>
        <v>#DIV/0!</v>
      </c>
      <c r="AA19" s="885"/>
      <c r="AB19" s="885">
        <f>IF($B24=$A$8,SUMIF(Schweine_Werte!$AO$4:$AO$146,$C24,Schweine_Werte!$EX$4:$EX$146),IF($B24=$A$7,SUMIF(Schweine_Werte!$AO$4:$AO$146,$C24,Schweine_Werte!$DR$4:$DR$146),IF($B24=$A$6,SUMIF(Schweine_Werte!$AO$4:$AO$146,$C24,Schweine_Werte!$CL$4:$CL$146),SUMIF(Schweine_Werte!$AO$4:$AO$146,$C24,Schweine_Werte!$BF$4:$BF$146))))</f>
        <v>0</v>
      </c>
      <c r="AC19" s="885"/>
      <c r="AD19" s="885">
        <f>IF($B24=$A$8,SUMIF(Schweine_Werte!$AO$4:$AO$146,$D24,Schweine_Werte!$EX$4:$EX$146),IF($B24=$A$7,SUMIF(Schweine_Werte!$AO$4:$AO$146,$D24,Schweine_Werte!$DR$4:$DR$146),IF($B24=$A$6,SUMIF(Schweine_Werte!$AO$4:$AO$146,$D24,Schweine_Werte!$CL$4:$CL$146),SUMIF(Schweine_Werte!$AO$4:$AO$146,$D24,Schweine_Werte!$BF$4:$BF$146))))</f>
        <v>0</v>
      </c>
      <c r="AE19" s="885"/>
      <c r="AF19" s="885"/>
      <c r="AG19" s="885" t="e">
        <f>IF($B24=$A$8,SUMPRODUCT($BD$4:$BD$146,Schweine_Werte!$EW$4:$EW$146)/SUM($BD$4:$BD$146),IF($B24=$A$7,SUMPRODUCT($BD$4:$BD$146,Schweine_Werte!$DQ$4:$DQ$146)/SUM($BD$4:$BD$146),IF($B24=$A$6,SUMPRODUCT($BD$4:$BD$146,Schweine_Werte!$CK$4:$CK$146)/SUM($BD$4:$BD$146),SUMPRODUCT($BD$4:$BD$146,Schweine_Werte!$BE$4:$BE$146)/SUM($BD$4:$BD$146))))</f>
        <v>#DIV/0!</v>
      </c>
      <c r="AH19" s="885"/>
      <c r="AI19" s="885"/>
      <c r="AJ19" s="885" t="e">
        <f>IF($B24=$A$8,SUMPRODUCT($BD$4:$BD$146,Schweine_Werte!$EW$4:$EW$146,Schweine_Werte!$EY$4:$EY$146)/SUMPRODUCT($BD$4:$BD$146,Schweine_Werte!$EW$4:$EW$146),IF($B24=$A$7,SUMPRODUCT($BD$4:$BD$146,Schweine_Werte!$DQ$4:$DQ$146,Schweine_Werte!$DS$4:$DS$146)/SUMPRODUCT($BD$4:$BD$146,Schweine_Werte!$DQ$4:$DQ$146),IF($B24=$A$6,SUMPRODUCT($BD$4:$BD$146,Schweine_Werte!$CK$4:$CK$146,Schweine_Werte!$CM$4:$CM$146)/SUMPRODUCT($BD$4:$BD$146,Schweine_Werte!$CK$4:$CK$146),SUMPRODUCT($BD$4:$BD$146,Schweine_Werte!$BE$4:$BE$146,Schweine_Werte!$BG$4:$BG$146)/SUMPRODUCT($BD$4:$BD$146,Schweine_Werte!$BE$4:$BE$146))))</f>
        <v>#DIV/0!</v>
      </c>
      <c r="AK19" s="885"/>
      <c r="AL19" s="885">
        <f>IF($B24=$A$8,SUMIF(Schweine_Werte!$AO$4:$AO$146,$C24,Schweine_Werte!$EY$4:$EY$146),IF($B24=$A$7,SUMIF(Schweine_Werte!$AO$4:$AO$146,$C24,Schweine_Werte!$DS$4:$DS$146),IF($B24=$A$6,SUMIF(Schweine_Werte!$AO$4:$AO$146,$C24,Schweine_Werte!$CM$4:$CM$146),SUMIF(Schweine_Werte!$AO$4:$AO$146,$C24,Schweine_Werte!$BG$4:$BG$146))))</f>
        <v>0</v>
      </c>
      <c r="AM19" s="885"/>
      <c r="AN19" s="885">
        <f>IF($B24=$A$8,SUMIF(Schweine_Werte!$AO$4:$AO$146,$D24,Schweine_Werte!$EY$4:$EY$146),IF($B24=$A$7,SUMIF(Schweine_Werte!$AO$4:$AO$146,$D24,Schweine_Werte!$DS$4:$DS$146),IF($B24=$A$6,SUMIF(Schweine_Werte!$AO$4:$AO$146,$D24,Schweine_Werte!$CM$4:$CM$146),SUMIF(Schweine_Werte!$AO$4:$AO$146,$D24,Schweine_Werte!$BG$4:$BG$146))))</f>
        <v>0</v>
      </c>
      <c r="AO19" s="885"/>
      <c r="AR19" s="1733">
        <v>23</v>
      </c>
      <c r="AS19" s="1710">
        <f>IF(OR($C$12=$AR19,$D$12=$AR19),Schweine_Werte!$C19*0.5,IF(OR($C$12&gt;$AR19,$D$12&lt;$AR19),0,Schweine_Werte!$C19))</f>
        <v>0</v>
      </c>
      <c r="AT19" s="1713">
        <f>IF(OR($C$24=$AR19,$D$24=$AR19),Schweine_Werte!$C19*0.5,IF(OR($C$24&gt;$AR19,$D$24&lt;$AR19),0,Schweine_Werte!$C19))</f>
        <v>0</v>
      </c>
      <c r="AU19" s="1710">
        <f>IF(OR($C$36=$AR19,$D$36=$AR19),Schweine_Werte!$C19*0.5,IF(OR($C$36&gt;$AR19,$D$36&lt;$AR19),0,Schweine_Werte!$C19))</f>
        <v>0</v>
      </c>
      <c r="AV19" s="1710">
        <f>IF(OR($C$48=$AR19,$D$48=$AR19),Schweine_Werte!$C19*0.5,IF(OR($C$48&gt;$AR19,$D$48&lt;$AR19),0,Schweine_Werte!$C19))</f>
        <v>0</v>
      </c>
      <c r="AW19" s="1710">
        <f>IF(OR($C$60=$AR19,$D$60=$AR19),Schweine_Werte!$C19*0.5,IF(OR($C$60&gt;$AR19,$D$60&lt;$AR19),0,Schweine_Werte!$C19))</f>
        <v>0</v>
      </c>
      <c r="AX19" s="1710">
        <f>IF(OR($C$12=$AR19,$D$12=$AR19),Schweine_Werte!$E19*0.5,IF(OR($C$12&gt;$AR19,$D$12&lt;$AR19),0,Schweine_Werte!$E19))</f>
        <v>0</v>
      </c>
      <c r="AY19" s="1713">
        <f>IF(OR($C$24=$AR19,$D$24=$AR19),Schweine_Werte!$E19*0.5,IF(OR($C$24&gt;$AR19,$D$24&lt;$AR19),0,Schweine_Werte!$E19))</f>
        <v>0</v>
      </c>
      <c r="AZ19" s="1713">
        <f>IF(OR($C$36=$AR19,$D$36=$AR19),Schweine_Werte!$E19*0.5,IF(OR($C$36&gt;$AR19,$D$36&lt;$AR19),0,Schweine_Werte!$E19))</f>
        <v>0</v>
      </c>
      <c r="BA19" s="1713">
        <f>IF(OR($C$48=$AR19,$D$48=$AR19),Schweine_Werte!$E19*0.5,IF(OR($C$48&gt;$AR19,$D$48&lt;$AR19),0,Schweine_Werte!$E19))</f>
        <v>0</v>
      </c>
      <c r="BB19" s="1713">
        <f>IF(OR($C$60=$AR19,$D$60=$AR19),Schweine_Werte!$E19*0.5,IF(OR($C$60&gt;$AR19,$D$60&lt;$AR19),0,Schweine_Werte!$E19))</f>
        <v>0</v>
      </c>
      <c r="BC19" s="1710">
        <f>IF(OR($C$12=$AR19,$D$12=$AR19),Schweine_Werte!$G19*0.5,IF(OR($C$12&gt;$AR19,$D$12&lt;$AR19),0,Schweine_Werte!$G19))</f>
        <v>0</v>
      </c>
      <c r="BD19" s="1713">
        <f>IF(OR($C$24=$AR19,$D$24=$AR19),Schweine_Werte!$G19*0.5,IF(OR($C$24&gt;$AR19,$D$24&lt;$AR19),0,Schweine_Werte!$G19))</f>
        <v>0</v>
      </c>
      <c r="BE19" s="1713">
        <f>IF(OR($C$36=$AR19,$D$36=$AR19),Schweine_Werte!$G19*0.5,IF(OR($C$36&gt;$AR19,$D$36&lt;$AR19),0,Schweine_Werte!$G19))</f>
        <v>0</v>
      </c>
      <c r="BF19" s="1713">
        <f>IF(OR($C$48=$AR19,$D$48=$AR19),Schweine_Werte!$G19*0.5,IF(OR($C$48&gt;$AR19,$D$48&lt;$AR19),0,Schweine_Werte!$G19))</f>
        <v>0</v>
      </c>
      <c r="BG19" s="1713">
        <f>IF(OR($C$60=$AR19,$D$60=$AR19),Schweine_Werte!$G19*0.5,IF(OR($C$60&gt;$AR19,$D$60&lt;$AR19),0,Schweine_Werte!$G19))</f>
        <v>0</v>
      </c>
      <c r="BH19" s="1710">
        <f>IF(OR($C$12=$AR19,$D$12=$AR19),Schweine_Werte!$I19*0.5,IF(OR($C$12&gt;$AR19,$D$12&lt;$AR19),0,Schweine_Werte!$I19))</f>
        <v>0</v>
      </c>
      <c r="BI19" s="1713">
        <f>IF(OR($C$24=$AR19,$D$24=$AR19),Schweine_Werte!$I19*0.5,IF(OR($C$24&gt;$AR19,$D$24&lt;$AR19),0,Schweine_Werte!$I19))</f>
        <v>0</v>
      </c>
      <c r="BJ19" s="1713">
        <f>IF(OR($C$36=$AR19,$D$36=$AR19),Schweine_Werte!$I19*0.5,IF(OR($C$36&gt;$AR19,$D$36&lt;$AR19),0,Schweine_Werte!$I19))</f>
        <v>0</v>
      </c>
      <c r="BK19" s="1713">
        <f>IF(OR($C$48=$AR19,$D$48=$AR19),Schweine_Werte!$I19*0.5,IF(OR($C$48&gt;$AR19,$D$48&lt;$AR19),0,Schweine_Werte!$I19))</f>
        <v>0</v>
      </c>
      <c r="BL19" s="1713">
        <f>IF(OR($C$60=$AR19,$D$60=$AR19),Schweine_Werte!$I19*0.5,IF(OR($C$60&gt;$AR19,$D$60&lt;$AR19),0,Schweine_Werte!$I19))</f>
        <v>0</v>
      </c>
      <c r="BM19" s="1710">
        <f>IF(OR($C$12=$AR19,$D$12=$AR19),Schweine_Werte!$K19*0.5,IF(OR($C$12&gt;$AR19,$D$12&lt;$AR19),0,Schweine_Werte!$K19))</f>
        <v>0</v>
      </c>
      <c r="BN19" s="1713">
        <f>IF(OR($C$24=$AR19,$D$24=$AR19),Schweine_Werte!$K19*0.5,IF(OR($C$24&gt;$AR19,$D$24&lt;$AR19),0,Schweine_Werte!$K19))</f>
        <v>0</v>
      </c>
      <c r="BO19" s="1713">
        <f>IF(OR($C$36=$AR19,$D$36=$AR19),Schweine_Werte!$K19*0.5,IF(OR($C$36&gt;$AR19,$D$36&lt;$AR19),0,Schweine_Werte!$K19))</f>
        <v>0</v>
      </c>
      <c r="BP19" s="1713">
        <f>IF(OR($C$48=$AR19,$D$48=$AR19),Schweine_Werte!$K19*0.5,IF(OR($C$48&gt;$AR19,$D$48&lt;$AR19),0,Schweine_Werte!$K19))</f>
        <v>0</v>
      </c>
      <c r="BQ19" s="1713">
        <f>IF(OR($C$60=$AR19,$D$60=$AR19),Schweine_Werte!$K19*0.5,IF(OR($C$60&gt;$AR19,$D$60&lt;$AR19),0,Schweine_Werte!$K19))</f>
        <v>0</v>
      </c>
      <c r="BR19" s="1710">
        <f>IF(OR($C$74=$AR19,$D$74=$AR19),Schweine_Werte!$M19*0.5,IF(OR($C$74&gt;$AR19,$D$74&lt;$AR19),0,Schweine_Werte!$M19))</f>
        <v>0</v>
      </c>
      <c r="BS19" s="1710">
        <f>IF(OR($C$83=$AR19,$D$83=$AR19),Schweine_Werte!$M19*0.5,IF(OR($C$83&gt;$AR19,$D$83&lt;$AR19),0,Schweine_Werte!$M19))</f>
        <v>0</v>
      </c>
      <c r="BT19" s="1713">
        <f>IF(OR($C$92=$AR19,$D$92=$AR19),Schweine_Werte!$M19*0.5,IF(OR($C$92&gt;$AR19,$D$92&lt;$AR19),0,Schweine_Werte!$M19))</f>
        <v>0</v>
      </c>
      <c r="BU19" s="1713">
        <f>IF(OR($C$101=$AR19,$D$101=$AR19),Schweine_Werte!$M19*0.5,IF(OR($C$101&gt;$AR19,$D$101&lt;$AR19),0,Schweine_Werte!$M19))</f>
        <v>0</v>
      </c>
      <c r="BV19" s="1713">
        <f>IF(OR($C$110=$AR19,$D$110=$AR19),Schweine_Werte!$M19*0.5,IF(OR($C$110&gt;$AR19,$D$110&lt;$AR19),0,Schweine_Werte!$M19))</f>
        <v>0</v>
      </c>
      <c r="BW19" s="1713">
        <f>IF(OR(8=$AR19,$E$127=$AR19),Schweine_Werte!$M19*0.5,IF(OR(8&gt;$AR19,$E$127&lt;$AR19),0,Schweine_Werte!$M19))</f>
        <v>1.8188737966224373</v>
      </c>
      <c r="BX19" s="1713">
        <f>IF(OR(8=$AR19,$E$145=$AR19),Schweine_Werte!$M19*0.5,IF(OR(8&gt;$AR19,$E$145&lt;$AR19),0,Schweine_Werte!$M19))</f>
        <v>1.8188737966224373</v>
      </c>
      <c r="BY19" s="1710">
        <f>IF(OR($C$74=$AR19,$D$74=$AR19),Schweine_Werte!$O19*0.5,IF(OR($C$74&gt;$AR19,$D$74&lt;$AR19),0,Schweine_Werte!$O19))</f>
        <v>0</v>
      </c>
      <c r="BZ19" s="1710">
        <f>IF(OR($C$83=$AR19,$D$83=$AR19),Schweine_Werte!$O19*0.5,IF(OR($C$83&gt;$AR19,$D$83&lt;$AR19),0,Schweine_Werte!$O19))</f>
        <v>0</v>
      </c>
      <c r="CA19" s="1713">
        <f>IF(OR($C$92=$AR19,$D$92=$AR19),Schweine_Werte!$O19*0.5,IF(OR($C$92&gt;$AR19,$D$92&lt;$AR19),0,Schweine_Werte!$O19))</f>
        <v>0</v>
      </c>
      <c r="CB19" s="1713">
        <f>IF(OR($C$101=$AR19,$D$101=$AR19),Schweine_Werte!$O19*0.5,IF(OR($C$101&gt;$AR19,$D$101&lt;$AR19),0,Schweine_Werte!$O19))</f>
        <v>0</v>
      </c>
      <c r="CC19" s="1713">
        <f>IF(OR($C$110=$AR19,$D$110=$AR19),Schweine_Werte!$O19*0.5,IF(OR($C$110&gt;$AR19,$D$110&lt;$AR19),0,Schweine_Werte!$O19))</f>
        <v>0</v>
      </c>
    </row>
    <row r="20" spans="1:81" x14ac:dyDescent="0.25">
      <c r="B20" s="1712">
        <v>950</v>
      </c>
      <c r="C20"/>
      <c r="D20" s="885"/>
      <c r="E20" s="885" t="e">
        <f>($D24-$C24)*1000/SUM($BI$4:$BI$146)</f>
        <v>#VALUE!</v>
      </c>
      <c r="F20" s="885" t="e">
        <f>SUMPRODUCT($BI$4:$BI$146,Schweine_Werte!$T$4:$T$146)/SUM($BI$4:$BI$146)</f>
        <v>#DIV/0!</v>
      </c>
      <c r="G20" s="885" t="e">
        <f>IF($B24=$A$8,SUMPRODUCT($BI$4:$BI$146,Schweine_Werte!EZ$4:EZ$146)/SUM($BI$4:$BI$146),IF($B24=$A$7,SUMPRODUCT($BI$4:$BI$146,Schweine_Werte!DT$4:DT$146)/SUM($BI$4:$BI$146),IF($B24=$A$6,SUMPRODUCT($BI$4:$BI$146,Schweine_Werte!CN$4:CN$146)/SUM($BI$4:$BI$146),SUMPRODUCT($BI$4:$BI$146,Schweine_Werte!BH$4:BH$146)/SUM($BI$4:$BI$146))))</f>
        <v>#DIV/0!</v>
      </c>
      <c r="H20" s="885" t="e">
        <f>IF($B24=$A$8,SUMPRODUCT($BI$4:$BI$146,Schweine_Werte!FA$4:FA$146)/SUM($BI$4:$BI$146),IF($B24=$A$7,SUMPRODUCT($BI$4:$BI$146,Schweine_Werte!DU$4:DU$146)/SUM($BI$4:$BI$146),IF($B24=$A$6,SUMPRODUCT($BI$4:$BI$146,Schweine_Werte!CO$4:CO$146)/SUM($BI$4:$BI$146),SUMPRODUCT($BI$4:$BI$146,Schweine_Werte!BI$4:BI$146)/SUM($BI$4:$BI$146))))</f>
        <v>#DIV/0!</v>
      </c>
      <c r="I20" s="885" t="e">
        <f>IF($B24=$A$8,SUMPRODUCT($BI$4:$BI$146,Schweine_Werte!FB$4:FB$146)/SUM($BI$4:$BI$146),IF($B24=$A$7,SUMPRODUCT($BI$4:$BI$146,Schweine_Werte!DV$4:DV$146)/SUM($BI$4:$BI$146),IF($B24=$A$6,SUMPRODUCT($BI$4:$BI$146,Schweine_Werte!CP$4:CP$146)/SUM($BI$4:$BI$146),SUMPRODUCT($BI$4:$BI$146,Schweine_Werte!BJ$4:BJ$146)/SUM($BI$4:$BI$146))))</f>
        <v>#DIV/0!</v>
      </c>
      <c r="J20" s="885" t="e">
        <f>SUMPRODUCT($BI$4:$BI$146,Schweine_Werte!$AB$4:$AB$146)/SUM($BI$4:$BI$146)</f>
        <v>#DIV/0!</v>
      </c>
      <c r="K20" s="885" t="e">
        <f>SUMPRODUCT($BI$4:$BI$146,Schweine_Werte!$AJ$4:$AJ$146)/SUM($BI$4:$BI$146)</f>
        <v>#DIV/0!</v>
      </c>
      <c r="L20" s="1914" t="e">
        <f>T20*$F20*365/1000+$J20-$K20</f>
        <v>#DIV/0!</v>
      </c>
      <c r="M20" s="885" t="e">
        <f>U20*$F20*365/1000+$J20-$K20/2</f>
        <v>#DIV/0!</v>
      </c>
      <c r="N20" s="885" t="e">
        <f>V20*$F20*365/1000+$J20</f>
        <v>#DIV/0!</v>
      </c>
      <c r="O20" s="885">
        <f>IF($C24&lt;28,SUM($BI$4:$BI$23)+IF($D24&gt;28,$BI$24*0.5,$BI$24),0)</f>
        <v>0</v>
      </c>
      <c r="P20" s="885">
        <f>IF($D24&gt;28,SUM($BI$25:$BI$146)+IF($C24&lt;28,$BI$24*0.5,$BI$24),0)</f>
        <v>0</v>
      </c>
      <c r="Q20" s="885" t="e">
        <f t="shared" si="3"/>
        <v>#DIV/0!</v>
      </c>
      <c r="R20" s="885" t="e">
        <f t="shared" si="3"/>
        <v>#DIV/0!</v>
      </c>
      <c r="S20" s="885" t="e">
        <f t="shared" si="3"/>
        <v>#DIV/0!</v>
      </c>
      <c r="T20" s="885" t="e">
        <f>+($O20*Schweine_Werte!$HT$8+$P20*Schweine_Werte!$HU$8)/SUM($O20:$P20)</f>
        <v>#DIV/0!</v>
      </c>
      <c r="U20" s="885" t="e">
        <f>+($O20*Schweine_Werte!$HV$8+$P20*Schweine_Werte!$HW$8)/SUM($O20:$P20)</f>
        <v>#DIV/0!</v>
      </c>
      <c r="V20" s="885" t="e">
        <f>+($O20*Schweine_Werte!$HX$8+$P20*Schweine_Werte!$HY$8)/SUM($O20:$P20)</f>
        <v>#DIV/0!</v>
      </c>
      <c r="W20" s="1915" t="e">
        <f>($J20*0.055+T20*0.365*0.86*$F20-$K20*0.018)/L20*100</f>
        <v>#DIV/0!</v>
      </c>
      <c r="X20" s="885" t="e">
        <f>($J20*0.055+U20*0.365*0.86*$F20-$K20*0.018/2)/M20*100</f>
        <v>#DIV/0!</v>
      </c>
      <c r="Y20" s="885" t="e">
        <f>($J20*0.055+V20*0.365*0.86*$F20)/N20*100</f>
        <v>#DIV/0!</v>
      </c>
      <c r="Z20" s="885" t="e">
        <f>IF($B24=$A$8,SUMPRODUCT($BI$4:$BI$146,Schweine_Werte!$FC$4:$FC$146,Schweine_Werte!$FD$4:$FD$146)/SUMPRODUCT($BI$4:$BI$146,Schweine_Werte!$FC$4:$FC$146),IF($B24=$A$7,SUMPRODUCT($BI$4:$BI$146,Schweine_Werte!$DW$4:$DW$146,Schweine_Werte!$DX$4:$DX$146)/SUMPRODUCT($BI$4:$BI$146,Schweine_Werte!$DW$4:$DW$146),IF($B24=$A$6,SUMPRODUCT($BI$4:$BI$146,Schweine_Werte!$CQ$4:$CQ$146,Schweine_Werte!$CR$4:$CR$146)/SUMPRODUCT($BI$4:$BI$146,Schweine_Werte!$CQ$4:$CQ$146),SUMPRODUCT($BI$4:$BI$146,Schweine_Werte!$BK$4:$BK$146,Schweine_Werte!$BL$4:$BL$146)/SUMPRODUCT($BI$4:$BI$146,Schweine_Werte!$BK$4:$BK$146))))</f>
        <v>#DIV/0!</v>
      </c>
      <c r="AA20" s="885"/>
      <c r="AB20" s="885">
        <f>IF($B24=$A$8,SUMIF(Schweine_Werte!$AO$4:$AO$146,$C24,Schweine_Werte!$FD$4:$FD$146),IF($B24=$A$7,SUMIF(Schweine_Werte!$AO$4:$AO$146,$C24,Schweine_Werte!$DX$4:$DX$146),IF($B24=$A$6,SUMIF(Schweine_Werte!$AO$4:$AO$146,$C24,Schweine_Werte!$CR$4:$CR$146),SUMIF(Schweine_Werte!$AO$4:$AO$146,$C24,Schweine_Werte!$BL$4:$BL$146))))</f>
        <v>0</v>
      </c>
      <c r="AC20" s="885"/>
      <c r="AD20" s="885">
        <f>IF($B24=$A$8,SUMIF(Schweine_Werte!$AO$4:$AO$146,$D24,Schweine_Werte!$FD$4:$FD$146),IF($B24=$A$7,SUMIF(Schweine_Werte!$AO$4:$AO$146,$D24,Schweine_Werte!$DX$4:$DX$146),IF($B24=$A$6,SUMIF(Schweine_Werte!$AO$4:$AO$146,$D24,Schweine_Werte!$CR$4:$CR$146),SUMIF(Schweine_Werte!$AO$4:$AO$146,$D24,Schweine_Werte!$BL$4:$BL$146))))</f>
        <v>0</v>
      </c>
      <c r="AE20" s="885"/>
      <c r="AF20" s="885"/>
      <c r="AG20" s="885" t="e">
        <f>IF($B24=$A$8,SUMPRODUCT($BI$4:$BI$146,Schweine_Werte!$FC$4:$FC$146)/SUM($BI$4:$BI$146),IF($B24=$A$7,SUMPRODUCT($BI$4:$BI$146,Schweine_Werte!$DW$4:$DW$146)/SUM($BI$4:$BI$146),IF($B24=$A$6,SUMPRODUCT($BI$4:$BI$146,Schweine_Werte!$CQ$4:$CQ$146)/SUM($BI$4:$BI$146),SUMPRODUCT($BI$4:$BI$146,Schweine_Werte!$BK$4:$BK$146)/SUM($BI$4:$BI$146))))</f>
        <v>#DIV/0!</v>
      </c>
      <c r="AH20" s="885"/>
      <c r="AI20" s="885"/>
      <c r="AJ20" s="885" t="e">
        <f>IF($B24=$A$8,SUMPRODUCT($BI$4:$BI$146,Schweine_Werte!$FC$4:$FC$146,Schweine_Werte!$FE$4:$FE$146)/SUMPRODUCT($BI$4:$BI$146,Schweine_Werte!$FC$4:$FC$146),IF($B24=$A$7,SUMPRODUCT($BI$4:$BI$146,Schweine_Werte!$DW$4:$DW$146,Schweine_Werte!$DY$4:$DY$146)/SUMPRODUCT($BI$4:$BI$146,Schweine_Werte!$DW$4:$DW$146),IF($B24=$A$6,SUMPRODUCT($BI$4:$BI$146,Schweine_Werte!$CQ$4:$CQ$146,Schweine_Werte!$CS$4:$CS$146)/SUMPRODUCT($BI$4:$BI$146,Schweine_Werte!$CQ$4:$CQ$146),SUMPRODUCT($BI$4:$BI$146,Schweine_Werte!$BK$4:$BK$146,Schweine_Werte!$BM$4:$BM$146)/SUMPRODUCT($BI$4:$BI$146,Schweine_Werte!$BK$4:$BK$146))))</f>
        <v>#DIV/0!</v>
      </c>
      <c r="AK20" s="885"/>
      <c r="AL20" s="885">
        <f>IF($B24=$A$8,SUMIF(Schweine_Werte!$AO$4:$AO$146,$C24,Schweine_Werte!$FE$4:$FE$146),IF($B24=$A$7,SUMIF(Schweine_Werte!$AO$4:$AO$146,$C24,Schweine_Werte!$DY$4:$DY$146),IF($B24=$A$6,SUMIF(Schweine_Werte!$AO$4:$AO$146,$C24,Schweine_Werte!$CS$4:$CS$146),SUMIF(Schweine_Werte!$AO$4:$AO$146,$C24,Schweine_Werte!$BM$4:$BM$146))))</f>
        <v>0</v>
      </c>
      <c r="AM20" s="885"/>
      <c r="AN20" s="885">
        <f>IF($B24=$A$8,SUMIF(Schweine_Werte!$AO$4:$AO$146,$D24,Schweine_Werte!$FE$4:$FE$146),IF($B24=$A$7,SUMIF(Schweine_Werte!$AO$4:$AO$146,$D24,Schweine_Werte!$DY$4:$DY$146),IF($B24=$A$6,SUMIF(Schweine_Werte!$AO$4:$AO$146,$D24,Schweine_Werte!$CS$4:$CS$146),SUMIF(Schweine_Werte!$AO$4:$AO$146,$D24,Schweine_Werte!$BM$4:$BM$146))))</f>
        <v>0</v>
      </c>
      <c r="AO20" s="885"/>
      <c r="AR20" s="1733">
        <v>24</v>
      </c>
      <c r="AS20" s="1710">
        <f>IF(OR($C$12=$AR20,$D$12=$AR20),Schweine_Werte!$C20*0.5,IF(OR($C$12&gt;$AR20,$D$12&lt;$AR20),0,Schweine_Werte!$C20))</f>
        <v>0</v>
      </c>
      <c r="AT20" s="1713">
        <f>IF(OR($C$24=$AR20,$D$24=$AR20),Schweine_Werte!$C20*0.5,IF(OR($C$24&gt;$AR20,$D$24&lt;$AR20),0,Schweine_Werte!$C20))</f>
        <v>0</v>
      </c>
      <c r="AU20" s="1710">
        <f>IF(OR($C$36=$AR20,$D$36=$AR20),Schweine_Werte!$C20*0.5,IF(OR($C$36&gt;$AR20,$D$36&lt;$AR20),0,Schweine_Werte!$C20))</f>
        <v>0</v>
      </c>
      <c r="AV20" s="1710">
        <f>IF(OR($C$48=$AR20,$D$48=$AR20),Schweine_Werte!$C20*0.5,IF(OR($C$48&gt;$AR20,$D$48&lt;$AR20),0,Schweine_Werte!$C20))</f>
        <v>0</v>
      </c>
      <c r="AW20" s="1710">
        <f>IF(OR($C$60=$AR20,$D$60=$AR20),Schweine_Werte!$C20*0.5,IF(OR($C$60&gt;$AR20,$D$60&lt;$AR20),0,Schweine_Werte!$C20))</f>
        <v>0</v>
      </c>
      <c r="AX20" s="1710">
        <f>IF(OR($C$12=$AR20,$D$12=$AR20),Schweine_Werte!$E20*0.5,IF(OR($C$12&gt;$AR20,$D$12&lt;$AR20),0,Schweine_Werte!$E20))</f>
        <v>0</v>
      </c>
      <c r="AY20" s="1713">
        <f>IF(OR($C$24=$AR20,$D$24=$AR20),Schweine_Werte!$E20*0.5,IF(OR($C$24&gt;$AR20,$D$24&lt;$AR20),0,Schweine_Werte!$E20))</f>
        <v>0</v>
      </c>
      <c r="AZ20" s="1713">
        <f>IF(OR($C$36=$AR20,$D$36=$AR20),Schweine_Werte!$E20*0.5,IF(OR($C$36&gt;$AR20,$D$36&lt;$AR20),0,Schweine_Werte!$E20))</f>
        <v>0</v>
      </c>
      <c r="BA20" s="1713">
        <f>IF(OR($C$48=$AR20,$D$48=$AR20),Schweine_Werte!$E20*0.5,IF(OR($C$48&gt;$AR20,$D$48&lt;$AR20),0,Schweine_Werte!$E20))</f>
        <v>0</v>
      </c>
      <c r="BB20" s="1713">
        <f>IF(OR($C$60=$AR20,$D$60=$AR20),Schweine_Werte!$E20*0.5,IF(OR($C$60&gt;$AR20,$D$60&lt;$AR20),0,Schweine_Werte!$E20))</f>
        <v>0</v>
      </c>
      <c r="BC20" s="1710">
        <f>IF(OR($C$12=$AR20,$D$12=$AR20),Schweine_Werte!$G20*0.5,IF(OR($C$12&gt;$AR20,$D$12&lt;$AR20),0,Schweine_Werte!$G20))</f>
        <v>0</v>
      </c>
      <c r="BD20" s="1713">
        <f>IF(OR($C$24=$AR20,$D$24=$AR20),Schweine_Werte!$G20*0.5,IF(OR($C$24&gt;$AR20,$D$24&lt;$AR20),0,Schweine_Werte!$G20))</f>
        <v>0</v>
      </c>
      <c r="BE20" s="1713">
        <f>IF(OR($C$36=$AR20,$D$36=$AR20),Schweine_Werte!$G20*0.5,IF(OR($C$36&gt;$AR20,$D$36&lt;$AR20),0,Schweine_Werte!$G20))</f>
        <v>0</v>
      </c>
      <c r="BF20" s="1713">
        <f>IF(OR($C$48=$AR20,$D$48=$AR20),Schweine_Werte!$G20*0.5,IF(OR($C$48&gt;$AR20,$D$48&lt;$AR20),0,Schweine_Werte!$G20))</f>
        <v>0</v>
      </c>
      <c r="BG20" s="1713">
        <f>IF(OR($C$60=$AR20,$D$60=$AR20),Schweine_Werte!$G20*0.5,IF(OR($C$60&gt;$AR20,$D$60&lt;$AR20),0,Schweine_Werte!$G20))</f>
        <v>0</v>
      </c>
      <c r="BH20" s="1710">
        <f>IF(OR($C$12=$AR20,$D$12=$AR20),Schweine_Werte!$I20*0.5,IF(OR($C$12&gt;$AR20,$D$12&lt;$AR20),0,Schweine_Werte!$I20))</f>
        <v>0</v>
      </c>
      <c r="BI20" s="1713">
        <f>IF(OR($C$24=$AR20,$D$24=$AR20),Schweine_Werte!$I20*0.5,IF(OR($C$24&gt;$AR20,$D$24&lt;$AR20),0,Schweine_Werte!$I20))</f>
        <v>0</v>
      </c>
      <c r="BJ20" s="1713">
        <f>IF(OR($C$36=$AR20,$D$36=$AR20),Schweine_Werte!$I20*0.5,IF(OR($C$36&gt;$AR20,$D$36&lt;$AR20),0,Schweine_Werte!$I20))</f>
        <v>0</v>
      </c>
      <c r="BK20" s="1713">
        <f>IF(OR($C$48=$AR20,$D$48=$AR20),Schweine_Werte!$I20*0.5,IF(OR($C$48&gt;$AR20,$D$48&lt;$AR20),0,Schweine_Werte!$I20))</f>
        <v>0</v>
      </c>
      <c r="BL20" s="1713">
        <f>IF(OR($C$60=$AR20,$D$60=$AR20),Schweine_Werte!$I20*0.5,IF(OR($C$60&gt;$AR20,$D$60&lt;$AR20),0,Schweine_Werte!$I20))</f>
        <v>0</v>
      </c>
      <c r="BM20" s="1710">
        <f>IF(OR($C$12=$AR20,$D$12=$AR20),Schweine_Werte!$K20*0.5,IF(OR($C$12&gt;$AR20,$D$12&lt;$AR20),0,Schweine_Werte!$K20))</f>
        <v>0</v>
      </c>
      <c r="BN20" s="1713">
        <f>IF(OR($C$24=$AR20,$D$24=$AR20),Schweine_Werte!$K20*0.5,IF(OR($C$24&gt;$AR20,$D$24&lt;$AR20),0,Schweine_Werte!$K20))</f>
        <v>0</v>
      </c>
      <c r="BO20" s="1713">
        <f>IF(OR($C$36=$AR20,$D$36=$AR20),Schweine_Werte!$K20*0.5,IF(OR($C$36&gt;$AR20,$D$36&lt;$AR20),0,Schweine_Werte!$K20))</f>
        <v>0</v>
      </c>
      <c r="BP20" s="1713">
        <f>IF(OR($C$48=$AR20,$D$48=$AR20),Schweine_Werte!$K20*0.5,IF(OR($C$48&gt;$AR20,$D$48&lt;$AR20),0,Schweine_Werte!$K20))</f>
        <v>0</v>
      </c>
      <c r="BQ20" s="1713">
        <f>IF(OR($C$60=$AR20,$D$60=$AR20),Schweine_Werte!$K20*0.5,IF(OR($C$60&gt;$AR20,$D$60&lt;$AR20),0,Schweine_Werte!$K20))</f>
        <v>0</v>
      </c>
      <c r="BR20" s="1710">
        <f>IF(OR($C$74=$AR20,$D$74=$AR20),Schweine_Werte!$M20*0.5,IF(OR($C$74&gt;$AR20,$D$74&lt;$AR20),0,Schweine_Werte!$M20))</f>
        <v>0</v>
      </c>
      <c r="BS20" s="1710">
        <f>IF(OR($C$83=$AR20,$D$83=$AR20),Schweine_Werte!$M20*0.5,IF(OR($C$83&gt;$AR20,$D$83&lt;$AR20),0,Schweine_Werte!$M20))</f>
        <v>0</v>
      </c>
      <c r="BT20" s="1713">
        <f>IF(OR($C$92=$AR20,$D$92=$AR20),Schweine_Werte!$M20*0.5,IF(OR($C$92&gt;$AR20,$D$92&lt;$AR20),0,Schweine_Werte!$M20))</f>
        <v>0</v>
      </c>
      <c r="BU20" s="1713">
        <f>IF(OR($C$101=$AR20,$D$101=$AR20),Schweine_Werte!$M20*0.5,IF(OR($C$101&gt;$AR20,$D$101&lt;$AR20),0,Schweine_Werte!$M20))</f>
        <v>0</v>
      </c>
      <c r="BV20" s="1713">
        <f>IF(OR($C$110=$AR20,$D$110=$AR20),Schweine_Werte!$M20*0.5,IF(OR($C$110&gt;$AR20,$D$110&lt;$AR20),0,Schweine_Werte!$M20))</f>
        <v>0</v>
      </c>
      <c r="BW20" s="1713">
        <f>IF(OR(8=$AR20,$E$127=$AR20),Schweine_Werte!$M20*0.5,IF(OR(8&gt;$AR20,$E$127&lt;$AR20),0,Schweine_Werte!$M20))</f>
        <v>1.7752316048769723</v>
      </c>
      <c r="BX20" s="1713">
        <f>IF(OR(8=$AR20,$E$145=$AR20),Schweine_Werte!$M20*0.5,IF(OR(8&gt;$AR20,$E$145&lt;$AR20),0,Schweine_Werte!$M20))</f>
        <v>1.7752316048769723</v>
      </c>
      <c r="BY20" s="1710">
        <f>IF(OR($C$74=$AR20,$D$74=$AR20),Schweine_Werte!$O20*0.5,IF(OR($C$74&gt;$AR20,$D$74&lt;$AR20),0,Schweine_Werte!$O20))</f>
        <v>0</v>
      </c>
      <c r="BZ20" s="1710">
        <f>IF(OR($C$83=$AR20,$D$83=$AR20),Schweine_Werte!$O20*0.5,IF(OR($C$83&gt;$AR20,$D$83&lt;$AR20),0,Schweine_Werte!$O20))</f>
        <v>0</v>
      </c>
      <c r="CA20" s="1713">
        <f>IF(OR($C$92=$AR20,$D$92=$AR20),Schweine_Werte!$O20*0.5,IF(OR($C$92&gt;$AR20,$D$92&lt;$AR20),0,Schweine_Werte!$O20))</f>
        <v>0</v>
      </c>
      <c r="CB20" s="1713">
        <f>IF(OR($C$101=$AR20,$D$101=$AR20),Schweine_Werte!$O20*0.5,IF(OR($C$101&gt;$AR20,$D$101&lt;$AR20),0,Schweine_Werte!$O20))</f>
        <v>0</v>
      </c>
      <c r="CC20" s="1713">
        <f>IF(OR($C$110=$AR20,$D$110=$AR20),Schweine_Werte!$O20*0.5,IF(OR($C$110&gt;$AR20,$D$110&lt;$AR20),0,Schweine_Werte!$O20))</f>
        <v>0</v>
      </c>
    </row>
    <row r="21" spans="1:81" x14ac:dyDescent="0.25">
      <c r="B21" s="1712"/>
      <c r="D21" s="1713"/>
      <c r="E21" s="1713"/>
      <c r="F21" s="1713"/>
      <c r="G21" s="1713"/>
      <c r="H21" s="1713"/>
      <c r="I21" s="1713"/>
      <c r="J21" s="1713"/>
      <c r="K21" s="1713"/>
      <c r="L21" s="1713"/>
      <c r="M21" s="1713"/>
      <c r="N21" s="1713"/>
      <c r="O21" s="1713"/>
      <c r="P21" s="1713"/>
      <c r="Q21" s="1713"/>
      <c r="R21" s="1713"/>
      <c r="S21" s="1713"/>
      <c r="T21" s="1713"/>
      <c r="U21" s="1713"/>
      <c r="V21" s="1713"/>
      <c r="W21" s="1699"/>
      <c r="X21" s="1713"/>
      <c r="Y21" s="1713"/>
      <c r="Z21" s="1713"/>
      <c r="AA21" s="1713"/>
      <c r="AB21" s="1713"/>
      <c r="AC21" s="1713"/>
      <c r="AD21" s="1713"/>
      <c r="AE21" s="1713"/>
      <c r="AF21" s="1713"/>
      <c r="AG21" s="1713"/>
      <c r="AH21" s="1713"/>
      <c r="AI21" s="1713"/>
      <c r="AJ21" s="1713"/>
      <c r="AK21" s="1713"/>
      <c r="AL21" s="1713"/>
      <c r="AM21" s="1713"/>
      <c r="AN21" s="1713"/>
      <c r="AO21" s="1713"/>
      <c r="AR21" s="1733">
        <v>25</v>
      </c>
      <c r="AS21" s="1710">
        <f>IF(OR($C$12=$AR21,$D$12=$AR21),Schweine_Werte!$C21*0.5,IF(OR($C$12&gt;$AR21,$D$12&lt;$AR21),0,Schweine_Werte!$C21))</f>
        <v>0</v>
      </c>
      <c r="AT21" s="1713">
        <f>IF(OR($C$24=$AR21,$D$24=$AR21),Schweine_Werte!$C21*0.5,IF(OR($C$24&gt;$AR21,$D$24&lt;$AR21),0,Schweine_Werte!$C21))</f>
        <v>0</v>
      </c>
      <c r="AU21" s="1710">
        <f>IF(OR($C$36=$AR21,$D$36=$AR21),Schweine_Werte!$C21*0.5,IF(OR($C$36&gt;$AR21,$D$36&lt;$AR21),0,Schweine_Werte!$C21))</f>
        <v>0</v>
      </c>
      <c r="AV21" s="1710">
        <f>IF(OR($C$48=$AR21,$D$48=$AR21),Schweine_Werte!$C21*0.5,IF(OR($C$48&gt;$AR21,$D$48&lt;$AR21),0,Schweine_Werte!$C21))</f>
        <v>0</v>
      </c>
      <c r="AW21" s="1710">
        <f>IF(OR($C$60=$AR21,$D$60=$AR21),Schweine_Werte!$C21*0.5,IF(OR($C$60&gt;$AR21,$D$60&lt;$AR21),0,Schweine_Werte!$C21))</f>
        <v>0</v>
      </c>
      <c r="AX21" s="1710">
        <f>IF(OR($C$12=$AR21,$D$12=$AR21),Schweine_Werte!$E21*0.5,IF(OR($C$12&gt;$AR21,$D$12&lt;$AR21),0,Schweine_Werte!$E21))</f>
        <v>0</v>
      </c>
      <c r="AY21" s="1713">
        <f>IF(OR($C$24=$AR21,$D$24=$AR21),Schweine_Werte!$E21*0.5,IF(OR($C$24&gt;$AR21,$D$24&lt;$AR21),0,Schweine_Werte!$E21))</f>
        <v>0</v>
      </c>
      <c r="AZ21" s="1713">
        <f>IF(OR($C$36=$AR21,$D$36=$AR21),Schweine_Werte!$E21*0.5,IF(OR($C$36&gt;$AR21,$D$36&lt;$AR21),0,Schweine_Werte!$E21))</f>
        <v>0</v>
      </c>
      <c r="BA21" s="1713">
        <f>IF(OR($C$48=$AR21,$D$48=$AR21),Schweine_Werte!$E21*0.5,IF(OR($C$48&gt;$AR21,$D$48&lt;$AR21),0,Schweine_Werte!$E21))</f>
        <v>0</v>
      </c>
      <c r="BB21" s="1713">
        <f>IF(OR($C$60=$AR21,$D$60=$AR21),Schweine_Werte!$E21*0.5,IF(OR($C$60&gt;$AR21,$D$60&lt;$AR21),0,Schweine_Werte!$E21))</f>
        <v>0</v>
      </c>
      <c r="BC21" s="1710">
        <f>IF(OR($C$12=$AR21,$D$12=$AR21),Schweine_Werte!$G21*0.5,IF(OR($C$12&gt;$AR21,$D$12&lt;$AR21),0,Schweine_Werte!$G21))</f>
        <v>0</v>
      </c>
      <c r="BD21" s="1713">
        <f>IF(OR($C$24=$AR21,$D$24=$AR21),Schweine_Werte!$G21*0.5,IF(OR($C$24&gt;$AR21,$D$24&lt;$AR21),0,Schweine_Werte!$G21))</f>
        <v>0</v>
      </c>
      <c r="BE21" s="1713">
        <f>IF(OR($C$36=$AR21,$D$36=$AR21),Schweine_Werte!$G21*0.5,IF(OR($C$36&gt;$AR21,$D$36&lt;$AR21),0,Schweine_Werte!$G21))</f>
        <v>0</v>
      </c>
      <c r="BF21" s="1713">
        <f>IF(OR($C$48=$AR21,$D$48=$AR21),Schweine_Werte!$G21*0.5,IF(OR($C$48&gt;$AR21,$D$48&lt;$AR21),0,Schweine_Werte!$G21))</f>
        <v>0</v>
      </c>
      <c r="BG21" s="1713">
        <f>IF(OR($C$60=$AR21,$D$60=$AR21),Schweine_Werte!$G21*0.5,IF(OR($C$60&gt;$AR21,$D$60&lt;$AR21),0,Schweine_Werte!$G21))</f>
        <v>0</v>
      </c>
      <c r="BH21" s="1710">
        <f>IF(OR($C$12=$AR21,$D$12=$AR21),Schweine_Werte!$I21*0.5,IF(OR($C$12&gt;$AR21,$D$12&lt;$AR21),0,Schweine_Werte!$I21))</f>
        <v>0</v>
      </c>
      <c r="BI21" s="1713">
        <f>IF(OR($C$24=$AR21,$D$24=$AR21),Schweine_Werte!$I21*0.5,IF(OR($C$24&gt;$AR21,$D$24&lt;$AR21),0,Schweine_Werte!$I21))</f>
        <v>0</v>
      </c>
      <c r="BJ21" s="1713">
        <f>IF(OR($C$36=$AR21,$D$36=$AR21),Schweine_Werte!$I21*0.5,IF(OR($C$36&gt;$AR21,$D$36&lt;$AR21),0,Schweine_Werte!$I21))</f>
        <v>0</v>
      </c>
      <c r="BK21" s="1713">
        <f>IF(OR($C$48=$AR21,$D$48=$AR21),Schweine_Werte!$I21*0.5,IF(OR($C$48&gt;$AR21,$D$48&lt;$AR21),0,Schweine_Werte!$I21))</f>
        <v>0</v>
      </c>
      <c r="BL21" s="1713">
        <f>IF(OR($C$60=$AR21,$D$60=$AR21),Schweine_Werte!$I21*0.5,IF(OR($C$60&gt;$AR21,$D$60&lt;$AR21),0,Schweine_Werte!$I21))</f>
        <v>0</v>
      </c>
      <c r="BM21" s="1710">
        <f>IF(OR($C$12=$AR21,$D$12=$AR21),Schweine_Werte!$K21*0.5,IF(OR($C$12&gt;$AR21,$D$12&lt;$AR21),0,Schweine_Werte!$K21))</f>
        <v>0</v>
      </c>
      <c r="BN21" s="1713">
        <f>IF(OR($C$24=$AR21,$D$24=$AR21),Schweine_Werte!$K21*0.5,IF(OR($C$24&gt;$AR21,$D$24&lt;$AR21),0,Schweine_Werte!$K21))</f>
        <v>0</v>
      </c>
      <c r="BO21" s="1713">
        <f>IF(OR($C$36=$AR21,$D$36=$AR21),Schweine_Werte!$K21*0.5,IF(OR($C$36&gt;$AR21,$D$36&lt;$AR21),0,Schweine_Werte!$K21))</f>
        <v>0</v>
      </c>
      <c r="BP21" s="1713">
        <f>IF(OR($C$48=$AR21,$D$48=$AR21),Schweine_Werte!$K21*0.5,IF(OR($C$48&gt;$AR21,$D$48&lt;$AR21),0,Schweine_Werte!$K21))</f>
        <v>0</v>
      </c>
      <c r="BQ21" s="1713">
        <f>IF(OR($C$60=$AR21,$D$60=$AR21),Schweine_Werte!$K21*0.5,IF(OR($C$60&gt;$AR21,$D$60&lt;$AR21),0,Schweine_Werte!$K21))</f>
        <v>0</v>
      </c>
      <c r="BR21" s="1710">
        <f>IF(OR($C$74=$AR21,$D$74=$AR21),Schweine_Werte!$M21*0.5,IF(OR($C$74&gt;$AR21,$D$74&lt;$AR21),0,Schweine_Werte!$M21))</f>
        <v>0</v>
      </c>
      <c r="BS21" s="1710">
        <f>IF(OR($C$83=$AR21,$D$83=$AR21),Schweine_Werte!$M21*0.5,IF(OR($C$83&gt;$AR21,$D$83&lt;$AR21),0,Schweine_Werte!$M21))</f>
        <v>0</v>
      </c>
      <c r="BT21" s="1713">
        <f>IF(OR($C$92=$AR21,$D$92=$AR21),Schweine_Werte!$M21*0.5,IF(OR($C$92&gt;$AR21,$D$92&lt;$AR21),0,Schweine_Werte!$M21))</f>
        <v>0</v>
      </c>
      <c r="BU21" s="1713">
        <f>IF(OR($C$101=$AR21,$D$101=$AR21),Schweine_Werte!$M21*0.5,IF(OR($C$101&gt;$AR21,$D$101&lt;$AR21),0,Schweine_Werte!$M21))</f>
        <v>0</v>
      </c>
      <c r="BV21" s="1713">
        <f>IF(OR($C$110=$AR21,$D$110=$AR21),Schweine_Werte!$M21*0.5,IF(OR($C$110&gt;$AR21,$D$110&lt;$AR21),0,Schweine_Werte!$M21))</f>
        <v>0</v>
      </c>
      <c r="BW21" s="1713">
        <f>IF(OR(8=$AR21,$E$127=$AR21),Schweine_Werte!$M21*0.5,IF(OR(8&gt;$AR21,$E$127&lt;$AR21),0,Schweine_Werte!$M21))</f>
        <v>1.7347990778335918</v>
      </c>
      <c r="BX21" s="1713">
        <f>IF(OR(8=$AR21,$E$145=$AR21),Schweine_Werte!$M21*0.5,IF(OR(8&gt;$AR21,$E$145&lt;$AR21),0,Schweine_Werte!$M21))</f>
        <v>1.7347990778335918</v>
      </c>
      <c r="BY21" s="1710">
        <f>IF(OR($C$74=$AR21,$D$74=$AR21),Schweine_Werte!$O21*0.5,IF(OR($C$74&gt;$AR21,$D$74&lt;$AR21),0,Schweine_Werte!$O21))</f>
        <v>0</v>
      </c>
      <c r="BZ21" s="1710">
        <f>IF(OR($C$83=$AR21,$D$83=$AR21),Schweine_Werte!$O21*0.5,IF(OR($C$83&gt;$AR21,$D$83&lt;$AR21),0,Schweine_Werte!$O21))</f>
        <v>0</v>
      </c>
      <c r="CA21" s="1713">
        <f>IF(OR($C$92=$AR21,$D$92=$AR21),Schweine_Werte!$O21*0.5,IF(OR($C$92&gt;$AR21,$D$92&lt;$AR21),0,Schweine_Werte!$O21))</f>
        <v>0</v>
      </c>
      <c r="CB21" s="1713">
        <f>IF(OR($C$101=$AR21,$D$101=$AR21),Schweine_Werte!$O21*0.5,IF(OR($C$101&gt;$AR21,$D$101&lt;$AR21),0,Schweine_Werte!$O21))</f>
        <v>0</v>
      </c>
      <c r="CC21" s="1713">
        <f>IF(OR($C$110=$AR21,$D$110=$AR21),Schweine_Werte!$O21*0.5,IF(OR($C$110&gt;$AR21,$D$110&lt;$AR21),0,Schweine_Werte!$O21))</f>
        <v>0</v>
      </c>
    </row>
    <row r="22" spans="1:81" ht="15.75" x14ac:dyDescent="0.25">
      <c r="F22" s="1716"/>
      <c r="G22" s="3257" t="s">
        <v>8582</v>
      </c>
      <c r="H22" s="3258"/>
      <c r="I22" s="3259"/>
      <c r="J22" s="1717" t="s">
        <v>8096</v>
      </c>
      <c r="K22" s="1717" t="s">
        <v>204</v>
      </c>
      <c r="L22" s="3260" t="s">
        <v>8583</v>
      </c>
      <c r="M22" s="3260"/>
      <c r="N22" s="3260"/>
      <c r="O22" s="3247" t="s">
        <v>8584</v>
      </c>
      <c r="P22" s="3249"/>
      <c r="Q22" s="3247" t="s">
        <v>8585</v>
      </c>
      <c r="R22" s="3248"/>
      <c r="S22" s="3249"/>
      <c r="T22" s="3247" t="s">
        <v>8586</v>
      </c>
      <c r="U22" s="3248"/>
      <c r="V22" s="3249"/>
      <c r="W22" s="3247" t="s">
        <v>8587</v>
      </c>
      <c r="X22" s="3248"/>
      <c r="Y22" s="3249"/>
      <c r="Z22" s="3250" t="s">
        <v>8588</v>
      </c>
      <c r="AA22" s="3250"/>
      <c r="AB22" s="3250" t="s">
        <v>8589</v>
      </c>
      <c r="AC22" s="3250"/>
      <c r="AD22" s="3250" t="s">
        <v>8590</v>
      </c>
      <c r="AE22" s="3250"/>
      <c r="AF22" s="1718" t="s">
        <v>8591</v>
      </c>
      <c r="AG22" s="3254" t="s">
        <v>8592</v>
      </c>
      <c r="AH22" s="3255"/>
      <c r="AI22" s="1719" t="s">
        <v>8611</v>
      </c>
      <c r="AJ22" s="3250" t="s">
        <v>8588</v>
      </c>
      <c r="AK22" s="3250"/>
      <c r="AL22" s="3250" t="s">
        <v>8589</v>
      </c>
      <c r="AM22" s="3250"/>
      <c r="AN22" s="3250" t="s">
        <v>8590</v>
      </c>
      <c r="AO22" s="3250"/>
      <c r="AR22" s="1733">
        <v>26</v>
      </c>
      <c r="AS22" s="1710">
        <f>IF(OR($C$12=$AR22,$D$12=$AR22),Schweine_Werte!$C22*0.5,IF(OR($C$12&gt;$AR22,$D$12&lt;$AR22),0,Schweine_Werte!$C22))</f>
        <v>0</v>
      </c>
      <c r="AT22" s="1713">
        <f>IF(OR($C$24=$AR22,$D$24=$AR22),Schweine_Werte!$C22*0.5,IF(OR($C$24&gt;$AR22,$D$24&lt;$AR22),0,Schweine_Werte!$C22))</f>
        <v>0</v>
      </c>
      <c r="AU22" s="1710">
        <f>IF(OR($C$36=$AR22,$D$36=$AR22),Schweine_Werte!$C22*0.5,IF(OR($C$36&gt;$AR22,$D$36&lt;$AR22),0,Schweine_Werte!$C22))</f>
        <v>0</v>
      </c>
      <c r="AV22" s="1710">
        <f>IF(OR($C$48=$AR22,$D$48=$AR22),Schweine_Werte!$C22*0.5,IF(OR($C$48&gt;$AR22,$D$48&lt;$AR22),0,Schweine_Werte!$C22))</f>
        <v>0</v>
      </c>
      <c r="AW22" s="1710">
        <f>IF(OR($C$60=$AR22,$D$60=$AR22),Schweine_Werte!$C22*0.5,IF(OR($C$60&gt;$AR22,$D$60&lt;$AR22),0,Schweine_Werte!$C22))</f>
        <v>0</v>
      </c>
      <c r="AX22" s="1710">
        <f>IF(OR($C$12=$AR22,$D$12=$AR22),Schweine_Werte!$E22*0.5,IF(OR($C$12&gt;$AR22,$D$12&lt;$AR22),0,Schweine_Werte!$E22))</f>
        <v>0</v>
      </c>
      <c r="AY22" s="1713">
        <f>IF(OR($C$24=$AR22,$D$24=$AR22),Schweine_Werte!$E22*0.5,IF(OR($C$24&gt;$AR22,$D$24&lt;$AR22),0,Schweine_Werte!$E22))</f>
        <v>0</v>
      </c>
      <c r="AZ22" s="1713">
        <f>IF(OR($C$36=$AR22,$D$36=$AR22),Schweine_Werte!$E22*0.5,IF(OR($C$36&gt;$AR22,$D$36&lt;$AR22),0,Schweine_Werte!$E22))</f>
        <v>0</v>
      </c>
      <c r="BA22" s="1713">
        <f>IF(OR($C$48=$AR22,$D$48=$AR22),Schweine_Werte!$E22*0.5,IF(OR($C$48&gt;$AR22,$D$48&lt;$AR22),0,Schweine_Werte!$E22))</f>
        <v>0</v>
      </c>
      <c r="BB22" s="1713">
        <f>IF(OR($C$60=$AR22,$D$60=$AR22),Schweine_Werte!$E22*0.5,IF(OR($C$60&gt;$AR22,$D$60&lt;$AR22),0,Schweine_Werte!$E22))</f>
        <v>0</v>
      </c>
      <c r="BC22" s="1710">
        <f>IF(OR($C$12=$AR22,$D$12=$AR22),Schweine_Werte!$G22*0.5,IF(OR($C$12&gt;$AR22,$D$12&lt;$AR22),0,Schweine_Werte!$G22))</f>
        <v>0</v>
      </c>
      <c r="BD22" s="1713">
        <f>IF(OR($C$24=$AR22,$D$24=$AR22),Schweine_Werte!$G22*0.5,IF(OR($C$24&gt;$AR22,$D$24&lt;$AR22),0,Schweine_Werte!$G22))</f>
        <v>0</v>
      </c>
      <c r="BE22" s="1713">
        <f>IF(OR($C$36=$AR22,$D$36=$AR22),Schweine_Werte!$G22*0.5,IF(OR($C$36&gt;$AR22,$D$36&lt;$AR22),0,Schweine_Werte!$G22))</f>
        <v>0</v>
      </c>
      <c r="BF22" s="1713">
        <f>IF(OR($C$48=$AR22,$D$48=$AR22),Schweine_Werte!$G22*0.5,IF(OR($C$48&gt;$AR22,$D$48&lt;$AR22),0,Schweine_Werte!$G22))</f>
        <v>0</v>
      </c>
      <c r="BG22" s="1713">
        <f>IF(OR($C$60=$AR22,$D$60=$AR22),Schweine_Werte!$G22*0.5,IF(OR($C$60&gt;$AR22,$D$60&lt;$AR22),0,Schweine_Werte!$G22))</f>
        <v>0</v>
      </c>
      <c r="BH22" s="1710">
        <f>IF(OR($C$12=$AR22,$D$12=$AR22),Schweine_Werte!$I22*0.5,IF(OR($C$12&gt;$AR22,$D$12&lt;$AR22),0,Schweine_Werte!$I22))</f>
        <v>0</v>
      </c>
      <c r="BI22" s="1713">
        <f>IF(OR($C$24=$AR22,$D$24=$AR22),Schweine_Werte!$I22*0.5,IF(OR($C$24&gt;$AR22,$D$24&lt;$AR22),0,Schweine_Werte!$I22))</f>
        <v>0</v>
      </c>
      <c r="BJ22" s="1713">
        <f>IF(OR($C$36=$AR22,$D$36=$AR22),Schweine_Werte!$I22*0.5,IF(OR($C$36&gt;$AR22,$D$36&lt;$AR22),0,Schweine_Werte!$I22))</f>
        <v>0</v>
      </c>
      <c r="BK22" s="1713">
        <f>IF(OR($C$48=$AR22,$D$48=$AR22),Schweine_Werte!$I22*0.5,IF(OR($C$48&gt;$AR22,$D$48&lt;$AR22),0,Schweine_Werte!$I22))</f>
        <v>0</v>
      </c>
      <c r="BL22" s="1713">
        <f>IF(OR($C$60=$AR22,$D$60=$AR22),Schweine_Werte!$I22*0.5,IF(OR($C$60&gt;$AR22,$D$60&lt;$AR22),0,Schweine_Werte!$I22))</f>
        <v>0</v>
      </c>
      <c r="BM22" s="1710">
        <f>IF(OR($C$12=$AR22,$D$12=$AR22),Schweine_Werte!$K22*0.5,IF(OR($C$12&gt;$AR22,$D$12&lt;$AR22),0,Schweine_Werte!$K22))</f>
        <v>0</v>
      </c>
      <c r="BN22" s="1713">
        <f>IF(OR($C$24=$AR22,$D$24=$AR22),Schweine_Werte!$K22*0.5,IF(OR($C$24&gt;$AR22,$D$24&lt;$AR22),0,Schweine_Werte!$K22))</f>
        <v>0</v>
      </c>
      <c r="BO22" s="1713">
        <f>IF(OR($C$36=$AR22,$D$36=$AR22),Schweine_Werte!$K22*0.5,IF(OR($C$36&gt;$AR22,$D$36&lt;$AR22),0,Schweine_Werte!$K22))</f>
        <v>0</v>
      </c>
      <c r="BP22" s="1713">
        <f>IF(OR($C$48=$AR22,$D$48=$AR22),Schweine_Werte!$K22*0.5,IF(OR($C$48&gt;$AR22,$D$48&lt;$AR22),0,Schweine_Werte!$K22))</f>
        <v>0</v>
      </c>
      <c r="BQ22" s="1713">
        <f>IF(OR($C$60=$AR22,$D$60=$AR22),Schweine_Werte!$K22*0.5,IF(OR($C$60&gt;$AR22,$D$60&lt;$AR22),0,Schweine_Werte!$K22))</f>
        <v>0</v>
      </c>
      <c r="BR22" s="1710">
        <f>IF(OR($C$74=$AR22,$D$74=$AR22),Schweine_Werte!$M22*0.5,IF(OR($C$74&gt;$AR22,$D$74&lt;$AR22),0,Schweine_Werte!$M22))</f>
        <v>0</v>
      </c>
      <c r="BS22" s="1710">
        <f>IF(OR($C$83=$AR22,$D$83=$AR22),Schweine_Werte!$M22*0.5,IF(OR($C$83&gt;$AR22,$D$83&lt;$AR22),0,Schweine_Werte!$M22))</f>
        <v>0</v>
      </c>
      <c r="BT22" s="1713">
        <f>IF(OR($C$92=$AR22,$D$92=$AR22),Schweine_Werte!$M22*0.5,IF(OR($C$92&gt;$AR22,$D$92&lt;$AR22),0,Schweine_Werte!$M22))</f>
        <v>0</v>
      </c>
      <c r="BU22" s="1713">
        <f>IF(OR($C$101=$AR22,$D$101=$AR22),Schweine_Werte!$M22*0.5,IF(OR($C$101&gt;$AR22,$D$101&lt;$AR22),0,Schweine_Werte!$M22))</f>
        <v>0</v>
      </c>
      <c r="BV22" s="1713">
        <f>IF(OR($C$110=$AR22,$D$110=$AR22),Schweine_Werte!$M22*0.5,IF(OR($C$110&gt;$AR22,$D$110&lt;$AR22),0,Schweine_Werte!$M22))</f>
        <v>0</v>
      </c>
      <c r="BW22" s="1713">
        <f>IF(OR(8=$AR22,$E$127=$AR22),Schweine_Werte!$M22*0.5,IF(OR(8&gt;$AR22,$E$127&lt;$AR22),0,Schweine_Werte!$M22))</f>
        <v>1.6972841119740132</v>
      </c>
      <c r="BX22" s="1713">
        <f>IF(OR(8=$AR22,$E$145=$AR22),Schweine_Werte!$M22*0.5,IF(OR(8&gt;$AR22,$E$145&lt;$AR22),0,Schweine_Werte!$M22))</f>
        <v>1.6972841119740132</v>
      </c>
      <c r="BY22" s="1710">
        <f>IF(OR($C$74=$AR22,$D$74=$AR22),Schweine_Werte!$O22*0.5,IF(OR($C$74&gt;$AR22,$D$74&lt;$AR22),0,Schweine_Werte!$O22))</f>
        <v>0</v>
      </c>
      <c r="BZ22" s="1710">
        <f>IF(OR($C$83=$AR22,$D$83=$AR22),Schweine_Werte!$O22*0.5,IF(OR($C$83&gt;$AR22,$D$83&lt;$AR22),0,Schweine_Werte!$O22))</f>
        <v>0</v>
      </c>
      <c r="CA22" s="1713">
        <f>IF(OR($C$92=$AR22,$D$92=$AR22),Schweine_Werte!$O22*0.5,IF(OR($C$92&gt;$AR22,$D$92&lt;$AR22),0,Schweine_Werte!$O22))</f>
        <v>0</v>
      </c>
      <c r="CB22" s="1713">
        <f>IF(OR($C$101=$AR22,$D$101=$AR22),Schweine_Werte!$O22*0.5,IF(OR($C$101&gt;$AR22,$D$101&lt;$AR22),0,Schweine_Werte!$O22))</f>
        <v>0</v>
      </c>
      <c r="CC22" s="1713">
        <f>IF(OR($C$110=$AR22,$D$110=$AR22),Schweine_Werte!$O22*0.5,IF(OR($C$110&gt;$AR22,$D$110&lt;$AR22),0,Schweine_Werte!$O22))</f>
        <v>0</v>
      </c>
    </row>
    <row r="23" spans="1:81" ht="14.45" customHeight="1" x14ac:dyDescent="0.25">
      <c r="B23" s="1720" t="s">
        <v>8594</v>
      </c>
      <c r="C23" s="1721" t="s">
        <v>8595</v>
      </c>
      <c r="D23" s="1721" t="s">
        <v>8596</v>
      </c>
      <c r="E23" s="1721" t="s">
        <v>8597</v>
      </c>
      <c r="F23" s="1722" t="s">
        <v>195</v>
      </c>
      <c r="G23" s="1723" t="s">
        <v>4</v>
      </c>
      <c r="H23" s="1723" t="s">
        <v>8598</v>
      </c>
      <c r="I23" s="1723" t="s">
        <v>8599</v>
      </c>
      <c r="J23" s="1724" t="s">
        <v>8600</v>
      </c>
      <c r="K23" s="1724" t="s">
        <v>8600</v>
      </c>
      <c r="L23" s="1725" t="s">
        <v>35</v>
      </c>
      <c r="M23" s="1725" t="s">
        <v>8601</v>
      </c>
      <c r="N23" s="1725" t="s">
        <v>37</v>
      </c>
      <c r="O23" s="1726" t="s">
        <v>0</v>
      </c>
      <c r="P23" s="1726" t="s">
        <v>9</v>
      </c>
      <c r="Q23" s="1725" t="s">
        <v>35</v>
      </c>
      <c r="R23" s="1725" t="s">
        <v>36</v>
      </c>
      <c r="S23" s="1725" t="s">
        <v>37</v>
      </c>
      <c r="T23" s="1725" t="s">
        <v>35</v>
      </c>
      <c r="U23" s="1725" t="s">
        <v>36</v>
      </c>
      <c r="V23" s="1725" t="s">
        <v>37</v>
      </c>
      <c r="W23" s="1724" t="s">
        <v>8528</v>
      </c>
      <c r="X23" s="1724" t="s">
        <v>8529</v>
      </c>
      <c r="Y23" s="1724" t="s">
        <v>8530</v>
      </c>
      <c r="Z23" s="1727" t="s">
        <v>8602</v>
      </c>
      <c r="AA23" s="1727" t="s">
        <v>8603</v>
      </c>
      <c r="AB23" s="1727" t="s">
        <v>8602</v>
      </c>
      <c r="AC23" s="1727" t="s">
        <v>8603</v>
      </c>
      <c r="AD23" s="1727" t="s">
        <v>8602</v>
      </c>
      <c r="AE23" s="1727" t="s">
        <v>8603</v>
      </c>
      <c r="AF23" s="1727" t="s">
        <v>8604</v>
      </c>
      <c r="AG23" s="1728" t="s">
        <v>8605</v>
      </c>
      <c r="AH23" s="1727" t="s">
        <v>216</v>
      </c>
      <c r="AI23" s="1727"/>
      <c r="AJ23" s="1727" t="s">
        <v>8527</v>
      </c>
      <c r="AK23" s="1727" t="s">
        <v>8606</v>
      </c>
      <c r="AL23" s="1727" t="s">
        <v>8607</v>
      </c>
      <c r="AM23" s="1727" t="s">
        <v>8608</v>
      </c>
      <c r="AN23" s="1727" t="s">
        <v>8607</v>
      </c>
      <c r="AO23" s="1727" t="s">
        <v>8609</v>
      </c>
      <c r="AR23" s="1733">
        <v>27</v>
      </c>
      <c r="AS23" s="1710">
        <f>IF(OR($C$12=$AR23,$D$12=$AR23),Schweine_Werte!$C23*0.5,IF(OR($C$12&gt;$AR23,$D$12&lt;$AR23),0,Schweine_Werte!$C23))</f>
        <v>0</v>
      </c>
      <c r="AT23" s="1713">
        <f>IF(OR($C$24=$AR23,$D$24=$AR23),Schweine_Werte!$C23*0.5,IF(OR($C$24&gt;$AR23,$D$24&lt;$AR23),0,Schweine_Werte!$C23))</f>
        <v>0</v>
      </c>
      <c r="AU23" s="1710">
        <f>IF(OR($C$36=$AR23,$D$36=$AR23),Schweine_Werte!$C23*0.5,IF(OR($C$36&gt;$AR23,$D$36&lt;$AR23),0,Schweine_Werte!$C23))</f>
        <v>0</v>
      </c>
      <c r="AV23" s="1710">
        <f>IF(OR($C$48=$AR23,$D$48=$AR23),Schweine_Werte!$C23*0.5,IF(OR($C$48&gt;$AR23,$D$48&lt;$AR23),0,Schweine_Werte!$C23))</f>
        <v>0</v>
      </c>
      <c r="AW23" s="1710">
        <f>IF(OR($C$60=$AR23,$D$60=$AR23),Schweine_Werte!$C23*0.5,IF(OR($C$60&gt;$AR23,$D$60&lt;$AR23),0,Schweine_Werte!$C23))</f>
        <v>0</v>
      </c>
      <c r="AX23" s="1710">
        <f>IF(OR($C$12=$AR23,$D$12=$AR23),Schweine_Werte!$E23*0.5,IF(OR($C$12&gt;$AR23,$D$12&lt;$AR23),0,Schweine_Werte!$E23))</f>
        <v>0</v>
      </c>
      <c r="AY23" s="1713">
        <f>IF(OR($C$24=$AR23,$D$24=$AR23),Schweine_Werte!$E23*0.5,IF(OR($C$24&gt;$AR23,$D$24&lt;$AR23),0,Schweine_Werte!$E23))</f>
        <v>0</v>
      </c>
      <c r="AZ23" s="1713">
        <f>IF(OR($C$36=$AR23,$D$36=$AR23),Schweine_Werte!$E23*0.5,IF(OR($C$36&gt;$AR23,$D$36&lt;$AR23),0,Schweine_Werte!$E23))</f>
        <v>0</v>
      </c>
      <c r="BA23" s="1713">
        <f>IF(OR($C$48=$AR23,$D$48=$AR23),Schweine_Werte!$E23*0.5,IF(OR($C$48&gt;$AR23,$D$48&lt;$AR23),0,Schweine_Werte!$E23))</f>
        <v>0</v>
      </c>
      <c r="BB23" s="1713">
        <f>IF(OR($C$60=$AR23,$D$60=$AR23),Schweine_Werte!$E23*0.5,IF(OR($C$60&gt;$AR23,$D$60&lt;$AR23),0,Schweine_Werte!$E23))</f>
        <v>0</v>
      </c>
      <c r="BC23" s="1710">
        <f>IF(OR($C$12=$AR23,$D$12=$AR23),Schweine_Werte!$G23*0.5,IF(OR($C$12&gt;$AR23,$D$12&lt;$AR23),0,Schweine_Werte!$G23))</f>
        <v>0</v>
      </c>
      <c r="BD23" s="1713">
        <f>IF(OR($C$24=$AR23,$D$24=$AR23),Schweine_Werte!$G23*0.5,IF(OR($C$24&gt;$AR23,$D$24&lt;$AR23),0,Schweine_Werte!$G23))</f>
        <v>0</v>
      </c>
      <c r="BE23" s="1713">
        <f>IF(OR($C$36=$AR23,$D$36=$AR23),Schweine_Werte!$G23*0.5,IF(OR($C$36&gt;$AR23,$D$36&lt;$AR23),0,Schweine_Werte!$G23))</f>
        <v>0</v>
      </c>
      <c r="BF23" s="1713">
        <f>IF(OR($C$48=$AR23,$D$48=$AR23),Schweine_Werte!$G23*0.5,IF(OR($C$48&gt;$AR23,$D$48&lt;$AR23),0,Schweine_Werte!$G23))</f>
        <v>0</v>
      </c>
      <c r="BG23" s="1713">
        <f>IF(OR($C$60=$AR23,$D$60=$AR23),Schweine_Werte!$G23*0.5,IF(OR($C$60&gt;$AR23,$D$60&lt;$AR23),0,Schweine_Werte!$G23))</f>
        <v>0</v>
      </c>
      <c r="BH23" s="1710">
        <f>IF(OR($C$12=$AR23,$D$12=$AR23),Schweine_Werte!$I23*0.5,IF(OR($C$12&gt;$AR23,$D$12&lt;$AR23),0,Schweine_Werte!$I23))</f>
        <v>0</v>
      </c>
      <c r="BI23" s="1713">
        <f>IF(OR($C$24=$AR23,$D$24=$AR23),Schweine_Werte!$I23*0.5,IF(OR($C$24&gt;$AR23,$D$24&lt;$AR23),0,Schweine_Werte!$I23))</f>
        <v>0</v>
      </c>
      <c r="BJ23" s="1713">
        <f>IF(OR($C$36=$AR23,$D$36=$AR23),Schweine_Werte!$I23*0.5,IF(OR($C$36&gt;$AR23,$D$36&lt;$AR23),0,Schweine_Werte!$I23))</f>
        <v>0</v>
      </c>
      <c r="BK23" s="1713">
        <f>IF(OR($C$48=$AR23,$D$48=$AR23),Schweine_Werte!$I23*0.5,IF(OR($C$48&gt;$AR23,$D$48&lt;$AR23),0,Schweine_Werte!$I23))</f>
        <v>0</v>
      </c>
      <c r="BL23" s="1713">
        <f>IF(OR($C$60=$AR23,$D$60=$AR23),Schweine_Werte!$I23*0.5,IF(OR($C$60&gt;$AR23,$D$60&lt;$AR23),0,Schweine_Werte!$I23))</f>
        <v>0</v>
      </c>
      <c r="BM23" s="1710">
        <f>IF(OR($C$12=$AR23,$D$12=$AR23),Schweine_Werte!$K23*0.5,IF(OR($C$12&gt;$AR23,$D$12&lt;$AR23),0,Schweine_Werte!$K23))</f>
        <v>0</v>
      </c>
      <c r="BN23" s="1713">
        <f>IF(OR($C$24=$AR23,$D$24=$AR23),Schweine_Werte!$K23*0.5,IF(OR($C$24&gt;$AR23,$D$24&lt;$AR23),0,Schweine_Werte!$K23))</f>
        <v>0</v>
      </c>
      <c r="BO23" s="1713">
        <f>IF(OR($C$36=$AR23,$D$36=$AR23),Schweine_Werte!$K23*0.5,IF(OR($C$36&gt;$AR23,$D$36&lt;$AR23),0,Schweine_Werte!$K23))</f>
        <v>0</v>
      </c>
      <c r="BP23" s="1713">
        <f>IF(OR($C$48=$AR23,$D$48=$AR23),Schweine_Werte!$K23*0.5,IF(OR($C$48&gt;$AR23,$D$48&lt;$AR23),0,Schweine_Werte!$K23))</f>
        <v>0</v>
      </c>
      <c r="BQ23" s="1713">
        <f>IF(OR($C$60=$AR23,$D$60=$AR23),Schweine_Werte!$K23*0.5,IF(OR($C$60&gt;$AR23,$D$60&lt;$AR23),0,Schweine_Werte!$K23))</f>
        <v>0</v>
      </c>
      <c r="BR23" s="1710">
        <f>IF(OR($C$74=$AR23,$D$74=$AR23),Schweine_Werte!$M23*0.5,IF(OR($C$74&gt;$AR23,$D$74&lt;$AR23),0,Schweine_Werte!$M23))</f>
        <v>0</v>
      </c>
      <c r="BS23" s="1710">
        <f>IF(OR($C$83=$AR23,$D$83=$AR23),Schweine_Werte!$M23*0.5,IF(OR($C$83&gt;$AR23,$D$83&lt;$AR23),0,Schweine_Werte!$M23))</f>
        <v>0</v>
      </c>
      <c r="BT23" s="1713">
        <f>IF(OR($C$92=$AR23,$D$92=$AR23),Schweine_Werte!$M23*0.5,IF(OR($C$92&gt;$AR23,$D$92&lt;$AR23),0,Schweine_Werte!$M23))</f>
        <v>0</v>
      </c>
      <c r="BU23" s="1713">
        <f>IF(OR($C$101=$AR23,$D$101=$AR23),Schweine_Werte!$M23*0.5,IF(OR($C$101&gt;$AR23,$D$101&lt;$AR23),0,Schweine_Werte!$M23))</f>
        <v>0</v>
      </c>
      <c r="BV23" s="1713">
        <f>IF(OR($C$110=$AR23,$D$110=$AR23),Schweine_Werte!$M23*0.5,IF(OR($C$110&gt;$AR23,$D$110&lt;$AR23),0,Schweine_Werte!$M23))</f>
        <v>0</v>
      </c>
      <c r="BW23" s="1713">
        <f>IF(OR(8=$AR23,$E$127=$AR23),Schweine_Werte!$M23*0.5,IF(OR(8&gt;$AR23,$E$127&lt;$AR23),0,Schweine_Werte!$M23))</f>
        <v>1.6624297345718522</v>
      </c>
      <c r="BX23" s="1713">
        <f>IF(OR(8=$AR23,$E$145=$AR23),Schweine_Werte!$M23*0.5,IF(OR(8&gt;$AR23,$E$145&lt;$AR23),0,Schweine_Werte!$M23))</f>
        <v>1.6624297345718522</v>
      </c>
      <c r="BY23" s="1710">
        <f>IF(OR($C$74=$AR23,$D$74=$AR23),Schweine_Werte!$O23*0.5,IF(OR($C$74&gt;$AR23,$D$74&lt;$AR23),0,Schweine_Werte!$O23))</f>
        <v>0</v>
      </c>
      <c r="BZ23" s="1710">
        <f>IF(OR($C$83=$AR23,$D$83=$AR23),Schweine_Werte!$O23*0.5,IF(OR($C$83&gt;$AR23,$D$83&lt;$AR23),0,Schweine_Werte!$O23))</f>
        <v>0</v>
      </c>
      <c r="CA23" s="1713">
        <f>IF(OR($C$92=$AR23,$D$92=$AR23),Schweine_Werte!$O23*0.5,IF(OR($C$92&gt;$AR23,$D$92&lt;$AR23),0,Schweine_Werte!$O23))</f>
        <v>0</v>
      </c>
      <c r="CB23" s="1713">
        <f>IF(OR($C$101=$AR23,$D$101=$AR23),Schweine_Werte!$O23*0.5,IF(OR($C$101&gt;$AR23,$D$101&lt;$AR23),0,Schweine_Werte!$O23))</f>
        <v>0</v>
      </c>
      <c r="CC23" s="1713">
        <f>IF(OR($C$110=$AR23,$D$110=$AR23),Schweine_Werte!$O23*0.5,IF(OR($C$110&gt;$AR23,$D$110&lt;$AR23),0,Schweine_Werte!$O23))</f>
        <v>0</v>
      </c>
    </row>
    <row r="24" spans="1:81" ht="15" customHeight="1" x14ac:dyDescent="0.25">
      <c r="A24" s="1685" t="s">
        <v>8555</v>
      </c>
      <c r="B24" s="1756" t="str">
        <f>IF('Eigene, abweichende Tierdaten'!AD6=1,'Eigene, abweichende Tierdaten'!F6,"")</f>
        <v/>
      </c>
      <c r="C24" s="1754" t="str">
        <f>IF('Eigene, abweichende Tierdaten'!AD6=1,'Eigene, abweichende Tierdaten'!J6,"")</f>
        <v/>
      </c>
      <c r="D24" s="1754" t="str">
        <f>IF('Eigene, abweichende Tierdaten'!AD6=1,'Eigene, abweichende Tierdaten'!L6,"")</f>
        <v/>
      </c>
      <c r="E24" s="1757" t="str">
        <f>IF('Eigene, abweichende Tierdaten'!AD6=1,'Eigene, abweichende Tierdaten'!N6,"")</f>
        <v/>
      </c>
      <c r="F24" s="1729" t="e">
        <f t="shared" ref="F24:N24" si="4">IF($E24&lt;=$E17,F17,IF(AND($E24&gt;$E17,$E24&lt;=$E18),F17+(F18-F17)/($E18-$E17)*($E24-$E17),IF(AND($E24&gt;$E18,$E24&lt;=$E19),F18+(F19-F18)/($E19-$E18)*($E24-$E18),IF(AND($E24&gt;$E19,$E24&lt;=$E20),F19+(F20-F19)/($E20-$E19)*($E24-$E19),IF($E24&gt;$E20,F20)))))</f>
        <v>#VALUE!</v>
      </c>
      <c r="G24" s="1729" t="e">
        <f t="shared" si="4"/>
        <v>#VALUE!</v>
      </c>
      <c r="H24" s="1729" t="e">
        <f t="shared" si="4"/>
        <v>#VALUE!</v>
      </c>
      <c r="I24" s="1729" t="e">
        <f t="shared" si="4"/>
        <v>#VALUE!</v>
      </c>
      <c r="J24" s="1729" t="e">
        <f t="shared" si="4"/>
        <v>#VALUE!</v>
      </c>
      <c r="K24" s="1729" t="e">
        <f t="shared" si="4"/>
        <v>#VALUE!</v>
      </c>
      <c r="L24" s="1729" t="e">
        <f t="shared" si="4"/>
        <v>#VALUE!</v>
      </c>
      <c r="M24" s="1729" t="e">
        <f t="shared" si="4"/>
        <v>#VALUE!</v>
      </c>
      <c r="N24" s="1729" t="e">
        <f t="shared" si="4"/>
        <v>#VALUE!</v>
      </c>
      <c r="O24" s="1730">
        <v>5.5</v>
      </c>
      <c r="P24" s="1730">
        <v>1.8</v>
      </c>
      <c r="Q24" s="1729" t="e">
        <f t="shared" ref="Q24:Z24" si="5">IF($E24&lt;=$E17,Q17,IF(AND($E24&gt;$E17,$E24&lt;=$E18),Q17+(Q18-Q17)/($E18-$E17)*($E24-$E17),IF(AND($E24&gt;$E18,$E24&lt;=$E19),Q18+(Q19-Q18)/($E19-$E18)*($E24-$E18),IF(AND($E24&gt;$E19,$E24&lt;=$E20),Q19+(Q20-Q19)/($E20-$E19)*($E24-$E19),IF($E24&gt;$E20,Q20)))))</f>
        <v>#VALUE!</v>
      </c>
      <c r="R24" s="1729" t="e">
        <f t="shared" si="5"/>
        <v>#VALUE!</v>
      </c>
      <c r="S24" s="1729" t="e">
        <f t="shared" si="5"/>
        <v>#VALUE!</v>
      </c>
      <c r="T24" s="1729" t="e">
        <f t="shared" si="5"/>
        <v>#VALUE!</v>
      </c>
      <c r="U24" s="1729" t="e">
        <f t="shared" si="5"/>
        <v>#VALUE!</v>
      </c>
      <c r="V24" s="1729" t="e">
        <f t="shared" si="5"/>
        <v>#VALUE!</v>
      </c>
      <c r="W24" s="1729" t="e">
        <f t="shared" si="5"/>
        <v>#VALUE!</v>
      </c>
      <c r="X24" s="1729" t="e">
        <f t="shared" si="5"/>
        <v>#VALUE!</v>
      </c>
      <c r="Y24" s="1729" t="e">
        <f t="shared" si="5"/>
        <v>#VALUE!</v>
      </c>
      <c r="Z24" s="1729" t="e">
        <f t="shared" si="5"/>
        <v>#VALUE!</v>
      </c>
      <c r="AA24" s="1731" t="e">
        <f>+Z24*6.25</f>
        <v>#VALUE!</v>
      </c>
      <c r="AB24" s="1729" t="e">
        <f>IF($E24&lt;=$E17,AB17,IF(AND($E24&gt;$E17,$E24&lt;=$E18),AB17+(AB18-AB17)/($E18-$E17)*($E24-$E17),IF(AND($E24&gt;$E18,$E24&lt;=$E19),AB18+(AB19-AB18)/($E19-$E18)*($E24-$E18),IF(AND($E24&gt;$E19,$E24&lt;=$E20),AB19+(AB20-AB19)/($E20-$E19)*($E24-$E19),IF($E24&gt;$E20,AB20)))))</f>
        <v>#VALUE!</v>
      </c>
      <c r="AC24" s="1731" t="e">
        <f>+AB24*6.25</f>
        <v>#VALUE!</v>
      </c>
      <c r="AD24" s="1729" t="e">
        <f>IF($E24&lt;=$E17,AD17,IF(AND($E24&gt;$E17,$E24&lt;=$E18),AD17+(AD18-AD17)/($E18-$E17)*($E24-$E17),IF(AND($E24&gt;$E18,$E24&lt;=$E19),AD18+(AD19-AD18)/($E19-$E18)*($E24-$E18),IF(AND($E24&gt;$E19,$E24&lt;=$E20),AD19+(AD20-AD19)/($E20-$E19)*($E24-$E19),IF($E24&gt;$E20,AD20)))))</f>
        <v>#VALUE!</v>
      </c>
      <c r="AE24" s="1731" t="e">
        <f>+AD24*6.25</f>
        <v>#VALUE!</v>
      </c>
      <c r="AF24" s="1731" t="e">
        <f>365/((D24-C24)/E24*1000)</f>
        <v>#VALUE!</v>
      </c>
      <c r="AG24" s="1729" t="e">
        <f>IF($E24&lt;=$E17,AG17,IF(AND($E24&gt;$E17,$E24&lt;=$E18),AG17+(AG18-AG17)/($E18-$E17)*($E24-$E17),IF(AND($E24&gt;$E18,$E24&lt;=$E19),AG18+(AG19-AG18)/($E19-$E18)*($E24-$E18),IF(AND($E24&gt;$E19,$E24&lt;=$E20),AG19+(AG20-AG19)/($E20-$E19)*($E24-$E19),IF($E24&gt;$E20,AG20)))))</f>
        <v>#VALUE!</v>
      </c>
      <c r="AH24" s="1731" t="e">
        <f>+AG24/AF24</f>
        <v>#VALUE!</v>
      </c>
      <c r="AI24" s="1731" t="e">
        <f>+CONCATENATE(ROUND(AH24/(D24-C24),1)," : 1")</f>
        <v>#VALUE!</v>
      </c>
      <c r="AJ24" s="1729" t="e">
        <f>IF($E24&lt;=$E17,AJ17,IF(AND($E24&gt;$E17,$E24&lt;=$E18),AJ17+(AJ18-AJ17)/($E18-$E17)*($E24-$E17),IF(AND($E24&gt;$E18,$E24&lt;=$E19),AJ18+(AJ19-AJ18)/($E19-$E18)*($E24-$E18),IF(AND($E24&gt;$E19,$E24&lt;=$E20),AJ19+(AJ20-AJ19)/($E20-$E19)*($E24-$E19),IF($E24&gt;$E20,AJ20)))))</f>
        <v>#VALUE!</v>
      </c>
      <c r="AK24" s="1731" t="e">
        <f>+AJ24/2.291</f>
        <v>#VALUE!</v>
      </c>
      <c r="AL24" s="1729" t="e">
        <f>IF($E24&lt;=$E17,AL17,IF(AND($E24&gt;$E17,$E24&lt;=$E18),AL17+(AL18-AL17)/($E18-$E17)*($E24-$E17),IF(AND($E24&gt;$E18,$E24&lt;=$E19),AL18+(AL19-AL18)/($E19-$E18)*($E24-$E18),IF(AND($E24&gt;$E19,$E24&lt;=$E20),AL19+(AL20-AL19)/($E20-$E19)*($E24-$E19),IF($E24&gt;$E20,AL20)))))</f>
        <v>#VALUE!</v>
      </c>
      <c r="AM24" s="1731" t="e">
        <f>+AL24/2.291</f>
        <v>#VALUE!</v>
      </c>
      <c r="AN24" s="1729" t="e">
        <f>IF($E24&lt;=$E17,AN17,IF(AND($E24&gt;$E17,$E24&lt;=$E18),AN17+(AN18-AN17)/($E18-$E17)*($E24-$E17),IF(AND($E24&gt;$E18,$E24&lt;=$E19),AN18+(AN19-AN18)/($E19-$E18)*($E24-$E18),IF(AND($E24&gt;$E19,$E24&lt;=$E20),AN19+(AN20-AN19)/($E20-$E19)*($E24-$E19),IF($E24&gt;$E20,AN20)))))</f>
        <v>#VALUE!</v>
      </c>
      <c r="AO24" s="1731" t="e">
        <f>+AN24/2.291</f>
        <v>#VALUE!</v>
      </c>
      <c r="AR24" s="1733">
        <v>28</v>
      </c>
      <c r="AS24" s="1710">
        <f>IF(OR($C$12=$AR24,$D$12=$AR24),Schweine_Werte!$C24*0.5,IF(OR($C$12&gt;$AR24,$D$12&lt;$AR24),0,Schweine_Werte!$C24))</f>
        <v>0</v>
      </c>
      <c r="AT24" s="1713">
        <f>IF(OR($C$24=$AR24,$D$24=$AR24),Schweine_Werte!$C24*0.5,IF(OR($C$24&gt;$AR24,$D$24&lt;$AR24),0,Schweine_Werte!$C24))</f>
        <v>0</v>
      </c>
      <c r="AU24" s="1710">
        <f>IF(OR($C$36=$AR24,$D$36=$AR24),Schweine_Werte!$C24*0.5,IF(OR($C$36&gt;$AR24,$D$36&lt;$AR24),0,Schweine_Werte!$C24))</f>
        <v>0</v>
      </c>
      <c r="AV24" s="1710">
        <f>IF(OR($C$48=$AR24,$D$48=$AR24),Schweine_Werte!$C24*0.5,IF(OR($C$48&gt;$AR24,$D$48&lt;$AR24),0,Schweine_Werte!$C24))</f>
        <v>0</v>
      </c>
      <c r="AW24" s="1710">
        <f>IF(OR($C$60=$AR24,$D$60=$AR24),Schweine_Werte!$C24*0.5,IF(OR($C$60&gt;$AR24,$D$60&lt;$AR24),0,Schweine_Werte!$C24))</f>
        <v>0</v>
      </c>
      <c r="AX24" s="1710">
        <f>IF(OR($C$12=$AR24,$D$12=$AR24),Schweine_Werte!$E24*0.5,IF(OR($C$12&gt;$AR24,$D$12&lt;$AR24),0,Schweine_Werte!$E24))</f>
        <v>0</v>
      </c>
      <c r="AY24" s="1713">
        <f>IF(OR($C$24=$AR24,$D$24=$AR24),Schweine_Werte!$E24*0.5,IF(OR($C$24&gt;$AR24,$D$24&lt;$AR24),0,Schweine_Werte!$E24))</f>
        <v>0</v>
      </c>
      <c r="AZ24" s="1713">
        <f>IF(OR($C$36=$AR24,$D$36=$AR24),Schweine_Werte!$E24*0.5,IF(OR($C$36&gt;$AR24,$D$36&lt;$AR24),0,Schweine_Werte!$E24))</f>
        <v>0</v>
      </c>
      <c r="BA24" s="1713">
        <f>IF(OR($C$48=$AR24,$D$48=$AR24),Schweine_Werte!$E24*0.5,IF(OR($C$48&gt;$AR24,$D$48&lt;$AR24),0,Schweine_Werte!$E24))</f>
        <v>0</v>
      </c>
      <c r="BB24" s="1713">
        <f>IF(OR($C$60=$AR24,$D$60=$AR24),Schweine_Werte!$E24*0.5,IF(OR($C$60&gt;$AR24,$D$60&lt;$AR24),0,Schweine_Werte!$E24))</f>
        <v>0</v>
      </c>
      <c r="BC24" s="1710">
        <f>IF(OR($C$12=$AR24,$D$12=$AR24),Schweine_Werte!$G24*0.5,IF(OR($C$12&gt;$AR24,$D$12&lt;$AR24),0,Schweine_Werte!$G24))</f>
        <v>0</v>
      </c>
      <c r="BD24" s="1713">
        <f>IF(OR($C$24=$AR24,$D$24=$AR24),Schweine_Werte!$G24*0.5,IF(OR($C$24&gt;$AR24,$D$24&lt;$AR24),0,Schweine_Werte!$G24))</f>
        <v>0</v>
      </c>
      <c r="BE24" s="1713">
        <f>IF(OR($C$36=$AR24,$D$36=$AR24),Schweine_Werte!$G24*0.5,IF(OR($C$36&gt;$AR24,$D$36&lt;$AR24),0,Schweine_Werte!$G24))</f>
        <v>0</v>
      </c>
      <c r="BF24" s="1713">
        <f>IF(OR($C$48=$AR24,$D$48=$AR24),Schweine_Werte!$G24*0.5,IF(OR($C$48&gt;$AR24,$D$48&lt;$AR24),0,Schweine_Werte!$G24))</f>
        <v>0</v>
      </c>
      <c r="BG24" s="1713">
        <f>IF(OR($C$60=$AR24,$D$60=$AR24),Schweine_Werte!$G24*0.5,IF(OR($C$60&gt;$AR24,$D$60&lt;$AR24),0,Schweine_Werte!$G24))</f>
        <v>0</v>
      </c>
      <c r="BH24" s="1710">
        <f>IF(OR($C$12=$AR24,$D$12=$AR24),Schweine_Werte!$I24*0.5,IF(OR($C$12&gt;$AR24,$D$12&lt;$AR24),0,Schweine_Werte!$I24))</f>
        <v>0</v>
      </c>
      <c r="BI24" s="1713">
        <f>IF(OR($C$24=$AR24,$D$24=$AR24),Schweine_Werte!$I24*0.5,IF(OR($C$24&gt;$AR24,$D$24&lt;$AR24),0,Schweine_Werte!$I24))</f>
        <v>0</v>
      </c>
      <c r="BJ24" s="1713">
        <f>IF(OR($C$36=$AR24,$D$36=$AR24),Schweine_Werte!$I24*0.5,IF(OR($C$36&gt;$AR24,$D$36&lt;$AR24),0,Schweine_Werte!$I24))</f>
        <v>0</v>
      </c>
      <c r="BK24" s="1713">
        <f>IF(OR($C$48=$AR24,$D$48=$AR24),Schweine_Werte!$I24*0.5,IF(OR($C$48&gt;$AR24,$D$48&lt;$AR24),0,Schweine_Werte!$I24))</f>
        <v>0</v>
      </c>
      <c r="BL24" s="1713">
        <f>IF(OR($C$60=$AR24,$D$60=$AR24),Schweine_Werte!$I24*0.5,IF(OR($C$60&gt;$AR24,$D$60&lt;$AR24),0,Schweine_Werte!$I24))</f>
        <v>0</v>
      </c>
      <c r="BM24" s="1710">
        <f>IF(OR($C$12=$AR24,$D$12=$AR24),Schweine_Werte!$K24*0.5,IF(OR($C$12&gt;$AR24,$D$12&lt;$AR24),0,Schweine_Werte!$K24))</f>
        <v>0</v>
      </c>
      <c r="BN24" s="1713">
        <f>IF(OR($C$24=$AR24,$D$24=$AR24),Schweine_Werte!$K24*0.5,IF(OR($C$24&gt;$AR24,$D$24&lt;$AR24),0,Schweine_Werte!$K24))</f>
        <v>0</v>
      </c>
      <c r="BO24" s="1713">
        <f>IF(OR($C$36=$AR24,$D$36=$AR24),Schweine_Werte!$K24*0.5,IF(OR($C$36&gt;$AR24,$D$36&lt;$AR24),0,Schweine_Werte!$K24))</f>
        <v>0</v>
      </c>
      <c r="BP24" s="1713">
        <f>IF(OR($C$48=$AR24,$D$48=$AR24),Schweine_Werte!$K24*0.5,IF(OR($C$48&gt;$AR24,$D$48&lt;$AR24),0,Schweine_Werte!$K24))</f>
        <v>0</v>
      </c>
      <c r="BQ24" s="1713">
        <f>IF(OR($C$60=$AR24,$D$60=$AR24),Schweine_Werte!$K24*0.5,IF(OR($C$60&gt;$AR24,$D$60&lt;$AR24),0,Schweine_Werte!$K24))</f>
        <v>0</v>
      </c>
      <c r="BR24" s="1710">
        <f>IF(OR($C$74=$AR24,$D$74=$AR24),Schweine_Werte!$M24*0.5,IF(OR($C$74&gt;$AR24,$D$74&lt;$AR24),0,Schweine_Werte!$M24))</f>
        <v>0</v>
      </c>
      <c r="BS24" s="1710">
        <f>IF(OR($C$83=$AR24,$D$83=$AR24),Schweine_Werte!$M24*0.5,IF(OR($C$83&gt;$AR24,$D$83&lt;$AR24),0,Schweine_Werte!$M24))</f>
        <v>0</v>
      </c>
      <c r="BT24" s="1713">
        <f>IF(OR($C$92=$AR24,$D$92=$AR24),Schweine_Werte!$M24*0.5,IF(OR($C$92&gt;$AR24,$D$92&lt;$AR24),0,Schweine_Werte!$M24))</f>
        <v>0</v>
      </c>
      <c r="BU24" s="1713">
        <f>IF(OR($C$101=$AR24,$D$101=$AR24),Schweine_Werte!$M24*0.5,IF(OR($C$101&gt;$AR24,$D$101&lt;$AR24),0,Schweine_Werte!$M24))</f>
        <v>0</v>
      </c>
      <c r="BV24" s="1713">
        <f>IF(OR($C$110=$AR24,$D$110=$AR24),Schweine_Werte!$M24*0.5,IF(OR($C$110&gt;$AR24,$D$110&lt;$AR24),0,Schweine_Werte!$M24))</f>
        <v>0</v>
      </c>
      <c r="BW24" s="1713">
        <f>IF(OR(8=$AR24,$E$127=$AR24),Schweine_Werte!$M24*0.5,IF(OR(8&gt;$AR24,$E$127&lt;$AR24),0,Schweine_Werte!$M24))</f>
        <v>1.6300090047913274</v>
      </c>
      <c r="BX24" s="1713">
        <f>IF(OR(8=$AR24,$E$145=$AR24),Schweine_Werte!$M24*0.5,IF(OR(8&gt;$AR24,$E$145&lt;$AR24),0,Schweine_Werte!$M24))</f>
        <v>1.6300090047913274</v>
      </c>
      <c r="BY24" s="1710">
        <f>IF(OR($C$74=$AR24,$D$74=$AR24),Schweine_Werte!$O24*0.5,IF(OR($C$74&gt;$AR24,$D$74&lt;$AR24),0,Schweine_Werte!$O24))</f>
        <v>0</v>
      </c>
      <c r="BZ24" s="1710">
        <f>IF(OR($C$83=$AR24,$D$83=$AR24),Schweine_Werte!$O24*0.5,IF(OR($C$83&gt;$AR24,$D$83&lt;$AR24),0,Schweine_Werte!$O24))</f>
        <v>0</v>
      </c>
      <c r="CA24" s="1713">
        <f>IF(OR($C$92=$AR24,$D$92=$AR24),Schweine_Werte!$O24*0.5,IF(OR($C$92&gt;$AR24,$D$92&lt;$AR24),0,Schweine_Werte!$O24))</f>
        <v>0</v>
      </c>
      <c r="CB24" s="1713">
        <f>IF(OR($C$101=$AR24,$D$101=$AR24),Schweine_Werte!$O24*0.5,IF(OR($C$101&gt;$AR24,$D$101&lt;$AR24),0,Schweine_Werte!$O24))</f>
        <v>0</v>
      </c>
      <c r="CC24" s="1713">
        <f>IF(OR($C$110=$AR24,$D$110=$AR24),Schweine_Werte!$O24*0.5,IF(OR($C$110&gt;$AR24,$D$110&lt;$AR24),0,Schweine_Werte!$O24))</f>
        <v>0</v>
      </c>
    </row>
    <row r="25" spans="1:81" x14ac:dyDescent="0.25">
      <c r="AR25" s="1733">
        <v>29</v>
      </c>
      <c r="AS25" s="1710">
        <f>IF(OR($C$12=$AR25,$D$12=$AR25),Schweine_Werte!$C25*0.5,IF(OR($C$12&gt;$AR25,$D$12&lt;$AR25),0,Schweine_Werte!$C25))</f>
        <v>0</v>
      </c>
      <c r="AT25" s="1713">
        <f>IF(OR($C$24=$AR25,$D$24=$AR25),Schweine_Werte!$C25*0.5,IF(OR($C$24&gt;$AR25,$D$24&lt;$AR25),0,Schweine_Werte!$C25))</f>
        <v>0</v>
      </c>
      <c r="AU25" s="1710">
        <f>IF(OR($C$36=$AR25,$D$36=$AR25),Schweine_Werte!$C25*0.5,IF(OR($C$36&gt;$AR25,$D$36&lt;$AR25),0,Schweine_Werte!$C25))</f>
        <v>0</v>
      </c>
      <c r="AV25" s="1710">
        <f>IF(OR($C$48=$AR25,$D$48=$AR25),Schweine_Werte!$C25*0.5,IF(OR($C$48&gt;$AR25,$D$48&lt;$AR25),0,Schweine_Werte!$C25))</f>
        <v>0</v>
      </c>
      <c r="AW25" s="1710">
        <f>IF(OR($C$60=$AR25,$D$60=$AR25),Schweine_Werte!$C25*0.5,IF(OR($C$60&gt;$AR25,$D$60&lt;$AR25),0,Schweine_Werte!$C25))</f>
        <v>0</v>
      </c>
      <c r="AX25" s="1710">
        <f>IF(OR($C$12=$AR25,$D$12=$AR25),Schweine_Werte!$E25*0.5,IF(OR($C$12&gt;$AR25,$D$12&lt;$AR25),0,Schweine_Werte!$E25))</f>
        <v>0</v>
      </c>
      <c r="AY25" s="1713">
        <f>IF(OR($C$24=$AR25,$D$24=$AR25),Schweine_Werte!$E25*0.5,IF(OR($C$24&gt;$AR25,$D$24&lt;$AR25),0,Schweine_Werte!$E25))</f>
        <v>0</v>
      </c>
      <c r="AZ25" s="1713">
        <f>IF(OR($C$36=$AR25,$D$36=$AR25),Schweine_Werte!$E25*0.5,IF(OR($C$36&gt;$AR25,$D$36&lt;$AR25),0,Schweine_Werte!$E25))</f>
        <v>0</v>
      </c>
      <c r="BA25" s="1713">
        <f>IF(OR($C$48=$AR25,$D$48=$AR25),Schweine_Werte!$E25*0.5,IF(OR($C$48&gt;$AR25,$D$48&lt;$AR25),0,Schweine_Werte!$E25))</f>
        <v>0</v>
      </c>
      <c r="BB25" s="1713">
        <f>IF(OR($C$60=$AR25,$D$60=$AR25),Schweine_Werte!$E25*0.5,IF(OR($C$60&gt;$AR25,$D$60&lt;$AR25),0,Schweine_Werte!$E25))</f>
        <v>0</v>
      </c>
      <c r="BC25" s="1710">
        <f>IF(OR($C$12=$AR25,$D$12=$AR25),Schweine_Werte!$G25*0.5,IF(OR($C$12&gt;$AR25,$D$12&lt;$AR25),0,Schweine_Werte!$G25))</f>
        <v>0</v>
      </c>
      <c r="BD25" s="1713">
        <f>IF(OR($C$24=$AR25,$D$24=$AR25),Schweine_Werte!$G25*0.5,IF(OR($C$24&gt;$AR25,$D$24&lt;$AR25),0,Schweine_Werte!$G25))</f>
        <v>0</v>
      </c>
      <c r="BE25" s="1713">
        <f>IF(OR($C$36=$AR25,$D$36=$AR25),Schweine_Werte!$G25*0.5,IF(OR($C$36&gt;$AR25,$D$36&lt;$AR25),0,Schweine_Werte!$G25))</f>
        <v>0</v>
      </c>
      <c r="BF25" s="1713">
        <f>IF(OR($C$48=$AR25,$D$48=$AR25),Schweine_Werte!$G25*0.5,IF(OR($C$48&gt;$AR25,$D$48&lt;$AR25),0,Schweine_Werte!$G25))</f>
        <v>0</v>
      </c>
      <c r="BG25" s="1713">
        <f>IF(OR($C$60=$AR25,$D$60=$AR25),Schweine_Werte!$G25*0.5,IF(OR($C$60&gt;$AR25,$D$60&lt;$AR25),0,Schweine_Werte!$G25))</f>
        <v>0</v>
      </c>
      <c r="BH25" s="1710">
        <f>IF(OR($C$12=$AR25,$D$12=$AR25),Schweine_Werte!$I25*0.5,IF(OR($C$12&gt;$AR25,$D$12&lt;$AR25),0,Schweine_Werte!$I25))</f>
        <v>0</v>
      </c>
      <c r="BI25" s="1713">
        <f>IF(OR($C$24=$AR25,$D$24=$AR25),Schweine_Werte!$I25*0.5,IF(OR($C$24&gt;$AR25,$D$24&lt;$AR25),0,Schweine_Werte!$I25))</f>
        <v>0</v>
      </c>
      <c r="BJ25" s="1713">
        <f>IF(OR($C$36=$AR25,$D$36=$AR25),Schweine_Werte!$I25*0.5,IF(OR($C$36&gt;$AR25,$D$36&lt;$AR25),0,Schweine_Werte!$I25))</f>
        <v>0</v>
      </c>
      <c r="BK25" s="1713">
        <f>IF(OR($C$48=$AR25,$D$48=$AR25),Schweine_Werte!$I25*0.5,IF(OR($C$48&gt;$AR25,$D$48&lt;$AR25),0,Schweine_Werte!$I25))</f>
        <v>0</v>
      </c>
      <c r="BL25" s="1713">
        <f>IF(OR($C$60=$AR25,$D$60=$AR25),Schweine_Werte!$I25*0.5,IF(OR($C$60&gt;$AR25,$D$60&lt;$AR25),0,Schweine_Werte!$I25))</f>
        <v>0</v>
      </c>
      <c r="BM25" s="1710">
        <f>IF(OR($C$12=$AR25,$D$12=$AR25),Schweine_Werte!$K25*0.5,IF(OR($C$12&gt;$AR25,$D$12&lt;$AR25),0,Schweine_Werte!$K25))</f>
        <v>0</v>
      </c>
      <c r="BN25" s="1713">
        <f>IF(OR($C$24=$AR25,$D$24=$AR25),Schweine_Werte!$K25*0.5,IF(OR($C$24&gt;$AR25,$D$24&lt;$AR25),0,Schweine_Werte!$K25))</f>
        <v>0</v>
      </c>
      <c r="BO25" s="1713">
        <f>IF(OR($C$36=$AR25,$D$36=$AR25),Schweine_Werte!$K25*0.5,IF(OR($C$36&gt;$AR25,$D$36&lt;$AR25),0,Schweine_Werte!$K25))</f>
        <v>0</v>
      </c>
      <c r="BP25" s="1713">
        <f>IF(OR($C$48=$AR25,$D$48=$AR25),Schweine_Werte!$K25*0.5,IF(OR($C$48&gt;$AR25,$D$48&lt;$AR25),0,Schweine_Werte!$K25))</f>
        <v>0</v>
      </c>
      <c r="BQ25" s="1713">
        <f>IF(OR($C$60=$AR25,$D$60=$AR25),Schweine_Werte!$K25*0.5,IF(OR($C$60&gt;$AR25,$D$60&lt;$AR25),0,Schweine_Werte!$K25))</f>
        <v>0</v>
      </c>
      <c r="BR25" s="1710">
        <f>IF(OR($C$74=$AR25,$D$74=$AR25),Schweine_Werte!$M25*0.5,IF(OR($C$74&gt;$AR25,$D$74&lt;$AR25),0,Schweine_Werte!$M25))</f>
        <v>0</v>
      </c>
      <c r="BS25" s="1710">
        <f>IF(OR($C$83=$AR25,$D$83=$AR25),Schweine_Werte!$M25*0.5,IF(OR($C$83&gt;$AR25,$D$83&lt;$AR25),0,Schweine_Werte!$M25))</f>
        <v>0</v>
      </c>
      <c r="BT25" s="1713">
        <f>IF(OR($C$92=$AR25,$D$92=$AR25),Schweine_Werte!$M25*0.5,IF(OR($C$92&gt;$AR25,$D$92&lt;$AR25),0,Schweine_Werte!$M25))</f>
        <v>0</v>
      </c>
      <c r="BU25" s="1713">
        <f>IF(OR($C$101=$AR25,$D$101=$AR25),Schweine_Werte!$M25*0.5,IF(OR($C$101&gt;$AR25,$D$101&lt;$AR25),0,Schweine_Werte!$M25))</f>
        <v>0</v>
      </c>
      <c r="BV25" s="1713">
        <f>IF(OR($C$110=$AR25,$D$110=$AR25),Schweine_Werte!$M25*0.5,IF(OR($C$110&gt;$AR25,$D$110&lt;$AR25),0,Schweine_Werte!$M25))</f>
        <v>0</v>
      </c>
      <c r="BW25" s="1713">
        <f>IF(OR(8=$AR25,$E$127=$AR25),Schweine_Werte!$M25*0.5,IF(OR(8&gt;$AR25,$E$127&lt;$AR25),0,Schweine_Werte!$M25))</f>
        <v>1.5964550424733612</v>
      </c>
      <c r="BX25" s="1713">
        <f>IF(OR(8=$AR25,$E$145=$AR25),Schweine_Werte!$M25*0.5,IF(OR(8&gt;$AR25,$E$145&lt;$AR25),0,Schweine_Werte!$M25))</f>
        <v>1.5964550424733612</v>
      </c>
      <c r="BY25" s="1710">
        <f>IF(OR($C$74=$AR25,$D$74=$AR25),Schweine_Werte!$O25*0.5,IF(OR($C$74&gt;$AR25,$D$74&lt;$AR25),0,Schweine_Werte!$O25))</f>
        <v>0</v>
      </c>
      <c r="BZ25" s="1710">
        <f>IF(OR($C$83=$AR25,$D$83=$AR25),Schweine_Werte!$O25*0.5,IF(OR($C$83&gt;$AR25,$D$83&lt;$AR25),0,Schweine_Werte!$O25))</f>
        <v>0</v>
      </c>
      <c r="CA25" s="1713">
        <f>IF(OR($C$92=$AR25,$D$92=$AR25),Schweine_Werte!$O25*0.5,IF(OR($C$92&gt;$AR25,$D$92&lt;$AR25),0,Schweine_Werte!$O25))</f>
        <v>0</v>
      </c>
      <c r="CB25" s="1713">
        <f>IF(OR($C$101=$AR25,$D$101=$AR25),Schweine_Werte!$O25*0.5,IF(OR($C$101&gt;$AR25,$D$101&lt;$AR25),0,Schweine_Werte!$O25))</f>
        <v>0</v>
      </c>
      <c r="CC25" s="1713">
        <f>IF(OR($C$110=$AR25,$D$110=$AR25),Schweine_Werte!$O25*0.5,IF(OR($C$110&gt;$AR25,$D$110&lt;$AR25),0,Schweine_Werte!$O25))</f>
        <v>0</v>
      </c>
    </row>
    <row r="26" spans="1:81" ht="18.75" x14ac:dyDescent="0.3">
      <c r="H26" s="1698"/>
      <c r="I26" s="1698"/>
      <c r="L26" s="1699" t="s">
        <v>8543</v>
      </c>
      <c r="W26" s="3251" t="s">
        <v>8544</v>
      </c>
      <c r="X26" s="3251"/>
      <c r="Y26" s="3251"/>
      <c r="AR26" s="1733">
        <v>30</v>
      </c>
      <c r="AS26" s="1710">
        <f>IF(OR($C$12=$AR26,$D$12=$AR26),Schweine_Werte!$C26*0.5,IF(OR($C$12&gt;$AR26,$D$12&lt;$AR26),0,Schweine_Werte!$C26))</f>
        <v>0</v>
      </c>
      <c r="AT26" s="1713">
        <f>IF(OR($C$24=$AR26,$D$24=$AR26),Schweine_Werte!$C26*0.5,IF(OR($C$24&gt;$AR26,$D$24&lt;$AR26),0,Schweine_Werte!$C26))</f>
        <v>0</v>
      </c>
      <c r="AU26" s="1710">
        <f>IF(OR($C$36=$AR26,$D$36=$AR26),Schweine_Werte!$C26*0.5,IF(OR($C$36&gt;$AR26,$D$36&lt;$AR26),0,Schweine_Werte!$C26))</f>
        <v>0</v>
      </c>
      <c r="AV26" s="1710">
        <f>IF(OR($C$48=$AR26,$D$48=$AR26),Schweine_Werte!$C26*0.5,IF(OR($C$48&gt;$AR26,$D$48&lt;$AR26),0,Schweine_Werte!$C26))</f>
        <v>0</v>
      </c>
      <c r="AW26" s="1710">
        <f>IF(OR($C$60=$AR26,$D$60=$AR26),Schweine_Werte!$C26*0.5,IF(OR($C$60&gt;$AR26,$D$60&lt;$AR26),0,Schweine_Werte!$C26))</f>
        <v>0</v>
      </c>
      <c r="AX26" s="1710">
        <f>IF(OR($C$12=$AR26,$D$12=$AR26),Schweine_Werte!$E26*0.5,IF(OR($C$12&gt;$AR26,$D$12&lt;$AR26),0,Schweine_Werte!$E26))</f>
        <v>0</v>
      </c>
      <c r="AY26" s="1713">
        <f>IF(OR($C$24=$AR26,$D$24=$AR26),Schweine_Werte!$E26*0.5,IF(OR($C$24&gt;$AR26,$D$24&lt;$AR26),0,Schweine_Werte!$E26))</f>
        <v>0</v>
      </c>
      <c r="AZ26" s="1713">
        <f>IF(OR($C$36=$AR26,$D$36=$AR26),Schweine_Werte!$E26*0.5,IF(OR($C$36&gt;$AR26,$D$36&lt;$AR26),0,Schweine_Werte!$E26))</f>
        <v>0</v>
      </c>
      <c r="BA26" s="1713">
        <f>IF(OR($C$48=$AR26,$D$48=$AR26),Schweine_Werte!$E26*0.5,IF(OR($C$48&gt;$AR26,$D$48&lt;$AR26),0,Schweine_Werte!$E26))</f>
        <v>0</v>
      </c>
      <c r="BB26" s="1713">
        <f>IF(OR($C$60=$AR26,$D$60=$AR26),Schweine_Werte!$E26*0.5,IF(OR($C$60&gt;$AR26,$D$60&lt;$AR26),0,Schweine_Werte!$E26))</f>
        <v>0</v>
      </c>
      <c r="BC26" s="1710">
        <f>IF(OR($C$12=$AR26,$D$12=$AR26),Schweine_Werte!$G26*0.5,IF(OR($C$12&gt;$AR26,$D$12&lt;$AR26),0,Schweine_Werte!$G26))</f>
        <v>0</v>
      </c>
      <c r="BD26" s="1713">
        <f>IF(OR($C$24=$AR26,$D$24=$AR26),Schweine_Werte!$G26*0.5,IF(OR($C$24&gt;$AR26,$D$24&lt;$AR26),0,Schweine_Werte!$G26))</f>
        <v>0</v>
      </c>
      <c r="BE26" s="1713">
        <f>IF(OR($C$36=$AR26,$D$36=$AR26),Schweine_Werte!$G26*0.5,IF(OR($C$36&gt;$AR26,$D$36&lt;$AR26),0,Schweine_Werte!$G26))</f>
        <v>0</v>
      </c>
      <c r="BF26" s="1713">
        <f>IF(OR($C$48=$AR26,$D$48=$AR26),Schweine_Werte!$G26*0.5,IF(OR($C$48&gt;$AR26,$D$48&lt;$AR26),0,Schweine_Werte!$G26))</f>
        <v>0</v>
      </c>
      <c r="BG26" s="1713">
        <f>IF(OR($C$60=$AR26,$D$60=$AR26),Schweine_Werte!$G26*0.5,IF(OR($C$60&gt;$AR26,$D$60&lt;$AR26),0,Schweine_Werte!$G26))</f>
        <v>0</v>
      </c>
      <c r="BH26" s="1710">
        <f>IF(OR($C$12=$AR26,$D$12=$AR26),Schweine_Werte!$I26*0.5,IF(OR($C$12&gt;$AR26,$D$12&lt;$AR26),0,Schweine_Werte!$I26))</f>
        <v>0</v>
      </c>
      <c r="BI26" s="1713">
        <f>IF(OR($C$24=$AR26,$D$24=$AR26),Schweine_Werte!$I26*0.5,IF(OR($C$24&gt;$AR26,$D$24&lt;$AR26),0,Schweine_Werte!$I26))</f>
        <v>0</v>
      </c>
      <c r="BJ26" s="1713">
        <f>IF(OR($C$36=$AR26,$D$36=$AR26),Schweine_Werte!$I26*0.5,IF(OR($C$36&gt;$AR26,$D$36&lt;$AR26),0,Schweine_Werte!$I26))</f>
        <v>0</v>
      </c>
      <c r="BK26" s="1713">
        <f>IF(OR($C$48=$AR26,$D$48=$AR26),Schweine_Werte!$I26*0.5,IF(OR($C$48&gt;$AR26,$D$48&lt;$AR26),0,Schweine_Werte!$I26))</f>
        <v>0</v>
      </c>
      <c r="BL26" s="1713">
        <f>IF(OR($C$60=$AR26,$D$60=$AR26),Schweine_Werte!$I26*0.5,IF(OR($C$60&gt;$AR26,$D$60&lt;$AR26),0,Schweine_Werte!$I26))</f>
        <v>0</v>
      </c>
      <c r="BM26" s="1710">
        <f>IF(OR($C$12=$AR26,$D$12=$AR26),Schweine_Werte!$K26*0.5,IF(OR($C$12&gt;$AR26,$D$12&lt;$AR26),0,Schweine_Werte!$K26))</f>
        <v>0</v>
      </c>
      <c r="BN26" s="1713">
        <f>IF(OR($C$24=$AR26,$D$24=$AR26),Schweine_Werte!$K26*0.5,IF(OR($C$24&gt;$AR26,$D$24&lt;$AR26),0,Schweine_Werte!$K26))</f>
        <v>0</v>
      </c>
      <c r="BO26" s="1713">
        <f>IF(OR($C$36=$AR26,$D$36=$AR26),Schweine_Werte!$K26*0.5,IF(OR($C$36&gt;$AR26,$D$36&lt;$AR26),0,Schweine_Werte!$K26))</f>
        <v>0</v>
      </c>
      <c r="BP26" s="1713">
        <f>IF(OR($C$48=$AR26,$D$48=$AR26),Schweine_Werte!$K26*0.5,IF(OR($C$48&gt;$AR26,$D$48&lt;$AR26),0,Schweine_Werte!$K26))</f>
        <v>0</v>
      </c>
      <c r="BQ26" s="1713">
        <f>IF(OR($C$60=$AR26,$D$60=$AR26),Schweine_Werte!$K26*0.5,IF(OR($C$60&gt;$AR26,$D$60&lt;$AR26),0,Schweine_Werte!$K26))</f>
        <v>0</v>
      </c>
      <c r="BR26" s="1710">
        <f>IF(OR($C$74=$AR26,$D$74=$AR26),Schweine_Werte!$M26*0.5,IF(OR($C$74&gt;$AR26,$D$74&lt;$AR26),0,Schweine_Werte!$M26))</f>
        <v>0</v>
      </c>
      <c r="BS26" s="1710">
        <f>IF(OR($C$83=$AR26,$D$83=$AR26),Schweine_Werte!$M26*0.5,IF(OR($C$83&gt;$AR26,$D$83&lt;$AR26),0,Schweine_Werte!$M26))</f>
        <v>0</v>
      </c>
      <c r="BT26" s="1713">
        <f>IF(OR($C$92=$AR26,$D$92=$AR26),Schweine_Werte!$M26*0.5,IF(OR($C$92&gt;$AR26,$D$92&lt;$AR26),0,Schweine_Werte!$M26))</f>
        <v>0</v>
      </c>
      <c r="BU26" s="1713">
        <f>IF(OR($C$101=$AR26,$D$101=$AR26),Schweine_Werte!$M26*0.5,IF(OR($C$101&gt;$AR26,$D$101&lt;$AR26),0,Schweine_Werte!$M26))</f>
        <v>0</v>
      </c>
      <c r="BV26" s="1713">
        <f>IF(OR($C$110=$AR26,$D$110=$AR26),Schweine_Werte!$M26*0.5,IF(OR($C$110&gt;$AR26,$D$110&lt;$AR26),0,Schweine_Werte!$M26))</f>
        <v>0</v>
      </c>
      <c r="BW26" s="1713">
        <f>IF(OR(8=$AR26,$E$127=$AR26),Schweine_Werte!$M26*0.5,IF(OR(8&gt;$AR26,$E$127&lt;$AR26),0,Schweine_Werte!$M26))</f>
        <v>1.5649547016254071</v>
      </c>
      <c r="BX26" s="1713">
        <f>IF(OR(8=$AR26,$E$145=$AR26),Schweine_Werte!$M26*0.5,IF(OR(8&gt;$AR26,$E$145&lt;$AR26),0,Schweine_Werte!$M26))</f>
        <v>1.5649547016254071</v>
      </c>
      <c r="BY26" s="1710">
        <f>IF(OR($C$74=$AR26,$D$74=$AR26),Schweine_Werte!$O26*0.5,IF(OR($C$74&gt;$AR26,$D$74&lt;$AR26),0,Schweine_Werte!$O26))</f>
        <v>0</v>
      </c>
      <c r="BZ26" s="1710">
        <f>IF(OR($C$83=$AR26,$D$83=$AR26),Schweine_Werte!$O26*0.5,IF(OR($C$83&gt;$AR26,$D$83&lt;$AR26),0,Schweine_Werte!$O26))</f>
        <v>0</v>
      </c>
      <c r="CA26" s="1713">
        <f>IF(OR($C$92=$AR26,$D$92=$AR26),Schweine_Werte!$O26*0.5,IF(OR($C$92&gt;$AR26,$D$92&lt;$AR26),0,Schweine_Werte!$O26))</f>
        <v>0</v>
      </c>
      <c r="CB26" s="1713">
        <f>IF(OR($C$101=$AR26,$D$101=$AR26),Schweine_Werte!$O26*0.5,IF(OR($C$101&gt;$AR26,$D$101&lt;$AR26),0,Schweine_Werte!$O26))</f>
        <v>0</v>
      </c>
      <c r="CC26" s="1713">
        <f>IF(OR($C$110=$AR26,$D$110=$AR26),Schweine_Werte!$O26*0.5,IF(OR($C$110&gt;$AR26,$D$110&lt;$AR26),0,Schweine_Werte!$O26))</f>
        <v>0</v>
      </c>
    </row>
    <row r="27" spans="1:81" ht="18.75" x14ac:dyDescent="0.3">
      <c r="B27" s="1702"/>
      <c r="C27" s="1702"/>
      <c r="D27" s="1702"/>
      <c r="E27" s="1702"/>
      <c r="F27" s="1702"/>
      <c r="G27" s="1702"/>
      <c r="H27" s="1703"/>
      <c r="L27" s="1685" t="s">
        <v>234</v>
      </c>
      <c r="Q27" s="3251" t="s">
        <v>8546</v>
      </c>
      <c r="R27" s="3251"/>
      <c r="S27" s="3251"/>
      <c r="T27" s="3251" t="s">
        <v>8547</v>
      </c>
      <c r="U27" s="3251"/>
      <c r="V27" s="3251"/>
      <c r="W27" s="1685" t="s">
        <v>8548</v>
      </c>
      <c r="X27" s="1685" t="s">
        <v>8549</v>
      </c>
      <c r="Y27" s="1685" t="s">
        <v>8550</v>
      </c>
      <c r="Z27" s="1685" t="s">
        <v>8551</v>
      </c>
      <c r="AG27" s="1685" t="s">
        <v>8552</v>
      </c>
      <c r="AJ27" s="1685" t="s">
        <v>8553</v>
      </c>
      <c r="AR27" s="1733">
        <v>31</v>
      </c>
      <c r="AS27" s="1710">
        <f>IF(OR($C$12=$AR27,$D$12=$AR27),Schweine_Werte!$C27*0.5,IF(OR($C$12&gt;$AR27,$D$12&lt;$AR27),0,Schweine_Werte!$C27))</f>
        <v>0</v>
      </c>
      <c r="AT27" s="1713">
        <f>IF(OR($C$24=$AR27,$D$24=$AR27),Schweine_Werte!$C27*0.5,IF(OR($C$24&gt;$AR27,$D$24&lt;$AR27),0,Schweine_Werte!$C27))</f>
        <v>0</v>
      </c>
      <c r="AU27" s="1710">
        <f>IF(OR($C$36=$AR27,$D$36=$AR27),Schweine_Werte!$C27*0.5,IF(OR($C$36&gt;$AR27,$D$36&lt;$AR27),0,Schweine_Werte!$C27))</f>
        <v>0</v>
      </c>
      <c r="AV27" s="1710">
        <f>IF(OR($C$48=$AR27,$D$48=$AR27),Schweine_Werte!$C27*0.5,IF(OR($C$48&gt;$AR27,$D$48&lt;$AR27),0,Schweine_Werte!$C27))</f>
        <v>0</v>
      </c>
      <c r="AW27" s="1710">
        <f>IF(OR($C$60=$AR27,$D$60=$AR27),Schweine_Werte!$C27*0.5,IF(OR($C$60&gt;$AR27,$D$60&lt;$AR27),0,Schweine_Werte!$C27))</f>
        <v>0</v>
      </c>
      <c r="AX27" s="1710">
        <f>IF(OR($C$12=$AR27,$D$12=$AR27),Schweine_Werte!$E27*0.5,IF(OR($C$12&gt;$AR27,$D$12&lt;$AR27),0,Schweine_Werte!$E27))</f>
        <v>0</v>
      </c>
      <c r="AY27" s="1713">
        <f>IF(OR($C$24=$AR27,$D$24=$AR27),Schweine_Werte!$E27*0.5,IF(OR($C$24&gt;$AR27,$D$24&lt;$AR27),0,Schweine_Werte!$E27))</f>
        <v>0</v>
      </c>
      <c r="AZ27" s="1713">
        <f>IF(OR($C$36=$AR27,$D$36=$AR27),Schweine_Werte!$E27*0.5,IF(OR($C$36&gt;$AR27,$D$36&lt;$AR27),0,Schweine_Werte!$E27))</f>
        <v>0</v>
      </c>
      <c r="BA27" s="1713">
        <f>IF(OR($C$48=$AR27,$D$48=$AR27),Schweine_Werte!$E27*0.5,IF(OR($C$48&gt;$AR27,$D$48&lt;$AR27),0,Schweine_Werte!$E27))</f>
        <v>0</v>
      </c>
      <c r="BB27" s="1713">
        <f>IF(OR($C$60=$AR27,$D$60=$AR27),Schweine_Werte!$E27*0.5,IF(OR($C$60&gt;$AR27,$D$60&lt;$AR27),0,Schweine_Werte!$E27))</f>
        <v>0</v>
      </c>
      <c r="BC27" s="1710">
        <f>IF(OR($C$12=$AR27,$D$12=$AR27),Schweine_Werte!$G27*0.5,IF(OR($C$12&gt;$AR27,$D$12&lt;$AR27),0,Schweine_Werte!$G27))</f>
        <v>0</v>
      </c>
      <c r="BD27" s="1713">
        <f>IF(OR($C$24=$AR27,$D$24=$AR27),Schweine_Werte!$G27*0.5,IF(OR($C$24&gt;$AR27,$D$24&lt;$AR27),0,Schweine_Werte!$G27))</f>
        <v>0</v>
      </c>
      <c r="BE27" s="1713">
        <f>IF(OR($C$36=$AR27,$D$36=$AR27),Schweine_Werte!$G27*0.5,IF(OR($C$36&gt;$AR27,$D$36&lt;$AR27),0,Schweine_Werte!$G27))</f>
        <v>0</v>
      </c>
      <c r="BF27" s="1713">
        <f>IF(OR($C$48=$AR27,$D$48=$AR27),Schweine_Werte!$G27*0.5,IF(OR($C$48&gt;$AR27,$D$48&lt;$AR27),0,Schweine_Werte!$G27))</f>
        <v>0</v>
      </c>
      <c r="BG27" s="1713">
        <f>IF(OR($C$60=$AR27,$D$60=$AR27),Schweine_Werte!$G27*0.5,IF(OR($C$60&gt;$AR27,$D$60&lt;$AR27),0,Schweine_Werte!$G27))</f>
        <v>0</v>
      </c>
      <c r="BH27" s="1710">
        <f>IF(OR($C$12=$AR27,$D$12=$AR27),Schweine_Werte!$I27*0.5,IF(OR($C$12&gt;$AR27,$D$12&lt;$AR27),0,Schweine_Werte!$I27))</f>
        <v>0</v>
      </c>
      <c r="BI27" s="1713">
        <f>IF(OR($C$24=$AR27,$D$24=$AR27),Schweine_Werte!$I27*0.5,IF(OR($C$24&gt;$AR27,$D$24&lt;$AR27),0,Schweine_Werte!$I27))</f>
        <v>0</v>
      </c>
      <c r="BJ27" s="1713">
        <f>IF(OR($C$36=$AR27,$D$36=$AR27),Schweine_Werte!$I27*0.5,IF(OR($C$36&gt;$AR27,$D$36&lt;$AR27),0,Schweine_Werte!$I27))</f>
        <v>0</v>
      </c>
      <c r="BK27" s="1713">
        <f>IF(OR($C$48=$AR27,$D$48=$AR27),Schweine_Werte!$I27*0.5,IF(OR($C$48&gt;$AR27,$D$48&lt;$AR27),0,Schweine_Werte!$I27))</f>
        <v>0</v>
      </c>
      <c r="BL27" s="1713">
        <f>IF(OR($C$60=$AR27,$D$60=$AR27),Schweine_Werte!$I27*0.5,IF(OR($C$60&gt;$AR27,$D$60&lt;$AR27),0,Schweine_Werte!$I27))</f>
        <v>0</v>
      </c>
      <c r="BM27" s="1710">
        <f>IF(OR($C$12=$AR27,$D$12=$AR27),Schweine_Werte!$K27*0.5,IF(OR($C$12&gt;$AR27,$D$12&lt;$AR27),0,Schweine_Werte!$K27))</f>
        <v>0</v>
      </c>
      <c r="BN27" s="1713">
        <f>IF(OR($C$24=$AR27,$D$24=$AR27),Schweine_Werte!$K27*0.5,IF(OR($C$24&gt;$AR27,$D$24&lt;$AR27),0,Schweine_Werte!$K27))</f>
        <v>0</v>
      </c>
      <c r="BO27" s="1713">
        <f>IF(OR($C$36=$AR27,$D$36=$AR27),Schweine_Werte!$K27*0.5,IF(OR($C$36&gt;$AR27,$D$36&lt;$AR27),0,Schweine_Werte!$K27))</f>
        <v>0</v>
      </c>
      <c r="BP27" s="1713">
        <f>IF(OR($C$48=$AR27,$D$48=$AR27),Schweine_Werte!$K27*0.5,IF(OR($C$48&gt;$AR27,$D$48&lt;$AR27),0,Schweine_Werte!$K27))</f>
        <v>0</v>
      </c>
      <c r="BQ27" s="1713">
        <f>IF(OR($C$60=$AR27,$D$60=$AR27),Schweine_Werte!$K27*0.5,IF(OR($C$60&gt;$AR27,$D$60&lt;$AR27),0,Schweine_Werte!$K27))</f>
        <v>0</v>
      </c>
      <c r="BR27" s="1710">
        <f>IF(OR($C$74=$AR27,$D$74=$AR27),Schweine_Werte!$M27*0.5,IF(OR($C$74&gt;$AR27,$D$74&lt;$AR27),0,Schweine_Werte!$M27))</f>
        <v>0</v>
      </c>
      <c r="BS27" s="1710">
        <f>IF(OR($C$83=$AR27,$D$83=$AR27),Schweine_Werte!$M27*0.5,IF(OR($C$83&gt;$AR27,$D$83&lt;$AR27),0,Schweine_Werte!$M27))</f>
        <v>0</v>
      </c>
      <c r="BT27" s="1713">
        <f>IF(OR($C$92=$AR27,$D$92=$AR27),Schweine_Werte!$M27*0.5,IF(OR($C$92&gt;$AR27,$D$92&lt;$AR27),0,Schweine_Werte!$M27))</f>
        <v>0</v>
      </c>
      <c r="BU27" s="1713">
        <f>IF(OR($C$101=$AR27,$D$101=$AR27),Schweine_Werte!$M27*0.5,IF(OR($C$101&gt;$AR27,$D$101&lt;$AR27),0,Schweine_Werte!$M27))</f>
        <v>0</v>
      </c>
      <c r="BV27" s="1713">
        <f>IF(OR($C$110=$AR27,$D$110=$AR27),Schweine_Werte!$M27*0.5,IF(OR($C$110&gt;$AR27,$D$110&lt;$AR27),0,Schweine_Werte!$M27))</f>
        <v>0</v>
      </c>
      <c r="BW27" s="1713">
        <f>IF(OR(8=$AR27,$E$127=$AR27),Schweine_Werte!$M27*0.5,IF(OR(8&gt;$AR27,$E$127&lt;$AR27),0,Schweine_Werte!$M27))</f>
        <v>1.5353483916272892</v>
      </c>
      <c r="BX27" s="1713">
        <f>IF(OR(8=$AR27,$E$145=$AR27),Schweine_Werte!$M27*0.5,IF(OR(8&gt;$AR27,$E$145&lt;$AR27),0,Schweine_Werte!$M27))</f>
        <v>1.5353483916272892</v>
      </c>
      <c r="BY27" s="1710">
        <f>IF(OR($C$74=$AR27,$D$74=$AR27),Schweine_Werte!$O27*0.5,IF(OR($C$74&gt;$AR27,$D$74&lt;$AR27),0,Schweine_Werte!$O27))</f>
        <v>0</v>
      </c>
      <c r="BZ27" s="1710">
        <f>IF(OR($C$83=$AR27,$D$83=$AR27),Schweine_Werte!$O27*0.5,IF(OR($C$83&gt;$AR27,$D$83&lt;$AR27),0,Schweine_Werte!$O27))</f>
        <v>0</v>
      </c>
      <c r="CA27" s="1713">
        <f>IF(OR($C$92=$AR27,$D$92=$AR27),Schweine_Werte!$O27*0.5,IF(OR($C$92&gt;$AR27,$D$92&lt;$AR27),0,Schweine_Werte!$O27))</f>
        <v>0</v>
      </c>
      <c r="CB27" s="1713">
        <f>IF(OR($C$101=$AR27,$D$101=$AR27),Schweine_Werte!$O27*0.5,IF(OR($C$101&gt;$AR27,$D$101&lt;$AR27),0,Schweine_Werte!$O27))</f>
        <v>0</v>
      </c>
      <c r="CC27" s="1713">
        <f>IF(OR($C$110=$AR27,$D$110=$AR27),Schweine_Werte!$O27*0.5,IF(OR($C$110&gt;$AR27,$D$110&lt;$AR27),0,Schweine_Werte!$O27))</f>
        <v>0</v>
      </c>
    </row>
    <row r="28" spans="1:81" x14ac:dyDescent="0.25">
      <c r="B28" t="s">
        <v>8567</v>
      </c>
      <c r="C28"/>
      <c r="D28"/>
      <c r="E28" t="s">
        <v>8568</v>
      </c>
      <c r="F28" t="s">
        <v>195</v>
      </c>
      <c r="G28" t="s">
        <v>8569</v>
      </c>
      <c r="H28" t="s">
        <v>8570</v>
      </c>
      <c r="I28" t="s">
        <v>8571</v>
      </c>
      <c r="J28" t="s">
        <v>8096</v>
      </c>
      <c r="K28" t="s">
        <v>8572</v>
      </c>
      <c r="L28" t="s">
        <v>8573</v>
      </c>
      <c r="M28" t="s">
        <v>8574</v>
      </c>
      <c r="N28" t="s">
        <v>8575</v>
      </c>
      <c r="O28" t="s">
        <v>8576</v>
      </c>
      <c r="P28" t="s">
        <v>8577</v>
      </c>
      <c r="Q28" t="s">
        <v>35</v>
      </c>
      <c r="R28" t="s">
        <v>36</v>
      </c>
      <c r="S28" t="s">
        <v>37</v>
      </c>
      <c r="T28" t="s">
        <v>35</v>
      </c>
      <c r="U28" t="s">
        <v>36</v>
      </c>
      <c r="V28" t="s">
        <v>37</v>
      </c>
      <c r="W28"/>
      <c r="X28"/>
      <c r="Y28"/>
      <c r="Z28"/>
      <c r="AA28"/>
      <c r="AB28"/>
      <c r="AC28"/>
      <c r="AD28"/>
      <c r="AE28"/>
      <c r="AF28"/>
      <c r="AG28"/>
      <c r="AH28"/>
      <c r="AI28"/>
      <c r="AJ28"/>
      <c r="AK28"/>
      <c r="AL28"/>
      <c r="AM28"/>
      <c r="AN28"/>
      <c r="AO28"/>
      <c r="AR28" s="1733">
        <v>32</v>
      </c>
      <c r="AS28" s="1710">
        <f>IF(OR($C$12=$AR28,$D$12=$AR28),Schweine_Werte!$C28*0.5,IF(OR($C$12&gt;$AR28,$D$12&lt;$AR28),0,Schweine_Werte!$C28))</f>
        <v>0</v>
      </c>
      <c r="AT28" s="1713">
        <f>IF(OR($C$24=$AR28,$D$24=$AR28),Schweine_Werte!$C28*0.5,IF(OR($C$24&gt;$AR28,$D$24&lt;$AR28),0,Schweine_Werte!$C28))</f>
        <v>0</v>
      </c>
      <c r="AU28" s="1710">
        <f>IF(OR($C$36=$AR28,$D$36=$AR28),Schweine_Werte!$C28*0.5,IF(OR($C$36&gt;$AR28,$D$36&lt;$AR28),0,Schweine_Werte!$C28))</f>
        <v>0</v>
      </c>
      <c r="AV28" s="1710">
        <f>IF(OR($C$48=$AR28,$D$48=$AR28),Schweine_Werte!$C28*0.5,IF(OR($C$48&gt;$AR28,$D$48&lt;$AR28),0,Schweine_Werte!$C28))</f>
        <v>0</v>
      </c>
      <c r="AW28" s="1710">
        <f>IF(OR($C$60=$AR28,$D$60=$AR28),Schweine_Werte!$C28*0.5,IF(OR($C$60&gt;$AR28,$D$60&lt;$AR28),0,Schweine_Werte!$C28))</f>
        <v>0</v>
      </c>
      <c r="AX28" s="1710">
        <f>IF(OR($C$12=$AR28,$D$12=$AR28),Schweine_Werte!$E28*0.5,IF(OR($C$12&gt;$AR28,$D$12&lt;$AR28),0,Schweine_Werte!$E28))</f>
        <v>0</v>
      </c>
      <c r="AY28" s="1713">
        <f>IF(OR($C$24=$AR28,$D$24=$AR28),Schweine_Werte!$E28*0.5,IF(OR($C$24&gt;$AR28,$D$24&lt;$AR28),0,Schweine_Werte!$E28))</f>
        <v>0</v>
      </c>
      <c r="AZ28" s="1713">
        <f>IF(OR($C$36=$AR28,$D$36=$AR28),Schweine_Werte!$E28*0.5,IF(OR($C$36&gt;$AR28,$D$36&lt;$AR28),0,Schweine_Werte!$E28))</f>
        <v>0</v>
      </c>
      <c r="BA28" s="1713">
        <f>IF(OR($C$48=$AR28,$D$48=$AR28),Schweine_Werte!$E28*0.5,IF(OR($C$48&gt;$AR28,$D$48&lt;$AR28),0,Schweine_Werte!$E28))</f>
        <v>0</v>
      </c>
      <c r="BB28" s="1713">
        <f>IF(OR($C$60=$AR28,$D$60=$AR28),Schweine_Werte!$E28*0.5,IF(OR($C$60&gt;$AR28,$D$60&lt;$AR28),0,Schweine_Werte!$E28))</f>
        <v>0</v>
      </c>
      <c r="BC28" s="1710">
        <f>IF(OR($C$12=$AR28,$D$12=$AR28),Schweine_Werte!$G28*0.5,IF(OR($C$12&gt;$AR28,$D$12&lt;$AR28),0,Schweine_Werte!$G28))</f>
        <v>0</v>
      </c>
      <c r="BD28" s="1713">
        <f>IF(OR($C$24=$AR28,$D$24=$AR28),Schweine_Werte!$G28*0.5,IF(OR($C$24&gt;$AR28,$D$24&lt;$AR28),0,Schweine_Werte!$G28))</f>
        <v>0</v>
      </c>
      <c r="BE28" s="1713">
        <f>IF(OR($C$36=$AR28,$D$36=$AR28),Schweine_Werte!$G28*0.5,IF(OR($C$36&gt;$AR28,$D$36&lt;$AR28),0,Schweine_Werte!$G28))</f>
        <v>0</v>
      </c>
      <c r="BF28" s="1713">
        <f>IF(OR($C$48=$AR28,$D$48=$AR28),Schweine_Werte!$G28*0.5,IF(OR($C$48&gt;$AR28,$D$48&lt;$AR28),0,Schweine_Werte!$G28))</f>
        <v>0</v>
      </c>
      <c r="BG28" s="1713">
        <f>IF(OR($C$60=$AR28,$D$60=$AR28),Schweine_Werte!$G28*0.5,IF(OR($C$60&gt;$AR28,$D$60&lt;$AR28),0,Schweine_Werte!$G28))</f>
        <v>0</v>
      </c>
      <c r="BH28" s="1710">
        <f>IF(OR($C$12=$AR28,$D$12=$AR28),Schweine_Werte!$I28*0.5,IF(OR($C$12&gt;$AR28,$D$12&lt;$AR28),0,Schweine_Werte!$I28))</f>
        <v>0</v>
      </c>
      <c r="BI28" s="1713">
        <f>IF(OR($C$24=$AR28,$D$24=$AR28),Schweine_Werte!$I28*0.5,IF(OR($C$24&gt;$AR28,$D$24&lt;$AR28),0,Schweine_Werte!$I28))</f>
        <v>0</v>
      </c>
      <c r="BJ28" s="1713">
        <f>IF(OR($C$36=$AR28,$D$36=$AR28),Schweine_Werte!$I28*0.5,IF(OR($C$36&gt;$AR28,$D$36&lt;$AR28),0,Schweine_Werte!$I28))</f>
        <v>0</v>
      </c>
      <c r="BK28" s="1713">
        <f>IF(OR($C$48=$AR28,$D$48=$AR28),Schweine_Werte!$I28*0.5,IF(OR($C$48&gt;$AR28,$D$48&lt;$AR28),0,Schweine_Werte!$I28))</f>
        <v>0</v>
      </c>
      <c r="BL28" s="1713">
        <f>IF(OR($C$60=$AR28,$D$60=$AR28),Schweine_Werte!$I28*0.5,IF(OR($C$60&gt;$AR28,$D$60&lt;$AR28),0,Schweine_Werte!$I28))</f>
        <v>0</v>
      </c>
      <c r="BM28" s="1710">
        <f>IF(OR($C$12=$AR28,$D$12=$AR28),Schweine_Werte!$K28*0.5,IF(OR($C$12&gt;$AR28,$D$12&lt;$AR28),0,Schweine_Werte!$K28))</f>
        <v>0</v>
      </c>
      <c r="BN28" s="1713">
        <f>IF(OR($C$24=$AR28,$D$24=$AR28),Schweine_Werte!$K28*0.5,IF(OR($C$24&gt;$AR28,$D$24&lt;$AR28),0,Schweine_Werte!$K28))</f>
        <v>0</v>
      </c>
      <c r="BO28" s="1713">
        <f>IF(OR($C$36=$AR28,$D$36=$AR28),Schweine_Werte!$K28*0.5,IF(OR($C$36&gt;$AR28,$D$36&lt;$AR28),0,Schweine_Werte!$K28))</f>
        <v>0</v>
      </c>
      <c r="BP28" s="1713">
        <f>IF(OR($C$48=$AR28,$D$48=$AR28),Schweine_Werte!$K28*0.5,IF(OR($C$48&gt;$AR28,$D$48&lt;$AR28),0,Schweine_Werte!$K28))</f>
        <v>0</v>
      </c>
      <c r="BQ28" s="1713">
        <f>IF(OR($C$60=$AR28,$D$60=$AR28),Schweine_Werte!$K28*0.5,IF(OR($C$60&gt;$AR28,$D$60&lt;$AR28),0,Schweine_Werte!$K28))</f>
        <v>0</v>
      </c>
      <c r="BR28" s="1710">
        <f>IF(OR($C$74=$AR28,$D$74=$AR28),Schweine_Werte!$M28*0.5,IF(OR($C$74&gt;$AR28,$D$74&lt;$AR28),0,Schweine_Werte!$M28))</f>
        <v>0</v>
      </c>
      <c r="BS28" s="1710">
        <f>IF(OR($C$83=$AR28,$D$83=$AR28),Schweine_Werte!$M28*0.5,IF(OR($C$83&gt;$AR28,$D$83&lt;$AR28),0,Schweine_Werte!$M28))</f>
        <v>0</v>
      </c>
      <c r="BT28" s="1713">
        <f>IF(OR($C$92=$AR28,$D$92=$AR28),Schweine_Werte!$M28*0.5,IF(OR($C$92&gt;$AR28,$D$92&lt;$AR28),0,Schweine_Werte!$M28))</f>
        <v>0</v>
      </c>
      <c r="BU28" s="1713">
        <f>IF(OR($C$101=$AR28,$D$101=$AR28),Schweine_Werte!$M28*0.5,IF(OR($C$101&gt;$AR28,$D$101&lt;$AR28),0,Schweine_Werte!$M28))</f>
        <v>0</v>
      </c>
      <c r="BV28" s="1713">
        <f>IF(OR($C$110=$AR28,$D$110=$AR28),Schweine_Werte!$M28*0.5,IF(OR($C$110&gt;$AR28,$D$110&lt;$AR28),0,Schweine_Werte!$M28))</f>
        <v>0</v>
      </c>
      <c r="BW28" s="1713">
        <f>IF(OR(8=$AR28,$E$127=$AR28),Schweine_Werte!$M28*0.5,IF(OR(8&gt;$AR28,$E$127&lt;$AR28),0,Schweine_Werte!$M28))</f>
        <v>1.5074933090959595</v>
      </c>
      <c r="BX28" s="1713">
        <f>IF(OR(8=$AR28,$E$145=$AR28),Schweine_Werte!$M28*0.5,IF(OR(8&gt;$AR28,$E$145&lt;$AR28),0,Schweine_Werte!$M28))</f>
        <v>1.5074933090959595</v>
      </c>
      <c r="BY28" s="1710">
        <f>IF(OR($C$74=$AR28,$D$74=$AR28),Schweine_Werte!$O28*0.5,IF(OR($C$74&gt;$AR28,$D$74&lt;$AR28),0,Schweine_Werte!$O28))</f>
        <v>0</v>
      </c>
      <c r="BZ28" s="1710">
        <f>IF(OR($C$83=$AR28,$D$83=$AR28),Schweine_Werte!$O28*0.5,IF(OR($C$83&gt;$AR28,$D$83&lt;$AR28),0,Schweine_Werte!$O28))</f>
        <v>0</v>
      </c>
      <c r="CA28" s="1713">
        <f>IF(OR($C$92=$AR28,$D$92=$AR28),Schweine_Werte!$O28*0.5,IF(OR($C$92&gt;$AR28,$D$92&lt;$AR28),0,Schweine_Werte!$O28))</f>
        <v>0</v>
      </c>
      <c r="CB28" s="1713">
        <f>IF(OR($C$101=$AR28,$D$101=$AR28),Schweine_Werte!$O28*0.5,IF(OR($C$101&gt;$AR28,$D$101&lt;$AR28),0,Schweine_Werte!$O28))</f>
        <v>0</v>
      </c>
      <c r="CC28" s="1713">
        <f>IF(OR($C$110=$AR28,$D$110=$AR28),Schweine_Werte!$O28*0.5,IF(OR($C$110&gt;$AR28,$D$110&lt;$AR28),0,Schweine_Werte!$O28))</f>
        <v>0</v>
      </c>
    </row>
    <row r="29" spans="1:81" x14ac:dyDescent="0.25">
      <c r="B29" s="1712">
        <v>700</v>
      </c>
      <c r="C29"/>
      <c r="D29" s="885"/>
      <c r="E29" s="885" t="e">
        <f>($D36-$C36)*1000/SUM($AU$4:$AU$146)</f>
        <v>#VALUE!</v>
      </c>
      <c r="F29" s="885" t="e">
        <f>SUMPRODUCT($AU$4:$AU$146,Schweine_Werte!$Q$4:$Q$146)/SUM($AU$4:$AU$146)</f>
        <v>#DIV/0!</v>
      </c>
      <c r="G29" s="885" t="e">
        <f>IF($B36=$A$8,SUMPRODUCT($AU$4:$AU$146,Schweine_Werte!EH$4:EH$146)/SUM($AU$4:$AU$146),IF($B36=$A$7,SUMPRODUCT($AU$4:$AU$146,Schweine_Werte!DB$4:DB$146)/SUM($AU$4:$AU$146),IF($B36=$A$6,SUMPRODUCT($AU$4:$AU$146,Schweine_Werte!BV$4:BV$146)/SUM($AU$4:$AU$146),SUMPRODUCT($AU$4:$AU$146,Schweine_Werte!AP$4:AP$146)/SUM($AU$4:$AU$146))))</f>
        <v>#DIV/0!</v>
      </c>
      <c r="H29" s="885" t="e">
        <f>IF($B36=$A$8,SUMPRODUCT($AU$4:$AU$146,Schweine_Werte!EI$4:EI$146)/SUM($AU$4:$AU$146),IF($B36=$A$7,SUMPRODUCT($AU$4:$AU$146,Schweine_Werte!DC$4:DC$146)/SUM($AU$4:$AU$146),IF($B36=$A$6,SUMPRODUCT($AU$4:$AU$146,Schweine_Werte!BW$4:BW$146)/SUM($AU$4:$AU$146),SUMPRODUCT($AU$4:$AU$146,Schweine_Werte!AQ$4:AQ$146)/SUM($AU$4:$AU$146))))</f>
        <v>#DIV/0!</v>
      </c>
      <c r="I29" s="885" t="e">
        <f>IF($B36=$A$8,SUMPRODUCT($AU$4:$AU$146,Schweine_Werte!EJ$4:EJ$146)/SUM($AU$4:$AU$146),IF($B36=$A$7,SUMPRODUCT($AU$4:$AU$146,Schweine_Werte!DD$4:DD$146)/SUM($AU$4:$AU$146),IF($B36=$A$6,SUMPRODUCT($AU$4:$AU$146,Schweine_Werte!BX$4:BX$146)/SUM($AU$4:$AU$146),SUMPRODUCT($AU$4:$AU$146,Schweine_Werte!AR$4:AR$146)/SUM($AU$4:$AU$146))))</f>
        <v>#DIV/0!</v>
      </c>
      <c r="J29" s="885" t="e">
        <f>SUMPRODUCT($AU$4:$AU$146,Schweine_Werte!$Y$4:$Y$146)/SUM($AU$4:$AU$146)</f>
        <v>#DIV/0!</v>
      </c>
      <c r="K29" s="885" t="e">
        <f>SUMPRODUCT($AU$4:$AU$146,Schweine_Werte!$AG$4:$AG$146)/SUM($AU$4:$AU$146)</f>
        <v>#DIV/0!</v>
      </c>
      <c r="L29" s="1914" t="e">
        <f>T29*$F29*365/1000+$J29-$K29</f>
        <v>#DIV/0!</v>
      </c>
      <c r="M29" s="885" t="e">
        <f>U29*$F29*365/1000+$J29-$K29/2</f>
        <v>#DIV/0!</v>
      </c>
      <c r="N29" s="885" t="e">
        <f>V29*$F29*365/1000+$J29</f>
        <v>#DIV/0!</v>
      </c>
      <c r="O29" s="885">
        <f>IF($C36&lt;28,SUM($AU$4:$AU$23)+IF($D36&gt;28,$AU$24*0.5,$AU$24),0)</f>
        <v>0</v>
      </c>
      <c r="P29" s="885">
        <f>IF($D36&gt;28,SUM($AU$25:$AU$146)+IF($C36&lt;28,$AU$24*0.5,$AU$24),0)</f>
        <v>0</v>
      </c>
      <c r="Q29" s="885" t="e">
        <f t="shared" ref="Q29:S32" si="6">+T29*$F29</f>
        <v>#DIV/0!</v>
      </c>
      <c r="R29" s="885" t="e">
        <f t="shared" si="6"/>
        <v>#DIV/0!</v>
      </c>
      <c r="S29" s="885" t="e">
        <f t="shared" si="6"/>
        <v>#DIV/0!</v>
      </c>
      <c r="T29" s="885" t="e">
        <f>+($O29*Schweine_Werte!$HT$5+$P29*Schweine_Werte!$HU$5)/SUM($O29:$P29)</f>
        <v>#DIV/0!</v>
      </c>
      <c r="U29" s="885" t="e">
        <f>+($O29*Schweine_Werte!$HV$5+$P29*Schweine_Werte!$HW$5)/SUM($O29:$P29)</f>
        <v>#DIV/0!</v>
      </c>
      <c r="V29" s="885" t="e">
        <f>+($O29*Schweine_Werte!$HX$5+$P29*Schweine_Werte!$HY$5)/SUM($O29:$P29)</f>
        <v>#DIV/0!</v>
      </c>
      <c r="W29" s="1915" t="e">
        <f>($J29*0.055+T29*0.365*0.86*$F29-$K29*0.018)/L29*100</f>
        <v>#DIV/0!</v>
      </c>
      <c r="X29" s="885" t="e">
        <f>($J29*0.055+U29*0.365*0.86*$F29-$K29*0.018/2)/M29*100</f>
        <v>#DIV/0!</v>
      </c>
      <c r="Y29" s="885" t="e">
        <f>($J29*0.055+V29*0.365*0.86*$F29)/N29*100</f>
        <v>#DIV/0!</v>
      </c>
      <c r="Z29" s="885" t="e">
        <f>IF($B36=$A$8,SUMPRODUCT($AU$4:$AU$146,Schweine_Werte!$EK$4:$EK$146,Schweine_Werte!$EL$4:$EL$146)/SUMPRODUCT($AU$4:$AU$146,Schweine_Werte!$EK$4:$EK$146),IF($B36=$A$7,SUMPRODUCT($AU$4:$AU$146,Schweine_Werte!$DE$4:$DE$146,Schweine_Werte!$DF$4:$DF$146)/SUMPRODUCT($AU$4:$AU$146,Schweine_Werte!$DE$4:$DE$146),IF($B36=$A$6,SUMPRODUCT($AU$4:$AU$146,Schweine_Werte!$BY$4:$BY$146,Schweine_Werte!$BZ$4:$BZ$146)/SUMPRODUCT($AU$4:$AU$146,Schweine_Werte!$BY$4:$BY$146),SUMPRODUCT($AU$4:$AU$146,Schweine_Werte!$AS$4:$AS$146,Schweine_Werte!$AT$4:$AT$146)/SUMPRODUCT($AU$4:$AU$146,Schweine_Werte!$AS$4:$AS$146))))</f>
        <v>#DIV/0!</v>
      </c>
      <c r="AA29" s="885"/>
      <c r="AB29" s="885">
        <f>IF($B36=$A$8,SUMIF(Schweine_Werte!$AO$4:$AO$146,$C36,Schweine_Werte!$EL$4:$EL$146),IF($B36=$A$7,SUMIF(Schweine_Werte!$AO$4:$AO$146,$C36,Schweine_Werte!$DF$4:$DF$146),IF($B36=$A$6,SUMIF(Schweine_Werte!$AO$4:$AO$146,$C36,Schweine_Werte!$BZ$4:$BZ$146),SUMIF(Schweine_Werte!$AO$4:$AO$146,$C36,Schweine_Werte!$AT$4:$AT$146))))</f>
        <v>0</v>
      </c>
      <c r="AC29" s="885"/>
      <c r="AD29" s="885">
        <f>IF($B36=$A$8,SUMIF(Schweine_Werte!$AO$4:$AO$146,$D36,Schweine_Werte!$EL$4:$EL$146),IF($B36=$A$7,SUMIF(Schweine_Werte!$AO$4:$AO$146,$D36,Schweine_Werte!$DF$4:$DF$146),IF($B36=$A$6,SUMIF(Schweine_Werte!$AO$4:$AO$146,$D36,Schweine_Werte!$BZ$4:$BZ$146),SUMIF(Schweine_Werte!$AO$4:$AO$146,$D36,Schweine_Werte!$AT$4:$AT$146))))</f>
        <v>0</v>
      </c>
      <c r="AE29" s="885"/>
      <c r="AF29" s="885"/>
      <c r="AG29" s="885" t="e">
        <f>IF($B36=$A$8,SUMPRODUCT($AU$4:$AU$146,Schweine_Werte!$EK$4:$EK$146)/SUM($AU$4:$AU$146),IF($B36=$A$7,SUMPRODUCT($AU$4:$AU$146,Schweine_Werte!$DE$4:$DE$146)/SUM($AU$4:$AU$146),IF($B36=$A$6,SUMPRODUCT($AU$4:$AU$146,Schweine_Werte!$BY$4:$BY$146)/SUM($AU$4:$AU$146),SUMPRODUCT($AU$4:$AU$146,Schweine_Werte!$AS$4:$AS$146)/SUM($AU$4:$AU$146))))</f>
        <v>#DIV/0!</v>
      </c>
      <c r="AH29" s="885"/>
      <c r="AI29" s="885"/>
      <c r="AJ29" s="885" t="e">
        <f>IF($B36=$A$8,SUMPRODUCT($AU$4:$AU$146,Schweine_Werte!$EK$4:$EK$146,Schweine_Werte!$EM$4:$EM$146)/SUMPRODUCT($AU$4:$AU$146,Schweine_Werte!$EK$4:$EK$146),IF($B36=$A$7,SUMPRODUCT($AU$4:$AU$146,Schweine_Werte!$DE$4:$DE$146,Schweine_Werte!$DG$4:$DG$146)/SUMPRODUCT($AU$4:$AU$146,Schweine_Werte!$DE$4:$DE$146),IF($B36=$A$6,SUMPRODUCT($AU$4:$AU$146,Schweine_Werte!$BY$4:$BY$146,Schweine_Werte!$CA$4:$CA$146)/SUMPRODUCT($AU$4:$AU$146,Schweine_Werte!$BY$4:$BY$146),SUMPRODUCT($AU$4:$AU$146,Schweine_Werte!$AS$4:$AS$146,Schweine_Werte!$AU$4:$AU$146)/SUMPRODUCT($AU$4:$AU$146,Schweine_Werte!$AS$4:$AS$146))))</f>
        <v>#DIV/0!</v>
      </c>
      <c r="AK29" s="885"/>
      <c r="AL29" s="885">
        <f>IF($B36=$A$8,SUMIF(Schweine_Werte!$AO$4:$AO$146,$C36,Schweine_Werte!$EM$4:$EM$146),IF($B36=$A$7,SUMIF(Schweine_Werte!$AO$4:$AO$146,$C36,Schweine_Werte!$DG$4:$DG$146),IF($B36=$A$6,SUMIF(Schweine_Werte!$AO$4:$AO$146,$C36,Schweine_Werte!$CA$4:$CA$146),SUMIF(Schweine_Werte!$AO$4:$AO$146,$C36,Schweine_Werte!$AU$4:$AU$146))))</f>
        <v>0</v>
      </c>
      <c r="AM29" s="885"/>
      <c r="AN29" s="885">
        <f>IF($B36=$A$8,SUMIF(Schweine_Werte!$AO$4:$AO$146,$D36,Schweine_Werte!$EM$4:$EM$146),IF($B36=$A$7,SUMIF(Schweine_Werte!$AO$4:$AO$146,$D36,Schweine_Werte!$DG$4:$DG$146),IF($B36=$A$6,SUMIF(Schweine_Werte!$AO$4:$AO$146,$D36,Schweine_Werte!$CA$4:$CA$146),SUMIF(Schweine_Werte!$AO$4:$AO$146,$D36,Schweine_Werte!$AU$4:$AU$146))))</f>
        <v>0</v>
      </c>
      <c r="AO29"/>
      <c r="AR29" s="1733">
        <v>33</v>
      </c>
      <c r="AS29" s="1710">
        <f>IF(OR($C$12=$AR29,$D$12=$AR29),Schweine_Werte!$C29*0.5,IF(OR($C$12&gt;$AR29,$D$12&lt;$AR29),0,Schweine_Werte!$C29))</f>
        <v>0</v>
      </c>
      <c r="AT29" s="1713">
        <f>IF(OR($C$24=$AR29,$D$24=$AR29),Schweine_Werte!$C29*0.5,IF(OR($C$24&gt;$AR29,$D$24&lt;$AR29),0,Schweine_Werte!$C29))</f>
        <v>0</v>
      </c>
      <c r="AU29" s="1710">
        <f>IF(OR($C$36=$AR29,$D$36=$AR29),Schweine_Werte!$C29*0.5,IF(OR($C$36&gt;$AR29,$D$36&lt;$AR29),0,Schweine_Werte!$C29))</f>
        <v>0</v>
      </c>
      <c r="AV29" s="1710">
        <f>IF(OR($C$48=$AR29,$D$48=$AR29),Schweine_Werte!$C29*0.5,IF(OR($C$48&gt;$AR29,$D$48&lt;$AR29),0,Schweine_Werte!$C29))</f>
        <v>0</v>
      </c>
      <c r="AW29" s="1710">
        <f>IF(OR($C$60=$AR29,$D$60=$AR29),Schweine_Werte!$C29*0.5,IF(OR($C$60&gt;$AR29,$D$60&lt;$AR29),0,Schweine_Werte!$C29))</f>
        <v>0</v>
      </c>
      <c r="AX29" s="1710">
        <f>IF(OR($C$12=$AR29,$D$12=$AR29),Schweine_Werte!$E29*0.5,IF(OR($C$12&gt;$AR29,$D$12&lt;$AR29),0,Schweine_Werte!$E29))</f>
        <v>0</v>
      </c>
      <c r="AY29" s="1713">
        <f>IF(OR($C$24=$AR29,$D$24=$AR29),Schweine_Werte!$E29*0.5,IF(OR($C$24&gt;$AR29,$D$24&lt;$AR29),0,Schweine_Werte!$E29))</f>
        <v>0</v>
      </c>
      <c r="AZ29" s="1713">
        <f>IF(OR($C$36=$AR29,$D$36=$AR29),Schweine_Werte!$E29*0.5,IF(OR($C$36&gt;$AR29,$D$36&lt;$AR29),0,Schweine_Werte!$E29))</f>
        <v>0</v>
      </c>
      <c r="BA29" s="1713">
        <f>IF(OR($C$48=$AR29,$D$48=$AR29),Schweine_Werte!$E29*0.5,IF(OR($C$48&gt;$AR29,$D$48&lt;$AR29),0,Schweine_Werte!$E29))</f>
        <v>0</v>
      </c>
      <c r="BB29" s="1713">
        <f>IF(OR($C$60=$AR29,$D$60=$AR29),Schweine_Werte!$E29*0.5,IF(OR($C$60&gt;$AR29,$D$60&lt;$AR29),0,Schweine_Werte!$E29))</f>
        <v>0</v>
      </c>
      <c r="BC29" s="1710">
        <f>IF(OR($C$12=$AR29,$D$12=$AR29),Schweine_Werte!$G29*0.5,IF(OR($C$12&gt;$AR29,$D$12&lt;$AR29),0,Schweine_Werte!$G29))</f>
        <v>0</v>
      </c>
      <c r="BD29" s="1713">
        <f>IF(OR($C$24=$AR29,$D$24=$AR29),Schweine_Werte!$G29*0.5,IF(OR($C$24&gt;$AR29,$D$24&lt;$AR29),0,Schweine_Werte!$G29))</f>
        <v>0</v>
      </c>
      <c r="BE29" s="1713">
        <f>IF(OR($C$36=$AR29,$D$36=$AR29),Schweine_Werte!$G29*0.5,IF(OR($C$36&gt;$AR29,$D$36&lt;$AR29),0,Schweine_Werte!$G29))</f>
        <v>0</v>
      </c>
      <c r="BF29" s="1713">
        <f>IF(OR($C$48=$AR29,$D$48=$AR29),Schweine_Werte!$G29*0.5,IF(OR($C$48&gt;$AR29,$D$48&lt;$AR29),0,Schweine_Werte!$G29))</f>
        <v>0</v>
      </c>
      <c r="BG29" s="1713">
        <f>IF(OR($C$60=$AR29,$D$60=$AR29),Schweine_Werte!$G29*0.5,IF(OR($C$60&gt;$AR29,$D$60&lt;$AR29),0,Schweine_Werte!$G29))</f>
        <v>0</v>
      </c>
      <c r="BH29" s="1710">
        <f>IF(OR($C$12=$AR29,$D$12=$AR29),Schweine_Werte!$I29*0.5,IF(OR($C$12&gt;$AR29,$D$12&lt;$AR29),0,Schweine_Werte!$I29))</f>
        <v>0</v>
      </c>
      <c r="BI29" s="1713">
        <f>IF(OR($C$24=$AR29,$D$24=$AR29),Schweine_Werte!$I29*0.5,IF(OR($C$24&gt;$AR29,$D$24&lt;$AR29),0,Schweine_Werte!$I29))</f>
        <v>0</v>
      </c>
      <c r="BJ29" s="1713">
        <f>IF(OR($C$36=$AR29,$D$36=$AR29),Schweine_Werte!$I29*0.5,IF(OR($C$36&gt;$AR29,$D$36&lt;$AR29),0,Schweine_Werte!$I29))</f>
        <v>0</v>
      </c>
      <c r="BK29" s="1713">
        <f>IF(OR($C$48=$AR29,$D$48=$AR29),Schweine_Werte!$I29*0.5,IF(OR($C$48&gt;$AR29,$D$48&lt;$AR29),0,Schweine_Werte!$I29))</f>
        <v>0</v>
      </c>
      <c r="BL29" s="1713">
        <f>IF(OR($C$60=$AR29,$D$60=$AR29),Schweine_Werte!$I29*0.5,IF(OR($C$60&gt;$AR29,$D$60&lt;$AR29),0,Schweine_Werte!$I29))</f>
        <v>0</v>
      </c>
      <c r="BM29" s="1710">
        <f>IF(OR($C$12=$AR29,$D$12=$AR29),Schweine_Werte!$K29*0.5,IF(OR($C$12&gt;$AR29,$D$12&lt;$AR29),0,Schweine_Werte!$K29))</f>
        <v>0</v>
      </c>
      <c r="BN29" s="1713">
        <f>IF(OR($C$24=$AR29,$D$24=$AR29),Schweine_Werte!$K29*0.5,IF(OR($C$24&gt;$AR29,$D$24&lt;$AR29),0,Schweine_Werte!$K29))</f>
        <v>0</v>
      </c>
      <c r="BO29" s="1713">
        <f>IF(OR($C$36=$AR29,$D$36=$AR29),Schweine_Werte!$K29*0.5,IF(OR($C$36&gt;$AR29,$D$36&lt;$AR29),0,Schweine_Werte!$K29))</f>
        <v>0</v>
      </c>
      <c r="BP29" s="1713">
        <f>IF(OR($C$48=$AR29,$D$48=$AR29),Schweine_Werte!$K29*0.5,IF(OR($C$48&gt;$AR29,$D$48&lt;$AR29),0,Schweine_Werte!$K29))</f>
        <v>0</v>
      </c>
      <c r="BQ29" s="1713">
        <f>IF(OR($C$60=$AR29,$D$60=$AR29),Schweine_Werte!$K29*0.5,IF(OR($C$60&gt;$AR29,$D$60&lt;$AR29),0,Schweine_Werte!$K29))</f>
        <v>0</v>
      </c>
      <c r="BR29" s="1710">
        <f>IF(OR($C$74=$AR29,$D$74=$AR29),Schweine_Werte!$M29*0.5,IF(OR($C$74&gt;$AR29,$D$74&lt;$AR29),0,Schweine_Werte!$M29))</f>
        <v>0</v>
      </c>
      <c r="BS29" s="1710">
        <f>IF(OR($C$83=$AR29,$D$83=$AR29),Schweine_Werte!$M29*0.5,IF(OR($C$83&gt;$AR29,$D$83&lt;$AR29),0,Schweine_Werte!$M29))</f>
        <v>0</v>
      </c>
      <c r="BT29" s="1713">
        <f>IF(OR($C$92=$AR29,$D$92=$AR29),Schweine_Werte!$M29*0.5,IF(OR($C$92&gt;$AR29,$D$92&lt;$AR29),0,Schweine_Werte!$M29))</f>
        <v>0</v>
      </c>
      <c r="BU29" s="1713">
        <f>IF(OR($C$101=$AR29,$D$101=$AR29),Schweine_Werte!$M29*0.5,IF(OR($C$101&gt;$AR29,$D$101&lt;$AR29),0,Schweine_Werte!$M29))</f>
        <v>0</v>
      </c>
      <c r="BV29" s="1713">
        <f>IF(OR($C$110=$AR29,$D$110=$AR29),Schweine_Werte!$M29*0.5,IF(OR($C$110&gt;$AR29,$D$110&lt;$AR29),0,Schweine_Werte!$M29))</f>
        <v>0</v>
      </c>
      <c r="BW29" s="1713">
        <f>IF(OR(8=$AR29,$E$127=$AR29),Schweine_Werte!$M29*0.5,IF(OR(8&gt;$AR29,$E$127&lt;$AR29),0,Schweine_Werte!$M29))</f>
        <v>1.4812613148067963</v>
      </c>
      <c r="BX29" s="1713">
        <f>IF(OR(8=$AR29,$E$145=$AR29),Schweine_Werte!$M29*0.5,IF(OR(8&gt;$AR29,$E$145&lt;$AR29),0,Schweine_Werte!$M29))</f>
        <v>1.4812613148067963</v>
      </c>
      <c r="BY29" s="1710">
        <f>IF(OR($C$74=$AR29,$D$74=$AR29),Schweine_Werte!$O29*0.5,IF(OR($C$74&gt;$AR29,$D$74&lt;$AR29),0,Schweine_Werte!$O29))</f>
        <v>0</v>
      </c>
      <c r="BZ29" s="1710">
        <f>IF(OR($C$83=$AR29,$D$83=$AR29),Schweine_Werte!$O29*0.5,IF(OR($C$83&gt;$AR29,$D$83&lt;$AR29),0,Schweine_Werte!$O29))</f>
        <v>0</v>
      </c>
      <c r="CA29" s="1713">
        <f>IF(OR($C$92=$AR29,$D$92=$AR29),Schweine_Werte!$O29*0.5,IF(OR($C$92&gt;$AR29,$D$92&lt;$AR29),0,Schweine_Werte!$O29))</f>
        <v>0</v>
      </c>
      <c r="CB29" s="1713">
        <f>IF(OR($C$101=$AR29,$D$101=$AR29),Schweine_Werte!$O29*0.5,IF(OR($C$101&gt;$AR29,$D$101&lt;$AR29),0,Schweine_Werte!$O29))</f>
        <v>0</v>
      </c>
      <c r="CC29" s="1713">
        <f>IF(OR($C$110=$AR29,$D$110=$AR29),Schweine_Werte!$O29*0.5,IF(OR($C$110&gt;$AR29,$D$110&lt;$AR29),0,Schweine_Werte!$O29))</f>
        <v>0</v>
      </c>
    </row>
    <row r="30" spans="1:81" x14ac:dyDescent="0.25">
      <c r="B30" s="1712">
        <v>750</v>
      </c>
      <c r="C30"/>
      <c r="D30" s="1916"/>
      <c r="E30" s="885" t="e">
        <f>($D36-$C36)*1000/SUM($AZ$4:$AZ$146)</f>
        <v>#VALUE!</v>
      </c>
      <c r="F30" s="885" t="e">
        <f>SUMPRODUCT($AZ$4:$AZ$146,Schweine_Werte!$R$4:$R$146)/SUM($AZ$4:$AZ$146)</f>
        <v>#DIV/0!</v>
      </c>
      <c r="G30" s="885" t="e">
        <f>IF($B36=$A$8,SUMPRODUCT($AZ$4:$AZ$146,Schweine_Werte!EN$4:EN$146)/SUM($AZ$4:$AZ$146),IF($B36=$A$7,SUMPRODUCT($AZ$4:$AZ$146,Schweine_Werte!DH$4:DH$146)/SUM($AZ$4:$AZ$146),IF($B36=$A$6,SUMPRODUCT($AZ$4:$AZ$146,Schweine_Werte!CB$4:CB$146)/SUM($AZ$4:$AZ$146),SUMPRODUCT($AZ$4:$AZ$146,Schweine_Werte!AV$4:AV$146)/SUM($AZ$4:$AZ$146))))</f>
        <v>#DIV/0!</v>
      </c>
      <c r="H30" s="885" t="e">
        <f>IF($B36=$A$8,SUMPRODUCT($AZ$4:$AZ$146,Schweine_Werte!EO$4:EO$146)/SUM($AZ$4:$AZ$146),IF($B36=$A$7,SUMPRODUCT($AZ$4:$AZ$146,Schweine_Werte!DI$4:DI$146)/SUM($AZ$4:$AZ$146),IF($B36=$A$6,SUMPRODUCT($AZ$4:$AZ$146,Schweine_Werte!CC$4:CC$146)/SUM($AZ$4:$AZ$146),SUMPRODUCT($AZ$4:$AZ$146,Schweine_Werte!AW$4:AW$146)/SUM($AZ$4:$AZ$146))))</f>
        <v>#DIV/0!</v>
      </c>
      <c r="I30" s="885" t="e">
        <f>IF($B36=$A$8,SUMPRODUCT($AZ$4:$AZ$146,Schweine_Werte!EP$4:EP$146)/SUM($AZ$4:$AZ$146),IF($B36=$A$7,SUMPRODUCT($AZ$4:$AZ$146,Schweine_Werte!DJ$4:DJ$146)/SUM($AZ$4:$AZ$146),IF($B36=$A$6,SUMPRODUCT($AZ$4:$AZ$146,Schweine_Werte!CD$4:CD$146)/SUM($AZ$4:$AZ$146),SUMPRODUCT($AZ$4:$AZ$146,Schweine_Werte!AX$4:AX$146)/SUM($AZ$4:$AZ$146))))</f>
        <v>#DIV/0!</v>
      </c>
      <c r="J30" s="885" t="e">
        <f>SUMPRODUCT($AZ$4:$AZ$146,Schweine_Werte!$Z$4:$Z$146)/SUM($AZ$4:$AZ$146)</f>
        <v>#DIV/0!</v>
      </c>
      <c r="K30" s="885" t="e">
        <f>SUMPRODUCT($AZ$4:$AZ$146,Schweine_Werte!$AH$4:$AH$146)/SUM($AZ$4:$AZ$146)</f>
        <v>#DIV/0!</v>
      </c>
      <c r="L30" s="1914" t="e">
        <f>T30*$F30*365/1000+$J30-$K30</f>
        <v>#DIV/0!</v>
      </c>
      <c r="M30" s="885" t="e">
        <f>U30*$F30*365/1000+$J30-$K30/2</f>
        <v>#DIV/0!</v>
      </c>
      <c r="N30" s="885" t="e">
        <f>V30*$F30*365/1000+$J30</f>
        <v>#DIV/0!</v>
      </c>
      <c r="O30" s="885">
        <f>IF($C36&lt;28,SUM($AZ$4:$AZ$23)+IF($D36&gt;28,$AZ$24*0.5,$AZ$24),0)</f>
        <v>0</v>
      </c>
      <c r="P30" s="885">
        <f>IF($D36&gt;28,SUM($AZ$25:$AZ$146)+IF($C36&lt;28,$AZ$24*0.5,$AZ$24),0)</f>
        <v>0</v>
      </c>
      <c r="Q30" s="885" t="e">
        <f t="shared" si="6"/>
        <v>#DIV/0!</v>
      </c>
      <c r="R30" s="885" t="e">
        <f t="shared" si="6"/>
        <v>#DIV/0!</v>
      </c>
      <c r="S30" s="885" t="e">
        <f t="shared" si="6"/>
        <v>#DIV/0!</v>
      </c>
      <c r="T30" s="885" t="e">
        <f>+($O30*Schweine_Werte!$HT$6+$P30*Schweine_Werte!$HU$6)/SUM($O30:$P30)</f>
        <v>#DIV/0!</v>
      </c>
      <c r="U30" s="885" t="e">
        <f>+($O30*Schweine_Werte!$HV$6+$P30*Schweine_Werte!$HW$6)/SUM($O30:$P30)</f>
        <v>#DIV/0!</v>
      </c>
      <c r="V30" s="885" t="e">
        <f>+($O30*Schweine_Werte!$HX$6+$P30*Schweine_Werte!$HY$6)/SUM($O30:$P30)</f>
        <v>#DIV/0!</v>
      </c>
      <c r="W30" s="1915" t="e">
        <f>($J30*0.055+T30*0.365*0.86*$F30-$K30*0.018)/L30*100</f>
        <v>#DIV/0!</v>
      </c>
      <c r="X30" s="885" t="e">
        <f>($J30*0.055+U30*0.365*0.86*$F30-$K30*0.018/2)/M30*100</f>
        <v>#DIV/0!</v>
      </c>
      <c r="Y30" s="885" t="e">
        <f>($J30*0.055+V30*0.365*0.86*$F30)/N30*100</f>
        <v>#DIV/0!</v>
      </c>
      <c r="Z30" s="885" t="e">
        <f>IF($B36=$A$8,SUMPRODUCT($AZ$4:$AZ$146,Schweine_Werte!$EQ$4:$EQ$146,Schweine_Werte!$ER$4:$ER$146)/SUMPRODUCT($AZ$4:$AZ$146,Schweine_Werte!$EQ$4:$EQ$146),IF($B36=$A$7,SUMPRODUCT($AZ$4:$AZ$146,Schweine_Werte!$DK$4:$DK$146,Schweine_Werte!$DL$4:$DL$146)/SUMPRODUCT($AZ$4:$AZ$146,Schweine_Werte!$DK$4:$DK$146),IF($B36=$A$6,SUMPRODUCT($AZ$4:$AZ$146,Schweine_Werte!$CE$4:$CE$146,Schweine_Werte!$CF$4:$CF$146)/SUMPRODUCT($AZ$4:$AZ$146,Schweine_Werte!$CE$4:$CE$146),SUMPRODUCT($AZ$4:$AZ$146,Schweine_Werte!$AY$4:$AY$146,Schweine_Werte!$AZ$4:$AZ$146)/SUMPRODUCT($AZ$4:$AZ$146,Schweine_Werte!$AY$4:$AY$146))))</f>
        <v>#DIV/0!</v>
      </c>
      <c r="AA30" s="885"/>
      <c r="AB30" s="885">
        <f>IF($B36=$A$8,SUMIF(Schweine_Werte!$AO$4:$AO$146,$C36,Schweine_Werte!$ER$4:$ER$146),IF($B36=$A$7,SUMIF(Schweine_Werte!$AO$4:$AO$146,$C36,Schweine_Werte!$DL$4:$DL$146),IF($B36=$A$6,SUMIF(Schweine_Werte!$AO$4:$AO$146,$C36,Schweine_Werte!$CF$4:$CF$146),SUMIF(Schweine_Werte!$AO$4:$AO$146,$C36,Schweine_Werte!$AZ$4:$AZ$146))))</f>
        <v>0</v>
      </c>
      <c r="AC30" s="885"/>
      <c r="AD30" s="885">
        <f>IF($B36=$A$8,SUMIF(Schweine_Werte!$AO$4:$AO$146,$D36,Schweine_Werte!$ER$4:$ER$146),IF($B36=$A$7,SUMIF(Schweine_Werte!$AO$4:$AO$146,$D36,Schweine_Werte!$DL$4:$DL$146),IF($B36=$A$6,SUMIF(Schweine_Werte!$AO$4:$AO$146,$D36,Schweine_Werte!$CF$4:$CF$146),SUMIF(Schweine_Werte!$AO$4:$AO$146,$D36,Schweine_Werte!$AZ$4:$AZ$146))))</f>
        <v>0</v>
      </c>
      <c r="AE30" s="885"/>
      <c r="AF30" s="885"/>
      <c r="AG30" s="885" t="e">
        <f>IF($B36=$A$8,SUMPRODUCT($AZ$4:$AZ$146,Schweine_Werte!$EQ$4:$EQ$146)/SUM($AZ$4:$AZ$146),IF($B36=$A$7,SUMPRODUCT($AZ$4:$AZ$146,Schweine_Werte!$DK$4:$DK$146)/SUM($AZ$4:$AZ$146),IF($B36=$A$6,SUMPRODUCT($AZ$4:$AZ$146,Schweine_Werte!$CE$4:$CE$146)/SUM($AZ$4:$AZ$146),SUMPRODUCT($AZ$4:$AZ$146,Schweine_Werte!$AY$4:$AY$146)/SUM($AZ$4:$AZ$146))))</f>
        <v>#DIV/0!</v>
      </c>
      <c r="AH30" s="885"/>
      <c r="AI30" s="885"/>
      <c r="AJ30" s="885" t="e">
        <f>IF($B36=$A$8,SUMPRODUCT($AZ$4:$AZ$146,Schweine_Werte!$EQ$4:$EQ$146,Schweine_Werte!$ES$4:$ES$146)/SUMPRODUCT($AZ$4:$AZ$146,Schweine_Werte!$EQ$4:$EQ$146),IF($B36=$A$7,SUMPRODUCT($AZ$4:$AZ$146,Schweine_Werte!$DK$4:$DK$146,Schweine_Werte!$DM$4:$DM$146)/SUMPRODUCT($AZ$4:$AZ$146,Schweine_Werte!$DK$4:$DK$146),IF($B36=$A$6,SUMPRODUCT($AZ$4:$AZ$146,Schweine_Werte!$CE$4:$CE$146,Schweine_Werte!$CG$4:$CG$146)/SUMPRODUCT($AZ$4:$AZ$146,Schweine_Werte!$CE$4:$CE$146),SUMPRODUCT($AZ$4:$AZ$146,Schweine_Werte!$AY$4:$AY$146,Schweine_Werte!$BA$4:$BA$146)/SUMPRODUCT($AZ$4:$AZ$146,Schweine_Werte!$AY$4:$AY$146))))</f>
        <v>#DIV/0!</v>
      </c>
      <c r="AK30" s="885"/>
      <c r="AL30" s="885">
        <f>IF($B36=$A$8,SUMIF(Schweine_Werte!$AO$4:$AO$146,$C36,Schweine_Werte!$ES$4:$ES$146),IF($B36=$A$7,SUMIF(Schweine_Werte!$AO$4:$AO$146,$C36,Schweine_Werte!$DM$4:$DM$146),IF($B36=$A$6,SUMIF(Schweine_Werte!$AO$4:$AO$146,$C36,Schweine_Werte!$CG$4:$CG$146),SUMIF(Schweine_Werte!$AO$4:$AO$146,$C36,Schweine_Werte!$BA$4:$BA$146))))</f>
        <v>0</v>
      </c>
      <c r="AM30" s="885"/>
      <c r="AN30" s="885">
        <f>IF($B36=$A$8,SUMIF(Schweine_Werte!$AO$4:$AO$146,$D36,Schweine_Werte!$ES$4:$ES$146),IF($B36=$A$7,SUMIF(Schweine_Werte!$AO$4:$AO$146,$D36,Schweine_Werte!$DM$4:$DM$146),IF($B36=$A$6,SUMIF(Schweine_Werte!$AO$4:$AO$146,$D36,Schweine_Werte!$CG$4:$CG$146),SUMIF(Schweine_Werte!$AO$4:$AO$146,$D36,Schweine_Werte!$BA$4:$BA$146))))</f>
        <v>0</v>
      </c>
      <c r="AO30"/>
      <c r="AR30" s="1733">
        <v>34</v>
      </c>
      <c r="AS30" s="1710">
        <f>IF(OR($C$12=$AR30,$D$12=$AR30),Schweine_Werte!$C30*0.5,IF(OR($C$12&gt;$AR30,$D$12&lt;$AR30),0,Schweine_Werte!$C30))</f>
        <v>0</v>
      </c>
      <c r="AT30" s="1713">
        <f>IF(OR($C$24=$AR30,$D$24=$AR30),Schweine_Werte!$C30*0.5,IF(OR($C$24&gt;$AR30,$D$24&lt;$AR30),0,Schweine_Werte!$C30))</f>
        <v>0</v>
      </c>
      <c r="AU30" s="1710">
        <f>IF(OR($C$36=$AR30,$D$36=$AR30),Schweine_Werte!$C30*0.5,IF(OR($C$36&gt;$AR30,$D$36&lt;$AR30),0,Schweine_Werte!$C30))</f>
        <v>0</v>
      </c>
      <c r="AV30" s="1710">
        <f>IF(OR($C$48=$AR30,$D$48=$AR30),Schweine_Werte!$C30*0.5,IF(OR($C$48&gt;$AR30,$D$48&lt;$AR30),0,Schweine_Werte!$C30))</f>
        <v>0</v>
      </c>
      <c r="AW30" s="1710">
        <f>IF(OR($C$60=$AR30,$D$60=$AR30),Schweine_Werte!$C30*0.5,IF(OR($C$60&gt;$AR30,$D$60&lt;$AR30),0,Schweine_Werte!$C30))</f>
        <v>0</v>
      </c>
      <c r="AX30" s="1710">
        <f>IF(OR($C$12=$AR30,$D$12=$AR30),Schweine_Werte!$E30*0.5,IF(OR($C$12&gt;$AR30,$D$12&lt;$AR30),0,Schweine_Werte!$E30))</f>
        <v>0</v>
      </c>
      <c r="AY30" s="1713">
        <f>IF(OR($C$24=$AR30,$D$24=$AR30),Schweine_Werte!$E30*0.5,IF(OR($C$24&gt;$AR30,$D$24&lt;$AR30),0,Schweine_Werte!$E30))</f>
        <v>0</v>
      </c>
      <c r="AZ30" s="1713">
        <f>IF(OR($C$36=$AR30,$D$36=$AR30),Schweine_Werte!$E30*0.5,IF(OR($C$36&gt;$AR30,$D$36&lt;$AR30),0,Schweine_Werte!$E30))</f>
        <v>0</v>
      </c>
      <c r="BA30" s="1713">
        <f>IF(OR($C$48=$AR30,$D$48=$AR30),Schweine_Werte!$E30*0.5,IF(OR($C$48&gt;$AR30,$D$48&lt;$AR30),0,Schweine_Werte!$E30))</f>
        <v>0</v>
      </c>
      <c r="BB30" s="1713">
        <f>IF(OR($C$60=$AR30,$D$60=$AR30),Schweine_Werte!$E30*0.5,IF(OR($C$60&gt;$AR30,$D$60&lt;$AR30),0,Schweine_Werte!$E30))</f>
        <v>0</v>
      </c>
      <c r="BC30" s="1710">
        <f>IF(OR($C$12=$AR30,$D$12=$AR30),Schweine_Werte!$G30*0.5,IF(OR($C$12&gt;$AR30,$D$12&lt;$AR30),0,Schweine_Werte!$G30))</f>
        <v>0</v>
      </c>
      <c r="BD30" s="1713">
        <f>IF(OR($C$24=$AR30,$D$24=$AR30),Schweine_Werte!$G30*0.5,IF(OR($C$24&gt;$AR30,$D$24&lt;$AR30),0,Schweine_Werte!$G30))</f>
        <v>0</v>
      </c>
      <c r="BE30" s="1713">
        <f>IF(OR($C$36=$AR30,$D$36=$AR30),Schweine_Werte!$G30*0.5,IF(OR($C$36&gt;$AR30,$D$36&lt;$AR30),0,Schweine_Werte!$G30))</f>
        <v>0</v>
      </c>
      <c r="BF30" s="1713">
        <f>IF(OR($C$48=$AR30,$D$48=$AR30),Schweine_Werte!$G30*0.5,IF(OR($C$48&gt;$AR30,$D$48&lt;$AR30),0,Schweine_Werte!$G30))</f>
        <v>0</v>
      </c>
      <c r="BG30" s="1713">
        <f>IF(OR($C$60=$AR30,$D$60=$AR30),Schweine_Werte!$G30*0.5,IF(OR($C$60&gt;$AR30,$D$60&lt;$AR30),0,Schweine_Werte!$G30))</f>
        <v>0</v>
      </c>
      <c r="BH30" s="1710">
        <f>IF(OR($C$12=$AR30,$D$12=$AR30),Schweine_Werte!$I30*0.5,IF(OR($C$12&gt;$AR30,$D$12&lt;$AR30),0,Schweine_Werte!$I30))</f>
        <v>0</v>
      </c>
      <c r="BI30" s="1713">
        <f>IF(OR($C$24=$AR30,$D$24=$AR30),Schweine_Werte!$I30*0.5,IF(OR($C$24&gt;$AR30,$D$24&lt;$AR30),0,Schweine_Werte!$I30))</f>
        <v>0</v>
      </c>
      <c r="BJ30" s="1713">
        <f>IF(OR($C$36=$AR30,$D$36=$AR30),Schweine_Werte!$I30*0.5,IF(OR($C$36&gt;$AR30,$D$36&lt;$AR30),0,Schweine_Werte!$I30))</f>
        <v>0</v>
      </c>
      <c r="BK30" s="1713">
        <f>IF(OR($C$48=$AR30,$D$48=$AR30),Schweine_Werte!$I30*0.5,IF(OR($C$48&gt;$AR30,$D$48&lt;$AR30),0,Schweine_Werte!$I30))</f>
        <v>0</v>
      </c>
      <c r="BL30" s="1713">
        <f>IF(OR($C$60=$AR30,$D$60=$AR30),Schweine_Werte!$I30*0.5,IF(OR($C$60&gt;$AR30,$D$60&lt;$AR30),0,Schweine_Werte!$I30))</f>
        <v>0</v>
      </c>
      <c r="BM30" s="1710">
        <f>IF(OR($C$12=$AR30,$D$12=$AR30),Schweine_Werte!$K30*0.5,IF(OR($C$12&gt;$AR30,$D$12&lt;$AR30),0,Schweine_Werte!$K30))</f>
        <v>0</v>
      </c>
      <c r="BN30" s="1713">
        <f>IF(OR($C$24=$AR30,$D$24=$AR30),Schweine_Werte!$K30*0.5,IF(OR($C$24&gt;$AR30,$D$24&lt;$AR30),0,Schweine_Werte!$K30))</f>
        <v>0</v>
      </c>
      <c r="BO30" s="1713">
        <f>IF(OR($C$36=$AR30,$D$36=$AR30),Schweine_Werte!$K30*0.5,IF(OR($C$36&gt;$AR30,$D$36&lt;$AR30),0,Schweine_Werte!$K30))</f>
        <v>0</v>
      </c>
      <c r="BP30" s="1713">
        <f>IF(OR($C$48=$AR30,$D$48=$AR30),Schweine_Werte!$K30*0.5,IF(OR($C$48&gt;$AR30,$D$48&lt;$AR30),0,Schweine_Werte!$K30))</f>
        <v>0</v>
      </c>
      <c r="BQ30" s="1713">
        <f>IF(OR($C$60=$AR30,$D$60=$AR30),Schweine_Werte!$K30*0.5,IF(OR($C$60&gt;$AR30,$D$60&lt;$AR30),0,Schweine_Werte!$K30))</f>
        <v>0</v>
      </c>
      <c r="BR30" s="1710">
        <f>IF(OR($C$74=$AR30,$D$74=$AR30),Schweine_Werte!$M30*0.5,IF(OR($C$74&gt;$AR30,$D$74&lt;$AR30),0,Schweine_Werte!$M30))</f>
        <v>0</v>
      </c>
      <c r="BS30" s="1710">
        <f>IF(OR($C$83=$AR30,$D$83=$AR30),Schweine_Werte!$M30*0.5,IF(OR($C$83&gt;$AR30,$D$83&lt;$AR30),0,Schweine_Werte!$M30))</f>
        <v>0</v>
      </c>
      <c r="BT30" s="1713">
        <f>IF(OR($C$92=$AR30,$D$92=$AR30),Schweine_Werte!$M30*0.5,IF(OR($C$92&gt;$AR30,$D$92&lt;$AR30),0,Schweine_Werte!$M30))</f>
        <v>0</v>
      </c>
      <c r="BU30" s="1713">
        <f>IF(OR($C$101=$AR30,$D$101=$AR30),Schweine_Werte!$M30*0.5,IF(OR($C$101&gt;$AR30,$D$101&lt;$AR30),0,Schweine_Werte!$M30))</f>
        <v>0</v>
      </c>
      <c r="BV30" s="1713">
        <f>IF(OR($C$110=$AR30,$D$110=$AR30),Schweine_Werte!$M30*0.5,IF(OR($C$110&gt;$AR30,$D$110&lt;$AR30),0,Schweine_Werte!$M30))</f>
        <v>0</v>
      </c>
      <c r="BW30" s="1713">
        <f>IF(OR(8=$AR30,$E$127=$AR30),Schweine_Werte!$M30*0.5,IF(OR(8&gt;$AR30,$E$127&lt;$AR30),0,Schweine_Werte!$M30))</f>
        <v>1.4565371262046849</v>
      </c>
      <c r="BX30" s="1713">
        <f>IF(OR(8=$AR30,$E$145=$AR30),Schweine_Werte!$M30*0.5,IF(OR(8&gt;$AR30,$E$145&lt;$AR30),0,Schweine_Werte!$M30))</f>
        <v>1.4565371262046849</v>
      </c>
      <c r="BY30" s="1710">
        <f>IF(OR($C$74=$AR30,$D$74=$AR30),Schweine_Werte!$O30*0.5,IF(OR($C$74&gt;$AR30,$D$74&lt;$AR30),0,Schweine_Werte!$O30))</f>
        <v>0</v>
      </c>
      <c r="BZ30" s="1710">
        <f>IF(OR($C$83=$AR30,$D$83=$AR30),Schweine_Werte!$O30*0.5,IF(OR($C$83&gt;$AR30,$D$83&lt;$AR30),0,Schweine_Werte!$O30))</f>
        <v>0</v>
      </c>
      <c r="CA30" s="1713">
        <f>IF(OR($C$92=$AR30,$D$92=$AR30),Schweine_Werte!$O30*0.5,IF(OR($C$92&gt;$AR30,$D$92&lt;$AR30),0,Schweine_Werte!$O30))</f>
        <v>0</v>
      </c>
      <c r="CB30" s="1713">
        <f>IF(OR($C$101=$AR30,$D$101=$AR30),Schweine_Werte!$O30*0.5,IF(OR($C$101&gt;$AR30,$D$101&lt;$AR30),0,Schweine_Werte!$O30))</f>
        <v>0</v>
      </c>
      <c r="CC30" s="1713">
        <f>IF(OR($C$110=$AR30,$D$110=$AR30),Schweine_Werte!$O30*0.5,IF(OR($C$110&gt;$AR30,$D$110&lt;$AR30),0,Schweine_Werte!$O30))</f>
        <v>0</v>
      </c>
    </row>
    <row r="31" spans="1:81" x14ac:dyDescent="0.25">
      <c r="B31" s="1712">
        <v>850</v>
      </c>
      <c r="C31"/>
      <c r="D31" s="885"/>
      <c r="E31" s="885" t="e">
        <f>($D36-$C36)*1000/SUM($BE$4:$BE$146)</f>
        <v>#VALUE!</v>
      </c>
      <c r="F31" s="885" t="e">
        <f>SUMPRODUCT($BE$4:$BE$146,Schweine_Werte!$S$4:$S$146)/SUM($BE$4:$BE$146)</f>
        <v>#DIV/0!</v>
      </c>
      <c r="G31" s="885" t="e">
        <f>IF($B36=$A$8,SUMPRODUCT($BE$4:$BE$146,Schweine_Werte!ET$4:ET$146)/SUM($BE$4:$BE$146),IF($B36=$A$7,SUMPRODUCT($BE$4:$BE$146,Schweine_Werte!DN$4:DN$146)/SUM($BE$4:$BE$146),IF($B36=$A$6,SUMPRODUCT($BE$4:$BE$146,Schweine_Werte!CH$4:CH$146)/SUM($BE$4:$BE$146),SUMPRODUCT($BE$4:$BE$146,Schweine_Werte!BB$4:BB$146)/SUM($BE$4:$BE$146))))</f>
        <v>#DIV/0!</v>
      </c>
      <c r="H31" s="885" t="e">
        <f>IF($B36=$A$8,SUMPRODUCT($BE$4:$BE$146,Schweine_Werte!EU$4:EU$146)/SUM($BE$4:$BE$146),IF($B36=$A$7,SUMPRODUCT($BE$4:$BE$146,Schweine_Werte!DO$4:DO$146)/SUM($BE$4:$BE$146),IF($B36=$A$6,SUMPRODUCT($BE$4:$BE$146,Schweine_Werte!CI$4:CI$146)/SUM($BE$4:$BE$146),SUMPRODUCT($BE$4:$BE$146,Schweine_Werte!BC$4:BC$146)/SUM($BE$4:$BE$146))))</f>
        <v>#DIV/0!</v>
      </c>
      <c r="I31" s="885" t="e">
        <f>IF($B36=$A$8,SUMPRODUCT($BE$4:$BE$146,Schweine_Werte!EV$4:EV$146)/SUM($BE$4:$BE$146),IF($B36=$A$7,SUMPRODUCT($BE$4:$BE$146,Schweine_Werte!DP$4:DP$146)/SUM($BE$4:$BE$146),IF($B36=$A$6,SUMPRODUCT($BE$4:$BE$146,Schweine_Werte!CJ$4:CJ$146)/SUM($BE$4:$BE$146),SUMPRODUCT($BE$4:$BE$146,Schweine_Werte!BD$4:BD$146)/SUM($BE$4:$BE$146))))</f>
        <v>#DIV/0!</v>
      </c>
      <c r="J31" s="885" t="e">
        <f>SUMPRODUCT($BE$4:$BE$146,Schweine_Werte!$AA$4:$AA$146)/SUM($BE$4:$BE$146)</f>
        <v>#DIV/0!</v>
      </c>
      <c r="K31" s="885" t="e">
        <f>SUMPRODUCT($BE$4:$BE$146,Schweine_Werte!$AI$4:$AI$146)/SUM($BE$4:$BE$146)</f>
        <v>#DIV/0!</v>
      </c>
      <c r="L31" s="885" t="e">
        <f>T31*$F31*365/1000+$J31-$K31</f>
        <v>#DIV/0!</v>
      </c>
      <c r="M31" s="885" t="e">
        <f>U31*$F31*365/1000+$J31-$K31/2</f>
        <v>#DIV/0!</v>
      </c>
      <c r="N31" s="885" t="e">
        <f>V31*$F31*365/1000+$J31</f>
        <v>#DIV/0!</v>
      </c>
      <c r="O31" s="885">
        <f>IF($C36&lt;28,SUM($BE$4:$BE$23)+IF($D36&gt;28,$BE$24*0.5,$BE$24),0)</f>
        <v>0</v>
      </c>
      <c r="P31" s="885">
        <f>IF($D36&gt;28,SUM($BE$25:$BE$146)+IF($C36&lt;28,$BE$24*0.5,$BE$24),0)</f>
        <v>0</v>
      </c>
      <c r="Q31" s="885" t="e">
        <f t="shared" si="6"/>
        <v>#DIV/0!</v>
      </c>
      <c r="R31" s="885" t="e">
        <f t="shared" si="6"/>
        <v>#DIV/0!</v>
      </c>
      <c r="S31" s="885" t="e">
        <f t="shared" si="6"/>
        <v>#DIV/0!</v>
      </c>
      <c r="T31" s="885" t="e">
        <f>+($O31*Schweine_Werte!$HT$7+$P31*Schweine_Werte!$HU$7)/SUM($O31:$P31)</f>
        <v>#DIV/0!</v>
      </c>
      <c r="U31" s="885" t="e">
        <f>+($O31*Schweine_Werte!$HV$7+$P31*Schweine_Werte!$HW$7)/SUM($O31:$P31)</f>
        <v>#DIV/0!</v>
      </c>
      <c r="V31" s="885" t="e">
        <f>+($O31*Schweine_Werte!$HX$7+$P31*Schweine_Werte!$HY$7)/SUM($O31:$P31)</f>
        <v>#DIV/0!</v>
      </c>
      <c r="W31" s="885" t="e">
        <f>($J31*0.055+T31*0.365*0.86*$F31-$K31*0.018)/L31*100</f>
        <v>#DIV/0!</v>
      </c>
      <c r="X31" s="885" t="e">
        <f>($J31*0.055+U31*0.365*0.86*$F31-$K31*0.018/2)/M31*100</f>
        <v>#DIV/0!</v>
      </c>
      <c r="Y31" s="885" t="e">
        <f>($J31*0.055+V31*0.365*0.86*$F31)/N31*100</f>
        <v>#DIV/0!</v>
      </c>
      <c r="Z31" s="885" t="e">
        <f>IF($B36=$A$8,SUMPRODUCT($BE$4:$BE$146,Schweine_Werte!$EW$4:$EW$146,Schweine_Werte!$EX$4:$EX$146)/SUMPRODUCT($BE$4:$BE$146,Schweine_Werte!$EW$4:$EW$146),IF($B36=$A$7,SUMPRODUCT($BE$4:$BE$146,Schweine_Werte!$DQ$4:$DQ$146,Schweine_Werte!$DR$4:$DR$146)/SUMPRODUCT($BE$4:$BE$146,Schweine_Werte!$DQ$4:$DQ$146),IF($B36=$A$6,SUMPRODUCT($BE$4:$BE$146,Schweine_Werte!$CK$4:$CK$146,Schweine_Werte!$CL$4:$CL$146)/SUMPRODUCT($BE$4:$BE$146,Schweine_Werte!$CK$4:$CK$146),SUMPRODUCT($BE$4:$BE$146,Schweine_Werte!$BE$4:$BE$146,Schweine_Werte!$BF$4:$BF$146)/SUMPRODUCT($BE$4:$BE$146,Schweine_Werte!$BE$4:$BE$146))))</f>
        <v>#DIV/0!</v>
      </c>
      <c r="AA31" s="885"/>
      <c r="AB31" s="885">
        <f>IF($B36=$A$8,SUMIF(Schweine_Werte!$AO$4:$AO$146,$C36,Schweine_Werte!$EX$4:$EX$146),IF($B36=$A$7,SUMIF(Schweine_Werte!$AO$4:$AO$146,$C36,Schweine_Werte!$DR$4:$DR$146),IF($B36=$A$6,SUMIF(Schweine_Werte!$AO$4:$AO$146,$C36,Schweine_Werte!$CL$4:$CL$146),SUMIF(Schweine_Werte!$AO$4:$AO$146,$C36,Schweine_Werte!$BF$4:$BF$146))))</f>
        <v>0</v>
      </c>
      <c r="AC31" s="885"/>
      <c r="AD31" s="885">
        <f>IF($B36=$A$8,SUMIF(Schweine_Werte!$AO$4:$AO$146,$D36,Schweine_Werte!$EX$4:$EX$146),IF($B36=$A$7,SUMIF(Schweine_Werte!$AO$4:$AO$146,$D36,Schweine_Werte!$DR$4:$DR$146),IF($B36=$A$6,SUMIF(Schweine_Werte!$AO$4:$AO$146,$D36,Schweine_Werte!$CL$4:$CL$146),SUMIF(Schweine_Werte!$AO$4:$AO$146,$D36,Schweine_Werte!$BF$4:$BF$146))))</f>
        <v>0</v>
      </c>
      <c r="AE31" s="885"/>
      <c r="AF31" s="885"/>
      <c r="AG31" s="885" t="e">
        <f>IF($B36=$A$8,SUMPRODUCT($BE$4:$BE$146,Schweine_Werte!$EW$4:$EW$146)/SUM($BE$4:$BE$146),IF($B36=$A$7,SUMPRODUCT($BE$4:$BE$146,Schweine_Werte!$DQ$4:$DQ$146)/SUM($BE$4:$BE$146),IF($B36=$A$6,SUMPRODUCT($BE$4:$BE$146,Schweine_Werte!$CK$4:$CK$146)/SUM($BE$4:$BE$146),SUMPRODUCT($BE$4:$BE$146,Schweine_Werte!$BE$4:$BE$146)/SUM($BE$4:$BE$146))))</f>
        <v>#DIV/0!</v>
      </c>
      <c r="AH31" s="885"/>
      <c r="AI31" s="885"/>
      <c r="AJ31" s="885" t="e">
        <f>IF($B36=$A$8,SUMPRODUCT($BE$4:$BE$146,Schweine_Werte!$EW$4:$EW$146,Schweine_Werte!$EY$4:$EY$146)/SUMPRODUCT($BE$4:$BE$146,Schweine_Werte!$EW$4:$EW$146),IF($B36=$A$7,SUMPRODUCT($BE$4:$BE$146,Schweine_Werte!$DQ$4:$DQ$146,Schweine_Werte!$DS$4:$DS$146)/SUMPRODUCT($BE$4:$BE$146,Schweine_Werte!$DQ$4:$DQ$146),IF($B36=$A$6,SUMPRODUCT($BE$4:$BE$146,Schweine_Werte!$CK$4:$CK$146,Schweine_Werte!$CM$4:$CM$146)/SUMPRODUCT($BE$4:$BE$146,Schweine_Werte!$CK$4:$CK$146),SUMPRODUCT($BE$4:$BE$146,Schweine_Werte!$BE$4:$BE$146,Schweine_Werte!$BG$4:$BG$146)/SUMPRODUCT($BE$4:$BE$146,Schweine_Werte!$BE$4:$BE$146))))</f>
        <v>#DIV/0!</v>
      </c>
      <c r="AK31" s="885"/>
      <c r="AL31" s="885">
        <f>IF($B36=$A$8,SUMIF(Schweine_Werte!$AO$4:$AO$146,$C36,Schweine_Werte!$EY$4:$EY$146),IF($B36=$A$7,SUMIF(Schweine_Werte!$AO$4:$AO$146,$C36,Schweine_Werte!$DS$4:$DS$146),IF($B36=$A$6,SUMIF(Schweine_Werte!$AO$4:$AO$146,$C36,Schweine_Werte!$CM$4:$CM$146),SUMIF(Schweine_Werte!$AO$4:$AO$146,$C36,Schweine_Werte!$BG$4:$BG$146))))</f>
        <v>0</v>
      </c>
      <c r="AM31" s="885"/>
      <c r="AN31" s="885">
        <f>IF($B36=$A$8,SUMIF(Schweine_Werte!$AO$4:$AO$146,$D36,Schweine_Werte!$EY$4:$EY$146),IF($B36=$A$7,SUMIF(Schweine_Werte!$AO$4:$AO$146,$D36,Schweine_Werte!$DS$4:$DS$146),IF($B36=$A$6,SUMIF(Schweine_Werte!$AO$4:$AO$146,$D36,Schweine_Werte!$CM$4:$CM$146),SUMIF(Schweine_Werte!$AO$4:$AO$146,$D36,Schweine_Werte!$BG$4:$BG$146))))</f>
        <v>0</v>
      </c>
      <c r="AO31"/>
      <c r="AR31" s="1733">
        <v>35</v>
      </c>
      <c r="AS31" s="1710">
        <f>IF(OR($C$12=$AR31,$D$12=$AR31),Schweine_Werte!$C31*0.5,IF(OR($C$12&gt;$AR31,$D$12&lt;$AR31),0,Schweine_Werte!$C31))</f>
        <v>0</v>
      </c>
      <c r="AT31" s="1713">
        <f>IF(OR($C$24=$AR31,$D$24=$AR31),Schweine_Werte!$C31*0.5,IF(OR($C$24&gt;$AR31,$D$24&lt;$AR31),0,Schweine_Werte!$C31))</f>
        <v>0</v>
      </c>
      <c r="AU31" s="1710">
        <f>IF(OR($C$36=$AR31,$D$36=$AR31),Schweine_Werte!$C31*0.5,IF(OR($C$36&gt;$AR31,$D$36&lt;$AR31),0,Schweine_Werte!$C31))</f>
        <v>0</v>
      </c>
      <c r="AV31" s="1710">
        <f>IF(OR($C$48=$AR31,$D$48=$AR31),Schweine_Werte!$C31*0.5,IF(OR($C$48&gt;$AR31,$D$48&lt;$AR31),0,Schweine_Werte!$C31))</f>
        <v>0</v>
      </c>
      <c r="AW31" s="1710">
        <f>IF(OR($C$60=$AR31,$D$60=$AR31),Schweine_Werte!$C31*0.5,IF(OR($C$60&gt;$AR31,$D$60&lt;$AR31),0,Schweine_Werte!$C31))</f>
        <v>0</v>
      </c>
      <c r="AX31" s="1710">
        <f>IF(OR($C$12=$AR31,$D$12=$AR31),Schweine_Werte!$E31*0.5,IF(OR($C$12&gt;$AR31,$D$12&lt;$AR31),0,Schweine_Werte!$E31))</f>
        <v>0</v>
      </c>
      <c r="AY31" s="1713">
        <f>IF(OR($C$24=$AR31,$D$24=$AR31),Schweine_Werte!$E31*0.5,IF(OR($C$24&gt;$AR31,$D$24&lt;$AR31),0,Schweine_Werte!$E31))</f>
        <v>0</v>
      </c>
      <c r="AZ31" s="1713">
        <f>IF(OR($C$36=$AR31,$D$36=$AR31),Schweine_Werte!$E31*0.5,IF(OR($C$36&gt;$AR31,$D$36&lt;$AR31),0,Schweine_Werte!$E31))</f>
        <v>0</v>
      </c>
      <c r="BA31" s="1713">
        <f>IF(OR($C$48=$AR31,$D$48=$AR31),Schweine_Werte!$E31*0.5,IF(OR($C$48&gt;$AR31,$D$48&lt;$AR31),0,Schweine_Werte!$E31))</f>
        <v>0</v>
      </c>
      <c r="BB31" s="1713">
        <f>IF(OR($C$60=$AR31,$D$60=$AR31),Schweine_Werte!$E31*0.5,IF(OR($C$60&gt;$AR31,$D$60&lt;$AR31),0,Schweine_Werte!$E31))</f>
        <v>0</v>
      </c>
      <c r="BC31" s="1710">
        <f>IF(OR($C$12=$AR31,$D$12=$AR31),Schweine_Werte!$G31*0.5,IF(OR($C$12&gt;$AR31,$D$12&lt;$AR31),0,Schweine_Werte!$G31))</f>
        <v>0</v>
      </c>
      <c r="BD31" s="1713">
        <f>IF(OR($C$24=$AR31,$D$24=$AR31),Schweine_Werte!$G31*0.5,IF(OR($C$24&gt;$AR31,$D$24&lt;$AR31),0,Schweine_Werte!$G31))</f>
        <v>0</v>
      </c>
      <c r="BE31" s="1713">
        <f>IF(OR($C$36=$AR31,$D$36=$AR31),Schweine_Werte!$G31*0.5,IF(OR($C$36&gt;$AR31,$D$36&lt;$AR31),0,Schweine_Werte!$G31))</f>
        <v>0</v>
      </c>
      <c r="BF31" s="1713">
        <f>IF(OR($C$48=$AR31,$D$48=$AR31),Schweine_Werte!$G31*0.5,IF(OR($C$48&gt;$AR31,$D$48&lt;$AR31),0,Schweine_Werte!$G31))</f>
        <v>0</v>
      </c>
      <c r="BG31" s="1713">
        <f>IF(OR($C$60=$AR31,$D$60=$AR31),Schweine_Werte!$G31*0.5,IF(OR($C$60&gt;$AR31,$D$60&lt;$AR31),0,Schweine_Werte!$G31))</f>
        <v>0</v>
      </c>
      <c r="BH31" s="1710">
        <f>IF(OR($C$12=$AR31,$D$12=$AR31),Schweine_Werte!$I31*0.5,IF(OR($C$12&gt;$AR31,$D$12&lt;$AR31),0,Schweine_Werte!$I31))</f>
        <v>0</v>
      </c>
      <c r="BI31" s="1713">
        <f>IF(OR($C$24=$AR31,$D$24=$AR31),Schweine_Werte!$I31*0.5,IF(OR($C$24&gt;$AR31,$D$24&lt;$AR31),0,Schweine_Werte!$I31))</f>
        <v>0</v>
      </c>
      <c r="BJ31" s="1713">
        <f>IF(OR($C$36=$AR31,$D$36=$AR31),Schweine_Werte!$I31*0.5,IF(OR($C$36&gt;$AR31,$D$36&lt;$AR31),0,Schweine_Werte!$I31))</f>
        <v>0</v>
      </c>
      <c r="BK31" s="1713">
        <f>IF(OR($C$48=$AR31,$D$48=$AR31),Schweine_Werte!$I31*0.5,IF(OR($C$48&gt;$AR31,$D$48&lt;$AR31),0,Schweine_Werte!$I31))</f>
        <v>0</v>
      </c>
      <c r="BL31" s="1713">
        <f>IF(OR($C$60=$AR31,$D$60=$AR31),Schweine_Werte!$I31*0.5,IF(OR($C$60&gt;$AR31,$D$60&lt;$AR31),0,Schweine_Werte!$I31))</f>
        <v>0</v>
      </c>
      <c r="BM31" s="1710">
        <f>IF(OR($C$12=$AR31,$D$12=$AR31),Schweine_Werte!$K31*0.5,IF(OR($C$12&gt;$AR31,$D$12&lt;$AR31),0,Schweine_Werte!$K31))</f>
        <v>0</v>
      </c>
      <c r="BN31" s="1713">
        <f>IF(OR($C$24=$AR31,$D$24=$AR31),Schweine_Werte!$K31*0.5,IF(OR($C$24&gt;$AR31,$D$24&lt;$AR31),0,Schweine_Werte!$K31))</f>
        <v>0</v>
      </c>
      <c r="BO31" s="1713">
        <f>IF(OR($C$36=$AR31,$D$36=$AR31),Schweine_Werte!$K31*0.5,IF(OR($C$36&gt;$AR31,$D$36&lt;$AR31),0,Schweine_Werte!$K31))</f>
        <v>0</v>
      </c>
      <c r="BP31" s="1713">
        <f>IF(OR($C$48=$AR31,$D$48=$AR31),Schweine_Werte!$K31*0.5,IF(OR($C$48&gt;$AR31,$D$48&lt;$AR31),0,Schweine_Werte!$K31))</f>
        <v>0</v>
      </c>
      <c r="BQ31" s="1713">
        <f>IF(OR($C$60=$AR31,$D$60=$AR31),Schweine_Werte!$K31*0.5,IF(OR($C$60&gt;$AR31,$D$60&lt;$AR31),0,Schweine_Werte!$K31))</f>
        <v>0</v>
      </c>
      <c r="BR31" s="1710">
        <f>IF(OR($C$74=$AR31,$D$74=$AR31),Schweine_Werte!$M31*0.5,IF(OR($C$74&gt;$AR31,$D$74&lt;$AR31),0,Schweine_Werte!$M31))</f>
        <v>0</v>
      </c>
      <c r="BS31" s="1710">
        <f>IF(OR($C$83=$AR31,$D$83=$AR31),Schweine_Werte!$M31*0.5,IF(OR($C$83&gt;$AR31,$D$83&lt;$AR31),0,Schweine_Werte!$M31))</f>
        <v>0</v>
      </c>
      <c r="BT31" s="1713">
        <f>IF(OR($C$92=$AR31,$D$92=$AR31),Schweine_Werte!$M31*0.5,IF(OR($C$92&gt;$AR31,$D$92&lt;$AR31),0,Schweine_Werte!$M31))</f>
        <v>0</v>
      </c>
      <c r="BU31" s="1713">
        <f>IF(OR($C$101=$AR31,$D$101=$AR31),Schweine_Werte!$M31*0.5,IF(OR($C$101&gt;$AR31,$D$101&lt;$AR31),0,Schweine_Werte!$M31))</f>
        <v>0</v>
      </c>
      <c r="BV31" s="1713">
        <f>IF(OR($C$110=$AR31,$D$110=$AR31),Schweine_Werte!$M31*0.5,IF(OR($C$110&gt;$AR31,$D$110&lt;$AR31),0,Schweine_Werte!$M31))</f>
        <v>0</v>
      </c>
      <c r="BW31" s="1713">
        <f>IF(OR(8=$AR31,$E$127=$AR31),Schweine_Werte!$M31*0.5,IF(OR(8&gt;$AR31,$E$127&lt;$AR31),0,Schweine_Werte!$M31))</f>
        <v>1.4332167721744244</v>
      </c>
      <c r="BX31" s="1713">
        <f>IF(OR(8=$AR31,$E$145=$AR31),Schweine_Werte!$M31*0.5,IF(OR(8&gt;$AR31,$E$145&lt;$AR31),0,Schweine_Werte!$M31))</f>
        <v>1.4332167721744244</v>
      </c>
      <c r="BY31" s="1710">
        <f>IF(OR($C$74=$AR31,$D$74=$AR31),Schweine_Werte!$O31*0.5,IF(OR($C$74&gt;$AR31,$D$74&lt;$AR31),0,Schweine_Werte!$O31))</f>
        <v>0</v>
      </c>
      <c r="BZ31" s="1710">
        <f>IF(OR($C$83=$AR31,$D$83=$AR31),Schweine_Werte!$O31*0.5,IF(OR($C$83&gt;$AR31,$D$83&lt;$AR31),0,Schweine_Werte!$O31))</f>
        <v>0</v>
      </c>
      <c r="CA31" s="1713">
        <f>IF(OR($C$92=$AR31,$D$92=$AR31),Schweine_Werte!$O31*0.5,IF(OR($C$92&gt;$AR31,$D$92&lt;$AR31),0,Schweine_Werte!$O31))</f>
        <v>0</v>
      </c>
      <c r="CB31" s="1713">
        <f>IF(OR($C$101=$AR31,$D$101=$AR31),Schweine_Werte!$O31*0.5,IF(OR($C$101&gt;$AR31,$D$101&lt;$AR31),0,Schweine_Werte!$O31))</f>
        <v>0</v>
      </c>
      <c r="CC31" s="1713">
        <f>IF(OR($C$110=$AR31,$D$110=$AR31),Schweine_Werte!$O31*0.5,IF(OR($C$110&gt;$AR31,$D$110&lt;$AR31),0,Schweine_Werte!$O31))</f>
        <v>0</v>
      </c>
    </row>
    <row r="32" spans="1:81" x14ac:dyDescent="0.25">
      <c r="B32" s="1712">
        <v>950</v>
      </c>
      <c r="C32"/>
      <c r="D32" s="885"/>
      <c r="E32" s="885" t="e">
        <f>($D36-$C36)*1000/SUM($BJ$4:$BJ$146)</f>
        <v>#VALUE!</v>
      </c>
      <c r="F32" s="885" t="e">
        <f>SUMPRODUCT($BJ$4:$BJ$146,Schweine_Werte!$T$4:$T$146)/SUM($BJ$4:$BJ$146)</f>
        <v>#DIV/0!</v>
      </c>
      <c r="G32" s="885" t="e">
        <f>IF($B36=$A$8,SUMPRODUCT($BJ$4:$BJ$146,Schweine_Werte!EZ$4:EZ$146)/SUM($BJ$4:$BJ$146),IF($B36=$A$7,SUMPRODUCT($BJ$4:$BJ$146,Schweine_Werte!DT$4:DT$146)/SUM($BJ$4:$BJ$146),IF($B36=$A$6,SUMPRODUCT($BJ$4:$BJ$146,Schweine_Werte!CN$4:CN$146)/SUM($BJ$4:$BJ$146),SUMPRODUCT($BJ$4:$BJ$146,Schweine_Werte!BH$4:BH$146)/SUM($BJ$4:$BJ$146))))</f>
        <v>#DIV/0!</v>
      </c>
      <c r="H32" s="885" t="e">
        <f>IF($B36=$A$8,SUMPRODUCT($BJ$4:$BJ$146,Schweine_Werte!FA$4:FA$146)/SUM($BJ$4:$BJ$146),IF($B36=$A$7,SUMPRODUCT($BJ$4:$BJ$146,Schweine_Werte!DU$4:DU$146)/SUM($BJ$4:$BJ$146),IF($B36=$A$6,SUMPRODUCT($BJ$4:$BJ$146,Schweine_Werte!CO$4:CO$146)/SUM($BJ$4:$BJ$146),SUMPRODUCT($BJ$4:$BJ$146,Schweine_Werte!BI$4:BI$146)/SUM($BJ$4:$BJ$146))))</f>
        <v>#DIV/0!</v>
      </c>
      <c r="I32" s="885" t="e">
        <f>IF($B36=$A$8,SUMPRODUCT($BJ$4:$BJ$146,Schweine_Werte!FB$4:FB$146)/SUM($BJ$4:$BJ$146),IF($B36=$A$7,SUMPRODUCT($BJ$4:$BJ$146,Schweine_Werte!DV$4:DV$146)/SUM($BJ$4:$BJ$146),IF($B36=$A$6,SUMPRODUCT($BJ$4:$BJ$146,Schweine_Werte!CP$4:CP$146)/SUM($BJ$4:$BJ$146),SUMPRODUCT($BJ$4:$BJ$146,Schweine_Werte!BJ$4:BJ$146)/SUM($BJ$4:$BJ$146))))</f>
        <v>#DIV/0!</v>
      </c>
      <c r="J32" s="885" t="e">
        <f>SUMPRODUCT($BJ$4:$BJ$146,Schweine_Werte!$AB$4:$AB$146)/SUM($BJ$4:$BJ$146)</f>
        <v>#DIV/0!</v>
      </c>
      <c r="K32" s="885" t="e">
        <f>SUMPRODUCT($BJ$4:$BJ$146,Schweine_Werte!$AJ$4:$AJ$146)/SUM($BJ$4:$BJ$146)</f>
        <v>#DIV/0!</v>
      </c>
      <c r="L32" s="1914" t="e">
        <f>T32*$F32*365/1000+$J32-$K32</f>
        <v>#DIV/0!</v>
      </c>
      <c r="M32" s="885" t="e">
        <f>U32*$F32*365/1000+$J32-$K32/2</f>
        <v>#DIV/0!</v>
      </c>
      <c r="N32" s="885" t="e">
        <f>V32*$F32*365/1000+$J32</f>
        <v>#DIV/0!</v>
      </c>
      <c r="O32" s="885">
        <f>IF($C36&lt;28,SUM($BJ$4:$BJ$23)+IF($D36&gt;28,$BJ$24*0.5,$BJ$24),0)</f>
        <v>0</v>
      </c>
      <c r="P32" s="885">
        <f>IF($D36&gt;28,SUM($BJ$25:$BJ$146)+IF($C36&lt;28,$BJ$24*0.5,$BJ$24),0)</f>
        <v>0</v>
      </c>
      <c r="Q32" s="885" t="e">
        <f t="shared" si="6"/>
        <v>#DIV/0!</v>
      </c>
      <c r="R32" s="885" t="e">
        <f t="shared" si="6"/>
        <v>#DIV/0!</v>
      </c>
      <c r="S32" s="885" t="e">
        <f t="shared" si="6"/>
        <v>#DIV/0!</v>
      </c>
      <c r="T32" s="885" t="e">
        <f>+($O32*Schweine_Werte!$HT$8+$P32*Schweine_Werte!$HU$8)/SUM($O32:$P32)</f>
        <v>#DIV/0!</v>
      </c>
      <c r="U32" s="885" t="e">
        <f>+($O32*Schweine_Werte!$HV$8+$P32*Schweine_Werte!$HW$8)/SUM($O32:$P32)</f>
        <v>#DIV/0!</v>
      </c>
      <c r="V32" s="885" t="e">
        <f>+($O32*Schweine_Werte!$HX$8+$P32*Schweine_Werte!$HY$8)/SUM($O32:$P32)</f>
        <v>#DIV/0!</v>
      </c>
      <c r="W32" s="1915" t="e">
        <f>($J32*0.055+T32*0.365*0.86*$F32-$K32*0.018)/L32*100</f>
        <v>#DIV/0!</v>
      </c>
      <c r="X32" s="885" t="e">
        <f>($J32*0.055+U32*0.365*0.86*$F32-$K32*0.018/2)/M32*100</f>
        <v>#DIV/0!</v>
      </c>
      <c r="Y32" s="885" t="e">
        <f>($J32*0.055+V32*0.365*0.86*$F32)/N32*100</f>
        <v>#DIV/0!</v>
      </c>
      <c r="Z32" s="885" t="e">
        <f>IF($B36=$A$8,SUMPRODUCT($BJ$4:$BJ$146,Schweine_Werte!$FC$4:$FC$146,Schweine_Werte!$FD$4:$FD$146)/SUMPRODUCT($BJ$4:$BJ$146,Schweine_Werte!$FC$4:$FC$146),IF($B36=$A$7,SUMPRODUCT($BJ$4:$BJ$146,Schweine_Werte!$DW$4:$DW$146,Schweine_Werte!$DX$4:$DX$146)/SUMPRODUCT($BJ$4:$BJ$146,Schweine_Werte!$DW$4:$DW$146),IF($B36=$A$6,SUMPRODUCT($BJ$4:$BJ$146,Schweine_Werte!$CQ$4:$CQ$146,Schweine_Werte!$CR$4:$CR$146)/SUMPRODUCT($BJ$4:$BJ$146,Schweine_Werte!$CQ$4:$CQ$146),SUMPRODUCT($BJ$4:$BJ$146,Schweine_Werte!$BK$4:$BK$146,Schweine_Werte!$BL$4:$BL$146)/SUMPRODUCT($BJ$4:$BJ$146,Schweine_Werte!$BK$4:$BK$146))))</f>
        <v>#DIV/0!</v>
      </c>
      <c r="AA32" s="885"/>
      <c r="AB32" s="885">
        <f>IF($B36=$A$8,SUMIF(Schweine_Werte!$AO$4:$AO$146,$C36,Schweine_Werte!$FD$4:$FD$146),IF($B36=$A$7,SUMIF(Schweine_Werte!$AO$4:$AO$146,$C36,Schweine_Werte!$DX$4:$DX$146),IF($B36=$A$6,SUMIF(Schweine_Werte!$AO$4:$AO$146,$C36,Schweine_Werte!$CR$4:$CR$146),SUMIF(Schweine_Werte!$AO$4:$AO$146,$C36,Schweine_Werte!$BL$4:$BL$146))))</f>
        <v>0</v>
      </c>
      <c r="AC32" s="885"/>
      <c r="AD32" s="885">
        <f>IF($B36=$A$8,SUMIF(Schweine_Werte!$AO$4:$AO$146,$D36,Schweine_Werte!$FD$4:$FD$146),IF($B36=$A$7,SUMIF(Schweine_Werte!$AO$4:$AO$146,$D36,Schweine_Werte!$DX$4:$DX$146),IF($B36=$A$6,SUMIF(Schweine_Werte!$AO$4:$AO$146,$D36,Schweine_Werte!$CR$4:$CR$146),SUMIF(Schweine_Werte!$AO$4:$AO$146,$D36,Schweine_Werte!$BL$4:$BL$146))))</f>
        <v>0</v>
      </c>
      <c r="AE32" s="885"/>
      <c r="AF32" s="885"/>
      <c r="AG32" s="885" t="e">
        <f>IF($B36=$A$8,SUMPRODUCT($BJ$4:$BJ$146,Schweine_Werte!$FC$4:$FC$146)/SUM($BJ$4:$BJ$146),IF($B36=$A$7,SUMPRODUCT($BJ$4:$BJ$146,Schweine_Werte!$DW$4:$DW$146)/SUM($BJ$4:$BJ$146),IF($B36=$A$6,SUMPRODUCT($BJ$4:$BJ$146,Schweine_Werte!$CQ$4:$CQ$146)/SUM($BJ$4:$BJ$146),SUMPRODUCT($BJ$4:$BJ$146,Schweine_Werte!$BK$4:$BK$146)/SUM($BJ$4:$BJ$146))))</f>
        <v>#DIV/0!</v>
      </c>
      <c r="AH32" s="885"/>
      <c r="AI32" s="885"/>
      <c r="AJ32" s="885" t="e">
        <f>IF($B36=$A$8,SUMPRODUCT($BJ$4:$BJ$146,Schweine_Werte!$FC$4:$FC$146,Schweine_Werte!$FE$4:$FE$146)/SUMPRODUCT($BJ$4:$BJ$146,Schweine_Werte!$FC$4:$FC$146),IF($B36=$A$7,SUMPRODUCT($BJ$4:$BJ$146,Schweine_Werte!$DW$4:$DW$146,Schweine_Werte!$DY$4:$DY$146)/SUMPRODUCT($BJ$4:$BJ$146,Schweine_Werte!$DW$4:$DW$146),IF($B36=$A$6,SUMPRODUCT($BJ$4:$BJ$146,Schweine_Werte!$CQ$4:$CQ$146,Schweine_Werte!$CS$4:$CS$146)/SUMPRODUCT($BJ$4:$BJ$146,Schweine_Werte!$CQ$4:$CQ$146),SUMPRODUCT($BJ$4:$BJ$146,Schweine_Werte!$BK$4:$BK$146,Schweine_Werte!$BM$4:$BM$146)/SUMPRODUCT($BJ$4:$BJ$146,Schweine_Werte!$BK$4:$BK$146))))</f>
        <v>#DIV/0!</v>
      </c>
      <c r="AK32" s="885"/>
      <c r="AL32" s="885">
        <f>IF($B36=$A$8,SUMIF(Schweine_Werte!$AO$4:$AO$146,$C36,Schweine_Werte!$FE$4:$FE$146),IF($B36=$A$7,SUMIF(Schweine_Werte!$AO$4:$AO$146,$C36,Schweine_Werte!$DY$4:$DY$146),IF($B36=$A$6,SUMIF(Schweine_Werte!$AO$4:$AO$146,$C36,Schweine_Werte!$CS$4:$CS$146),SUMIF(Schweine_Werte!$AO$4:$AO$146,$C36,Schweine_Werte!$BM$4:$BM$146))))</f>
        <v>0</v>
      </c>
      <c r="AM32" s="885"/>
      <c r="AN32" s="885">
        <f>IF($B36=$A$8,SUMIF(Schweine_Werte!$AO$4:$AO$146,$D36,Schweine_Werte!$FE$4:$FE$146),IF($B36=$A$7,SUMIF(Schweine_Werte!$AO$4:$AO$146,$D36,Schweine_Werte!$DY$4:$DY$146),IF($B36=$A$6,SUMIF(Schweine_Werte!$AO$4:$AO$146,$D36,Schweine_Werte!$CS$4:$CS$146),SUMIF(Schweine_Werte!$AO$4:$AO$146,$D36,Schweine_Werte!$BM$4:$BM$146))))</f>
        <v>0</v>
      </c>
      <c r="AO32"/>
      <c r="AR32" s="1733">
        <v>36</v>
      </c>
      <c r="AS32" s="1710">
        <f>IF(OR($C$12=$AR32,$D$12=$AR32),Schweine_Werte!$C32*0.5,IF(OR($C$12&gt;$AR32,$D$12&lt;$AR32),0,Schweine_Werte!$C32))</f>
        <v>0</v>
      </c>
      <c r="AT32" s="1713">
        <f>IF(OR($C$24=$AR32,$D$24=$AR32),Schweine_Werte!$C32*0.5,IF(OR($C$24&gt;$AR32,$D$24&lt;$AR32),0,Schweine_Werte!$C32))</f>
        <v>0</v>
      </c>
      <c r="AU32" s="1710">
        <f>IF(OR($C$36=$AR32,$D$36=$AR32),Schweine_Werte!$C32*0.5,IF(OR($C$36&gt;$AR32,$D$36&lt;$AR32),0,Schweine_Werte!$C32))</f>
        <v>0</v>
      </c>
      <c r="AV32" s="1710">
        <f>IF(OR($C$48=$AR32,$D$48=$AR32),Schweine_Werte!$C32*0.5,IF(OR($C$48&gt;$AR32,$D$48&lt;$AR32),0,Schweine_Werte!$C32))</f>
        <v>0</v>
      </c>
      <c r="AW32" s="1710">
        <f>IF(OR($C$60=$AR32,$D$60=$AR32),Schweine_Werte!$C32*0.5,IF(OR($C$60&gt;$AR32,$D$60&lt;$AR32),0,Schweine_Werte!$C32))</f>
        <v>0</v>
      </c>
      <c r="AX32" s="1710">
        <f>IF(OR($C$12=$AR32,$D$12=$AR32),Schweine_Werte!$E32*0.5,IF(OR($C$12&gt;$AR32,$D$12&lt;$AR32),0,Schweine_Werte!$E32))</f>
        <v>0</v>
      </c>
      <c r="AY32" s="1713">
        <f>IF(OR($C$24=$AR32,$D$24=$AR32),Schweine_Werte!$E32*0.5,IF(OR($C$24&gt;$AR32,$D$24&lt;$AR32),0,Schweine_Werte!$E32))</f>
        <v>0</v>
      </c>
      <c r="AZ32" s="1713">
        <f>IF(OR($C$36=$AR32,$D$36=$AR32),Schweine_Werte!$E32*0.5,IF(OR($C$36&gt;$AR32,$D$36&lt;$AR32),0,Schweine_Werte!$E32))</f>
        <v>0</v>
      </c>
      <c r="BA32" s="1713">
        <f>IF(OR($C$48=$AR32,$D$48=$AR32),Schweine_Werte!$E32*0.5,IF(OR($C$48&gt;$AR32,$D$48&lt;$AR32),0,Schweine_Werte!$E32))</f>
        <v>0</v>
      </c>
      <c r="BB32" s="1713">
        <f>IF(OR($C$60=$AR32,$D$60=$AR32),Schweine_Werte!$E32*0.5,IF(OR($C$60&gt;$AR32,$D$60&lt;$AR32),0,Schweine_Werte!$E32))</f>
        <v>0</v>
      </c>
      <c r="BC32" s="1710">
        <f>IF(OR($C$12=$AR32,$D$12=$AR32),Schweine_Werte!$G32*0.5,IF(OR($C$12&gt;$AR32,$D$12&lt;$AR32),0,Schweine_Werte!$G32))</f>
        <v>0</v>
      </c>
      <c r="BD32" s="1713">
        <f>IF(OR($C$24=$AR32,$D$24=$AR32),Schweine_Werte!$G32*0.5,IF(OR($C$24&gt;$AR32,$D$24&lt;$AR32),0,Schweine_Werte!$G32))</f>
        <v>0</v>
      </c>
      <c r="BE32" s="1713">
        <f>IF(OR($C$36=$AR32,$D$36=$AR32),Schweine_Werte!$G32*0.5,IF(OR($C$36&gt;$AR32,$D$36&lt;$AR32),0,Schweine_Werte!$G32))</f>
        <v>0</v>
      </c>
      <c r="BF32" s="1713">
        <f>IF(OR($C$48=$AR32,$D$48=$AR32),Schweine_Werte!$G32*0.5,IF(OR($C$48&gt;$AR32,$D$48&lt;$AR32),0,Schweine_Werte!$G32))</f>
        <v>0</v>
      </c>
      <c r="BG32" s="1713">
        <f>IF(OR($C$60=$AR32,$D$60=$AR32),Schweine_Werte!$G32*0.5,IF(OR($C$60&gt;$AR32,$D$60&lt;$AR32),0,Schweine_Werte!$G32))</f>
        <v>0</v>
      </c>
      <c r="BH32" s="1710">
        <f>IF(OR($C$12=$AR32,$D$12=$AR32),Schweine_Werte!$I32*0.5,IF(OR($C$12&gt;$AR32,$D$12&lt;$AR32),0,Schweine_Werte!$I32))</f>
        <v>0</v>
      </c>
      <c r="BI32" s="1713">
        <f>IF(OR($C$24=$AR32,$D$24=$AR32),Schweine_Werte!$I32*0.5,IF(OR($C$24&gt;$AR32,$D$24&lt;$AR32),0,Schweine_Werte!$I32))</f>
        <v>0</v>
      </c>
      <c r="BJ32" s="1713">
        <f>IF(OR($C$36=$AR32,$D$36=$AR32),Schweine_Werte!$I32*0.5,IF(OR($C$36&gt;$AR32,$D$36&lt;$AR32),0,Schweine_Werte!$I32))</f>
        <v>0</v>
      </c>
      <c r="BK32" s="1713">
        <f>IF(OR($C$48=$AR32,$D$48=$AR32),Schweine_Werte!$I32*0.5,IF(OR($C$48&gt;$AR32,$D$48&lt;$AR32),0,Schweine_Werte!$I32))</f>
        <v>0</v>
      </c>
      <c r="BL32" s="1713">
        <f>IF(OR($C$60=$AR32,$D$60=$AR32),Schweine_Werte!$I32*0.5,IF(OR($C$60&gt;$AR32,$D$60&lt;$AR32),0,Schweine_Werte!$I32))</f>
        <v>0</v>
      </c>
      <c r="BM32" s="1710">
        <f>IF(OR($C$12=$AR32,$D$12=$AR32),Schweine_Werte!$K32*0.5,IF(OR($C$12&gt;$AR32,$D$12&lt;$AR32),0,Schweine_Werte!$K32))</f>
        <v>0</v>
      </c>
      <c r="BN32" s="1713">
        <f>IF(OR($C$24=$AR32,$D$24=$AR32),Schweine_Werte!$K32*0.5,IF(OR($C$24&gt;$AR32,$D$24&lt;$AR32),0,Schweine_Werte!$K32))</f>
        <v>0</v>
      </c>
      <c r="BO32" s="1713">
        <f>IF(OR($C$36=$AR32,$D$36=$AR32),Schweine_Werte!$K32*0.5,IF(OR($C$36&gt;$AR32,$D$36&lt;$AR32),0,Schweine_Werte!$K32))</f>
        <v>0</v>
      </c>
      <c r="BP32" s="1713">
        <f>IF(OR($C$48=$AR32,$D$48=$AR32),Schweine_Werte!$K32*0.5,IF(OR($C$48&gt;$AR32,$D$48&lt;$AR32),0,Schweine_Werte!$K32))</f>
        <v>0</v>
      </c>
      <c r="BQ32" s="1713">
        <f>IF(OR($C$60=$AR32,$D$60=$AR32),Schweine_Werte!$K32*0.5,IF(OR($C$60&gt;$AR32,$D$60&lt;$AR32),0,Schweine_Werte!$K32))</f>
        <v>0</v>
      </c>
      <c r="BR32" s="1710">
        <f>IF(OR($C$74=$AR32,$D$74=$AR32),Schweine_Werte!$M32*0.5,IF(OR($C$74&gt;$AR32,$D$74&lt;$AR32),0,Schweine_Werte!$M32))</f>
        <v>0</v>
      </c>
      <c r="BS32" s="1710">
        <f>IF(OR($C$83=$AR32,$D$83=$AR32),Schweine_Werte!$M32*0.5,IF(OR($C$83&gt;$AR32,$D$83&lt;$AR32),0,Schweine_Werte!$M32))</f>
        <v>0</v>
      </c>
      <c r="BT32" s="1714">
        <f>IF(OR($C$92=$AR32,$D$92=$AR32),Schweine_Werte!$M32*0.5,IF(OR($C$92&gt;$AR32,$D$92&lt;$AR32),0,Schweine_Werte!$M32))</f>
        <v>0</v>
      </c>
      <c r="BU32" s="1714">
        <f>IF(OR($C$101=$AR32,$D$101=$AR32),Schweine_Werte!$M32*0.5,IF(OR($C$101&gt;$AR32,$D$101&lt;$AR32),0,Schweine_Werte!$M32))</f>
        <v>0</v>
      </c>
      <c r="BV32" s="1714">
        <f>IF(OR($C$110=$AR32,$D$110=$AR32),Schweine_Werte!$M32*0.5,IF(OR($C$110&gt;$AR32,$D$110&lt;$AR32),0,Schweine_Werte!$M32))</f>
        <v>0</v>
      </c>
      <c r="BW32" s="1714">
        <f>IF(OR(8=$AR32,$E$127=$AR32),Schweine_Werte!$M32*0.5,IF(OR(8&gt;$AR32,$E$127&lt;$AR32),0,Schweine_Werte!$M32))</f>
        <v>1.4112062668018681</v>
      </c>
      <c r="BX32" s="1714">
        <f>IF(OR(8=$AR32,$E$145=$AR32),Schweine_Werte!$M32*0.5,IF(OR(8&gt;$AR32,$E$145&lt;$AR32),0,Schweine_Werte!$M32))</f>
        <v>1.4112062668018681</v>
      </c>
      <c r="BY32" s="1710">
        <f>IF(OR($C$74=$AR32,$D$74=$AR32),Schweine_Werte!$O32*0.5,IF(OR($C$74&gt;$AR32,$D$74&lt;$AR32),0,Schweine_Werte!$O32))</f>
        <v>0</v>
      </c>
      <c r="BZ32" s="1710">
        <f>IF(OR($C$83=$AR32,$D$83=$AR32),Schweine_Werte!$O32*0.5,IF(OR($C$83&gt;$AR32,$D$83&lt;$AR32),0,Schweine_Werte!$O32))</f>
        <v>0</v>
      </c>
      <c r="CA32" s="1714">
        <f>IF(OR($C$92=$AR32,$D$92=$AR32),Schweine_Werte!$O32*0.5,IF(OR($C$92&gt;$AR32,$D$92&lt;$AR32),0,Schweine_Werte!$O32))</f>
        <v>0</v>
      </c>
      <c r="CB32" s="1714">
        <f>IF(OR($C$101=$AR32,$D$101=$AR32),Schweine_Werte!$O32*0.5,IF(OR($C$101&gt;$AR32,$D$101&lt;$AR32),0,Schweine_Werte!$O32))</f>
        <v>0</v>
      </c>
      <c r="CC32" s="1714">
        <f>IF(OR($C$110=$AR32,$D$110=$AR32),Schweine_Werte!$O32*0.5,IF(OR($C$110&gt;$AR32,$D$110&lt;$AR32),0,Schweine_Werte!$O32))</f>
        <v>0</v>
      </c>
    </row>
    <row r="33" spans="1:81" x14ac:dyDescent="0.25">
      <c r="B33" s="1712"/>
      <c r="D33" s="1713"/>
      <c r="E33" s="1713"/>
      <c r="F33" s="1713"/>
      <c r="G33" s="1713"/>
      <c r="H33" s="1713"/>
      <c r="I33" s="1713"/>
      <c r="J33" s="1713"/>
      <c r="K33" s="1713"/>
      <c r="L33" s="1713"/>
      <c r="M33" s="1713"/>
      <c r="N33" s="1713"/>
      <c r="O33" s="1713"/>
      <c r="P33" s="1713"/>
      <c r="Q33" s="1713"/>
      <c r="R33" s="1713"/>
      <c r="S33" s="1713"/>
      <c r="T33" s="1713"/>
      <c r="U33" s="1713"/>
      <c r="V33" s="1713"/>
      <c r="W33" s="1699"/>
      <c r="X33" s="1713"/>
      <c r="Y33" s="1713"/>
      <c r="Z33" s="1713"/>
      <c r="AA33" s="1713"/>
      <c r="AB33" s="1713"/>
      <c r="AC33" s="1713"/>
      <c r="AD33" s="1713"/>
      <c r="AE33" s="1713"/>
      <c r="AF33" s="1713"/>
      <c r="AG33" s="1713"/>
      <c r="AH33" s="1713"/>
      <c r="AI33" s="1713"/>
      <c r="AJ33" s="1713"/>
      <c r="AK33" s="1713"/>
      <c r="AL33" s="1713"/>
      <c r="AM33" s="1713"/>
      <c r="AN33" s="1713"/>
      <c r="AR33" s="1733">
        <v>37</v>
      </c>
      <c r="AS33" s="1710">
        <f>IF(OR($C$12=$AR33,$D$12=$AR33),Schweine_Werte!$C33*0.5,IF(OR($C$12&gt;$AR33,$D$12&lt;$AR33),0,Schweine_Werte!$C33))</f>
        <v>0</v>
      </c>
      <c r="AT33" s="1713">
        <f>IF(OR($C$24=$AR33,$D$24=$AR33),Schweine_Werte!$C33*0.5,IF(OR($C$24&gt;$AR33,$D$24&lt;$AR33),0,Schweine_Werte!$C33))</f>
        <v>0</v>
      </c>
      <c r="AU33" s="1710">
        <f>IF(OR($C$36=$AR33,$D$36=$AR33),Schweine_Werte!$C33*0.5,IF(OR($C$36&gt;$AR33,$D$36&lt;$AR33),0,Schweine_Werte!$C33))</f>
        <v>0</v>
      </c>
      <c r="AV33" s="1710">
        <f>IF(OR($C$48=$AR33,$D$48=$AR33),Schweine_Werte!$C33*0.5,IF(OR($C$48&gt;$AR33,$D$48&lt;$AR33),0,Schweine_Werte!$C33))</f>
        <v>0</v>
      </c>
      <c r="AW33" s="1710">
        <f>IF(OR($C$60=$AR33,$D$60=$AR33),Schweine_Werte!$C33*0.5,IF(OR($C$60&gt;$AR33,$D$60&lt;$AR33),0,Schweine_Werte!$C33))</f>
        <v>0</v>
      </c>
      <c r="AX33" s="1710">
        <f>IF(OR($C$12=$AR33,$D$12=$AR33),Schweine_Werte!$E33*0.5,IF(OR($C$12&gt;$AR33,$D$12&lt;$AR33),0,Schweine_Werte!$E33))</f>
        <v>0</v>
      </c>
      <c r="AY33" s="1713">
        <f>IF(OR($C$24=$AR33,$D$24=$AR33),Schweine_Werte!$E33*0.5,IF(OR($C$24&gt;$AR33,$D$24&lt;$AR33),0,Schweine_Werte!$E33))</f>
        <v>0</v>
      </c>
      <c r="AZ33" s="1713">
        <f>IF(OR($C$36=$AR33,$D$36=$AR33),Schweine_Werte!$E33*0.5,IF(OR($C$36&gt;$AR33,$D$36&lt;$AR33),0,Schweine_Werte!$E33))</f>
        <v>0</v>
      </c>
      <c r="BA33" s="1713">
        <f>IF(OR($C$48=$AR33,$D$48=$AR33),Schweine_Werte!$E33*0.5,IF(OR($C$48&gt;$AR33,$D$48&lt;$AR33),0,Schweine_Werte!$E33))</f>
        <v>0</v>
      </c>
      <c r="BB33" s="1713">
        <f>IF(OR($C$60=$AR33,$D$60=$AR33),Schweine_Werte!$E33*0.5,IF(OR($C$60&gt;$AR33,$D$60&lt;$AR33),0,Schweine_Werte!$E33))</f>
        <v>0</v>
      </c>
      <c r="BC33" s="1710">
        <f>IF(OR($C$12=$AR33,$D$12=$AR33),Schweine_Werte!$G33*0.5,IF(OR($C$12&gt;$AR33,$D$12&lt;$AR33),0,Schweine_Werte!$G33))</f>
        <v>0</v>
      </c>
      <c r="BD33" s="1713">
        <f>IF(OR($C$24=$AR33,$D$24=$AR33),Schweine_Werte!$G33*0.5,IF(OR($C$24&gt;$AR33,$D$24&lt;$AR33),0,Schweine_Werte!$G33))</f>
        <v>0</v>
      </c>
      <c r="BE33" s="1713">
        <f>IF(OR($C$36=$AR33,$D$36=$AR33),Schweine_Werte!$G33*0.5,IF(OR($C$36&gt;$AR33,$D$36&lt;$AR33),0,Schweine_Werte!$G33))</f>
        <v>0</v>
      </c>
      <c r="BF33" s="1713">
        <f>IF(OR($C$48=$AR33,$D$48=$AR33),Schweine_Werte!$G33*0.5,IF(OR($C$48&gt;$AR33,$D$48&lt;$AR33),0,Schweine_Werte!$G33))</f>
        <v>0</v>
      </c>
      <c r="BG33" s="1713">
        <f>IF(OR($C$60=$AR33,$D$60=$AR33),Schweine_Werte!$G33*0.5,IF(OR($C$60&gt;$AR33,$D$60&lt;$AR33),0,Schweine_Werte!$G33))</f>
        <v>0</v>
      </c>
      <c r="BH33" s="1710">
        <f>IF(OR($C$12=$AR33,$D$12=$AR33),Schweine_Werte!$I33*0.5,IF(OR($C$12&gt;$AR33,$D$12&lt;$AR33),0,Schweine_Werte!$I33))</f>
        <v>0</v>
      </c>
      <c r="BI33" s="1713">
        <f>IF(OR($C$24=$AR33,$D$24=$AR33),Schweine_Werte!$I33*0.5,IF(OR($C$24&gt;$AR33,$D$24&lt;$AR33),0,Schweine_Werte!$I33))</f>
        <v>0</v>
      </c>
      <c r="BJ33" s="1713">
        <f>IF(OR($C$36=$AR33,$D$36=$AR33),Schweine_Werte!$I33*0.5,IF(OR($C$36&gt;$AR33,$D$36&lt;$AR33),0,Schweine_Werte!$I33))</f>
        <v>0</v>
      </c>
      <c r="BK33" s="1713">
        <f>IF(OR($C$48=$AR33,$D$48=$AR33),Schweine_Werte!$I33*0.5,IF(OR($C$48&gt;$AR33,$D$48&lt;$AR33),0,Schweine_Werte!$I33))</f>
        <v>0</v>
      </c>
      <c r="BL33" s="1713">
        <f>IF(OR($C$60=$AR33,$D$60=$AR33),Schweine_Werte!$I33*0.5,IF(OR($C$60&gt;$AR33,$D$60&lt;$AR33),0,Schweine_Werte!$I33))</f>
        <v>0</v>
      </c>
      <c r="BM33" s="1710">
        <f>IF(OR($C$12=$AR33,$D$12=$AR33),Schweine_Werte!$K33*0.5,IF(OR($C$12&gt;$AR33,$D$12&lt;$AR33),0,Schweine_Werte!$K33))</f>
        <v>0</v>
      </c>
      <c r="BN33" s="1713">
        <f>IF(OR($C$24=$AR33,$D$24=$AR33),Schweine_Werte!$K33*0.5,IF(OR($C$24&gt;$AR33,$D$24&lt;$AR33),0,Schweine_Werte!$K33))</f>
        <v>0</v>
      </c>
      <c r="BO33" s="1713">
        <f>IF(OR($C$36=$AR33,$D$36=$AR33),Schweine_Werte!$K33*0.5,IF(OR($C$36&gt;$AR33,$D$36&lt;$AR33),0,Schweine_Werte!$K33))</f>
        <v>0</v>
      </c>
      <c r="BP33" s="1713">
        <f>IF(OR($C$48=$AR33,$D$48=$AR33),Schweine_Werte!$K33*0.5,IF(OR($C$48&gt;$AR33,$D$48&lt;$AR33),0,Schweine_Werte!$K33))</f>
        <v>0</v>
      </c>
      <c r="BQ33" s="1713">
        <f>IF(OR($C$60=$AR33,$D$60=$AR33),Schweine_Werte!$K33*0.5,IF(OR($C$60&gt;$AR33,$D$60&lt;$AR33),0,Schweine_Werte!$K33))</f>
        <v>0</v>
      </c>
      <c r="BR33" s="1710">
        <f>IF(OR($C$74=$AR33,$D$74=$AR33),Schweine_Werte!$M33*0.5,IF(OR($C$74&gt;$AR33,$D$74&lt;$AR33),0,Schweine_Werte!$M33))</f>
        <v>0</v>
      </c>
      <c r="BS33" s="1710">
        <f>IF(OR($C$83=$AR33,$D$83=$AR33),Schweine_Werte!$M33*0.5,IF(OR($C$83&gt;$AR33,$D$83&lt;$AR33),0,Schweine_Werte!$M33))</f>
        <v>0</v>
      </c>
      <c r="BT33" s="1714">
        <f>IF(OR($C$92=$AR33,$D$92=$AR33),Schweine_Werte!$M33*0.5,IF(OR($C$92&gt;$AR33,$D$92&lt;$AR33),0,Schweine_Werte!$M33))</f>
        <v>0</v>
      </c>
      <c r="BU33" s="1714">
        <f>IF(OR($C$101=$AR33,$D$101=$AR33),Schweine_Werte!$M33*0.5,IF(OR($C$101&gt;$AR33,$D$101&lt;$AR33),0,Schweine_Werte!$M33))</f>
        <v>0</v>
      </c>
      <c r="BV33" s="1714">
        <f>IF(OR($C$110=$AR33,$D$110=$AR33),Schweine_Werte!$M33*0.5,IF(OR($C$110&gt;$AR33,$D$110&lt;$AR33),0,Schweine_Werte!$M33))</f>
        <v>0</v>
      </c>
      <c r="BW33" s="1714">
        <f>IF(OR(8=$AR33,$E$127=$AR33),Schweine_Werte!$M33*0.5,IF(OR(8&gt;$AR33,$E$127&lt;$AR33),0,Schweine_Werte!$M33))</f>
        <v>1.3904204668329827</v>
      </c>
      <c r="BX33" s="1714">
        <f>IF(OR(8=$AR33,$E$145=$AR33),Schweine_Werte!$M33*0.5,IF(OR(8&gt;$AR33,$E$145&lt;$AR33),0,Schweine_Werte!$M33))</f>
        <v>1.3904204668329827</v>
      </c>
      <c r="BY33" s="1710">
        <f>IF(OR($C$74=$AR33,$D$74=$AR33),Schweine_Werte!$O33*0.5,IF(OR($C$74&gt;$AR33,$D$74&lt;$AR33),0,Schweine_Werte!$O33))</f>
        <v>0</v>
      </c>
      <c r="BZ33" s="1710">
        <f>IF(OR($C$83=$AR33,$D$83=$AR33),Schweine_Werte!$O33*0.5,IF(OR($C$83&gt;$AR33,$D$83&lt;$AR33),0,Schweine_Werte!$O33))</f>
        <v>0</v>
      </c>
      <c r="CA33" s="1714">
        <f>IF(OR($C$92=$AR33,$D$92=$AR33),Schweine_Werte!$O33*0.5,IF(OR($C$92&gt;$AR33,$D$92&lt;$AR33),0,Schweine_Werte!$O33))</f>
        <v>0</v>
      </c>
      <c r="CB33" s="1714">
        <f>IF(OR($C$101=$AR33,$D$101=$AR33),Schweine_Werte!$O33*0.5,IF(OR($C$101&gt;$AR33,$D$101&lt;$AR33),0,Schweine_Werte!$O33))</f>
        <v>0</v>
      </c>
      <c r="CC33" s="1714">
        <f>IF(OR($C$110=$AR33,$D$110=$AR33),Schweine_Werte!$O33*0.5,IF(OR($C$110&gt;$AR33,$D$110&lt;$AR33),0,Schweine_Werte!$O33))</f>
        <v>0</v>
      </c>
    </row>
    <row r="34" spans="1:81" ht="15.75" x14ac:dyDescent="0.25">
      <c r="F34" s="1716"/>
      <c r="G34" s="3257" t="s">
        <v>8582</v>
      </c>
      <c r="H34" s="3258"/>
      <c r="I34" s="3259"/>
      <c r="J34" s="1717" t="s">
        <v>8096</v>
      </c>
      <c r="K34" s="1717" t="s">
        <v>204</v>
      </c>
      <c r="L34" s="3260" t="s">
        <v>8583</v>
      </c>
      <c r="M34" s="3260"/>
      <c r="N34" s="3260"/>
      <c r="O34" s="3247" t="s">
        <v>8584</v>
      </c>
      <c r="P34" s="3249"/>
      <c r="Q34" s="3247" t="s">
        <v>8585</v>
      </c>
      <c r="R34" s="3248"/>
      <c r="S34" s="3249"/>
      <c r="T34" s="3247" t="s">
        <v>8586</v>
      </c>
      <c r="U34" s="3248"/>
      <c r="V34" s="3249"/>
      <c r="W34" s="3247" t="s">
        <v>8587</v>
      </c>
      <c r="X34" s="3248"/>
      <c r="Y34" s="3249"/>
      <c r="Z34" s="3250" t="s">
        <v>8588</v>
      </c>
      <c r="AA34" s="3250"/>
      <c r="AB34" s="3250" t="s">
        <v>8589</v>
      </c>
      <c r="AC34" s="3250"/>
      <c r="AD34" s="3250" t="s">
        <v>8590</v>
      </c>
      <c r="AE34" s="3250"/>
      <c r="AF34" s="1718" t="s">
        <v>8591</v>
      </c>
      <c r="AG34" s="3254" t="s">
        <v>8592</v>
      </c>
      <c r="AH34" s="3255"/>
      <c r="AI34" s="1719" t="s">
        <v>8611</v>
      </c>
      <c r="AJ34" s="3250" t="s">
        <v>8588</v>
      </c>
      <c r="AK34" s="3250"/>
      <c r="AL34" s="3250" t="s">
        <v>8589</v>
      </c>
      <c r="AM34" s="3250"/>
      <c r="AN34" s="3250" t="s">
        <v>8590</v>
      </c>
      <c r="AO34" s="3250"/>
      <c r="AR34" s="1733">
        <v>38</v>
      </c>
      <c r="AS34" s="1710">
        <f>IF(OR($C$12=$AR34,$D$12=$AR34),Schweine_Werte!$C34*0.5,IF(OR($C$12&gt;$AR34,$D$12&lt;$AR34),0,Schweine_Werte!$C34))</f>
        <v>0</v>
      </c>
      <c r="AT34" s="1713">
        <f>IF(OR($C$24=$AR34,$D$24=$AR34),Schweine_Werte!$C34*0.5,IF(OR($C$24&gt;$AR34,$D$24&lt;$AR34),0,Schweine_Werte!$C34))</f>
        <v>0</v>
      </c>
      <c r="AU34" s="1710">
        <f>IF(OR($C$36=$AR34,$D$36=$AR34),Schweine_Werte!$C34*0.5,IF(OR($C$36&gt;$AR34,$D$36&lt;$AR34),0,Schweine_Werte!$C34))</f>
        <v>0</v>
      </c>
      <c r="AV34" s="1710">
        <f>IF(OR($C$48=$AR34,$D$48=$AR34),Schweine_Werte!$C34*0.5,IF(OR($C$48&gt;$AR34,$D$48&lt;$AR34),0,Schweine_Werte!$C34))</f>
        <v>0</v>
      </c>
      <c r="AW34" s="1710">
        <f>IF(OR($C$60=$AR34,$D$60=$AR34),Schweine_Werte!$C34*0.5,IF(OR($C$60&gt;$AR34,$D$60&lt;$AR34),0,Schweine_Werte!$C34))</f>
        <v>0</v>
      </c>
      <c r="AX34" s="1710">
        <f>IF(OR($C$12=$AR34,$D$12=$AR34),Schweine_Werte!$E34*0.5,IF(OR($C$12&gt;$AR34,$D$12&lt;$AR34),0,Schweine_Werte!$E34))</f>
        <v>0</v>
      </c>
      <c r="AY34" s="1713">
        <f>IF(OR($C$24=$AR34,$D$24=$AR34),Schweine_Werte!$E34*0.5,IF(OR($C$24&gt;$AR34,$D$24&lt;$AR34),0,Schweine_Werte!$E34))</f>
        <v>0</v>
      </c>
      <c r="AZ34" s="1713">
        <f>IF(OR($C$36=$AR34,$D$36=$AR34),Schweine_Werte!$E34*0.5,IF(OR($C$36&gt;$AR34,$D$36&lt;$AR34),0,Schweine_Werte!$E34))</f>
        <v>0</v>
      </c>
      <c r="BA34" s="1713">
        <f>IF(OR($C$48=$AR34,$D$48=$AR34),Schweine_Werte!$E34*0.5,IF(OR($C$48&gt;$AR34,$D$48&lt;$AR34),0,Schweine_Werte!$E34))</f>
        <v>0</v>
      </c>
      <c r="BB34" s="1713">
        <f>IF(OR($C$60=$AR34,$D$60=$AR34),Schweine_Werte!$E34*0.5,IF(OR($C$60&gt;$AR34,$D$60&lt;$AR34),0,Schweine_Werte!$E34))</f>
        <v>0</v>
      </c>
      <c r="BC34" s="1710">
        <f>IF(OR($C$12=$AR34,$D$12=$AR34),Schweine_Werte!$G34*0.5,IF(OR($C$12&gt;$AR34,$D$12&lt;$AR34),0,Schweine_Werte!$G34))</f>
        <v>0</v>
      </c>
      <c r="BD34" s="1713">
        <f>IF(OR($C$24=$AR34,$D$24=$AR34),Schweine_Werte!$G34*0.5,IF(OR($C$24&gt;$AR34,$D$24&lt;$AR34),0,Schweine_Werte!$G34))</f>
        <v>0</v>
      </c>
      <c r="BE34" s="1713">
        <f>IF(OR($C$36=$AR34,$D$36=$AR34),Schweine_Werte!$G34*0.5,IF(OR($C$36&gt;$AR34,$D$36&lt;$AR34),0,Schweine_Werte!$G34))</f>
        <v>0</v>
      </c>
      <c r="BF34" s="1713">
        <f>IF(OR($C$48=$AR34,$D$48=$AR34),Schweine_Werte!$G34*0.5,IF(OR($C$48&gt;$AR34,$D$48&lt;$AR34),0,Schweine_Werte!$G34))</f>
        <v>0</v>
      </c>
      <c r="BG34" s="1713">
        <f>IF(OR($C$60=$AR34,$D$60=$AR34),Schweine_Werte!$G34*0.5,IF(OR($C$60&gt;$AR34,$D$60&lt;$AR34),0,Schweine_Werte!$G34))</f>
        <v>0</v>
      </c>
      <c r="BH34" s="1710">
        <f>IF(OR($C$12=$AR34,$D$12=$AR34),Schweine_Werte!$I34*0.5,IF(OR($C$12&gt;$AR34,$D$12&lt;$AR34),0,Schweine_Werte!$I34))</f>
        <v>0</v>
      </c>
      <c r="BI34" s="1713">
        <f>IF(OR($C$24=$AR34,$D$24=$AR34),Schweine_Werte!$I34*0.5,IF(OR($C$24&gt;$AR34,$D$24&lt;$AR34),0,Schweine_Werte!$I34))</f>
        <v>0</v>
      </c>
      <c r="BJ34" s="1713">
        <f>IF(OR($C$36=$AR34,$D$36=$AR34),Schweine_Werte!$I34*0.5,IF(OR($C$36&gt;$AR34,$D$36&lt;$AR34),0,Schweine_Werte!$I34))</f>
        <v>0</v>
      </c>
      <c r="BK34" s="1713">
        <f>IF(OR($C$48=$AR34,$D$48=$AR34),Schweine_Werte!$I34*0.5,IF(OR($C$48&gt;$AR34,$D$48&lt;$AR34),0,Schweine_Werte!$I34))</f>
        <v>0</v>
      </c>
      <c r="BL34" s="1713">
        <f>IF(OR($C$60=$AR34,$D$60=$AR34),Schweine_Werte!$I34*0.5,IF(OR($C$60&gt;$AR34,$D$60&lt;$AR34),0,Schweine_Werte!$I34))</f>
        <v>0</v>
      </c>
      <c r="BM34" s="1710">
        <f>IF(OR($C$12=$AR34,$D$12=$AR34),Schweine_Werte!$K34*0.5,IF(OR($C$12&gt;$AR34,$D$12&lt;$AR34),0,Schweine_Werte!$K34))</f>
        <v>0</v>
      </c>
      <c r="BN34" s="1713">
        <f>IF(OR($C$24=$AR34,$D$24=$AR34),Schweine_Werte!$K34*0.5,IF(OR($C$24&gt;$AR34,$D$24&lt;$AR34),0,Schweine_Werte!$K34))</f>
        <v>0</v>
      </c>
      <c r="BO34" s="1713">
        <f>IF(OR($C$36=$AR34,$D$36=$AR34),Schweine_Werte!$K34*0.5,IF(OR($C$36&gt;$AR34,$D$36&lt;$AR34),0,Schweine_Werte!$K34))</f>
        <v>0</v>
      </c>
      <c r="BP34" s="1713">
        <f>IF(OR($C$48=$AR34,$D$48=$AR34),Schweine_Werte!$K34*0.5,IF(OR($C$48&gt;$AR34,$D$48&lt;$AR34),0,Schweine_Werte!$K34))</f>
        <v>0</v>
      </c>
      <c r="BQ34" s="1713">
        <f>IF(OR($C$60=$AR34,$D$60=$AR34),Schweine_Werte!$K34*0.5,IF(OR($C$60&gt;$AR34,$D$60&lt;$AR34),0,Schweine_Werte!$K34))</f>
        <v>0</v>
      </c>
      <c r="BR34" s="1710">
        <f>IF(OR($C$74=$AR34,$D$74=$AR34),Schweine_Werte!$M34*0.5,IF(OR($C$74&gt;$AR34,$D$74&lt;$AR34),0,Schweine_Werte!$M34))</f>
        <v>0</v>
      </c>
      <c r="BS34" s="1710">
        <f>IF(OR($C$83=$AR34,$D$83=$AR34),Schweine_Werte!$M34*0.5,IF(OR($C$83&gt;$AR34,$D$83&lt;$AR34),0,Schweine_Werte!$M34))</f>
        <v>0</v>
      </c>
      <c r="BT34" s="1714">
        <f>IF(OR($C$92=$AR34,$D$92=$AR34),Schweine_Werte!$M34*0.5,IF(OR($C$92&gt;$AR34,$D$92&lt;$AR34),0,Schweine_Werte!$M34))</f>
        <v>0</v>
      </c>
      <c r="BU34" s="1714">
        <f>IF(OR($C$101=$AR34,$D$101=$AR34),Schweine_Werte!$M34*0.5,IF(OR($C$101&gt;$AR34,$D$101&lt;$AR34),0,Schweine_Werte!$M34))</f>
        <v>0</v>
      </c>
      <c r="BV34" s="1714">
        <f>IF(OR($C$110=$AR34,$D$110=$AR34),Schweine_Werte!$M34*0.5,IF(OR($C$110&gt;$AR34,$D$110&lt;$AR34),0,Schweine_Werte!$M34))</f>
        <v>0</v>
      </c>
      <c r="BW34" s="1714">
        <f>IF(OR(8=$AR34,$E$127=$AR34),Schweine_Werte!$M34*0.5,IF(OR(8&gt;$AR34,$E$127&lt;$AR34),0,Schweine_Werte!$M34))</f>
        <v>1.3707820838974658</v>
      </c>
      <c r="BX34" s="1714">
        <f>IF(OR(8=$AR34,$E$145=$AR34),Schweine_Werte!$M34*0.5,IF(OR(8&gt;$AR34,$E$145&lt;$AR34),0,Schweine_Werte!$M34))</f>
        <v>1.3707820838974658</v>
      </c>
      <c r="BY34" s="1710">
        <f>IF(OR($C$74=$AR34,$D$74=$AR34),Schweine_Werte!$O34*0.5,IF(OR($C$74&gt;$AR34,$D$74&lt;$AR34),0,Schweine_Werte!$O34))</f>
        <v>0</v>
      </c>
      <c r="BZ34" s="1710">
        <f>IF(OR($C$83=$AR34,$D$83=$AR34),Schweine_Werte!$O34*0.5,IF(OR($C$83&gt;$AR34,$D$83&lt;$AR34),0,Schweine_Werte!$O34))</f>
        <v>0</v>
      </c>
      <c r="CA34" s="1714">
        <f>IF(OR($C$92=$AR34,$D$92=$AR34),Schweine_Werte!$O34*0.5,IF(OR($C$92&gt;$AR34,$D$92&lt;$AR34),0,Schweine_Werte!$O34))</f>
        <v>0</v>
      </c>
      <c r="CB34" s="1714">
        <f>IF(OR($C$101=$AR34,$D$101=$AR34),Schweine_Werte!$O34*0.5,IF(OR($C$101&gt;$AR34,$D$101&lt;$AR34),0,Schweine_Werte!$O34))</f>
        <v>0</v>
      </c>
      <c r="CC34" s="1714">
        <f>IF(OR($C$110=$AR34,$D$110=$AR34),Schweine_Werte!$O34*0.5,IF(OR($C$110&gt;$AR34,$D$110&lt;$AR34),0,Schweine_Werte!$O34))</f>
        <v>0</v>
      </c>
    </row>
    <row r="35" spans="1:81" ht="18.75" x14ac:dyDescent="0.25">
      <c r="B35" s="1720" t="s">
        <v>8594</v>
      </c>
      <c r="C35" s="1721" t="s">
        <v>8595</v>
      </c>
      <c r="D35" s="1721" t="s">
        <v>8596</v>
      </c>
      <c r="E35" s="1721" t="s">
        <v>8597</v>
      </c>
      <c r="F35" s="1722" t="s">
        <v>195</v>
      </c>
      <c r="G35" s="1723" t="s">
        <v>4</v>
      </c>
      <c r="H35" s="1723" t="s">
        <v>8598</v>
      </c>
      <c r="I35" s="1723" t="s">
        <v>8599</v>
      </c>
      <c r="J35" s="1724" t="s">
        <v>8600</v>
      </c>
      <c r="K35" s="1724" t="s">
        <v>8600</v>
      </c>
      <c r="L35" s="1725" t="s">
        <v>35</v>
      </c>
      <c r="M35" s="1725" t="s">
        <v>8601</v>
      </c>
      <c r="N35" s="1725" t="s">
        <v>37</v>
      </c>
      <c r="O35" s="1726" t="s">
        <v>0</v>
      </c>
      <c r="P35" s="1726" t="s">
        <v>9</v>
      </c>
      <c r="Q35" s="1725" t="s">
        <v>35</v>
      </c>
      <c r="R35" s="1725" t="s">
        <v>36</v>
      </c>
      <c r="S35" s="1725" t="s">
        <v>37</v>
      </c>
      <c r="T35" s="1725" t="s">
        <v>35</v>
      </c>
      <c r="U35" s="1725" t="s">
        <v>36</v>
      </c>
      <c r="V35" s="1725" t="s">
        <v>37</v>
      </c>
      <c r="W35" s="1724" t="s">
        <v>8528</v>
      </c>
      <c r="X35" s="1724" t="s">
        <v>8529</v>
      </c>
      <c r="Y35" s="1724" t="s">
        <v>8530</v>
      </c>
      <c r="Z35" s="1727" t="s">
        <v>8602</v>
      </c>
      <c r="AA35" s="1727" t="s">
        <v>8603</v>
      </c>
      <c r="AB35" s="1727" t="s">
        <v>8602</v>
      </c>
      <c r="AC35" s="1727" t="s">
        <v>8603</v>
      </c>
      <c r="AD35" s="1727" t="s">
        <v>8602</v>
      </c>
      <c r="AE35" s="1727" t="s">
        <v>8603</v>
      </c>
      <c r="AF35" s="1727" t="s">
        <v>8604</v>
      </c>
      <c r="AG35" s="1728" t="s">
        <v>8605</v>
      </c>
      <c r="AH35" s="1727" t="s">
        <v>216</v>
      </c>
      <c r="AI35" s="1727"/>
      <c r="AJ35" s="1727" t="s">
        <v>8527</v>
      </c>
      <c r="AK35" s="1727" t="s">
        <v>8606</v>
      </c>
      <c r="AL35" s="1727" t="s">
        <v>8607</v>
      </c>
      <c r="AM35" s="1727" t="s">
        <v>8608</v>
      </c>
      <c r="AN35" s="1727" t="s">
        <v>8607</v>
      </c>
      <c r="AO35" s="1727" t="s">
        <v>8609</v>
      </c>
      <c r="AR35" s="1733">
        <v>39</v>
      </c>
      <c r="AS35" s="1710">
        <f>IF(OR($C$12=$AR35,$D$12=$AR35),Schweine_Werte!$C35*0.5,IF(OR($C$12&gt;$AR35,$D$12&lt;$AR35),0,Schweine_Werte!$C35))</f>
        <v>0</v>
      </c>
      <c r="AT35" s="1713">
        <f>IF(OR($C$24=$AR35,$D$24=$AR35),Schweine_Werte!$C35*0.5,IF(OR($C$24&gt;$AR35,$D$24&lt;$AR35),0,Schweine_Werte!$C35))</f>
        <v>0</v>
      </c>
      <c r="AU35" s="1710">
        <f>IF(OR($C$36=$AR35,$D$36=$AR35),Schweine_Werte!$C35*0.5,IF(OR($C$36&gt;$AR35,$D$36&lt;$AR35),0,Schweine_Werte!$C35))</f>
        <v>0</v>
      </c>
      <c r="AV35" s="1710">
        <f>IF(OR($C$48=$AR35,$D$48=$AR35),Schweine_Werte!$C35*0.5,IF(OR($C$48&gt;$AR35,$D$48&lt;$AR35),0,Schweine_Werte!$C35))</f>
        <v>0</v>
      </c>
      <c r="AW35" s="1710">
        <f>IF(OR($C$60=$AR35,$D$60=$AR35),Schweine_Werte!$C35*0.5,IF(OR($C$60&gt;$AR35,$D$60&lt;$AR35),0,Schweine_Werte!$C35))</f>
        <v>0</v>
      </c>
      <c r="AX35" s="1710">
        <f>IF(OR($C$12=$AR35,$D$12=$AR35),Schweine_Werte!$E35*0.5,IF(OR($C$12&gt;$AR35,$D$12&lt;$AR35),0,Schweine_Werte!$E35))</f>
        <v>0</v>
      </c>
      <c r="AY35" s="1713">
        <f>IF(OR($C$24=$AR35,$D$24=$AR35),Schweine_Werte!$E35*0.5,IF(OR($C$24&gt;$AR35,$D$24&lt;$AR35),0,Schweine_Werte!$E35))</f>
        <v>0</v>
      </c>
      <c r="AZ35" s="1713">
        <f>IF(OR($C$36=$AR35,$D$36=$AR35),Schweine_Werte!$E35*0.5,IF(OR($C$36&gt;$AR35,$D$36&lt;$AR35),0,Schweine_Werte!$E35))</f>
        <v>0</v>
      </c>
      <c r="BA35" s="1713">
        <f>IF(OR($C$48=$AR35,$D$48=$AR35),Schweine_Werte!$E35*0.5,IF(OR($C$48&gt;$AR35,$D$48&lt;$AR35),0,Schweine_Werte!$E35))</f>
        <v>0</v>
      </c>
      <c r="BB35" s="1713">
        <f>IF(OR($C$60=$AR35,$D$60=$AR35),Schweine_Werte!$E35*0.5,IF(OR($C$60&gt;$AR35,$D$60&lt;$AR35),0,Schweine_Werte!$E35))</f>
        <v>0</v>
      </c>
      <c r="BC35" s="1710">
        <f>IF(OR($C$12=$AR35,$D$12=$AR35),Schweine_Werte!$G35*0.5,IF(OR($C$12&gt;$AR35,$D$12&lt;$AR35),0,Schweine_Werte!$G35))</f>
        <v>0</v>
      </c>
      <c r="BD35" s="1713">
        <f>IF(OR($C$24=$AR35,$D$24=$AR35),Schweine_Werte!$G35*0.5,IF(OR($C$24&gt;$AR35,$D$24&lt;$AR35),0,Schweine_Werte!$G35))</f>
        <v>0</v>
      </c>
      <c r="BE35" s="1713">
        <f>IF(OR($C$36=$AR35,$D$36=$AR35),Schweine_Werte!$G35*0.5,IF(OR($C$36&gt;$AR35,$D$36&lt;$AR35),0,Schweine_Werte!$G35))</f>
        <v>0</v>
      </c>
      <c r="BF35" s="1713">
        <f>IF(OR($C$48=$AR35,$D$48=$AR35),Schweine_Werte!$G35*0.5,IF(OR($C$48&gt;$AR35,$D$48&lt;$AR35),0,Schweine_Werte!$G35))</f>
        <v>0</v>
      </c>
      <c r="BG35" s="1713">
        <f>IF(OR($C$60=$AR35,$D$60=$AR35),Schweine_Werte!$G35*0.5,IF(OR($C$60&gt;$AR35,$D$60&lt;$AR35),0,Schweine_Werte!$G35))</f>
        <v>0</v>
      </c>
      <c r="BH35" s="1710">
        <f>IF(OR($C$12=$AR35,$D$12=$AR35),Schweine_Werte!$I35*0.5,IF(OR($C$12&gt;$AR35,$D$12&lt;$AR35),0,Schweine_Werte!$I35))</f>
        <v>0</v>
      </c>
      <c r="BI35" s="1713">
        <f>IF(OR($C$24=$AR35,$D$24=$AR35),Schweine_Werte!$I35*0.5,IF(OR($C$24&gt;$AR35,$D$24&lt;$AR35),0,Schweine_Werte!$I35))</f>
        <v>0</v>
      </c>
      <c r="BJ35" s="1713">
        <f>IF(OR($C$36=$AR35,$D$36=$AR35),Schweine_Werte!$I35*0.5,IF(OR($C$36&gt;$AR35,$D$36&lt;$AR35),0,Schweine_Werte!$I35))</f>
        <v>0</v>
      </c>
      <c r="BK35" s="1713">
        <f>IF(OR($C$48=$AR35,$D$48=$AR35),Schweine_Werte!$I35*0.5,IF(OR($C$48&gt;$AR35,$D$48&lt;$AR35),0,Schweine_Werte!$I35))</f>
        <v>0</v>
      </c>
      <c r="BL35" s="1713">
        <f>IF(OR($C$60=$AR35,$D$60=$AR35),Schweine_Werte!$I35*0.5,IF(OR($C$60&gt;$AR35,$D$60&lt;$AR35),0,Schweine_Werte!$I35))</f>
        <v>0</v>
      </c>
      <c r="BM35" s="1710">
        <f>IF(OR($C$12=$AR35,$D$12=$AR35),Schweine_Werte!$K35*0.5,IF(OR($C$12&gt;$AR35,$D$12&lt;$AR35),0,Schweine_Werte!$K35))</f>
        <v>0</v>
      </c>
      <c r="BN35" s="1713">
        <f>IF(OR($C$24=$AR35,$D$24=$AR35),Schweine_Werte!$K35*0.5,IF(OR($C$24&gt;$AR35,$D$24&lt;$AR35),0,Schweine_Werte!$K35))</f>
        <v>0</v>
      </c>
      <c r="BO35" s="1713">
        <f>IF(OR($C$36=$AR35,$D$36=$AR35),Schweine_Werte!$K35*0.5,IF(OR($C$36&gt;$AR35,$D$36&lt;$AR35),0,Schweine_Werte!$K35))</f>
        <v>0</v>
      </c>
      <c r="BP35" s="1713">
        <f>IF(OR($C$48=$AR35,$D$48=$AR35),Schweine_Werte!$K35*0.5,IF(OR($C$48&gt;$AR35,$D$48&lt;$AR35),0,Schweine_Werte!$K35))</f>
        <v>0</v>
      </c>
      <c r="BQ35" s="1713">
        <f>IF(OR($C$60=$AR35,$D$60=$AR35),Schweine_Werte!$K35*0.5,IF(OR($C$60&gt;$AR35,$D$60&lt;$AR35),0,Schweine_Werte!$K35))</f>
        <v>0</v>
      </c>
      <c r="BR35" s="1710">
        <f>IF(OR($C$74=$AR35,$D$74=$AR35),Schweine_Werte!$M35*0.5,IF(OR($C$74&gt;$AR35,$D$74&lt;$AR35),0,Schweine_Werte!$M35))</f>
        <v>0</v>
      </c>
      <c r="BS35" s="1710">
        <f>IF(OR($C$83=$AR35,$D$83=$AR35),Schweine_Werte!$M35*0.5,IF(OR($C$83&gt;$AR35,$D$83&lt;$AR35),0,Schweine_Werte!$M35))</f>
        <v>0</v>
      </c>
      <c r="BT35" s="1714">
        <f>IF(OR($C$92=$AR35,$D$92=$AR35),Schweine_Werte!$M35*0.5,IF(OR($C$92&gt;$AR35,$D$92&lt;$AR35),0,Schweine_Werte!$M35))</f>
        <v>0</v>
      </c>
      <c r="BU35" s="1714">
        <f>IF(OR($C$101=$AR35,$D$101=$AR35),Schweine_Werte!$M35*0.5,IF(OR($C$101&gt;$AR35,$D$101&lt;$AR35),0,Schweine_Werte!$M35))</f>
        <v>0</v>
      </c>
      <c r="BV35" s="1714">
        <f>IF(OR($C$110=$AR35,$D$110=$AR35),Schweine_Werte!$M35*0.5,IF(OR($C$110&gt;$AR35,$D$110&lt;$AR35),0,Schweine_Werte!$M35))</f>
        <v>0</v>
      </c>
      <c r="BW35" s="1714">
        <f>IF(OR(8=$AR35,$E$127=$AR35),Schweine_Werte!$M35*0.5,IF(OR(8&gt;$AR35,$E$127&lt;$AR35),0,Schweine_Werte!$M35))</f>
        <v>1.3522208276626688</v>
      </c>
      <c r="BX35" s="1714">
        <f>IF(OR(8=$AR35,$E$145=$AR35),Schweine_Werte!$M35*0.5,IF(OR(8&gt;$AR35,$E$145&lt;$AR35),0,Schweine_Werte!$M35))</f>
        <v>1.3522208276626688</v>
      </c>
      <c r="BY35" s="1710">
        <f>IF(OR($C$74=$AR35,$D$74=$AR35),Schweine_Werte!$O35*0.5,IF(OR($C$74&gt;$AR35,$D$74&lt;$AR35),0,Schweine_Werte!$O35))</f>
        <v>0</v>
      </c>
      <c r="BZ35" s="1710">
        <f>IF(OR($C$83=$AR35,$D$83=$AR35),Schweine_Werte!$O35*0.5,IF(OR($C$83&gt;$AR35,$D$83&lt;$AR35),0,Schweine_Werte!$O35))</f>
        <v>0</v>
      </c>
      <c r="CA35" s="1714">
        <f>IF(OR($C$92=$AR35,$D$92=$AR35),Schweine_Werte!$O35*0.5,IF(OR($C$92&gt;$AR35,$D$92&lt;$AR35),0,Schweine_Werte!$O35))</f>
        <v>0</v>
      </c>
      <c r="CB35" s="1714">
        <f>IF(OR($C$101=$AR35,$D$101=$AR35),Schweine_Werte!$O35*0.5,IF(OR($C$101&gt;$AR35,$D$101&lt;$AR35),0,Schweine_Werte!$O35))</f>
        <v>0</v>
      </c>
      <c r="CC35" s="1714">
        <f>IF(OR($C$110=$AR35,$D$110=$AR35),Schweine_Werte!$O35*0.5,IF(OR($C$110&gt;$AR35,$D$110&lt;$AR35),0,Schweine_Werte!$O35))</f>
        <v>0</v>
      </c>
    </row>
    <row r="36" spans="1:81" ht="15.75" x14ac:dyDescent="0.25">
      <c r="A36" s="1685" t="s">
        <v>8556</v>
      </c>
      <c r="B36" s="1756" t="str">
        <f>IF('Eigene, abweichende Tierdaten'!AD7=1,'Eigene, abweichende Tierdaten'!F7,"")</f>
        <v/>
      </c>
      <c r="C36" s="1754" t="str">
        <f>IF('Eigene, abweichende Tierdaten'!AD7=1,'Eigene, abweichende Tierdaten'!J7,"")</f>
        <v/>
      </c>
      <c r="D36" s="1754" t="str">
        <f>IF('Eigene, abweichende Tierdaten'!AD7=1,'Eigene, abweichende Tierdaten'!L7,"")</f>
        <v/>
      </c>
      <c r="E36" s="1757" t="str">
        <f>IF('Eigene, abweichende Tierdaten'!AD7=1,'Eigene, abweichende Tierdaten'!N7,"")</f>
        <v/>
      </c>
      <c r="F36" s="1729" t="e">
        <f t="shared" ref="F36:N36" si="7">IF($E36&lt;=$E29,F29,IF(AND($E36&gt;$E29,$E36&lt;=$E30),F29+(F30-F29)/($E30-$E29)*($E36-$E29),IF(AND($E36&gt;$E30,$E36&lt;=$E31),F30+(F31-F30)/($E31-$E30)*($E36-$E30),IF(AND($E36&gt;$E31,$E36&lt;=$E32),F31+(F32-F31)/($E32-$E31)*($E36-$E31),IF($E36&gt;$E32,F32)))))</f>
        <v>#VALUE!</v>
      </c>
      <c r="G36" s="1729" t="e">
        <f t="shared" si="7"/>
        <v>#VALUE!</v>
      </c>
      <c r="H36" s="1729" t="e">
        <f t="shared" si="7"/>
        <v>#VALUE!</v>
      </c>
      <c r="I36" s="1729" t="e">
        <f t="shared" si="7"/>
        <v>#VALUE!</v>
      </c>
      <c r="J36" s="1729" t="e">
        <f t="shared" si="7"/>
        <v>#VALUE!</v>
      </c>
      <c r="K36" s="1729" t="e">
        <f t="shared" si="7"/>
        <v>#VALUE!</v>
      </c>
      <c r="L36" s="1729" t="e">
        <f t="shared" si="7"/>
        <v>#VALUE!</v>
      </c>
      <c r="M36" s="1729" t="e">
        <f t="shared" si="7"/>
        <v>#VALUE!</v>
      </c>
      <c r="N36" s="1729" t="e">
        <f t="shared" si="7"/>
        <v>#VALUE!</v>
      </c>
      <c r="O36" s="1730">
        <v>5.5</v>
      </c>
      <c r="P36" s="1730">
        <v>1.8</v>
      </c>
      <c r="Q36" s="1729" t="e">
        <f t="shared" ref="Q36:Z36" si="8">IF($E36&lt;=$E29,Q29,IF(AND($E36&gt;$E29,$E36&lt;=$E30),Q29+(Q30-Q29)/($E30-$E29)*($E36-$E29),IF(AND($E36&gt;$E30,$E36&lt;=$E31),Q30+(Q31-Q30)/($E31-$E30)*($E36-$E30),IF(AND($E36&gt;$E31,$E36&lt;=$E32),Q31+(Q32-Q31)/($E32-$E31)*($E36-$E31),IF($E36&gt;$E32,Q32)))))</f>
        <v>#VALUE!</v>
      </c>
      <c r="R36" s="1729" t="e">
        <f t="shared" si="8"/>
        <v>#VALUE!</v>
      </c>
      <c r="S36" s="1729" t="e">
        <f t="shared" si="8"/>
        <v>#VALUE!</v>
      </c>
      <c r="T36" s="1729" t="e">
        <f t="shared" si="8"/>
        <v>#VALUE!</v>
      </c>
      <c r="U36" s="1729" t="e">
        <f t="shared" si="8"/>
        <v>#VALUE!</v>
      </c>
      <c r="V36" s="1729" t="e">
        <f t="shared" si="8"/>
        <v>#VALUE!</v>
      </c>
      <c r="W36" s="1729" t="e">
        <f t="shared" si="8"/>
        <v>#VALUE!</v>
      </c>
      <c r="X36" s="1729" t="e">
        <f t="shared" si="8"/>
        <v>#VALUE!</v>
      </c>
      <c r="Y36" s="1729" t="e">
        <f t="shared" si="8"/>
        <v>#VALUE!</v>
      </c>
      <c r="Z36" s="1729" t="e">
        <f t="shared" si="8"/>
        <v>#VALUE!</v>
      </c>
      <c r="AA36" s="1731" t="e">
        <f>+Z36*6.25</f>
        <v>#VALUE!</v>
      </c>
      <c r="AB36" s="1729" t="e">
        <f>IF($E36&lt;=$E29,AB29,IF(AND($E36&gt;$E29,$E36&lt;=$E30),AB29+(AB30-AB29)/($E30-$E29)*($E36-$E29),IF(AND($E36&gt;$E30,$E36&lt;=$E31),AB30+(AB31-AB30)/($E31-$E30)*($E36-$E30),IF(AND($E36&gt;$E31,$E36&lt;=$E32),AB31+(AB32-AB31)/($E32-$E31)*($E36-$E31),IF($E36&gt;$E32,AB32)))))</f>
        <v>#VALUE!</v>
      </c>
      <c r="AC36" s="1731" t="e">
        <f>+AB36*6.25</f>
        <v>#VALUE!</v>
      </c>
      <c r="AD36" s="1729" t="e">
        <f>IF($E36&lt;=$E29,AD29,IF(AND($E36&gt;$E29,$E36&lt;=$E30),AD29+(AD30-AD29)/($E30-$E29)*($E36-$E29),IF(AND($E36&gt;$E30,$E36&lt;=$E31),AD30+(AD31-AD30)/($E31-$E30)*($E36-$E30),IF(AND($E36&gt;$E31,$E36&lt;=$E32),AD31+(AD32-AD31)/($E32-$E31)*($E36-$E31),IF($E36&gt;$E32,AD32)))))</f>
        <v>#VALUE!</v>
      </c>
      <c r="AE36" s="1731" t="e">
        <f>+AD36*6.25</f>
        <v>#VALUE!</v>
      </c>
      <c r="AF36" s="1731" t="e">
        <f>365/((D36-C36)/E36*1000)</f>
        <v>#VALUE!</v>
      </c>
      <c r="AG36" s="1729" t="e">
        <f>IF($E36&lt;=$E29,AG29,IF(AND($E36&gt;$E29,$E36&lt;=$E30),AG29+(AG30-AG29)/($E30-$E29)*($E36-$E29),IF(AND($E36&gt;$E30,$E36&lt;=$E31),AG30+(AG31-AG30)/($E31-$E30)*($E36-$E30),IF(AND($E36&gt;$E31,$E36&lt;=$E32),AG31+(AG32-AG31)/($E32-$E31)*($E36-$E31),IF($E36&gt;$E32,AG32)))))</f>
        <v>#VALUE!</v>
      </c>
      <c r="AH36" s="1731" t="e">
        <f>+AG36/AF36</f>
        <v>#VALUE!</v>
      </c>
      <c r="AI36" s="1731" t="e">
        <f>+CONCATENATE(ROUND(AH36/(D36-C36),1)," : 1")</f>
        <v>#VALUE!</v>
      </c>
      <c r="AJ36" s="1729" t="e">
        <f>IF($E36&lt;=$E29,AJ29,IF(AND($E36&gt;$E29,$E36&lt;=$E30),AJ29+(AJ30-AJ29)/($E30-$E29)*($E36-$E29),IF(AND($E36&gt;$E30,$E36&lt;=$E31),AJ30+(AJ31-AJ30)/($E31-$E30)*($E36-$E30),IF(AND($E36&gt;$E31,$E36&lt;=$E32),AJ31+(AJ32-AJ31)/($E32-$E31)*($E36-$E31),IF($E36&gt;$E32,AJ32)))))</f>
        <v>#VALUE!</v>
      </c>
      <c r="AK36" s="1731" t="e">
        <f>+AJ36/2.291</f>
        <v>#VALUE!</v>
      </c>
      <c r="AL36" s="1729" t="e">
        <f>IF($E36&lt;=$E29,AL29,IF(AND($E36&gt;$E29,$E36&lt;=$E30),AL29+(AL30-AL29)/($E30-$E29)*($E36-$E29),IF(AND($E36&gt;$E30,$E36&lt;=$E31),AL30+(AL31-AL30)/($E31-$E30)*($E36-$E30),IF(AND($E36&gt;$E31,$E36&lt;=$E32),AL31+(AL32-AL31)/($E32-$E31)*($E36-$E31),IF($E36&gt;$E32,AL32)))))</f>
        <v>#VALUE!</v>
      </c>
      <c r="AM36" s="1731" t="e">
        <f>+AL36/2.291</f>
        <v>#VALUE!</v>
      </c>
      <c r="AN36" s="1729" t="e">
        <f>IF($E36&lt;=$E29,AN29,IF(AND($E36&gt;$E29,$E36&lt;=$E30),AN29+(AN30-AN29)/($E30-$E29)*($E36-$E29),IF(AND($E36&gt;$E30,$E36&lt;=$E31),AN30+(AN31-AN30)/($E31-$E30)*($E36-$E30),IF(AND($E36&gt;$E31,$E36&lt;=$E32),AN31+(AN32-AN31)/($E32-$E31)*($E36-$E31),IF($E36&gt;$E32,AN32)))))</f>
        <v>#VALUE!</v>
      </c>
      <c r="AO36" s="1731" t="e">
        <f>+AN36/2.291</f>
        <v>#VALUE!</v>
      </c>
      <c r="AR36" s="1733">
        <v>40</v>
      </c>
      <c r="AS36" s="1710">
        <f>IF(OR($C$12=$AR36,$D$12=$AR36),Schweine_Werte!$C36*0.5,IF(OR($C$12&gt;$AR36,$D$12&lt;$AR36),0,Schweine_Werte!$C36))</f>
        <v>0</v>
      </c>
      <c r="AT36" s="1713">
        <f>IF(OR($C$24=$AR36,$D$24=$AR36),Schweine_Werte!$C36*0.5,IF(OR($C$24&gt;$AR36,$D$24&lt;$AR36),0,Schweine_Werte!$C36))</f>
        <v>0</v>
      </c>
      <c r="AU36" s="1710">
        <f>IF(OR($C$36=$AR36,$D$36=$AR36),Schweine_Werte!$C36*0.5,IF(OR($C$36&gt;$AR36,$D$36&lt;$AR36),0,Schweine_Werte!$C36))</f>
        <v>0</v>
      </c>
      <c r="AV36" s="1710">
        <f>IF(OR($C$48=$AR36,$D$48=$AR36),Schweine_Werte!$C36*0.5,IF(OR($C$48&gt;$AR36,$D$48&lt;$AR36),0,Schweine_Werte!$C36))</f>
        <v>0</v>
      </c>
      <c r="AW36" s="1710">
        <f>IF(OR($C$60=$AR36,$D$60=$AR36),Schweine_Werte!$C36*0.5,IF(OR($C$60&gt;$AR36,$D$60&lt;$AR36),0,Schweine_Werte!$C36))</f>
        <v>0</v>
      </c>
      <c r="AX36" s="1710">
        <f>IF(OR($C$12=$AR36,$D$12=$AR36),Schweine_Werte!$E36*0.5,IF(OR($C$12&gt;$AR36,$D$12&lt;$AR36),0,Schweine_Werte!$E36))</f>
        <v>0</v>
      </c>
      <c r="AY36" s="1713">
        <f>IF(OR($C$24=$AR36,$D$24=$AR36),Schweine_Werte!$E36*0.5,IF(OR($C$24&gt;$AR36,$D$24&lt;$AR36),0,Schweine_Werte!$E36))</f>
        <v>0</v>
      </c>
      <c r="AZ36" s="1713">
        <f>IF(OR($C$36=$AR36,$D$36=$AR36),Schweine_Werte!$E36*0.5,IF(OR($C$36&gt;$AR36,$D$36&lt;$AR36),0,Schweine_Werte!$E36))</f>
        <v>0</v>
      </c>
      <c r="BA36" s="1713">
        <f>IF(OR($C$48=$AR36,$D$48=$AR36),Schweine_Werte!$E36*0.5,IF(OR($C$48&gt;$AR36,$D$48&lt;$AR36),0,Schweine_Werte!$E36))</f>
        <v>0</v>
      </c>
      <c r="BB36" s="1713">
        <f>IF(OR($C$60=$AR36,$D$60=$AR36),Schweine_Werte!$E36*0.5,IF(OR($C$60&gt;$AR36,$D$60&lt;$AR36),0,Schweine_Werte!$E36))</f>
        <v>0</v>
      </c>
      <c r="BC36" s="1710">
        <f>IF(OR($C$12=$AR36,$D$12=$AR36),Schweine_Werte!$G36*0.5,IF(OR($C$12&gt;$AR36,$D$12&lt;$AR36),0,Schweine_Werte!$G36))</f>
        <v>0</v>
      </c>
      <c r="BD36" s="1713">
        <f>IF(OR($C$24=$AR36,$D$24=$AR36),Schweine_Werte!$G36*0.5,IF(OR($C$24&gt;$AR36,$D$24&lt;$AR36),0,Schweine_Werte!$G36))</f>
        <v>0</v>
      </c>
      <c r="BE36" s="1713">
        <f>IF(OR($C$36=$AR36,$D$36=$AR36),Schweine_Werte!$G36*0.5,IF(OR($C$36&gt;$AR36,$D$36&lt;$AR36),0,Schweine_Werte!$G36))</f>
        <v>0</v>
      </c>
      <c r="BF36" s="1713">
        <f>IF(OR($C$48=$AR36,$D$48=$AR36),Schweine_Werte!$G36*0.5,IF(OR($C$48&gt;$AR36,$D$48&lt;$AR36),0,Schweine_Werte!$G36))</f>
        <v>0</v>
      </c>
      <c r="BG36" s="1713">
        <f>IF(OR($C$60=$AR36,$D$60=$AR36),Schweine_Werte!$G36*0.5,IF(OR($C$60&gt;$AR36,$D$60&lt;$AR36),0,Schweine_Werte!$G36))</f>
        <v>0</v>
      </c>
      <c r="BH36" s="1710">
        <f>IF(OR($C$12=$AR36,$D$12=$AR36),Schweine_Werte!$I36*0.5,IF(OR($C$12&gt;$AR36,$D$12&lt;$AR36),0,Schweine_Werte!$I36))</f>
        <v>0</v>
      </c>
      <c r="BI36" s="1713">
        <f>IF(OR($C$24=$AR36,$D$24=$AR36),Schweine_Werte!$I36*0.5,IF(OR($C$24&gt;$AR36,$D$24&lt;$AR36),0,Schweine_Werte!$I36))</f>
        <v>0</v>
      </c>
      <c r="BJ36" s="1713">
        <f>IF(OR($C$36=$AR36,$D$36=$AR36),Schweine_Werte!$I36*0.5,IF(OR($C$36&gt;$AR36,$D$36&lt;$AR36),0,Schweine_Werte!$I36))</f>
        <v>0</v>
      </c>
      <c r="BK36" s="1713">
        <f>IF(OR($C$48=$AR36,$D$48=$AR36),Schweine_Werte!$I36*0.5,IF(OR($C$48&gt;$AR36,$D$48&lt;$AR36),0,Schweine_Werte!$I36))</f>
        <v>0</v>
      </c>
      <c r="BL36" s="1713">
        <f>IF(OR($C$60=$AR36,$D$60=$AR36),Schweine_Werte!$I36*0.5,IF(OR($C$60&gt;$AR36,$D$60&lt;$AR36),0,Schweine_Werte!$I36))</f>
        <v>0</v>
      </c>
      <c r="BM36" s="1710">
        <f>IF(OR($C$12=$AR36,$D$12=$AR36),Schweine_Werte!$K36*0.5,IF(OR($C$12&gt;$AR36,$D$12&lt;$AR36),0,Schweine_Werte!$K36))</f>
        <v>0</v>
      </c>
      <c r="BN36" s="1713">
        <f>IF(OR($C$24=$AR36,$D$24=$AR36),Schweine_Werte!$K36*0.5,IF(OR($C$24&gt;$AR36,$D$24&lt;$AR36),0,Schweine_Werte!$K36))</f>
        <v>0</v>
      </c>
      <c r="BO36" s="1713">
        <f>IF(OR($C$36=$AR36,$D$36=$AR36),Schweine_Werte!$K36*0.5,IF(OR($C$36&gt;$AR36,$D$36&lt;$AR36),0,Schweine_Werte!$K36))</f>
        <v>0</v>
      </c>
      <c r="BP36" s="1713">
        <f>IF(OR($C$48=$AR36,$D$48=$AR36),Schweine_Werte!$K36*0.5,IF(OR($C$48&gt;$AR36,$D$48&lt;$AR36),0,Schweine_Werte!$K36))</f>
        <v>0</v>
      </c>
      <c r="BQ36" s="1713">
        <f>IF(OR($C$60=$AR36,$D$60=$AR36),Schweine_Werte!$K36*0.5,IF(OR($C$60&gt;$AR36,$D$60&lt;$AR36),0,Schweine_Werte!$K36))</f>
        <v>0</v>
      </c>
      <c r="BR36" s="1710">
        <f>IF(OR($C$74=$AR36,$D$74=$AR36),Schweine_Werte!$M36*0.5,IF(OR($C$74&gt;$AR36,$D$74&lt;$AR36),0,Schweine_Werte!$M36))</f>
        <v>0</v>
      </c>
      <c r="BS36" s="1710">
        <f>IF(OR($C$83=$AR36,$D$83=$AR36),Schweine_Werte!$M36*0.5,IF(OR($C$83&gt;$AR36,$D$83&lt;$AR36),0,Schweine_Werte!$M36))</f>
        <v>0</v>
      </c>
      <c r="BT36" s="1714">
        <f>IF(OR($C$92=$AR36,$D$92=$AR36),Schweine_Werte!$M36*0.5,IF(OR($C$92&gt;$AR36,$D$92&lt;$AR36),0,Schweine_Werte!$M36))</f>
        <v>0</v>
      </c>
      <c r="BU36" s="1714">
        <f>IF(OR($C$101=$AR36,$D$101=$AR36),Schweine_Werte!$M36*0.5,IF(OR($C$101&gt;$AR36,$D$101&lt;$AR36),0,Schweine_Werte!$M36))</f>
        <v>0</v>
      </c>
      <c r="BV36" s="1714">
        <f>IF(OR($C$110=$AR36,$D$110=$AR36),Schweine_Werte!$M36*0.5,IF(OR($C$110&gt;$AR36,$D$110&lt;$AR36),0,Schweine_Werte!$M36))</f>
        <v>0</v>
      </c>
      <c r="BW36" s="1714">
        <f>IF(OR(8=$AR36,$E$127=$AR36),Schweine_Werte!$M36*0.5,IF(OR(8&gt;$AR36,$E$127&lt;$AR36),0,Schweine_Werte!$M36))</f>
        <v>1.3346726601939383</v>
      </c>
      <c r="BX36" s="1714">
        <f>IF(OR(8=$AR36,$E$145=$AR36),Schweine_Werte!$M36*0.5,IF(OR(8&gt;$AR36,$E$145&lt;$AR36),0,Schweine_Werte!$M36))</f>
        <v>1.3346726601939383</v>
      </c>
      <c r="BY36" s="1710">
        <f>IF(OR($C$74=$AR36,$D$74=$AR36),Schweine_Werte!$O36*0.5,IF(OR($C$74&gt;$AR36,$D$74&lt;$AR36),0,Schweine_Werte!$O36))</f>
        <v>0</v>
      </c>
      <c r="BZ36" s="1710">
        <f>IF(OR($C$83=$AR36,$D$83=$AR36),Schweine_Werte!$O36*0.5,IF(OR($C$83&gt;$AR36,$D$83&lt;$AR36),0,Schweine_Werte!$O36))</f>
        <v>0</v>
      </c>
      <c r="CA36" s="1714">
        <f>IF(OR($C$92=$AR36,$D$92=$AR36),Schweine_Werte!$O36*0.5,IF(OR($C$92&gt;$AR36,$D$92&lt;$AR36),0,Schweine_Werte!$O36))</f>
        <v>0</v>
      </c>
      <c r="CB36" s="1714">
        <f>IF(OR($C$101=$AR36,$D$101=$AR36),Schweine_Werte!$O36*0.5,IF(OR($C$101&gt;$AR36,$D$101&lt;$AR36),0,Schweine_Werte!$O36))</f>
        <v>0</v>
      </c>
      <c r="CC36" s="1714">
        <f>IF(OR($C$110=$AR36,$D$110=$AR36),Schweine_Werte!$O36*0.5,IF(OR($C$110&gt;$AR36,$D$110&lt;$AR36),0,Schweine_Werte!$O36))</f>
        <v>0</v>
      </c>
    </row>
    <row r="37" spans="1:81" x14ac:dyDescent="0.25">
      <c r="AR37" s="1733">
        <v>41</v>
      </c>
      <c r="AS37" s="1710">
        <f>IF(OR($C$12=$AR37,$D$12=$AR37),Schweine_Werte!$C37*0.5,IF(OR($C$12&gt;$AR37,$D$12&lt;$AR37),0,Schweine_Werte!$C37))</f>
        <v>0</v>
      </c>
      <c r="AT37" s="1713">
        <f>IF(OR($C$24=$AR37,$D$24=$AR37),Schweine_Werte!$C37*0.5,IF(OR($C$24&gt;$AR37,$D$24&lt;$AR37),0,Schweine_Werte!$C37))</f>
        <v>0</v>
      </c>
      <c r="AU37" s="1710">
        <f>IF(OR($C$36=$AR37,$D$36=$AR37),Schweine_Werte!$C37*0.5,IF(OR($C$36&gt;$AR37,$D$36&lt;$AR37),0,Schweine_Werte!$C37))</f>
        <v>0</v>
      </c>
      <c r="AV37" s="1710">
        <f>IF(OR($C$48=$AR37,$D$48=$AR37),Schweine_Werte!$C37*0.5,IF(OR($C$48&gt;$AR37,$D$48&lt;$AR37),0,Schweine_Werte!$C37))</f>
        <v>0</v>
      </c>
      <c r="AW37" s="1710">
        <f>IF(OR($C$60=$AR37,$D$60=$AR37),Schweine_Werte!$C37*0.5,IF(OR($C$60&gt;$AR37,$D$60&lt;$AR37),0,Schweine_Werte!$C37))</f>
        <v>0</v>
      </c>
      <c r="AX37" s="1710">
        <f>IF(OR($C$12=$AR37,$D$12=$AR37),Schweine_Werte!$E37*0.5,IF(OR($C$12&gt;$AR37,$D$12&lt;$AR37),0,Schweine_Werte!$E37))</f>
        <v>0</v>
      </c>
      <c r="AY37" s="1713">
        <f>IF(OR($C$24=$AR37,$D$24=$AR37),Schweine_Werte!$E37*0.5,IF(OR($C$24&gt;$AR37,$D$24&lt;$AR37),0,Schweine_Werte!$E37))</f>
        <v>0</v>
      </c>
      <c r="AZ37" s="1713">
        <f>IF(OR($C$36=$AR37,$D$36=$AR37),Schweine_Werte!$E37*0.5,IF(OR($C$36&gt;$AR37,$D$36&lt;$AR37),0,Schweine_Werte!$E37))</f>
        <v>0</v>
      </c>
      <c r="BA37" s="1713">
        <f>IF(OR($C$48=$AR37,$D$48=$AR37),Schweine_Werte!$E37*0.5,IF(OR($C$48&gt;$AR37,$D$48&lt;$AR37),0,Schweine_Werte!$E37))</f>
        <v>0</v>
      </c>
      <c r="BB37" s="1713">
        <f>IF(OR($C$60=$AR37,$D$60=$AR37),Schweine_Werte!$E37*0.5,IF(OR($C$60&gt;$AR37,$D$60&lt;$AR37),0,Schweine_Werte!$E37))</f>
        <v>0</v>
      </c>
      <c r="BC37" s="1710">
        <f>IF(OR($C$12=$AR37,$D$12=$AR37),Schweine_Werte!$G37*0.5,IF(OR($C$12&gt;$AR37,$D$12&lt;$AR37),0,Schweine_Werte!$G37))</f>
        <v>0</v>
      </c>
      <c r="BD37" s="1713">
        <f>IF(OR($C$24=$AR37,$D$24=$AR37),Schweine_Werte!$G37*0.5,IF(OR($C$24&gt;$AR37,$D$24&lt;$AR37),0,Schweine_Werte!$G37))</f>
        <v>0</v>
      </c>
      <c r="BE37" s="1713">
        <f>IF(OR($C$36=$AR37,$D$36=$AR37),Schweine_Werte!$G37*0.5,IF(OR($C$36&gt;$AR37,$D$36&lt;$AR37),0,Schweine_Werte!$G37))</f>
        <v>0</v>
      </c>
      <c r="BF37" s="1713">
        <f>IF(OR($C$48=$AR37,$D$48=$AR37),Schweine_Werte!$G37*0.5,IF(OR($C$48&gt;$AR37,$D$48&lt;$AR37),0,Schweine_Werte!$G37))</f>
        <v>0</v>
      </c>
      <c r="BG37" s="1713">
        <f>IF(OR($C$60=$AR37,$D$60=$AR37),Schweine_Werte!$G37*0.5,IF(OR($C$60&gt;$AR37,$D$60&lt;$AR37),0,Schweine_Werte!$G37))</f>
        <v>0</v>
      </c>
      <c r="BH37" s="1710">
        <f>IF(OR($C$12=$AR37,$D$12=$AR37),Schweine_Werte!$I37*0.5,IF(OR($C$12&gt;$AR37,$D$12&lt;$AR37),0,Schweine_Werte!$I37))</f>
        <v>0</v>
      </c>
      <c r="BI37" s="1713">
        <f>IF(OR($C$24=$AR37,$D$24=$AR37),Schweine_Werte!$I37*0.5,IF(OR($C$24&gt;$AR37,$D$24&lt;$AR37),0,Schweine_Werte!$I37))</f>
        <v>0</v>
      </c>
      <c r="BJ37" s="1713">
        <f>IF(OR($C$36=$AR37,$D$36=$AR37),Schweine_Werte!$I37*0.5,IF(OR($C$36&gt;$AR37,$D$36&lt;$AR37),0,Schweine_Werte!$I37))</f>
        <v>0</v>
      </c>
      <c r="BK37" s="1713">
        <f>IF(OR($C$48=$AR37,$D$48=$AR37),Schweine_Werte!$I37*0.5,IF(OR($C$48&gt;$AR37,$D$48&lt;$AR37),0,Schweine_Werte!$I37))</f>
        <v>0</v>
      </c>
      <c r="BL37" s="1713">
        <f>IF(OR($C$60=$AR37,$D$60=$AR37),Schweine_Werte!$I37*0.5,IF(OR($C$60&gt;$AR37,$D$60&lt;$AR37),0,Schweine_Werte!$I37))</f>
        <v>0</v>
      </c>
      <c r="BM37" s="1710">
        <f>IF(OR($C$12=$AR37,$D$12=$AR37),Schweine_Werte!$K37*0.5,IF(OR($C$12&gt;$AR37,$D$12&lt;$AR37),0,Schweine_Werte!$K37))</f>
        <v>0</v>
      </c>
      <c r="BN37" s="1713">
        <f>IF(OR($C$24=$AR37,$D$24=$AR37),Schweine_Werte!$K37*0.5,IF(OR($C$24&gt;$AR37,$D$24&lt;$AR37),0,Schweine_Werte!$K37))</f>
        <v>0</v>
      </c>
      <c r="BO37" s="1713">
        <f>IF(OR($C$36=$AR37,$D$36=$AR37),Schweine_Werte!$K37*0.5,IF(OR($C$36&gt;$AR37,$D$36&lt;$AR37),0,Schweine_Werte!$K37))</f>
        <v>0</v>
      </c>
      <c r="BP37" s="1713">
        <f>IF(OR($C$48=$AR37,$D$48=$AR37),Schweine_Werte!$K37*0.5,IF(OR($C$48&gt;$AR37,$D$48&lt;$AR37),0,Schweine_Werte!$K37))</f>
        <v>0</v>
      </c>
      <c r="BQ37" s="1713">
        <f>IF(OR($C$60=$AR37,$D$60=$AR37),Schweine_Werte!$K37*0.5,IF(OR($C$60&gt;$AR37,$D$60&lt;$AR37),0,Schweine_Werte!$K37))</f>
        <v>0</v>
      </c>
      <c r="BR37" s="1710">
        <f>IF(OR($C$74=$AR37,$D$74=$AR37),Schweine_Werte!$M37*0.5,IF(OR($C$74&gt;$AR37,$D$74&lt;$AR37),0,Schweine_Werte!$M37))</f>
        <v>0</v>
      </c>
      <c r="BS37" s="1710">
        <f>IF(OR($C$83=$AR37,$D$83=$AR37),Schweine_Werte!$M37*0.5,IF(OR($C$83&gt;$AR37,$D$83&lt;$AR37),0,Schweine_Werte!$M37))</f>
        <v>0</v>
      </c>
      <c r="BT37" s="1714">
        <f>IF(OR($C$92=$AR37,$D$92=$AR37),Schweine_Werte!$M37*0.5,IF(OR($C$92&gt;$AR37,$D$92&lt;$AR37),0,Schweine_Werte!$M37))</f>
        <v>0</v>
      </c>
      <c r="BU37" s="1714">
        <f>IF(OR($C$101=$AR37,$D$101=$AR37),Schweine_Werte!$M37*0.5,IF(OR($C$101&gt;$AR37,$D$101&lt;$AR37),0,Schweine_Werte!$M37))</f>
        <v>0</v>
      </c>
      <c r="BV37" s="1714">
        <f>IF(OR($C$110=$AR37,$D$110=$AR37),Schweine_Werte!$M37*0.5,IF(OR($C$110&gt;$AR37,$D$110&lt;$AR37),0,Schweine_Werte!$M37))</f>
        <v>0</v>
      </c>
      <c r="BW37" s="1714">
        <f>IF(OR(8=$AR37,$E$127=$AR37),Schweine_Werte!$M37*0.5,IF(OR(8&gt;$AR37,$E$127&lt;$AR37),0,Schweine_Werte!$M37))</f>
        <v>1.318079145127627</v>
      </c>
      <c r="BX37" s="1714">
        <f>IF(OR(8=$AR37,$E$145=$AR37),Schweine_Werte!$M37*0.5,IF(OR(8&gt;$AR37,$E$145&lt;$AR37),0,Schweine_Werte!$M37))</f>
        <v>1.318079145127627</v>
      </c>
      <c r="BY37" s="1710">
        <f>IF(OR($C$74=$AR37,$D$74=$AR37),Schweine_Werte!$O37*0.5,IF(OR($C$74&gt;$AR37,$D$74&lt;$AR37),0,Schweine_Werte!$O37))</f>
        <v>0</v>
      </c>
      <c r="BZ37" s="1710">
        <f>IF(OR($C$83=$AR37,$D$83=$AR37),Schweine_Werte!$O37*0.5,IF(OR($C$83&gt;$AR37,$D$83&lt;$AR37),0,Schweine_Werte!$O37))</f>
        <v>0</v>
      </c>
      <c r="CA37" s="1714">
        <f>IF(OR($C$92=$AR37,$D$92=$AR37),Schweine_Werte!$O37*0.5,IF(OR($C$92&gt;$AR37,$D$92&lt;$AR37),0,Schweine_Werte!$O37))</f>
        <v>0</v>
      </c>
      <c r="CB37" s="1714">
        <f>IF(OR($C$101=$AR37,$D$101=$AR37),Schweine_Werte!$O37*0.5,IF(OR($C$101&gt;$AR37,$D$101&lt;$AR37),0,Schweine_Werte!$O37))</f>
        <v>0</v>
      </c>
      <c r="CC37" s="1714">
        <f>IF(OR($C$110=$AR37,$D$110=$AR37),Schweine_Werte!$O37*0.5,IF(OR($C$110&gt;$AR37,$D$110&lt;$AR37),0,Schweine_Werte!$O37))</f>
        <v>0</v>
      </c>
    </row>
    <row r="38" spans="1:81" ht="18.75" x14ac:dyDescent="0.3">
      <c r="H38" s="1698"/>
      <c r="I38" s="1698"/>
      <c r="L38" s="1699" t="s">
        <v>8543</v>
      </c>
      <c r="W38" s="3251" t="s">
        <v>8544</v>
      </c>
      <c r="X38" s="3251"/>
      <c r="Y38" s="3251"/>
      <c r="AR38" s="1733">
        <v>42</v>
      </c>
      <c r="AS38" s="1710">
        <f>IF(OR($C$12=$AR38,$D$12=$AR38),Schweine_Werte!$C38*0.5,IF(OR($C$12&gt;$AR38,$D$12&lt;$AR38),0,Schweine_Werte!$C38))</f>
        <v>0</v>
      </c>
      <c r="AT38" s="1713">
        <f>IF(OR($C$24=$AR38,$D$24=$AR38),Schweine_Werte!$C38*0.5,IF(OR($C$24&gt;$AR38,$D$24&lt;$AR38),0,Schweine_Werte!$C38))</f>
        <v>0</v>
      </c>
      <c r="AU38" s="1710">
        <f>IF(OR($C$36=$AR38,$D$36=$AR38),Schweine_Werte!$C38*0.5,IF(OR($C$36&gt;$AR38,$D$36&lt;$AR38),0,Schweine_Werte!$C38))</f>
        <v>0</v>
      </c>
      <c r="AV38" s="1710">
        <f>IF(OR($C$48=$AR38,$D$48=$AR38),Schweine_Werte!$C38*0.5,IF(OR($C$48&gt;$AR38,$D$48&lt;$AR38),0,Schweine_Werte!$C38))</f>
        <v>0</v>
      </c>
      <c r="AW38" s="1710">
        <f>IF(OR($C$60=$AR38,$D$60=$AR38),Schweine_Werte!$C38*0.5,IF(OR($C$60&gt;$AR38,$D$60&lt;$AR38),0,Schweine_Werte!$C38))</f>
        <v>0</v>
      </c>
      <c r="AX38" s="1710">
        <f>IF(OR($C$12=$AR38,$D$12=$AR38),Schweine_Werte!$E38*0.5,IF(OR($C$12&gt;$AR38,$D$12&lt;$AR38),0,Schweine_Werte!$E38))</f>
        <v>0</v>
      </c>
      <c r="AY38" s="1713">
        <f>IF(OR($C$24=$AR38,$D$24=$AR38),Schweine_Werte!$E38*0.5,IF(OR($C$24&gt;$AR38,$D$24&lt;$AR38),0,Schweine_Werte!$E38))</f>
        <v>0</v>
      </c>
      <c r="AZ38" s="1713">
        <f>IF(OR($C$36=$AR38,$D$36=$AR38),Schweine_Werte!$E38*0.5,IF(OR($C$36&gt;$AR38,$D$36&lt;$AR38),0,Schweine_Werte!$E38))</f>
        <v>0</v>
      </c>
      <c r="BA38" s="1713">
        <f>IF(OR($C$48=$AR38,$D$48=$AR38),Schweine_Werte!$E38*0.5,IF(OR($C$48&gt;$AR38,$D$48&lt;$AR38),0,Schweine_Werte!$E38))</f>
        <v>0</v>
      </c>
      <c r="BB38" s="1713">
        <f>IF(OR($C$60=$AR38,$D$60=$AR38),Schweine_Werte!$E38*0.5,IF(OR($C$60&gt;$AR38,$D$60&lt;$AR38),0,Schweine_Werte!$E38))</f>
        <v>0</v>
      </c>
      <c r="BC38" s="1710">
        <f>IF(OR($C$12=$AR38,$D$12=$AR38),Schweine_Werte!$G38*0.5,IF(OR($C$12&gt;$AR38,$D$12&lt;$AR38),0,Schweine_Werte!$G38))</f>
        <v>0</v>
      </c>
      <c r="BD38" s="1713">
        <f>IF(OR($C$24=$AR38,$D$24=$AR38),Schweine_Werte!$G38*0.5,IF(OR($C$24&gt;$AR38,$D$24&lt;$AR38),0,Schweine_Werte!$G38))</f>
        <v>0</v>
      </c>
      <c r="BE38" s="1713">
        <f>IF(OR($C$36=$AR38,$D$36=$AR38),Schweine_Werte!$G38*0.5,IF(OR($C$36&gt;$AR38,$D$36&lt;$AR38),0,Schweine_Werte!$G38))</f>
        <v>0</v>
      </c>
      <c r="BF38" s="1713">
        <f>IF(OR($C$48=$AR38,$D$48=$AR38),Schweine_Werte!$G38*0.5,IF(OR($C$48&gt;$AR38,$D$48&lt;$AR38),0,Schweine_Werte!$G38))</f>
        <v>0</v>
      </c>
      <c r="BG38" s="1713">
        <f>IF(OR($C$60=$AR38,$D$60=$AR38),Schweine_Werte!$G38*0.5,IF(OR($C$60&gt;$AR38,$D$60&lt;$AR38),0,Schweine_Werte!$G38))</f>
        <v>0</v>
      </c>
      <c r="BH38" s="1710">
        <f>IF(OR($C$12=$AR38,$D$12=$AR38),Schweine_Werte!$I38*0.5,IF(OR($C$12&gt;$AR38,$D$12&lt;$AR38),0,Schweine_Werte!$I38))</f>
        <v>0</v>
      </c>
      <c r="BI38" s="1713">
        <f>IF(OR($C$24=$AR38,$D$24=$AR38),Schweine_Werte!$I38*0.5,IF(OR($C$24&gt;$AR38,$D$24&lt;$AR38),0,Schweine_Werte!$I38))</f>
        <v>0</v>
      </c>
      <c r="BJ38" s="1713">
        <f>IF(OR($C$36=$AR38,$D$36=$AR38),Schweine_Werte!$I38*0.5,IF(OR($C$36&gt;$AR38,$D$36&lt;$AR38),0,Schweine_Werte!$I38))</f>
        <v>0</v>
      </c>
      <c r="BK38" s="1713">
        <f>IF(OR($C$48=$AR38,$D$48=$AR38),Schweine_Werte!$I38*0.5,IF(OR($C$48&gt;$AR38,$D$48&lt;$AR38),0,Schweine_Werte!$I38))</f>
        <v>0</v>
      </c>
      <c r="BL38" s="1713">
        <f>IF(OR($C$60=$AR38,$D$60=$AR38),Schweine_Werte!$I38*0.5,IF(OR($C$60&gt;$AR38,$D$60&lt;$AR38),0,Schweine_Werte!$I38))</f>
        <v>0</v>
      </c>
      <c r="BM38" s="1710">
        <f>IF(OR($C$12=$AR38,$D$12=$AR38),Schweine_Werte!$K38*0.5,IF(OR($C$12&gt;$AR38,$D$12&lt;$AR38),0,Schweine_Werte!$K38))</f>
        <v>0</v>
      </c>
      <c r="BN38" s="1713">
        <f>IF(OR($C$24=$AR38,$D$24=$AR38),Schweine_Werte!$K38*0.5,IF(OR($C$24&gt;$AR38,$D$24&lt;$AR38),0,Schweine_Werte!$K38))</f>
        <v>0</v>
      </c>
      <c r="BO38" s="1713">
        <f>IF(OR($C$36=$AR38,$D$36=$AR38),Schweine_Werte!$K38*0.5,IF(OR($C$36&gt;$AR38,$D$36&lt;$AR38),0,Schweine_Werte!$K38))</f>
        <v>0</v>
      </c>
      <c r="BP38" s="1713">
        <f>IF(OR($C$48=$AR38,$D$48=$AR38),Schweine_Werte!$K38*0.5,IF(OR($C$48&gt;$AR38,$D$48&lt;$AR38),0,Schweine_Werte!$K38))</f>
        <v>0</v>
      </c>
      <c r="BQ38" s="1713">
        <f>IF(OR($C$60=$AR38,$D$60=$AR38),Schweine_Werte!$K38*0.5,IF(OR($C$60&gt;$AR38,$D$60&lt;$AR38),0,Schweine_Werte!$K38))</f>
        <v>0</v>
      </c>
      <c r="BR38" s="1710">
        <f>IF(OR($C$74=$AR38,$D$74=$AR38),Schweine_Werte!$M38*0.5,IF(OR($C$74&gt;$AR38,$D$74&lt;$AR38),0,Schweine_Werte!$M38))</f>
        <v>0</v>
      </c>
      <c r="BS38" s="1710">
        <f>IF(OR($C$83=$AR38,$D$83=$AR38),Schweine_Werte!$M38*0.5,IF(OR($C$83&gt;$AR38,$D$83&lt;$AR38),0,Schweine_Werte!$M38))</f>
        <v>0</v>
      </c>
      <c r="BT38" s="1714">
        <f>IF(OR($C$92=$AR38,$D$92=$AR38),Schweine_Werte!$M38*0.5,IF(OR($C$92&gt;$AR38,$D$92&lt;$AR38),0,Schweine_Werte!$M38))</f>
        <v>0</v>
      </c>
      <c r="BU38" s="1714">
        <f>IF(OR($C$101=$AR38,$D$101=$AR38),Schweine_Werte!$M38*0.5,IF(OR($C$101&gt;$AR38,$D$101&lt;$AR38),0,Schweine_Werte!$M38))</f>
        <v>0</v>
      </c>
      <c r="BV38" s="1714">
        <f>IF(OR($C$110=$AR38,$D$110=$AR38),Schweine_Werte!$M38*0.5,IF(OR($C$110&gt;$AR38,$D$110&lt;$AR38),0,Schweine_Werte!$M38))</f>
        <v>0</v>
      </c>
      <c r="BW38" s="1714">
        <f>IF(OR(8=$AR38,$E$127=$AR38),Schweine_Werte!$M38*0.5,IF(OR(8&gt;$AR38,$E$127&lt;$AR38),0,Schweine_Werte!$M38))</f>
        <v>1.3023868779742263</v>
      </c>
      <c r="BX38" s="1714">
        <f>IF(OR(8=$AR38,$E$145=$AR38),Schweine_Werte!$M38*0.5,IF(OR(8&gt;$AR38,$E$145&lt;$AR38),0,Schweine_Werte!$M38))</f>
        <v>1.3023868779742263</v>
      </c>
      <c r="BY38" s="1710">
        <f>IF(OR($C$74=$AR38,$D$74=$AR38),Schweine_Werte!$O38*0.5,IF(OR($C$74&gt;$AR38,$D$74&lt;$AR38),0,Schweine_Werte!$O38))</f>
        <v>0</v>
      </c>
      <c r="BZ38" s="1710">
        <f>IF(OR($C$83=$AR38,$D$83=$AR38),Schweine_Werte!$O38*0.5,IF(OR($C$83&gt;$AR38,$D$83&lt;$AR38),0,Schweine_Werte!$O38))</f>
        <v>0</v>
      </c>
      <c r="CA38" s="1714">
        <f>IF(OR($C$92=$AR38,$D$92=$AR38),Schweine_Werte!$O38*0.5,IF(OR($C$92&gt;$AR38,$D$92&lt;$AR38),0,Schweine_Werte!$O38))</f>
        <v>0</v>
      </c>
      <c r="CB38" s="1714">
        <f>IF(OR($C$101=$AR38,$D$101=$AR38),Schweine_Werte!$O38*0.5,IF(OR($C$101&gt;$AR38,$D$101&lt;$AR38),0,Schweine_Werte!$O38))</f>
        <v>0</v>
      </c>
      <c r="CC38" s="1714">
        <f>IF(OR($C$110=$AR38,$D$110=$AR38),Schweine_Werte!$O38*0.5,IF(OR($C$110&gt;$AR38,$D$110&lt;$AR38),0,Schweine_Werte!$O38))</f>
        <v>0</v>
      </c>
    </row>
    <row r="39" spans="1:81" ht="18.75" x14ac:dyDescent="0.3">
      <c r="B39" s="1702"/>
      <c r="C39" s="1702"/>
      <c r="D39" s="1702"/>
      <c r="E39" s="1702"/>
      <c r="F39" s="1702"/>
      <c r="G39" s="1702"/>
      <c r="H39" s="1703"/>
      <c r="L39" s="1685" t="s">
        <v>234</v>
      </c>
      <c r="Q39" s="3251" t="s">
        <v>8546</v>
      </c>
      <c r="R39" s="3251"/>
      <c r="S39" s="3251"/>
      <c r="T39" s="3251" t="s">
        <v>8547</v>
      </c>
      <c r="U39" s="3251"/>
      <c r="V39" s="3251"/>
      <c r="W39" s="1685" t="s">
        <v>8548</v>
      </c>
      <c r="X39" s="1685" t="s">
        <v>8549</v>
      </c>
      <c r="Y39" s="1685" t="s">
        <v>8550</v>
      </c>
      <c r="Z39" s="1685" t="s">
        <v>8551</v>
      </c>
      <c r="AG39" s="1685" t="s">
        <v>8552</v>
      </c>
      <c r="AJ39" s="1685" t="s">
        <v>8553</v>
      </c>
      <c r="AR39" s="1733">
        <v>43</v>
      </c>
      <c r="AS39" s="1710">
        <f>IF(OR($C$12=$AR39,$D$12=$AR39),Schweine_Werte!$C39*0.5,IF(OR($C$12&gt;$AR39,$D$12&lt;$AR39),0,Schweine_Werte!$C39))</f>
        <v>0</v>
      </c>
      <c r="AT39" s="1713">
        <f>IF(OR($C$24=$AR39,$D$24=$AR39),Schweine_Werte!$C39*0.5,IF(OR($C$24&gt;$AR39,$D$24&lt;$AR39),0,Schweine_Werte!$C39))</f>
        <v>0</v>
      </c>
      <c r="AU39" s="1710">
        <f>IF(OR($C$36=$AR39,$D$36=$AR39),Schweine_Werte!$C39*0.5,IF(OR($C$36&gt;$AR39,$D$36&lt;$AR39),0,Schweine_Werte!$C39))</f>
        <v>0</v>
      </c>
      <c r="AV39" s="1710">
        <f>IF(OR($C$48=$AR39,$D$48=$AR39),Schweine_Werte!$C39*0.5,IF(OR($C$48&gt;$AR39,$D$48&lt;$AR39),0,Schweine_Werte!$C39))</f>
        <v>0</v>
      </c>
      <c r="AW39" s="1710">
        <f>IF(OR($C$60=$AR39,$D$60=$AR39),Schweine_Werte!$C39*0.5,IF(OR($C$60&gt;$AR39,$D$60&lt;$AR39),0,Schweine_Werte!$C39))</f>
        <v>0</v>
      </c>
      <c r="AX39" s="1710">
        <f>IF(OR($C$12=$AR39,$D$12=$AR39),Schweine_Werte!$E39*0.5,IF(OR($C$12&gt;$AR39,$D$12&lt;$AR39),0,Schweine_Werte!$E39))</f>
        <v>0</v>
      </c>
      <c r="AY39" s="1713">
        <f>IF(OR($C$24=$AR39,$D$24=$AR39),Schweine_Werte!$E39*0.5,IF(OR($C$24&gt;$AR39,$D$24&lt;$AR39),0,Schweine_Werte!$E39))</f>
        <v>0</v>
      </c>
      <c r="AZ39" s="1713">
        <f>IF(OR($C$36=$AR39,$D$36=$AR39),Schweine_Werte!$E39*0.5,IF(OR($C$36&gt;$AR39,$D$36&lt;$AR39),0,Schweine_Werte!$E39))</f>
        <v>0</v>
      </c>
      <c r="BA39" s="1713">
        <f>IF(OR($C$48=$AR39,$D$48=$AR39),Schweine_Werte!$E39*0.5,IF(OR($C$48&gt;$AR39,$D$48&lt;$AR39),0,Schweine_Werte!$E39))</f>
        <v>0</v>
      </c>
      <c r="BB39" s="1713">
        <f>IF(OR($C$60=$AR39,$D$60=$AR39),Schweine_Werte!$E39*0.5,IF(OR($C$60&gt;$AR39,$D$60&lt;$AR39),0,Schweine_Werte!$E39))</f>
        <v>0</v>
      </c>
      <c r="BC39" s="1710">
        <f>IF(OR($C$12=$AR39,$D$12=$AR39),Schweine_Werte!$G39*0.5,IF(OR($C$12&gt;$AR39,$D$12&lt;$AR39),0,Schweine_Werte!$G39))</f>
        <v>0</v>
      </c>
      <c r="BD39" s="1713">
        <f>IF(OR($C$24=$AR39,$D$24=$AR39),Schweine_Werte!$G39*0.5,IF(OR($C$24&gt;$AR39,$D$24&lt;$AR39),0,Schweine_Werte!$G39))</f>
        <v>0</v>
      </c>
      <c r="BE39" s="1713">
        <f>IF(OR($C$36=$AR39,$D$36=$AR39),Schweine_Werte!$G39*0.5,IF(OR($C$36&gt;$AR39,$D$36&lt;$AR39),0,Schweine_Werte!$G39))</f>
        <v>0</v>
      </c>
      <c r="BF39" s="1713">
        <f>IF(OR($C$48=$AR39,$D$48=$AR39),Schweine_Werte!$G39*0.5,IF(OR($C$48&gt;$AR39,$D$48&lt;$AR39),0,Schweine_Werte!$G39))</f>
        <v>0</v>
      </c>
      <c r="BG39" s="1713">
        <f>IF(OR($C$60=$AR39,$D$60=$AR39),Schweine_Werte!$G39*0.5,IF(OR($C$60&gt;$AR39,$D$60&lt;$AR39),0,Schweine_Werte!$G39))</f>
        <v>0</v>
      </c>
      <c r="BH39" s="1710">
        <f>IF(OR($C$12=$AR39,$D$12=$AR39),Schweine_Werte!$I39*0.5,IF(OR($C$12&gt;$AR39,$D$12&lt;$AR39),0,Schweine_Werte!$I39))</f>
        <v>0</v>
      </c>
      <c r="BI39" s="1713">
        <f>IF(OR($C$24=$AR39,$D$24=$AR39),Schweine_Werte!$I39*0.5,IF(OR($C$24&gt;$AR39,$D$24&lt;$AR39),0,Schweine_Werte!$I39))</f>
        <v>0</v>
      </c>
      <c r="BJ39" s="1713">
        <f>IF(OR($C$36=$AR39,$D$36=$AR39),Schweine_Werte!$I39*0.5,IF(OR($C$36&gt;$AR39,$D$36&lt;$AR39),0,Schweine_Werte!$I39))</f>
        <v>0</v>
      </c>
      <c r="BK39" s="1713">
        <f>IF(OR($C$48=$AR39,$D$48=$AR39),Schweine_Werte!$I39*0.5,IF(OR($C$48&gt;$AR39,$D$48&lt;$AR39),0,Schweine_Werte!$I39))</f>
        <v>0</v>
      </c>
      <c r="BL39" s="1713">
        <f>IF(OR($C$60=$AR39,$D$60=$AR39),Schweine_Werte!$I39*0.5,IF(OR($C$60&gt;$AR39,$D$60&lt;$AR39),0,Schweine_Werte!$I39))</f>
        <v>0</v>
      </c>
      <c r="BM39" s="1710">
        <f>IF(OR($C$12=$AR39,$D$12=$AR39),Schweine_Werte!$K39*0.5,IF(OR($C$12&gt;$AR39,$D$12&lt;$AR39),0,Schweine_Werte!$K39))</f>
        <v>0</v>
      </c>
      <c r="BN39" s="1713">
        <f>IF(OR($C$24=$AR39,$D$24=$AR39),Schweine_Werte!$K39*0.5,IF(OR($C$24&gt;$AR39,$D$24&lt;$AR39),0,Schweine_Werte!$K39))</f>
        <v>0</v>
      </c>
      <c r="BO39" s="1713">
        <f>IF(OR($C$36=$AR39,$D$36=$AR39),Schweine_Werte!$K39*0.5,IF(OR($C$36&gt;$AR39,$D$36&lt;$AR39),0,Schweine_Werte!$K39))</f>
        <v>0</v>
      </c>
      <c r="BP39" s="1713">
        <f>IF(OR($C$48=$AR39,$D$48=$AR39),Schweine_Werte!$K39*0.5,IF(OR($C$48&gt;$AR39,$D$48&lt;$AR39),0,Schweine_Werte!$K39))</f>
        <v>0</v>
      </c>
      <c r="BQ39" s="1713">
        <f>IF(OR($C$60=$AR39,$D$60=$AR39),Schweine_Werte!$K39*0.5,IF(OR($C$60&gt;$AR39,$D$60&lt;$AR39),0,Schweine_Werte!$K39))</f>
        <v>0</v>
      </c>
      <c r="BR39" s="1710">
        <f>IF(OR($C$74=$AR39,$D$74=$AR39),Schweine_Werte!$M39*0.5,IF(OR($C$74&gt;$AR39,$D$74&lt;$AR39),0,Schweine_Werte!$M39))</f>
        <v>0</v>
      </c>
      <c r="BS39" s="1710">
        <f>IF(OR($C$83=$AR39,$D$83=$AR39),Schweine_Werte!$M39*0.5,IF(OR($C$83&gt;$AR39,$D$83&lt;$AR39),0,Schweine_Werte!$M39))</f>
        <v>0</v>
      </c>
      <c r="BT39" s="1714">
        <f>IF(OR($C$92=$AR39,$D$92=$AR39),Schweine_Werte!$M39*0.5,IF(OR($C$92&gt;$AR39,$D$92&lt;$AR39),0,Schweine_Werte!$M39))</f>
        <v>0</v>
      </c>
      <c r="BU39" s="1714">
        <f>IF(OR($C$101=$AR39,$D$101=$AR39),Schweine_Werte!$M39*0.5,IF(OR($C$101&gt;$AR39,$D$101&lt;$AR39),0,Schweine_Werte!$M39))</f>
        <v>0</v>
      </c>
      <c r="BV39" s="1714">
        <f>IF(OR($C$110=$AR39,$D$110=$AR39),Schweine_Werte!$M39*0.5,IF(OR($C$110&gt;$AR39,$D$110&lt;$AR39),0,Schweine_Werte!$M39))</f>
        <v>0</v>
      </c>
      <c r="BW39" s="1714">
        <f>IF(OR(8=$AR39,$E$127=$AR39),Schweine_Werte!$M39*0.5,IF(OR(8&gt;$AR39,$E$127&lt;$AR39),0,Schweine_Werte!$M39))</f>
        <v>1.2875469860865005</v>
      </c>
      <c r="BX39" s="1714">
        <f>IF(OR(8=$AR39,$E$145=$AR39),Schweine_Werte!$M39*0.5,IF(OR(8&gt;$AR39,$E$145&lt;$AR39),0,Schweine_Werte!$M39))</f>
        <v>1.2875469860865005</v>
      </c>
      <c r="BY39" s="1710">
        <f>IF(OR($C$74=$AR39,$D$74=$AR39),Schweine_Werte!$O39*0.5,IF(OR($C$74&gt;$AR39,$D$74&lt;$AR39),0,Schweine_Werte!$O39))</f>
        <v>0</v>
      </c>
      <c r="BZ39" s="1710">
        <f>IF(OR($C$83=$AR39,$D$83=$AR39),Schweine_Werte!$O39*0.5,IF(OR($C$83&gt;$AR39,$D$83&lt;$AR39),0,Schweine_Werte!$O39))</f>
        <v>0</v>
      </c>
      <c r="CA39" s="1714">
        <f>IF(OR($C$92=$AR39,$D$92=$AR39),Schweine_Werte!$O39*0.5,IF(OR($C$92&gt;$AR39,$D$92&lt;$AR39),0,Schweine_Werte!$O39))</f>
        <v>0</v>
      </c>
      <c r="CB39" s="1714">
        <f>IF(OR($C$101=$AR39,$D$101=$AR39),Schweine_Werte!$O39*0.5,IF(OR($C$101&gt;$AR39,$D$101&lt;$AR39),0,Schweine_Werte!$O39))</f>
        <v>0</v>
      </c>
      <c r="CC39" s="1714">
        <f>IF(OR($C$110=$AR39,$D$110=$AR39),Schweine_Werte!$O39*0.5,IF(OR($C$110&gt;$AR39,$D$110&lt;$AR39),0,Schweine_Werte!$O39))</f>
        <v>0</v>
      </c>
    </row>
    <row r="40" spans="1:81" x14ac:dyDescent="0.25">
      <c r="B40" t="s">
        <v>8567</v>
      </c>
      <c r="C40"/>
      <c r="D40"/>
      <c r="E40" t="s">
        <v>8568</v>
      </c>
      <c r="F40" t="s">
        <v>195</v>
      </c>
      <c r="G40" t="s">
        <v>8569</v>
      </c>
      <c r="H40" t="s">
        <v>8570</v>
      </c>
      <c r="I40" t="s">
        <v>8571</v>
      </c>
      <c r="J40" t="s">
        <v>8096</v>
      </c>
      <c r="K40" t="s">
        <v>8572</v>
      </c>
      <c r="L40" t="s">
        <v>8573</v>
      </c>
      <c r="M40" t="s">
        <v>8574</v>
      </c>
      <c r="N40" t="s">
        <v>8575</v>
      </c>
      <c r="O40" t="s">
        <v>8576</v>
      </c>
      <c r="P40" t="s">
        <v>8577</v>
      </c>
      <c r="Q40" t="s">
        <v>35</v>
      </c>
      <c r="R40" t="s">
        <v>36</v>
      </c>
      <c r="S40" t="s">
        <v>37</v>
      </c>
      <c r="T40" t="s">
        <v>35</v>
      </c>
      <c r="U40" t="s">
        <v>36</v>
      </c>
      <c r="V40" t="s">
        <v>37</v>
      </c>
      <c r="W40"/>
      <c r="X40"/>
      <c r="Y40"/>
      <c r="Z40"/>
      <c r="AA40"/>
      <c r="AB40"/>
      <c r="AC40"/>
      <c r="AD40"/>
      <c r="AE40"/>
      <c r="AF40"/>
      <c r="AG40"/>
      <c r="AH40"/>
      <c r="AI40"/>
      <c r="AJ40"/>
      <c r="AK40"/>
      <c r="AL40"/>
      <c r="AM40"/>
      <c r="AN40"/>
      <c r="AO40"/>
      <c r="AR40" s="1733">
        <v>44</v>
      </c>
      <c r="AS40" s="1710">
        <f>IF(OR($C$12=$AR40,$D$12=$AR40),Schweine_Werte!$C40*0.5,IF(OR($C$12&gt;$AR40,$D$12&lt;$AR40),0,Schweine_Werte!$C40))</f>
        <v>0</v>
      </c>
      <c r="AT40" s="1713">
        <f>IF(OR($C$24=$AR40,$D$24=$AR40),Schweine_Werte!$C40*0.5,IF(OR($C$24&gt;$AR40,$D$24&lt;$AR40),0,Schweine_Werte!$C40))</f>
        <v>0</v>
      </c>
      <c r="AU40" s="1710">
        <f>IF(OR($C$36=$AR40,$D$36=$AR40),Schweine_Werte!$C40*0.5,IF(OR($C$36&gt;$AR40,$D$36&lt;$AR40),0,Schweine_Werte!$C40))</f>
        <v>0</v>
      </c>
      <c r="AV40" s="1710">
        <f>IF(OR($C$48=$AR40,$D$48=$AR40),Schweine_Werte!$C40*0.5,IF(OR($C$48&gt;$AR40,$D$48&lt;$AR40),0,Schweine_Werte!$C40))</f>
        <v>0</v>
      </c>
      <c r="AW40" s="1710">
        <f>IF(OR($C$60=$AR40,$D$60=$AR40),Schweine_Werte!$C40*0.5,IF(OR($C$60&gt;$AR40,$D$60&lt;$AR40),0,Schweine_Werte!$C40))</f>
        <v>0</v>
      </c>
      <c r="AX40" s="1710">
        <f>IF(OR($C$12=$AR40,$D$12=$AR40),Schweine_Werte!$E40*0.5,IF(OR($C$12&gt;$AR40,$D$12&lt;$AR40),0,Schweine_Werte!$E40))</f>
        <v>0</v>
      </c>
      <c r="AY40" s="1713">
        <f>IF(OR($C$24=$AR40,$D$24=$AR40),Schweine_Werte!$E40*0.5,IF(OR($C$24&gt;$AR40,$D$24&lt;$AR40),0,Schweine_Werte!$E40))</f>
        <v>0</v>
      </c>
      <c r="AZ40" s="1713">
        <f>IF(OR($C$36=$AR40,$D$36=$AR40),Schweine_Werte!$E40*0.5,IF(OR($C$36&gt;$AR40,$D$36&lt;$AR40),0,Schweine_Werte!$E40))</f>
        <v>0</v>
      </c>
      <c r="BA40" s="1713">
        <f>IF(OR($C$48=$AR40,$D$48=$AR40),Schweine_Werte!$E40*0.5,IF(OR($C$48&gt;$AR40,$D$48&lt;$AR40),0,Schweine_Werte!$E40))</f>
        <v>0</v>
      </c>
      <c r="BB40" s="1713">
        <f>IF(OR($C$60=$AR40,$D$60=$AR40),Schweine_Werte!$E40*0.5,IF(OR($C$60&gt;$AR40,$D$60&lt;$AR40),0,Schweine_Werte!$E40))</f>
        <v>0</v>
      </c>
      <c r="BC40" s="1710">
        <f>IF(OR($C$12=$AR40,$D$12=$AR40),Schweine_Werte!$G40*0.5,IF(OR($C$12&gt;$AR40,$D$12&lt;$AR40),0,Schweine_Werte!$G40))</f>
        <v>0</v>
      </c>
      <c r="BD40" s="1713">
        <f>IF(OR($C$24=$AR40,$D$24=$AR40),Schweine_Werte!$G40*0.5,IF(OR($C$24&gt;$AR40,$D$24&lt;$AR40),0,Schweine_Werte!$G40))</f>
        <v>0</v>
      </c>
      <c r="BE40" s="1713">
        <f>IF(OR($C$36=$AR40,$D$36=$AR40),Schweine_Werte!$G40*0.5,IF(OR($C$36&gt;$AR40,$D$36&lt;$AR40),0,Schweine_Werte!$G40))</f>
        <v>0</v>
      </c>
      <c r="BF40" s="1713">
        <f>IF(OR($C$48=$AR40,$D$48=$AR40),Schweine_Werte!$G40*0.5,IF(OR($C$48&gt;$AR40,$D$48&lt;$AR40),0,Schweine_Werte!$G40))</f>
        <v>0</v>
      </c>
      <c r="BG40" s="1713">
        <f>IF(OR($C$60=$AR40,$D$60=$AR40),Schweine_Werte!$G40*0.5,IF(OR($C$60&gt;$AR40,$D$60&lt;$AR40),0,Schweine_Werte!$G40))</f>
        <v>0</v>
      </c>
      <c r="BH40" s="1710">
        <f>IF(OR($C$12=$AR40,$D$12=$AR40),Schweine_Werte!$I40*0.5,IF(OR($C$12&gt;$AR40,$D$12&lt;$AR40),0,Schweine_Werte!$I40))</f>
        <v>0</v>
      </c>
      <c r="BI40" s="1713">
        <f>IF(OR($C$24=$AR40,$D$24=$AR40),Schweine_Werte!$I40*0.5,IF(OR($C$24&gt;$AR40,$D$24&lt;$AR40),0,Schweine_Werte!$I40))</f>
        <v>0</v>
      </c>
      <c r="BJ40" s="1713">
        <f>IF(OR($C$36=$AR40,$D$36=$AR40),Schweine_Werte!$I40*0.5,IF(OR($C$36&gt;$AR40,$D$36&lt;$AR40),0,Schweine_Werte!$I40))</f>
        <v>0</v>
      </c>
      <c r="BK40" s="1713">
        <f>IF(OR($C$48=$AR40,$D$48=$AR40),Schweine_Werte!$I40*0.5,IF(OR($C$48&gt;$AR40,$D$48&lt;$AR40),0,Schweine_Werte!$I40))</f>
        <v>0</v>
      </c>
      <c r="BL40" s="1713">
        <f>IF(OR($C$60=$AR40,$D$60=$AR40),Schweine_Werte!$I40*0.5,IF(OR($C$60&gt;$AR40,$D$60&lt;$AR40),0,Schweine_Werte!$I40))</f>
        <v>0</v>
      </c>
      <c r="BM40" s="1710">
        <f>IF(OR($C$12=$AR40,$D$12=$AR40),Schweine_Werte!$K40*0.5,IF(OR($C$12&gt;$AR40,$D$12&lt;$AR40),0,Schweine_Werte!$K40))</f>
        <v>0</v>
      </c>
      <c r="BN40" s="1713">
        <f>IF(OR($C$24=$AR40,$D$24=$AR40),Schweine_Werte!$K40*0.5,IF(OR($C$24&gt;$AR40,$D$24&lt;$AR40),0,Schweine_Werte!$K40))</f>
        <v>0</v>
      </c>
      <c r="BO40" s="1713">
        <f>IF(OR($C$36=$AR40,$D$36=$AR40),Schweine_Werte!$K40*0.5,IF(OR($C$36&gt;$AR40,$D$36&lt;$AR40),0,Schweine_Werte!$K40))</f>
        <v>0</v>
      </c>
      <c r="BP40" s="1713">
        <f>IF(OR($C$48=$AR40,$D$48=$AR40),Schweine_Werte!$K40*0.5,IF(OR($C$48&gt;$AR40,$D$48&lt;$AR40),0,Schweine_Werte!$K40))</f>
        <v>0</v>
      </c>
      <c r="BQ40" s="1713">
        <f>IF(OR($C$60=$AR40,$D$60=$AR40),Schweine_Werte!$K40*0.5,IF(OR($C$60&gt;$AR40,$D$60&lt;$AR40),0,Schweine_Werte!$K40))</f>
        <v>0</v>
      </c>
      <c r="BR40" s="1710">
        <f>IF(OR($C$74=$AR40,$D$74=$AR40),Schweine_Werte!$M40*0.5,IF(OR($C$74&gt;$AR40,$D$74&lt;$AR40),0,Schweine_Werte!$M40))</f>
        <v>0</v>
      </c>
      <c r="BS40" s="1710">
        <f>IF(OR($C$83=$AR40,$D$83=$AR40),Schweine_Werte!$M40*0.5,IF(OR($C$83&gt;$AR40,$D$83&lt;$AR40),0,Schweine_Werte!$M40))</f>
        <v>0</v>
      </c>
      <c r="BT40" s="1714">
        <f>IF(OR($C$92=$AR40,$D$92=$AR40),Schweine_Werte!$M40*0.5,IF(OR($C$92&gt;$AR40,$D$92&lt;$AR40),0,Schweine_Werte!$M40))</f>
        <v>0</v>
      </c>
      <c r="BU40" s="1714">
        <f>IF(OR($C$101=$AR40,$D$101=$AR40),Schweine_Werte!$M40*0.5,IF(OR($C$101&gt;$AR40,$D$101&lt;$AR40),0,Schweine_Werte!$M40))</f>
        <v>0</v>
      </c>
      <c r="BV40" s="1714">
        <f>IF(OR($C$110=$AR40,$D$110=$AR40),Schweine_Werte!$M40*0.5,IF(OR($C$110&gt;$AR40,$D$110&lt;$AR40),0,Schweine_Werte!$M40))</f>
        <v>0</v>
      </c>
      <c r="BW40" s="1714">
        <f>IF(OR(8=$AR40,$E$127=$AR40),Schweine_Werte!$M40*0.5,IF(OR(8&gt;$AR40,$E$127&lt;$AR40),0,Schweine_Werte!$M40))</f>
        <v>1.2735146886492412</v>
      </c>
      <c r="BX40" s="1714">
        <f>IF(OR(8=$AR40,$E$145=$AR40),Schweine_Werte!$M40*0.5,IF(OR(8&gt;$AR40,$E$145&lt;$AR40),0,Schweine_Werte!$M40))</f>
        <v>1.2735146886492412</v>
      </c>
      <c r="BY40" s="1710">
        <f>IF(OR($C$74=$AR40,$D$74=$AR40),Schweine_Werte!$O40*0.5,IF(OR($C$74&gt;$AR40,$D$74&lt;$AR40),0,Schweine_Werte!$O40))</f>
        <v>0</v>
      </c>
      <c r="BZ40" s="1710">
        <f>IF(OR($C$83=$AR40,$D$83=$AR40),Schweine_Werte!$O40*0.5,IF(OR($C$83&gt;$AR40,$D$83&lt;$AR40),0,Schweine_Werte!$O40))</f>
        <v>0</v>
      </c>
      <c r="CA40" s="1714">
        <f>IF(OR($C$92=$AR40,$D$92=$AR40),Schweine_Werte!$O40*0.5,IF(OR($C$92&gt;$AR40,$D$92&lt;$AR40),0,Schweine_Werte!$O40))</f>
        <v>0</v>
      </c>
      <c r="CB40" s="1714">
        <f>IF(OR($C$101=$AR40,$D$101=$AR40),Schweine_Werte!$O40*0.5,IF(OR($C$101&gt;$AR40,$D$101&lt;$AR40),0,Schweine_Werte!$O40))</f>
        <v>0</v>
      </c>
      <c r="CC40" s="1714">
        <f>IF(OR($C$110=$AR40,$D$110=$AR40),Schweine_Werte!$O40*0.5,IF(OR($C$110&gt;$AR40,$D$110&lt;$AR40),0,Schweine_Werte!$O40))</f>
        <v>0</v>
      </c>
    </row>
    <row r="41" spans="1:81" x14ac:dyDescent="0.25">
      <c r="B41" s="1712">
        <v>700</v>
      </c>
      <c r="C41"/>
      <c r="D41" s="885"/>
      <c r="E41" s="885" t="e">
        <f>($D48-$C48)*1000/SUM($AV$4:$AV$146)</f>
        <v>#VALUE!</v>
      </c>
      <c r="F41" s="885" t="e">
        <f>SUMPRODUCT($AV$4:$AV$146,Schweine_Werte!$Q$4:$Q$146)/SUM($AV$4:$AV$146)</f>
        <v>#DIV/0!</v>
      </c>
      <c r="G41" s="885" t="e">
        <f>IF($B48=$A$8,SUMPRODUCT($AV$4:$AV$146,Schweine_Werte!EH$4:EH$146)/SUM($AV$4:$AV$146),IF($B48=$A$7,SUMPRODUCT($AV$4:$AV$146,Schweine_Werte!DB$4:DB$146)/SUM($AV$4:$AV$146),IF($B48=$A$6,SUMPRODUCT($AV$4:$AV$146,Schweine_Werte!BV$4:BV$146)/SUM($AV$4:$AV$146),SUMPRODUCT($AV$4:$AV$146,Schweine_Werte!AP$4:AP$146)/SUM($AV$4:$AV$146))))</f>
        <v>#DIV/0!</v>
      </c>
      <c r="H41" s="885" t="e">
        <f>IF($B48=$A$8,SUMPRODUCT($AV$4:$AV$146,Schweine_Werte!EI$4:EI$146)/SUM($AV$4:$AV$146),IF($B48=$A$7,SUMPRODUCT($AV$4:$AV$146,Schweine_Werte!DC$4:DC$146)/SUM($AV$4:$AV$146),IF($B48=$A$6,SUMPRODUCT($AV$4:$AV$146,Schweine_Werte!BW$4:BW$146)/SUM($AV$4:$AV$146),SUMPRODUCT($AV$4:$AV$146,Schweine_Werte!AQ$4:AQ$146)/SUM($AV$4:$AV$146))))</f>
        <v>#DIV/0!</v>
      </c>
      <c r="I41" s="885" t="e">
        <f>IF($B48=$A$8,SUMPRODUCT($AV$4:$AV$146,Schweine_Werte!EJ$4:EJ$146)/SUM($AV$4:$AV$146),IF($B48=$A$7,SUMPRODUCT($AV$4:$AV$146,Schweine_Werte!DD$4:DD$146)/SUM($AV$4:$AV$146),IF($B48=$A$6,SUMPRODUCT($AV$4:$AV$146,Schweine_Werte!BX$4:BX$146)/SUM($AV$4:$AV$146),SUMPRODUCT($AV$4:$AV$146,Schweine_Werte!AR$4:AR$146)/SUM($AV$4:$AV$146))))</f>
        <v>#DIV/0!</v>
      </c>
      <c r="J41" s="885" t="e">
        <f>SUMPRODUCT($AV$4:$AV$146,Schweine_Werte!$Y$4:$Y$146)/SUM($AV$4:$AV$146)</f>
        <v>#DIV/0!</v>
      </c>
      <c r="K41" s="885" t="e">
        <f>SUMPRODUCT($AV$4:$AV$146,Schweine_Werte!$AG$4:$AG$146)/SUM($AV$4:$AV$146)</f>
        <v>#DIV/0!</v>
      </c>
      <c r="L41" s="1914" t="e">
        <f>T41*$F41*365/1000+$J41-$K41</f>
        <v>#DIV/0!</v>
      </c>
      <c r="M41" s="885" t="e">
        <f>U41*$F41*365/1000+$J41-$K41/2</f>
        <v>#DIV/0!</v>
      </c>
      <c r="N41" s="885" t="e">
        <f>V41*$F41*365/1000+$J41</f>
        <v>#DIV/0!</v>
      </c>
      <c r="O41" s="885">
        <f>IF($C48&lt;28,SUM($AV$4:$AV$23)+IF($D48&gt;28,$AV$24*0.5,$AV$24),0)</f>
        <v>0</v>
      </c>
      <c r="P41" s="885">
        <f>IF($D48&gt;28,SUM($AV$25:$AV$146)+IF($C48&lt;28,$AV$24*0.5,$AV$24),0)</f>
        <v>0</v>
      </c>
      <c r="Q41" s="885" t="e">
        <f t="shared" ref="Q41:S44" si="9">+T41*$F41</f>
        <v>#DIV/0!</v>
      </c>
      <c r="R41" s="885" t="e">
        <f t="shared" si="9"/>
        <v>#DIV/0!</v>
      </c>
      <c r="S41" s="885" t="e">
        <f t="shared" si="9"/>
        <v>#DIV/0!</v>
      </c>
      <c r="T41" s="885" t="e">
        <f>+($O41*Schweine_Werte!$HT$5+$P41*Schweine_Werte!$HU$5)/SUM($O41:$P41)</f>
        <v>#DIV/0!</v>
      </c>
      <c r="U41" s="885" t="e">
        <f>+($O41*Schweine_Werte!$HV$5+$P41*Schweine_Werte!$HW$5)/SUM($O41:$P41)</f>
        <v>#DIV/0!</v>
      </c>
      <c r="V41" s="885" t="e">
        <f>+($O41*Schweine_Werte!$HX$5+$P41*Schweine_Werte!$HY$5)/SUM($O41:$P41)</f>
        <v>#DIV/0!</v>
      </c>
      <c r="W41" s="1915" t="e">
        <f>($J41*0.055+T41*0.365*0.86*$F41-$K41*0.018)/L41*100</f>
        <v>#DIV/0!</v>
      </c>
      <c r="X41" s="885" t="e">
        <f>($J41*0.055+U41*0.365*0.86*$F41-$K41*0.018/2)/M41*100</f>
        <v>#DIV/0!</v>
      </c>
      <c r="Y41" s="885" t="e">
        <f>($J41*0.055+V41*0.365*0.86*$F41)/N41*100</f>
        <v>#DIV/0!</v>
      </c>
      <c r="Z41" s="885" t="e">
        <f>IF($B48=$A$8,SUMPRODUCT($AV$4:$AV$146,Schweine_Werte!$EK$4:$EK$146,Schweine_Werte!$EL$4:$EL$146)/SUMPRODUCT($AV$4:$AV$146,Schweine_Werte!$EK$4:$EK$146),IF($B48=$A$7,SUMPRODUCT($AV$4:$AV$146,Schweine_Werte!$DE$4:$DE$146,Schweine_Werte!$DF$4:$DF$146)/SUMPRODUCT($AV$4:$AV$146,Schweine_Werte!$DE$4:$DE$146),IF($B48=$A$6,SUMPRODUCT($AV$4:$AV$146,Schweine_Werte!$BY$4:$BY$146,Schweine_Werte!$BZ$4:$BZ$146)/SUMPRODUCT($AV$4:$AV$146,Schweine_Werte!$BY$4:$BY$146),SUMPRODUCT($AV$4:$AV$146,Schweine_Werte!$AS$4:$AS$146,Schweine_Werte!$AT$4:$AT$146)/SUMPRODUCT($AV$4:$AV$146,Schweine_Werte!$AS$4:$AS$146))))</f>
        <v>#DIV/0!</v>
      </c>
      <c r="AA41" s="885"/>
      <c r="AB41" s="885">
        <f>IF($B48=$A$8,SUMIF(Schweine_Werte!$AO$4:$AO$146,$C48,Schweine_Werte!$EL$4:$EL$146),IF($B48=$A$7,SUMIF(Schweine_Werte!$AO$4:$AO$146,$C48,Schweine_Werte!$DF$4:$DF$146),IF($B48=$A$6,SUMIF(Schweine_Werte!$AO$4:$AO$146,$C48,Schweine_Werte!$BZ$4:$BZ$146),SUMIF(Schweine_Werte!$AO$4:$AO$146,$C48,Schweine_Werte!$AT$4:$AT$146))))</f>
        <v>0</v>
      </c>
      <c r="AC41" s="885"/>
      <c r="AD41" s="885">
        <f>IF($B48=$A$8,SUMIF(Schweine_Werte!$AO$4:$AO$146,$D48,Schweine_Werte!$EL$4:$EL$146),IF($B48=$A$7,SUMIF(Schweine_Werte!$AO$4:$AO$146,$D48,Schweine_Werte!$DF$4:$DF$146),IF($B48=$A$6,SUMIF(Schweine_Werte!$AO$4:$AO$146,$D48,Schweine_Werte!$BZ$4:$BZ$146),SUMIF(Schweine_Werte!$AO$4:$AO$146,$D48,Schweine_Werte!$AT$4:$AT$146))))</f>
        <v>0</v>
      </c>
      <c r="AE41" s="885"/>
      <c r="AF41" s="885"/>
      <c r="AG41" s="885" t="e">
        <f>IF($B48=$A$8,SUMPRODUCT($AV$4:$AV$146,Schweine_Werte!$EK$4:$EK$146)/SUM($AV$4:$AV$146),IF($B48=$A$7,SUMPRODUCT($AV$4:$AV$146,Schweine_Werte!$DE$4:$DE$146)/SUM($AV$4:$AV$146),IF($B48=$A$6,SUMPRODUCT($AV$4:$AV$146,Schweine_Werte!$BY$4:$BY$146)/SUM($AV$4:$AV$146),SUMPRODUCT($AV$4:$AV$146,Schweine_Werte!$AS$4:$AS$146)/SUM($AV$4:$AV$146))))</f>
        <v>#DIV/0!</v>
      </c>
      <c r="AH41" s="885"/>
      <c r="AI41" s="885"/>
      <c r="AJ41" s="885" t="e">
        <f>IF($B48=$A$8,SUMPRODUCT($AV$4:$AV$146,Schweine_Werte!$EK$4:$EK$146,Schweine_Werte!$EM$4:$EM$146)/SUMPRODUCT($AV$4:$AV$146,Schweine_Werte!$EK$4:$EK$146),IF($B48=$A$7,SUMPRODUCT($AV$4:$AV$146,Schweine_Werte!$DE$4:$DE$146,Schweine_Werte!$DG$4:$DG$146)/SUMPRODUCT($AV$4:$AV$146,Schweine_Werte!$DE$4:$DE$146),IF($B48=$A$6,SUMPRODUCT($AV$4:$AV$146,Schweine_Werte!$BY$4:$BY$146,Schweine_Werte!$CA$4:$CA$146)/SUMPRODUCT($AV$4:$AV$146,Schweine_Werte!$BY$4:$BY$146),SUMPRODUCT($AV$4:$AV$146,Schweine_Werte!$AS$4:$AS$146,Schweine_Werte!$AU$4:$AU$146)/SUMPRODUCT($AV$4:$AV$146,Schweine_Werte!$AS$4:$AS$146))))</f>
        <v>#DIV/0!</v>
      </c>
      <c r="AK41" s="885"/>
      <c r="AL41" s="885">
        <f>IF($B48=$A$8,SUMIF(Schweine_Werte!$AO$4:$AO$146,$C48,Schweine_Werte!$EM$4:$EM$146),IF($B48=$A$7,SUMIF(Schweine_Werte!$AO$4:$AO$146,$C48,Schweine_Werte!$DG$4:$DG$146),IF($B48=$A$6,SUMIF(Schweine_Werte!$AO$4:$AO$146,$C48,Schweine_Werte!$CA$4:$CA$146),SUMIF(Schweine_Werte!$AO$4:$AO$146,$C48,Schweine_Werte!$AU$4:$AU$146))))</f>
        <v>0</v>
      </c>
      <c r="AM41" s="885"/>
      <c r="AN41" s="885">
        <f>IF($B48=$A$8,SUMIF(Schweine_Werte!$AO$4:$AO$146,$D48,Schweine_Werte!$EM$4:$EM$146),IF($B48=$A$7,SUMIF(Schweine_Werte!$AO$4:$AO$146,$D48,Schweine_Werte!$DG$4:$DG$146),IF($B48=$A$6,SUMIF(Schweine_Werte!$AO$4:$AO$146,$D48,Schweine_Werte!$CA$4:$CA$146),SUMIF(Schweine_Werte!$AO$4:$AO$146,$D48,Schweine_Werte!$AU$4:$AU$146))))</f>
        <v>0</v>
      </c>
      <c r="AO41"/>
      <c r="AR41" s="1733">
        <v>45</v>
      </c>
      <c r="AS41" s="1710">
        <f>IF(OR($C$12=$AR41,$D$12=$AR41),Schweine_Werte!$C41*0.5,IF(OR($C$12&gt;$AR41,$D$12&lt;$AR41),0,Schweine_Werte!$C41))</f>
        <v>0</v>
      </c>
      <c r="AT41" s="1713">
        <f>IF(OR($C$24=$AR41,$D$24=$AR41),Schweine_Werte!$C41*0.5,IF(OR($C$24&gt;$AR41,$D$24&lt;$AR41),0,Schweine_Werte!$C41))</f>
        <v>0</v>
      </c>
      <c r="AU41" s="1710">
        <f>IF(OR($C$36=$AR41,$D$36=$AR41),Schweine_Werte!$C41*0.5,IF(OR($C$36&gt;$AR41,$D$36&lt;$AR41),0,Schweine_Werte!$C41))</f>
        <v>0</v>
      </c>
      <c r="AV41" s="1710">
        <f>IF(OR($C$48=$AR41,$D$48=$AR41),Schweine_Werte!$C41*0.5,IF(OR($C$48&gt;$AR41,$D$48&lt;$AR41),0,Schweine_Werte!$C41))</f>
        <v>0</v>
      </c>
      <c r="AW41" s="1710">
        <f>IF(OR($C$60=$AR41,$D$60=$AR41),Schweine_Werte!$C41*0.5,IF(OR($C$60&gt;$AR41,$D$60&lt;$AR41),0,Schweine_Werte!$C41))</f>
        <v>0</v>
      </c>
      <c r="AX41" s="1710">
        <f>IF(OR($C$12=$AR41,$D$12=$AR41),Schweine_Werte!$E41*0.5,IF(OR($C$12&gt;$AR41,$D$12&lt;$AR41),0,Schweine_Werte!$E41))</f>
        <v>0</v>
      </c>
      <c r="AY41" s="1713">
        <f>IF(OR($C$24=$AR41,$D$24=$AR41),Schweine_Werte!$E41*0.5,IF(OR($C$24&gt;$AR41,$D$24&lt;$AR41),0,Schweine_Werte!$E41))</f>
        <v>0</v>
      </c>
      <c r="AZ41" s="1713">
        <f>IF(OR($C$36=$AR41,$D$36=$AR41),Schweine_Werte!$E41*0.5,IF(OR($C$36&gt;$AR41,$D$36&lt;$AR41),0,Schweine_Werte!$E41))</f>
        <v>0</v>
      </c>
      <c r="BA41" s="1713">
        <f>IF(OR($C$48=$AR41,$D$48=$AR41),Schweine_Werte!$E41*0.5,IF(OR($C$48&gt;$AR41,$D$48&lt;$AR41),0,Schweine_Werte!$E41))</f>
        <v>0</v>
      </c>
      <c r="BB41" s="1713">
        <f>IF(OR($C$60=$AR41,$D$60=$AR41),Schweine_Werte!$E41*0.5,IF(OR($C$60&gt;$AR41,$D$60&lt;$AR41),0,Schweine_Werte!$E41))</f>
        <v>0</v>
      </c>
      <c r="BC41" s="1710">
        <f>IF(OR($C$12=$AR41,$D$12=$AR41),Schweine_Werte!$G41*0.5,IF(OR($C$12&gt;$AR41,$D$12&lt;$AR41),0,Schweine_Werte!$G41))</f>
        <v>0</v>
      </c>
      <c r="BD41" s="1713">
        <f>IF(OR($C$24=$AR41,$D$24=$AR41),Schweine_Werte!$G41*0.5,IF(OR($C$24&gt;$AR41,$D$24&lt;$AR41),0,Schweine_Werte!$G41))</f>
        <v>0</v>
      </c>
      <c r="BE41" s="1713">
        <f>IF(OR($C$36=$AR41,$D$36=$AR41),Schweine_Werte!$G41*0.5,IF(OR($C$36&gt;$AR41,$D$36&lt;$AR41),0,Schweine_Werte!$G41))</f>
        <v>0</v>
      </c>
      <c r="BF41" s="1713">
        <f>IF(OR($C$48=$AR41,$D$48=$AR41),Schweine_Werte!$G41*0.5,IF(OR($C$48&gt;$AR41,$D$48&lt;$AR41),0,Schweine_Werte!$G41))</f>
        <v>0</v>
      </c>
      <c r="BG41" s="1713">
        <f>IF(OR($C$60=$AR41,$D$60=$AR41),Schweine_Werte!$G41*0.5,IF(OR($C$60&gt;$AR41,$D$60&lt;$AR41),0,Schweine_Werte!$G41))</f>
        <v>0</v>
      </c>
      <c r="BH41" s="1710">
        <f>IF(OR($C$12=$AR41,$D$12=$AR41),Schweine_Werte!$I41*0.5,IF(OR($C$12&gt;$AR41,$D$12&lt;$AR41),0,Schweine_Werte!$I41))</f>
        <v>0</v>
      </c>
      <c r="BI41" s="1713">
        <f>IF(OR($C$24=$AR41,$D$24=$AR41),Schweine_Werte!$I41*0.5,IF(OR($C$24&gt;$AR41,$D$24&lt;$AR41),0,Schweine_Werte!$I41))</f>
        <v>0</v>
      </c>
      <c r="BJ41" s="1713">
        <f>IF(OR($C$36=$AR41,$D$36=$AR41),Schweine_Werte!$I41*0.5,IF(OR($C$36&gt;$AR41,$D$36&lt;$AR41),0,Schweine_Werte!$I41))</f>
        <v>0</v>
      </c>
      <c r="BK41" s="1713">
        <f>IF(OR($C$48=$AR41,$D$48=$AR41),Schweine_Werte!$I41*0.5,IF(OR($C$48&gt;$AR41,$D$48&lt;$AR41),0,Schweine_Werte!$I41))</f>
        <v>0</v>
      </c>
      <c r="BL41" s="1713">
        <f>IF(OR($C$60=$AR41,$D$60=$AR41),Schweine_Werte!$I41*0.5,IF(OR($C$60&gt;$AR41,$D$60&lt;$AR41),0,Schweine_Werte!$I41))</f>
        <v>0</v>
      </c>
      <c r="BM41" s="1710">
        <f>IF(OR($C$12=$AR41,$D$12=$AR41),Schweine_Werte!$K41*0.5,IF(OR($C$12&gt;$AR41,$D$12&lt;$AR41),0,Schweine_Werte!$K41))</f>
        <v>0</v>
      </c>
      <c r="BN41" s="1713">
        <f>IF(OR($C$24=$AR41,$D$24=$AR41),Schweine_Werte!$K41*0.5,IF(OR($C$24&gt;$AR41,$D$24&lt;$AR41),0,Schweine_Werte!$K41))</f>
        <v>0</v>
      </c>
      <c r="BO41" s="1713">
        <f>IF(OR($C$36=$AR41,$D$36=$AR41),Schweine_Werte!$K41*0.5,IF(OR($C$36&gt;$AR41,$D$36&lt;$AR41),0,Schweine_Werte!$K41))</f>
        <v>0</v>
      </c>
      <c r="BP41" s="1713">
        <f>IF(OR($C$48=$AR41,$D$48=$AR41),Schweine_Werte!$K41*0.5,IF(OR($C$48&gt;$AR41,$D$48&lt;$AR41),0,Schweine_Werte!$K41))</f>
        <v>0</v>
      </c>
      <c r="BQ41" s="1713">
        <f>IF(OR($C$60=$AR41,$D$60=$AR41),Schweine_Werte!$K41*0.5,IF(OR($C$60&gt;$AR41,$D$60&lt;$AR41),0,Schweine_Werte!$K41))</f>
        <v>0</v>
      </c>
      <c r="BR41" s="1710">
        <f>IF(OR($C$74=$AR41,$D$74=$AR41),Schweine_Werte!$M41*0.5,IF(OR($C$74&gt;$AR41,$D$74&lt;$AR41),0,Schweine_Werte!$M41))</f>
        <v>0</v>
      </c>
      <c r="BS41" s="1710">
        <f>IF(OR($C$83=$AR41,$D$83=$AR41),Schweine_Werte!$M41*0.5,IF(OR($C$83&gt;$AR41,$D$83&lt;$AR41),0,Schweine_Werte!$M41))</f>
        <v>0</v>
      </c>
      <c r="BT41" s="1714">
        <f>IF(OR($C$92=$AR41,$D$92=$AR41),Schweine_Werte!$M41*0.5,IF(OR($C$92&gt;$AR41,$D$92&lt;$AR41),0,Schweine_Werte!$M41))</f>
        <v>0</v>
      </c>
      <c r="BU41" s="1714">
        <f>IF(OR($C$101=$AR41,$D$101=$AR41),Schweine_Werte!$M41*0.5,IF(OR($C$101&gt;$AR41,$D$101&lt;$AR41),0,Schweine_Werte!$M41))</f>
        <v>0</v>
      </c>
      <c r="BV41" s="1714">
        <f>IF(OR($C$110=$AR41,$D$110=$AR41),Schweine_Werte!$M41*0.5,IF(OR($C$110&gt;$AR41,$D$110&lt;$AR41),0,Schweine_Werte!$M41))</f>
        <v>0</v>
      </c>
      <c r="BW41" s="1714">
        <f>IF(OR(8=$AR41,$E$127=$AR41),Schweine_Werte!$M41*0.5,IF(OR(8&gt;$AR41,$E$127&lt;$AR41),0,Schweine_Werte!$M41))</f>
        <v>1.2602489085502044</v>
      </c>
      <c r="BX41" s="1714">
        <f>IF(OR(8=$AR41,$E$145=$AR41),Schweine_Werte!$M41*0.5,IF(OR(8&gt;$AR41,$E$145&lt;$AR41),0,Schweine_Werte!$M41))</f>
        <v>1.2602489085502044</v>
      </c>
      <c r="BY41" s="1710">
        <f>IF(OR($C$74=$AR41,$D$74=$AR41),Schweine_Werte!$O41*0.5,IF(OR($C$74&gt;$AR41,$D$74&lt;$AR41),0,Schweine_Werte!$O41))</f>
        <v>0</v>
      </c>
      <c r="BZ41" s="1710">
        <f>IF(OR($C$83=$AR41,$D$83=$AR41),Schweine_Werte!$O41*0.5,IF(OR($C$83&gt;$AR41,$D$83&lt;$AR41),0,Schweine_Werte!$O41))</f>
        <v>0</v>
      </c>
      <c r="CA41" s="1714">
        <f>IF(OR($C$92=$AR41,$D$92=$AR41),Schweine_Werte!$O41*0.5,IF(OR($C$92&gt;$AR41,$D$92&lt;$AR41),0,Schweine_Werte!$O41))</f>
        <v>0</v>
      </c>
      <c r="CB41" s="1714">
        <f>IF(OR($C$101=$AR41,$D$101=$AR41),Schweine_Werte!$O41*0.5,IF(OR($C$101&gt;$AR41,$D$101&lt;$AR41),0,Schweine_Werte!$O41))</f>
        <v>0</v>
      </c>
      <c r="CC41" s="1714">
        <f>IF(OR($C$110=$AR41,$D$110=$AR41),Schweine_Werte!$O41*0.5,IF(OR($C$110&gt;$AR41,$D$110&lt;$AR41),0,Schweine_Werte!$O41))</f>
        <v>0</v>
      </c>
    </row>
    <row r="42" spans="1:81" x14ac:dyDescent="0.25">
      <c r="B42" s="1712">
        <v>750</v>
      </c>
      <c r="C42"/>
      <c r="D42" s="1916"/>
      <c r="E42" s="885" t="e">
        <f>($D48-$C48)*1000/SUM($BA$4:$BA$146)</f>
        <v>#VALUE!</v>
      </c>
      <c r="F42" s="885" t="e">
        <f>SUMPRODUCT($BA$4:$BA$146,Schweine_Werte!$R$4:$R$146)/SUM($BA$4:$BA$146)</f>
        <v>#DIV/0!</v>
      </c>
      <c r="G42" s="885" t="e">
        <f>IF($B48=$A$8,SUMPRODUCT($BA$4:$BA$146,Schweine_Werte!EN$4:EN$146)/SUM($BA$4:$BA$146),IF($B48=$A$7,SUMPRODUCT($BA$4:$BA$146,Schweine_Werte!DH$4:DH$146)/SUM($BA$4:$BA$146),IF($B48=$A$6,SUMPRODUCT($BA$4:$BA$146,Schweine_Werte!CB$4:CB$146)/SUM($BA$4:$BA$146),SUMPRODUCT($BA$4:$BA$146,Schweine_Werte!AV$4:AV$146)/SUM($BA$4:$BA$146))))</f>
        <v>#DIV/0!</v>
      </c>
      <c r="H42" s="885" t="e">
        <f>IF($B48=$A$8,SUMPRODUCT($BA$4:$BA$146,Schweine_Werte!EO$4:EO$146)/SUM($BA$4:$BA$146),IF($B48=$A$7,SUMPRODUCT($BA$4:$BA$146,Schweine_Werte!DI$4:DI$146)/SUM($BA$4:$BA$146),IF($B48=$A$6,SUMPRODUCT($BA$4:$BA$146,Schweine_Werte!CC$4:CC$146)/SUM($BA$4:$BA$146),SUMPRODUCT($BA$4:$BA$146,Schweine_Werte!AW$4:AW$146)/SUM($BA$4:$BA$146))))</f>
        <v>#DIV/0!</v>
      </c>
      <c r="I42" s="885" t="e">
        <f>IF($B48=$A$8,SUMPRODUCT($BA$4:$BA$146,Schweine_Werte!EP$4:EP$146)/SUM($BA$4:$BA$146),IF($B48=$A$7,SUMPRODUCT($BA$4:$BA$146,Schweine_Werte!DJ$4:DJ$146)/SUM($BA$4:$BA$146),IF($B48=$A$6,SUMPRODUCT($BA$4:$BA$146,Schweine_Werte!CD$4:CD$146)/SUM($BA$4:$BA$146),SUMPRODUCT($BA$4:$BA$146,Schweine_Werte!AX$4:AX$146)/SUM($BA$4:$BA$146))))</f>
        <v>#DIV/0!</v>
      </c>
      <c r="J42" s="885" t="e">
        <f>SUMPRODUCT($BA$4:$BA$146,Schweine_Werte!$Z$4:$Z$146)/SUM($BA$4:$BA$146)</f>
        <v>#DIV/0!</v>
      </c>
      <c r="K42" s="885" t="e">
        <f>SUMPRODUCT($BA$4:$BA$146,Schweine_Werte!$AH$4:$AH$146)/SUM($BA$4:$BA$146)</f>
        <v>#DIV/0!</v>
      </c>
      <c r="L42" s="1914" t="e">
        <f>T42*$F42*365/1000+$J42-$K42</f>
        <v>#DIV/0!</v>
      </c>
      <c r="M42" s="885" t="e">
        <f>U42*$F42*365/1000+$J42-$K42/2</f>
        <v>#DIV/0!</v>
      </c>
      <c r="N42" s="885" t="e">
        <f>V42*$F42*365/1000+$J42</f>
        <v>#DIV/0!</v>
      </c>
      <c r="O42" s="885">
        <f>IF($C48&lt;28,SUM($BA$4:$BA$23)+IF($D48&gt;28,$BA$24*0.5,$BA$24),0)</f>
        <v>0</v>
      </c>
      <c r="P42" s="885">
        <f>IF($D48&gt;28,SUM($BA$25:$BA$146)+IF($C48&lt;28,$BA$24*0.5,$BA$24),0)</f>
        <v>0</v>
      </c>
      <c r="Q42" s="885" t="e">
        <f t="shared" si="9"/>
        <v>#DIV/0!</v>
      </c>
      <c r="R42" s="885" t="e">
        <f t="shared" si="9"/>
        <v>#DIV/0!</v>
      </c>
      <c r="S42" s="885" t="e">
        <f t="shared" si="9"/>
        <v>#DIV/0!</v>
      </c>
      <c r="T42" s="885" t="e">
        <f>+($O42*Schweine_Werte!$HT$6+$P42*Schweine_Werte!$HU$6)/SUM($O42:$P42)</f>
        <v>#DIV/0!</v>
      </c>
      <c r="U42" s="885" t="e">
        <f>+($O42*Schweine_Werte!$HV$6+$P42*Schweine_Werte!$HW$6)/SUM($O42:$P42)</f>
        <v>#DIV/0!</v>
      </c>
      <c r="V42" s="885" t="e">
        <f>+($O42*Schweine_Werte!$HX$6+$P42*Schweine_Werte!$HY$6)/SUM($O42:$P42)</f>
        <v>#DIV/0!</v>
      </c>
      <c r="W42" s="1915" t="e">
        <f>($J42*0.055+T42*0.365*0.86*$F42-$K42*0.018)/L42*100</f>
        <v>#DIV/0!</v>
      </c>
      <c r="X42" s="885" t="e">
        <f>($J42*0.055+U42*0.365*0.86*$F42-$K42*0.018/2)/M42*100</f>
        <v>#DIV/0!</v>
      </c>
      <c r="Y42" s="885" t="e">
        <f>($J42*0.055+V42*0.365*0.86*$F42)/N42*100</f>
        <v>#DIV/0!</v>
      </c>
      <c r="Z42" s="885" t="e">
        <f>IF($B48=$A$8,SUMPRODUCT($BA$4:$BA$146,Schweine_Werte!$EQ$4:$EQ$146,Schweine_Werte!$ER$4:$ER$146)/SUMPRODUCT($BA$4:$BA$146,Schweine_Werte!$EQ$4:$EQ$146),IF($B48=$A$7,SUMPRODUCT($BA$4:$BA$146,Schweine_Werte!$DK$4:$DK$146,Schweine_Werte!$DL$4:$DL$146)/SUMPRODUCT($BA$4:$BA$146,Schweine_Werte!$DK$4:$DK$146),IF($B48=$A$6,SUMPRODUCT($BA$4:$BA$146,Schweine_Werte!$CE$4:$CE$146,Schweine_Werte!$CF$4:$CF$146)/SUMPRODUCT($BA$4:$BA$146,Schweine_Werte!$CE$4:$CE$146),SUMPRODUCT($BA$4:$BA$146,Schweine_Werte!$AY$4:$AY$146,Schweine_Werte!$AZ$4:$AZ$146)/SUMPRODUCT($BA$4:$BA$146,Schweine_Werte!$AY$4:$AY$146))))</f>
        <v>#DIV/0!</v>
      </c>
      <c r="AA42" s="885"/>
      <c r="AB42" s="885">
        <f>IF($B48=$A$8,SUMIF(Schweine_Werte!$AO$4:$AO$146,$C48,Schweine_Werte!$ER$4:$ER$146),IF($B48=$A$7,SUMIF(Schweine_Werte!$AO$4:$AO$146,$C48,Schweine_Werte!$DL$4:$DL$146),IF($B48=$A$6,SUMIF(Schweine_Werte!$AO$4:$AO$146,$C48,Schweine_Werte!$CF$4:$CF$146),SUMIF(Schweine_Werte!$AO$4:$AO$146,$C48,Schweine_Werte!$AZ$4:$AZ$146))))</f>
        <v>0</v>
      </c>
      <c r="AC42" s="885"/>
      <c r="AD42" s="885">
        <f>IF($B48=$A$8,SUMIF(Schweine_Werte!$AO$4:$AO$146,$D48,Schweine_Werte!$ER$4:$ER$146),IF($B48=$A$7,SUMIF(Schweine_Werte!$AO$4:$AO$146,$D48,Schweine_Werte!$DL$4:$DL$146),IF($B48=$A$6,SUMIF(Schweine_Werte!$AO$4:$AO$146,$D48,Schweine_Werte!$CF$4:$CF$146),SUMIF(Schweine_Werte!$AO$4:$AO$146,$D48,Schweine_Werte!$AZ$4:$AZ$146))))</f>
        <v>0</v>
      </c>
      <c r="AE42" s="885"/>
      <c r="AF42" s="885"/>
      <c r="AG42" s="885" t="e">
        <f>IF($B48=$A$8,SUMPRODUCT($BA$4:$BA$146,Schweine_Werte!$EQ$4:$EQ$146)/SUM($BA$4:$BA$146),IF($B48=$A$7,SUMPRODUCT($BA$4:$BA$146,Schweine_Werte!$DK$4:$DK$146)/SUM($BA$4:$BA$146),IF($B48=$A$6,SUMPRODUCT($BA$4:$BA$146,Schweine_Werte!$CE$4:$CE$146)/SUM($BA$4:$BA$146),SUMPRODUCT($BA$4:$BA$146,Schweine_Werte!$AY$4:$AY$146)/SUM($BA$4:$BA$146))))</f>
        <v>#DIV/0!</v>
      </c>
      <c r="AH42" s="885"/>
      <c r="AI42" s="885"/>
      <c r="AJ42" s="885" t="e">
        <f>IF($B48=$A$8,SUMPRODUCT($BA$4:$BA$146,Schweine_Werte!$EQ$4:$EQ$146,Schweine_Werte!$ES$4:$ES$146)/SUMPRODUCT($BA$4:$BA$146,Schweine_Werte!$EQ$4:$EQ$146),IF($B48=$A$7,SUMPRODUCT($BA$4:$BA$146,Schweine_Werte!$DK$4:$DK$146,Schweine_Werte!$DM$4:$DM$146)/SUMPRODUCT($BA$4:$BA$146,Schweine_Werte!$DK$4:$DK$146),IF($B48=$A$6,SUMPRODUCT($BA$4:$BA$146,Schweine_Werte!$CE$4:$CE$146,Schweine_Werte!$CG$4:$CG$146)/SUMPRODUCT($BA$4:$BA$146,Schweine_Werte!$CE$4:$CE$146),SUMPRODUCT($BA$4:$BA$146,Schweine_Werte!$AY$4:$AY$146,Schweine_Werte!$BA$4:$BA$146)/SUMPRODUCT($BA$4:$BA$146,Schweine_Werte!$AY$4:$AY$146))))</f>
        <v>#DIV/0!</v>
      </c>
      <c r="AK42" s="885"/>
      <c r="AL42" s="885">
        <f>IF($B48=$A$8,SUMIF(Schweine_Werte!$AO$4:$AO$146,$C48,Schweine_Werte!$ES$4:$ES$146),IF($B48=$A$7,SUMIF(Schweine_Werte!$AO$4:$AO$146,$C48,Schweine_Werte!$DM$4:$DM$146),IF($B48=$A$6,SUMIF(Schweine_Werte!$AO$4:$AO$146,$C48,Schweine_Werte!$CG$4:$CG$146),SUMIF(Schweine_Werte!$AO$4:$AO$146,$C48,Schweine_Werte!$BA$4:$BA$146))))</f>
        <v>0</v>
      </c>
      <c r="AM42" s="885"/>
      <c r="AN42" s="885">
        <f>IF($B48=$A$8,SUMIF(Schweine_Werte!$AO$4:$AO$146,$D48,Schweine_Werte!$ES$4:$ES$146),IF($B48=$A$7,SUMIF(Schweine_Werte!$AO$4:$AO$146,$D48,Schweine_Werte!$DM$4:$DM$146),IF($B48=$A$6,SUMIF(Schweine_Werte!$AO$4:$AO$146,$D48,Schweine_Werte!$CG$4:$CG$146),SUMIF(Schweine_Werte!$AO$4:$AO$146,$D48,Schweine_Werte!$BA$4:$BA$146))))</f>
        <v>0</v>
      </c>
      <c r="AO42"/>
      <c r="AR42" s="1733">
        <v>46</v>
      </c>
      <c r="AS42" s="1710">
        <f>IF(OR($C$12=$AR42,$D$12=$AR42),Schweine_Werte!$C42*0.5,IF(OR($C$12&gt;$AR42,$D$12&lt;$AR42),0,Schweine_Werte!$C42))</f>
        <v>0</v>
      </c>
      <c r="AT42" s="1713">
        <f>IF(OR($C$24=$AR42,$D$24=$AR42),Schweine_Werte!$C42*0.5,IF(OR($C$24&gt;$AR42,$D$24&lt;$AR42),0,Schweine_Werte!$C42))</f>
        <v>0</v>
      </c>
      <c r="AU42" s="1710">
        <f>IF(OR($C$36=$AR42,$D$36=$AR42),Schweine_Werte!$C42*0.5,IF(OR($C$36&gt;$AR42,$D$36&lt;$AR42),0,Schweine_Werte!$C42))</f>
        <v>0</v>
      </c>
      <c r="AV42" s="1710">
        <f>IF(OR($C$48=$AR42,$D$48=$AR42),Schweine_Werte!$C42*0.5,IF(OR($C$48&gt;$AR42,$D$48&lt;$AR42),0,Schweine_Werte!$C42))</f>
        <v>0</v>
      </c>
      <c r="AW42" s="1710">
        <f>IF(OR($C$60=$AR42,$D$60=$AR42),Schweine_Werte!$C42*0.5,IF(OR($C$60&gt;$AR42,$D$60&lt;$AR42),0,Schweine_Werte!$C42))</f>
        <v>0</v>
      </c>
      <c r="AX42" s="1710">
        <f>IF(OR($C$12=$AR42,$D$12=$AR42),Schweine_Werte!$E42*0.5,IF(OR($C$12&gt;$AR42,$D$12&lt;$AR42),0,Schweine_Werte!$E42))</f>
        <v>0</v>
      </c>
      <c r="AY42" s="1713">
        <f>IF(OR($C$24=$AR42,$D$24=$AR42),Schweine_Werte!$E42*0.5,IF(OR($C$24&gt;$AR42,$D$24&lt;$AR42),0,Schweine_Werte!$E42))</f>
        <v>0</v>
      </c>
      <c r="AZ42" s="1713">
        <f>IF(OR($C$36=$AR42,$D$36=$AR42),Schweine_Werte!$E42*0.5,IF(OR($C$36&gt;$AR42,$D$36&lt;$AR42),0,Schweine_Werte!$E42))</f>
        <v>0</v>
      </c>
      <c r="BA42" s="1713">
        <f>IF(OR($C$48=$AR42,$D$48=$AR42),Schweine_Werte!$E42*0.5,IF(OR($C$48&gt;$AR42,$D$48&lt;$AR42),0,Schweine_Werte!$E42))</f>
        <v>0</v>
      </c>
      <c r="BB42" s="1713">
        <f>IF(OR($C$60=$AR42,$D$60=$AR42),Schweine_Werte!$E42*0.5,IF(OR($C$60&gt;$AR42,$D$60&lt;$AR42),0,Schweine_Werte!$E42))</f>
        <v>0</v>
      </c>
      <c r="BC42" s="1710">
        <f>IF(OR($C$12=$AR42,$D$12=$AR42),Schweine_Werte!$G42*0.5,IF(OR($C$12&gt;$AR42,$D$12&lt;$AR42),0,Schweine_Werte!$G42))</f>
        <v>0</v>
      </c>
      <c r="BD42" s="1713">
        <f>IF(OR($C$24=$AR42,$D$24=$AR42),Schweine_Werte!$G42*0.5,IF(OR($C$24&gt;$AR42,$D$24&lt;$AR42),0,Schweine_Werte!$G42))</f>
        <v>0</v>
      </c>
      <c r="BE42" s="1713">
        <f>IF(OR($C$36=$AR42,$D$36=$AR42),Schweine_Werte!$G42*0.5,IF(OR($C$36&gt;$AR42,$D$36&lt;$AR42),0,Schweine_Werte!$G42))</f>
        <v>0</v>
      </c>
      <c r="BF42" s="1713">
        <f>IF(OR($C$48=$AR42,$D$48=$AR42),Schweine_Werte!$G42*0.5,IF(OR($C$48&gt;$AR42,$D$48&lt;$AR42),0,Schweine_Werte!$G42))</f>
        <v>0</v>
      </c>
      <c r="BG42" s="1713">
        <f>IF(OR($C$60=$AR42,$D$60=$AR42),Schweine_Werte!$G42*0.5,IF(OR($C$60&gt;$AR42,$D$60&lt;$AR42),0,Schweine_Werte!$G42))</f>
        <v>0</v>
      </c>
      <c r="BH42" s="1710">
        <f>IF(OR($C$12=$AR42,$D$12=$AR42),Schweine_Werte!$I42*0.5,IF(OR($C$12&gt;$AR42,$D$12&lt;$AR42),0,Schweine_Werte!$I42))</f>
        <v>0</v>
      </c>
      <c r="BI42" s="1713">
        <f>IF(OR($C$24=$AR42,$D$24=$AR42),Schweine_Werte!$I42*0.5,IF(OR($C$24&gt;$AR42,$D$24&lt;$AR42),0,Schweine_Werte!$I42))</f>
        <v>0</v>
      </c>
      <c r="BJ42" s="1713">
        <f>IF(OR($C$36=$AR42,$D$36=$AR42),Schweine_Werte!$I42*0.5,IF(OR($C$36&gt;$AR42,$D$36&lt;$AR42),0,Schweine_Werte!$I42))</f>
        <v>0</v>
      </c>
      <c r="BK42" s="1713">
        <f>IF(OR($C$48=$AR42,$D$48=$AR42),Schweine_Werte!$I42*0.5,IF(OR($C$48&gt;$AR42,$D$48&lt;$AR42),0,Schweine_Werte!$I42))</f>
        <v>0</v>
      </c>
      <c r="BL42" s="1713">
        <f>IF(OR($C$60=$AR42,$D$60=$AR42),Schweine_Werte!$I42*0.5,IF(OR($C$60&gt;$AR42,$D$60&lt;$AR42),0,Schweine_Werte!$I42))</f>
        <v>0</v>
      </c>
      <c r="BM42" s="1710">
        <f>IF(OR($C$12=$AR42,$D$12=$AR42),Schweine_Werte!$K42*0.5,IF(OR($C$12&gt;$AR42,$D$12&lt;$AR42),0,Schweine_Werte!$K42))</f>
        <v>0</v>
      </c>
      <c r="BN42" s="1713">
        <f>IF(OR($C$24=$AR42,$D$24=$AR42),Schweine_Werte!$K42*0.5,IF(OR($C$24&gt;$AR42,$D$24&lt;$AR42),0,Schweine_Werte!$K42))</f>
        <v>0</v>
      </c>
      <c r="BO42" s="1713">
        <f>IF(OR($C$36=$AR42,$D$36=$AR42),Schweine_Werte!$K42*0.5,IF(OR($C$36&gt;$AR42,$D$36&lt;$AR42),0,Schweine_Werte!$K42))</f>
        <v>0</v>
      </c>
      <c r="BP42" s="1713">
        <f>IF(OR($C$48=$AR42,$D$48=$AR42),Schweine_Werte!$K42*0.5,IF(OR($C$48&gt;$AR42,$D$48&lt;$AR42),0,Schweine_Werte!$K42))</f>
        <v>0</v>
      </c>
      <c r="BQ42" s="1713">
        <f>IF(OR($C$60=$AR42,$D$60=$AR42),Schweine_Werte!$K42*0.5,IF(OR($C$60&gt;$AR42,$D$60&lt;$AR42),0,Schweine_Werte!$K42))</f>
        <v>0</v>
      </c>
      <c r="BR42" s="1710">
        <f>IF(OR($C$74=$AR42,$D$74=$AR42),Schweine_Werte!$M42*0.5,IF(OR($C$74&gt;$AR42,$D$74&lt;$AR42),0,Schweine_Werte!$M42))</f>
        <v>0</v>
      </c>
      <c r="BS42" s="1710">
        <f>IF(OR($C$83=$AR42,$D$83=$AR42),Schweine_Werte!$M42*0.5,IF(OR($C$83&gt;$AR42,$D$83&lt;$AR42),0,Schweine_Werte!$M42))</f>
        <v>0</v>
      </c>
      <c r="BT42" s="1714">
        <f>IF(OR($C$92=$AR42,$D$92=$AR42),Schweine_Werte!$M42*0.5,IF(OR($C$92&gt;$AR42,$D$92&lt;$AR42),0,Schweine_Werte!$M42))</f>
        <v>0</v>
      </c>
      <c r="BU42" s="1714">
        <f>IF(OR($C$101=$AR42,$D$101=$AR42),Schweine_Werte!$M42*0.5,IF(OR($C$101&gt;$AR42,$D$101&lt;$AR42),0,Schweine_Werte!$M42))</f>
        <v>0</v>
      </c>
      <c r="BV42" s="1714">
        <f>IF(OR($C$110=$AR42,$D$110=$AR42),Schweine_Werte!$M42*0.5,IF(OR($C$110&gt;$AR42,$D$110&lt;$AR42),0,Schweine_Werte!$M42))</f>
        <v>0</v>
      </c>
      <c r="BW42" s="1714">
        <f>IF(OR(8=$AR42,$E$127=$AR42),Schweine_Werte!$M42*0.5,IF(OR(8&gt;$AR42,$E$127&lt;$AR42),0,Schweine_Werte!$M42))</f>
        <v>1.2477119292368446</v>
      </c>
      <c r="BX42" s="1714">
        <f>IF(OR(8=$AR42,$E$145=$AR42),Schweine_Werte!$M42*0.5,IF(OR(8&gt;$AR42,$E$145&lt;$AR42),0,Schweine_Werte!$M42))</f>
        <v>1.2477119292368446</v>
      </c>
      <c r="BY42" s="1710">
        <f>IF(OR($C$74=$AR42,$D$74=$AR42),Schweine_Werte!$O42*0.5,IF(OR($C$74&gt;$AR42,$D$74&lt;$AR42),0,Schweine_Werte!$O42))</f>
        <v>0</v>
      </c>
      <c r="BZ42" s="1710">
        <f>IF(OR($C$83=$AR42,$D$83=$AR42),Schweine_Werte!$O42*0.5,IF(OR($C$83&gt;$AR42,$D$83&lt;$AR42),0,Schweine_Werte!$O42))</f>
        <v>0</v>
      </c>
      <c r="CA42" s="1714">
        <f>IF(OR($C$92=$AR42,$D$92=$AR42),Schweine_Werte!$O42*0.5,IF(OR($C$92&gt;$AR42,$D$92&lt;$AR42),0,Schweine_Werte!$O42))</f>
        <v>0</v>
      </c>
      <c r="CB42" s="1714">
        <f>IF(OR($C$101=$AR42,$D$101=$AR42),Schweine_Werte!$O42*0.5,IF(OR($C$101&gt;$AR42,$D$101&lt;$AR42),0,Schweine_Werte!$O42))</f>
        <v>0</v>
      </c>
      <c r="CC42" s="1714">
        <f>IF(OR($C$110=$AR42,$D$110=$AR42),Schweine_Werte!$O42*0.5,IF(OR($C$110&gt;$AR42,$D$110&lt;$AR42),0,Schweine_Werte!$O42))</f>
        <v>0</v>
      </c>
    </row>
    <row r="43" spans="1:81" x14ac:dyDescent="0.25">
      <c r="B43" s="1712">
        <v>850</v>
      </c>
      <c r="C43"/>
      <c r="D43" s="885"/>
      <c r="E43" s="885" t="e">
        <f>($D48-$C48)*1000/SUM($BF$4:$BF$146)</f>
        <v>#VALUE!</v>
      </c>
      <c r="F43" s="885" t="e">
        <f>SUMPRODUCT($BF$4:$BF$146,Schweine_Werte!$S$4:$S$146)/SUM($BF$4:$BF$146)</f>
        <v>#DIV/0!</v>
      </c>
      <c r="G43" s="885" t="e">
        <f>IF($B48=$A$8,SUMPRODUCT($BF$4:$BF$146,Schweine_Werte!ET$4:ET$146)/SUM($BF$4:$BF$146),IF($B48=$A$7,SUMPRODUCT($BF$4:$BF$146,Schweine_Werte!DN$4:DN$146)/SUM($BF$4:$BF$146),IF($B48=$A$6,SUMPRODUCT($BF$4:$BF$146,Schweine_Werte!CH$4:CH$146)/SUM($BF$4:$BF$146),SUMPRODUCT($BF$4:$BF$146,Schweine_Werte!BB$4:BB$146)/SUM($BF$4:$BF$146))))</f>
        <v>#DIV/0!</v>
      </c>
      <c r="H43" s="885" t="e">
        <f>IF($B48=$A$8,SUMPRODUCT($BF$4:$BF$146,Schweine_Werte!EU$4:EU$146)/SUM($BF$4:$BF$146),IF($B48=$A$7,SUMPRODUCT($BF$4:$BF$146,Schweine_Werte!DO$4:DO$146)/SUM($BF$4:$BF$146),IF($B48=$A$6,SUMPRODUCT($BF$4:$BF$146,Schweine_Werte!CI$4:CI$146)/SUM($BF$4:$BF$146),SUMPRODUCT($BF$4:$BF$146,Schweine_Werte!BC$4:BC$146)/SUM($BF$4:$BF$146))))</f>
        <v>#DIV/0!</v>
      </c>
      <c r="I43" s="885" t="e">
        <f>IF($B48=$A$8,SUMPRODUCT($BF$4:$BF$146,Schweine_Werte!EV$4:EV$146)/SUM($BF$4:$BF$146),IF($B48=$A$7,SUMPRODUCT($BF$4:$BF$146,Schweine_Werte!DP$4:DP$146)/SUM($BF$4:$BF$146),IF($B48=$A$6,SUMPRODUCT($BF$4:$BF$146,Schweine_Werte!CJ$4:CJ$146)/SUM($BF$4:$BF$146),SUMPRODUCT($BF$4:$BF$146,Schweine_Werte!BD$4:BD$146)/SUM($BF$4:$BF$146))))</f>
        <v>#DIV/0!</v>
      </c>
      <c r="J43" s="885" t="e">
        <f>SUMPRODUCT($BF$4:$BF$146,Schweine_Werte!$AA$4:$AA$146)/SUM($BF$4:$BF$146)</f>
        <v>#DIV/0!</v>
      </c>
      <c r="K43" s="885" t="e">
        <f>SUMPRODUCT($BF$4:$BF$146,Schweine_Werte!$AI$4:$AI$146)/SUM($BF$4:$BF$146)</f>
        <v>#DIV/0!</v>
      </c>
      <c r="L43" s="885" t="e">
        <f>T43*$F43*365/1000+$J43-$K43</f>
        <v>#DIV/0!</v>
      </c>
      <c r="M43" s="885" t="e">
        <f>U43*$F43*365/1000+$J43-$K43/2</f>
        <v>#DIV/0!</v>
      </c>
      <c r="N43" s="885" t="e">
        <f>V43*$F43*365/1000+$J43</f>
        <v>#DIV/0!</v>
      </c>
      <c r="O43" s="885">
        <f>IF($C48&lt;28,SUM($BF$4:$BF$23)+IF($D48&gt;28,$BF$24*0.5,$BF$24),0)</f>
        <v>0</v>
      </c>
      <c r="P43" s="885">
        <f>IF($D48&gt;28,SUM($BF$25:$BF$146)+IF($C48&lt;28,$BF$24*0.5,$BF$24),0)</f>
        <v>0</v>
      </c>
      <c r="Q43" s="885" t="e">
        <f t="shared" si="9"/>
        <v>#DIV/0!</v>
      </c>
      <c r="R43" s="885" t="e">
        <f t="shared" si="9"/>
        <v>#DIV/0!</v>
      </c>
      <c r="S43" s="885" t="e">
        <f t="shared" si="9"/>
        <v>#DIV/0!</v>
      </c>
      <c r="T43" s="885" t="e">
        <f>+($O43*Schweine_Werte!$HT$7+$P43*Schweine_Werte!$HU$7)/SUM($O43:$P43)</f>
        <v>#DIV/0!</v>
      </c>
      <c r="U43" s="885" t="e">
        <f>+($O43*Schweine_Werte!$HV$7+$P43*Schweine_Werte!$HW$7)/SUM($O43:$P43)</f>
        <v>#DIV/0!</v>
      </c>
      <c r="V43" s="885" t="e">
        <f>+($O43*Schweine_Werte!$HX$7+$P43*Schweine_Werte!$HY$7)/SUM($O43:$P43)</f>
        <v>#DIV/0!</v>
      </c>
      <c r="W43" s="885" t="e">
        <f>($J43*0.055+T43*0.365*0.86*$F43-$K43*0.018)/L43*100</f>
        <v>#DIV/0!</v>
      </c>
      <c r="X43" s="885" t="e">
        <f>($J43*0.055+U43*0.365*0.86*$F43-$K43*0.018/2)/M43*100</f>
        <v>#DIV/0!</v>
      </c>
      <c r="Y43" s="885" t="e">
        <f>($J43*0.055+V43*0.365*0.86*$F43)/N43*100</f>
        <v>#DIV/0!</v>
      </c>
      <c r="Z43" s="885" t="e">
        <f>IF($B48=$A$8,SUMPRODUCT($BF$4:$BF$146,Schweine_Werte!$EW$4:$EW$146,Schweine_Werte!$EX$4:$EX$146)/SUMPRODUCT($BF$4:$BF$146,Schweine_Werte!$EW$4:$EW$146),IF($B48=$A$7,SUMPRODUCT($BF$4:$BF$146,Schweine_Werte!$DQ$4:$DQ$146,Schweine_Werte!$DR$4:$DR$146)/SUMPRODUCT($BF$4:$BF$146,Schweine_Werte!$DQ$4:$DQ$146),IF($B48=$A$6,SUMPRODUCT($BF$4:$BF$146,Schweine_Werte!$CK$4:$CK$146,Schweine_Werte!$CL$4:$CL$146)/SUMPRODUCT($BF$4:$BF$146,Schweine_Werte!$CK$4:$CK$146),SUMPRODUCT($BF$4:$BF$146,Schweine_Werte!$BE$4:$BE$146,Schweine_Werte!$BF$4:$BF$146)/SUMPRODUCT($BF$4:$BF$146,Schweine_Werte!$BE$4:$BE$146))))</f>
        <v>#DIV/0!</v>
      </c>
      <c r="AA43" s="885"/>
      <c r="AB43" s="885">
        <f>IF($B48=$A$8,SUMIF(Schweine_Werte!$AO$4:$AO$146,$C48,Schweine_Werte!$EX$4:$EX$146),IF($B48=$A$7,SUMIF(Schweine_Werte!$AO$4:$AO$146,$C48,Schweine_Werte!$DR$4:$DR$146),IF($B48=$A$6,SUMIF(Schweine_Werte!$AO$4:$AO$146,$C48,Schweine_Werte!$CL$4:$CL$146),SUMIF(Schweine_Werte!$AO$4:$AO$146,$C48,Schweine_Werte!$BF$4:$BF$146))))</f>
        <v>0</v>
      </c>
      <c r="AC43" s="885"/>
      <c r="AD43" s="885">
        <f>IF($B48=$A$8,SUMIF(Schweine_Werte!$AO$4:$AO$146,$D48,Schweine_Werte!$EX$4:$EX$146),IF($B48=$A$7,SUMIF(Schweine_Werte!$AO$4:$AO$146,$D48,Schweine_Werte!$DR$4:$DR$146),IF($B48=$A$6,SUMIF(Schweine_Werte!$AO$4:$AO$146,$D48,Schweine_Werte!$CL$4:$CL$146),SUMIF(Schweine_Werte!$AO$4:$AO$146,$D48,Schweine_Werte!$BF$4:$BF$146))))</f>
        <v>0</v>
      </c>
      <c r="AE43" s="885"/>
      <c r="AF43" s="885"/>
      <c r="AG43" s="885" t="e">
        <f>IF($B48=$A$8,SUMPRODUCT($BF$4:$BF$146,Schweine_Werte!$EW$4:$EW$146)/SUM($BF$4:$BF$146),IF($B48=$A$7,SUMPRODUCT($BF$4:$BF$146,Schweine_Werte!$DQ$4:$DQ$146)/SUM($BF$4:$BF$146),IF($B48=$A$6,SUMPRODUCT($BF$4:$BF$146,Schweine_Werte!$CK$4:$CK$146)/SUM($BF$4:$BF$146),SUMPRODUCT($BF$4:$BF$146,Schweine_Werte!$BE$4:$BE$146)/SUM($BF$4:$BF$146))))</f>
        <v>#DIV/0!</v>
      </c>
      <c r="AH43" s="885"/>
      <c r="AI43" s="885"/>
      <c r="AJ43" s="885" t="e">
        <f>IF($B48=$A$8,SUMPRODUCT($BF$4:$BF$146,Schweine_Werte!$EW$4:$EW$146,Schweine_Werte!$EY$4:$EY$146)/SUMPRODUCT($BF$4:$BF$146,Schweine_Werte!$EW$4:$EW$146),IF($B48=$A$7,SUMPRODUCT($BF$4:$BF$146,Schweine_Werte!$DQ$4:$DQ$146,Schweine_Werte!$DS$4:$DS$146)/SUMPRODUCT($BF$4:$BF$146,Schweine_Werte!$DQ$4:$DQ$146),IF($B48=$A$6,SUMPRODUCT($BF$4:$BF$146,Schweine_Werte!$CK$4:$CK$146,Schweine_Werte!$CM$4:$CM$146)/SUMPRODUCT($BF$4:$BF$146,Schweine_Werte!$CK$4:$CK$146),SUMPRODUCT($BF$4:$BF$146,Schweine_Werte!$BE$4:$BE$146,Schweine_Werte!$BG$4:$BG$146)/SUMPRODUCT($BF$4:$BF$146,Schweine_Werte!$BE$4:$BE$146))))</f>
        <v>#DIV/0!</v>
      </c>
      <c r="AK43" s="885"/>
      <c r="AL43" s="885">
        <f>IF($B48=$A$8,SUMIF(Schweine_Werte!$AO$4:$AO$146,$C48,Schweine_Werte!$EY$4:$EY$146),IF($B48=$A$7,SUMIF(Schweine_Werte!$AO$4:$AO$146,$C48,Schweine_Werte!$DS$4:$DS$146),IF($B48=$A$6,SUMIF(Schweine_Werte!$AO$4:$AO$146,$C48,Schweine_Werte!$CM$4:$CM$146),SUMIF(Schweine_Werte!$AO$4:$AO$146,$C48,Schweine_Werte!$BG$4:$BG$146))))</f>
        <v>0</v>
      </c>
      <c r="AM43" s="885"/>
      <c r="AN43" s="885">
        <f>IF($B48=$A$8,SUMIF(Schweine_Werte!$AO$4:$AO$146,$D48,Schweine_Werte!$EY$4:$EY$146),IF($B48=$A$7,SUMIF(Schweine_Werte!$AO$4:$AO$146,$D48,Schweine_Werte!$DS$4:$DS$146),IF($B48=$A$6,SUMIF(Schweine_Werte!$AO$4:$AO$146,$D48,Schweine_Werte!$CM$4:$CM$146),SUMIF(Schweine_Werte!$AO$4:$AO$146,$D48,Schweine_Werte!$BG$4:$BG$146))))</f>
        <v>0</v>
      </c>
      <c r="AO43"/>
      <c r="AR43" s="1733">
        <v>47</v>
      </c>
      <c r="AS43" s="1710">
        <f>IF(OR($C$12=$AR43,$D$12=$AR43),Schweine_Werte!$C43*0.5,IF(OR($C$12&gt;$AR43,$D$12&lt;$AR43),0,Schweine_Werte!$C43))</f>
        <v>0</v>
      </c>
      <c r="AT43" s="1713">
        <f>IF(OR($C$24=$AR43,$D$24=$AR43),Schweine_Werte!$C43*0.5,IF(OR($C$24&gt;$AR43,$D$24&lt;$AR43),0,Schweine_Werte!$C43))</f>
        <v>0</v>
      </c>
      <c r="AU43" s="1710">
        <f>IF(OR($C$36=$AR43,$D$36=$AR43),Schweine_Werte!$C43*0.5,IF(OR($C$36&gt;$AR43,$D$36&lt;$AR43),0,Schweine_Werte!$C43))</f>
        <v>0</v>
      </c>
      <c r="AV43" s="1710">
        <f>IF(OR($C$48=$AR43,$D$48=$AR43),Schweine_Werte!$C43*0.5,IF(OR($C$48&gt;$AR43,$D$48&lt;$AR43),0,Schweine_Werte!$C43))</f>
        <v>0</v>
      </c>
      <c r="AW43" s="1710">
        <f>IF(OR($C$60=$AR43,$D$60=$AR43),Schweine_Werte!$C43*0.5,IF(OR($C$60&gt;$AR43,$D$60&lt;$AR43),0,Schweine_Werte!$C43))</f>
        <v>0</v>
      </c>
      <c r="AX43" s="1710">
        <f>IF(OR($C$12=$AR43,$D$12=$AR43),Schweine_Werte!$E43*0.5,IF(OR($C$12&gt;$AR43,$D$12&lt;$AR43),0,Schweine_Werte!$E43))</f>
        <v>0</v>
      </c>
      <c r="AY43" s="1713">
        <f>IF(OR($C$24=$AR43,$D$24=$AR43),Schweine_Werte!$E43*0.5,IF(OR($C$24&gt;$AR43,$D$24&lt;$AR43),0,Schweine_Werte!$E43))</f>
        <v>0</v>
      </c>
      <c r="AZ43" s="1713">
        <f>IF(OR($C$36=$AR43,$D$36=$AR43),Schweine_Werte!$E43*0.5,IF(OR($C$36&gt;$AR43,$D$36&lt;$AR43),0,Schweine_Werte!$E43))</f>
        <v>0</v>
      </c>
      <c r="BA43" s="1713">
        <f>IF(OR($C$48=$AR43,$D$48=$AR43),Schweine_Werte!$E43*0.5,IF(OR($C$48&gt;$AR43,$D$48&lt;$AR43),0,Schweine_Werte!$E43))</f>
        <v>0</v>
      </c>
      <c r="BB43" s="1713">
        <f>IF(OR($C$60=$AR43,$D$60=$AR43),Schweine_Werte!$E43*0.5,IF(OR($C$60&gt;$AR43,$D$60&lt;$AR43),0,Schweine_Werte!$E43))</f>
        <v>0</v>
      </c>
      <c r="BC43" s="1710">
        <f>IF(OR($C$12=$AR43,$D$12=$AR43),Schweine_Werte!$G43*0.5,IF(OR($C$12&gt;$AR43,$D$12&lt;$AR43),0,Schweine_Werte!$G43))</f>
        <v>0</v>
      </c>
      <c r="BD43" s="1713">
        <f>IF(OR($C$24=$AR43,$D$24=$AR43),Schweine_Werte!$G43*0.5,IF(OR($C$24&gt;$AR43,$D$24&lt;$AR43),0,Schweine_Werte!$G43))</f>
        <v>0</v>
      </c>
      <c r="BE43" s="1713">
        <f>IF(OR($C$36=$AR43,$D$36=$AR43),Schweine_Werte!$G43*0.5,IF(OR($C$36&gt;$AR43,$D$36&lt;$AR43),0,Schweine_Werte!$G43))</f>
        <v>0</v>
      </c>
      <c r="BF43" s="1713">
        <f>IF(OR($C$48=$AR43,$D$48=$AR43),Schweine_Werte!$G43*0.5,IF(OR($C$48&gt;$AR43,$D$48&lt;$AR43),0,Schweine_Werte!$G43))</f>
        <v>0</v>
      </c>
      <c r="BG43" s="1713">
        <f>IF(OR($C$60=$AR43,$D$60=$AR43),Schweine_Werte!$G43*0.5,IF(OR($C$60&gt;$AR43,$D$60&lt;$AR43),0,Schweine_Werte!$G43))</f>
        <v>0</v>
      </c>
      <c r="BH43" s="1710">
        <f>IF(OR($C$12=$AR43,$D$12=$AR43),Schweine_Werte!$I43*0.5,IF(OR($C$12&gt;$AR43,$D$12&lt;$AR43),0,Schweine_Werte!$I43))</f>
        <v>0</v>
      </c>
      <c r="BI43" s="1713">
        <f>IF(OR($C$24=$AR43,$D$24=$AR43),Schweine_Werte!$I43*0.5,IF(OR($C$24&gt;$AR43,$D$24&lt;$AR43),0,Schweine_Werte!$I43))</f>
        <v>0</v>
      </c>
      <c r="BJ43" s="1713">
        <f>IF(OR($C$36=$AR43,$D$36=$AR43),Schweine_Werte!$I43*0.5,IF(OR($C$36&gt;$AR43,$D$36&lt;$AR43),0,Schweine_Werte!$I43))</f>
        <v>0</v>
      </c>
      <c r="BK43" s="1713">
        <f>IF(OR($C$48=$AR43,$D$48=$AR43),Schweine_Werte!$I43*0.5,IF(OR($C$48&gt;$AR43,$D$48&lt;$AR43),0,Schweine_Werte!$I43))</f>
        <v>0</v>
      </c>
      <c r="BL43" s="1713">
        <f>IF(OR($C$60=$AR43,$D$60=$AR43),Schweine_Werte!$I43*0.5,IF(OR($C$60&gt;$AR43,$D$60&lt;$AR43),0,Schweine_Werte!$I43))</f>
        <v>0</v>
      </c>
      <c r="BM43" s="1710">
        <f>IF(OR($C$12=$AR43,$D$12=$AR43),Schweine_Werte!$K43*0.5,IF(OR($C$12&gt;$AR43,$D$12&lt;$AR43),0,Schweine_Werte!$K43))</f>
        <v>0</v>
      </c>
      <c r="BN43" s="1713">
        <f>IF(OR($C$24=$AR43,$D$24=$AR43),Schweine_Werte!$K43*0.5,IF(OR($C$24&gt;$AR43,$D$24&lt;$AR43),0,Schweine_Werte!$K43))</f>
        <v>0</v>
      </c>
      <c r="BO43" s="1713">
        <f>IF(OR($C$36=$AR43,$D$36=$AR43),Schweine_Werte!$K43*0.5,IF(OR($C$36&gt;$AR43,$D$36&lt;$AR43),0,Schweine_Werte!$K43))</f>
        <v>0</v>
      </c>
      <c r="BP43" s="1713">
        <f>IF(OR($C$48=$AR43,$D$48=$AR43),Schweine_Werte!$K43*0.5,IF(OR($C$48&gt;$AR43,$D$48&lt;$AR43),0,Schweine_Werte!$K43))</f>
        <v>0</v>
      </c>
      <c r="BQ43" s="1713">
        <f>IF(OR($C$60=$AR43,$D$60=$AR43),Schweine_Werte!$K43*0.5,IF(OR($C$60&gt;$AR43,$D$60&lt;$AR43),0,Schweine_Werte!$K43))</f>
        <v>0</v>
      </c>
      <c r="BR43" s="1710">
        <f>IF(OR($C$74=$AR43,$D$74=$AR43),Schweine_Werte!$M43*0.5,IF(OR($C$74&gt;$AR43,$D$74&lt;$AR43),0,Schweine_Werte!$M43))</f>
        <v>0</v>
      </c>
      <c r="BS43" s="1710">
        <f>IF(OR($C$83=$AR43,$D$83=$AR43),Schweine_Werte!$M43*0.5,IF(OR($C$83&gt;$AR43,$D$83&lt;$AR43),0,Schweine_Werte!$M43))</f>
        <v>0</v>
      </c>
      <c r="BT43" s="1714">
        <f>IF(OR($C$92=$AR43,$D$92=$AR43),Schweine_Werte!$M43*0.5,IF(OR($C$92&gt;$AR43,$D$92&lt;$AR43),0,Schweine_Werte!$M43))</f>
        <v>0</v>
      </c>
      <c r="BU43" s="1714">
        <f>IF(OR($C$101=$AR43,$D$101=$AR43),Schweine_Werte!$M43*0.5,IF(OR($C$101&gt;$AR43,$D$101&lt;$AR43),0,Schweine_Werte!$M43))</f>
        <v>0</v>
      </c>
      <c r="BV43" s="1714">
        <f>IF(OR($C$110=$AR43,$D$110=$AR43),Schweine_Werte!$M43*0.5,IF(OR($C$110&gt;$AR43,$D$110&lt;$AR43),0,Schweine_Werte!$M43))</f>
        <v>0</v>
      </c>
      <c r="BW43" s="1714">
        <f>IF(OR(8=$AR43,$E$127=$AR43),Schweine_Werte!$M43*0.5,IF(OR(8&gt;$AR43,$E$127&lt;$AR43),0,Schweine_Werte!$M43))</f>
        <v>1.2358690906989118</v>
      </c>
      <c r="BX43" s="1714">
        <f>IF(OR(8=$AR43,$E$145=$AR43),Schweine_Werte!$M43*0.5,IF(OR(8&gt;$AR43,$E$145&lt;$AR43),0,Schweine_Werte!$M43))</f>
        <v>1.2358690906989118</v>
      </c>
      <c r="BY43" s="1710">
        <f>IF(OR($C$74=$AR43,$D$74=$AR43),Schweine_Werte!$O43*0.5,IF(OR($C$74&gt;$AR43,$D$74&lt;$AR43),0,Schweine_Werte!$O43))</f>
        <v>0</v>
      </c>
      <c r="BZ43" s="1710">
        <f>IF(OR($C$83=$AR43,$D$83=$AR43),Schweine_Werte!$O43*0.5,IF(OR($C$83&gt;$AR43,$D$83&lt;$AR43),0,Schweine_Werte!$O43))</f>
        <v>0</v>
      </c>
      <c r="CA43" s="1714">
        <f>IF(OR($C$92=$AR43,$D$92=$AR43),Schweine_Werte!$O43*0.5,IF(OR($C$92&gt;$AR43,$D$92&lt;$AR43),0,Schweine_Werte!$O43))</f>
        <v>0</v>
      </c>
      <c r="CB43" s="1714">
        <f>IF(OR($C$101=$AR43,$D$101=$AR43),Schweine_Werte!$O43*0.5,IF(OR($C$101&gt;$AR43,$D$101&lt;$AR43),0,Schweine_Werte!$O43))</f>
        <v>0</v>
      </c>
      <c r="CC43" s="1714">
        <f>IF(OR($C$110=$AR43,$D$110=$AR43),Schweine_Werte!$O43*0.5,IF(OR($C$110&gt;$AR43,$D$110&lt;$AR43),0,Schweine_Werte!$O43))</f>
        <v>0</v>
      </c>
    </row>
    <row r="44" spans="1:81" x14ac:dyDescent="0.25">
      <c r="B44" s="1712">
        <v>950</v>
      </c>
      <c r="C44"/>
      <c r="D44" s="885"/>
      <c r="E44" s="885" t="e">
        <f>($D48-$C48)*1000/SUM($BK$4:$BK$146)</f>
        <v>#VALUE!</v>
      </c>
      <c r="F44" s="885" t="e">
        <f>SUMPRODUCT($BK$4:$BK$146,Schweine_Werte!$T$4:$T$146)/SUM($BK$4:$BK$146)</f>
        <v>#DIV/0!</v>
      </c>
      <c r="G44" s="885" t="e">
        <f>IF($B48=$A$8,SUMPRODUCT($BK$4:$BK$146,Schweine_Werte!EZ$4:EZ$146)/SUM($BK$4:$BK$146),IF($B48=$A$7,SUMPRODUCT($BK$4:$BK$146,Schweine_Werte!DT$4:DT$146)/SUM($BK$4:$BK$146),IF($B48=$A$6,SUMPRODUCT($BK$4:$BK$146,Schweine_Werte!CN$4:CN$146)/SUM($BK$4:$BK$146),SUMPRODUCT($BK$4:$BK$146,Schweine_Werte!BH$4:BH$146)/SUM($BK$4:$BK$146))))</f>
        <v>#DIV/0!</v>
      </c>
      <c r="H44" s="885" t="e">
        <f>IF($B48=$A$8,SUMPRODUCT($BK$4:$BK$146,Schweine_Werte!FA$4:FA$146)/SUM($BK$4:$BK$146),IF($B48=$A$7,SUMPRODUCT($BK$4:$BK$146,Schweine_Werte!DU$4:DU$146)/SUM($BK$4:$BK$146),IF($B48=$A$6,SUMPRODUCT($BK$4:$BK$146,Schweine_Werte!CO$4:CO$146)/SUM($BK$4:$BK$146),SUMPRODUCT($BK$4:$BK$146,Schweine_Werte!BI$4:BI$146)/SUM($BK$4:$BK$146))))</f>
        <v>#DIV/0!</v>
      </c>
      <c r="I44" s="885" t="e">
        <f>IF($B48=$A$8,SUMPRODUCT($BK$4:$BK$146,Schweine_Werte!FB$4:FB$146)/SUM($BK$4:$BK$146),IF($B48=$A$7,SUMPRODUCT($BK$4:$BK$146,Schweine_Werte!DV$4:DV$146)/SUM($BK$4:$BK$146),IF($B48=$A$6,SUMPRODUCT($BK$4:$BK$146,Schweine_Werte!CP$4:CP$146)/SUM($BK$4:$BK$146),SUMPRODUCT($BK$4:$BK$146,Schweine_Werte!BJ$4:BJ$146)/SUM($BK$4:$BK$146))))</f>
        <v>#DIV/0!</v>
      </c>
      <c r="J44" s="885" t="e">
        <f>SUMPRODUCT($BK$4:$BK$146,Schweine_Werte!$AB$4:$AB$146)/SUM($BK$4:$BK$146)</f>
        <v>#DIV/0!</v>
      </c>
      <c r="K44" s="885" t="e">
        <f>SUMPRODUCT($BK$4:$BK$146,Schweine_Werte!$AJ$4:$AJ$146)/SUM($BK$4:$BK$146)</f>
        <v>#DIV/0!</v>
      </c>
      <c r="L44" s="1914" t="e">
        <f>T44*$F44*365/1000+$J44-$K44</f>
        <v>#DIV/0!</v>
      </c>
      <c r="M44" s="885" t="e">
        <f>U44*$F44*365/1000+$J44-$K44/2</f>
        <v>#DIV/0!</v>
      </c>
      <c r="N44" s="885" t="e">
        <f>V44*$F44*365/1000+$J44</f>
        <v>#DIV/0!</v>
      </c>
      <c r="O44" s="885">
        <f>IF($C48&lt;28,SUM($BK$4:$BK$23)+IF($D48&gt;28,$BK$24*0.5,$BK$24),0)</f>
        <v>0</v>
      </c>
      <c r="P44" s="885">
        <f>IF($D48&gt;28,SUM($BK$25:$BK$146)+IF($C48&lt;28,$BK$24*0.5,$BK$24),0)</f>
        <v>0</v>
      </c>
      <c r="Q44" s="885" t="e">
        <f t="shared" si="9"/>
        <v>#DIV/0!</v>
      </c>
      <c r="R44" s="885" t="e">
        <f t="shared" si="9"/>
        <v>#DIV/0!</v>
      </c>
      <c r="S44" s="885" t="e">
        <f t="shared" si="9"/>
        <v>#DIV/0!</v>
      </c>
      <c r="T44" s="885" t="e">
        <f>+($O44*Schweine_Werte!$HT$8+$P44*Schweine_Werte!$HU$8)/SUM($O44:$P44)</f>
        <v>#DIV/0!</v>
      </c>
      <c r="U44" s="885" t="e">
        <f>+($O44*Schweine_Werte!$HV$8+$P44*Schweine_Werte!$HW$8)/SUM($O44:$P44)</f>
        <v>#DIV/0!</v>
      </c>
      <c r="V44" s="885" t="e">
        <f>+($O44*Schweine_Werte!$HX$8+$P44*Schweine_Werte!$HY$8)/SUM($O44:$P44)</f>
        <v>#DIV/0!</v>
      </c>
      <c r="W44" s="1915" t="e">
        <f>($J44*0.055+T44*0.365*0.86*$F44-$K44*0.018)/L44*100</f>
        <v>#DIV/0!</v>
      </c>
      <c r="X44" s="885" t="e">
        <f>($J44*0.055+U44*0.365*0.86*$F44-$K44*0.018/2)/M44*100</f>
        <v>#DIV/0!</v>
      </c>
      <c r="Y44" s="885" t="e">
        <f>($J44*0.055+V44*0.365*0.86*$F44)/N44*100</f>
        <v>#DIV/0!</v>
      </c>
      <c r="Z44" s="885" t="e">
        <f>IF($B48=$A$8,SUMPRODUCT($BK$4:$BK$146,Schweine_Werte!$FC$4:$FC$146,Schweine_Werte!$FD$4:$FD$146)/SUMPRODUCT($BK$4:$BK$146,Schweine_Werte!$FC$4:$FC$146),IF($B48=$A$7,SUMPRODUCT($BK$4:$BK$146,Schweine_Werte!$DW$4:$DW$146,Schweine_Werte!$DX$4:$DX$146)/SUMPRODUCT($BK$4:$BK$146,Schweine_Werte!$DW$4:$DW$146),IF($B48=$A$6,SUMPRODUCT($BK$4:$BK$146,Schweine_Werte!$CQ$4:$CQ$146,Schweine_Werte!$CR$4:$CR$146)/SUMPRODUCT($BK$4:$BK$146,Schweine_Werte!$CQ$4:$CQ$146),SUMPRODUCT($BK$4:$BK$146,Schweine_Werte!$BK$4:$BK$146,Schweine_Werte!$BL$4:$BL$146)/SUMPRODUCT($BK$4:$BK$146,Schweine_Werte!$BK$4:$BK$146))))</f>
        <v>#DIV/0!</v>
      </c>
      <c r="AA44" s="885"/>
      <c r="AB44" s="885">
        <f>IF($B48=$A$8,SUMIF(Schweine_Werte!$AO$4:$AO$146,$C48,Schweine_Werte!$FD$4:$FD$146),IF($B48=$A$7,SUMIF(Schweine_Werte!$AO$4:$AO$146,$C48,Schweine_Werte!$DX$4:$DX$146),IF($B48=$A$6,SUMIF(Schweine_Werte!$AO$4:$AO$146,$C48,Schweine_Werte!$CR$4:$CR$146),SUMIF(Schweine_Werte!$AO$4:$AO$146,$C48,Schweine_Werte!$BL$4:$BL$146))))</f>
        <v>0</v>
      </c>
      <c r="AC44" s="885"/>
      <c r="AD44" s="885">
        <f>IF($B48=$A$8,SUMIF(Schweine_Werte!$AO$4:$AO$146,$D48,Schweine_Werte!$FD$4:$FD$146),IF($B48=$A$7,SUMIF(Schweine_Werte!$AO$4:$AO$146,$D48,Schweine_Werte!$DX$4:$DX$146),IF($B48=$A$6,SUMIF(Schweine_Werte!$AO$4:$AO$146,$D48,Schweine_Werte!$CR$4:$CR$146),SUMIF(Schweine_Werte!$AO$4:$AO$146,$D48,Schweine_Werte!$BL$4:$BL$146))))</f>
        <v>0</v>
      </c>
      <c r="AE44" s="885"/>
      <c r="AF44" s="885"/>
      <c r="AG44" s="885" t="e">
        <f>IF($B48=$A$8,SUMPRODUCT($BK$4:$BK$146,Schweine_Werte!$FC$4:$FC$146)/SUM($BK$4:$BK$146),IF($B48=$A$7,SUMPRODUCT($BK$4:$BK$146,Schweine_Werte!$DW$4:$DW$146)/SUM($BK$4:$BK$146),IF($B48=$A$6,SUMPRODUCT($BK$4:$BK$146,Schweine_Werte!$CQ$4:$CQ$146)/SUM($BK$4:$BK$146),SUMPRODUCT($BK$4:$BK$146,Schweine_Werte!$BK$4:$BK$146)/SUM($BK$4:$BK$146))))</f>
        <v>#DIV/0!</v>
      </c>
      <c r="AH44" s="885"/>
      <c r="AI44" s="885"/>
      <c r="AJ44" s="885" t="e">
        <f>IF($B48=$A$8,SUMPRODUCT($BK$4:$BK$146,Schweine_Werte!$FC$4:$FC$146,Schweine_Werte!$FE$4:$FE$146)/SUMPRODUCT($BK$4:$BK$146,Schweine_Werte!$FC$4:$FC$146),IF($B48=$A$7,SUMPRODUCT($BK$4:$BK$146,Schweine_Werte!$DW$4:$DW$146,Schweine_Werte!$DY$4:$DY$146)/SUMPRODUCT($BK$4:$BK$146,Schweine_Werte!$DW$4:$DW$146),IF($B48=$A$6,SUMPRODUCT($BK$4:$BK$146,Schweine_Werte!$CQ$4:$CQ$146,Schweine_Werte!$CS$4:$CS$146)/SUMPRODUCT($BK$4:$BK$146,Schweine_Werte!$CQ$4:$CQ$146),SUMPRODUCT($BK$4:$BK$146,Schweine_Werte!$BK$4:$BK$146,Schweine_Werte!$BM$4:$BM$146)/SUMPRODUCT($BK$4:$BK$146,Schweine_Werte!$BK$4:$BK$146))))</f>
        <v>#DIV/0!</v>
      </c>
      <c r="AK44" s="885"/>
      <c r="AL44" s="885">
        <f>IF($B48=$A$8,SUMIF(Schweine_Werte!$AO$4:$AO$146,$C48,Schweine_Werte!$FE$4:$FE$146),IF($B48=$A$7,SUMIF(Schweine_Werte!$AO$4:$AO$146,$C48,Schweine_Werte!$DY$4:$DY$146),IF($B48=$A$6,SUMIF(Schweine_Werte!$AO$4:$AO$146,$C48,Schweine_Werte!$CS$4:$CS$146),SUMIF(Schweine_Werte!$AO$4:$AO$146,$C48,Schweine_Werte!$BM$4:$BM$146))))</f>
        <v>0</v>
      </c>
      <c r="AM44" s="885"/>
      <c r="AN44" s="885">
        <f>IF($B48=$A$8,SUMIF(Schweine_Werte!$AO$4:$AO$146,$D48,Schweine_Werte!$FE$4:$FE$146),IF($B48=$A$7,SUMIF(Schweine_Werte!$AO$4:$AO$146,$D48,Schweine_Werte!$DY$4:$DY$146),IF($B48=$A$6,SUMIF(Schweine_Werte!$AO$4:$AO$146,$D48,Schweine_Werte!$CS$4:$CS$146),SUMIF(Schweine_Werte!$AO$4:$AO$146,$D48,Schweine_Werte!$BM$4:$BM$146))))</f>
        <v>0</v>
      </c>
      <c r="AO44"/>
      <c r="AR44" s="1733">
        <v>48</v>
      </c>
      <c r="AS44" s="1710">
        <f>IF(OR($C$12=$AR44,$D$12=$AR44),Schweine_Werte!$C44*0.5,IF(OR($C$12&gt;$AR44,$D$12&lt;$AR44),0,Schweine_Werte!$C44))</f>
        <v>0</v>
      </c>
      <c r="AT44" s="1713">
        <f>IF(OR($C$24=$AR44,$D$24=$AR44),Schweine_Werte!$C44*0.5,IF(OR($C$24&gt;$AR44,$D$24&lt;$AR44),0,Schweine_Werte!$C44))</f>
        <v>0</v>
      </c>
      <c r="AU44" s="1710">
        <f>IF(OR($C$36=$AR44,$D$36=$AR44),Schweine_Werte!$C44*0.5,IF(OR($C$36&gt;$AR44,$D$36&lt;$AR44),0,Schweine_Werte!$C44))</f>
        <v>0</v>
      </c>
      <c r="AV44" s="1710">
        <f>IF(OR($C$48=$AR44,$D$48=$AR44),Schweine_Werte!$C44*0.5,IF(OR($C$48&gt;$AR44,$D$48&lt;$AR44),0,Schweine_Werte!$C44))</f>
        <v>0</v>
      </c>
      <c r="AW44" s="1710">
        <f>IF(OR($C$60=$AR44,$D$60=$AR44),Schweine_Werte!$C44*0.5,IF(OR($C$60&gt;$AR44,$D$60&lt;$AR44),0,Schweine_Werte!$C44))</f>
        <v>0</v>
      </c>
      <c r="AX44" s="1710">
        <f>IF(OR($C$12=$AR44,$D$12=$AR44),Schweine_Werte!$E44*0.5,IF(OR($C$12&gt;$AR44,$D$12&lt;$AR44),0,Schweine_Werte!$E44))</f>
        <v>0</v>
      </c>
      <c r="AY44" s="1713">
        <f>IF(OR($C$24=$AR44,$D$24=$AR44),Schweine_Werte!$E44*0.5,IF(OR($C$24&gt;$AR44,$D$24&lt;$AR44),0,Schweine_Werte!$E44))</f>
        <v>0</v>
      </c>
      <c r="AZ44" s="1713">
        <f>IF(OR($C$36=$AR44,$D$36=$AR44),Schweine_Werte!$E44*0.5,IF(OR($C$36&gt;$AR44,$D$36&lt;$AR44),0,Schweine_Werte!$E44))</f>
        <v>0</v>
      </c>
      <c r="BA44" s="1713">
        <f>IF(OR($C$48=$AR44,$D$48=$AR44),Schweine_Werte!$E44*0.5,IF(OR($C$48&gt;$AR44,$D$48&lt;$AR44),0,Schweine_Werte!$E44))</f>
        <v>0</v>
      </c>
      <c r="BB44" s="1713">
        <f>IF(OR($C$60=$AR44,$D$60=$AR44),Schweine_Werte!$E44*0.5,IF(OR($C$60&gt;$AR44,$D$60&lt;$AR44),0,Schweine_Werte!$E44))</f>
        <v>0</v>
      </c>
      <c r="BC44" s="1710">
        <f>IF(OR($C$12=$AR44,$D$12=$AR44),Schweine_Werte!$G44*0.5,IF(OR($C$12&gt;$AR44,$D$12&lt;$AR44),0,Schweine_Werte!$G44))</f>
        <v>0</v>
      </c>
      <c r="BD44" s="1713">
        <f>IF(OR($C$24=$AR44,$D$24=$AR44),Schweine_Werte!$G44*0.5,IF(OR($C$24&gt;$AR44,$D$24&lt;$AR44),0,Schweine_Werte!$G44))</f>
        <v>0</v>
      </c>
      <c r="BE44" s="1713">
        <f>IF(OR($C$36=$AR44,$D$36=$AR44),Schweine_Werte!$G44*0.5,IF(OR($C$36&gt;$AR44,$D$36&lt;$AR44),0,Schweine_Werte!$G44))</f>
        <v>0</v>
      </c>
      <c r="BF44" s="1713">
        <f>IF(OR($C$48=$AR44,$D$48=$AR44),Schweine_Werte!$G44*0.5,IF(OR($C$48&gt;$AR44,$D$48&lt;$AR44),0,Schweine_Werte!$G44))</f>
        <v>0</v>
      </c>
      <c r="BG44" s="1713">
        <f>IF(OR($C$60=$AR44,$D$60=$AR44),Schweine_Werte!$G44*0.5,IF(OR($C$60&gt;$AR44,$D$60&lt;$AR44),0,Schweine_Werte!$G44))</f>
        <v>0</v>
      </c>
      <c r="BH44" s="1710">
        <f>IF(OR($C$12=$AR44,$D$12=$AR44),Schweine_Werte!$I44*0.5,IF(OR($C$12&gt;$AR44,$D$12&lt;$AR44),0,Schweine_Werte!$I44))</f>
        <v>0</v>
      </c>
      <c r="BI44" s="1713">
        <f>IF(OR($C$24=$AR44,$D$24=$AR44),Schweine_Werte!$I44*0.5,IF(OR($C$24&gt;$AR44,$D$24&lt;$AR44),0,Schweine_Werte!$I44))</f>
        <v>0</v>
      </c>
      <c r="BJ44" s="1713">
        <f>IF(OR($C$36=$AR44,$D$36=$AR44),Schweine_Werte!$I44*0.5,IF(OR($C$36&gt;$AR44,$D$36&lt;$AR44),0,Schweine_Werte!$I44))</f>
        <v>0</v>
      </c>
      <c r="BK44" s="1713">
        <f>IF(OR($C$48=$AR44,$D$48=$AR44),Schweine_Werte!$I44*0.5,IF(OR($C$48&gt;$AR44,$D$48&lt;$AR44),0,Schweine_Werte!$I44))</f>
        <v>0</v>
      </c>
      <c r="BL44" s="1713">
        <f>IF(OR($C$60=$AR44,$D$60=$AR44),Schweine_Werte!$I44*0.5,IF(OR($C$60&gt;$AR44,$D$60&lt;$AR44),0,Schweine_Werte!$I44))</f>
        <v>0</v>
      </c>
      <c r="BM44" s="1710">
        <f>IF(OR($C$12=$AR44,$D$12=$AR44),Schweine_Werte!$K44*0.5,IF(OR($C$12&gt;$AR44,$D$12&lt;$AR44),0,Schweine_Werte!$K44))</f>
        <v>0</v>
      </c>
      <c r="BN44" s="1713">
        <f>IF(OR($C$24=$AR44,$D$24=$AR44),Schweine_Werte!$K44*0.5,IF(OR($C$24&gt;$AR44,$D$24&lt;$AR44),0,Schweine_Werte!$K44))</f>
        <v>0</v>
      </c>
      <c r="BO44" s="1713">
        <f>IF(OR($C$36=$AR44,$D$36=$AR44),Schweine_Werte!$K44*0.5,IF(OR($C$36&gt;$AR44,$D$36&lt;$AR44),0,Schweine_Werte!$K44))</f>
        <v>0</v>
      </c>
      <c r="BP44" s="1713">
        <f>IF(OR($C$48=$AR44,$D$48=$AR44),Schweine_Werte!$K44*0.5,IF(OR($C$48&gt;$AR44,$D$48&lt;$AR44),0,Schweine_Werte!$K44))</f>
        <v>0</v>
      </c>
      <c r="BQ44" s="1713">
        <f>IF(OR($C$60=$AR44,$D$60=$AR44),Schweine_Werte!$K44*0.5,IF(OR($C$60&gt;$AR44,$D$60&lt;$AR44),0,Schweine_Werte!$K44))</f>
        <v>0</v>
      </c>
      <c r="BR44" s="1710">
        <f>IF(OR($C$74=$AR44,$D$74=$AR44),Schweine_Werte!$M44*0.5,IF(OR($C$74&gt;$AR44,$D$74&lt;$AR44),0,Schweine_Werte!$M44))</f>
        <v>0</v>
      </c>
      <c r="BS44" s="1710">
        <f>IF(OR($C$83=$AR44,$D$83=$AR44),Schweine_Werte!$M44*0.5,IF(OR($C$83&gt;$AR44,$D$83&lt;$AR44),0,Schweine_Werte!$M44))</f>
        <v>0</v>
      </c>
      <c r="BT44" s="1714">
        <f>IF(OR($C$92=$AR44,$D$92=$AR44),Schweine_Werte!$M44*0.5,IF(OR($C$92&gt;$AR44,$D$92&lt;$AR44),0,Schweine_Werte!$M44))</f>
        <v>0</v>
      </c>
      <c r="BU44" s="1714">
        <f>IF(OR($C$101=$AR44,$D$101=$AR44),Schweine_Werte!$M44*0.5,IF(OR($C$101&gt;$AR44,$D$101&lt;$AR44),0,Schweine_Werte!$M44))</f>
        <v>0</v>
      </c>
      <c r="BV44" s="1714">
        <f>IF(OR($C$110=$AR44,$D$110=$AR44),Schweine_Werte!$M44*0.5,IF(OR($C$110&gt;$AR44,$D$110&lt;$AR44),0,Schweine_Werte!$M44))</f>
        <v>0</v>
      </c>
      <c r="BW44" s="1714">
        <f>IF(OR(8=$AR44,$E$127=$AR44),Schweine_Werte!$M44*0.5,IF(OR(8&gt;$AR44,$E$127&lt;$AR44),0,Schweine_Werte!$M44))</f>
        <v>1.2246885195813491</v>
      </c>
      <c r="BX44" s="1714">
        <f>IF(OR(8=$AR44,$E$145=$AR44),Schweine_Werte!$M44*0.5,IF(OR(8&gt;$AR44,$E$145&lt;$AR44),0,Schweine_Werte!$M44))</f>
        <v>1.2246885195813491</v>
      </c>
      <c r="BY44" s="1710">
        <f>IF(OR($C$74=$AR44,$D$74=$AR44),Schweine_Werte!$O44*0.5,IF(OR($C$74&gt;$AR44,$D$74&lt;$AR44),0,Schweine_Werte!$O44))</f>
        <v>0</v>
      </c>
      <c r="BZ44" s="1710">
        <f>IF(OR($C$83=$AR44,$D$83=$AR44),Schweine_Werte!$O44*0.5,IF(OR($C$83&gt;$AR44,$D$83&lt;$AR44),0,Schweine_Werte!$O44))</f>
        <v>0</v>
      </c>
      <c r="CA44" s="1714">
        <f>IF(OR($C$92=$AR44,$D$92=$AR44),Schweine_Werte!$O44*0.5,IF(OR($C$92&gt;$AR44,$D$92&lt;$AR44),0,Schweine_Werte!$O44))</f>
        <v>0</v>
      </c>
      <c r="CB44" s="1714">
        <f>IF(OR($C$101=$AR44,$D$101=$AR44),Schweine_Werte!$O44*0.5,IF(OR($C$101&gt;$AR44,$D$101&lt;$AR44),0,Schweine_Werte!$O44))</f>
        <v>0</v>
      </c>
      <c r="CC44" s="1714">
        <f>IF(OR($C$110=$AR44,$D$110=$AR44),Schweine_Werte!$O44*0.5,IF(OR($C$110&gt;$AR44,$D$110&lt;$AR44),0,Schweine_Werte!$O44))</f>
        <v>0</v>
      </c>
    </row>
    <row r="45" spans="1:81" x14ac:dyDescent="0.25">
      <c r="B45" s="1712"/>
      <c r="D45" s="1713"/>
      <c r="E45" s="1713"/>
      <c r="F45" s="1713"/>
      <c r="G45" s="1713"/>
      <c r="H45" s="1713"/>
      <c r="I45" s="1713"/>
      <c r="J45" s="1713"/>
      <c r="K45" s="1713"/>
      <c r="L45" s="1713"/>
      <c r="M45" s="1713"/>
      <c r="N45" s="1713"/>
      <c r="O45" s="1713"/>
      <c r="P45" s="1713"/>
      <c r="Q45" s="1713"/>
      <c r="R45" s="1713"/>
      <c r="S45" s="1713"/>
      <c r="T45" s="1713"/>
      <c r="U45" s="1713"/>
      <c r="V45" s="1713"/>
      <c r="W45" s="1699"/>
      <c r="X45" s="1713"/>
      <c r="Y45" s="1713"/>
      <c r="Z45" s="1713"/>
      <c r="AA45" s="1713"/>
      <c r="AB45" s="1713"/>
      <c r="AC45" s="1713"/>
      <c r="AD45" s="1713"/>
      <c r="AE45" s="1713"/>
      <c r="AF45" s="1713"/>
      <c r="AG45" s="1713"/>
      <c r="AH45" s="1713"/>
      <c r="AI45" s="1713"/>
      <c r="AJ45" s="1713"/>
      <c r="AK45" s="1713"/>
      <c r="AL45" s="1713"/>
      <c r="AM45" s="1713"/>
      <c r="AN45" s="1713"/>
      <c r="AR45" s="1733">
        <v>49</v>
      </c>
      <c r="AS45" s="1710">
        <f>IF(OR($C$12=$AR45,$D$12=$AR45),Schweine_Werte!$C45*0.5,IF(OR($C$12&gt;$AR45,$D$12&lt;$AR45),0,Schweine_Werte!$C45))</f>
        <v>0</v>
      </c>
      <c r="AT45" s="1713">
        <f>IF(OR($C$24=$AR45,$D$24=$AR45),Schweine_Werte!$C45*0.5,IF(OR($C$24&gt;$AR45,$D$24&lt;$AR45),0,Schweine_Werte!$C45))</f>
        <v>0</v>
      </c>
      <c r="AU45" s="1710">
        <f>IF(OR($C$36=$AR45,$D$36=$AR45),Schweine_Werte!$C45*0.5,IF(OR($C$36&gt;$AR45,$D$36&lt;$AR45),0,Schweine_Werte!$C45))</f>
        <v>0</v>
      </c>
      <c r="AV45" s="1710">
        <f>IF(OR($C$48=$AR45,$D$48=$AR45),Schweine_Werte!$C45*0.5,IF(OR($C$48&gt;$AR45,$D$48&lt;$AR45),0,Schweine_Werte!$C45))</f>
        <v>0</v>
      </c>
      <c r="AW45" s="1710">
        <f>IF(OR($C$60=$AR45,$D$60=$AR45),Schweine_Werte!$C45*0.5,IF(OR($C$60&gt;$AR45,$D$60&lt;$AR45),0,Schweine_Werte!$C45))</f>
        <v>0</v>
      </c>
      <c r="AX45" s="1710">
        <f>IF(OR($C$12=$AR45,$D$12=$AR45),Schweine_Werte!$E45*0.5,IF(OR($C$12&gt;$AR45,$D$12&lt;$AR45),0,Schweine_Werte!$E45))</f>
        <v>0</v>
      </c>
      <c r="AY45" s="1713">
        <f>IF(OR($C$24=$AR45,$D$24=$AR45),Schweine_Werte!$E45*0.5,IF(OR($C$24&gt;$AR45,$D$24&lt;$AR45),0,Schweine_Werte!$E45))</f>
        <v>0</v>
      </c>
      <c r="AZ45" s="1713">
        <f>IF(OR($C$36=$AR45,$D$36=$AR45),Schweine_Werte!$E45*0.5,IF(OR($C$36&gt;$AR45,$D$36&lt;$AR45),0,Schweine_Werte!$E45))</f>
        <v>0</v>
      </c>
      <c r="BA45" s="1713">
        <f>IF(OR($C$48=$AR45,$D$48=$AR45),Schweine_Werte!$E45*0.5,IF(OR($C$48&gt;$AR45,$D$48&lt;$AR45),0,Schweine_Werte!$E45))</f>
        <v>0</v>
      </c>
      <c r="BB45" s="1713">
        <f>IF(OR($C$60=$AR45,$D$60=$AR45),Schweine_Werte!$E45*0.5,IF(OR($C$60&gt;$AR45,$D$60&lt;$AR45),0,Schweine_Werte!$E45))</f>
        <v>0</v>
      </c>
      <c r="BC45" s="1710">
        <f>IF(OR($C$12=$AR45,$D$12=$AR45),Schweine_Werte!$G45*0.5,IF(OR($C$12&gt;$AR45,$D$12&lt;$AR45),0,Schweine_Werte!$G45))</f>
        <v>0</v>
      </c>
      <c r="BD45" s="1713">
        <f>IF(OR($C$24=$AR45,$D$24=$AR45),Schweine_Werte!$G45*0.5,IF(OR($C$24&gt;$AR45,$D$24&lt;$AR45),0,Schweine_Werte!$G45))</f>
        <v>0</v>
      </c>
      <c r="BE45" s="1713">
        <f>IF(OR($C$36=$AR45,$D$36=$AR45),Schweine_Werte!$G45*0.5,IF(OR($C$36&gt;$AR45,$D$36&lt;$AR45),0,Schweine_Werte!$G45))</f>
        <v>0</v>
      </c>
      <c r="BF45" s="1713">
        <f>IF(OR($C$48=$AR45,$D$48=$AR45),Schweine_Werte!$G45*0.5,IF(OR($C$48&gt;$AR45,$D$48&lt;$AR45),0,Schweine_Werte!$G45))</f>
        <v>0</v>
      </c>
      <c r="BG45" s="1713">
        <f>IF(OR($C$60=$AR45,$D$60=$AR45),Schweine_Werte!$G45*0.5,IF(OR($C$60&gt;$AR45,$D$60&lt;$AR45),0,Schweine_Werte!$G45))</f>
        <v>0</v>
      </c>
      <c r="BH45" s="1710">
        <f>IF(OR($C$12=$AR45,$D$12=$AR45),Schweine_Werte!$I45*0.5,IF(OR($C$12&gt;$AR45,$D$12&lt;$AR45),0,Schweine_Werte!$I45))</f>
        <v>0</v>
      </c>
      <c r="BI45" s="1713">
        <f>IF(OR($C$24=$AR45,$D$24=$AR45),Schweine_Werte!$I45*0.5,IF(OR($C$24&gt;$AR45,$D$24&lt;$AR45),0,Schweine_Werte!$I45))</f>
        <v>0</v>
      </c>
      <c r="BJ45" s="1713">
        <f>IF(OR($C$36=$AR45,$D$36=$AR45),Schweine_Werte!$I45*0.5,IF(OR($C$36&gt;$AR45,$D$36&lt;$AR45),0,Schweine_Werte!$I45))</f>
        <v>0</v>
      </c>
      <c r="BK45" s="1713">
        <f>IF(OR($C$48=$AR45,$D$48=$AR45),Schweine_Werte!$I45*0.5,IF(OR($C$48&gt;$AR45,$D$48&lt;$AR45),0,Schweine_Werte!$I45))</f>
        <v>0</v>
      </c>
      <c r="BL45" s="1713">
        <f>IF(OR($C$60=$AR45,$D$60=$AR45),Schweine_Werte!$I45*0.5,IF(OR($C$60&gt;$AR45,$D$60&lt;$AR45),0,Schweine_Werte!$I45))</f>
        <v>0</v>
      </c>
      <c r="BM45" s="1710">
        <f>IF(OR($C$12=$AR45,$D$12=$AR45),Schweine_Werte!$K45*0.5,IF(OR($C$12&gt;$AR45,$D$12&lt;$AR45),0,Schweine_Werte!$K45))</f>
        <v>0</v>
      </c>
      <c r="BN45" s="1713">
        <f>IF(OR($C$24=$AR45,$D$24=$AR45),Schweine_Werte!$K45*0.5,IF(OR($C$24&gt;$AR45,$D$24&lt;$AR45),0,Schweine_Werte!$K45))</f>
        <v>0</v>
      </c>
      <c r="BO45" s="1713">
        <f>IF(OR($C$36=$AR45,$D$36=$AR45),Schweine_Werte!$K45*0.5,IF(OR($C$36&gt;$AR45,$D$36&lt;$AR45),0,Schweine_Werte!$K45))</f>
        <v>0</v>
      </c>
      <c r="BP45" s="1713">
        <f>IF(OR($C$48=$AR45,$D$48=$AR45),Schweine_Werte!$K45*0.5,IF(OR($C$48&gt;$AR45,$D$48&lt;$AR45),0,Schweine_Werte!$K45))</f>
        <v>0</v>
      </c>
      <c r="BQ45" s="1713">
        <f>IF(OR($C$60=$AR45,$D$60=$AR45),Schweine_Werte!$K45*0.5,IF(OR($C$60&gt;$AR45,$D$60&lt;$AR45),0,Schweine_Werte!$K45))</f>
        <v>0</v>
      </c>
      <c r="BR45" s="1710">
        <f>IF(OR($C$74=$AR45,$D$74=$AR45),Schweine_Werte!$M45*0.5,IF(OR($C$74&gt;$AR45,$D$74&lt;$AR45),0,Schweine_Werte!$M45))</f>
        <v>0</v>
      </c>
      <c r="BS45" s="1710">
        <f>IF(OR($C$83=$AR45,$D$83=$AR45),Schweine_Werte!$M45*0.5,IF(OR($C$83&gt;$AR45,$D$83&lt;$AR45),0,Schweine_Werte!$M45))</f>
        <v>0</v>
      </c>
      <c r="BT45" s="1714">
        <f>IF(OR($C$92=$AR45,$D$92=$AR45),Schweine_Werte!$M45*0.5,IF(OR($C$92&gt;$AR45,$D$92&lt;$AR45),0,Schweine_Werte!$M45))</f>
        <v>0</v>
      </c>
      <c r="BU45" s="1714">
        <f>IF(OR($C$101=$AR45,$D$101=$AR45),Schweine_Werte!$M45*0.5,IF(OR($C$101&gt;$AR45,$D$101&lt;$AR45),0,Schweine_Werte!$M45))</f>
        <v>0</v>
      </c>
      <c r="BV45" s="1714">
        <f>IF(OR($C$110=$AR45,$D$110=$AR45),Schweine_Werte!$M45*0.5,IF(OR($C$110&gt;$AR45,$D$110&lt;$AR45),0,Schweine_Werte!$M45))</f>
        <v>0</v>
      </c>
      <c r="BW45" s="1714">
        <f>IF(OR(8=$AR45,$E$127=$AR45),Schweine_Werte!$M45*0.5,IF(OR(8&gt;$AR45,$E$127&lt;$AR45),0,Schweine_Werte!$M45))</f>
        <v>1.2141408891561545</v>
      </c>
      <c r="BX45" s="1714">
        <f>IF(OR(8=$AR45,$E$145=$AR45),Schweine_Werte!$M45*0.5,IF(OR(8&gt;$AR45,$E$145&lt;$AR45),0,Schweine_Werte!$M45))</f>
        <v>1.2141408891561545</v>
      </c>
      <c r="BY45" s="1710">
        <f>IF(OR($C$74=$AR45,$D$74=$AR45),Schweine_Werte!$O45*0.5,IF(OR($C$74&gt;$AR45,$D$74&lt;$AR45),0,Schweine_Werte!$O45))</f>
        <v>0</v>
      </c>
      <c r="BZ45" s="1710">
        <f>IF(OR($C$83=$AR45,$D$83=$AR45),Schweine_Werte!$O45*0.5,IF(OR($C$83&gt;$AR45,$D$83&lt;$AR45),0,Schweine_Werte!$O45))</f>
        <v>0</v>
      </c>
      <c r="CA45" s="1714">
        <f>IF(OR($C$92=$AR45,$D$92=$AR45),Schweine_Werte!$O45*0.5,IF(OR($C$92&gt;$AR45,$D$92&lt;$AR45),0,Schweine_Werte!$O45))</f>
        <v>0</v>
      </c>
      <c r="CB45" s="1714">
        <f>IF(OR($C$101=$AR45,$D$101=$AR45),Schweine_Werte!$O45*0.5,IF(OR($C$101&gt;$AR45,$D$101&lt;$AR45),0,Schweine_Werte!$O45))</f>
        <v>0</v>
      </c>
      <c r="CC45" s="1714">
        <f>IF(OR($C$110=$AR45,$D$110=$AR45),Schweine_Werte!$O45*0.5,IF(OR($C$110&gt;$AR45,$D$110&lt;$AR45),0,Schweine_Werte!$O45))</f>
        <v>0</v>
      </c>
    </row>
    <row r="46" spans="1:81" ht="15.75" x14ac:dyDescent="0.25">
      <c r="F46" s="1716"/>
      <c r="G46" s="3257" t="s">
        <v>8582</v>
      </c>
      <c r="H46" s="3258"/>
      <c r="I46" s="3259"/>
      <c r="J46" s="1717" t="s">
        <v>8096</v>
      </c>
      <c r="K46" s="1717" t="s">
        <v>204</v>
      </c>
      <c r="L46" s="3260" t="s">
        <v>8583</v>
      </c>
      <c r="M46" s="3260"/>
      <c r="N46" s="3260"/>
      <c r="O46" s="3247" t="s">
        <v>8584</v>
      </c>
      <c r="P46" s="3249"/>
      <c r="Q46" s="3247" t="s">
        <v>8585</v>
      </c>
      <c r="R46" s="3248"/>
      <c r="S46" s="3249"/>
      <c r="T46" s="3247" t="s">
        <v>8586</v>
      </c>
      <c r="U46" s="3248"/>
      <c r="V46" s="3249"/>
      <c r="W46" s="3247" t="s">
        <v>8587</v>
      </c>
      <c r="X46" s="3248"/>
      <c r="Y46" s="3249"/>
      <c r="Z46" s="3250" t="s">
        <v>8588</v>
      </c>
      <c r="AA46" s="3250"/>
      <c r="AB46" s="3250" t="s">
        <v>8589</v>
      </c>
      <c r="AC46" s="3250"/>
      <c r="AD46" s="3250" t="s">
        <v>8590</v>
      </c>
      <c r="AE46" s="3250"/>
      <c r="AF46" s="1718" t="s">
        <v>8591</v>
      </c>
      <c r="AG46" s="3254" t="s">
        <v>8592</v>
      </c>
      <c r="AH46" s="3255"/>
      <c r="AI46" s="1719" t="s">
        <v>8611</v>
      </c>
      <c r="AJ46" s="3250" t="s">
        <v>8588</v>
      </c>
      <c r="AK46" s="3250"/>
      <c r="AL46" s="3250" t="s">
        <v>8589</v>
      </c>
      <c r="AM46" s="3250"/>
      <c r="AN46" s="3250" t="s">
        <v>8590</v>
      </c>
      <c r="AO46" s="3250"/>
      <c r="AR46" s="1733">
        <v>50</v>
      </c>
      <c r="AS46" s="1710">
        <f>IF(OR($C$12=$AR46,$D$12=$AR46),Schweine_Werte!$C46*0.5,IF(OR($C$12&gt;$AR46,$D$12&lt;$AR46),0,Schweine_Werte!$C46))</f>
        <v>0</v>
      </c>
      <c r="AT46" s="1713">
        <f>IF(OR($C$24=$AR46,$D$24=$AR46),Schweine_Werte!$C46*0.5,IF(OR($C$24&gt;$AR46,$D$24&lt;$AR46),0,Schweine_Werte!$C46))</f>
        <v>0</v>
      </c>
      <c r="AU46" s="1710">
        <f>IF(OR($C$36=$AR46,$D$36=$AR46),Schweine_Werte!$C46*0.5,IF(OR($C$36&gt;$AR46,$D$36&lt;$AR46),0,Schweine_Werte!$C46))</f>
        <v>0</v>
      </c>
      <c r="AV46" s="1710">
        <f>IF(OR($C$48=$AR46,$D$48=$AR46),Schweine_Werte!$C46*0.5,IF(OR($C$48&gt;$AR46,$D$48&lt;$AR46),0,Schweine_Werte!$C46))</f>
        <v>0</v>
      </c>
      <c r="AW46" s="1710">
        <f>IF(OR($C$60=$AR46,$D$60=$AR46),Schweine_Werte!$C46*0.5,IF(OR($C$60&gt;$AR46,$D$60&lt;$AR46),0,Schweine_Werte!$C46))</f>
        <v>0</v>
      </c>
      <c r="AX46" s="1710">
        <f>IF(OR($C$12=$AR46,$D$12=$AR46),Schweine_Werte!$E46*0.5,IF(OR($C$12&gt;$AR46,$D$12&lt;$AR46),0,Schweine_Werte!$E46))</f>
        <v>0</v>
      </c>
      <c r="AY46" s="1713">
        <f>IF(OR($C$24=$AR46,$D$24=$AR46),Schweine_Werte!$E46*0.5,IF(OR($C$24&gt;$AR46,$D$24&lt;$AR46),0,Schweine_Werte!$E46))</f>
        <v>0</v>
      </c>
      <c r="AZ46" s="1713">
        <f>IF(OR($C$36=$AR46,$D$36=$AR46),Schweine_Werte!$E46*0.5,IF(OR($C$36&gt;$AR46,$D$36&lt;$AR46),0,Schweine_Werte!$E46))</f>
        <v>0</v>
      </c>
      <c r="BA46" s="1713">
        <f>IF(OR($C$48=$AR46,$D$48=$AR46),Schweine_Werte!$E46*0.5,IF(OR($C$48&gt;$AR46,$D$48&lt;$AR46),0,Schweine_Werte!$E46))</f>
        <v>0</v>
      </c>
      <c r="BB46" s="1713">
        <f>IF(OR($C$60=$AR46,$D$60=$AR46),Schweine_Werte!$E46*0.5,IF(OR($C$60&gt;$AR46,$D$60&lt;$AR46),0,Schweine_Werte!$E46))</f>
        <v>0</v>
      </c>
      <c r="BC46" s="1710">
        <f>IF(OR($C$12=$AR46,$D$12=$AR46),Schweine_Werte!$G46*0.5,IF(OR($C$12&gt;$AR46,$D$12&lt;$AR46),0,Schweine_Werte!$G46))</f>
        <v>0</v>
      </c>
      <c r="BD46" s="1713">
        <f>IF(OR($C$24=$AR46,$D$24=$AR46),Schweine_Werte!$G46*0.5,IF(OR($C$24&gt;$AR46,$D$24&lt;$AR46),0,Schweine_Werte!$G46))</f>
        <v>0</v>
      </c>
      <c r="BE46" s="1713">
        <f>IF(OR($C$36=$AR46,$D$36=$AR46),Schweine_Werte!$G46*0.5,IF(OR($C$36&gt;$AR46,$D$36&lt;$AR46),0,Schweine_Werte!$G46))</f>
        <v>0</v>
      </c>
      <c r="BF46" s="1713">
        <f>IF(OR($C$48=$AR46,$D$48=$AR46),Schweine_Werte!$G46*0.5,IF(OR($C$48&gt;$AR46,$D$48&lt;$AR46),0,Schweine_Werte!$G46))</f>
        <v>0</v>
      </c>
      <c r="BG46" s="1713">
        <f>IF(OR($C$60=$AR46,$D$60=$AR46),Schweine_Werte!$G46*0.5,IF(OR($C$60&gt;$AR46,$D$60&lt;$AR46),0,Schweine_Werte!$G46))</f>
        <v>0</v>
      </c>
      <c r="BH46" s="1710">
        <f>IF(OR($C$12=$AR46,$D$12=$AR46),Schweine_Werte!$I46*0.5,IF(OR($C$12&gt;$AR46,$D$12&lt;$AR46),0,Schweine_Werte!$I46))</f>
        <v>0</v>
      </c>
      <c r="BI46" s="1713">
        <f>IF(OR($C$24=$AR46,$D$24=$AR46),Schweine_Werte!$I46*0.5,IF(OR($C$24&gt;$AR46,$D$24&lt;$AR46),0,Schweine_Werte!$I46))</f>
        <v>0</v>
      </c>
      <c r="BJ46" s="1713">
        <f>IF(OR($C$36=$AR46,$D$36=$AR46),Schweine_Werte!$I46*0.5,IF(OR($C$36&gt;$AR46,$D$36&lt;$AR46),0,Schweine_Werte!$I46))</f>
        <v>0</v>
      </c>
      <c r="BK46" s="1713">
        <f>IF(OR($C$48=$AR46,$D$48=$AR46),Schweine_Werte!$I46*0.5,IF(OR($C$48&gt;$AR46,$D$48&lt;$AR46),0,Schweine_Werte!$I46))</f>
        <v>0</v>
      </c>
      <c r="BL46" s="1713">
        <f>IF(OR($C$60=$AR46,$D$60=$AR46),Schweine_Werte!$I46*0.5,IF(OR($C$60&gt;$AR46,$D$60&lt;$AR46),0,Schweine_Werte!$I46))</f>
        <v>0</v>
      </c>
      <c r="BM46" s="1710">
        <f>IF(OR($C$12=$AR46,$D$12=$AR46),Schweine_Werte!$K46*0.5,IF(OR($C$12&gt;$AR46,$D$12&lt;$AR46),0,Schweine_Werte!$K46))</f>
        <v>0</v>
      </c>
      <c r="BN46" s="1713">
        <f>IF(OR($C$24=$AR46,$D$24=$AR46),Schweine_Werte!$K46*0.5,IF(OR($C$24&gt;$AR46,$D$24&lt;$AR46),0,Schweine_Werte!$K46))</f>
        <v>0</v>
      </c>
      <c r="BO46" s="1713">
        <f>IF(OR($C$36=$AR46,$D$36=$AR46),Schweine_Werte!$K46*0.5,IF(OR($C$36&gt;$AR46,$D$36&lt;$AR46),0,Schweine_Werte!$K46))</f>
        <v>0</v>
      </c>
      <c r="BP46" s="1713">
        <f>IF(OR($C$48=$AR46,$D$48=$AR46),Schweine_Werte!$K46*0.5,IF(OR($C$48&gt;$AR46,$D$48&lt;$AR46),0,Schweine_Werte!$K46))</f>
        <v>0</v>
      </c>
      <c r="BQ46" s="1713">
        <f>IF(OR($C$60=$AR46,$D$60=$AR46),Schweine_Werte!$K46*0.5,IF(OR($C$60&gt;$AR46,$D$60&lt;$AR46),0,Schweine_Werte!$K46))</f>
        <v>0</v>
      </c>
      <c r="BR46" s="1710">
        <f>IF(OR($C$74=$AR46,$D$74=$AR46),Schweine_Werte!$M46*0.5,IF(OR($C$74&gt;$AR46,$D$74&lt;$AR46),0,Schweine_Werte!$M46))</f>
        <v>0</v>
      </c>
      <c r="BS46" s="1710">
        <f>IF(OR($C$83=$AR46,$D$83=$AR46),Schweine_Werte!$M46*0.5,IF(OR($C$83&gt;$AR46,$D$83&lt;$AR46),0,Schweine_Werte!$M46))</f>
        <v>0</v>
      </c>
      <c r="BT46" s="1714">
        <f>IF(OR($C$92=$AR46,$D$92=$AR46),Schweine_Werte!$M46*0.5,IF(OR($C$92&gt;$AR46,$D$92&lt;$AR46),0,Schweine_Werte!$M46))</f>
        <v>0</v>
      </c>
      <c r="BU46" s="1714">
        <f>IF(OR($C$101=$AR46,$D$101=$AR46),Schweine_Werte!$M46*0.5,IF(OR($C$101&gt;$AR46,$D$101&lt;$AR46),0,Schweine_Werte!$M46))</f>
        <v>0</v>
      </c>
      <c r="BV46" s="1714">
        <f>IF(OR($C$110=$AR46,$D$110=$AR46),Schweine_Werte!$M46*0.5,IF(OR($C$110&gt;$AR46,$D$110&lt;$AR46),0,Schweine_Werte!$M46))</f>
        <v>0</v>
      </c>
      <c r="BW46" s="1714">
        <f>IF(OR(8=$AR46,$E$127=$AR46),Schweine_Werte!$M46*0.5,IF(OR(8&gt;$AR46,$E$127&lt;$AR46),0,Schweine_Werte!$M46))</f>
        <v>1.204199205490788</v>
      </c>
      <c r="BX46" s="1714">
        <f>IF(OR(8=$AR46,$E$145=$AR46),Schweine_Werte!$M46*0.5,IF(OR(8&gt;$AR46,$E$145&lt;$AR46),0,Schweine_Werte!$M46))</f>
        <v>1.204199205490788</v>
      </c>
      <c r="BY46" s="1710">
        <f>IF(OR($C$74=$AR46,$D$74=$AR46),Schweine_Werte!$O46*0.5,IF(OR($C$74&gt;$AR46,$D$74&lt;$AR46),0,Schweine_Werte!$O46))</f>
        <v>0</v>
      </c>
      <c r="BZ46" s="1710">
        <f>IF(OR($C$83=$AR46,$D$83=$AR46),Schweine_Werte!$O46*0.5,IF(OR($C$83&gt;$AR46,$D$83&lt;$AR46),0,Schweine_Werte!$O46))</f>
        <v>0</v>
      </c>
      <c r="CA46" s="1714">
        <f>IF(OR($C$92=$AR46,$D$92=$AR46),Schweine_Werte!$O46*0.5,IF(OR($C$92&gt;$AR46,$D$92&lt;$AR46),0,Schweine_Werte!$O46))</f>
        <v>0</v>
      </c>
      <c r="CB46" s="1714">
        <f>IF(OR($C$101=$AR46,$D$101=$AR46),Schweine_Werte!$O46*0.5,IF(OR($C$101&gt;$AR46,$D$101&lt;$AR46),0,Schweine_Werte!$O46))</f>
        <v>0</v>
      </c>
      <c r="CC46" s="1714">
        <f>IF(OR($C$110=$AR46,$D$110=$AR46),Schweine_Werte!$O46*0.5,IF(OR($C$110&gt;$AR46,$D$110&lt;$AR46),0,Schweine_Werte!$O46))</f>
        <v>0</v>
      </c>
    </row>
    <row r="47" spans="1:81" ht="18.75" x14ac:dyDescent="0.25">
      <c r="B47" s="1720" t="s">
        <v>8594</v>
      </c>
      <c r="C47" s="1721" t="s">
        <v>8595</v>
      </c>
      <c r="D47" s="1721" t="s">
        <v>8596</v>
      </c>
      <c r="E47" s="1721" t="s">
        <v>8597</v>
      </c>
      <c r="F47" s="1722" t="s">
        <v>195</v>
      </c>
      <c r="G47" s="1723" t="s">
        <v>4</v>
      </c>
      <c r="H47" s="1723" t="s">
        <v>8598</v>
      </c>
      <c r="I47" s="1723" t="s">
        <v>8599</v>
      </c>
      <c r="J47" s="1724" t="s">
        <v>8600</v>
      </c>
      <c r="K47" s="1724" t="s">
        <v>8600</v>
      </c>
      <c r="L47" s="1725" t="s">
        <v>35</v>
      </c>
      <c r="M47" s="1725" t="s">
        <v>8601</v>
      </c>
      <c r="N47" s="1725" t="s">
        <v>37</v>
      </c>
      <c r="O47" s="1726" t="s">
        <v>0</v>
      </c>
      <c r="P47" s="1726" t="s">
        <v>9</v>
      </c>
      <c r="Q47" s="1725" t="s">
        <v>35</v>
      </c>
      <c r="R47" s="1725" t="s">
        <v>36</v>
      </c>
      <c r="S47" s="1725" t="s">
        <v>37</v>
      </c>
      <c r="T47" s="1725" t="s">
        <v>35</v>
      </c>
      <c r="U47" s="1725" t="s">
        <v>36</v>
      </c>
      <c r="V47" s="1725" t="s">
        <v>37</v>
      </c>
      <c r="W47" s="1724" t="s">
        <v>8528</v>
      </c>
      <c r="X47" s="1724" t="s">
        <v>8529</v>
      </c>
      <c r="Y47" s="1724" t="s">
        <v>8530</v>
      </c>
      <c r="Z47" s="1727" t="s">
        <v>8602</v>
      </c>
      <c r="AA47" s="1727" t="s">
        <v>8603</v>
      </c>
      <c r="AB47" s="1727" t="s">
        <v>8602</v>
      </c>
      <c r="AC47" s="1727" t="s">
        <v>8603</v>
      </c>
      <c r="AD47" s="1727" t="s">
        <v>8602</v>
      </c>
      <c r="AE47" s="1727" t="s">
        <v>8603</v>
      </c>
      <c r="AF47" s="1727" t="s">
        <v>8604</v>
      </c>
      <c r="AG47" s="1728" t="s">
        <v>8605</v>
      </c>
      <c r="AH47" s="1727" t="s">
        <v>216</v>
      </c>
      <c r="AI47" s="1727"/>
      <c r="AJ47" s="1727" t="s">
        <v>8527</v>
      </c>
      <c r="AK47" s="1727" t="s">
        <v>8606</v>
      </c>
      <c r="AL47" s="1727" t="s">
        <v>8607</v>
      </c>
      <c r="AM47" s="1727" t="s">
        <v>8608</v>
      </c>
      <c r="AN47" s="1727" t="s">
        <v>8607</v>
      </c>
      <c r="AO47" s="1727" t="s">
        <v>8609</v>
      </c>
      <c r="AR47" s="1733">
        <v>51</v>
      </c>
      <c r="AS47" s="1710">
        <f>IF(OR($C$12=$AR47,$D$12=$AR47),Schweine_Werte!$C47*0.5,IF(OR($C$12&gt;$AR47,$D$12&lt;$AR47),0,Schweine_Werte!$C47))</f>
        <v>0</v>
      </c>
      <c r="AT47" s="1713">
        <f>IF(OR($C$24=$AR47,$D$24=$AR47),Schweine_Werte!$C47*0.5,IF(OR($C$24&gt;$AR47,$D$24&lt;$AR47),0,Schweine_Werte!$C47))</f>
        <v>0</v>
      </c>
      <c r="AU47" s="1710">
        <f>IF(OR($C$36=$AR47,$D$36=$AR47),Schweine_Werte!$C47*0.5,IF(OR($C$36&gt;$AR47,$D$36&lt;$AR47),0,Schweine_Werte!$C47))</f>
        <v>0</v>
      </c>
      <c r="AV47" s="1710">
        <f>IF(OR($C$48=$AR47,$D$48=$AR47),Schweine_Werte!$C47*0.5,IF(OR($C$48&gt;$AR47,$D$48&lt;$AR47),0,Schweine_Werte!$C47))</f>
        <v>0</v>
      </c>
      <c r="AW47" s="1710">
        <f>IF(OR($C$60=$AR47,$D$60=$AR47),Schweine_Werte!$C47*0.5,IF(OR($C$60&gt;$AR47,$D$60&lt;$AR47),0,Schweine_Werte!$C47))</f>
        <v>0</v>
      </c>
      <c r="AX47" s="1710">
        <f>IF(OR($C$12=$AR47,$D$12=$AR47),Schweine_Werte!$E47*0.5,IF(OR($C$12&gt;$AR47,$D$12&lt;$AR47),0,Schweine_Werte!$E47))</f>
        <v>0</v>
      </c>
      <c r="AY47" s="1713">
        <f>IF(OR($C$24=$AR47,$D$24=$AR47),Schweine_Werte!$E47*0.5,IF(OR($C$24&gt;$AR47,$D$24&lt;$AR47),0,Schweine_Werte!$E47))</f>
        <v>0</v>
      </c>
      <c r="AZ47" s="1713">
        <f>IF(OR($C$36=$AR47,$D$36=$AR47),Schweine_Werte!$E47*0.5,IF(OR($C$36&gt;$AR47,$D$36&lt;$AR47),0,Schweine_Werte!$E47))</f>
        <v>0</v>
      </c>
      <c r="BA47" s="1713">
        <f>IF(OR($C$48=$AR47,$D$48=$AR47),Schweine_Werte!$E47*0.5,IF(OR($C$48&gt;$AR47,$D$48&lt;$AR47),0,Schweine_Werte!$E47))</f>
        <v>0</v>
      </c>
      <c r="BB47" s="1713">
        <f>IF(OR($C$60=$AR47,$D$60=$AR47),Schweine_Werte!$E47*0.5,IF(OR($C$60&gt;$AR47,$D$60&lt;$AR47),0,Schweine_Werte!$E47))</f>
        <v>0</v>
      </c>
      <c r="BC47" s="1710">
        <f>IF(OR($C$12=$AR47,$D$12=$AR47),Schweine_Werte!$G47*0.5,IF(OR($C$12&gt;$AR47,$D$12&lt;$AR47),0,Schweine_Werte!$G47))</f>
        <v>0</v>
      </c>
      <c r="BD47" s="1713">
        <f>IF(OR($C$24=$AR47,$D$24=$AR47),Schweine_Werte!$G47*0.5,IF(OR($C$24&gt;$AR47,$D$24&lt;$AR47),0,Schweine_Werte!$G47))</f>
        <v>0</v>
      </c>
      <c r="BE47" s="1713">
        <f>IF(OR($C$36=$AR47,$D$36=$AR47),Schweine_Werte!$G47*0.5,IF(OR($C$36&gt;$AR47,$D$36&lt;$AR47),0,Schweine_Werte!$G47))</f>
        <v>0</v>
      </c>
      <c r="BF47" s="1713">
        <f>IF(OR($C$48=$AR47,$D$48=$AR47),Schweine_Werte!$G47*0.5,IF(OR($C$48&gt;$AR47,$D$48&lt;$AR47),0,Schweine_Werte!$G47))</f>
        <v>0</v>
      </c>
      <c r="BG47" s="1713">
        <f>IF(OR($C$60=$AR47,$D$60=$AR47),Schweine_Werte!$G47*0.5,IF(OR($C$60&gt;$AR47,$D$60&lt;$AR47),0,Schweine_Werte!$G47))</f>
        <v>0</v>
      </c>
      <c r="BH47" s="1710">
        <f>IF(OR($C$12=$AR47,$D$12=$AR47),Schweine_Werte!$I47*0.5,IF(OR($C$12&gt;$AR47,$D$12&lt;$AR47),0,Schweine_Werte!$I47))</f>
        <v>0</v>
      </c>
      <c r="BI47" s="1713">
        <f>IF(OR($C$24=$AR47,$D$24=$AR47),Schweine_Werte!$I47*0.5,IF(OR($C$24&gt;$AR47,$D$24&lt;$AR47),0,Schweine_Werte!$I47))</f>
        <v>0</v>
      </c>
      <c r="BJ47" s="1713">
        <f>IF(OR($C$36=$AR47,$D$36=$AR47),Schweine_Werte!$I47*0.5,IF(OR($C$36&gt;$AR47,$D$36&lt;$AR47),0,Schweine_Werte!$I47))</f>
        <v>0</v>
      </c>
      <c r="BK47" s="1713">
        <f>IF(OR($C$48=$AR47,$D$48=$AR47),Schweine_Werte!$I47*0.5,IF(OR($C$48&gt;$AR47,$D$48&lt;$AR47),0,Schweine_Werte!$I47))</f>
        <v>0</v>
      </c>
      <c r="BL47" s="1713">
        <f>IF(OR($C$60=$AR47,$D$60=$AR47),Schweine_Werte!$I47*0.5,IF(OR($C$60&gt;$AR47,$D$60&lt;$AR47),0,Schweine_Werte!$I47))</f>
        <v>0</v>
      </c>
      <c r="BM47" s="1710">
        <f>IF(OR($C$12=$AR47,$D$12=$AR47),Schweine_Werte!$K47*0.5,IF(OR($C$12&gt;$AR47,$D$12&lt;$AR47),0,Schweine_Werte!$K47))</f>
        <v>0</v>
      </c>
      <c r="BN47" s="1713">
        <f>IF(OR($C$24=$AR47,$D$24=$AR47),Schweine_Werte!$K47*0.5,IF(OR($C$24&gt;$AR47,$D$24&lt;$AR47),0,Schweine_Werte!$K47))</f>
        <v>0</v>
      </c>
      <c r="BO47" s="1713">
        <f>IF(OR($C$36=$AR47,$D$36=$AR47),Schweine_Werte!$K47*0.5,IF(OR($C$36&gt;$AR47,$D$36&lt;$AR47),0,Schweine_Werte!$K47))</f>
        <v>0</v>
      </c>
      <c r="BP47" s="1713">
        <f>IF(OR($C$48=$AR47,$D$48=$AR47),Schweine_Werte!$K47*0.5,IF(OR($C$48&gt;$AR47,$D$48&lt;$AR47),0,Schweine_Werte!$K47))</f>
        <v>0</v>
      </c>
      <c r="BQ47" s="1713">
        <f>IF(OR($C$60=$AR47,$D$60=$AR47),Schweine_Werte!$K47*0.5,IF(OR($C$60&gt;$AR47,$D$60&lt;$AR47),0,Schweine_Werte!$K47))</f>
        <v>0</v>
      </c>
      <c r="BR47" s="1710">
        <f>IF(OR($C$74=$AR47,$D$74=$AR47),Schweine_Werte!$M47*0.5,IF(OR($C$74&gt;$AR47,$D$74&lt;$AR47),0,Schweine_Werte!$M47))</f>
        <v>0</v>
      </c>
      <c r="BS47" s="1710">
        <f>IF(OR($C$83=$AR47,$D$83=$AR47),Schweine_Werte!$M47*0.5,IF(OR($C$83&gt;$AR47,$D$83&lt;$AR47),0,Schweine_Werte!$M47))</f>
        <v>0</v>
      </c>
      <c r="BT47" s="1714">
        <f>IF(OR($C$92=$AR47,$D$92=$AR47),Schweine_Werte!$M47*0.5,IF(OR($C$92&gt;$AR47,$D$92&lt;$AR47),0,Schweine_Werte!$M47))</f>
        <v>0</v>
      </c>
      <c r="BU47" s="1714">
        <f>IF(OR($C$101=$AR47,$D$101=$AR47),Schweine_Werte!$M47*0.5,IF(OR($C$101&gt;$AR47,$D$101&lt;$AR47),0,Schweine_Werte!$M47))</f>
        <v>0</v>
      </c>
      <c r="BV47" s="1714">
        <f>IF(OR($C$110=$AR47,$D$110=$AR47),Schweine_Werte!$M47*0.5,IF(OR($C$110&gt;$AR47,$D$110&lt;$AR47),0,Schweine_Werte!$M47))</f>
        <v>0</v>
      </c>
      <c r="BW47" s="1714">
        <f>IF(OR(8=$AR47,$E$127=$AR47),Schweine_Werte!$M47*0.5,IF(OR(8&gt;$AR47,$E$127&lt;$AR47),0,Schweine_Werte!$M47))</f>
        <v>1.1948386166644513</v>
      </c>
      <c r="BX47" s="1714">
        <f>IF(OR(8=$AR47,$E$145=$AR47),Schweine_Werte!$M47*0.5,IF(OR(8&gt;$AR47,$E$145&lt;$AR47),0,Schweine_Werte!$M47))</f>
        <v>1.1948386166644513</v>
      </c>
      <c r="BY47" s="1710">
        <f>IF(OR($C$74=$AR47,$D$74=$AR47),Schweine_Werte!$O47*0.5,IF(OR($C$74&gt;$AR47,$D$74&lt;$AR47),0,Schweine_Werte!$O47))</f>
        <v>0</v>
      </c>
      <c r="BZ47" s="1710">
        <f>IF(OR($C$83=$AR47,$D$83=$AR47),Schweine_Werte!$O47*0.5,IF(OR($C$83&gt;$AR47,$D$83&lt;$AR47),0,Schweine_Werte!$O47))</f>
        <v>0</v>
      </c>
      <c r="CA47" s="1714">
        <f>IF(OR($C$92=$AR47,$D$92=$AR47),Schweine_Werte!$O47*0.5,IF(OR($C$92&gt;$AR47,$D$92&lt;$AR47),0,Schweine_Werte!$O47))</f>
        <v>0</v>
      </c>
      <c r="CB47" s="1714">
        <f>IF(OR($C$101=$AR47,$D$101=$AR47),Schweine_Werte!$O47*0.5,IF(OR($C$101&gt;$AR47,$D$101&lt;$AR47),0,Schweine_Werte!$O47))</f>
        <v>0</v>
      </c>
      <c r="CC47" s="1714">
        <f>IF(OR($C$110=$AR47,$D$110=$AR47),Schweine_Werte!$O47*0.5,IF(OR($C$110&gt;$AR47,$D$110&lt;$AR47),0,Schweine_Werte!$O47))</f>
        <v>0</v>
      </c>
    </row>
    <row r="48" spans="1:81" ht="15.75" x14ac:dyDescent="0.25">
      <c r="A48" s="1685" t="s">
        <v>8557</v>
      </c>
      <c r="B48" s="1756" t="str">
        <f>IF('Eigene, abweichende Tierdaten'!AD8=1,'Eigene, abweichende Tierdaten'!F8,"")</f>
        <v/>
      </c>
      <c r="C48" s="1754" t="str">
        <f>IF('Eigene, abweichende Tierdaten'!AD8=1,'Eigene, abweichende Tierdaten'!J8,"")</f>
        <v/>
      </c>
      <c r="D48" s="1754" t="str">
        <f>IF('Eigene, abweichende Tierdaten'!AD8=1,'Eigene, abweichende Tierdaten'!L8,"")</f>
        <v/>
      </c>
      <c r="E48" s="1757" t="str">
        <f>IF('Eigene, abweichende Tierdaten'!AD8=1,'Eigene, abweichende Tierdaten'!N8,"")</f>
        <v/>
      </c>
      <c r="F48" s="1729" t="e">
        <f t="shared" ref="F48:N48" si="10">IF($E48&lt;=$E41,F41,IF(AND($E48&gt;$E41,$E48&lt;=$E42),F41+(F42-F41)/($E42-$E41)*($E48-$E41),IF(AND($E48&gt;$E42,$E48&lt;=$E43),F42+(F43-F42)/($E43-$E42)*($E48-$E42),IF(AND($E48&gt;$E43,$E48&lt;=$E44),F43+(F44-F43)/($E44-$E43)*($E48-$E43),IF($E48&gt;$E44,F44)))))</f>
        <v>#VALUE!</v>
      </c>
      <c r="G48" s="1729" t="e">
        <f t="shared" si="10"/>
        <v>#VALUE!</v>
      </c>
      <c r="H48" s="1729" t="e">
        <f t="shared" si="10"/>
        <v>#VALUE!</v>
      </c>
      <c r="I48" s="1729" t="e">
        <f t="shared" si="10"/>
        <v>#VALUE!</v>
      </c>
      <c r="J48" s="1729" t="e">
        <f t="shared" si="10"/>
        <v>#VALUE!</v>
      </c>
      <c r="K48" s="1729" t="e">
        <f t="shared" si="10"/>
        <v>#VALUE!</v>
      </c>
      <c r="L48" s="1729" t="e">
        <f t="shared" si="10"/>
        <v>#VALUE!</v>
      </c>
      <c r="M48" s="1729" t="e">
        <f t="shared" si="10"/>
        <v>#VALUE!</v>
      </c>
      <c r="N48" s="1729" t="e">
        <f t="shared" si="10"/>
        <v>#VALUE!</v>
      </c>
      <c r="O48" s="1730">
        <v>5.5</v>
      </c>
      <c r="P48" s="1730">
        <v>1.8</v>
      </c>
      <c r="Q48" s="1729" t="e">
        <f t="shared" ref="Q48:Z48" si="11">IF($E48&lt;=$E41,Q41,IF(AND($E48&gt;$E41,$E48&lt;=$E42),Q41+(Q42-Q41)/($E42-$E41)*($E48-$E41),IF(AND($E48&gt;$E42,$E48&lt;=$E43),Q42+(Q43-Q42)/($E43-$E42)*($E48-$E42),IF(AND($E48&gt;$E43,$E48&lt;=$E44),Q43+(Q44-Q43)/($E44-$E43)*($E48-$E43),IF($E48&gt;$E44,Q44)))))</f>
        <v>#VALUE!</v>
      </c>
      <c r="R48" s="1729" t="e">
        <f t="shared" si="11"/>
        <v>#VALUE!</v>
      </c>
      <c r="S48" s="1729" t="e">
        <f t="shared" si="11"/>
        <v>#VALUE!</v>
      </c>
      <c r="T48" s="1729" t="e">
        <f t="shared" si="11"/>
        <v>#VALUE!</v>
      </c>
      <c r="U48" s="1729" t="e">
        <f t="shared" si="11"/>
        <v>#VALUE!</v>
      </c>
      <c r="V48" s="1729" t="e">
        <f t="shared" si="11"/>
        <v>#VALUE!</v>
      </c>
      <c r="W48" s="1729" t="e">
        <f t="shared" si="11"/>
        <v>#VALUE!</v>
      </c>
      <c r="X48" s="1729" t="e">
        <f t="shared" si="11"/>
        <v>#VALUE!</v>
      </c>
      <c r="Y48" s="1729" t="e">
        <f t="shared" si="11"/>
        <v>#VALUE!</v>
      </c>
      <c r="Z48" s="1729" t="e">
        <f t="shared" si="11"/>
        <v>#VALUE!</v>
      </c>
      <c r="AA48" s="1731" t="e">
        <f>+Z48*6.25</f>
        <v>#VALUE!</v>
      </c>
      <c r="AB48" s="1729" t="e">
        <f>IF($E48&lt;=$E41,AB41,IF(AND($E48&gt;$E41,$E48&lt;=$E42),AB41+(AB42-AB41)/($E42-$E41)*($E48-$E41),IF(AND($E48&gt;$E42,$E48&lt;=$E43),AB42+(AB43-AB42)/($E43-$E42)*($E48-$E42),IF(AND($E48&gt;$E43,$E48&lt;=$E44),AB43+(AB44-AB43)/($E44-$E43)*($E48-$E43),IF($E48&gt;$E44,AB44)))))</f>
        <v>#VALUE!</v>
      </c>
      <c r="AC48" s="1731" t="e">
        <f>+AB48*6.25</f>
        <v>#VALUE!</v>
      </c>
      <c r="AD48" s="1729" t="e">
        <f>IF($E48&lt;=$E41,AD41,IF(AND($E48&gt;$E41,$E48&lt;=$E42),AD41+(AD42-AD41)/($E42-$E41)*($E48-$E41),IF(AND($E48&gt;$E42,$E48&lt;=$E43),AD42+(AD43-AD42)/($E43-$E42)*($E48-$E42),IF(AND($E48&gt;$E43,$E48&lt;=$E44),AD43+(AD44-AD43)/($E44-$E43)*($E48-$E43),IF($E48&gt;$E44,AD44)))))</f>
        <v>#VALUE!</v>
      </c>
      <c r="AE48" s="1731" t="e">
        <f>+AD48*6.25</f>
        <v>#VALUE!</v>
      </c>
      <c r="AF48" s="1731" t="e">
        <f>365/((D48-C48)/E48*1000)</f>
        <v>#VALUE!</v>
      </c>
      <c r="AG48" s="1729" t="e">
        <f>IF($E48&lt;=$E41,AG41,IF(AND($E48&gt;$E41,$E48&lt;=$E42),AG41+(AG42-AG41)/($E42-$E41)*($E48-$E41),IF(AND($E48&gt;$E42,$E48&lt;=$E43),AG42+(AG43-AG42)/($E43-$E42)*($E48-$E42),IF(AND($E48&gt;$E43,$E48&lt;=$E44),AG43+(AG44-AG43)/($E44-$E43)*($E48-$E43),IF($E48&gt;$E44,AG44)))))</f>
        <v>#VALUE!</v>
      </c>
      <c r="AH48" s="1731" t="e">
        <f>+AG48/AF48</f>
        <v>#VALUE!</v>
      </c>
      <c r="AI48" s="1731" t="e">
        <f>+CONCATENATE(ROUND(AH48/(D48-C48),1)," : 1")</f>
        <v>#VALUE!</v>
      </c>
      <c r="AJ48" s="1729" t="e">
        <f>IF($E48&lt;=$E41,AJ41,IF(AND($E48&gt;$E41,$E48&lt;=$E42),AJ41+(AJ42-AJ41)/($E42-$E41)*($E48-$E41),IF(AND($E48&gt;$E42,$E48&lt;=$E43),AJ42+(AJ43-AJ42)/($E43-$E42)*($E48-$E42),IF(AND($E48&gt;$E43,$E48&lt;=$E44),AJ43+(AJ44-AJ43)/($E44-$E43)*($E48-$E43),IF($E48&gt;$E44,AJ44)))))</f>
        <v>#VALUE!</v>
      </c>
      <c r="AK48" s="1731" t="e">
        <f>+AJ48/2.291</f>
        <v>#VALUE!</v>
      </c>
      <c r="AL48" s="1729" t="e">
        <f>IF($E48&lt;=$E41,AL41,IF(AND($E48&gt;$E41,$E48&lt;=$E42),AL41+(AL42-AL41)/($E42-$E41)*($E48-$E41),IF(AND($E48&gt;$E42,$E48&lt;=$E43),AL42+(AL43-AL42)/($E43-$E42)*($E48-$E42),IF(AND($E48&gt;$E43,$E48&lt;=$E44),AL43+(AL44-AL43)/($E44-$E43)*($E48-$E43),IF($E48&gt;$E44,AL44)))))</f>
        <v>#VALUE!</v>
      </c>
      <c r="AM48" s="1731" t="e">
        <f>+AL48/2.291</f>
        <v>#VALUE!</v>
      </c>
      <c r="AN48" s="1729" t="e">
        <f>IF($E48&lt;=$E41,AN41,IF(AND($E48&gt;$E41,$E48&lt;=$E42),AN41+(AN42-AN41)/($E42-$E41)*($E48-$E41),IF(AND($E48&gt;$E42,$E48&lt;=$E43),AN42+(AN43-AN42)/($E43-$E42)*($E48-$E42),IF(AND($E48&gt;$E43,$E48&lt;=$E44),AN43+(AN44-AN43)/($E44-$E43)*($E48-$E43),IF($E48&gt;$E44,AN44)))))</f>
        <v>#VALUE!</v>
      </c>
      <c r="AO48" s="1731" t="e">
        <f>+AN48/2.291</f>
        <v>#VALUE!</v>
      </c>
      <c r="AR48" s="1733">
        <v>52</v>
      </c>
      <c r="AS48" s="1710">
        <f>IF(OR($C$12=$AR48,$D$12=$AR48),Schweine_Werte!$C48*0.5,IF(OR($C$12&gt;$AR48,$D$12&lt;$AR48),0,Schweine_Werte!$C48))</f>
        <v>0</v>
      </c>
      <c r="AT48" s="1713">
        <f>IF(OR($C$24=$AR48,$D$24=$AR48),Schweine_Werte!$C48*0.5,IF(OR($C$24&gt;$AR48,$D$24&lt;$AR48),0,Schweine_Werte!$C48))</f>
        <v>0</v>
      </c>
      <c r="AU48" s="1710">
        <f>IF(OR($C$36=$AR48,$D$36=$AR48),Schweine_Werte!$C48*0.5,IF(OR($C$36&gt;$AR48,$D$36&lt;$AR48),0,Schweine_Werte!$C48))</f>
        <v>0</v>
      </c>
      <c r="AV48" s="1710">
        <f>IF(OR($C$48=$AR48,$D$48=$AR48),Schweine_Werte!$C48*0.5,IF(OR($C$48&gt;$AR48,$D$48&lt;$AR48),0,Schweine_Werte!$C48))</f>
        <v>0</v>
      </c>
      <c r="AW48" s="1710">
        <f>IF(OR($C$60=$AR48,$D$60=$AR48),Schweine_Werte!$C48*0.5,IF(OR($C$60&gt;$AR48,$D$60&lt;$AR48),0,Schweine_Werte!$C48))</f>
        <v>0</v>
      </c>
      <c r="AX48" s="1710">
        <f>IF(OR($C$12=$AR48,$D$12=$AR48),Schweine_Werte!$E48*0.5,IF(OR($C$12&gt;$AR48,$D$12&lt;$AR48),0,Schweine_Werte!$E48))</f>
        <v>0</v>
      </c>
      <c r="AY48" s="1713">
        <f>IF(OR($C$24=$AR48,$D$24=$AR48),Schweine_Werte!$E48*0.5,IF(OR($C$24&gt;$AR48,$D$24&lt;$AR48),0,Schweine_Werte!$E48))</f>
        <v>0</v>
      </c>
      <c r="AZ48" s="1713">
        <f>IF(OR($C$36=$AR48,$D$36=$AR48),Schweine_Werte!$E48*0.5,IF(OR($C$36&gt;$AR48,$D$36&lt;$AR48),0,Schweine_Werte!$E48))</f>
        <v>0</v>
      </c>
      <c r="BA48" s="1713">
        <f>IF(OR($C$48=$AR48,$D$48=$AR48),Schweine_Werte!$E48*0.5,IF(OR($C$48&gt;$AR48,$D$48&lt;$AR48),0,Schweine_Werte!$E48))</f>
        <v>0</v>
      </c>
      <c r="BB48" s="1713">
        <f>IF(OR($C$60=$AR48,$D$60=$AR48),Schweine_Werte!$E48*0.5,IF(OR($C$60&gt;$AR48,$D$60&lt;$AR48),0,Schweine_Werte!$E48))</f>
        <v>0</v>
      </c>
      <c r="BC48" s="1710">
        <f>IF(OR($C$12=$AR48,$D$12=$AR48),Schweine_Werte!$G48*0.5,IF(OR($C$12&gt;$AR48,$D$12&lt;$AR48),0,Schweine_Werte!$G48))</f>
        <v>0</v>
      </c>
      <c r="BD48" s="1713">
        <f>IF(OR($C$24=$AR48,$D$24=$AR48),Schweine_Werte!$G48*0.5,IF(OR($C$24&gt;$AR48,$D$24&lt;$AR48),0,Schweine_Werte!$G48))</f>
        <v>0</v>
      </c>
      <c r="BE48" s="1713">
        <f>IF(OR($C$36=$AR48,$D$36=$AR48),Schweine_Werte!$G48*0.5,IF(OR($C$36&gt;$AR48,$D$36&lt;$AR48),0,Schweine_Werte!$G48))</f>
        <v>0</v>
      </c>
      <c r="BF48" s="1713">
        <f>IF(OR($C$48=$AR48,$D$48=$AR48),Schweine_Werte!$G48*0.5,IF(OR($C$48&gt;$AR48,$D$48&lt;$AR48),0,Schweine_Werte!$G48))</f>
        <v>0</v>
      </c>
      <c r="BG48" s="1713">
        <f>IF(OR($C$60=$AR48,$D$60=$AR48),Schweine_Werte!$G48*0.5,IF(OR($C$60&gt;$AR48,$D$60&lt;$AR48),0,Schweine_Werte!$G48))</f>
        <v>0</v>
      </c>
      <c r="BH48" s="1710">
        <f>IF(OR($C$12=$AR48,$D$12=$AR48),Schweine_Werte!$I48*0.5,IF(OR($C$12&gt;$AR48,$D$12&lt;$AR48),0,Schweine_Werte!$I48))</f>
        <v>0</v>
      </c>
      <c r="BI48" s="1713">
        <f>IF(OR($C$24=$AR48,$D$24=$AR48),Schweine_Werte!$I48*0.5,IF(OR($C$24&gt;$AR48,$D$24&lt;$AR48),0,Schweine_Werte!$I48))</f>
        <v>0</v>
      </c>
      <c r="BJ48" s="1713">
        <f>IF(OR($C$36=$AR48,$D$36=$AR48),Schweine_Werte!$I48*0.5,IF(OR($C$36&gt;$AR48,$D$36&lt;$AR48),0,Schweine_Werte!$I48))</f>
        <v>0</v>
      </c>
      <c r="BK48" s="1713">
        <f>IF(OR($C$48=$AR48,$D$48=$AR48),Schweine_Werte!$I48*0.5,IF(OR($C$48&gt;$AR48,$D$48&lt;$AR48),0,Schweine_Werte!$I48))</f>
        <v>0</v>
      </c>
      <c r="BL48" s="1713">
        <f>IF(OR($C$60=$AR48,$D$60=$AR48),Schweine_Werte!$I48*0.5,IF(OR($C$60&gt;$AR48,$D$60&lt;$AR48),0,Schweine_Werte!$I48))</f>
        <v>0</v>
      </c>
      <c r="BM48" s="1710">
        <f>IF(OR($C$12=$AR48,$D$12=$AR48),Schweine_Werte!$K48*0.5,IF(OR($C$12&gt;$AR48,$D$12&lt;$AR48),0,Schweine_Werte!$K48))</f>
        <v>0</v>
      </c>
      <c r="BN48" s="1713">
        <f>IF(OR($C$24=$AR48,$D$24=$AR48),Schweine_Werte!$K48*0.5,IF(OR($C$24&gt;$AR48,$D$24&lt;$AR48),0,Schweine_Werte!$K48))</f>
        <v>0</v>
      </c>
      <c r="BO48" s="1713">
        <f>IF(OR($C$36=$AR48,$D$36=$AR48),Schweine_Werte!$K48*0.5,IF(OR($C$36&gt;$AR48,$D$36&lt;$AR48),0,Schweine_Werte!$K48))</f>
        <v>0</v>
      </c>
      <c r="BP48" s="1713">
        <f>IF(OR($C$48=$AR48,$D$48=$AR48),Schweine_Werte!$K48*0.5,IF(OR($C$48&gt;$AR48,$D$48&lt;$AR48),0,Schweine_Werte!$K48))</f>
        <v>0</v>
      </c>
      <c r="BQ48" s="1713">
        <f>IF(OR($C$60=$AR48,$D$60=$AR48),Schweine_Werte!$K48*0.5,IF(OR($C$60&gt;$AR48,$D$60&lt;$AR48),0,Schweine_Werte!$K48))</f>
        <v>0</v>
      </c>
      <c r="BR48" s="1710">
        <f>IF(OR($C$74=$AR48,$D$74=$AR48),Schweine_Werte!$M48*0.5,IF(OR($C$74&gt;$AR48,$D$74&lt;$AR48),0,Schweine_Werte!$M48))</f>
        <v>0</v>
      </c>
      <c r="BS48" s="1710">
        <f>IF(OR($C$83=$AR48,$D$83=$AR48),Schweine_Werte!$M48*0.5,IF(OR($C$83&gt;$AR48,$D$83&lt;$AR48),0,Schweine_Werte!$M48))</f>
        <v>0</v>
      </c>
      <c r="BT48" s="1714">
        <f>IF(OR($C$92=$AR48,$D$92=$AR48),Schweine_Werte!$M48*0.5,IF(OR($C$92&gt;$AR48,$D$92&lt;$AR48),0,Schweine_Werte!$M48))</f>
        <v>0</v>
      </c>
      <c r="BU48" s="1714">
        <f>IF(OR($C$101=$AR48,$D$101=$AR48),Schweine_Werte!$M48*0.5,IF(OR($C$101&gt;$AR48,$D$101&lt;$AR48),0,Schweine_Werte!$M48))</f>
        <v>0</v>
      </c>
      <c r="BV48" s="1714">
        <f>IF(OR($C$110=$AR48,$D$110=$AR48),Schweine_Werte!$M48*0.5,IF(OR($C$110&gt;$AR48,$D$110&lt;$AR48),0,Schweine_Werte!$M48))</f>
        <v>0</v>
      </c>
      <c r="BW48" s="1714">
        <f>IF(OR(8=$AR48,$E$127=$AR48),Schweine_Werte!$M48*0.5,IF(OR(8&gt;$AR48,$E$127&lt;$AR48),0,Schweine_Werte!$M48))</f>
        <v>1.1860362423184319</v>
      </c>
      <c r="BX48" s="1714">
        <f>IF(OR(8=$AR48,$E$145=$AR48),Schweine_Werte!$M48*0.5,IF(OR(8&gt;$AR48,$E$145&lt;$AR48),0,Schweine_Werte!$M48))</f>
        <v>1.1860362423184319</v>
      </c>
      <c r="BY48" s="1710">
        <f>IF(OR($C$74=$AR48,$D$74=$AR48),Schweine_Werte!$O48*0.5,IF(OR($C$74&gt;$AR48,$D$74&lt;$AR48),0,Schweine_Werte!$O48))</f>
        <v>0</v>
      </c>
      <c r="BZ48" s="1710">
        <f>IF(OR($C$83=$AR48,$D$83=$AR48),Schweine_Werte!$O48*0.5,IF(OR($C$83&gt;$AR48,$D$83&lt;$AR48),0,Schweine_Werte!$O48))</f>
        <v>0</v>
      </c>
      <c r="CA48" s="1714">
        <f>IF(OR($C$92=$AR48,$D$92=$AR48),Schweine_Werte!$O48*0.5,IF(OR($C$92&gt;$AR48,$D$92&lt;$AR48),0,Schweine_Werte!$O48))</f>
        <v>0</v>
      </c>
      <c r="CB48" s="1714">
        <f>IF(OR($C$101=$AR48,$D$101=$AR48),Schweine_Werte!$O48*0.5,IF(OR($C$101&gt;$AR48,$D$101&lt;$AR48),0,Schweine_Werte!$O48))</f>
        <v>0</v>
      </c>
      <c r="CC48" s="1714">
        <f>IF(OR($C$110=$AR48,$D$110=$AR48),Schweine_Werte!$O48*0.5,IF(OR($C$110&gt;$AR48,$D$110&lt;$AR48),0,Schweine_Werte!$O48))</f>
        <v>0</v>
      </c>
    </row>
    <row r="49" spans="1:81" x14ac:dyDescent="0.25">
      <c r="AR49" s="1733">
        <v>53</v>
      </c>
      <c r="AS49" s="1710">
        <f>IF(OR($C$12=$AR49,$D$12=$AR49),Schweine_Werte!$C49*0.5,IF(OR($C$12&gt;$AR49,$D$12&lt;$AR49),0,Schweine_Werte!$C49))</f>
        <v>0</v>
      </c>
      <c r="AT49" s="1713">
        <f>IF(OR($C$24=$AR49,$D$24=$AR49),Schweine_Werte!$C49*0.5,IF(OR($C$24&gt;$AR49,$D$24&lt;$AR49),0,Schweine_Werte!$C49))</f>
        <v>0</v>
      </c>
      <c r="AU49" s="1710">
        <f>IF(OR($C$36=$AR49,$D$36=$AR49),Schweine_Werte!$C49*0.5,IF(OR($C$36&gt;$AR49,$D$36&lt;$AR49),0,Schweine_Werte!$C49))</f>
        <v>0</v>
      </c>
      <c r="AV49" s="1710">
        <f>IF(OR($C$48=$AR49,$D$48=$AR49),Schweine_Werte!$C49*0.5,IF(OR($C$48&gt;$AR49,$D$48&lt;$AR49),0,Schweine_Werte!$C49))</f>
        <v>0</v>
      </c>
      <c r="AW49" s="1710">
        <f>IF(OR($C$60=$AR49,$D$60=$AR49),Schweine_Werte!$C49*0.5,IF(OR($C$60&gt;$AR49,$D$60&lt;$AR49),0,Schweine_Werte!$C49))</f>
        <v>0</v>
      </c>
      <c r="AX49" s="1710">
        <f>IF(OR($C$12=$AR49,$D$12=$AR49),Schweine_Werte!$E49*0.5,IF(OR($C$12&gt;$AR49,$D$12&lt;$AR49),0,Schweine_Werte!$E49))</f>
        <v>0</v>
      </c>
      <c r="AY49" s="1713">
        <f>IF(OR($C$24=$AR49,$D$24=$AR49),Schweine_Werte!$E49*0.5,IF(OR($C$24&gt;$AR49,$D$24&lt;$AR49),0,Schweine_Werte!$E49))</f>
        <v>0</v>
      </c>
      <c r="AZ49" s="1713">
        <f>IF(OR($C$36=$AR49,$D$36=$AR49),Schweine_Werte!$E49*0.5,IF(OR($C$36&gt;$AR49,$D$36&lt;$AR49),0,Schweine_Werte!$E49))</f>
        <v>0</v>
      </c>
      <c r="BA49" s="1713">
        <f>IF(OR($C$48=$AR49,$D$48=$AR49),Schweine_Werte!$E49*0.5,IF(OR($C$48&gt;$AR49,$D$48&lt;$AR49),0,Schweine_Werte!$E49))</f>
        <v>0</v>
      </c>
      <c r="BB49" s="1713">
        <f>IF(OR($C$60=$AR49,$D$60=$AR49),Schweine_Werte!$E49*0.5,IF(OR($C$60&gt;$AR49,$D$60&lt;$AR49),0,Schweine_Werte!$E49))</f>
        <v>0</v>
      </c>
      <c r="BC49" s="1710">
        <f>IF(OR($C$12=$AR49,$D$12=$AR49),Schweine_Werte!$G49*0.5,IF(OR($C$12&gt;$AR49,$D$12&lt;$AR49),0,Schweine_Werte!$G49))</f>
        <v>0</v>
      </c>
      <c r="BD49" s="1713">
        <f>IF(OR($C$24=$AR49,$D$24=$AR49),Schweine_Werte!$G49*0.5,IF(OR($C$24&gt;$AR49,$D$24&lt;$AR49),0,Schweine_Werte!$G49))</f>
        <v>0</v>
      </c>
      <c r="BE49" s="1713">
        <f>IF(OR($C$36=$AR49,$D$36=$AR49),Schweine_Werte!$G49*0.5,IF(OR($C$36&gt;$AR49,$D$36&lt;$AR49),0,Schweine_Werte!$G49))</f>
        <v>0</v>
      </c>
      <c r="BF49" s="1713">
        <f>IF(OR($C$48=$AR49,$D$48=$AR49),Schweine_Werte!$G49*0.5,IF(OR($C$48&gt;$AR49,$D$48&lt;$AR49),0,Schweine_Werte!$G49))</f>
        <v>0</v>
      </c>
      <c r="BG49" s="1713">
        <f>IF(OR($C$60=$AR49,$D$60=$AR49),Schweine_Werte!$G49*0.5,IF(OR($C$60&gt;$AR49,$D$60&lt;$AR49),0,Schweine_Werte!$G49))</f>
        <v>0</v>
      </c>
      <c r="BH49" s="1710">
        <f>IF(OR($C$12=$AR49,$D$12=$AR49),Schweine_Werte!$I49*0.5,IF(OR($C$12&gt;$AR49,$D$12&lt;$AR49),0,Schweine_Werte!$I49))</f>
        <v>0</v>
      </c>
      <c r="BI49" s="1713">
        <f>IF(OR($C$24=$AR49,$D$24=$AR49),Schweine_Werte!$I49*0.5,IF(OR($C$24&gt;$AR49,$D$24&lt;$AR49),0,Schweine_Werte!$I49))</f>
        <v>0</v>
      </c>
      <c r="BJ49" s="1713">
        <f>IF(OR($C$36=$AR49,$D$36=$AR49),Schweine_Werte!$I49*0.5,IF(OR($C$36&gt;$AR49,$D$36&lt;$AR49),0,Schweine_Werte!$I49))</f>
        <v>0</v>
      </c>
      <c r="BK49" s="1713">
        <f>IF(OR($C$48=$AR49,$D$48=$AR49),Schweine_Werte!$I49*0.5,IF(OR($C$48&gt;$AR49,$D$48&lt;$AR49),0,Schweine_Werte!$I49))</f>
        <v>0</v>
      </c>
      <c r="BL49" s="1713">
        <f>IF(OR($C$60=$AR49,$D$60=$AR49),Schweine_Werte!$I49*0.5,IF(OR($C$60&gt;$AR49,$D$60&lt;$AR49),0,Schweine_Werte!$I49))</f>
        <v>0</v>
      </c>
      <c r="BM49" s="1710">
        <f>IF(OR($C$12=$AR49,$D$12=$AR49),Schweine_Werte!$K49*0.5,IF(OR($C$12&gt;$AR49,$D$12&lt;$AR49),0,Schweine_Werte!$K49))</f>
        <v>0</v>
      </c>
      <c r="BN49" s="1713">
        <f>IF(OR($C$24=$AR49,$D$24=$AR49),Schweine_Werte!$K49*0.5,IF(OR($C$24&gt;$AR49,$D$24&lt;$AR49),0,Schweine_Werte!$K49))</f>
        <v>0</v>
      </c>
      <c r="BO49" s="1713">
        <f>IF(OR($C$36=$AR49,$D$36=$AR49),Schweine_Werte!$K49*0.5,IF(OR($C$36&gt;$AR49,$D$36&lt;$AR49),0,Schweine_Werte!$K49))</f>
        <v>0</v>
      </c>
      <c r="BP49" s="1713">
        <f>IF(OR($C$48=$AR49,$D$48=$AR49),Schweine_Werte!$K49*0.5,IF(OR($C$48&gt;$AR49,$D$48&lt;$AR49),0,Schweine_Werte!$K49))</f>
        <v>0</v>
      </c>
      <c r="BQ49" s="1713">
        <f>IF(OR($C$60=$AR49,$D$60=$AR49),Schweine_Werte!$K49*0.5,IF(OR($C$60&gt;$AR49,$D$60&lt;$AR49),0,Schweine_Werte!$K49))</f>
        <v>0</v>
      </c>
      <c r="BR49" s="1710">
        <f>IF(OR($C$74=$AR49,$D$74=$AR49),Schweine_Werte!$M49*0.5,IF(OR($C$74&gt;$AR49,$D$74&lt;$AR49),0,Schweine_Werte!$M49))</f>
        <v>0</v>
      </c>
      <c r="BS49" s="1710">
        <f>IF(OR($C$83=$AR49,$D$83=$AR49),Schweine_Werte!$M49*0.5,IF(OR($C$83&gt;$AR49,$D$83&lt;$AR49),0,Schweine_Werte!$M49))</f>
        <v>0</v>
      </c>
      <c r="BT49" s="1714">
        <f>IF(OR($C$92=$AR49,$D$92=$AR49),Schweine_Werte!$M49*0.5,IF(OR($C$92&gt;$AR49,$D$92&lt;$AR49),0,Schweine_Werte!$M49))</f>
        <v>0</v>
      </c>
      <c r="BU49" s="1714">
        <f>IF(OR($C$101=$AR49,$D$101=$AR49),Schweine_Werte!$M49*0.5,IF(OR($C$101&gt;$AR49,$D$101&lt;$AR49),0,Schweine_Werte!$M49))</f>
        <v>0</v>
      </c>
      <c r="BV49" s="1714">
        <f>IF(OR($C$110=$AR49,$D$110=$AR49),Schweine_Werte!$M49*0.5,IF(OR($C$110&gt;$AR49,$D$110&lt;$AR49),0,Schweine_Werte!$M49))</f>
        <v>0</v>
      </c>
      <c r="BW49" s="1714">
        <f>IF(OR(8=$AR49,$E$127=$AR49),Schweine_Werte!$M49*0.5,IF(OR(8&gt;$AR49,$E$127&lt;$AR49),0,Schweine_Werte!$M49))</f>
        <v>1.1777710211960304</v>
      </c>
      <c r="BX49" s="1714">
        <f>IF(OR(8=$AR49,$E$145=$AR49),Schweine_Werte!$M49*0.5,IF(OR(8&gt;$AR49,$E$145&lt;$AR49),0,Schweine_Werte!$M49))</f>
        <v>1.1777710211960304</v>
      </c>
      <c r="BY49" s="1710">
        <f>IF(OR($C$74=$AR49,$D$74=$AR49),Schweine_Werte!$O49*0.5,IF(OR($C$74&gt;$AR49,$D$74&lt;$AR49),0,Schweine_Werte!$O49))</f>
        <v>0</v>
      </c>
      <c r="BZ49" s="1710">
        <f>IF(OR($C$83=$AR49,$D$83=$AR49),Schweine_Werte!$O49*0.5,IF(OR($C$83&gt;$AR49,$D$83&lt;$AR49),0,Schweine_Werte!$O49))</f>
        <v>0</v>
      </c>
      <c r="CA49" s="1714">
        <f>IF(OR($C$92=$AR49,$D$92=$AR49),Schweine_Werte!$O49*0.5,IF(OR($C$92&gt;$AR49,$D$92&lt;$AR49),0,Schweine_Werte!$O49))</f>
        <v>0</v>
      </c>
      <c r="CB49" s="1714">
        <f>IF(OR($C$101=$AR49,$D$101=$AR49),Schweine_Werte!$O49*0.5,IF(OR($C$101&gt;$AR49,$D$101&lt;$AR49),0,Schweine_Werte!$O49))</f>
        <v>0</v>
      </c>
      <c r="CC49" s="1714">
        <f>IF(OR($C$110=$AR49,$D$110=$AR49),Schweine_Werte!$O49*0.5,IF(OR($C$110&gt;$AR49,$D$110&lt;$AR49),0,Schweine_Werte!$O49))</f>
        <v>0</v>
      </c>
    </row>
    <row r="50" spans="1:81" ht="18.75" x14ac:dyDescent="0.3">
      <c r="H50" s="1698"/>
      <c r="I50" s="1698"/>
      <c r="L50" s="1699" t="s">
        <v>8543</v>
      </c>
      <c r="W50" s="3251" t="s">
        <v>8544</v>
      </c>
      <c r="X50" s="3251"/>
      <c r="Y50" s="3251"/>
      <c r="AR50" s="1733">
        <v>54</v>
      </c>
      <c r="AS50" s="1710">
        <f>IF(OR($C$12=$AR50,$D$12=$AR50),Schweine_Werte!$C50*0.5,IF(OR($C$12&gt;$AR50,$D$12&lt;$AR50),0,Schweine_Werte!$C50))</f>
        <v>0</v>
      </c>
      <c r="AT50" s="1713">
        <f>IF(OR($C$24=$AR50,$D$24=$AR50),Schweine_Werte!$C50*0.5,IF(OR($C$24&gt;$AR50,$D$24&lt;$AR50),0,Schweine_Werte!$C50))</f>
        <v>0</v>
      </c>
      <c r="AU50" s="1710">
        <f>IF(OR($C$36=$AR50,$D$36=$AR50),Schweine_Werte!$C50*0.5,IF(OR($C$36&gt;$AR50,$D$36&lt;$AR50),0,Schweine_Werte!$C50))</f>
        <v>0</v>
      </c>
      <c r="AV50" s="1710">
        <f>IF(OR($C$48=$AR50,$D$48=$AR50),Schweine_Werte!$C50*0.5,IF(OR($C$48&gt;$AR50,$D$48&lt;$AR50),0,Schweine_Werte!$C50))</f>
        <v>0</v>
      </c>
      <c r="AW50" s="1710">
        <f>IF(OR($C$60=$AR50,$D$60=$AR50),Schweine_Werte!$C50*0.5,IF(OR($C$60&gt;$AR50,$D$60&lt;$AR50),0,Schweine_Werte!$C50))</f>
        <v>0</v>
      </c>
      <c r="AX50" s="1710">
        <f>IF(OR($C$12=$AR50,$D$12=$AR50),Schweine_Werte!$E50*0.5,IF(OR($C$12&gt;$AR50,$D$12&lt;$AR50),0,Schweine_Werte!$E50))</f>
        <v>0</v>
      </c>
      <c r="AY50" s="1713">
        <f>IF(OR($C$24=$AR50,$D$24=$AR50),Schweine_Werte!$E50*0.5,IF(OR($C$24&gt;$AR50,$D$24&lt;$AR50),0,Schweine_Werte!$E50))</f>
        <v>0</v>
      </c>
      <c r="AZ50" s="1713">
        <f>IF(OR($C$36=$AR50,$D$36=$AR50),Schweine_Werte!$E50*0.5,IF(OR($C$36&gt;$AR50,$D$36&lt;$AR50),0,Schweine_Werte!$E50))</f>
        <v>0</v>
      </c>
      <c r="BA50" s="1713">
        <f>IF(OR($C$48=$AR50,$D$48=$AR50),Schweine_Werte!$E50*0.5,IF(OR($C$48&gt;$AR50,$D$48&lt;$AR50),0,Schweine_Werte!$E50))</f>
        <v>0</v>
      </c>
      <c r="BB50" s="1713">
        <f>IF(OR($C$60=$AR50,$D$60=$AR50),Schweine_Werte!$E50*0.5,IF(OR($C$60&gt;$AR50,$D$60&lt;$AR50),0,Schweine_Werte!$E50))</f>
        <v>0</v>
      </c>
      <c r="BC50" s="1710">
        <f>IF(OR($C$12=$AR50,$D$12=$AR50),Schweine_Werte!$G50*0.5,IF(OR($C$12&gt;$AR50,$D$12&lt;$AR50),0,Schweine_Werte!$G50))</f>
        <v>0</v>
      </c>
      <c r="BD50" s="1713">
        <f>IF(OR($C$24=$AR50,$D$24=$AR50),Schweine_Werte!$G50*0.5,IF(OR($C$24&gt;$AR50,$D$24&lt;$AR50),0,Schweine_Werte!$G50))</f>
        <v>0</v>
      </c>
      <c r="BE50" s="1713">
        <f>IF(OR($C$36=$AR50,$D$36=$AR50),Schweine_Werte!$G50*0.5,IF(OR($C$36&gt;$AR50,$D$36&lt;$AR50),0,Schweine_Werte!$G50))</f>
        <v>0</v>
      </c>
      <c r="BF50" s="1713">
        <f>IF(OR($C$48=$AR50,$D$48=$AR50),Schweine_Werte!$G50*0.5,IF(OR($C$48&gt;$AR50,$D$48&lt;$AR50),0,Schweine_Werte!$G50))</f>
        <v>0</v>
      </c>
      <c r="BG50" s="1713">
        <f>IF(OR($C$60=$AR50,$D$60=$AR50),Schweine_Werte!$G50*0.5,IF(OR($C$60&gt;$AR50,$D$60&lt;$AR50),0,Schweine_Werte!$G50))</f>
        <v>0</v>
      </c>
      <c r="BH50" s="1710">
        <f>IF(OR($C$12=$AR50,$D$12=$AR50),Schweine_Werte!$I50*0.5,IF(OR($C$12&gt;$AR50,$D$12&lt;$AR50),0,Schweine_Werte!$I50))</f>
        <v>0</v>
      </c>
      <c r="BI50" s="1713">
        <f>IF(OR($C$24=$AR50,$D$24=$AR50),Schweine_Werte!$I50*0.5,IF(OR($C$24&gt;$AR50,$D$24&lt;$AR50),0,Schweine_Werte!$I50))</f>
        <v>0</v>
      </c>
      <c r="BJ50" s="1713">
        <f>IF(OR($C$36=$AR50,$D$36=$AR50),Schweine_Werte!$I50*0.5,IF(OR($C$36&gt;$AR50,$D$36&lt;$AR50),0,Schweine_Werte!$I50))</f>
        <v>0</v>
      </c>
      <c r="BK50" s="1713">
        <f>IF(OR($C$48=$AR50,$D$48=$AR50),Schweine_Werte!$I50*0.5,IF(OR($C$48&gt;$AR50,$D$48&lt;$AR50),0,Schweine_Werte!$I50))</f>
        <v>0</v>
      </c>
      <c r="BL50" s="1713">
        <f>IF(OR($C$60=$AR50,$D$60=$AR50),Schweine_Werte!$I50*0.5,IF(OR($C$60&gt;$AR50,$D$60&lt;$AR50),0,Schweine_Werte!$I50))</f>
        <v>0</v>
      </c>
      <c r="BM50" s="1710">
        <f>IF(OR($C$12=$AR50,$D$12=$AR50),Schweine_Werte!$K50*0.5,IF(OR($C$12&gt;$AR50,$D$12&lt;$AR50),0,Schweine_Werte!$K50))</f>
        <v>0</v>
      </c>
      <c r="BN50" s="1713">
        <f>IF(OR($C$24=$AR50,$D$24=$AR50),Schweine_Werte!$K50*0.5,IF(OR($C$24&gt;$AR50,$D$24&lt;$AR50),0,Schweine_Werte!$K50))</f>
        <v>0</v>
      </c>
      <c r="BO50" s="1713">
        <f>IF(OR($C$36=$AR50,$D$36=$AR50),Schweine_Werte!$K50*0.5,IF(OR($C$36&gt;$AR50,$D$36&lt;$AR50),0,Schweine_Werte!$K50))</f>
        <v>0</v>
      </c>
      <c r="BP50" s="1713">
        <f>IF(OR($C$48=$AR50,$D$48=$AR50),Schweine_Werte!$K50*0.5,IF(OR($C$48&gt;$AR50,$D$48&lt;$AR50),0,Schweine_Werte!$K50))</f>
        <v>0</v>
      </c>
      <c r="BQ50" s="1713">
        <f>IF(OR($C$60=$AR50,$D$60=$AR50),Schweine_Werte!$K50*0.5,IF(OR($C$60&gt;$AR50,$D$60&lt;$AR50),0,Schweine_Werte!$K50))</f>
        <v>0</v>
      </c>
      <c r="BR50" s="1710">
        <f>IF(OR($C$74=$AR50,$D$74=$AR50),Schweine_Werte!$M50*0.5,IF(OR($C$74&gt;$AR50,$D$74&lt;$AR50),0,Schweine_Werte!$M50))</f>
        <v>0</v>
      </c>
      <c r="BS50" s="1710">
        <f>IF(OR($C$83=$AR50,$D$83=$AR50),Schweine_Werte!$M50*0.5,IF(OR($C$83&gt;$AR50,$D$83&lt;$AR50),0,Schweine_Werte!$M50))</f>
        <v>0</v>
      </c>
      <c r="BT50" s="1714">
        <f>IF(OR($C$92=$AR50,$D$92=$AR50),Schweine_Werte!$M50*0.5,IF(OR($C$92&gt;$AR50,$D$92&lt;$AR50),0,Schweine_Werte!$M50))</f>
        <v>0</v>
      </c>
      <c r="BU50" s="1714">
        <f>IF(OR($C$101=$AR50,$D$101=$AR50),Schweine_Werte!$M50*0.5,IF(OR($C$101&gt;$AR50,$D$101&lt;$AR50),0,Schweine_Werte!$M50))</f>
        <v>0</v>
      </c>
      <c r="BV50" s="1714">
        <f>IF(OR($C$110=$AR50,$D$110=$AR50),Schweine_Werte!$M50*0.5,IF(OR($C$110&gt;$AR50,$D$110&lt;$AR50),0,Schweine_Werte!$M50))</f>
        <v>0</v>
      </c>
      <c r="BW50" s="1714">
        <f>IF(OR(8=$AR50,$E$127=$AR50),Schweine_Werte!$M50*0.5,IF(OR(8&gt;$AR50,$E$127&lt;$AR50),0,Schweine_Werte!$M50))</f>
        <v>1.1700235746422327</v>
      </c>
      <c r="BX50" s="1714">
        <f>IF(OR(8=$AR50,$E$145=$AR50),Schweine_Werte!$M50*0.5,IF(OR(8&gt;$AR50,$E$145&lt;$AR50),0,Schweine_Werte!$M50))</f>
        <v>1.1700235746422327</v>
      </c>
      <c r="BY50" s="1710">
        <f>IF(OR($C$74=$AR50,$D$74=$AR50),Schweine_Werte!$O50*0.5,IF(OR($C$74&gt;$AR50,$D$74&lt;$AR50),0,Schweine_Werte!$O50))</f>
        <v>0</v>
      </c>
      <c r="BZ50" s="1710">
        <f>IF(OR($C$83=$AR50,$D$83=$AR50),Schweine_Werte!$O50*0.5,IF(OR($C$83&gt;$AR50,$D$83&lt;$AR50),0,Schweine_Werte!$O50))</f>
        <v>0</v>
      </c>
      <c r="CA50" s="1714">
        <f>IF(OR($C$92=$AR50,$D$92=$AR50),Schweine_Werte!$O50*0.5,IF(OR($C$92&gt;$AR50,$D$92&lt;$AR50),0,Schweine_Werte!$O50))</f>
        <v>0</v>
      </c>
      <c r="CB50" s="1714">
        <f>IF(OR($C$101=$AR50,$D$101=$AR50),Schweine_Werte!$O50*0.5,IF(OR($C$101&gt;$AR50,$D$101&lt;$AR50),0,Schweine_Werte!$O50))</f>
        <v>0</v>
      </c>
      <c r="CC50" s="1714">
        <f>IF(OR($C$110=$AR50,$D$110=$AR50),Schweine_Werte!$O50*0.5,IF(OR($C$110&gt;$AR50,$D$110&lt;$AR50),0,Schweine_Werte!$O50))</f>
        <v>0</v>
      </c>
    </row>
    <row r="51" spans="1:81" ht="18.75" x14ac:dyDescent="0.3">
      <c r="B51" s="1702"/>
      <c r="C51" s="1702"/>
      <c r="D51" s="1702"/>
      <c r="E51" s="1702"/>
      <c r="F51" s="1702"/>
      <c r="G51" s="1702"/>
      <c r="H51" s="1703"/>
      <c r="L51" s="1685" t="s">
        <v>234</v>
      </c>
      <c r="Q51" s="3251" t="s">
        <v>8546</v>
      </c>
      <c r="R51" s="3251"/>
      <c r="S51" s="3251"/>
      <c r="T51" s="3251" t="s">
        <v>8547</v>
      </c>
      <c r="U51" s="3251"/>
      <c r="V51" s="3251"/>
      <c r="W51" s="1685" t="s">
        <v>8548</v>
      </c>
      <c r="X51" s="1685" t="s">
        <v>8549</v>
      </c>
      <c r="Y51" s="1685" t="s">
        <v>8550</v>
      </c>
      <c r="Z51" s="1685" t="s">
        <v>8551</v>
      </c>
      <c r="AG51" s="1685" t="s">
        <v>8552</v>
      </c>
      <c r="AJ51" s="1685" t="s">
        <v>8553</v>
      </c>
      <c r="AR51" s="1733">
        <v>55</v>
      </c>
      <c r="AS51" s="1710">
        <f>IF(OR($C$12=$AR51,$D$12=$AR51),Schweine_Werte!$C51*0.5,IF(OR($C$12&gt;$AR51,$D$12&lt;$AR51),0,Schweine_Werte!$C51))</f>
        <v>0</v>
      </c>
      <c r="AT51" s="1713">
        <f>IF(OR($C$24=$AR51,$D$24=$AR51),Schweine_Werte!$C51*0.5,IF(OR($C$24&gt;$AR51,$D$24&lt;$AR51),0,Schweine_Werte!$C51))</f>
        <v>0</v>
      </c>
      <c r="AU51" s="1710">
        <f>IF(OR($C$36=$AR51,$D$36=$AR51),Schweine_Werte!$C51*0.5,IF(OR($C$36&gt;$AR51,$D$36&lt;$AR51),0,Schweine_Werte!$C51))</f>
        <v>0</v>
      </c>
      <c r="AV51" s="1710">
        <f>IF(OR($C$48=$AR51,$D$48=$AR51),Schweine_Werte!$C51*0.5,IF(OR($C$48&gt;$AR51,$D$48&lt;$AR51),0,Schweine_Werte!$C51))</f>
        <v>0</v>
      </c>
      <c r="AW51" s="1710">
        <f>IF(OR($C$60=$AR51,$D$60=$AR51),Schweine_Werte!$C51*0.5,IF(OR($C$60&gt;$AR51,$D$60&lt;$AR51),0,Schweine_Werte!$C51))</f>
        <v>0</v>
      </c>
      <c r="AX51" s="1710">
        <f>IF(OR($C$12=$AR51,$D$12=$AR51),Schweine_Werte!$E51*0.5,IF(OR($C$12&gt;$AR51,$D$12&lt;$AR51),0,Schweine_Werte!$E51))</f>
        <v>0</v>
      </c>
      <c r="AY51" s="1713">
        <f>IF(OR($C$24=$AR51,$D$24=$AR51),Schweine_Werte!$E51*0.5,IF(OR($C$24&gt;$AR51,$D$24&lt;$AR51),0,Schweine_Werte!$E51))</f>
        <v>0</v>
      </c>
      <c r="AZ51" s="1713">
        <f>IF(OR($C$36=$AR51,$D$36=$AR51),Schweine_Werte!$E51*0.5,IF(OR($C$36&gt;$AR51,$D$36&lt;$AR51),0,Schweine_Werte!$E51))</f>
        <v>0</v>
      </c>
      <c r="BA51" s="1713">
        <f>IF(OR($C$48=$AR51,$D$48=$AR51),Schweine_Werte!$E51*0.5,IF(OR($C$48&gt;$AR51,$D$48&lt;$AR51),0,Schweine_Werte!$E51))</f>
        <v>0</v>
      </c>
      <c r="BB51" s="1713">
        <f>IF(OR($C$60=$AR51,$D$60=$AR51),Schweine_Werte!$E51*0.5,IF(OR($C$60&gt;$AR51,$D$60&lt;$AR51),0,Schweine_Werte!$E51))</f>
        <v>0</v>
      </c>
      <c r="BC51" s="1710">
        <f>IF(OR($C$12=$AR51,$D$12=$AR51),Schweine_Werte!$G51*0.5,IF(OR($C$12&gt;$AR51,$D$12&lt;$AR51),0,Schweine_Werte!$G51))</f>
        <v>0</v>
      </c>
      <c r="BD51" s="1713">
        <f>IF(OR($C$24=$AR51,$D$24=$AR51),Schweine_Werte!$G51*0.5,IF(OR($C$24&gt;$AR51,$D$24&lt;$AR51),0,Schweine_Werte!$G51))</f>
        <v>0</v>
      </c>
      <c r="BE51" s="1713">
        <f>IF(OR($C$36=$AR51,$D$36=$AR51),Schweine_Werte!$G51*0.5,IF(OR($C$36&gt;$AR51,$D$36&lt;$AR51),0,Schweine_Werte!$G51))</f>
        <v>0</v>
      </c>
      <c r="BF51" s="1713">
        <f>IF(OR($C$48=$AR51,$D$48=$AR51),Schweine_Werte!$G51*0.5,IF(OR($C$48&gt;$AR51,$D$48&lt;$AR51),0,Schweine_Werte!$G51))</f>
        <v>0</v>
      </c>
      <c r="BG51" s="1713">
        <f>IF(OR($C$60=$AR51,$D$60=$AR51),Schweine_Werte!$G51*0.5,IF(OR($C$60&gt;$AR51,$D$60&lt;$AR51),0,Schweine_Werte!$G51))</f>
        <v>0</v>
      </c>
      <c r="BH51" s="1710">
        <f>IF(OR($C$12=$AR51,$D$12=$AR51),Schweine_Werte!$I51*0.5,IF(OR($C$12&gt;$AR51,$D$12&lt;$AR51),0,Schweine_Werte!$I51))</f>
        <v>0</v>
      </c>
      <c r="BI51" s="1713">
        <f>IF(OR($C$24=$AR51,$D$24=$AR51),Schweine_Werte!$I51*0.5,IF(OR($C$24&gt;$AR51,$D$24&lt;$AR51),0,Schweine_Werte!$I51))</f>
        <v>0</v>
      </c>
      <c r="BJ51" s="1713">
        <f>IF(OR($C$36=$AR51,$D$36=$AR51),Schweine_Werte!$I51*0.5,IF(OR($C$36&gt;$AR51,$D$36&lt;$AR51),0,Schweine_Werte!$I51))</f>
        <v>0</v>
      </c>
      <c r="BK51" s="1713">
        <f>IF(OR($C$48=$AR51,$D$48=$AR51),Schweine_Werte!$I51*0.5,IF(OR($C$48&gt;$AR51,$D$48&lt;$AR51),0,Schweine_Werte!$I51))</f>
        <v>0</v>
      </c>
      <c r="BL51" s="1713">
        <f>IF(OR($C$60=$AR51,$D$60=$AR51),Schweine_Werte!$I51*0.5,IF(OR($C$60&gt;$AR51,$D$60&lt;$AR51),0,Schweine_Werte!$I51))</f>
        <v>0</v>
      </c>
      <c r="BM51" s="1710">
        <f>IF(OR($C$12=$AR51,$D$12=$AR51),Schweine_Werte!$K51*0.5,IF(OR($C$12&gt;$AR51,$D$12&lt;$AR51),0,Schweine_Werte!$K51))</f>
        <v>0</v>
      </c>
      <c r="BN51" s="1713">
        <f>IF(OR($C$24=$AR51,$D$24=$AR51),Schweine_Werte!$K51*0.5,IF(OR($C$24&gt;$AR51,$D$24&lt;$AR51),0,Schweine_Werte!$K51))</f>
        <v>0</v>
      </c>
      <c r="BO51" s="1713">
        <f>IF(OR($C$36=$AR51,$D$36=$AR51),Schweine_Werte!$K51*0.5,IF(OR($C$36&gt;$AR51,$D$36&lt;$AR51),0,Schweine_Werte!$K51))</f>
        <v>0</v>
      </c>
      <c r="BP51" s="1713">
        <f>IF(OR($C$48=$AR51,$D$48=$AR51),Schweine_Werte!$K51*0.5,IF(OR($C$48&gt;$AR51,$D$48&lt;$AR51),0,Schweine_Werte!$K51))</f>
        <v>0</v>
      </c>
      <c r="BQ51" s="1713">
        <f>IF(OR($C$60=$AR51,$D$60=$AR51),Schweine_Werte!$K51*0.5,IF(OR($C$60&gt;$AR51,$D$60&lt;$AR51),0,Schweine_Werte!$K51))</f>
        <v>0</v>
      </c>
      <c r="BR51" s="1710">
        <f>IF(OR($C$74=$AR51,$D$74=$AR51),Schweine_Werte!$M51*0.5,IF(OR($C$74&gt;$AR51,$D$74&lt;$AR51),0,Schweine_Werte!$M51))</f>
        <v>0</v>
      </c>
      <c r="BS51" s="1710">
        <f>IF(OR($C$83=$AR51,$D$83=$AR51),Schweine_Werte!$M51*0.5,IF(OR($C$83&gt;$AR51,$D$83&lt;$AR51),0,Schweine_Werte!$M51))</f>
        <v>0</v>
      </c>
      <c r="BT51" s="1714">
        <f>IF(OR($C$92=$AR51,$D$92=$AR51),Schweine_Werte!$M51*0.5,IF(OR($C$92&gt;$AR51,$D$92&lt;$AR51),0,Schweine_Werte!$M51))</f>
        <v>0</v>
      </c>
      <c r="BU51" s="1714">
        <f>IF(OR($C$101=$AR51,$D$101=$AR51),Schweine_Werte!$M51*0.5,IF(OR($C$101&gt;$AR51,$D$101&lt;$AR51),0,Schweine_Werte!$M51))</f>
        <v>0</v>
      </c>
      <c r="BV51" s="1714">
        <f>IF(OR($C$110=$AR51,$D$110=$AR51),Schweine_Werte!$M51*0.5,IF(OR($C$110&gt;$AR51,$D$110&lt;$AR51),0,Schweine_Werte!$M51))</f>
        <v>0</v>
      </c>
      <c r="BW51" s="1714">
        <f>IF(OR(8=$AR51,$E$127=$AR51),Schweine_Werte!$M51*0.5,IF(OR(8&gt;$AR51,$E$127&lt;$AR51),0,Schweine_Werte!$M51))</f>
        <v>1.1627760843022101</v>
      </c>
      <c r="BX51" s="1714">
        <f>IF(OR(8=$AR51,$E$145=$AR51),Schweine_Werte!$M51*0.5,IF(OR(8&gt;$AR51,$E$145&lt;$AR51),0,Schweine_Werte!$M51))</f>
        <v>1.1627760843022101</v>
      </c>
      <c r="BY51" s="1710">
        <f>IF(OR($C$74=$AR51,$D$74=$AR51),Schweine_Werte!$O51*0.5,IF(OR($C$74&gt;$AR51,$D$74&lt;$AR51),0,Schweine_Werte!$O51))</f>
        <v>0</v>
      </c>
      <c r="BZ51" s="1710">
        <f>IF(OR($C$83=$AR51,$D$83=$AR51),Schweine_Werte!$O51*0.5,IF(OR($C$83&gt;$AR51,$D$83&lt;$AR51),0,Schweine_Werte!$O51))</f>
        <v>0</v>
      </c>
      <c r="CA51" s="1714">
        <f>IF(OR($C$92=$AR51,$D$92=$AR51),Schweine_Werte!$O51*0.5,IF(OR($C$92&gt;$AR51,$D$92&lt;$AR51),0,Schweine_Werte!$O51))</f>
        <v>0</v>
      </c>
      <c r="CB51" s="1714">
        <f>IF(OR($C$101=$AR51,$D$101=$AR51),Schweine_Werte!$O51*0.5,IF(OR($C$101&gt;$AR51,$D$101&lt;$AR51),0,Schweine_Werte!$O51))</f>
        <v>0</v>
      </c>
      <c r="CC51" s="1714">
        <f>IF(OR($C$110=$AR51,$D$110=$AR51),Schweine_Werte!$O51*0.5,IF(OR($C$110&gt;$AR51,$D$110&lt;$AR51),0,Schweine_Werte!$O51))</f>
        <v>0</v>
      </c>
    </row>
    <row r="52" spans="1:81" x14ac:dyDescent="0.25">
      <c r="B52" t="s">
        <v>8567</v>
      </c>
      <c r="C52"/>
      <c r="D52"/>
      <c r="E52" t="s">
        <v>8568</v>
      </c>
      <c r="F52" t="s">
        <v>195</v>
      </c>
      <c r="G52" t="s">
        <v>8569</v>
      </c>
      <c r="H52" t="s">
        <v>8570</v>
      </c>
      <c r="I52" t="s">
        <v>8571</v>
      </c>
      <c r="J52" t="s">
        <v>8096</v>
      </c>
      <c r="K52" t="s">
        <v>8572</v>
      </c>
      <c r="L52" t="s">
        <v>8573</v>
      </c>
      <c r="M52" t="s">
        <v>8574</v>
      </c>
      <c r="N52" t="s">
        <v>8575</v>
      </c>
      <c r="O52" t="s">
        <v>8576</v>
      </c>
      <c r="P52" t="s">
        <v>8577</v>
      </c>
      <c r="Q52" t="s">
        <v>35</v>
      </c>
      <c r="R52" t="s">
        <v>36</v>
      </c>
      <c r="S52" t="s">
        <v>37</v>
      </c>
      <c r="T52" t="s">
        <v>35</v>
      </c>
      <c r="U52" t="s">
        <v>36</v>
      </c>
      <c r="V52" t="s">
        <v>37</v>
      </c>
      <c r="W52"/>
      <c r="X52"/>
      <c r="Y52"/>
      <c r="Z52"/>
      <c r="AA52"/>
      <c r="AB52"/>
      <c r="AC52"/>
      <c r="AD52"/>
      <c r="AE52"/>
      <c r="AF52"/>
      <c r="AG52"/>
      <c r="AH52"/>
      <c r="AI52"/>
      <c r="AJ52"/>
      <c r="AK52"/>
      <c r="AL52"/>
      <c r="AM52"/>
      <c r="AN52"/>
      <c r="AO52"/>
      <c r="AR52" s="1733">
        <v>56</v>
      </c>
      <c r="AS52" s="1710">
        <f>IF(OR($C$12=$AR52,$D$12=$AR52),Schweine_Werte!$C52*0.5,IF(OR($C$12&gt;$AR52,$D$12&lt;$AR52),0,Schweine_Werte!$C52))</f>
        <v>0</v>
      </c>
      <c r="AT52" s="1713">
        <f>IF(OR($C$24=$AR52,$D$24=$AR52),Schweine_Werte!$C52*0.5,IF(OR($C$24&gt;$AR52,$D$24&lt;$AR52),0,Schweine_Werte!$C52))</f>
        <v>0</v>
      </c>
      <c r="AU52" s="1710">
        <f>IF(OR($C$36=$AR52,$D$36=$AR52),Schweine_Werte!$C52*0.5,IF(OR($C$36&gt;$AR52,$D$36&lt;$AR52),0,Schweine_Werte!$C52))</f>
        <v>0</v>
      </c>
      <c r="AV52" s="1710">
        <f>IF(OR($C$48=$AR52,$D$48=$AR52),Schweine_Werte!$C52*0.5,IF(OR($C$48&gt;$AR52,$D$48&lt;$AR52),0,Schweine_Werte!$C52))</f>
        <v>0</v>
      </c>
      <c r="AW52" s="1710">
        <f>IF(OR($C$60=$AR52,$D$60=$AR52),Schweine_Werte!$C52*0.5,IF(OR($C$60&gt;$AR52,$D$60&lt;$AR52),0,Schweine_Werte!$C52))</f>
        <v>0</v>
      </c>
      <c r="AX52" s="1710">
        <f>IF(OR($C$12=$AR52,$D$12=$AR52),Schweine_Werte!$E52*0.5,IF(OR($C$12&gt;$AR52,$D$12&lt;$AR52),0,Schweine_Werte!$E52))</f>
        <v>0</v>
      </c>
      <c r="AY52" s="1713">
        <f>IF(OR($C$24=$AR52,$D$24=$AR52),Schweine_Werte!$E52*0.5,IF(OR($C$24&gt;$AR52,$D$24&lt;$AR52),0,Schweine_Werte!$E52))</f>
        <v>0</v>
      </c>
      <c r="AZ52" s="1713">
        <f>IF(OR($C$36=$AR52,$D$36=$AR52),Schweine_Werte!$E52*0.5,IF(OR($C$36&gt;$AR52,$D$36&lt;$AR52),0,Schweine_Werte!$E52))</f>
        <v>0</v>
      </c>
      <c r="BA52" s="1713">
        <f>IF(OR($C$48=$AR52,$D$48=$AR52),Schweine_Werte!$E52*0.5,IF(OR($C$48&gt;$AR52,$D$48&lt;$AR52),0,Schweine_Werte!$E52))</f>
        <v>0</v>
      </c>
      <c r="BB52" s="1713">
        <f>IF(OR($C$60=$AR52,$D$60=$AR52),Schweine_Werte!$E52*0.5,IF(OR($C$60&gt;$AR52,$D$60&lt;$AR52),0,Schweine_Werte!$E52))</f>
        <v>0</v>
      </c>
      <c r="BC52" s="1710">
        <f>IF(OR($C$12=$AR52,$D$12=$AR52),Schweine_Werte!$G52*0.5,IF(OR($C$12&gt;$AR52,$D$12&lt;$AR52),0,Schweine_Werte!$G52))</f>
        <v>0</v>
      </c>
      <c r="BD52" s="1713">
        <f>IF(OR($C$24=$AR52,$D$24=$AR52),Schweine_Werte!$G52*0.5,IF(OR($C$24&gt;$AR52,$D$24&lt;$AR52),0,Schweine_Werte!$G52))</f>
        <v>0</v>
      </c>
      <c r="BE52" s="1713">
        <f>IF(OR($C$36=$AR52,$D$36=$AR52),Schweine_Werte!$G52*0.5,IF(OR($C$36&gt;$AR52,$D$36&lt;$AR52),0,Schweine_Werte!$G52))</f>
        <v>0</v>
      </c>
      <c r="BF52" s="1713">
        <f>IF(OR($C$48=$AR52,$D$48=$AR52),Schweine_Werte!$G52*0.5,IF(OR($C$48&gt;$AR52,$D$48&lt;$AR52),0,Schweine_Werte!$G52))</f>
        <v>0</v>
      </c>
      <c r="BG52" s="1713">
        <f>IF(OR($C$60=$AR52,$D$60=$AR52),Schweine_Werte!$G52*0.5,IF(OR($C$60&gt;$AR52,$D$60&lt;$AR52),0,Schweine_Werte!$G52))</f>
        <v>0</v>
      </c>
      <c r="BH52" s="1710">
        <f>IF(OR($C$12=$AR52,$D$12=$AR52),Schweine_Werte!$I52*0.5,IF(OR($C$12&gt;$AR52,$D$12&lt;$AR52),0,Schweine_Werte!$I52))</f>
        <v>0</v>
      </c>
      <c r="BI52" s="1713">
        <f>IF(OR($C$24=$AR52,$D$24=$AR52),Schweine_Werte!$I52*0.5,IF(OR($C$24&gt;$AR52,$D$24&lt;$AR52),0,Schweine_Werte!$I52))</f>
        <v>0</v>
      </c>
      <c r="BJ52" s="1713">
        <f>IF(OR($C$36=$AR52,$D$36=$AR52),Schweine_Werte!$I52*0.5,IF(OR($C$36&gt;$AR52,$D$36&lt;$AR52),0,Schweine_Werte!$I52))</f>
        <v>0</v>
      </c>
      <c r="BK52" s="1713">
        <f>IF(OR($C$48=$AR52,$D$48=$AR52),Schweine_Werte!$I52*0.5,IF(OR($C$48&gt;$AR52,$D$48&lt;$AR52),0,Schweine_Werte!$I52))</f>
        <v>0</v>
      </c>
      <c r="BL52" s="1713">
        <f>IF(OR($C$60=$AR52,$D$60=$AR52),Schweine_Werte!$I52*0.5,IF(OR($C$60&gt;$AR52,$D$60&lt;$AR52),0,Schweine_Werte!$I52))</f>
        <v>0</v>
      </c>
      <c r="BM52" s="1710">
        <f>IF(OR($C$12=$AR52,$D$12=$AR52),Schweine_Werte!$K52*0.5,IF(OR($C$12&gt;$AR52,$D$12&lt;$AR52),0,Schweine_Werte!$K52))</f>
        <v>0</v>
      </c>
      <c r="BN52" s="1713">
        <f>IF(OR($C$24=$AR52,$D$24=$AR52),Schweine_Werte!$K52*0.5,IF(OR($C$24&gt;$AR52,$D$24&lt;$AR52),0,Schweine_Werte!$K52))</f>
        <v>0</v>
      </c>
      <c r="BO52" s="1713">
        <f>IF(OR($C$36=$AR52,$D$36=$AR52),Schweine_Werte!$K52*0.5,IF(OR($C$36&gt;$AR52,$D$36&lt;$AR52),0,Schweine_Werte!$K52))</f>
        <v>0</v>
      </c>
      <c r="BP52" s="1713">
        <f>IF(OR($C$48=$AR52,$D$48=$AR52),Schweine_Werte!$K52*0.5,IF(OR($C$48&gt;$AR52,$D$48&lt;$AR52),0,Schweine_Werte!$K52))</f>
        <v>0</v>
      </c>
      <c r="BQ52" s="1713">
        <f>IF(OR($C$60=$AR52,$D$60=$AR52),Schweine_Werte!$K52*0.5,IF(OR($C$60&gt;$AR52,$D$60&lt;$AR52),0,Schweine_Werte!$K52))</f>
        <v>0</v>
      </c>
      <c r="BR52" s="1710">
        <f>IF(OR($C$74=$AR52,$D$74=$AR52),Schweine_Werte!$M52*0.5,IF(OR($C$74&gt;$AR52,$D$74&lt;$AR52),0,Schweine_Werte!$M52))</f>
        <v>0</v>
      </c>
      <c r="BS52" s="1710">
        <f>IF(OR($C$83=$AR52,$D$83=$AR52),Schweine_Werte!$M52*0.5,IF(OR($C$83&gt;$AR52,$D$83&lt;$AR52),0,Schweine_Werte!$M52))</f>
        <v>0</v>
      </c>
      <c r="BT52" s="1714">
        <f>IF(OR($C$92=$AR52,$D$92=$AR52),Schweine_Werte!$M52*0.5,IF(OR($C$92&gt;$AR52,$D$92&lt;$AR52),0,Schweine_Werte!$M52))</f>
        <v>0</v>
      </c>
      <c r="BU52" s="1714">
        <f>IF(OR($C$101=$AR52,$D$101=$AR52),Schweine_Werte!$M52*0.5,IF(OR($C$101&gt;$AR52,$D$101&lt;$AR52),0,Schweine_Werte!$M52))</f>
        <v>0</v>
      </c>
      <c r="BV52" s="1714">
        <f>IF(OR($C$110=$AR52,$D$110=$AR52),Schweine_Werte!$M52*0.5,IF(OR($C$110&gt;$AR52,$D$110&lt;$AR52),0,Schweine_Werte!$M52))</f>
        <v>0</v>
      </c>
      <c r="BW52" s="1714">
        <f>IF(OR(8=$AR52,$E$127=$AR52),Schweine_Werte!$M52*0.5,IF(OR(8&gt;$AR52,$E$127&lt;$AR52),0,Schweine_Werte!$M52))</f>
        <v>1.1560121824882652</v>
      </c>
      <c r="BX52" s="1714">
        <f>IF(OR(8=$AR52,$E$145=$AR52),Schweine_Werte!$M52*0.5,IF(OR(8&gt;$AR52,$E$145&lt;$AR52),0,Schweine_Werte!$M52))</f>
        <v>1.1560121824882652</v>
      </c>
      <c r="BY52" s="1710">
        <f>IF(OR($C$74=$AR52,$D$74=$AR52),Schweine_Werte!$O52*0.5,IF(OR($C$74&gt;$AR52,$D$74&lt;$AR52),0,Schweine_Werte!$O52))</f>
        <v>0</v>
      </c>
      <c r="BZ52" s="1710">
        <f>IF(OR($C$83=$AR52,$D$83=$AR52),Schweine_Werte!$O52*0.5,IF(OR($C$83&gt;$AR52,$D$83&lt;$AR52),0,Schweine_Werte!$O52))</f>
        <v>0</v>
      </c>
      <c r="CA52" s="1714">
        <f>IF(OR($C$92=$AR52,$D$92=$AR52),Schweine_Werte!$O52*0.5,IF(OR($C$92&gt;$AR52,$D$92&lt;$AR52),0,Schweine_Werte!$O52))</f>
        <v>0</v>
      </c>
      <c r="CB52" s="1714">
        <f>IF(OR($C$101=$AR52,$D$101=$AR52),Schweine_Werte!$O52*0.5,IF(OR($C$101&gt;$AR52,$D$101&lt;$AR52),0,Schweine_Werte!$O52))</f>
        <v>0</v>
      </c>
      <c r="CC52" s="1714">
        <f>IF(OR($C$110=$AR52,$D$110=$AR52),Schweine_Werte!$O52*0.5,IF(OR($C$110&gt;$AR52,$D$110&lt;$AR52),0,Schweine_Werte!$O52))</f>
        <v>0</v>
      </c>
    </row>
    <row r="53" spans="1:81" x14ac:dyDescent="0.25">
      <c r="B53" s="1712">
        <v>700</v>
      </c>
      <c r="C53"/>
      <c r="D53" s="885"/>
      <c r="E53" s="885" t="e">
        <f>($D60-$C60)*1000/SUM($AW$4:$AW$146)</f>
        <v>#VALUE!</v>
      </c>
      <c r="F53" s="885" t="e">
        <f>SUMPRODUCT($AW$4:$AW$146,Schweine_Werte!$Q$4:$Q$146)/SUM($AW$4:$AW$146)</f>
        <v>#DIV/0!</v>
      </c>
      <c r="G53" s="885" t="e">
        <f>IF($B60=$A$8,SUMPRODUCT($AW$4:$AW$146,Schweine_Werte!EH$4:EH$146)/SUM($AW$4:$AW$146),IF($B60=$A$7,SUMPRODUCT($AW$4:$AW$146,Schweine_Werte!DB$4:DB$146)/SUM($AW$4:$AW$146),IF($B60=$A$6,SUMPRODUCT($AW$4:$AW$146,Schweine_Werte!BV$4:BV$146)/SUM($AW$4:$AW$146),SUMPRODUCT($AW$4:$AW$146,Schweine_Werte!AP$4:AP$146)/SUM($AW$4:$AW$146))))</f>
        <v>#DIV/0!</v>
      </c>
      <c r="H53" s="885" t="e">
        <f>IF($B60=$A$8,SUMPRODUCT($AW$4:$AW$146,Schweine_Werte!EI$4:EI$146)/SUM($AW$4:$AW$146),IF($B60=$A$7,SUMPRODUCT($AW$4:$AW$146,Schweine_Werte!DC$4:DC$146)/SUM($AW$4:$AW$146),IF($B60=$A$6,SUMPRODUCT($AW$4:$AW$146,Schweine_Werte!BW$4:BW$146)/SUM($AW$4:$AW$146),SUMPRODUCT($AW$4:$AW$146,Schweine_Werte!AQ$4:AQ$146)/SUM($AW$4:$AW$146))))</f>
        <v>#DIV/0!</v>
      </c>
      <c r="I53" s="885" t="e">
        <f>IF($B60=$A$8,SUMPRODUCT($AW$4:$AW$146,Schweine_Werte!EJ$4:EJ$146)/SUM($AW$4:$AW$146),IF($B60=$A$7,SUMPRODUCT($AW$4:$AW$146,Schweine_Werte!DD$4:DD$146)/SUM($AW$4:$AW$146),IF($B60=$A$6,SUMPRODUCT($AW$4:$AW$146,Schweine_Werte!BX$4:BX$146)/SUM($AW$4:$AW$146),SUMPRODUCT($AW$4:$AW$146,Schweine_Werte!AR$4:AR$146)/SUM($AW$4:$AW$146))))</f>
        <v>#DIV/0!</v>
      </c>
      <c r="J53" s="885" t="e">
        <f>SUMPRODUCT($AW$4:$AW$146,Schweine_Werte!$Y$4:$Y$146)/SUM($AW$4:$AW$146)</f>
        <v>#DIV/0!</v>
      </c>
      <c r="K53" s="885" t="e">
        <f>SUMPRODUCT($AW$4:$AW$146,Schweine_Werte!$AG$4:$AG$146)/SUM($AW$4:$AW$146)</f>
        <v>#DIV/0!</v>
      </c>
      <c r="L53" s="1914" t="e">
        <f>T53*$F53*365/1000+$J53-$K53</f>
        <v>#DIV/0!</v>
      </c>
      <c r="M53" s="885" t="e">
        <f>U53*$F53*365/1000+$J53-$K53/2</f>
        <v>#DIV/0!</v>
      </c>
      <c r="N53" s="885" t="e">
        <f>V53*$F53*365/1000+$J53</f>
        <v>#DIV/0!</v>
      </c>
      <c r="O53" s="885">
        <f>IF($C60&lt;28,SUM($AW$4:$AW$23)+IF($D60&gt;28,$AW$24*0.5,$AW$24),0)</f>
        <v>0</v>
      </c>
      <c r="P53" s="885">
        <f>IF($D60&gt;28,SUM($AW$25:$AW$146)+IF($C60&lt;28,$AW$24*0.5,$AW$24),0)</f>
        <v>0</v>
      </c>
      <c r="Q53" s="885" t="e">
        <f t="shared" ref="Q53:S56" si="12">+T53*$F53</f>
        <v>#DIV/0!</v>
      </c>
      <c r="R53" s="885" t="e">
        <f t="shared" si="12"/>
        <v>#DIV/0!</v>
      </c>
      <c r="S53" s="885" t="e">
        <f t="shared" si="12"/>
        <v>#DIV/0!</v>
      </c>
      <c r="T53" s="885" t="e">
        <f>+($O53*Schweine_Werte!$HT$5+$P53*Schweine_Werte!$HU$5)/SUM($O53:$P53)</f>
        <v>#DIV/0!</v>
      </c>
      <c r="U53" s="885" t="e">
        <f>+($O53*Schweine_Werte!$HV$5+$P53*Schweine_Werte!$HW$5)/SUM($O53:$P53)</f>
        <v>#DIV/0!</v>
      </c>
      <c r="V53" s="885" t="e">
        <f>+($O53*Schweine_Werte!$HX$5+$P53*Schweine_Werte!$HY$5)/SUM($O53:$P53)</f>
        <v>#DIV/0!</v>
      </c>
      <c r="W53" s="1915" t="e">
        <f>($J53*0.055+T53*0.365*0.86*$F53-$K53*0.018)/L53*100</f>
        <v>#DIV/0!</v>
      </c>
      <c r="X53" s="885" t="e">
        <f>($J53*0.055+U53*0.365*0.86*$F53-$K53*0.018/2)/M53*100</f>
        <v>#DIV/0!</v>
      </c>
      <c r="Y53" s="885" t="e">
        <f>($J53*0.055+V53*0.365*0.86*$F53)/N53*100</f>
        <v>#DIV/0!</v>
      </c>
      <c r="Z53" s="885" t="e">
        <f>IF($B60=$A$8,SUMPRODUCT($AW$4:$AW$146,Schweine_Werte!$EK$4:$EK$146,Schweine_Werte!$EL$4:$EL$146)/SUMPRODUCT($AW$4:$AW$146,Schweine_Werte!$EK$4:$EK$146),IF($B60=$A$7,SUMPRODUCT($AW$4:$AW$146,Schweine_Werte!$DE$4:$DE$146,Schweine_Werte!$DF$4:$DF$146)/SUMPRODUCT($AW$4:$AW$146,Schweine_Werte!$DE$4:$DE$146),IF($B60=$A$6,SUMPRODUCT($AW$4:$AW$146,Schweine_Werte!$BY$4:$BY$146,Schweine_Werte!$BZ$4:$BZ$146)/SUMPRODUCT($AW$4:$AW$146,Schweine_Werte!$BY$4:$BY$146),SUMPRODUCT($AW$4:$AW$146,Schweine_Werte!$AS$4:$AS$146,Schweine_Werte!$AT$4:$AT$146)/SUMPRODUCT($AW$4:$AW$146,Schweine_Werte!$AS$4:$AS$146))))</f>
        <v>#DIV/0!</v>
      </c>
      <c r="AA53" s="885"/>
      <c r="AB53" s="885">
        <f>IF($B60=$A$8,SUMIF(Schweine_Werte!$AO$4:$AO$146,$C60,Schweine_Werte!$EL$4:$EL$146),IF($B60=$A$7,SUMIF(Schweine_Werte!$AO$4:$AO$146,$C60,Schweine_Werte!$DF$4:$DF$146),IF($B60=$A$6,SUMIF(Schweine_Werte!$AO$4:$AO$146,$C60,Schweine_Werte!$BZ$4:$BZ$146),SUMIF(Schweine_Werte!$AO$4:$AO$146,$C60,Schweine_Werte!$AT$4:$AT$146))))</f>
        <v>0</v>
      </c>
      <c r="AC53" s="885"/>
      <c r="AD53" s="885">
        <f>IF($B60=$A$8,SUMIF(Schweine_Werte!$AO$4:$AO$146,$D60,Schweine_Werte!$EL$4:$EL$146),IF($B60=$A$7,SUMIF(Schweine_Werte!$AO$4:$AO$146,$D60,Schweine_Werte!$DF$4:$DF$146),IF($B60=$A$6,SUMIF(Schweine_Werte!$AO$4:$AO$146,$D60,Schweine_Werte!$BZ$4:$BZ$146),SUMIF(Schweine_Werte!$AO$4:$AO$146,$D60,Schweine_Werte!$AT$4:$AT$146))))</f>
        <v>0</v>
      </c>
      <c r="AE53" s="885"/>
      <c r="AF53" s="885"/>
      <c r="AG53" s="885" t="e">
        <f>IF($B60=$A$8,SUMPRODUCT($AW$4:$AW$146,Schweine_Werte!$EK$4:$EK$146)/SUM($AW$4:$AW$146),IF($B60=$A$7,SUMPRODUCT($AW$4:$AW$146,Schweine_Werte!$DE$4:$DE$146)/SUM($AW$4:$AW$146),IF($B60=$A$6,SUMPRODUCT($AW$4:$AW$146,Schweine_Werte!$BY$4:$BY$146)/SUM($AW$4:$AW$146),SUMPRODUCT($AW$4:$AW$146,Schweine_Werte!$AS$4:$AS$146)/SUM($AW$4:$AW$146))))</f>
        <v>#DIV/0!</v>
      </c>
      <c r="AH53" s="885"/>
      <c r="AI53" s="885"/>
      <c r="AJ53" s="885" t="e">
        <f>IF($B60=$A$8,SUMPRODUCT($AW$4:$AW$146,Schweine_Werte!$EK$4:$EK$146,Schweine_Werte!$EM$4:$EM$146)/SUMPRODUCT($AW$4:$AW$146,Schweine_Werte!$EK$4:$EK$146),IF($B60=$A$7,SUMPRODUCT($AW$4:$AW$146,Schweine_Werte!$DE$4:$DE$146,Schweine_Werte!$DG$4:$DG$146)/SUMPRODUCT($AW$4:$AW$146,Schweine_Werte!$DE$4:$DE$146),IF($B60=$A$6,SUMPRODUCT($AW$4:$AW$146,Schweine_Werte!$BY$4:$BY$146,Schweine_Werte!$CA$4:$CA$146)/SUMPRODUCT($AW$4:$AW$146,Schweine_Werte!$BY$4:$BY$146),SUMPRODUCT($AW$4:$AW$146,Schweine_Werte!$AS$4:$AS$146,Schweine_Werte!$AU$4:$AU$146)/SUMPRODUCT($AW$4:$AW$146,Schweine_Werte!$AS$4:$AS$146))))</f>
        <v>#DIV/0!</v>
      </c>
      <c r="AK53" s="885"/>
      <c r="AL53" s="885">
        <f>IF($B60=$A$8,SUMIF(Schweine_Werte!$AO$4:$AO$146,$C60,Schweine_Werte!$EM$4:$EM$146),IF($B60=$A$7,SUMIF(Schweine_Werte!$AO$4:$AO$146,$C60,Schweine_Werte!$DG$4:$DG$146),IF($B60=$A$6,SUMIF(Schweine_Werte!$AO$4:$AO$146,$C60,Schweine_Werte!$CA$4:$CA$146),SUMIF(Schweine_Werte!$AO$4:$AO$146,$C60,Schweine_Werte!$AU$4:$AU$146))))</f>
        <v>0</v>
      </c>
      <c r="AM53" s="885"/>
      <c r="AN53" s="885">
        <f>IF($B60=$A$8,SUMIF(Schweine_Werte!$AO$4:$AO$146,$D60,Schweine_Werte!$EM$4:$EM$146),IF($B60=$A$7,SUMIF(Schweine_Werte!$AO$4:$AO$146,$D60,Schweine_Werte!$DG$4:$DG$146),IF($B60=$A$6,SUMIF(Schweine_Werte!$AO$4:$AO$146,$D60,Schweine_Werte!$CA$4:$CA$146),SUMIF(Schweine_Werte!$AO$4:$AO$146,$D60,Schweine_Werte!$AU$4:$AU$146))))</f>
        <v>0</v>
      </c>
      <c r="AO53"/>
      <c r="AR53" s="1733">
        <v>57</v>
      </c>
      <c r="AS53" s="1710">
        <f>IF(OR($C$12=$AR53,$D$12=$AR53),Schweine_Werte!$C53*0.5,IF(OR($C$12&gt;$AR53,$D$12&lt;$AR53),0,Schweine_Werte!$C53))</f>
        <v>0</v>
      </c>
      <c r="AT53" s="1713">
        <f>IF(OR($C$24=$AR53,$D$24=$AR53),Schweine_Werte!$C53*0.5,IF(OR($C$24&gt;$AR53,$D$24&lt;$AR53),0,Schweine_Werte!$C53))</f>
        <v>0</v>
      </c>
      <c r="AU53" s="1710">
        <f>IF(OR($C$36=$AR53,$D$36=$AR53),Schweine_Werte!$C53*0.5,IF(OR($C$36&gt;$AR53,$D$36&lt;$AR53),0,Schweine_Werte!$C53))</f>
        <v>0</v>
      </c>
      <c r="AV53" s="1710">
        <f>IF(OR($C$48=$AR53,$D$48=$AR53),Schweine_Werte!$C53*0.5,IF(OR($C$48&gt;$AR53,$D$48&lt;$AR53),0,Schweine_Werte!$C53))</f>
        <v>0</v>
      </c>
      <c r="AW53" s="1710">
        <f>IF(OR($C$60=$AR53,$D$60=$AR53),Schweine_Werte!$C53*0.5,IF(OR($C$60&gt;$AR53,$D$60&lt;$AR53),0,Schweine_Werte!$C53))</f>
        <v>0</v>
      </c>
      <c r="AX53" s="1710">
        <f>IF(OR($C$12=$AR53,$D$12=$AR53),Schweine_Werte!$E53*0.5,IF(OR($C$12&gt;$AR53,$D$12&lt;$AR53),0,Schweine_Werte!$E53))</f>
        <v>0</v>
      </c>
      <c r="AY53" s="1713">
        <f>IF(OR($C$24=$AR53,$D$24=$AR53),Schweine_Werte!$E53*0.5,IF(OR($C$24&gt;$AR53,$D$24&lt;$AR53),0,Schweine_Werte!$E53))</f>
        <v>0</v>
      </c>
      <c r="AZ53" s="1713">
        <f>IF(OR($C$36=$AR53,$D$36=$AR53),Schweine_Werte!$E53*0.5,IF(OR($C$36&gt;$AR53,$D$36&lt;$AR53),0,Schweine_Werte!$E53))</f>
        <v>0</v>
      </c>
      <c r="BA53" s="1713">
        <f>IF(OR($C$48=$AR53,$D$48=$AR53),Schweine_Werte!$E53*0.5,IF(OR($C$48&gt;$AR53,$D$48&lt;$AR53),0,Schweine_Werte!$E53))</f>
        <v>0</v>
      </c>
      <c r="BB53" s="1713">
        <f>IF(OR($C$60=$AR53,$D$60=$AR53),Schweine_Werte!$E53*0.5,IF(OR($C$60&gt;$AR53,$D$60&lt;$AR53),0,Schweine_Werte!$E53))</f>
        <v>0</v>
      </c>
      <c r="BC53" s="1710">
        <f>IF(OR($C$12=$AR53,$D$12=$AR53),Schweine_Werte!$G53*0.5,IF(OR($C$12&gt;$AR53,$D$12&lt;$AR53),0,Schweine_Werte!$G53))</f>
        <v>0</v>
      </c>
      <c r="BD53" s="1713">
        <f>IF(OR($C$24=$AR53,$D$24=$AR53),Schweine_Werte!$G53*0.5,IF(OR($C$24&gt;$AR53,$D$24&lt;$AR53),0,Schweine_Werte!$G53))</f>
        <v>0</v>
      </c>
      <c r="BE53" s="1713">
        <f>IF(OR($C$36=$AR53,$D$36=$AR53),Schweine_Werte!$G53*0.5,IF(OR($C$36&gt;$AR53,$D$36&lt;$AR53),0,Schweine_Werte!$G53))</f>
        <v>0</v>
      </c>
      <c r="BF53" s="1713">
        <f>IF(OR($C$48=$AR53,$D$48=$AR53),Schweine_Werte!$G53*0.5,IF(OR($C$48&gt;$AR53,$D$48&lt;$AR53),0,Schweine_Werte!$G53))</f>
        <v>0</v>
      </c>
      <c r="BG53" s="1713">
        <f>IF(OR($C$60=$AR53,$D$60=$AR53),Schweine_Werte!$G53*0.5,IF(OR($C$60&gt;$AR53,$D$60&lt;$AR53),0,Schweine_Werte!$G53))</f>
        <v>0</v>
      </c>
      <c r="BH53" s="1710">
        <f>IF(OR($C$12=$AR53,$D$12=$AR53),Schweine_Werte!$I53*0.5,IF(OR($C$12&gt;$AR53,$D$12&lt;$AR53),0,Schweine_Werte!$I53))</f>
        <v>0</v>
      </c>
      <c r="BI53" s="1713">
        <f>IF(OR($C$24=$AR53,$D$24=$AR53),Schweine_Werte!$I53*0.5,IF(OR($C$24&gt;$AR53,$D$24&lt;$AR53),0,Schweine_Werte!$I53))</f>
        <v>0</v>
      </c>
      <c r="BJ53" s="1713">
        <f>IF(OR($C$36=$AR53,$D$36=$AR53),Schweine_Werte!$I53*0.5,IF(OR($C$36&gt;$AR53,$D$36&lt;$AR53),0,Schweine_Werte!$I53))</f>
        <v>0</v>
      </c>
      <c r="BK53" s="1713">
        <f>IF(OR($C$48=$AR53,$D$48=$AR53),Schweine_Werte!$I53*0.5,IF(OR($C$48&gt;$AR53,$D$48&lt;$AR53),0,Schweine_Werte!$I53))</f>
        <v>0</v>
      </c>
      <c r="BL53" s="1713">
        <f>IF(OR($C$60=$AR53,$D$60=$AR53),Schweine_Werte!$I53*0.5,IF(OR($C$60&gt;$AR53,$D$60&lt;$AR53),0,Schweine_Werte!$I53))</f>
        <v>0</v>
      </c>
      <c r="BM53" s="1710">
        <f>IF(OR($C$12=$AR53,$D$12=$AR53),Schweine_Werte!$K53*0.5,IF(OR($C$12&gt;$AR53,$D$12&lt;$AR53),0,Schweine_Werte!$K53))</f>
        <v>0</v>
      </c>
      <c r="BN53" s="1713">
        <f>IF(OR($C$24=$AR53,$D$24=$AR53),Schweine_Werte!$K53*0.5,IF(OR($C$24&gt;$AR53,$D$24&lt;$AR53),0,Schweine_Werte!$K53))</f>
        <v>0</v>
      </c>
      <c r="BO53" s="1713">
        <f>IF(OR($C$36=$AR53,$D$36=$AR53),Schweine_Werte!$K53*0.5,IF(OR($C$36&gt;$AR53,$D$36&lt;$AR53),0,Schweine_Werte!$K53))</f>
        <v>0</v>
      </c>
      <c r="BP53" s="1713">
        <f>IF(OR($C$48=$AR53,$D$48=$AR53),Schweine_Werte!$K53*0.5,IF(OR($C$48&gt;$AR53,$D$48&lt;$AR53),0,Schweine_Werte!$K53))</f>
        <v>0</v>
      </c>
      <c r="BQ53" s="1713">
        <f>IF(OR($C$60=$AR53,$D$60=$AR53),Schweine_Werte!$K53*0.5,IF(OR($C$60&gt;$AR53,$D$60&lt;$AR53),0,Schweine_Werte!$K53))</f>
        <v>0</v>
      </c>
      <c r="BR53" s="1710">
        <f>IF(OR($C$74=$AR53,$D$74=$AR53),Schweine_Werte!$M53*0.5,IF(OR($C$74&gt;$AR53,$D$74&lt;$AR53),0,Schweine_Werte!$M53))</f>
        <v>0</v>
      </c>
      <c r="BS53" s="1710">
        <f>IF(OR($C$83=$AR53,$D$83=$AR53),Schweine_Werte!$M53*0.5,IF(OR($C$83&gt;$AR53,$D$83&lt;$AR53),0,Schweine_Werte!$M53))</f>
        <v>0</v>
      </c>
      <c r="BT53" s="1714">
        <f>IF(OR($C$92=$AR53,$D$92=$AR53),Schweine_Werte!$M53*0.5,IF(OR($C$92&gt;$AR53,$D$92&lt;$AR53),0,Schweine_Werte!$M53))</f>
        <v>0</v>
      </c>
      <c r="BU53" s="1714">
        <f>IF(OR($C$101=$AR53,$D$101=$AR53),Schweine_Werte!$M53*0.5,IF(OR($C$101&gt;$AR53,$D$101&lt;$AR53),0,Schweine_Werte!$M53))</f>
        <v>0</v>
      </c>
      <c r="BV53" s="1714">
        <f>IF(OR($C$110=$AR53,$D$110=$AR53),Schweine_Werte!$M53*0.5,IF(OR($C$110&gt;$AR53,$D$110&lt;$AR53),0,Schweine_Werte!$M53))</f>
        <v>0</v>
      </c>
      <c r="BW53" s="1714">
        <f>IF(OR(8=$AR53,$E$127=$AR53),Schweine_Werte!$M53*0.5,IF(OR(8&gt;$AR53,$E$127&lt;$AR53),0,Schweine_Werte!$M53))</f>
        <v>1.1497168538831328</v>
      </c>
      <c r="BX53" s="1714">
        <f>IF(OR(8=$AR53,$E$145=$AR53),Schweine_Werte!$M53*0.5,IF(OR(8&gt;$AR53,$E$145&lt;$AR53),0,Schweine_Werte!$M53))</f>
        <v>1.1497168538831328</v>
      </c>
      <c r="BY53" s="1710">
        <f>IF(OR($C$74=$AR53,$D$74=$AR53),Schweine_Werte!$O53*0.5,IF(OR($C$74&gt;$AR53,$D$74&lt;$AR53),0,Schweine_Werte!$O53))</f>
        <v>0</v>
      </c>
      <c r="BZ53" s="1710">
        <f>IF(OR($C$83=$AR53,$D$83=$AR53),Schweine_Werte!$O53*0.5,IF(OR($C$83&gt;$AR53,$D$83&lt;$AR53),0,Schweine_Werte!$O53))</f>
        <v>0</v>
      </c>
      <c r="CA53" s="1714">
        <f>IF(OR($C$92=$AR53,$D$92=$AR53),Schweine_Werte!$O53*0.5,IF(OR($C$92&gt;$AR53,$D$92&lt;$AR53),0,Schweine_Werte!$O53))</f>
        <v>0</v>
      </c>
      <c r="CB53" s="1714">
        <f>IF(OR($C$101=$AR53,$D$101=$AR53),Schweine_Werte!$O53*0.5,IF(OR($C$101&gt;$AR53,$D$101&lt;$AR53),0,Schweine_Werte!$O53))</f>
        <v>0</v>
      </c>
      <c r="CC53" s="1714">
        <f>IF(OR($C$110=$AR53,$D$110=$AR53),Schweine_Werte!$O53*0.5,IF(OR($C$110&gt;$AR53,$D$110&lt;$AR53),0,Schweine_Werte!$O53))</f>
        <v>0</v>
      </c>
    </row>
    <row r="54" spans="1:81" x14ac:dyDescent="0.25">
      <c r="B54" s="1712">
        <v>750</v>
      </c>
      <c r="C54"/>
      <c r="D54" s="1916"/>
      <c r="E54" s="885" t="e">
        <f>($D60-$C60)*1000/SUM($BB$4:$BB$146)</f>
        <v>#VALUE!</v>
      </c>
      <c r="F54" s="885" t="e">
        <f>SUMPRODUCT($BB$4:$BB$146,Schweine_Werte!$R$4:$R$146)/SUM($BB$4:$BB$146)</f>
        <v>#DIV/0!</v>
      </c>
      <c r="G54" s="885" t="e">
        <f>IF($B60=$A$8,SUMPRODUCT($BB$4:$BB$146,Schweine_Werte!EN$4:EN$146)/SUM($BB$4:$BB$146),IF($B60=$A$7,SUMPRODUCT($BB$4:$BB$146,Schweine_Werte!DH$4:DH$146)/SUM($BB$4:$BB$146),IF($B60=$A$6,SUMPRODUCT($BB$4:$BB$146,Schweine_Werte!CB$4:CB$146)/SUM($BB$4:$BB$146),SUMPRODUCT($BB$4:$BB$146,Schweine_Werte!AV$4:AV$146)/SUM($BB$4:$BB$146))))</f>
        <v>#DIV/0!</v>
      </c>
      <c r="H54" s="885" t="e">
        <f>IF($B60=$A$8,SUMPRODUCT($BB$4:$BB$146,Schweine_Werte!EO$4:EO$146)/SUM($BB$4:$BB$146),IF($B60=$A$7,SUMPRODUCT($BB$4:$BB$146,Schweine_Werte!DI$4:DI$146)/SUM($BB$4:$BB$146),IF($B60=$A$6,SUMPRODUCT($BB$4:$BB$146,Schweine_Werte!CC$4:CC$146)/SUM($BB$4:$BB$146),SUMPRODUCT($BB$4:$BB$146,Schweine_Werte!AW$4:AW$146)/SUM($BB$4:$BB$146))))</f>
        <v>#DIV/0!</v>
      </c>
      <c r="I54" s="885" t="e">
        <f>IF($B60=$A$8,SUMPRODUCT($BB$4:$BB$146,Schweine_Werte!EP$4:EP$146)/SUM($BB$4:$BB$146),IF($B60=$A$7,SUMPRODUCT($BB$4:$BB$146,Schweine_Werte!DJ$4:DJ$146)/SUM($BB$4:$BB$146),IF($B60=$A$6,SUMPRODUCT($BB$4:$BB$146,Schweine_Werte!CD$4:CD$146)/SUM($BB$4:$BB$146),SUMPRODUCT($BB$4:$BB$146,Schweine_Werte!AX$4:AX$146)/SUM($BB$4:$BB$146))))</f>
        <v>#DIV/0!</v>
      </c>
      <c r="J54" s="885" t="e">
        <f>SUMPRODUCT($BB$4:$BB$146,Schweine_Werte!$Z$4:$Z$146)/SUM($BB$4:$BB$146)</f>
        <v>#DIV/0!</v>
      </c>
      <c r="K54" s="885" t="e">
        <f>SUMPRODUCT($BB$4:$BB$146,Schweine_Werte!$AH$4:$AH$146)/SUM($BB$4:$BB$146)</f>
        <v>#DIV/0!</v>
      </c>
      <c r="L54" s="1914" t="e">
        <f>T54*$F54*365/1000+$J54-$K54</f>
        <v>#DIV/0!</v>
      </c>
      <c r="M54" s="885" t="e">
        <f>U54*$F54*365/1000+$J54-$K54/2</f>
        <v>#DIV/0!</v>
      </c>
      <c r="N54" s="885" t="e">
        <f>V54*$F54*365/1000+$J54</f>
        <v>#DIV/0!</v>
      </c>
      <c r="O54" s="885">
        <f>IF($C60&lt;28,SUM($BB$4:$BB$23)+IF($D60&gt;28,$BB$24*0.5,$BB$24),0)</f>
        <v>0</v>
      </c>
      <c r="P54" s="885">
        <f>IF($D60&gt;28,SUM($BB$25:$BB$146)+IF($C60&lt;28,$BB$24*0.5,$BB$24),0)</f>
        <v>0</v>
      </c>
      <c r="Q54" s="885" t="e">
        <f t="shared" si="12"/>
        <v>#DIV/0!</v>
      </c>
      <c r="R54" s="885" t="e">
        <f t="shared" si="12"/>
        <v>#DIV/0!</v>
      </c>
      <c r="S54" s="885" t="e">
        <f t="shared" si="12"/>
        <v>#DIV/0!</v>
      </c>
      <c r="T54" s="885" t="e">
        <f>+($O54*Schweine_Werte!$HT$6+$P54*Schweine_Werte!$HU$6)/SUM($O54:$P54)</f>
        <v>#DIV/0!</v>
      </c>
      <c r="U54" s="885" t="e">
        <f>+($O54*Schweine_Werte!$HV$6+$P54*Schweine_Werte!$HW$6)/SUM($O54:$P54)</f>
        <v>#DIV/0!</v>
      </c>
      <c r="V54" s="885" t="e">
        <f>+($O54*Schweine_Werte!$HX$6+$P54*Schweine_Werte!$HY$6)/SUM($O54:$P54)</f>
        <v>#DIV/0!</v>
      </c>
      <c r="W54" s="1915" t="e">
        <f>($J54*0.055+T54*0.365*0.86*$F54-$K54*0.018)/L54*100</f>
        <v>#DIV/0!</v>
      </c>
      <c r="X54" s="885" t="e">
        <f>($J54*0.055+U54*0.365*0.86*$F54-$K54*0.018/2)/M54*100</f>
        <v>#DIV/0!</v>
      </c>
      <c r="Y54" s="885" t="e">
        <f>($J54*0.055+V54*0.365*0.86*$F54)/N54*100</f>
        <v>#DIV/0!</v>
      </c>
      <c r="Z54" s="885" t="e">
        <f>IF($B60=$A$8,SUMPRODUCT($BB$4:$BB$146,Schweine_Werte!$EQ$4:$EQ$146,Schweine_Werte!$ER$4:$ER$146)/SUMPRODUCT($BB$4:$BB$146,Schweine_Werte!$EQ$4:$EQ$146),IF($B60=$A$7,SUMPRODUCT($BB$4:$BB$146,Schweine_Werte!$DK$4:$DK$146,Schweine_Werte!$DL$4:$DL$146)/SUMPRODUCT($BB$4:$BB$146,Schweine_Werte!$DK$4:$DK$146),IF($B60=$A$6,SUMPRODUCT($BB$4:$BB$146,Schweine_Werte!$CE$4:$CE$146,Schweine_Werte!$CF$4:$CF$146)/SUMPRODUCT($BB$4:$BB$146,Schweine_Werte!$CE$4:$CE$146),SUMPRODUCT($BB$4:$BB$146,Schweine_Werte!$AY$4:$AY$146,Schweine_Werte!$AZ$4:$AZ$146)/SUMPRODUCT($BB$4:$BB$146,Schweine_Werte!$AY$4:$AY$146))))</f>
        <v>#DIV/0!</v>
      </c>
      <c r="AA54" s="885"/>
      <c r="AB54" s="885">
        <f>IF($B60=$A$8,SUMIF(Schweine_Werte!$AO$4:$AO$146,$C60,Schweine_Werte!$ER$4:$ER$146),IF($B60=$A$7,SUMIF(Schweine_Werte!$AO$4:$AO$146,$C60,Schweine_Werte!$DL$4:$DL$146),IF($B60=$A$6,SUMIF(Schweine_Werte!$AO$4:$AO$146,$C60,Schweine_Werte!$CF$4:$CF$146),SUMIF(Schweine_Werte!$AO$4:$AO$146,$C60,Schweine_Werte!$AZ$4:$AZ$146))))</f>
        <v>0</v>
      </c>
      <c r="AC54" s="885"/>
      <c r="AD54" s="885">
        <f>IF($B60=$A$8,SUMIF(Schweine_Werte!$AO$4:$AO$146,$D60,Schweine_Werte!$ER$4:$ER$146),IF($B60=$A$7,SUMIF(Schweine_Werte!$AO$4:$AO$146,$D60,Schweine_Werte!$DL$4:$DL$146),IF($B60=$A$6,SUMIF(Schweine_Werte!$AO$4:$AO$146,$D60,Schweine_Werte!$CF$4:$CF$146),SUMIF(Schweine_Werte!$AO$4:$AO$146,$D60,Schweine_Werte!$AZ$4:$AZ$146))))</f>
        <v>0</v>
      </c>
      <c r="AE54" s="885"/>
      <c r="AF54" s="885"/>
      <c r="AG54" s="885" t="e">
        <f>IF($B60=$A$8,SUMPRODUCT($BB$4:$BB$146,Schweine_Werte!$EQ$4:$EQ$146)/SUM($BB$4:$BB$146),IF($B60=$A$7,SUMPRODUCT($BB$4:$BB$146,Schweine_Werte!$DK$4:$DK$146)/SUM($BB$4:$BB$146),IF($B60=$A$6,SUMPRODUCT($BB$4:$BB$146,Schweine_Werte!$CE$4:$CE$146)/SUM($BB$4:$BB$146),SUMPRODUCT($BB$4:$BB$146,Schweine_Werte!$AY$4:$AY$146)/SUM($BB$4:$BB$146))))</f>
        <v>#DIV/0!</v>
      </c>
      <c r="AH54" s="885"/>
      <c r="AI54" s="885"/>
      <c r="AJ54" s="885" t="e">
        <f>IF($B60=$A$8,SUMPRODUCT($BB$4:$BB$146,Schweine_Werte!$EQ$4:$EQ$146,Schweine_Werte!$ES$4:$ES$146)/SUMPRODUCT($BB$4:$BB$146,Schweine_Werte!$EQ$4:$EQ$146),IF($B60=$A$7,SUMPRODUCT($BB$4:$BB$146,Schweine_Werte!$DK$4:$DK$146,Schweine_Werte!$DM$4:$DM$146)/SUMPRODUCT($BB$4:$BB$146,Schweine_Werte!$DK$4:$DK$146),IF($B60=$A$6,SUMPRODUCT($BB$4:$BB$146,Schweine_Werte!$CE$4:$CE$146,Schweine_Werte!$CG$4:$CG$146)/SUMPRODUCT($BB$4:$BB$146,Schweine_Werte!$CE$4:$CE$146),SUMPRODUCT($BB$4:$BB$146,Schweine_Werte!$AY$4:$AY$146,Schweine_Werte!$BA$4:$BA$146)/SUMPRODUCT($BB$4:$BB$146,Schweine_Werte!$AY$4:$AY$146))))</f>
        <v>#DIV/0!</v>
      </c>
      <c r="AK54" s="885"/>
      <c r="AL54" s="885">
        <f>IF($B60=$A$8,SUMIF(Schweine_Werte!$AO$4:$AO$146,$C60,Schweine_Werte!$ES$4:$ES$146),IF($B60=$A$7,SUMIF(Schweine_Werte!$AO$4:$AO$146,$C60,Schweine_Werte!$DM$4:$DM$146),IF($B60=$A$6,SUMIF(Schweine_Werte!$AO$4:$AO$146,$C60,Schweine_Werte!$CG$4:$CG$146),SUMIF(Schweine_Werte!$AO$4:$AO$146,$C60,Schweine_Werte!$BA$4:$BA$146))))</f>
        <v>0</v>
      </c>
      <c r="AM54" s="885"/>
      <c r="AN54" s="885">
        <f>IF($B60=$A$8,SUMIF(Schweine_Werte!$AO$4:$AO$146,$D60,Schweine_Werte!$ES$4:$ES$146),IF($B60=$A$7,SUMIF(Schweine_Werte!$AO$4:$AO$146,$D60,Schweine_Werte!$DM$4:$DM$146),IF($B60=$A$6,SUMIF(Schweine_Werte!$AO$4:$AO$146,$D60,Schweine_Werte!$CG$4:$CG$146),SUMIF(Schweine_Werte!$AO$4:$AO$146,$D60,Schweine_Werte!$BA$4:$BA$146))))</f>
        <v>0</v>
      </c>
      <c r="AO54"/>
      <c r="AR54" s="1733">
        <v>58</v>
      </c>
      <c r="AS54" s="1710">
        <f>IF(OR($C$12=$AR54,$D$12=$AR54),Schweine_Werte!$C54*0.5,IF(OR($C$12&gt;$AR54,$D$12&lt;$AR54),0,Schweine_Werte!$C54))</f>
        <v>0</v>
      </c>
      <c r="AT54" s="1713">
        <f>IF(OR($C$24=$AR54,$D$24=$AR54),Schweine_Werte!$C54*0.5,IF(OR($C$24&gt;$AR54,$D$24&lt;$AR54),0,Schweine_Werte!$C54))</f>
        <v>0</v>
      </c>
      <c r="AU54" s="1710">
        <f>IF(OR($C$36=$AR54,$D$36=$AR54),Schweine_Werte!$C54*0.5,IF(OR($C$36&gt;$AR54,$D$36&lt;$AR54),0,Schweine_Werte!$C54))</f>
        <v>0</v>
      </c>
      <c r="AV54" s="1710">
        <f>IF(OR($C$48=$AR54,$D$48=$AR54),Schweine_Werte!$C54*0.5,IF(OR($C$48&gt;$AR54,$D$48&lt;$AR54),0,Schweine_Werte!$C54))</f>
        <v>0</v>
      </c>
      <c r="AW54" s="1710">
        <f>IF(OR($C$60=$AR54,$D$60=$AR54),Schweine_Werte!$C54*0.5,IF(OR($C$60&gt;$AR54,$D$60&lt;$AR54),0,Schweine_Werte!$C54))</f>
        <v>0</v>
      </c>
      <c r="AX54" s="1710">
        <f>IF(OR($C$12=$AR54,$D$12=$AR54),Schweine_Werte!$E54*0.5,IF(OR($C$12&gt;$AR54,$D$12&lt;$AR54),0,Schweine_Werte!$E54))</f>
        <v>0</v>
      </c>
      <c r="AY54" s="1713">
        <f>IF(OR($C$24=$AR54,$D$24=$AR54),Schweine_Werte!$E54*0.5,IF(OR($C$24&gt;$AR54,$D$24&lt;$AR54),0,Schweine_Werte!$E54))</f>
        <v>0</v>
      </c>
      <c r="AZ54" s="1713">
        <f>IF(OR($C$36=$AR54,$D$36=$AR54),Schweine_Werte!$E54*0.5,IF(OR($C$36&gt;$AR54,$D$36&lt;$AR54),0,Schweine_Werte!$E54))</f>
        <v>0</v>
      </c>
      <c r="BA54" s="1713">
        <f>IF(OR($C$48=$AR54,$D$48=$AR54),Schweine_Werte!$E54*0.5,IF(OR($C$48&gt;$AR54,$D$48&lt;$AR54),0,Schweine_Werte!$E54))</f>
        <v>0</v>
      </c>
      <c r="BB54" s="1713">
        <f>IF(OR($C$60=$AR54,$D$60=$AR54),Schweine_Werte!$E54*0.5,IF(OR($C$60&gt;$AR54,$D$60&lt;$AR54),0,Schweine_Werte!$E54))</f>
        <v>0</v>
      </c>
      <c r="BC54" s="1710">
        <f>IF(OR($C$12=$AR54,$D$12=$AR54),Schweine_Werte!$G54*0.5,IF(OR($C$12&gt;$AR54,$D$12&lt;$AR54),0,Schweine_Werte!$G54))</f>
        <v>0</v>
      </c>
      <c r="BD54" s="1713">
        <f>IF(OR($C$24=$AR54,$D$24=$AR54),Schweine_Werte!$G54*0.5,IF(OR($C$24&gt;$AR54,$D$24&lt;$AR54),0,Schweine_Werte!$G54))</f>
        <v>0</v>
      </c>
      <c r="BE54" s="1713">
        <f>IF(OR($C$36=$AR54,$D$36=$AR54),Schweine_Werte!$G54*0.5,IF(OR($C$36&gt;$AR54,$D$36&lt;$AR54),0,Schweine_Werte!$G54))</f>
        <v>0</v>
      </c>
      <c r="BF54" s="1713">
        <f>IF(OR($C$48=$AR54,$D$48=$AR54),Schweine_Werte!$G54*0.5,IF(OR($C$48&gt;$AR54,$D$48&lt;$AR54),0,Schweine_Werte!$G54))</f>
        <v>0</v>
      </c>
      <c r="BG54" s="1713">
        <f>IF(OR($C$60=$AR54,$D$60=$AR54),Schweine_Werte!$G54*0.5,IF(OR($C$60&gt;$AR54,$D$60&lt;$AR54),0,Schweine_Werte!$G54))</f>
        <v>0</v>
      </c>
      <c r="BH54" s="1710">
        <f>IF(OR($C$12=$AR54,$D$12=$AR54),Schweine_Werte!$I54*0.5,IF(OR($C$12&gt;$AR54,$D$12&lt;$AR54),0,Schweine_Werte!$I54))</f>
        <v>0</v>
      </c>
      <c r="BI54" s="1713">
        <f>IF(OR($C$24=$AR54,$D$24=$AR54),Schweine_Werte!$I54*0.5,IF(OR($C$24&gt;$AR54,$D$24&lt;$AR54),0,Schweine_Werte!$I54))</f>
        <v>0</v>
      </c>
      <c r="BJ54" s="1713">
        <f>IF(OR($C$36=$AR54,$D$36=$AR54),Schweine_Werte!$I54*0.5,IF(OR($C$36&gt;$AR54,$D$36&lt;$AR54),0,Schweine_Werte!$I54))</f>
        <v>0</v>
      </c>
      <c r="BK54" s="1713">
        <f>IF(OR($C$48=$AR54,$D$48=$AR54),Schweine_Werte!$I54*0.5,IF(OR($C$48&gt;$AR54,$D$48&lt;$AR54),0,Schweine_Werte!$I54))</f>
        <v>0</v>
      </c>
      <c r="BL54" s="1713">
        <f>IF(OR($C$60=$AR54,$D$60=$AR54),Schweine_Werte!$I54*0.5,IF(OR($C$60&gt;$AR54,$D$60&lt;$AR54),0,Schweine_Werte!$I54))</f>
        <v>0</v>
      </c>
      <c r="BM54" s="1710">
        <f>IF(OR($C$12=$AR54,$D$12=$AR54),Schweine_Werte!$K54*0.5,IF(OR($C$12&gt;$AR54,$D$12&lt;$AR54),0,Schweine_Werte!$K54))</f>
        <v>0</v>
      </c>
      <c r="BN54" s="1713">
        <f>IF(OR($C$24=$AR54,$D$24=$AR54),Schweine_Werte!$K54*0.5,IF(OR($C$24&gt;$AR54,$D$24&lt;$AR54),0,Schweine_Werte!$K54))</f>
        <v>0</v>
      </c>
      <c r="BO54" s="1713">
        <f>IF(OR($C$36=$AR54,$D$36=$AR54),Schweine_Werte!$K54*0.5,IF(OR($C$36&gt;$AR54,$D$36&lt;$AR54),0,Schweine_Werte!$K54))</f>
        <v>0</v>
      </c>
      <c r="BP54" s="1713">
        <f>IF(OR($C$48=$AR54,$D$48=$AR54),Schweine_Werte!$K54*0.5,IF(OR($C$48&gt;$AR54,$D$48&lt;$AR54),0,Schweine_Werte!$K54))</f>
        <v>0</v>
      </c>
      <c r="BQ54" s="1713">
        <f>IF(OR($C$60=$AR54,$D$60=$AR54),Schweine_Werte!$K54*0.5,IF(OR($C$60&gt;$AR54,$D$60&lt;$AR54),0,Schweine_Werte!$K54))</f>
        <v>0</v>
      </c>
      <c r="BR54" s="1710">
        <f>IF(OR($C$74=$AR54,$D$74=$AR54),Schweine_Werte!$M54*0.5,IF(OR($C$74&gt;$AR54,$D$74&lt;$AR54),0,Schweine_Werte!$M54))</f>
        <v>0</v>
      </c>
      <c r="BS54" s="1710">
        <f>IF(OR($C$83=$AR54,$D$83=$AR54),Schweine_Werte!$M54*0.5,IF(OR($C$83&gt;$AR54,$D$83&lt;$AR54),0,Schweine_Werte!$M54))</f>
        <v>0</v>
      </c>
      <c r="BT54" s="1714">
        <f>IF(OR($C$92=$AR54,$D$92=$AR54),Schweine_Werte!$M54*0.5,IF(OR($C$92&gt;$AR54,$D$92&lt;$AR54),0,Schweine_Werte!$M54))</f>
        <v>0</v>
      </c>
      <c r="BU54" s="1714">
        <f>IF(OR($C$101=$AR54,$D$101=$AR54),Schweine_Werte!$M54*0.5,IF(OR($C$101&gt;$AR54,$D$101&lt;$AR54),0,Schweine_Werte!$M54))</f>
        <v>0</v>
      </c>
      <c r="BV54" s="1714">
        <f>IF(OR($C$110=$AR54,$D$110=$AR54),Schweine_Werte!$M54*0.5,IF(OR($C$110&gt;$AR54,$D$110&lt;$AR54),0,Schweine_Werte!$M54))</f>
        <v>0</v>
      </c>
      <c r="BW54" s="1714">
        <f>IF(OR(8=$AR54,$E$127=$AR54),Schweine_Werte!$M54*0.5,IF(OR(8&gt;$AR54,$E$127&lt;$AR54),0,Schweine_Werte!$M54))</f>
        <v>1.1438763474186027</v>
      </c>
      <c r="BX54" s="1714">
        <f>IF(OR(8=$AR54,$E$145=$AR54),Schweine_Werte!$M54*0.5,IF(OR(8&gt;$AR54,$E$145&lt;$AR54),0,Schweine_Werte!$M54))</f>
        <v>1.1438763474186027</v>
      </c>
      <c r="BY54" s="1710">
        <f>IF(OR($C$74=$AR54,$D$74=$AR54),Schweine_Werte!$O54*0.5,IF(OR($C$74&gt;$AR54,$D$74&lt;$AR54),0,Schweine_Werte!$O54))</f>
        <v>0</v>
      </c>
      <c r="BZ54" s="1710">
        <f>IF(OR($C$83=$AR54,$D$83=$AR54),Schweine_Werte!$O54*0.5,IF(OR($C$83&gt;$AR54,$D$83&lt;$AR54),0,Schweine_Werte!$O54))</f>
        <v>0</v>
      </c>
      <c r="CA54" s="1714">
        <f>IF(OR($C$92=$AR54,$D$92=$AR54),Schweine_Werte!$O54*0.5,IF(OR($C$92&gt;$AR54,$D$92&lt;$AR54),0,Schweine_Werte!$O54))</f>
        <v>0</v>
      </c>
      <c r="CB54" s="1714">
        <f>IF(OR($C$101=$AR54,$D$101=$AR54),Schweine_Werte!$O54*0.5,IF(OR($C$101&gt;$AR54,$D$101&lt;$AR54),0,Schweine_Werte!$O54))</f>
        <v>0</v>
      </c>
      <c r="CC54" s="1714">
        <f>IF(OR($C$110=$AR54,$D$110=$AR54),Schweine_Werte!$O54*0.5,IF(OR($C$110&gt;$AR54,$D$110&lt;$AR54),0,Schweine_Werte!$O54))</f>
        <v>0</v>
      </c>
    </row>
    <row r="55" spans="1:81" x14ac:dyDescent="0.25">
      <c r="B55" s="1712">
        <v>850</v>
      </c>
      <c r="C55"/>
      <c r="D55" s="885"/>
      <c r="E55" s="885" t="e">
        <f>($D60-$C60)*1000/SUM($BG$4:$BG$146)</f>
        <v>#VALUE!</v>
      </c>
      <c r="F55" s="885" t="e">
        <f>SUMPRODUCT($BG$4:$BG$146,Schweine_Werte!$S$4:$S$146)/SUM($BG$4:$BG$146)</f>
        <v>#DIV/0!</v>
      </c>
      <c r="G55" s="885" t="e">
        <f>IF($B60=$A$8,SUMPRODUCT($BG$4:$BG$146,Schweine_Werte!ET$4:ET$146)/SUM($BG$4:$BG$146),IF($B60=$A$7,SUMPRODUCT($BG$4:$BG$146,Schweine_Werte!DN$4:DN$146)/SUM($BG$4:$BG$146),IF($B60=$A$6,SUMPRODUCT($BG$4:$BG$146,Schweine_Werte!CH$4:CH$146)/SUM($BG$4:$BG$146),SUMPRODUCT($BG$4:$BG$146,Schweine_Werte!BB$4:BB$146)/SUM($BG$4:$BG$146))))</f>
        <v>#DIV/0!</v>
      </c>
      <c r="H55" s="885" t="e">
        <f>IF($B60=$A$8,SUMPRODUCT($BG$4:$BG$146,Schweine_Werte!EU$4:EU$146)/SUM($BG$4:$BG$146),IF($B60=$A$7,SUMPRODUCT($BG$4:$BG$146,Schweine_Werte!DO$4:DO$146)/SUM($BG$4:$BG$146),IF($B60=$A$6,SUMPRODUCT($BG$4:$BG$146,Schweine_Werte!CI$4:CI$146)/SUM($BG$4:$BG$146),SUMPRODUCT($BG$4:$BG$146,Schweine_Werte!BC$4:BC$146)/SUM($BG$4:$BG$146))))</f>
        <v>#DIV/0!</v>
      </c>
      <c r="I55" s="885" t="e">
        <f>IF($B60=$A$8,SUMPRODUCT($BG$4:$BG$146,Schweine_Werte!EV$4:EV$146)/SUM($BG$4:$BG$146),IF($B60=$A$7,SUMPRODUCT($BG$4:$BG$146,Schweine_Werte!DP$4:DP$146)/SUM($BG$4:$BG$146),IF($B60=$A$6,SUMPRODUCT($BG$4:$BG$146,Schweine_Werte!CJ$4:CJ$146)/SUM($BG$4:$BG$146),SUMPRODUCT($BG$4:$BG$146,Schweine_Werte!BD$4:BD$146)/SUM($BG$4:$BG$146))))</f>
        <v>#DIV/0!</v>
      </c>
      <c r="J55" s="885" t="e">
        <f>SUMPRODUCT($BG$4:$BG$146,Schweine_Werte!$AA$4:$AA$146)/SUM($BG$4:$BG$146)</f>
        <v>#DIV/0!</v>
      </c>
      <c r="K55" s="885" t="e">
        <f>SUMPRODUCT($BG$4:$BG$146,Schweine_Werte!$AI$4:$AI$146)/SUM($BG$4:$BG$146)</f>
        <v>#DIV/0!</v>
      </c>
      <c r="L55" s="885" t="e">
        <f>T55*$F55*365/1000+$J55-$K55</f>
        <v>#DIV/0!</v>
      </c>
      <c r="M55" s="885" t="e">
        <f>U55*$F55*365/1000+$J55-$K55/2</f>
        <v>#DIV/0!</v>
      </c>
      <c r="N55" s="885" t="e">
        <f>V55*$F55*365/1000+$J55</f>
        <v>#DIV/0!</v>
      </c>
      <c r="O55" s="885">
        <f>IF($C60&lt;28,SUM($BG$4:$BG$23)+IF($D60&gt;28,$BG$24*0.5,$BG$24),0)</f>
        <v>0</v>
      </c>
      <c r="P55" s="885">
        <f>IF($D60&gt;28,SUM($BG$25:$BG$146)+IF($C60&lt;28,$BG$24*0.5,$BG$24),0)</f>
        <v>0</v>
      </c>
      <c r="Q55" s="885" t="e">
        <f t="shared" si="12"/>
        <v>#DIV/0!</v>
      </c>
      <c r="R55" s="885" t="e">
        <f t="shared" si="12"/>
        <v>#DIV/0!</v>
      </c>
      <c r="S55" s="885" t="e">
        <f t="shared" si="12"/>
        <v>#DIV/0!</v>
      </c>
      <c r="T55" s="885" t="e">
        <f>+($O55*Schweine_Werte!$HT$7+$P55*Schweine_Werte!$HU$7)/SUM($O55:$P55)</f>
        <v>#DIV/0!</v>
      </c>
      <c r="U55" s="885" t="e">
        <f>+($O55*Schweine_Werte!$HV$7+$P55*Schweine_Werte!$HW$7)/SUM($O55:$P55)</f>
        <v>#DIV/0!</v>
      </c>
      <c r="V55" s="885" t="e">
        <f>+($O55*Schweine_Werte!$HX$7+$P55*Schweine_Werte!$HY$7)/SUM($O55:$P55)</f>
        <v>#DIV/0!</v>
      </c>
      <c r="W55" s="885" t="e">
        <f>($J55*0.055+T55*0.365*0.86*$F55-$K55*0.018)/L55*100</f>
        <v>#DIV/0!</v>
      </c>
      <c r="X55" s="885" t="e">
        <f>($J55*0.055+U55*0.365*0.86*$F55-$K55*0.018/2)/M55*100</f>
        <v>#DIV/0!</v>
      </c>
      <c r="Y55" s="885" t="e">
        <f>($J55*0.055+V55*0.365*0.86*$F55)/N55*100</f>
        <v>#DIV/0!</v>
      </c>
      <c r="Z55" s="885" t="e">
        <f>IF($B60=$A$8,SUMPRODUCT($BG$4:$BG$146,Schweine_Werte!$EW$4:$EW$146,Schweine_Werte!$EX$4:$EX$146)/SUMPRODUCT($BG$4:$BG$146,Schweine_Werte!$EW$4:$EW$146),IF($B60=$A$7,SUMPRODUCT($BG$4:$BG$146,Schweine_Werte!$DQ$4:$DQ$146,Schweine_Werte!$DR$4:$DR$146)/SUMPRODUCT($BG$4:$BG$146,Schweine_Werte!$DQ$4:$DQ$146),IF($B60=$A$6,SUMPRODUCT($BG$4:$BG$146,Schweine_Werte!$CK$4:$CK$146,Schweine_Werte!$CL$4:$CL$146)/SUMPRODUCT($BG$4:$BG$146,Schweine_Werte!$CK$4:$CK$146),SUMPRODUCT($BG$4:$BG$146,Schweine_Werte!$BE$4:$BE$146,Schweine_Werte!$BF$4:$BF$146)/SUMPRODUCT($BG$4:$BG$146,Schweine_Werte!$BE$4:$BE$146))))</f>
        <v>#DIV/0!</v>
      </c>
      <c r="AA55" s="885"/>
      <c r="AB55" s="885">
        <f>IF($B60=$A$8,SUMIF(Schweine_Werte!$AO$4:$AO$146,$C60,Schweine_Werte!$EX$4:$EX$146),IF($B60=$A$7,SUMIF(Schweine_Werte!$AO$4:$AO$146,$C60,Schweine_Werte!$DR$4:$DR$146),IF($B60=$A$6,SUMIF(Schweine_Werte!$AO$4:$AO$146,$C60,Schweine_Werte!$CL$4:$CL$146),SUMIF(Schweine_Werte!$AO$4:$AO$146,$C60,Schweine_Werte!$BF$4:$BF$146))))</f>
        <v>0</v>
      </c>
      <c r="AC55" s="885"/>
      <c r="AD55" s="885">
        <f>IF($B60=$A$8,SUMIF(Schweine_Werte!$AO$4:$AO$146,$D60,Schweine_Werte!$EX$4:$EX$146),IF($B60=$A$7,SUMIF(Schweine_Werte!$AO$4:$AO$146,$D60,Schweine_Werte!$DR$4:$DR$146),IF($B60=$A$6,SUMIF(Schweine_Werte!$AO$4:$AO$146,$D60,Schweine_Werte!$CL$4:$CL$146),SUMIF(Schweine_Werte!$AO$4:$AO$146,$D60,Schweine_Werte!$BF$4:$BF$146))))</f>
        <v>0</v>
      </c>
      <c r="AE55" s="885"/>
      <c r="AF55" s="885"/>
      <c r="AG55" s="885" t="e">
        <f>IF($B60=$A$8,SUMPRODUCT($BG$4:$BG$146,Schweine_Werte!$EW$4:$EW$146)/SUM($BG$4:$BG$146),IF($B60=$A$7,SUMPRODUCT($BG$4:$BG$146,Schweine_Werte!$DQ$4:$DQ$146)/SUM($BG$4:$BG$146),IF($B60=$A$6,SUMPRODUCT($BG$4:$BG$146,Schweine_Werte!$CK$4:$CK$146)/SUM($BG$4:$BG$146),SUMPRODUCT($BG$4:$BG$146,Schweine_Werte!$BE$4:$BE$146)/SUM($BG$4:$BG$146))))</f>
        <v>#DIV/0!</v>
      </c>
      <c r="AH55" s="885"/>
      <c r="AI55" s="885"/>
      <c r="AJ55" s="885" t="e">
        <f>IF($B60=$A$8,SUMPRODUCT($BG$4:$BG$146,Schweine_Werte!$EW$4:$EW$146,Schweine_Werte!$EY$4:$EY$146)/SUMPRODUCT($BG$4:$BG$146,Schweine_Werte!$EW$4:$EW$146),IF($B60=$A$7,SUMPRODUCT($BG$4:$BG$146,Schweine_Werte!$DQ$4:$DQ$146,Schweine_Werte!$DS$4:$DS$146)/SUMPRODUCT($BG$4:$BG$146,Schweine_Werte!$DQ$4:$DQ$146),IF($B60=$A$6,SUMPRODUCT($BG$4:$BG$146,Schweine_Werte!$CK$4:$CK$146,Schweine_Werte!$CM$4:$CM$146)/SUMPRODUCT($BG$4:$BG$146,Schweine_Werte!$CK$4:$CK$146),SUMPRODUCT($BG$4:$BG$146,Schweine_Werte!$BE$4:$BE$146,Schweine_Werte!$BG$4:$BG$146)/SUMPRODUCT($BG$4:$BG$146,Schweine_Werte!$BE$4:$BE$146))))</f>
        <v>#DIV/0!</v>
      </c>
      <c r="AK55" s="885"/>
      <c r="AL55" s="885">
        <f>IF($B60=$A$8,SUMIF(Schweine_Werte!$AO$4:$AO$146,$C60,Schweine_Werte!$EY$4:$EY$146),IF($B60=$A$7,SUMIF(Schweine_Werte!$AO$4:$AO$146,$C60,Schweine_Werte!$DS$4:$DS$146),IF($B60=$A$6,SUMIF(Schweine_Werte!$AO$4:$AO$146,$C60,Schweine_Werte!$CM$4:$CM$146),SUMIF(Schweine_Werte!$AO$4:$AO$146,$C60,Schweine_Werte!$BG$4:$BG$146))))</f>
        <v>0</v>
      </c>
      <c r="AM55" s="885"/>
      <c r="AN55" s="885">
        <f>IF($B60=$A$8,SUMIF(Schweine_Werte!$AO$4:$AO$146,$D60,Schweine_Werte!$EY$4:$EY$146),IF($B60=$A$7,SUMIF(Schweine_Werte!$AO$4:$AO$146,$D60,Schweine_Werte!$DS$4:$DS$146),IF($B60=$A$6,SUMIF(Schweine_Werte!$AO$4:$AO$146,$D60,Schweine_Werte!$CM$4:$CM$146),SUMIF(Schweine_Werte!$AO$4:$AO$146,$D60,Schweine_Werte!$BG$4:$BG$146))))</f>
        <v>0</v>
      </c>
      <c r="AO55"/>
      <c r="AR55" s="1733">
        <v>59</v>
      </c>
      <c r="AS55" s="1710">
        <f>IF(OR($C$12=$AR55,$D$12=$AR55),Schweine_Werte!$C55*0.5,IF(OR($C$12&gt;$AR55,$D$12&lt;$AR55),0,Schweine_Werte!$C55))</f>
        <v>0</v>
      </c>
      <c r="AT55" s="1713">
        <f>IF(OR($C$24=$AR55,$D$24=$AR55),Schweine_Werte!$C55*0.5,IF(OR($C$24&gt;$AR55,$D$24&lt;$AR55),0,Schweine_Werte!$C55))</f>
        <v>0</v>
      </c>
      <c r="AU55" s="1710">
        <f>IF(OR($C$36=$AR55,$D$36=$AR55),Schweine_Werte!$C55*0.5,IF(OR($C$36&gt;$AR55,$D$36&lt;$AR55),0,Schweine_Werte!$C55))</f>
        <v>0</v>
      </c>
      <c r="AV55" s="1710">
        <f>IF(OR($C$48=$AR55,$D$48=$AR55),Schweine_Werte!$C55*0.5,IF(OR($C$48&gt;$AR55,$D$48&lt;$AR55),0,Schweine_Werte!$C55))</f>
        <v>0</v>
      </c>
      <c r="AW55" s="1710">
        <f>IF(OR($C$60=$AR55,$D$60=$AR55),Schweine_Werte!$C55*0.5,IF(OR($C$60&gt;$AR55,$D$60&lt;$AR55),0,Schweine_Werte!$C55))</f>
        <v>0</v>
      </c>
      <c r="AX55" s="1710">
        <f>IF(OR($C$12=$AR55,$D$12=$AR55),Schweine_Werte!$E55*0.5,IF(OR($C$12&gt;$AR55,$D$12&lt;$AR55),0,Schweine_Werte!$E55))</f>
        <v>0</v>
      </c>
      <c r="AY55" s="1713">
        <f>IF(OR($C$24=$AR55,$D$24=$AR55),Schweine_Werte!$E55*0.5,IF(OR($C$24&gt;$AR55,$D$24&lt;$AR55),0,Schweine_Werte!$E55))</f>
        <v>0</v>
      </c>
      <c r="AZ55" s="1713">
        <f>IF(OR($C$36=$AR55,$D$36=$AR55),Schweine_Werte!$E55*0.5,IF(OR($C$36&gt;$AR55,$D$36&lt;$AR55),0,Schweine_Werte!$E55))</f>
        <v>0</v>
      </c>
      <c r="BA55" s="1713">
        <f>IF(OR($C$48=$AR55,$D$48=$AR55),Schweine_Werte!$E55*0.5,IF(OR($C$48&gt;$AR55,$D$48&lt;$AR55),0,Schweine_Werte!$E55))</f>
        <v>0</v>
      </c>
      <c r="BB55" s="1713">
        <f>IF(OR($C$60=$AR55,$D$60=$AR55),Schweine_Werte!$E55*0.5,IF(OR($C$60&gt;$AR55,$D$60&lt;$AR55),0,Schweine_Werte!$E55))</f>
        <v>0</v>
      </c>
      <c r="BC55" s="1710">
        <f>IF(OR($C$12=$AR55,$D$12=$AR55),Schweine_Werte!$G55*0.5,IF(OR($C$12&gt;$AR55,$D$12&lt;$AR55),0,Schweine_Werte!$G55))</f>
        <v>0</v>
      </c>
      <c r="BD55" s="1713">
        <f>IF(OR($C$24=$AR55,$D$24=$AR55),Schweine_Werte!$G55*0.5,IF(OR($C$24&gt;$AR55,$D$24&lt;$AR55),0,Schweine_Werte!$G55))</f>
        <v>0</v>
      </c>
      <c r="BE55" s="1713">
        <f>IF(OR($C$36=$AR55,$D$36=$AR55),Schweine_Werte!$G55*0.5,IF(OR($C$36&gt;$AR55,$D$36&lt;$AR55),0,Schweine_Werte!$G55))</f>
        <v>0</v>
      </c>
      <c r="BF55" s="1713">
        <f>IF(OR($C$48=$AR55,$D$48=$AR55),Schweine_Werte!$G55*0.5,IF(OR($C$48&gt;$AR55,$D$48&lt;$AR55),0,Schweine_Werte!$G55))</f>
        <v>0</v>
      </c>
      <c r="BG55" s="1713">
        <f>IF(OR($C$60=$AR55,$D$60=$AR55),Schweine_Werte!$G55*0.5,IF(OR($C$60&gt;$AR55,$D$60&lt;$AR55),0,Schweine_Werte!$G55))</f>
        <v>0</v>
      </c>
      <c r="BH55" s="1710">
        <f>IF(OR($C$12=$AR55,$D$12=$AR55),Schweine_Werte!$I55*0.5,IF(OR($C$12&gt;$AR55,$D$12&lt;$AR55),0,Schweine_Werte!$I55))</f>
        <v>0</v>
      </c>
      <c r="BI55" s="1713">
        <f>IF(OR($C$24=$AR55,$D$24=$AR55),Schweine_Werte!$I55*0.5,IF(OR($C$24&gt;$AR55,$D$24&lt;$AR55),0,Schweine_Werte!$I55))</f>
        <v>0</v>
      </c>
      <c r="BJ55" s="1713">
        <f>IF(OR($C$36=$AR55,$D$36=$AR55),Schweine_Werte!$I55*0.5,IF(OR($C$36&gt;$AR55,$D$36&lt;$AR55),0,Schweine_Werte!$I55))</f>
        <v>0</v>
      </c>
      <c r="BK55" s="1713">
        <f>IF(OR($C$48=$AR55,$D$48=$AR55),Schweine_Werte!$I55*0.5,IF(OR($C$48&gt;$AR55,$D$48&lt;$AR55),0,Schweine_Werte!$I55))</f>
        <v>0</v>
      </c>
      <c r="BL55" s="1713">
        <f>IF(OR($C$60=$AR55,$D$60=$AR55),Schweine_Werte!$I55*0.5,IF(OR($C$60&gt;$AR55,$D$60&lt;$AR55),0,Schweine_Werte!$I55))</f>
        <v>0</v>
      </c>
      <c r="BM55" s="1710">
        <f>IF(OR($C$12=$AR55,$D$12=$AR55),Schweine_Werte!$K55*0.5,IF(OR($C$12&gt;$AR55,$D$12&lt;$AR55),0,Schweine_Werte!$K55))</f>
        <v>0</v>
      </c>
      <c r="BN55" s="1713">
        <f>IF(OR($C$24=$AR55,$D$24=$AR55),Schweine_Werte!$K55*0.5,IF(OR($C$24&gt;$AR55,$D$24&lt;$AR55),0,Schweine_Werte!$K55))</f>
        <v>0</v>
      </c>
      <c r="BO55" s="1713">
        <f>IF(OR($C$36=$AR55,$D$36=$AR55),Schweine_Werte!$K55*0.5,IF(OR($C$36&gt;$AR55,$D$36&lt;$AR55),0,Schweine_Werte!$K55))</f>
        <v>0</v>
      </c>
      <c r="BP55" s="1713">
        <f>IF(OR($C$48=$AR55,$D$48=$AR55),Schweine_Werte!$K55*0.5,IF(OR($C$48&gt;$AR55,$D$48&lt;$AR55),0,Schweine_Werte!$K55))</f>
        <v>0</v>
      </c>
      <c r="BQ55" s="1713">
        <f>IF(OR($C$60=$AR55,$D$60=$AR55),Schweine_Werte!$K55*0.5,IF(OR($C$60&gt;$AR55,$D$60&lt;$AR55),0,Schweine_Werte!$K55))</f>
        <v>0</v>
      </c>
      <c r="BR55" s="1710">
        <f>IF(OR($C$74=$AR55,$D$74=$AR55),Schweine_Werte!$M55*0.5,IF(OR($C$74&gt;$AR55,$D$74&lt;$AR55),0,Schweine_Werte!$M55))</f>
        <v>0</v>
      </c>
      <c r="BS55" s="1710">
        <f>IF(OR($C$83=$AR55,$D$83=$AR55),Schweine_Werte!$M55*0.5,IF(OR($C$83&gt;$AR55,$D$83&lt;$AR55),0,Schweine_Werte!$M55))</f>
        <v>0</v>
      </c>
      <c r="BT55" s="1714">
        <f>IF(OR($C$92=$AR55,$D$92=$AR55),Schweine_Werte!$M55*0.5,IF(OR($C$92&gt;$AR55,$D$92&lt;$AR55),0,Schweine_Werte!$M55))</f>
        <v>0</v>
      </c>
      <c r="BU55" s="1714">
        <f>IF(OR($C$101=$AR55,$D$101=$AR55),Schweine_Werte!$M55*0.5,IF(OR($C$101&gt;$AR55,$D$101&lt;$AR55),0,Schweine_Werte!$M55))</f>
        <v>0</v>
      </c>
      <c r="BV55" s="1714">
        <f>IF(OR($C$110=$AR55,$D$110=$AR55),Schweine_Werte!$M55*0.5,IF(OR($C$110&gt;$AR55,$D$110&lt;$AR55),0,Schweine_Werte!$M55))</f>
        <v>0</v>
      </c>
      <c r="BW55" s="1714">
        <f>IF(OR(8=$AR55,$E$127=$AR55),Schweine_Werte!$M55*0.5,IF(OR(8&gt;$AR55,$E$127&lt;$AR55),0,Schweine_Werte!$M55))</f>
        <v>1.1384780973164939</v>
      </c>
      <c r="BX55" s="1714">
        <f>IF(OR(8=$AR55,$E$145=$AR55),Schweine_Werte!$M55*0.5,IF(OR(8&gt;$AR55,$E$145&lt;$AR55),0,Schweine_Werte!$M55))</f>
        <v>1.1384780973164939</v>
      </c>
      <c r="BY55" s="1710">
        <f>IF(OR($C$74=$AR55,$D$74=$AR55),Schweine_Werte!$O55*0.5,IF(OR($C$74&gt;$AR55,$D$74&lt;$AR55),0,Schweine_Werte!$O55))</f>
        <v>0</v>
      </c>
      <c r="BZ55" s="1710">
        <f>IF(OR($C$83=$AR55,$D$83=$AR55),Schweine_Werte!$O55*0.5,IF(OR($C$83&gt;$AR55,$D$83&lt;$AR55),0,Schweine_Werte!$O55))</f>
        <v>0</v>
      </c>
      <c r="CA55" s="1714">
        <f>IF(OR($C$92=$AR55,$D$92=$AR55),Schweine_Werte!$O55*0.5,IF(OR($C$92&gt;$AR55,$D$92&lt;$AR55),0,Schweine_Werte!$O55))</f>
        <v>0</v>
      </c>
      <c r="CB55" s="1714">
        <f>IF(OR($C$101=$AR55,$D$101=$AR55),Schweine_Werte!$O55*0.5,IF(OR($C$101&gt;$AR55,$D$101&lt;$AR55),0,Schweine_Werte!$O55))</f>
        <v>0</v>
      </c>
      <c r="CC55" s="1714">
        <f>IF(OR($C$110=$AR55,$D$110=$AR55),Schweine_Werte!$O55*0.5,IF(OR($C$110&gt;$AR55,$D$110&lt;$AR55),0,Schweine_Werte!$O55))</f>
        <v>0</v>
      </c>
    </row>
    <row r="56" spans="1:81" x14ac:dyDescent="0.25">
      <c r="B56" s="1712">
        <v>950</v>
      </c>
      <c r="C56"/>
      <c r="D56" s="885"/>
      <c r="E56" s="885" t="e">
        <f>($D60-$C60)*1000/SUM($BL$4:$BL$146)</f>
        <v>#VALUE!</v>
      </c>
      <c r="F56" s="885" t="e">
        <f>SUMPRODUCT($BL$4:$BL$146,Schweine_Werte!$T$4:$T$146)/SUM($BL$4:$BL$146)</f>
        <v>#DIV/0!</v>
      </c>
      <c r="G56" s="885" t="e">
        <f>IF($B60=$A$8,SUMPRODUCT($BL$4:$BL$146,Schweine_Werte!EZ$4:EZ$146)/SUM($BL$4:$BL$146),IF($B60=$A$7,SUMPRODUCT($BL$4:$BL$146,Schweine_Werte!DT$4:DT$146)/SUM($BL$4:$BL$146),IF($B60=$A$6,SUMPRODUCT($BL$4:$BL$146,Schweine_Werte!CN$4:CN$146)/SUM($BL$4:$BL$146),SUMPRODUCT($BL$4:$BL$146,Schweine_Werte!BH$4:BH$146)/SUM($BL$4:$BL$146))))</f>
        <v>#DIV/0!</v>
      </c>
      <c r="H56" s="885" t="e">
        <f>IF($B60=$A$8,SUMPRODUCT($BL$4:$BL$146,Schweine_Werte!FA$4:FA$146)/SUM($BL$4:$BL$146),IF($B60=$A$7,SUMPRODUCT($BL$4:$BL$146,Schweine_Werte!DU$4:DU$146)/SUM($BL$4:$BL$146),IF($B60=$A$6,SUMPRODUCT($BL$4:$BL$146,Schweine_Werte!CO$4:CO$146)/SUM($BL$4:$BL$146),SUMPRODUCT($BL$4:$BL$146,Schweine_Werte!BI$4:BI$146)/SUM($BL$4:$BL$146))))</f>
        <v>#DIV/0!</v>
      </c>
      <c r="I56" s="885" t="e">
        <f>IF($B60=$A$8,SUMPRODUCT($BL$4:$BL$146,Schweine_Werte!FB$4:FB$146)/SUM($BL$4:$BL$146),IF($B60=$A$7,SUMPRODUCT($BL$4:$BL$146,Schweine_Werte!DV$4:DV$146)/SUM($BL$4:$BL$146),IF($B60=$A$6,SUMPRODUCT($BL$4:$BL$146,Schweine_Werte!CP$4:CP$146)/SUM($BL$4:$BL$146),SUMPRODUCT($BL$4:$BL$146,Schweine_Werte!BJ$4:BJ$146)/SUM($BL$4:$BL$146))))</f>
        <v>#DIV/0!</v>
      </c>
      <c r="J56" s="885" t="e">
        <f>SUMPRODUCT($BL$4:$BL$146,Schweine_Werte!$AB$4:$AB$146)/SUM($BL$4:$BL$146)</f>
        <v>#DIV/0!</v>
      </c>
      <c r="K56" s="885" t="e">
        <f>SUMPRODUCT($BL$4:$BL$146,Schweine_Werte!$AJ$4:$AJ$146)/SUM($BL$4:$BL$146)</f>
        <v>#DIV/0!</v>
      </c>
      <c r="L56" s="1914" t="e">
        <f>T56*$F56*365/1000+$J56-$K56</f>
        <v>#DIV/0!</v>
      </c>
      <c r="M56" s="885" t="e">
        <f>U56*$F56*365/1000+$J56-$K56/2</f>
        <v>#DIV/0!</v>
      </c>
      <c r="N56" s="885" t="e">
        <f>V56*$F56*365/1000+$J56</f>
        <v>#DIV/0!</v>
      </c>
      <c r="O56" s="885">
        <f>IF($C60&lt;28,SUM($BL$4:$BL$23)+IF($D60&gt;28,$BL$24*0.5,$BL$24),0)</f>
        <v>0</v>
      </c>
      <c r="P56" s="885">
        <f>IF($D60&gt;28,SUM($BL$25:$BL$146)+IF($C60&lt;28,$BL$24*0.5,$BL$24),0)</f>
        <v>0</v>
      </c>
      <c r="Q56" s="885" t="e">
        <f t="shared" si="12"/>
        <v>#DIV/0!</v>
      </c>
      <c r="R56" s="885" t="e">
        <f t="shared" si="12"/>
        <v>#DIV/0!</v>
      </c>
      <c r="S56" s="885" t="e">
        <f t="shared" si="12"/>
        <v>#DIV/0!</v>
      </c>
      <c r="T56" s="885" t="e">
        <f>+($O56*Schweine_Werte!$HT$8+$P56*Schweine_Werte!$HU$8)/SUM($O56:$P56)</f>
        <v>#DIV/0!</v>
      </c>
      <c r="U56" s="885" t="e">
        <f>+($O56*Schweine_Werte!$HV$8+$P56*Schweine_Werte!$HW$8)/SUM($O56:$P56)</f>
        <v>#DIV/0!</v>
      </c>
      <c r="V56" s="885" t="e">
        <f>+($O56*Schweine_Werte!$HX$8+$P56*Schweine_Werte!$HY$8)/SUM($O56:$P56)</f>
        <v>#DIV/0!</v>
      </c>
      <c r="W56" s="1915" t="e">
        <f>($J56*0.055+T56*0.365*0.86*$F56-$K56*0.018)/L56*100</f>
        <v>#DIV/0!</v>
      </c>
      <c r="X56" s="885" t="e">
        <f>($J56*0.055+U56*0.365*0.86*$F56-$K56*0.018/2)/M56*100</f>
        <v>#DIV/0!</v>
      </c>
      <c r="Y56" s="885" t="e">
        <f>($J56*0.055+V56*0.365*0.86*$F56)/N56*100</f>
        <v>#DIV/0!</v>
      </c>
      <c r="Z56" s="885" t="e">
        <f>IF($B60=$A$8,SUMPRODUCT($BL$4:$BL$146,Schweine_Werte!$FC$4:$FC$146,Schweine_Werte!$FD$4:$FD$146)/SUMPRODUCT($BL$4:$BL$146,Schweine_Werte!$FC$4:$FC$146),IF($B60=$A$7,SUMPRODUCT($BL$4:$BL$146,Schweine_Werte!$DW$4:$DW$146,Schweine_Werte!$DX$4:$DX$146)/SUMPRODUCT($BL$4:$BL$146,Schweine_Werte!$DW$4:$DW$146),IF($B60=$A$6,SUMPRODUCT($BL$4:$BL$146,Schweine_Werte!$CQ$4:$CQ$146,Schweine_Werte!$CR$4:$CR$146)/SUMPRODUCT($BL$4:$BL$146,Schweine_Werte!$CQ$4:$CQ$146),SUMPRODUCT($BL$4:$BL$146,Schweine_Werte!$BK$4:$BK$146,Schweine_Werte!$BL$4:$BL$146)/SUMPRODUCT($BL$4:$BL$146,Schweine_Werte!$BK$4:$BK$146))))</f>
        <v>#DIV/0!</v>
      </c>
      <c r="AA56" s="885"/>
      <c r="AB56" s="885">
        <f>IF($B60=$A$8,SUMIF(Schweine_Werte!$AO$4:$AO$146,$C60,Schweine_Werte!$FD$4:$FD$146),IF($B60=$A$7,SUMIF(Schweine_Werte!$AO$4:$AO$146,$C60,Schweine_Werte!$DX$4:$DX$146),IF($B60=$A$6,SUMIF(Schweine_Werte!$AO$4:$AO$146,$C60,Schweine_Werte!$CR$4:$CR$146),SUMIF(Schweine_Werte!$AO$4:$AO$146,$C60,Schweine_Werte!$BL$4:$BL$146))))</f>
        <v>0</v>
      </c>
      <c r="AC56" s="885"/>
      <c r="AD56" s="885">
        <f>IF($B60=$A$8,SUMIF(Schweine_Werte!$AO$4:$AO$146,$D60,Schweine_Werte!$FD$4:$FD$146),IF($B60=$A$7,SUMIF(Schweine_Werte!$AO$4:$AO$146,$D60,Schweine_Werte!$DX$4:$DX$146),IF($B60=$A$6,SUMIF(Schweine_Werte!$AO$4:$AO$146,$D60,Schweine_Werte!$CR$4:$CR$146),SUMIF(Schweine_Werte!$AO$4:$AO$146,$D60,Schweine_Werte!$BL$4:$BL$146))))</f>
        <v>0</v>
      </c>
      <c r="AE56" s="885"/>
      <c r="AF56" s="885"/>
      <c r="AG56" s="885" t="e">
        <f>IF($B60=$A$8,SUMPRODUCT($BL$4:$BL$146,Schweine_Werte!$FC$4:$FC$146)/SUM($BL$4:$BL$146),IF($B60=$A$7,SUMPRODUCT($BL$4:$BL$146,Schweine_Werte!$DW$4:$DW$146)/SUM($BL$4:$BL$146),IF($B60=$A$6,SUMPRODUCT($BL$4:$BL$146,Schweine_Werte!$CQ$4:$CQ$146)/SUM($BL$4:$BL$146),SUMPRODUCT($BL$4:$BL$146,Schweine_Werte!$BK$4:$BK$146)/SUM($BL$4:$BL$146))))</f>
        <v>#DIV/0!</v>
      </c>
      <c r="AH56" s="885"/>
      <c r="AI56" s="885"/>
      <c r="AJ56" s="885" t="e">
        <f>IF($B60=$A$8,SUMPRODUCT($BL$4:$BL$146,Schweine_Werte!$FC$4:$FC$146,Schweine_Werte!$FE$4:$FE$146)/SUMPRODUCT($BL$4:$BL$146,Schweine_Werte!$FC$4:$FC$146),IF($B60=$A$7,SUMPRODUCT($BL$4:$BL$146,Schweine_Werte!$DW$4:$DW$146,Schweine_Werte!$DY$4:$DY$146)/SUMPRODUCT($BL$4:$BL$146,Schweine_Werte!$DW$4:$DW$146),IF($B60=$A$6,SUMPRODUCT($BL$4:$BL$146,Schweine_Werte!$CQ$4:$CQ$146,Schweine_Werte!$CS$4:$CS$146)/SUMPRODUCT($BL$4:$BL$146,Schweine_Werte!$CQ$4:$CQ$146),SUMPRODUCT($BL$4:$BL$146,Schweine_Werte!$BK$4:$BK$146,Schweine_Werte!$BM$4:$BM$146)/SUMPRODUCT($BL$4:$BL$146,Schweine_Werte!$BK$4:$BK$146))))</f>
        <v>#DIV/0!</v>
      </c>
      <c r="AK56" s="885"/>
      <c r="AL56" s="885">
        <f>IF($B60=$A$8,SUMIF(Schweine_Werte!$AO$4:$AO$146,$C60,Schweine_Werte!$FE$4:$FE$146),IF($B60=$A$7,SUMIF(Schweine_Werte!$AO$4:$AO$146,$C60,Schweine_Werte!$DY$4:$DY$146),IF($B60=$A$6,SUMIF(Schweine_Werte!$AO$4:$AO$146,$C60,Schweine_Werte!$CS$4:$CS$146),SUMIF(Schweine_Werte!$AO$4:$AO$146,$C60,Schweine_Werte!$BM$4:$BM$146))))</f>
        <v>0</v>
      </c>
      <c r="AM56" s="885"/>
      <c r="AN56" s="885">
        <f>IF($B60=$A$8,SUMIF(Schweine_Werte!$AO$4:$AO$146,$D60,Schweine_Werte!$FE$4:$FE$146),IF($B60=$A$7,SUMIF(Schweine_Werte!$AO$4:$AO$146,$D60,Schweine_Werte!$DY$4:$DY$146),IF($B60=$A$6,SUMIF(Schweine_Werte!$AO$4:$AO$146,$D60,Schweine_Werte!$CS$4:$CS$146),SUMIF(Schweine_Werte!$AO$4:$AO$146,$D60,Schweine_Werte!$BM$4:$BM$146))))</f>
        <v>0</v>
      </c>
      <c r="AO56"/>
      <c r="AR56" s="1733">
        <v>60</v>
      </c>
      <c r="AS56" s="1710">
        <f>IF(OR($C$12=$AR56,$D$12=$AR56),Schweine_Werte!$C56*0.5,IF(OR($C$12&gt;$AR56,$D$12&lt;$AR56),0,Schweine_Werte!$C56))</f>
        <v>0</v>
      </c>
      <c r="AT56" s="1713">
        <f>IF(OR($C$24=$AR56,$D$24=$AR56),Schweine_Werte!$C56*0.5,IF(OR($C$24&gt;$AR56,$D$24&lt;$AR56),0,Schweine_Werte!$C56))</f>
        <v>0</v>
      </c>
      <c r="AU56" s="1710">
        <f>IF(OR($C$36=$AR56,$D$36=$AR56),Schweine_Werte!$C56*0.5,IF(OR($C$36&gt;$AR56,$D$36&lt;$AR56),0,Schweine_Werte!$C56))</f>
        <v>0</v>
      </c>
      <c r="AV56" s="1710">
        <f>IF(OR($C$48=$AR56,$D$48=$AR56),Schweine_Werte!$C56*0.5,IF(OR($C$48&gt;$AR56,$D$48&lt;$AR56),0,Schweine_Werte!$C56))</f>
        <v>0</v>
      </c>
      <c r="AW56" s="1710">
        <f>IF(OR($C$60=$AR56,$D$60=$AR56),Schweine_Werte!$C56*0.5,IF(OR($C$60&gt;$AR56,$D$60&lt;$AR56),0,Schweine_Werte!$C56))</f>
        <v>0</v>
      </c>
      <c r="AX56" s="1710">
        <f>IF(OR($C$12=$AR56,$D$12=$AR56),Schweine_Werte!$E56*0.5,IF(OR($C$12&gt;$AR56,$D$12&lt;$AR56),0,Schweine_Werte!$E56))</f>
        <v>0</v>
      </c>
      <c r="AY56" s="1713">
        <f>IF(OR($C$24=$AR56,$D$24=$AR56),Schweine_Werte!$E56*0.5,IF(OR($C$24&gt;$AR56,$D$24&lt;$AR56),0,Schweine_Werte!$E56))</f>
        <v>0</v>
      </c>
      <c r="AZ56" s="1713">
        <f>IF(OR($C$36=$AR56,$D$36=$AR56),Schweine_Werte!$E56*0.5,IF(OR($C$36&gt;$AR56,$D$36&lt;$AR56),0,Schweine_Werte!$E56))</f>
        <v>0</v>
      </c>
      <c r="BA56" s="1713">
        <f>IF(OR($C$48=$AR56,$D$48=$AR56),Schweine_Werte!$E56*0.5,IF(OR($C$48&gt;$AR56,$D$48&lt;$AR56),0,Schweine_Werte!$E56))</f>
        <v>0</v>
      </c>
      <c r="BB56" s="1713">
        <f>IF(OR($C$60=$AR56,$D$60=$AR56),Schweine_Werte!$E56*0.5,IF(OR($C$60&gt;$AR56,$D$60&lt;$AR56),0,Schweine_Werte!$E56))</f>
        <v>0</v>
      </c>
      <c r="BC56" s="1710">
        <f>IF(OR($C$12=$AR56,$D$12=$AR56),Schweine_Werte!$G56*0.5,IF(OR($C$12&gt;$AR56,$D$12&lt;$AR56),0,Schweine_Werte!$G56))</f>
        <v>0</v>
      </c>
      <c r="BD56" s="1713">
        <f>IF(OR($C$24=$AR56,$D$24=$AR56),Schweine_Werte!$G56*0.5,IF(OR($C$24&gt;$AR56,$D$24&lt;$AR56),0,Schweine_Werte!$G56))</f>
        <v>0</v>
      </c>
      <c r="BE56" s="1713">
        <f>IF(OR($C$36=$AR56,$D$36=$AR56),Schweine_Werte!$G56*0.5,IF(OR($C$36&gt;$AR56,$D$36&lt;$AR56),0,Schweine_Werte!$G56))</f>
        <v>0</v>
      </c>
      <c r="BF56" s="1713">
        <f>IF(OR($C$48=$AR56,$D$48=$AR56),Schweine_Werte!$G56*0.5,IF(OR($C$48&gt;$AR56,$D$48&lt;$AR56),0,Schweine_Werte!$G56))</f>
        <v>0</v>
      </c>
      <c r="BG56" s="1713">
        <f>IF(OR($C$60=$AR56,$D$60=$AR56),Schweine_Werte!$G56*0.5,IF(OR($C$60&gt;$AR56,$D$60&lt;$AR56),0,Schweine_Werte!$G56))</f>
        <v>0</v>
      </c>
      <c r="BH56" s="1710">
        <f>IF(OR($C$12=$AR56,$D$12=$AR56),Schweine_Werte!$I56*0.5,IF(OR($C$12&gt;$AR56,$D$12&lt;$AR56),0,Schweine_Werte!$I56))</f>
        <v>0</v>
      </c>
      <c r="BI56" s="1713">
        <f>IF(OR($C$24=$AR56,$D$24=$AR56),Schweine_Werte!$I56*0.5,IF(OR($C$24&gt;$AR56,$D$24&lt;$AR56),0,Schweine_Werte!$I56))</f>
        <v>0</v>
      </c>
      <c r="BJ56" s="1713">
        <f>IF(OR($C$36=$AR56,$D$36=$AR56),Schweine_Werte!$I56*0.5,IF(OR($C$36&gt;$AR56,$D$36&lt;$AR56),0,Schweine_Werte!$I56))</f>
        <v>0</v>
      </c>
      <c r="BK56" s="1713">
        <f>IF(OR($C$48=$AR56,$D$48=$AR56),Schweine_Werte!$I56*0.5,IF(OR($C$48&gt;$AR56,$D$48&lt;$AR56),0,Schweine_Werte!$I56))</f>
        <v>0</v>
      </c>
      <c r="BL56" s="1713">
        <f>IF(OR($C$60=$AR56,$D$60=$AR56),Schweine_Werte!$I56*0.5,IF(OR($C$60&gt;$AR56,$D$60&lt;$AR56),0,Schweine_Werte!$I56))</f>
        <v>0</v>
      </c>
      <c r="BM56" s="1710">
        <f>IF(OR($C$12=$AR56,$D$12=$AR56),Schweine_Werte!$K56*0.5,IF(OR($C$12&gt;$AR56,$D$12&lt;$AR56),0,Schweine_Werte!$K56))</f>
        <v>0</v>
      </c>
      <c r="BN56" s="1713">
        <f>IF(OR($C$24=$AR56,$D$24=$AR56),Schweine_Werte!$K56*0.5,IF(OR($C$24&gt;$AR56,$D$24&lt;$AR56),0,Schweine_Werte!$K56))</f>
        <v>0</v>
      </c>
      <c r="BO56" s="1713">
        <f>IF(OR($C$36=$AR56,$D$36=$AR56),Schweine_Werte!$K56*0.5,IF(OR($C$36&gt;$AR56,$D$36&lt;$AR56),0,Schweine_Werte!$K56))</f>
        <v>0</v>
      </c>
      <c r="BP56" s="1713">
        <f>IF(OR($C$48=$AR56,$D$48=$AR56),Schweine_Werte!$K56*0.5,IF(OR($C$48&gt;$AR56,$D$48&lt;$AR56),0,Schweine_Werte!$K56))</f>
        <v>0</v>
      </c>
      <c r="BQ56" s="1713">
        <f>IF(OR($C$60=$AR56,$D$60=$AR56),Schweine_Werte!$K56*0.5,IF(OR($C$60&gt;$AR56,$D$60&lt;$AR56),0,Schweine_Werte!$K56))</f>
        <v>0</v>
      </c>
      <c r="BR56" s="1710">
        <f>IF(OR($C$74=$AR56,$D$74=$AR56),Schweine_Werte!$M56*0.5,IF(OR($C$74&gt;$AR56,$D$74&lt;$AR56),0,Schweine_Werte!$M56))</f>
        <v>0</v>
      </c>
      <c r="BS56" s="1710">
        <f>IF(OR($C$83=$AR56,$D$83=$AR56),Schweine_Werte!$M56*0.5,IF(OR($C$83&gt;$AR56,$D$83&lt;$AR56),0,Schweine_Werte!$M56))</f>
        <v>0</v>
      </c>
      <c r="BT56" s="1714">
        <f>IF(OR($C$92=$AR56,$D$92=$AR56),Schweine_Werte!$M56*0.5,IF(OR($C$92&gt;$AR56,$D$92&lt;$AR56),0,Schweine_Werte!$M56))</f>
        <v>0</v>
      </c>
      <c r="BU56" s="1714">
        <f>IF(OR($C$101=$AR56,$D$101=$AR56),Schweine_Werte!$M56*0.5,IF(OR($C$101&gt;$AR56,$D$101&lt;$AR56),0,Schweine_Werte!$M56))</f>
        <v>0</v>
      </c>
      <c r="BV56" s="1714">
        <f>IF(OR($C$110=$AR56,$D$110=$AR56),Schweine_Werte!$M56*0.5,IF(OR($C$110&gt;$AR56,$D$110&lt;$AR56),0,Schweine_Werte!$M56))</f>
        <v>0</v>
      </c>
      <c r="BW56" s="1714">
        <f>IF(OR(8=$AR56,$E$127=$AR56),Schweine_Werte!$M56*0.5,IF(OR(8&gt;$AR56,$E$127&lt;$AR56),0,Schweine_Werte!$M56))</f>
        <v>1.1335106524075971</v>
      </c>
      <c r="BX56" s="1714">
        <f>IF(OR(8=$AR56,$E$145=$AR56),Schweine_Werte!$M56*0.5,IF(OR(8&gt;$AR56,$E$145&lt;$AR56),0,Schweine_Werte!$M56))</f>
        <v>1.1335106524075971</v>
      </c>
      <c r="BY56" s="1710">
        <f>IF(OR($C$74=$AR56,$D$74=$AR56),Schweine_Werte!$O56*0.5,IF(OR($C$74&gt;$AR56,$D$74&lt;$AR56),0,Schweine_Werte!$O56))</f>
        <v>0</v>
      </c>
      <c r="BZ56" s="1710">
        <f>IF(OR($C$83=$AR56,$D$83=$AR56),Schweine_Werte!$O56*0.5,IF(OR($C$83&gt;$AR56,$D$83&lt;$AR56),0,Schweine_Werte!$O56))</f>
        <v>0</v>
      </c>
      <c r="CA56" s="1714">
        <f>IF(OR($C$92=$AR56,$D$92=$AR56),Schweine_Werte!$O56*0.5,IF(OR($C$92&gt;$AR56,$D$92&lt;$AR56),0,Schweine_Werte!$O56))</f>
        <v>0</v>
      </c>
      <c r="CB56" s="1714">
        <f>IF(OR($C$101=$AR56,$D$101=$AR56),Schweine_Werte!$O56*0.5,IF(OR($C$101&gt;$AR56,$D$101&lt;$AR56),0,Schweine_Werte!$O56))</f>
        <v>0</v>
      </c>
      <c r="CC56" s="1714">
        <f>IF(OR($C$110=$AR56,$D$110=$AR56),Schweine_Werte!$O56*0.5,IF(OR($C$110&gt;$AR56,$D$110&lt;$AR56),0,Schweine_Werte!$O56))</f>
        <v>0</v>
      </c>
    </row>
    <row r="57" spans="1:81" x14ac:dyDescent="0.25">
      <c r="B57" s="1712"/>
      <c r="D57" s="1713"/>
      <c r="E57" s="1713"/>
      <c r="F57" s="1713"/>
      <c r="G57" s="1713"/>
      <c r="H57" s="1713"/>
      <c r="I57" s="1713"/>
      <c r="J57" s="1713"/>
      <c r="K57" s="1713"/>
      <c r="L57" s="1713"/>
      <c r="M57" s="1713"/>
      <c r="N57" s="1713"/>
      <c r="O57" s="1713"/>
      <c r="P57" s="1713"/>
      <c r="Q57" s="1713"/>
      <c r="R57" s="1713"/>
      <c r="S57" s="1713"/>
      <c r="T57" s="1713"/>
      <c r="U57" s="1713"/>
      <c r="V57" s="1713"/>
      <c r="W57" s="1699"/>
      <c r="X57" s="1713"/>
      <c r="Y57" s="1713"/>
      <c r="Z57" s="1713"/>
      <c r="AA57" s="1713"/>
      <c r="AB57" s="1713"/>
      <c r="AC57" s="1713"/>
      <c r="AD57" s="1713"/>
      <c r="AE57" s="1713"/>
      <c r="AF57" s="1713"/>
      <c r="AG57" s="1713"/>
      <c r="AH57" s="1713"/>
      <c r="AI57" s="1713"/>
      <c r="AJ57" s="1713"/>
      <c r="AK57" s="1713"/>
      <c r="AL57" s="1713"/>
      <c r="AM57" s="1713"/>
      <c r="AN57" s="1713"/>
      <c r="AR57" s="1733">
        <v>61</v>
      </c>
      <c r="AS57" s="1710">
        <f>IF(OR($C$12=$AR57,$D$12=$AR57),Schweine_Werte!$C57*0.5,IF(OR($C$12&gt;$AR57,$D$12&lt;$AR57),0,Schweine_Werte!$C57))</f>
        <v>0</v>
      </c>
      <c r="AT57" s="1713">
        <f>IF(OR($C$24=$AR57,$D$24=$AR57),Schweine_Werte!$C57*0.5,IF(OR($C$24&gt;$AR57,$D$24&lt;$AR57),0,Schweine_Werte!$C57))</f>
        <v>0</v>
      </c>
      <c r="AU57" s="1710">
        <f>IF(OR($C$36=$AR57,$D$36=$AR57),Schweine_Werte!$C57*0.5,IF(OR($C$36&gt;$AR57,$D$36&lt;$AR57),0,Schweine_Werte!$C57))</f>
        <v>0</v>
      </c>
      <c r="AV57" s="1710">
        <f>IF(OR($C$48=$AR57,$D$48=$AR57),Schweine_Werte!$C57*0.5,IF(OR($C$48&gt;$AR57,$D$48&lt;$AR57),0,Schweine_Werte!$C57))</f>
        <v>0</v>
      </c>
      <c r="AW57" s="1710">
        <f>IF(OR($C$60=$AR57,$D$60=$AR57),Schweine_Werte!$C57*0.5,IF(OR($C$60&gt;$AR57,$D$60&lt;$AR57),0,Schweine_Werte!$C57))</f>
        <v>0</v>
      </c>
      <c r="AX57" s="1710">
        <f>IF(OR($C$12=$AR57,$D$12=$AR57),Schweine_Werte!$E57*0.5,IF(OR($C$12&gt;$AR57,$D$12&lt;$AR57),0,Schweine_Werte!$E57))</f>
        <v>0</v>
      </c>
      <c r="AY57" s="1713">
        <f>IF(OR($C$24=$AR57,$D$24=$AR57),Schweine_Werte!$E57*0.5,IF(OR($C$24&gt;$AR57,$D$24&lt;$AR57),0,Schweine_Werte!$E57))</f>
        <v>0</v>
      </c>
      <c r="AZ57" s="1713">
        <f>IF(OR($C$36=$AR57,$D$36=$AR57),Schweine_Werte!$E57*0.5,IF(OR($C$36&gt;$AR57,$D$36&lt;$AR57),0,Schweine_Werte!$E57))</f>
        <v>0</v>
      </c>
      <c r="BA57" s="1713">
        <f>IF(OR($C$48=$AR57,$D$48=$AR57),Schweine_Werte!$E57*0.5,IF(OR($C$48&gt;$AR57,$D$48&lt;$AR57),0,Schweine_Werte!$E57))</f>
        <v>0</v>
      </c>
      <c r="BB57" s="1713">
        <f>IF(OR($C$60=$AR57,$D$60=$AR57),Schweine_Werte!$E57*0.5,IF(OR($C$60&gt;$AR57,$D$60&lt;$AR57),0,Schweine_Werte!$E57))</f>
        <v>0</v>
      </c>
      <c r="BC57" s="1710">
        <f>IF(OR($C$12=$AR57,$D$12=$AR57),Schweine_Werte!$G57*0.5,IF(OR($C$12&gt;$AR57,$D$12&lt;$AR57),0,Schweine_Werte!$G57))</f>
        <v>0</v>
      </c>
      <c r="BD57" s="1713">
        <f>IF(OR($C$24=$AR57,$D$24=$AR57),Schweine_Werte!$G57*0.5,IF(OR($C$24&gt;$AR57,$D$24&lt;$AR57),0,Schweine_Werte!$G57))</f>
        <v>0</v>
      </c>
      <c r="BE57" s="1713">
        <f>IF(OR($C$36=$AR57,$D$36=$AR57),Schweine_Werte!$G57*0.5,IF(OR($C$36&gt;$AR57,$D$36&lt;$AR57),0,Schweine_Werte!$G57))</f>
        <v>0</v>
      </c>
      <c r="BF57" s="1713">
        <f>IF(OR($C$48=$AR57,$D$48=$AR57),Schweine_Werte!$G57*0.5,IF(OR($C$48&gt;$AR57,$D$48&lt;$AR57),0,Schweine_Werte!$G57))</f>
        <v>0</v>
      </c>
      <c r="BG57" s="1713">
        <f>IF(OR($C$60=$AR57,$D$60=$AR57),Schweine_Werte!$G57*0.5,IF(OR($C$60&gt;$AR57,$D$60&lt;$AR57),0,Schweine_Werte!$G57))</f>
        <v>0</v>
      </c>
      <c r="BH57" s="1710">
        <f>IF(OR($C$12=$AR57,$D$12=$AR57),Schweine_Werte!$I57*0.5,IF(OR($C$12&gt;$AR57,$D$12&lt;$AR57),0,Schweine_Werte!$I57))</f>
        <v>0</v>
      </c>
      <c r="BI57" s="1713">
        <f>IF(OR($C$24=$AR57,$D$24=$AR57),Schweine_Werte!$I57*0.5,IF(OR($C$24&gt;$AR57,$D$24&lt;$AR57),0,Schweine_Werte!$I57))</f>
        <v>0</v>
      </c>
      <c r="BJ57" s="1713">
        <f>IF(OR($C$36=$AR57,$D$36=$AR57),Schweine_Werte!$I57*0.5,IF(OR($C$36&gt;$AR57,$D$36&lt;$AR57),0,Schweine_Werte!$I57))</f>
        <v>0</v>
      </c>
      <c r="BK57" s="1713">
        <f>IF(OR($C$48=$AR57,$D$48=$AR57),Schweine_Werte!$I57*0.5,IF(OR($C$48&gt;$AR57,$D$48&lt;$AR57),0,Schweine_Werte!$I57))</f>
        <v>0</v>
      </c>
      <c r="BL57" s="1713">
        <f>IF(OR($C$60=$AR57,$D$60=$AR57),Schweine_Werte!$I57*0.5,IF(OR($C$60&gt;$AR57,$D$60&lt;$AR57),0,Schweine_Werte!$I57))</f>
        <v>0</v>
      </c>
      <c r="BM57" s="1710">
        <f>IF(OR($C$12=$AR57,$D$12=$AR57),Schweine_Werte!$K57*0.5,IF(OR($C$12&gt;$AR57,$D$12&lt;$AR57),0,Schweine_Werte!$K57))</f>
        <v>0</v>
      </c>
      <c r="BN57" s="1713">
        <f>IF(OR($C$24=$AR57,$D$24=$AR57),Schweine_Werte!$K57*0.5,IF(OR($C$24&gt;$AR57,$D$24&lt;$AR57),0,Schweine_Werte!$K57))</f>
        <v>0</v>
      </c>
      <c r="BO57" s="1713">
        <f>IF(OR($C$36=$AR57,$D$36=$AR57),Schweine_Werte!$K57*0.5,IF(OR($C$36&gt;$AR57,$D$36&lt;$AR57),0,Schweine_Werte!$K57))</f>
        <v>0</v>
      </c>
      <c r="BP57" s="1713">
        <f>IF(OR($C$48=$AR57,$D$48=$AR57),Schweine_Werte!$K57*0.5,IF(OR($C$48&gt;$AR57,$D$48&lt;$AR57),0,Schweine_Werte!$K57))</f>
        <v>0</v>
      </c>
      <c r="BQ57" s="1713">
        <f>IF(OR($C$60=$AR57,$D$60=$AR57),Schweine_Werte!$K57*0.5,IF(OR($C$60&gt;$AR57,$D$60&lt;$AR57),0,Schweine_Werte!$K57))</f>
        <v>0</v>
      </c>
      <c r="BR57" s="1710">
        <f>IF(OR($C$74=$AR57,$D$74=$AR57),Schweine_Werte!$M57*0.5,IF(OR($C$74&gt;$AR57,$D$74&lt;$AR57),0,Schweine_Werte!$M57))</f>
        <v>0</v>
      </c>
      <c r="BS57" s="1710">
        <f>IF(OR($C$83=$AR57,$D$83=$AR57),Schweine_Werte!$M57*0.5,IF(OR($C$83&gt;$AR57,$D$83&lt;$AR57),0,Schweine_Werte!$M57))</f>
        <v>0</v>
      </c>
      <c r="BT57" s="1714">
        <f>IF(OR($C$92=$AR57,$D$92=$AR57),Schweine_Werte!$M57*0.5,IF(OR($C$92&gt;$AR57,$D$92&lt;$AR57),0,Schweine_Werte!$M57))</f>
        <v>0</v>
      </c>
      <c r="BU57" s="1714">
        <f>IF(OR($C$101=$AR57,$D$101=$AR57),Schweine_Werte!$M57*0.5,IF(OR($C$101&gt;$AR57,$D$101&lt;$AR57),0,Schweine_Werte!$M57))</f>
        <v>0</v>
      </c>
      <c r="BV57" s="1714">
        <f>IF(OR($C$110=$AR57,$D$110=$AR57),Schweine_Werte!$M57*0.5,IF(OR($C$110&gt;$AR57,$D$110&lt;$AR57),0,Schweine_Werte!$M57))</f>
        <v>0</v>
      </c>
      <c r="BW57" s="1714">
        <f>IF(OR(8=$AR57,$E$127=$AR57),Schweine_Werte!$M57*0.5,IF(OR(8&gt;$AR57,$E$127&lt;$AR57),0,Schweine_Werte!$M57))</f>
        <v>1.1289636129562686</v>
      </c>
      <c r="BX57" s="1714">
        <f>IF(OR(8=$AR57,$E$145=$AR57),Schweine_Werte!$M57*0.5,IF(OR(8&gt;$AR57,$E$145&lt;$AR57),0,Schweine_Werte!$M57))</f>
        <v>1.1289636129562686</v>
      </c>
      <c r="BY57" s="1710">
        <f>IF(OR($C$74=$AR57,$D$74=$AR57),Schweine_Werte!$O57*0.5,IF(OR($C$74&gt;$AR57,$D$74&lt;$AR57),0,Schweine_Werte!$O57))</f>
        <v>0</v>
      </c>
      <c r="BZ57" s="1710">
        <f>IF(OR($C$83=$AR57,$D$83=$AR57),Schweine_Werte!$O57*0.5,IF(OR($C$83&gt;$AR57,$D$83&lt;$AR57),0,Schweine_Werte!$O57))</f>
        <v>0</v>
      </c>
      <c r="CA57" s="1714">
        <f>IF(OR($C$92=$AR57,$D$92=$AR57),Schweine_Werte!$O57*0.5,IF(OR($C$92&gt;$AR57,$D$92&lt;$AR57),0,Schweine_Werte!$O57))</f>
        <v>0</v>
      </c>
      <c r="CB57" s="1714">
        <f>IF(OR($C$101=$AR57,$D$101=$AR57),Schweine_Werte!$O57*0.5,IF(OR($C$101&gt;$AR57,$D$101&lt;$AR57),0,Schweine_Werte!$O57))</f>
        <v>0</v>
      </c>
      <c r="CC57" s="1714">
        <f>IF(OR($C$110=$AR57,$D$110=$AR57),Schweine_Werte!$O57*0.5,IF(OR($C$110&gt;$AR57,$D$110&lt;$AR57),0,Schweine_Werte!$O57))</f>
        <v>0</v>
      </c>
    </row>
    <row r="58" spans="1:81" ht="15.75" x14ac:dyDescent="0.25">
      <c r="F58" s="1716"/>
      <c r="G58" s="3257" t="s">
        <v>8582</v>
      </c>
      <c r="H58" s="3258"/>
      <c r="I58" s="3259"/>
      <c r="J58" s="1717" t="s">
        <v>8096</v>
      </c>
      <c r="K58" s="1717" t="s">
        <v>204</v>
      </c>
      <c r="L58" s="3260" t="s">
        <v>8583</v>
      </c>
      <c r="M58" s="3260"/>
      <c r="N58" s="3260"/>
      <c r="O58" s="3247" t="s">
        <v>8584</v>
      </c>
      <c r="P58" s="3249"/>
      <c r="Q58" s="3247" t="s">
        <v>8585</v>
      </c>
      <c r="R58" s="3248"/>
      <c r="S58" s="3249"/>
      <c r="T58" s="3247" t="s">
        <v>8586</v>
      </c>
      <c r="U58" s="3248"/>
      <c r="V58" s="3249"/>
      <c r="W58" s="3247" t="s">
        <v>8587</v>
      </c>
      <c r="X58" s="3248"/>
      <c r="Y58" s="3249"/>
      <c r="Z58" s="3250" t="s">
        <v>8588</v>
      </c>
      <c r="AA58" s="3250"/>
      <c r="AB58" s="3250" t="s">
        <v>8589</v>
      </c>
      <c r="AC58" s="3250"/>
      <c r="AD58" s="3250" t="s">
        <v>8590</v>
      </c>
      <c r="AE58" s="3250"/>
      <c r="AF58" s="1718" t="s">
        <v>8591</v>
      </c>
      <c r="AG58" s="3254" t="s">
        <v>8592</v>
      </c>
      <c r="AH58" s="3255"/>
      <c r="AI58" s="1719" t="s">
        <v>8611</v>
      </c>
      <c r="AJ58" s="3250" t="s">
        <v>8588</v>
      </c>
      <c r="AK58" s="3250"/>
      <c r="AL58" s="3250" t="s">
        <v>8589</v>
      </c>
      <c r="AM58" s="3250"/>
      <c r="AN58" s="3250" t="s">
        <v>8590</v>
      </c>
      <c r="AO58" s="3250"/>
      <c r="AR58" s="1733">
        <v>62</v>
      </c>
      <c r="AS58" s="1710">
        <f>IF(OR($C$12=$AR58,$D$12=$AR58),Schweine_Werte!$C58*0.5,IF(OR($C$12&gt;$AR58,$D$12&lt;$AR58),0,Schweine_Werte!$C58))</f>
        <v>0</v>
      </c>
      <c r="AT58" s="1713">
        <f>IF(OR($C$24=$AR58,$D$24=$AR58),Schweine_Werte!$C58*0.5,IF(OR($C$24&gt;$AR58,$D$24&lt;$AR58),0,Schweine_Werte!$C58))</f>
        <v>0</v>
      </c>
      <c r="AU58" s="1710">
        <f>IF(OR($C$36=$AR58,$D$36=$AR58),Schweine_Werte!$C58*0.5,IF(OR($C$36&gt;$AR58,$D$36&lt;$AR58),0,Schweine_Werte!$C58))</f>
        <v>0</v>
      </c>
      <c r="AV58" s="1710">
        <f>IF(OR($C$48=$AR58,$D$48=$AR58),Schweine_Werte!$C58*0.5,IF(OR($C$48&gt;$AR58,$D$48&lt;$AR58),0,Schweine_Werte!$C58))</f>
        <v>0</v>
      </c>
      <c r="AW58" s="1710">
        <f>IF(OR($C$60=$AR58,$D$60=$AR58),Schweine_Werte!$C58*0.5,IF(OR($C$60&gt;$AR58,$D$60&lt;$AR58),0,Schweine_Werte!$C58))</f>
        <v>0</v>
      </c>
      <c r="AX58" s="1710">
        <f>IF(OR($C$12=$AR58,$D$12=$AR58),Schweine_Werte!$E58*0.5,IF(OR($C$12&gt;$AR58,$D$12&lt;$AR58),0,Schweine_Werte!$E58))</f>
        <v>0</v>
      </c>
      <c r="AY58" s="1713">
        <f>IF(OR($C$24=$AR58,$D$24=$AR58),Schweine_Werte!$E58*0.5,IF(OR($C$24&gt;$AR58,$D$24&lt;$AR58),0,Schweine_Werte!$E58))</f>
        <v>0</v>
      </c>
      <c r="AZ58" s="1713">
        <f>IF(OR($C$36=$AR58,$D$36=$AR58),Schweine_Werte!$E58*0.5,IF(OR($C$36&gt;$AR58,$D$36&lt;$AR58),0,Schweine_Werte!$E58))</f>
        <v>0</v>
      </c>
      <c r="BA58" s="1713">
        <f>IF(OR($C$48=$AR58,$D$48=$AR58),Schweine_Werte!$E58*0.5,IF(OR($C$48&gt;$AR58,$D$48&lt;$AR58),0,Schweine_Werte!$E58))</f>
        <v>0</v>
      </c>
      <c r="BB58" s="1713">
        <f>IF(OR($C$60=$AR58,$D$60=$AR58),Schweine_Werte!$E58*0.5,IF(OR($C$60&gt;$AR58,$D$60&lt;$AR58),0,Schweine_Werte!$E58))</f>
        <v>0</v>
      </c>
      <c r="BC58" s="1710">
        <f>IF(OR($C$12=$AR58,$D$12=$AR58),Schweine_Werte!$G58*0.5,IF(OR($C$12&gt;$AR58,$D$12&lt;$AR58),0,Schweine_Werte!$G58))</f>
        <v>0</v>
      </c>
      <c r="BD58" s="1713">
        <f>IF(OR($C$24=$AR58,$D$24=$AR58),Schweine_Werte!$G58*0.5,IF(OR($C$24&gt;$AR58,$D$24&lt;$AR58),0,Schweine_Werte!$G58))</f>
        <v>0</v>
      </c>
      <c r="BE58" s="1713">
        <f>IF(OR($C$36=$AR58,$D$36=$AR58),Schweine_Werte!$G58*0.5,IF(OR($C$36&gt;$AR58,$D$36&lt;$AR58),0,Schweine_Werte!$G58))</f>
        <v>0</v>
      </c>
      <c r="BF58" s="1713">
        <f>IF(OR($C$48=$AR58,$D$48=$AR58),Schweine_Werte!$G58*0.5,IF(OR($C$48&gt;$AR58,$D$48&lt;$AR58),0,Schweine_Werte!$G58))</f>
        <v>0</v>
      </c>
      <c r="BG58" s="1713">
        <f>IF(OR($C$60=$AR58,$D$60=$AR58),Schweine_Werte!$G58*0.5,IF(OR($C$60&gt;$AR58,$D$60&lt;$AR58),0,Schweine_Werte!$G58))</f>
        <v>0</v>
      </c>
      <c r="BH58" s="1710">
        <f>IF(OR($C$12=$AR58,$D$12=$AR58),Schweine_Werte!$I58*0.5,IF(OR($C$12&gt;$AR58,$D$12&lt;$AR58),0,Schweine_Werte!$I58))</f>
        <v>0</v>
      </c>
      <c r="BI58" s="1713">
        <f>IF(OR($C$24=$AR58,$D$24=$AR58),Schweine_Werte!$I58*0.5,IF(OR($C$24&gt;$AR58,$D$24&lt;$AR58),0,Schweine_Werte!$I58))</f>
        <v>0</v>
      </c>
      <c r="BJ58" s="1713">
        <f>IF(OR($C$36=$AR58,$D$36=$AR58),Schweine_Werte!$I58*0.5,IF(OR($C$36&gt;$AR58,$D$36&lt;$AR58),0,Schweine_Werte!$I58))</f>
        <v>0</v>
      </c>
      <c r="BK58" s="1713">
        <f>IF(OR($C$48=$AR58,$D$48=$AR58),Schweine_Werte!$I58*0.5,IF(OR($C$48&gt;$AR58,$D$48&lt;$AR58),0,Schweine_Werte!$I58))</f>
        <v>0</v>
      </c>
      <c r="BL58" s="1713">
        <f>IF(OR($C$60=$AR58,$D$60=$AR58),Schweine_Werte!$I58*0.5,IF(OR($C$60&gt;$AR58,$D$60&lt;$AR58),0,Schweine_Werte!$I58))</f>
        <v>0</v>
      </c>
      <c r="BM58" s="1710">
        <f>IF(OR($C$12=$AR58,$D$12=$AR58),Schweine_Werte!$K58*0.5,IF(OR($C$12&gt;$AR58,$D$12&lt;$AR58),0,Schweine_Werte!$K58))</f>
        <v>0</v>
      </c>
      <c r="BN58" s="1713">
        <f>IF(OR($C$24=$AR58,$D$24=$AR58),Schweine_Werte!$K58*0.5,IF(OR($C$24&gt;$AR58,$D$24&lt;$AR58),0,Schweine_Werte!$K58))</f>
        <v>0</v>
      </c>
      <c r="BO58" s="1713">
        <f>IF(OR($C$36=$AR58,$D$36=$AR58),Schweine_Werte!$K58*0.5,IF(OR($C$36&gt;$AR58,$D$36&lt;$AR58),0,Schweine_Werte!$K58))</f>
        <v>0</v>
      </c>
      <c r="BP58" s="1713">
        <f>IF(OR($C$48=$AR58,$D$48=$AR58),Schweine_Werte!$K58*0.5,IF(OR($C$48&gt;$AR58,$D$48&lt;$AR58),0,Schweine_Werte!$K58))</f>
        <v>0</v>
      </c>
      <c r="BQ58" s="1713">
        <f>IF(OR($C$60=$AR58,$D$60=$AR58),Schweine_Werte!$K58*0.5,IF(OR($C$60&gt;$AR58,$D$60&lt;$AR58),0,Schweine_Werte!$K58))</f>
        <v>0</v>
      </c>
      <c r="BR58" s="1710">
        <f>IF(OR($C$74=$AR58,$D$74=$AR58),Schweine_Werte!$M58*0.5,IF(OR($C$74&gt;$AR58,$D$74&lt;$AR58),0,Schweine_Werte!$M58))</f>
        <v>0</v>
      </c>
      <c r="BS58" s="1710">
        <f>IF(OR($C$83=$AR58,$D$83=$AR58),Schweine_Werte!$M58*0.5,IF(OR($C$83&gt;$AR58,$D$83&lt;$AR58),0,Schweine_Werte!$M58))</f>
        <v>0</v>
      </c>
      <c r="BT58" s="1714">
        <f>IF(OR($C$92=$AR58,$D$92=$AR58),Schweine_Werte!$M58*0.5,IF(OR($C$92&gt;$AR58,$D$92&lt;$AR58),0,Schweine_Werte!$M58))</f>
        <v>0</v>
      </c>
      <c r="BU58" s="1714">
        <f>IF(OR($C$101=$AR58,$D$101=$AR58),Schweine_Werte!$M58*0.5,IF(OR($C$101&gt;$AR58,$D$101&lt;$AR58),0,Schweine_Werte!$M58))</f>
        <v>0</v>
      </c>
      <c r="BV58" s="1714">
        <f>IF(OR($C$110=$AR58,$D$110=$AR58),Schweine_Werte!$M58*0.5,IF(OR($C$110&gt;$AR58,$D$110&lt;$AR58),0,Schweine_Werte!$M58))</f>
        <v>0</v>
      </c>
      <c r="BW58" s="1714">
        <f>IF(OR(8=$AR58,$E$127=$AR58),Schweine_Werte!$M58*0.5,IF(OR(8&gt;$AR58,$E$127&lt;$AR58),0,Schweine_Werte!$M58))</f>
        <v>1.1248275743163625</v>
      </c>
      <c r="BX58" s="1714">
        <f>IF(OR(8=$AR58,$E$145=$AR58),Schweine_Werte!$M58*0.5,IF(OR(8&gt;$AR58,$E$145&lt;$AR58),0,Schweine_Werte!$M58))</f>
        <v>1.1248275743163625</v>
      </c>
      <c r="BY58" s="1710">
        <f>IF(OR($C$74=$AR58,$D$74=$AR58),Schweine_Werte!$O58*0.5,IF(OR($C$74&gt;$AR58,$D$74&lt;$AR58),0,Schweine_Werte!$O58))</f>
        <v>0</v>
      </c>
      <c r="BZ58" s="1710">
        <f>IF(OR($C$83=$AR58,$D$83=$AR58),Schweine_Werte!$O58*0.5,IF(OR($C$83&gt;$AR58,$D$83&lt;$AR58),0,Schweine_Werte!$O58))</f>
        <v>0</v>
      </c>
      <c r="CA58" s="1714">
        <f>IF(OR($C$92=$AR58,$D$92=$AR58),Schweine_Werte!$O58*0.5,IF(OR($C$92&gt;$AR58,$D$92&lt;$AR58),0,Schweine_Werte!$O58))</f>
        <v>0</v>
      </c>
      <c r="CB58" s="1714">
        <f>IF(OR($C$101=$AR58,$D$101=$AR58),Schweine_Werte!$O58*0.5,IF(OR($C$101&gt;$AR58,$D$101&lt;$AR58),0,Schweine_Werte!$O58))</f>
        <v>0</v>
      </c>
      <c r="CC58" s="1714">
        <f>IF(OR($C$110=$AR58,$D$110=$AR58),Schweine_Werte!$O58*0.5,IF(OR($C$110&gt;$AR58,$D$110&lt;$AR58),0,Schweine_Werte!$O58))</f>
        <v>0</v>
      </c>
    </row>
    <row r="59" spans="1:81" ht="18.75" x14ac:dyDescent="0.25">
      <c r="B59" s="1720" t="s">
        <v>8594</v>
      </c>
      <c r="C59" s="1721" t="s">
        <v>8595</v>
      </c>
      <c r="D59" s="1721" t="s">
        <v>8596</v>
      </c>
      <c r="E59" s="1721" t="s">
        <v>8597</v>
      </c>
      <c r="F59" s="1722" t="s">
        <v>195</v>
      </c>
      <c r="G59" s="1723" t="s">
        <v>4</v>
      </c>
      <c r="H59" s="1723" t="s">
        <v>8598</v>
      </c>
      <c r="I59" s="1723" t="s">
        <v>8599</v>
      </c>
      <c r="J59" s="1724" t="s">
        <v>8600</v>
      </c>
      <c r="K59" s="1724" t="s">
        <v>8600</v>
      </c>
      <c r="L59" s="1725" t="s">
        <v>35</v>
      </c>
      <c r="M59" s="1725" t="s">
        <v>8601</v>
      </c>
      <c r="N59" s="1725" t="s">
        <v>37</v>
      </c>
      <c r="O59" s="1726" t="s">
        <v>0</v>
      </c>
      <c r="P59" s="1726" t="s">
        <v>9</v>
      </c>
      <c r="Q59" s="1725" t="s">
        <v>35</v>
      </c>
      <c r="R59" s="1725" t="s">
        <v>36</v>
      </c>
      <c r="S59" s="1725" t="s">
        <v>37</v>
      </c>
      <c r="T59" s="1725" t="s">
        <v>35</v>
      </c>
      <c r="U59" s="1725" t="s">
        <v>36</v>
      </c>
      <c r="V59" s="1725" t="s">
        <v>37</v>
      </c>
      <c r="W59" s="1724" t="s">
        <v>8528</v>
      </c>
      <c r="X59" s="1724" t="s">
        <v>8529</v>
      </c>
      <c r="Y59" s="1724" t="s">
        <v>8530</v>
      </c>
      <c r="Z59" s="1727" t="s">
        <v>8602</v>
      </c>
      <c r="AA59" s="1727" t="s">
        <v>8603</v>
      </c>
      <c r="AB59" s="1727" t="s">
        <v>8602</v>
      </c>
      <c r="AC59" s="1727" t="s">
        <v>8603</v>
      </c>
      <c r="AD59" s="1727" t="s">
        <v>8602</v>
      </c>
      <c r="AE59" s="1727" t="s">
        <v>8603</v>
      </c>
      <c r="AF59" s="1727" t="s">
        <v>8604</v>
      </c>
      <c r="AG59" s="1728" t="s">
        <v>8605</v>
      </c>
      <c r="AH59" s="1727" t="s">
        <v>216</v>
      </c>
      <c r="AI59" s="1727"/>
      <c r="AJ59" s="1727" t="s">
        <v>8527</v>
      </c>
      <c r="AK59" s="1727" t="s">
        <v>8606</v>
      </c>
      <c r="AL59" s="1727" t="s">
        <v>8607</v>
      </c>
      <c r="AM59" s="1727" t="s">
        <v>8608</v>
      </c>
      <c r="AN59" s="1727" t="s">
        <v>8607</v>
      </c>
      <c r="AO59" s="1727" t="s">
        <v>8609</v>
      </c>
      <c r="AR59" s="1733">
        <v>63</v>
      </c>
      <c r="AS59" s="1710">
        <f>IF(OR($C$12=$AR59,$D$12=$AR59),Schweine_Werte!$C59*0.5,IF(OR($C$12&gt;$AR59,$D$12&lt;$AR59),0,Schweine_Werte!$C59))</f>
        <v>0</v>
      </c>
      <c r="AT59" s="1713">
        <f>IF(OR($C$24=$AR59,$D$24=$AR59),Schweine_Werte!$C59*0.5,IF(OR($C$24&gt;$AR59,$D$24&lt;$AR59),0,Schweine_Werte!$C59))</f>
        <v>0</v>
      </c>
      <c r="AU59" s="1710">
        <f>IF(OR($C$36=$AR59,$D$36=$AR59),Schweine_Werte!$C59*0.5,IF(OR($C$36&gt;$AR59,$D$36&lt;$AR59),0,Schweine_Werte!$C59))</f>
        <v>0</v>
      </c>
      <c r="AV59" s="1710">
        <f>IF(OR($C$48=$AR59,$D$48=$AR59),Schweine_Werte!$C59*0.5,IF(OR($C$48&gt;$AR59,$D$48&lt;$AR59),0,Schweine_Werte!$C59))</f>
        <v>0</v>
      </c>
      <c r="AW59" s="1710">
        <f>IF(OR($C$60=$AR59,$D$60=$AR59),Schweine_Werte!$C59*0.5,IF(OR($C$60&gt;$AR59,$D$60&lt;$AR59),0,Schweine_Werte!$C59))</f>
        <v>0</v>
      </c>
      <c r="AX59" s="1710">
        <f>IF(OR($C$12=$AR59,$D$12=$AR59),Schweine_Werte!$E59*0.5,IF(OR($C$12&gt;$AR59,$D$12&lt;$AR59),0,Schweine_Werte!$E59))</f>
        <v>0</v>
      </c>
      <c r="AY59" s="1713">
        <f>IF(OR($C$24=$AR59,$D$24=$AR59),Schweine_Werte!$E59*0.5,IF(OR($C$24&gt;$AR59,$D$24&lt;$AR59),0,Schweine_Werte!$E59))</f>
        <v>0</v>
      </c>
      <c r="AZ59" s="1713">
        <f>IF(OR($C$36=$AR59,$D$36=$AR59),Schweine_Werte!$E59*0.5,IF(OR($C$36&gt;$AR59,$D$36&lt;$AR59),0,Schweine_Werte!$E59))</f>
        <v>0</v>
      </c>
      <c r="BA59" s="1713">
        <f>IF(OR($C$48=$AR59,$D$48=$AR59),Schweine_Werte!$E59*0.5,IF(OR($C$48&gt;$AR59,$D$48&lt;$AR59),0,Schweine_Werte!$E59))</f>
        <v>0</v>
      </c>
      <c r="BB59" s="1713">
        <f>IF(OR($C$60=$AR59,$D$60=$AR59),Schweine_Werte!$E59*0.5,IF(OR($C$60&gt;$AR59,$D$60&lt;$AR59),0,Schweine_Werte!$E59))</f>
        <v>0</v>
      </c>
      <c r="BC59" s="1710">
        <f>IF(OR($C$12=$AR59,$D$12=$AR59),Schweine_Werte!$G59*0.5,IF(OR($C$12&gt;$AR59,$D$12&lt;$AR59),0,Schweine_Werte!$G59))</f>
        <v>0</v>
      </c>
      <c r="BD59" s="1713">
        <f>IF(OR($C$24=$AR59,$D$24=$AR59),Schweine_Werte!$G59*0.5,IF(OR($C$24&gt;$AR59,$D$24&lt;$AR59),0,Schweine_Werte!$G59))</f>
        <v>0</v>
      </c>
      <c r="BE59" s="1713">
        <f>IF(OR($C$36=$AR59,$D$36=$AR59),Schweine_Werte!$G59*0.5,IF(OR($C$36&gt;$AR59,$D$36&lt;$AR59),0,Schweine_Werte!$G59))</f>
        <v>0</v>
      </c>
      <c r="BF59" s="1713">
        <f>IF(OR($C$48=$AR59,$D$48=$AR59),Schweine_Werte!$G59*0.5,IF(OR($C$48&gt;$AR59,$D$48&lt;$AR59),0,Schweine_Werte!$G59))</f>
        <v>0</v>
      </c>
      <c r="BG59" s="1713">
        <f>IF(OR($C$60=$AR59,$D$60=$AR59),Schweine_Werte!$G59*0.5,IF(OR($C$60&gt;$AR59,$D$60&lt;$AR59),0,Schweine_Werte!$G59))</f>
        <v>0</v>
      </c>
      <c r="BH59" s="1710">
        <f>IF(OR($C$12=$AR59,$D$12=$AR59),Schweine_Werte!$I59*0.5,IF(OR($C$12&gt;$AR59,$D$12&lt;$AR59),0,Schweine_Werte!$I59))</f>
        <v>0</v>
      </c>
      <c r="BI59" s="1713">
        <f>IF(OR($C$24=$AR59,$D$24=$AR59),Schweine_Werte!$I59*0.5,IF(OR($C$24&gt;$AR59,$D$24&lt;$AR59),0,Schweine_Werte!$I59))</f>
        <v>0</v>
      </c>
      <c r="BJ59" s="1713">
        <f>IF(OR($C$36=$AR59,$D$36=$AR59),Schweine_Werte!$I59*0.5,IF(OR($C$36&gt;$AR59,$D$36&lt;$AR59),0,Schweine_Werte!$I59))</f>
        <v>0</v>
      </c>
      <c r="BK59" s="1713">
        <f>IF(OR($C$48=$AR59,$D$48=$AR59),Schweine_Werte!$I59*0.5,IF(OR($C$48&gt;$AR59,$D$48&lt;$AR59),0,Schweine_Werte!$I59))</f>
        <v>0</v>
      </c>
      <c r="BL59" s="1713">
        <f>IF(OR($C$60=$AR59,$D$60=$AR59),Schweine_Werte!$I59*0.5,IF(OR($C$60&gt;$AR59,$D$60&lt;$AR59),0,Schweine_Werte!$I59))</f>
        <v>0</v>
      </c>
      <c r="BM59" s="1710">
        <f>IF(OR($C$12=$AR59,$D$12=$AR59),Schweine_Werte!$K59*0.5,IF(OR($C$12&gt;$AR59,$D$12&lt;$AR59),0,Schweine_Werte!$K59))</f>
        <v>0</v>
      </c>
      <c r="BN59" s="1713">
        <f>IF(OR($C$24=$AR59,$D$24=$AR59),Schweine_Werte!$K59*0.5,IF(OR($C$24&gt;$AR59,$D$24&lt;$AR59),0,Schweine_Werte!$K59))</f>
        <v>0</v>
      </c>
      <c r="BO59" s="1713">
        <f>IF(OR($C$36=$AR59,$D$36=$AR59),Schweine_Werte!$K59*0.5,IF(OR($C$36&gt;$AR59,$D$36&lt;$AR59),0,Schweine_Werte!$K59))</f>
        <v>0</v>
      </c>
      <c r="BP59" s="1713">
        <f>IF(OR($C$48=$AR59,$D$48=$AR59),Schweine_Werte!$K59*0.5,IF(OR($C$48&gt;$AR59,$D$48&lt;$AR59),0,Schweine_Werte!$K59))</f>
        <v>0</v>
      </c>
      <c r="BQ59" s="1713">
        <f>IF(OR($C$60=$AR59,$D$60=$AR59),Schweine_Werte!$K59*0.5,IF(OR($C$60&gt;$AR59,$D$60&lt;$AR59),0,Schweine_Werte!$K59))</f>
        <v>0</v>
      </c>
      <c r="BR59" s="1710">
        <f>IF(OR($C$74=$AR59,$D$74=$AR59),Schweine_Werte!$M59*0.5,IF(OR($C$74&gt;$AR59,$D$74&lt;$AR59),0,Schweine_Werte!$M59))</f>
        <v>0</v>
      </c>
      <c r="BS59" s="1710">
        <f>IF(OR($C$83=$AR59,$D$83=$AR59),Schweine_Werte!$M59*0.5,IF(OR($C$83&gt;$AR59,$D$83&lt;$AR59),0,Schweine_Werte!$M59))</f>
        <v>0</v>
      </c>
      <c r="BT59" s="1714">
        <f>IF(OR($C$92=$AR59,$D$92=$AR59),Schweine_Werte!$M59*0.5,IF(OR($C$92&gt;$AR59,$D$92&lt;$AR59),0,Schweine_Werte!$M59))</f>
        <v>0</v>
      </c>
      <c r="BU59" s="1714">
        <f>IF(OR($C$101=$AR59,$D$101=$AR59),Schweine_Werte!$M59*0.5,IF(OR($C$101&gt;$AR59,$D$101&lt;$AR59),0,Schweine_Werte!$M59))</f>
        <v>0</v>
      </c>
      <c r="BV59" s="1714">
        <f>IF(OR($C$110=$AR59,$D$110=$AR59),Schweine_Werte!$M59*0.5,IF(OR($C$110&gt;$AR59,$D$110&lt;$AR59),0,Schweine_Werte!$M59))</f>
        <v>0</v>
      </c>
      <c r="BW59" s="1714">
        <f>IF(OR(8=$AR59,$E$127=$AR59),Schweine_Werte!$M59*0.5,IF(OR(8&gt;$AR59,$E$127&lt;$AR59),0,Schweine_Werte!$M59))</f>
        <v>1.1210940768302988</v>
      </c>
      <c r="BX59" s="1714">
        <f>IF(OR(8=$AR59,$E$145=$AR59),Schweine_Werte!$M59*0.5,IF(OR(8&gt;$AR59,$E$145&lt;$AR59),0,Schweine_Werte!$M59))</f>
        <v>1.1210940768302988</v>
      </c>
      <c r="BY59" s="1710">
        <f>IF(OR($C$74=$AR59,$D$74=$AR59),Schweine_Werte!$O59*0.5,IF(OR($C$74&gt;$AR59,$D$74&lt;$AR59),0,Schweine_Werte!$O59))</f>
        <v>0</v>
      </c>
      <c r="BZ59" s="1710">
        <f>IF(OR($C$83=$AR59,$D$83=$AR59),Schweine_Werte!$O59*0.5,IF(OR($C$83&gt;$AR59,$D$83&lt;$AR59),0,Schweine_Werte!$O59))</f>
        <v>0</v>
      </c>
      <c r="CA59" s="1714">
        <f>IF(OR($C$92=$AR59,$D$92=$AR59),Schweine_Werte!$O59*0.5,IF(OR($C$92&gt;$AR59,$D$92&lt;$AR59),0,Schweine_Werte!$O59))</f>
        <v>0</v>
      </c>
      <c r="CB59" s="1714">
        <f>IF(OR($C$101=$AR59,$D$101=$AR59),Schweine_Werte!$O59*0.5,IF(OR($C$101&gt;$AR59,$D$101&lt;$AR59),0,Schweine_Werte!$O59))</f>
        <v>0</v>
      </c>
      <c r="CC59" s="1714">
        <f>IF(OR($C$110=$AR59,$D$110=$AR59),Schweine_Werte!$O59*0.5,IF(OR($C$110&gt;$AR59,$D$110&lt;$AR59),0,Schweine_Werte!$O59))</f>
        <v>0</v>
      </c>
    </row>
    <row r="60" spans="1:81" ht="15.75" x14ac:dyDescent="0.25">
      <c r="A60" s="1685" t="s">
        <v>8558</v>
      </c>
      <c r="B60" s="1756" t="str">
        <f>IF('Eigene, abweichende Tierdaten'!AD9=1,'Eigene, abweichende Tierdaten'!F9,"")</f>
        <v/>
      </c>
      <c r="C60" s="1754" t="str">
        <f>IF('Eigene, abweichende Tierdaten'!AD9=1,'Eigene, abweichende Tierdaten'!J9,"")</f>
        <v/>
      </c>
      <c r="D60" s="1754" t="str">
        <f>IF('Eigene, abweichende Tierdaten'!AD9=1,'Eigene, abweichende Tierdaten'!L9,"")</f>
        <v/>
      </c>
      <c r="E60" s="1757" t="str">
        <f>IF('Eigene, abweichende Tierdaten'!AD9=1,'Eigene, abweichende Tierdaten'!N9,"")</f>
        <v/>
      </c>
      <c r="F60" s="1729" t="e">
        <f t="shared" ref="F60:N60" si="13">IF($E60&lt;=$E53,F53,IF(AND($E60&gt;$E53,$E60&lt;=$E54),F53+(F54-F53)/($E54-$E53)*($E60-$E53),IF(AND($E60&gt;$E54,$E60&lt;=$E55),F54+(F55-F54)/($E55-$E54)*($E60-$E54),IF(AND($E60&gt;$E55,$E60&lt;=$E56),F55+(F56-F55)/($E56-$E55)*($E60-$E55),IF($E60&gt;$E56,F56)))))</f>
        <v>#VALUE!</v>
      </c>
      <c r="G60" s="1729" t="e">
        <f t="shared" si="13"/>
        <v>#VALUE!</v>
      </c>
      <c r="H60" s="1729" t="e">
        <f t="shared" si="13"/>
        <v>#VALUE!</v>
      </c>
      <c r="I60" s="1729" t="e">
        <f t="shared" si="13"/>
        <v>#VALUE!</v>
      </c>
      <c r="J60" s="1729" t="e">
        <f t="shared" si="13"/>
        <v>#VALUE!</v>
      </c>
      <c r="K60" s="1729" t="e">
        <f t="shared" si="13"/>
        <v>#VALUE!</v>
      </c>
      <c r="L60" s="1729" t="e">
        <f t="shared" si="13"/>
        <v>#VALUE!</v>
      </c>
      <c r="M60" s="1729" t="e">
        <f t="shared" si="13"/>
        <v>#VALUE!</v>
      </c>
      <c r="N60" s="1729" t="e">
        <f t="shared" si="13"/>
        <v>#VALUE!</v>
      </c>
      <c r="O60" s="1730">
        <v>5.5</v>
      </c>
      <c r="P60" s="1730">
        <v>1.8</v>
      </c>
      <c r="Q60" s="1729" t="e">
        <f t="shared" ref="Q60:Z60" si="14">IF($E60&lt;=$E53,Q53,IF(AND($E60&gt;$E53,$E60&lt;=$E54),Q53+(Q54-Q53)/($E54-$E53)*($E60-$E53),IF(AND($E60&gt;$E54,$E60&lt;=$E55),Q54+(Q55-Q54)/($E55-$E54)*($E60-$E54),IF(AND($E60&gt;$E55,$E60&lt;=$E56),Q55+(Q56-Q55)/($E56-$E55)*($E60-$E55),IF($E60&gt;$E56,Q56)))))</f>
        <v>#VALUE!</v>
      </c>
      <c r="R60" s="1729" t="e">
        <f t="shared" si="14"/>
        <v>#VALUE!</v>
      </c>
      <c r="S60" s="1729" t="e">
        <f t="shared" si="14"/>
        <v>#VALUE!</v>
      </c>
      <c r="T60" s="1729" t="e">
        <f t="shared" si="14"/>
        <v>#VALUE!</v>
      </c>
      <c r="U60" s="1729" t="e">
        <f t="shared" si="14"/>
        <v>#VALUE!</v>
      </c>
      <c r="V60" s="1729" t="e">
        <f t="shared" si="14"/>
        <v>#VALUE!</v>
      </c>
      <c r="W60" s="1729" t="e">
        <f t="shared" si="14"/>
        <v>#VALUE!</v>
      </c>
      <c r="X60" s="1729" t="e">
        <f t="shared" si="14"/>
        <v>#VALUE!</v>
      </c>
      <c r="Y60" s="1729" t="e">
        <f t="shared" si="14"/>
        <v>#VALUE!</v>
      </c>
      <c r="Z60" s="1729" t="e">
        <f t="shared" si="14"/>
        <v>#VALUE!</v>
      </c>
      <c r="AA60" s="1731" t="e">
        <f>+Z60*6.25</f>
        <v>#VALUE!</v>
      </c>
      <c r="AB60" s="1729" t="e">
        <f>IF($E60&lt;=$E53,AB53,IF(AND($E60&gt;$E53,$E60&lt;=$E54),AB53+(AB54-AB53)/($E54-$E53)*($E60-$E53),IF(AND($E60&gt;$E54,$E60&lt;=$E55),AB54+(AB55-AB54)/($E55-$E54)*($E60-$E54),IF(AND($E60&gt;$E55,$E60&lt;=$E56),AB55+(AB56-AB55)/($E56-$E55)*($E60-$E55),IF($E60&gt;$E56,AB56)))))</f>
        <v>#VALUE!</v>
      </c>
      <c r="AC60" s="1731" t="e">
        <f>+AB60*6.25</f>
        <v>#VALUE!</v>
      </c>
      <c r="AD60" s="1729" t="e">
        <f>IF($E60&lt;=$E53,AD53,IF(AND($E60&gt;$E53,$E60&lt;=$E54),AD53+(AD54-AD53)/($E54-$E53)*($E60-$E53),IF(AND($E60&gt;$E54,$E60&lt;=$E55),AD54+(AD55-AD54)/($E55-$E54)*($E60-$E54),IF(AND($E60&gt;$E55,$E60&lt;=$E56),AD55+(AD56-AD55)/($E56-$E55)*($E60-$E55),IF($E60&gt;$E56,AD56)))))</f>
        <v>#VALUE!</v>
      </c>
      <c r="AE60" s="1731" t="e">
        <f>+AD60*6.25</f>
        <v>#VALUE!</v>
      </c>
      <c r="AF60" s="1731" t="e">
        <f>365/((D60-C60)/E60*1000)</f>
        <v>#VALUE!</v>
      </c>
      <c r="AG60" s="1729" t="e">
        <f>IF($E60&lt;=$E53,AG53,IF(AND($E60&gt;$E53,$E60&lt;=$E54),AG53+(AG54-AG53)/($E54-$E53)*($E60-$E53),IF(AND($E60&gt;$E54,$E60&lt;=$E55),AG54+(AG55-AG54)/($E55-$E54)*($E60-$E54),IF(AND($E60&gt;$E55,$E60&lt;=$E56),AG55+(AG56-AG55)/($E56-$E55)*($E60-$E55),IF($E60&gt;$E56,AG56)))))</f>
        <v>#VALUE!</v>
      </c>
      <c r="AH60" s="1731" t="e">
        <f>+AG60/AF60</f>
        <v>#VALUE!</v>
      </c>
      <c r="AI60" s="1731" t="e">
        <f>+CONCATENATE(ROUND(AH60/(D60-C60),1)," : 1")</f>
        <v>#VALUE!</v>
      </c>
      <c r="AJ60" s="1729" t="e">
        <f>IF($E60&lt;=$E53,AJ53,IF(AND($E60&gt;$E53,$E60&lt;=$E54),AJ53+(AJ54-AJ53)/($E54-$E53)*($E60-$E53),IF(AND($E60&gt;$E54,$E60&lt;=$E55),AJ54+(AJ55-AJ54)/($E55-$E54)*($E60-$E54),IF(AND($E60&gt;$E55,$E60&lt;=$E56),AJ55+(AJ56-AJ55)/($E56-$E55)*($E60-$E55),IF($E60&gt;$E56,AJ56)))))</f>
        <v>#VALUE!</v>
      </c>
      <c r="AK60" s="1731" t="e">
        <f>+AJ60/2.291</f>
        <v>#VALUE!</v>
      </c>
      <c r="AL60" s="1729" t="e">
        <f>IF($E60&lt;=$E53,AL53,IF(AND($E60&gt;$E53,$E60&lt;=$E54),AL53+(AL54-AL53)/($E54-$E53)*($E60-$E53),IF(AND($E60&gt;$E54,$E60&lt;=$E55),AL54+(AL55-AL54)/($E55-$E54)*($E60-$E54),IF(AND($E60&gt;$E55,$E60&lt;=$E56),AL55+(AL56-AL55)/($E56-$E55)*($E60-$E55),IF($E60&gt;$E56,AL56)))))</f>
        <v>#VALUE!</v>
      </c>
      <c r="AM60" s="1731" t="e">
        <f>+AL60/2.291</f>
        <v>#VALUE!</v>
      </c>
      <c r="AN60" s="1729" t="e">
        <f>IF($E60&lt;=$E53,AN53,IF(AND($E60&gt;$E53,$E60&lt;=$E54),AN53+(AN54-AN53)/($E54-$E53)*($E60-$E53),IF(AND($E60&gt;$E54,$E60&lt;=$E55),AN54+(AN55-AN54)/($E55-$E54)*($E60-$E54),IF(AND($E60&gt;$E55,$E60&lt;=$E56),AN55+(AN56-AN55)/($E56-$E55)*($E60-$E55),IF($E60&gt;$E56,AN56)))))</f>
        <v>#VALUE!</v>
      </c>
      <c r="AO60" s="1731" t="e">
        <f>+AN60/2.291</f>
        <v>#VALUE!</v>
      </c>
      <c r="AR60" s="1733">
        <v>64</v>
      </c>
      <c r="AS60" s="1710">
        <f>IF(OR($C$12=$AR60,$D$12=$AR60),Schweine_Werte!$C60*0.5,IF(OR($C$12&gt;$AR60,$D$12&lt;$AR60),0,Schweine_Werte!$C60))</f>
        <v>0</v>
      </c>
      <c r="AT60" s="1713">
        <f>IF(OR($C$24=$AR60,$D$24=$AR60),Schweine_Werte!$C60*0.5,IF(OR($C$24&gt;$AR60,$D$24&lt;$AR60),0,Schweine_Werte!$C60))</f>
        <v>0</v>
      </c>
      <c r="AU60" s="1710">
        <f>IF(OR($C$36=$AR60,$D$36=$AR60),Schweine_Werte!$C60*0.5,IF(OR($C$36&gt;$AR60,$D$36&lt;$AR60),0,Schweine_Werte!$C60))</f>
        <v>0</v>
      </c>
      <c r="AV60" s="1710">
        <f>IF(OR($C$48=$AR60,$D$48=$AR60),Schweine_Werte!$C60*0.5,IF(OR($C$48&gt;$AR60,$D$48&lt;$AR60),0,Schweine_Werte!$C60))</f>
        <v>0</v>
      </c>
      <c r="AW60" s="1710">
        <f>IF(OR($C$60=$AR60,$D$60=$AR60),Schweine_Werte!$C60*0.5,IF(OR($C$60&gt;$AR60,$D$60&lt;$AR60),0,Schweine_Werte!$C60))</f>
        <v>0</v>
      </c>
      <c r="AX60" s="1710">
        <f>IF(OR($C$12=$AR60,$D$12=$AR60),Schweine_Werte!$E60*0.5,IF(OR($C$12&gt;$AR60,$D$12&lt;$AR60),0,Schweine_Werte!$E60))</f>
        <v>0</v>
      </c>
      <c r="AY60" s="1713">
        <f>IF(OR($C$24=$AR60,$D$24=$AR60),Schweine_Werte!$E60*0.5,IF(OR($C$24&gt;$AR60,$D$24&lt;$AR60),0,Schweine_Werte!$E60))</f>
        <v>0</v>
      </c>
      <c r="AZ60" s="1713">
        <f>IF(OR($C$36=$AR60,$D$36=$AR60),Schweine_Werte!$E60*0.5,IF(OR($C$36&gt;$AR60,$D$36&lt;$AR60),0,Schweine_Werte!$E60))</f>
        <v>0</v>
      </c>
      <c r="BA60" s="1713">
        <f>IF(OR($C$48=$AR60,$D$48=$AR60),Schweine_Werte!$E60*0.5,IF(OR($C$48&gt;$AR60,$D$48&lt;$AR60),0,Schweine_Werte!$E60))</f>
        <v>0</v>
      </c>
      <c r="BB60" s="1713">
        <f>IF(OR($C$60=$AR60,$D$60=$AR60),Schweine_Werte!$E60*0.5,IF(OR($C$60&gt;$AR60,$D$60&lt;$AR60),0,Schweine_Werte!$E60))</f>
        <v>0</v>
      </c>
      <c r="BC60" s="1710">
        <f>IF(OR($C$12=$AR60,$D$12=$AR60),Schweine_Werte!$G60*0.5,IF(OR($C$12&gt;$AR60,$D$12&lt;$AR60),0,Schweine_Werte!$G60))</f>
        <v>0</v>
      </c>
      <c r="BD60" s="1713">
        <f>IF(OR($C$24=$AR60,$D$24=$AR60),Schweine_Werte!$G60*0.5,IF(OR($C$24&gt;$AR60,$D$24&lt;$AR60),0,Schweine_Werte!$G60))</f>
        <v>0</v>
      </c>
      <c r="BE60" s="1713">
        <f>IF(OR($C$36=$AR60,$D$36=$AR60),Schweine_Werte!$G60*0.5,IF(OR($C$36&gt;$AR60,$D$36&lt;$AR60),0,Schweine_Werte!$G60))</f>
        <v>0</v>
      </c>
      <c r="BF60" s="1713">
        <f>IF(OR($C$48=$AR60,$D$48=$AR60),Schweine_Werte!$G60*0.5,IF(OR($C$48&gt;$AR60,$D$48&lt;$AR60),0,Schweine_Werte!$G60))</f>
        <v>0</v>
      </c>
      <c r="BG60" s="1713">
        <f>IF(OR($C$60=$AR60,$D$60=$AR60),Schweine_Werte!$G60*0.5,IF(OR($C$60&gt;$AR60,$D$60&lt;$AR60),0,Schweine_Werte!$G60))</f>
        <v>0</v>
      </c>
      <c r="BH60" s="1710">
        <f>IF(OR($C$12=$AR60,$D$12=$AR60),Schweine_Werte!$I60*0.5,IF(OR($C$12&gt;$AR60,$D$12&lt;$AR60),0,Schweine_Werte!$I60))</f>
        <v>0</v>
      </c>
      <c r="BI60" s="1713">
        <f>IF(OR($C$24=$AR60,$D$24=$AR60),Schweine_Werte!$I60*0.5,IF(OR($C$24&gt;$AR60,$D$24&lt;$AR60),0,Schweine_Werte!$I60))</f>
        <v>0</v>
      </c>
      <c r="BJ60" s="1713">
        <f>IF(OR($C$36=$AR60,$D$36=$AR60),Schweine_Werte!$I60*0.5,IF(OR($C$36&gt;$AR60,$D$36&lt;$AR60),0,Schweine_Werte!$I60))</f>
        <v>0</v>
      </c>
      <c r="BK60" s="1713">
        <f>IF(OR($C$48=$AR60,$D$48=$AR60),Schweine_Werte!$I60*0.5,IF(OR($C$48&gt;$AR60,$D$48&lt;$AR60),0,Schweine_Werte!$I60))</f>
        <v>0</v>
      </c>
      <c r="BL60" s="1713">
        <f>IF(OR($C$60=$AR60,$D$60=$AR60),Schweine_Werte!$I60*0.5,IF(OR($C$60&gt;$AR60,$D$60&lt;$AR60),0,Schweine_Werte!$I60))</f>
        <v>0</v>
      </c>
      <c r="BM60" s="1710">
        <f>IF(OR($C$12=$AR60,$D$12=$AR60),Schweine_Werte!$K60*0.5,IF(OR($C$12&gt;$AR60,$D$12&lt;$AR60),0,Schweine_Werte!$K60))</f>
        <v>0</v>
      </c>
      <c r="BN60" s="1713">
        <f>IF(OR($C$24=$AR60,$D$24=$AR60),Schweine_Werte!$K60*0.5,IF(OR($C$24&gt;$AR60,$D$24&lt;$AR60),0,Schweine_Werte!$K60))</f>
        <v>0</v>
      </c>
      <c r="BO60" s="1713">
        <f>IF(OR($C$36=$AR60,$D$36=$AR60),Schweine_Werte!$K60*0.5,IF(OR($C$36&gt;$AR60,$D$36&lt;$AR60),0,Schweine_Werte!$K60))</f>
        <v>0</v>
      </c>
      <c r="BP60" s="1713">
        <f>IF(OR($C$48=$AR60,$D$48=$AR60),Schweine_Werte!$K60*0.5,IF(OR($C$48&gt;$AR60,$D$48&lt;$AR60),0,Schweine_Werte!$K60))</f>
        <v>0</v>
      </c>
      <c r="BQ60" s="1713">
        <f>IF(OR($C$60=$AR60,$D$60=$AR60),Schweine_Werte!$K60*0.5,IF(OR($C$60&gt;$AR60,$D$60&lt;$AR60),0,Schweine_Werte!$K60))</f>
        <v>0</v>
      </c>
      <c r="BR60" s="1710">
        <f>IF(OR($C$74=$AR60,$D$74=$AR60),Schweine_Werte!$M60*0.5,IF(OR($C$74&gt;$AR60,$D$74&lt;$AR60),0,Schweine_Werte!$M60))</f>
        <v>0</v>
      </c>
      <c r="BS60" s="1710">
        <f>IF(OR($C$83=$AR60,$D$83=$AR60),Schweine_Werte!$M60*0.5,IF(OR($C$83&gt;$AR60,$D$83&lt;$AR60),0,Schweine_Werte!$M60))</f>
        <v>0</v>
      </c>
      <c r="BT60" s="1714">
        <f>IF(OR($C$92=$AR60,$D$92=$AR60),Schweine_Werte!$M60*0.5,IF(OR($C$92&gt;$AR60,$D$92&lt;$AR60),0,Schweine_Werte!$M60))</f>
        <v>0</v>
      </c>
      <c r="BU60" s="1714">
        <f>IF(OR($C$101=$AR60,$D$101=$AR60),Schweine_Werte!$M60*0.5,IF(OR($C$101&gt;$AR60,$D$101&lt;$AR60),0,Schweine_Werte!$M60))</f>
        <v>0</v>
      </c>
      <c r="BV60" s="1714">
        <f>IF(OR($C$110=$AR60,$D$110=$AR60),Schweine_Werte!$M60*0.5,IF(OR($C$110&gt;$AR60,$D$110&lt;$AR60),0,Schweine_Werte!$M60))</f>
        <v>0</v>
      </c>
      <c r="BW60" s="1714">
        <f>IF(OR(8=$AR60,$E$127=$AR60),Schweine_Werte!$M60*0.5,IF(OR(8&gt;$AR60,$E$127&lt;$AR60),0,Schweine_Werte!$M60))</f>
        <v>1.1177555614589696</v>
      </c>
      <c r="BX60" s="1714">
        <f>IF(OR(8=$AR60,$E$145=$AR60),Schweine_Werte!$M60*0.5,IF(OR(8&gt;$AR60,$E$145&lt;$AR60),0,Schweine_Werte!$M60))</f>
        <v>1.1177555614589696</v>
      </c>
      <c r="BY60" s="1710">
        <f>IF(OR($C$74=$AR60,$D$74=$AR60),Schweine_Werte!$O60*0.5,IF(OR($C$74&gt;$AR60,$D$74&lt;$AR60),0,Schweine_Werte!$O60))</f>
        <v>0</v>
      </c>
      <c r="BZ60" s="1710">
        <f>IF(OR($C$83=$AR60,$D$83=$AR60),Schweine_Werte!$O60*0.5,IF(OR($C$83&gt;$AR60,$D$83&lt;$AR60),0,Schweine_Werte!$O60))</f>
        <v>0</v>
      </c>
      <c r="CA60" s="1714">
        <f>IF(OR($C$92=$AR60,$D$92=$AR60),Schweine_Werte!$O60*0.5,IF(OR($C$92&gt;$AR60,$D$92&lt;$AR60),0,Schweine_Werte!$O60))</f>
        <v>0</v>
      </c>
      <c r="CB60" s="1714">
        <f>IF(OR($C$101=$AR60,$D$101=$AR60),Schweine_Werte!$O60*0.5,IF(OR($C$101&gt;$AR60,$D$101&lt;$AR60),0,Schweine_Werte!$O60))</f>
        <v>0</v>
      </c>
      <c r="CC60" s="1714">
        <f>IF(OR($C$110=$AR60,$D$110=$AR60),Schweine_Werte!$O60*0.5,IF(OR($C$110&gt;$AR60,$D$110&lt;$AR60),0,Schweine_Werte!$O60))</f>
        <v>0</v>
      </c>
    </row>
    <row r="61" spans="1:81" x14ac:dyDescent="0.25">
      <c r="AR61" s="1733">
        <v>65</v>
      </c>
      <c r="AS61" s="1710">
        <f>IF(OR($C$12=$AR61,$D$12=$AR61),Schweine_Werte!$C61*0.5,IF(OR($C$12&gt;$AR61,$D$12&lt;$AR61),0,Schweine_Werte!$C61))</f>
        <v>0</v>
      </c>
      <c r="AT61" s="1713">
        <f>IF(OR($C$24=$AR61,$D$24=$AR61),Schweine_Werte!$C61*0.5,IF(OR($C$24&gt;$AR61,$D$24&lt;$AR61),0,Schweine_Werte!$C61))</f>
        <v>0</v>
      </c>
      <c r="AU61" s="1710">
        <f>IF(OR($C$36=$AR61,$D$36=$AR61),Schweine_Werte!$C61*0.5,IF(OR($C$36&gt;$AR61,$D$36&lt;$AR61),0,Schweine_Werte!$C61))</f>
        <v>0</v>
      </c>
      <c r="AV61" s="1710">
        <f>IF(OR($C$48=$AR61,$D$48=$AR61),Schweine_Werte!$C61*0.5,IF(OR($C$48&gt;$AR61,$D$48&lt;$AR61),0,Schweine_Werte!$C61))</f>
        <v>0</v>
      </c>
      <c r="AW61" s="1710">
        <f>IF(OR($C$60=$AR61,$D$60=$AR61),Schweine_Werte!$C61*0.5,IF(OR($C$60&gt;$AR61,$D$60&lt;$AR61),0,Schweine_Werte!$C61))</f>
        <v>0</v>
      </c>
      <c r="AX61" s="1710">
        <f>IF(OR($C$12=$AR61,$D$12=$AR61),Schweine_Werte!$E61*0.5,IF(OR($C$12&gt;$AR61,$D$12&lt;$AR61),0,Schweine_Werte!$E61))</f>
        <v>0</v>
      </c>
      <c r="AY61" s="1713">
        <f>IF(OR($C$24=$AR61,$D$24=$AR61),Schweine_Werte!$E61*0.5,IF(OR($C$24&gt;$AR61,$D$24&lt;$AR61),0,Schweine_Werte!$E61))</f>
        <v>0</v>
      </c>
      <c r="AZ61" s="1713">
        <f>IF(OR($C$36=$AR61,$D$36=$AR61),Schweine_Werte!$E61*0.5,IF(OR($C$36&gt;$AR61,$D$36&lt;$AR61),0,Schweine_Werte!$E61))</f>
        <v>0</v>
      </c>
      <c r="BA61" s="1713">
        <f>IF(OR($C$48=$AR61,$D$48=$AR61),Schweine_Werte!$E61*0.5,IF(OR($C$48&gt;$AR61,$D$48&lt;$AR61),0,Schweine_Werte!$E61))</f>
        <v>0</v>
      </c>
      <c r="BB61" s="1713">
        <f>IF(OR($C$60=$AR61,$D$60=$AR61),Schweine_Werte!$E61*0.5,IF(OR($C$60&gt;$AR61,$D$60&lt;$AR61),0,Schweine_Werte!$E61))</f>
        <v>0</v>
      </c>
      <c r="BC61" s="1710">
        <f>IF(OR($C$12=$AR61,$D$12=$AR61),Schweine_Werte!$G61*0.5,IF(OR($C$12&gt;$AR61,$D$12&lt;$AR61),0,Schweine_Werte!$G61))</f>
        <v>0</v>
      </c>
      <c r="BD61" s="1713">
        <f>IF(OR($C$24=$AR61,$D$24=$AR61),Schweine_Werte!$G61*0.5,IF(OR($C$24&gt;$AR61,$D$24&lt;$AR61),0,Schweine_Werte!$G61))</f>
        <v>0</v>
      </c>
      <c r="BE61" s="1713">
        <f>IF(OR($C$36=$AR61,$D$36=$AR61),Schweine_Werte!$G61*0.5,IF(OR($C$36&gt;$AR61,$D$36&lt;$AR61),0,Schweine_Werte!$G61))</f>
        <v>0</v>
      </c>
      <c r="BF61" s="1713">
        <f>IF(OR($C$48=$AR61,$D$48=$AR61),Schweine_Werte!$G61*0.5,IF(OR($C$48&gt;$AR61,$D$48&lt;$AR61),0,Schweine_Werte!$G61))</f>
        <v>0</v>
      </c>
      <c r="BG61" s="1713">
        <f>IF(OR($C$60=$AR61,$D$60=$AR61),Schweine_Werte!$G61*0.5,IF(OR($C$60&gt;$AR61,$D$60&lt;$AR61),0,Schweine_Werte!$G61))</f>
        <v>0</v>
      </c>
      <c r="BH61" s="1710">
        <f>IF(OR($C$12=$AR61,$D$12=$AR61),Schweine_Werte!$I61*0.5,IF(OR($C$12&gt;$AR61,$D$12&lt;$AR61),0,Schweine_Werte!$I61))</f>
        <v>0</v>
      </c>
      <c r="BI61" s="1713">
        <f>IF(OR($C$24=$AR61,$D$24=$AR61),Schweine_Werte!$I61*0.5,IF(OR($C$24&gt;$AR61,$D$24&lt;$AR61),0,Schweine_Werte!$I61))</f>
        <v>0</v>
      </c>
      <c r="BJ61" s="1713">
        <f>IF(OR($C$36=$AR61,$D$36=$AR61),Schweine_Werte!$I61*0.5,IF(OR($C$36&gt;$AR61,$D$36&lt;$AR61),0,Schweine_Werte!$I61))</f>
        <v>0</v>
      </c>
      <c r="BK61" s="1713">
        <f>IF(OR($C$48=$AR61,$D$48=$AR61),Schweine_Werte!$I61*0.5,IF(OR($C$48&gt;$AR61,$D$48&lt;$AR61),0,Schweine_Werte!$I61))</f>
        <v>0</v>
      </c>
      <c r="BL61" s="1713">
        <f>IF(OR($C$60=$AR61,$D$60=$AR61),Schweine_Werte!$I61*0.5,IF(OR($C$60&gt;$AR61,$D$60&lt;$AR61),0,Schweine_Werte!$I61))</f>
        <v>0</v>
      </c>
      <c r="BM61" s="1710">
        <f>IF(OR($C$12=$AR61,$D$12=$AR61),Schweine_Werte!$K61*0.5,IF(OR($C$12&gt;$AR61,$D$12&lt;$AR61),0,Schweine_Werte!$K61))</f>
        <v>0</v>
      </c>
      <c r="BN61" s="1713">
        <f>IF(OR($C$24=$AR61,$D$24=$AR61),Schweine_Werte!$K61*0.5,IF(OR($C$24&gt;$AR61,$D$24&lt;$AR61),0,Schweine_Werte!$K61))</f>
        <v>0</v>
      </c>
      <c r="BO61" s="1713">
        <f>IF(OR($C$36=$AR61,$D$36=$AR61),Schweine_Werte!$K61*0.5,IF(OR($C$36&gt;$AR61,$D$36&lt;$AR61),0,Schweine_Werte!$K61))</f>
        <v>0</v>
      </c>
      <c r="BP61" s="1713">
        <f>IF(OR($C$48=$AR61,$D$48=$AR61),Schweine_Werte!$K61*0.5,IF(OR($C$48&gt;$AR61,$D$48&lt;$AR61),0,Schweine_Werte!$K61))</f>
        <v>0</v>
      </c>
      <c r="BQ61" s="1713">
        <f>IF(OR($C$60=$AR61,$D$60=$AR61),Schweine_Werte!$K61*0.5,IF(OR($C$60&gt;$AR61,$D$60&lt;$AR61),0,Schweine_Werte!$K61))</f>
        <v>0</v>
      </c>
      <c r="BR61" s="1710">
        <f>IF(OR($C$74=$AR61,$D$74=$AR61),Schweine_Werte!$M61*0.5,IF(OR($C$74&gt;$AR61,$D$74&lt;$AR61),0,Schweine_Werte!$M61))</f>
        <v>0</v>
      </c>
      <c r="BS61" s="1710">
        <f>IF(OR($C$83=$AR61,$D$83=$AR61),Schweine_Werte!$M61*0.5,IF(OR($C$83&gt;$AR61,$D$83&lt;$AR61),0,Schweine_Werte!$M61))</f>
        <v>0</v>
      </c>
      <c r="BT61" s="1714">
        <f>IF(OR($C$92=$AR61,$D$92=$AR61),Schweine_Werte!$M61*0.5,IF(OR($C$92&gt;$AR61,$D$92&lt;$AR61),0,Schweine_Werte!$M61))</f>
        <v>0</v>
      </c>
      <c r="BU61" s="1714">
        <f>IF(OR($C$101=$AR61,$D$101=$AR61),Schweine_Werte!$M61*0.5,IF(OR($C$101&gt;$AR61,$D$101&lt;$AR61),0,Schweine_Werte!$M61))</f>
        <v>0</v>
      </c>
      <c r="BV61" s="1714">
        <f>IF(OR($C$110=$AR61,$D$110=$AR61),Schweine_Werte!$M61*0.5,IF(OR($C$110&gt;$AR61,$D$110&lt;$AR61),0,Schweine_Werte!$M61))</f>
        <v>0</v>
      </c>
      <c r="BW61" s="1714">
        <f>IF(OR(8=$AR61,$E$127=$AR61),Schweine_Werte!$M61*0.5,IF(OR(8&gt;$AR61,$E$127&lt;$AR61),0,Schweine_Werte!$M61))</f>
        <v>1.1148053306975045</v>
      </c>
      <c r="BX61" s="1714">
        <f>IF(OR(8=$AR61,$E$145=$AR61),Schweine_Werte!$M61*0.5,IF(OR(8&gt;$AR61,$E$145&lt;$AR61),0,Schweine_Werte!$M61))</f>
        <v>1.1148053306975045</v>
      </c>
      <c r="BY61" s="1710">
        <f>IF(OR($C$74=$AR61,$D$74=$AR61),Schweine_Werte!$O61*0.5,IF(OR($C$74&gt;$AR61,$D$74&lt;$AR61),0,Schweine_Werte!$O61))</f>
        <v>0</v>
      </c>
      <c r="BZ61" s="1710">
        <f>IF(OR($C$83=$AR61,$D$83=$AR61),Schweine_Werte!$O61*0.5,IF(OR($C$83&gt;$AR61,$D$83&lt;$AR61),0,Schweine_Werte!$O61))</f>
        <v>0</v>
      </c>
      <c r="CA61" s="1714">
        <f>IF(OR($C$92=$AR61,$D$92=$AR61),Schweine_Werte!$O61*0.5,IF(OR($C$92&gt;$AR61,$D$92&lt;$AR61),0,Schweine_Werte!$O61))</f>
        <v>0</v>
      </c>
      <c r="CB61" s="1714">
        <f>IF(OR($C$101=$AR61,$D$101=$AR61),Schweine_Werte!$O61*0.5,IF(OR($C$101&gt;$AR61,$D$101&lt;$AR61),0,Schweine_Werte!$O61))</f>
        <v>0</v>
      </c>
      <c r="CC61" s="1714">
        <f>IF(OR($C$110=$AR61,$D$110=$AR61),Schweine_Werte!$O61*0.5,IF(OR($C$110&gt;$AR61,$D$110&lt;$AR61),0,Schweine_Werte!$O61))</f>
        <v>0</v>
      </c>
    </row>
    <row r="62" spans="1:81" x14ac:dyDescent="0.25">
      <c r="AR62" s="1733">
        <v>66</v>
      </c>
      <c r="AS62" s="1710">
        <f>IF(OR($C$12=$AR62,$D$12=$AR62),Schweine_Werte!$C62*0.5,IF(OR($C$12&gt;$AR62,$D$12&lt;$AR62),0,Schweine_Werte!$C62))</f>
        <v>0</v>
      </c>
      <c r="AT62" s="1713">
        <f>IF(OR($C$24=$AR62,$D$24=$AR62),Schweine_Werte!$C62*0.5,IF(OR($C$24&gt;$AR62,$D$24&lt;$AR62),0,Schweine_Werte!$C62))</f>
        <v>0</v>
      </c>
      <c r="AU62" s="1710">
        <f>IF(OR($C$36=$AR62,$D$36=$AR62),Schweine_Werte!$C62*0.5,IF(OR($C$36&gt;$AR62,$D$36&lt;$AR62),0,Schweine_Werte!$C62))</f>
        <v>0</v>
      </c>
      <c r="AV62" s="1710">
        <f>IF(OR($C$48=$AR62,$D$48=$AR62),Schweine_Werte!$C62*0.5,IF(OR($C$48&gt;$AR62,$D$48&lt;$AR62),0,Schweine_Werte!$C62))</f>
        <v>0</v>
      </c>
      <c r="AW62" s="1710">
        <f>IF(OR($C$60=$AR62,$D$60=$AR62),Schweine_Werte!$C62*0.5,IF(OR($C$60&gt;$AR62,$D$60&lt;$AR62),0,Schweine_Werte!$C62))</f>
        <v>0</v>
      </c>
      <c r="AX62" s="1710">
        <f>IF(OR($C$12=$AR62,$D$12=$AR62),Schweine_Werte!$E62*0.5,IF(OR($C$12&gt;$AR62,$D$12&lt;$AR62),0,Schweine_Werte!$E62))</f>
        <v>0</v>
      </c>
      <c r="AY62" s="1713">
        <f>IF(OR($C$24=$AR62,$D$24=$AR62),Schweine_Werte!$E62*0.5,IF(OR($C$24&gt;$AR62,$D$24&lt;$AR62),0,Schweine_Werte!$E62))</f>
        <v>0</v>
      </c>
      <c r="AZ62" s="1713">
        <f>IF(OR($C$36=$AR62,$D$36=$AR62),Schweine_Werte!$E62*0.5,IF(OR($C$36&gt;$AR62,$D$36&lt;$AR62),0,Schweine_Werte!$E62))</f>
        <v>0</v>
      </c>
      <c r="BA62" s="1713">
        <f>IF(OR($C$48=$AR62,$D$48=$AR62),Schweine_Werte!$E62*0.5,IF(OR($C$48&gt;$AR62,$D$48&lt;$AR62),0,Schweine_Werte!$E62))</f>
        <v>0</v>
      </c>
      <c r="BB62" s="1713">
        <f>IF(OR($C$60=$AR62,$D$60=$AR62),Schweine_Werte!$E62*0.5,IF(OR($C$60&gt;$AR62,$D$60&lt;$AR62),0,Schweine_Werte!$E62))</f>
        <v>0</v>
      </c>
      <c r="BC62" s="1710">
        <f>IF(OR($C$12=$AR62,$D$12=$AR62),Schweine_Werte!$G62*0.5,IF(OR($C$12&gt;$AR62,$D$12&lt;$AR62),0,Schweine_Werte!$G62))</f>
        <v>0</v>
      </c>
      <c r="BD62" s="1713">
        <f>IF(OR($C$24=$AR62,$D$24=$AR62),Schweine_Werte!$G62*0.5,IF(OR($C$24&gt;$AR62,$D$24&lt;$AR62),0,Schweine_Werte!$G62))</f>
        <v>0</v>
      </c>
      <c r="BE62" s="1713">
        <f>IF(OR($C$36=$AR62,$D$36=$AR62),Schweine_Werte!$G62*0.5,IF(OR($C$36&gt;$AR62,$D$36&lt;$AR62),0,Schweine_Werte!$G62))</f>
        <v>0</v>
      </c>
      <c r="BF62" s="1713">
        <f>IF(OR($C$48=$AR62,$D$48=$AR62),Schweine_Werte!$G62*0.5,IF(OR($C$48&gt;$AR62,$D$48&lt;$AR62),0,Schweine_Werte!$G62))</f>
        <v>0</v>
      </c>
      <c r="BG62" s="1713">
        <f>IF(OR($C$60=$AR62,$D$60=$AR62),Schweine_Werte!$G62*0.5,IF(OR($C$60&gt;$AR62,$D$60&lt;$AR62),0,Schweine_Werte!$G62))</f>
        <v>0</v>
      </c>
      <c r="BH62" s="1710">
        <f>IF(OR($C$12=$AR62,$D$12=$AR62),Schweine_Werte!$I62*0.5,IF(OR($C$12&gt;$AR62,$D$12&lt;$AR62),0,Schweine_Werte!$I62))</f>
        <v>0</v>
      </c>
      <c r="BI62" s="1713">
        <f>IF(OR($C$24=$AR62,$D$24=$AR62),Schweine_Werte!$I62*0.5,IF(OR($C$24&gt;$AR62,$D$24&lt;$AR62),0,Schweine_Werte!$I62))</f>
        <v>0</v>
      </c>
      <c r="BJ62" s="1713">
        <f>IF(OR($C$36=$AR62,$D$36=$AR62),Schweine_Werte!$I62*0.5,IF(OR($C$36&gt;$AR62,$D$36&lt;$AR62),0,Schweine_Werte!$I62))</f>
        <v>0</v>
      </c>
      <c r="BK62" s="1713">
        <f>IF(OR($C$48=$AR62,$D$48=$AR62),Schweine_Werte!$I62*0.5,IF(OR($C$48&gt;$AR62,$D$48&lt;$AR62),0,Schweine_Werte!$I62))</f>
        <v>0</v>
      </c>
      <c r="BL62" s="1713">
        <f>IF(OR($C$60=$AR62,$D$60=$AR62),Schweine_Werte!$I62*0.5,IF(OR($C$60&gt;$AR62,$D$60&lt;$AR62),0,Schweine_Werte!$I62))</f>
        <v>0</v>
      </c>
      <c r="BM62" s="1710">
        <f>IF(OR($C$12=$AR62,$D$12=$AR62),Schweine_Werte!$K62*0.5,IF(OR($C$12&gt;$AR62,$D$12&lt;$AR62),0,Schweine_Werte!$K62))</f>
        <v>0</v>
      </c>
      <c r="BN62" s="1713">
        <f>IF(OR($C$24=$AR62,$D$24=$AR62),Schweine_Werte!$K62*0.5,IF(OR($C$24&gt;$AR62,$D$24&lt;$AR62),0,Schweine_Werte!$K62))</f>
        <v>0</v>
      </c>
      <c r="BO62" s="1713">
        <f>IF(OR($C$36=$AR62,$D$36=$AR62),Schweine_Werte!$K62*0.5,IF(OR($C$36&gt;$AR62,$D$36&lt;$AR62),0,Schweine_Werte!$K62))</f>
        <v>0</v>
      </c>
      <c r="BP62" s="1713">
        <f>IF(OR($C$48=$AR62,$D$48=$AR62),Schweine_Werte!$K62*0.5,IF(OR($C$48&gt;$AR62,$D$48&lt;$AR62),0,Schweine_Werte!$K62))</f>
        <v>0</v>
      </c>
      <c r="BQ62" s="1713">
        <f>IF(OR($C$60=$AR62,$D$60=$AR62),Schweine_Werte!$K62*0.5,IF(OR($C$60&gt;$AR62,$D$60&lt;$AR62),0,Schweine_Werte!$K62))</f>
        <v>0</v>
      </c>
      <c r="BR62" s="1710">
        <f>IF(OR($C$74=$AR62,$D$74=$AR62),Schweine_Werte!$M62*0.5,IF(OR($C$74&gt;$AR62,$D$74&lt;$AR62),0,Schweine_Werte!$M62))</f>
        <v>0</v>
      </c>
      <c r="BS62" s="1710">
        <f>IF(OR($C$83=$AR62,$D$83=$AR62),Schweine_Werte!$M62*0.5,IF(OR($C$83&gt;$AR62,$D$83&lt;$AR62),0,Schweine_Werte!$M62))</f>
        <v>0</v>
      </c>
      <c r="BT62" s="1714">
        <f>IF(OR($C$92=$AR62,$D$92=$AR62),Schweine_Werte!$M62*0.5,IF(OR($C$92&gt;$AR62,$D$92&lt;$AR62),0,Schweine_Werte!$M62))</f>
        <v>0</v>
      </c>
      <c r="BU62" s="1714">
        <f>IF(OR($C$101=$AR62,$D$101=$AR62),Schweine_Werte!$M62*0.5,IF(OR($C$101&gt;$AR62,$D$101&lt;$AR62),0,Schweine_Werte!$M62))</f>
        <v>0</v>
      </c>
      <c r="BV62" s="1714">
        <f>IF(OR($C$110=$AR62,$D$110=$AR62),Schweine_Werte!$M62*0.5,IF(OR($C$110&gt;$AR62,$D$110&lt;$AR62),0,Schweine_Werte!$M62))</f>
        <v>0</v>
      </c>
      <c r="BW62" s="1714">
        <f>IF(OR(8=$AR62,$E$127=$AR62),Schweine_Werte!$M62*0.5,IF(OR(8&gt;$AR62,$E$127&lt;$AR62),0,Schweine_Werte!$M62))</f>
        <v>1.1122375143918541</v>
      </c>
      <c r="BX62" s="1714">
        <f>IF(OR(8=$AR62,$E$145=$AR62),Schweine_Werte!$M62*0.5,IF(OR(8&gt;$AR62,$E$145&lt;$AR62),0,Schweine_Werte!$M62))</f>
        <v>1.1122375143918541</v>
      </c>
      <c r="BY62" s="1710">
        <f>IF(OR($C$74=$AR62,$D$74=$AR62),Schweine_Werte!$O62*0.5,IF(OR($C$74&gt;$AR62,$D$74&lt;$AR62),0,Schweine_Werte!$O62))</f>
        <v>0</v>
      </c>
      <c r="BZ62" s="1710">
        <f>IF(OR($C$83=$AR62,$D$83=$AR62),Schweine_Werte!$O62*0.5,IF(OR($C$83&gt;$AR62,$D$83&lt;$AR62),0,Schweine_Werte!$O62))</f>
        <v>0</v>
      </c>
      <c r="CA62" s="1714">
        <f>IF(OR($C$92=$AR62,$D$92=$AR62),Schweine_Werte!$O62*0.5,IF(OR($C$92&gt;$AR62,$D$92&lt;$AR62),0,Schweine_Werte!$O62))</f>
        <v>0</v>
      </c>
      <c r="CB62" s="1714">
        <f>IF(OR($C$101=$AR62,$D$101=$AR62),Schweine_Werte!$O62*0.5,IF(OR($C$101&gt;$AR62,$D$101&lt;$AR62),0,Schweine_Werte!$O62))</f>
        <v>0</v>
      </c>
      <c r="CC62" s="1714">
        <f>IF(OR($C$110=$AR62,$D$110=$AR62),Schweine_Werte!$O62*0.5,IF(OR($C$110&gt;$AR62,$D$110&lt;$AR62),0,Schweine_Werte!$O62))</f>
        <v>0</v>
      </c>
    </row>
    <row r="63" spans="1:81" x14ac:dyDescent="0.25">
      <c r="AR63" s="1733">
        <v>67</v>
      </c>
      <c r="AS63" s="1710">
        <f>IF(OR($C$12=$AR63,$D$12=$AR63),Schweine_Werte!$C63*0.5,IF(OR($C$12&gt;$AR63,$D$12&lt;$AR63),0,Schweine_Werte!$C63))</f>
        <v>0</v>
      </c>
      <c r="AT63" s="1713">
        <f>IF(OR($C$24=$AR63,$D$24=$AR63),Schweine_Werte!$C63*0.5,IF(OR($C$24&gt;$AR63,$D$24&lt;$AR63),0,Schweine_Werte!$C63))</f>
        <v>0</v>
      </c>
      <c r="AU63" s="1710">
        <f>IF(OR($C$36=$AR63,$D$36=$AR63),Schweine_Werte!$C63*0.5,IF(OR($C$36&gt;$AR63,$D$36&lt;$AR63),0,Schweine_Werte!$C63))</f>
        <v>0</v>
      </c>
      <c r="AV63" s="1710">
        <f>IF(OR($C$48=$AR63,$D$48=$AR63),Schweine_Werte!$C63*0.5,IF(OR($C$48&gt;$AR63,$D$48&lt;$AR63),0,Schweine_Werte!$C63))</f>
        <v>0</v>
      </c>
      <c r="AW63" s="1710">
        <f>IF(OR($C$60=$AR63,$D$60=$AR63),Schweine_Werte!$C63*0.5,IF(OR($C$60&gt;$AR63,$D$60&lt;$AR63),0,Schweine_Werte!$C63))</f>
        <v>0</v>
      </c>
      <c r="AX63" s="1710">
        <f>IF(OR($C$12=$AR63,$D$12=$AR63),Schweine_Werte!$E63*0.5,IF(OR($C$12&gt;$AR63,$D$12&lt;$AR63),0,Schweine_Werte!$E63))</f>
        <v>0</v>
      </c>
      <c r="AY63" s="1713">
        <f>IF(OR($C$24=$AR63,$D$24=$AR63),Schweine_Werte!$E63*0.5,IF(OR($C$24&gt;$AR63,$D$24&lt;$AR63),0,Schweine_Werte!$E63))</f>
        <v>0</v>
      </c>
      <c r="AZ63" s="1713">
        <f>IF(OR($C$36=$AR63,$D$36=$AR63),Schweine_Werte!$E63*0.5,IF(OR($C$36&gt;$AR63,$D$36&lt;$AR63),0,Schweine_Werte!$E63))</f>
        <v>0</v>
      </c>
      <c r="BA63" s="1713">
        <f>IF(OR($C$48=$AR63,$D$48=$AR63),Schweine_Werte!$E63*0.5,IF(OR($C$48&gt;$AR63,$D$48&lt;$AR63),0,Schweine_Werte!$E63))</f>
        <v>0</v>
      </c>
      <c r="BB63" s="1713">
        <f>IF(OR($C$60=$AR63,$D$60=$AR63),Schweine_Werte!$E63*0.5,IF(OR($C$60&gt;$AR63,$D$60&lt;$AR63),0,Schweine_Werte!$E63))</f>
        <v>0</v>
      </c>
      <c r="BC63" s="1710">
        <f>IF(OR($C$12=$AR63,$D$12=$AR63),Schweine_Werte!$G63*0.5,IF(OR($C$12&gt;$AR63,$D$12&lt;$AR63),0,Schweine_Werte!$G63))</f>
        <v>0</v>
      </c>
      <c r="BD63" s="1713">
        <f>IF(OR($C$24=$AR63,$D$24=$AR63),Schweine_Werte!$G63*0.5,IF(OR($C$24&gt;$AR63,$D$24&lt;$AR63),0,Schweine_Werte!$G63))</f>
        <v>0</v>
      </c>
      <c r="BE63" s="1713">
        <f>IF(OR($C$36=$AR63,$D$36=$AR63),Schweine_Werte!$G63*0.5,IF(OR($C$36&gt;$AR63,$D$36&lt;$AR63),0,Schweine_Werte!$G63))</f>
        <v>0</v>
      </c>
      <c r="BF63" s="1713">
        <f>IF(OR($C$48=$AR63,$D$48=$AR63),Schweine_Werte!$G63*0.5,IF(OR($C$48&gt;$AR63,$D$48&lt;$AR63),0,Schweine_Werte!$G63))</f>
        <v>0</v>
      </c>
      <c r="BG63" s="1713">
        <f>IF(OR($C$60=$AR63,$D$60=$AR63),Schweine_Werte!$G63*0.5,IF(OR($C$60&gt;$AR63,$D$60&lt;$AR63),0,Schweine_Werte!$G63))</f>
        <v>0</v>
      </c>
      <c r="BH63" s="1710">
        <f>IF(OR($C$12=$AR63,$D$12=$AR63),Schweine_Werte!$I63*0.5,IF(OR($C$12&gt;$AR63,$D$12&lt;$AR63),0,Schweine_Werte!$I63))</f>
        <v>0</v>
      </c>
      <c r="BI63" s="1713">
        <f>IF(OR($C$24=$AR63,$D$24=$AR63),Schweine_Werte!$I63*0.5,IF(OR($C$24&gt;$AR63,$D$24&lt;$AR63),0,Schweine_Werte!$I63))</f>
        <v>0</v>
      </c>
      <c r="BJ63" s="1713">
        <f>IF(OR($C$36=$AR63,$D$36=$AR63),Schweine_Werte!$I63*0.5,IF(OR($C$36&gt;$AR63,$D$36&lt;$AR63),0,Schweine_Werte!$I63))</f>
        <v>0</v>
      </c>
      <c r="BK63" s="1713">
        <f>IF(OR($C$48=$AR63,$D$48=$AR63),Schweine_Werte!$I63*0.5,IF(OR($C$48&gt;$AR63,$D$48&lt;$AR63),0,Schweine_Werte!$I63))</f>
        <v>0</v>
      </c>
      <c r="BL63" s="1713">
        <f>IF(OR($C$60=$AR63,$D$60=$AR63),Schweine_Werte!$I63*0.5,IF(OR($C$60&gt;$AR63,$D$60&lt;$AR63),0,Schweine_Werte!$I63))</f>
        <v>0</v>
      </c>
      <c r="BM63" s="1710">
        <f>IF(OR($C$12=$AR63,$D$12=$AR63),Schweine_Werte!$K63*0.5,IF(OR($C$12&gt;$AR63,$D$12&lt;$AR63),0,Schweine_Werte!$K63))</f>
        <v>0</v>
      </c>
      <c r="BN63" s="1713">
        <f>IF(OR($C$24=$AR63,$D$24=$AR63),Schweine_Werte!$K63*0.5,IF(OR($C$24&gt;$AR63,$D$24&lt;$AR63),0,Schweine_Werte!$K63))</f>
        <v>0</v>
      </c>
      <c r="BO63" s="1713">
        <f>IF(OR($C$36=$AR63,$D$36=$AR63),Schweine_Werte!$K63*0.5,IF(OR($C$36&gt;$AR63,$D$36&lt;$AR63),0,Schweine_Werte!$K63))</f>
        <v>0</v>
      </c>
      <c r="BP63" s="1713">
        <f>IF(OR($C$48=$AR63,$D$48=$AR63),Schweine_Werte!$K63*0.5,IF(OR($C$48&gt;$AR63,$D$48&lt;$AR63),0,Schweine_Werte!$K63))</f>
        <v>0</v>
      </c>
      <c r="BQ63" s="1713">
        <f>IF(OR($C$60=$AR63,$D$60=$AR63),Schweine_Werte!$K63*0.5,IF(OR($C$60&gt;$AR63,$D$60&lt;$AR63),0,Schweine_Werte!$K63))</f>
        <v>0</v>
      </c>
      <c r="BR63" s="1710">
        <f>IF(OR($C$74=$AR63,$D$74=$AR63),Schweine_Werte!$M63*0.5,IF(OR($C$74&gt;$AR63,$D$74&lt;$AR63),0,Schweine_Werte!$M63))</f>
        <v>0</v>
      </c>
      <c r="BS63" s="1710">
        <f>IF(OR($C$83=$AR63,$D$83=$AR63),Schweine_Werte!$M63*0.5,IF(OR($C$83&gt;$AR63,$D$83&lt;$AR63),0,Schweine_Werte!$M63))</f>
        <v>0</v>
      </c>
      <c r="BT63" s="1714">
        <f>IF(OR($C$92=$AR63,$D$92=$AR63),Schweine_Werte!$M63*0.5,IF(OR($C$92&gt;$AR63,$D$92&lt;$AR63),0,Schweine_Werte!$M63))</f>
        <v>0</v>
      </c>
      <c r="BU63" s="1714">
        <f>IF(OR($C$101=$AR63,$D$101=$AR63),Schweine_Werte!$M63*0.5,IF(OR($C$101&gt;$AR63,$D$101&lt;$AR63),0,Schweine_Werte!$M63))</f>
        <v>0</v>
      </c>
      <c r="BV63" s="1714">
        <f>IF(OR($C$110=$AR63,$D$110=$AR63),Schweine_Werte!$M63*0.5,IF(OR($C$110&gt;$AR63,$D$110&lt;$AR63),0,Schweine_Werte!$M63))</f>
        <v>0</v>
      </c>
      <c r="BW63" s="1714">
        <f>IF(OR(8=$AR63,$E$127=$AR63),Schweine_Werte!$M63*0.5,IF(OR(8&gt;$AR63,$E$127&lt;$AR63),0,Schweine_Werte!$M63))</f>
        <v>1.1100470401249107</v>
      </c>
      <c r="BX63" s="1714">
        <f>IF(OR(8=$AR63,$E$145=$AR63),Schweine_Werte!$M63*0.5,IF(OR(8&gt;$AR63,$E$145&lt;$AR63),0,Schweine_Werte!$M63))</f>
        <v>1.1100470401249107</v>
      </c>
      <c r="BY63" s="1710">
        <f>IF(OR($C$74=$AR63,$D$74=$AR63),Schweine_Werte!$O63*0.5,IF(OR($C$74&gt;$AR63,$D$74&lt;$AR63),0,Schweine_Werte!$O63))</f>
        <v>0</v>
      </c>
      <c r="BZ63" s="1710">
        <f>IF(OR($C$83=$AR63,$D$83=$AR63),Schweine_Werte!$O63*0.5,IF(OR($C$83&gt;$AR63,$D$83&lt;$AR63),0,Schweine_Werte!$O63))</f>
        <v>0</v>
      </c>
      <c r="CA63" s="1714">
        <f>IF(OR($C$92=$AR63,$D$92=$AR63),Schweine_Werte!$O63*0.5,IF(OR($C$92&gt;$AR63,$D$92&lt;$AR63),0,Schweine_Werte!$O63))</f>
        <v>0</v>
      </c>
      <c r="CB63" s="1714">
        <f>IF(OR($C$101=$AR63,$D$101=$AR63),Schweine_Werte!$O63*0.5,IF(OR($C$101&gt;$AR63,$D$101&lt;$AR63),0,Schweine_Werte!$O63))</f>
        <v>0</v>
      </c>
      <c r="CC63" s="1714">
        <f>IF(OR($C$110=$AR63,$D$110=$AR63),Schweine_Werte!$O63*0.5,IF(OR($C$110&gt;$AR63,$D$110&lt;$AR63),0,Schweine_Werte!$O63))</f>
        <v>0</v>
      </c>
    </row>
    <row r="64" spans="1:81" x14ac:dyDescent="0.25">
      <c r="AR64" s="1733">
        <v>68</v>
      </c>
      <c r="AS64" s="1710">
        <f>IF(OR($C$12=$AR64,$D$12=$AR64),Schweine_Werte!$C64*0.5,IF(OR($C$12&gt;$AR64,$D$12&lt;$AR64),0,Schweine_Werte!$C64))</f>
        <v>0</v>
      </c>
      <c r="AT64" s="1713">
        <f>IF(OR($C$24=$AR64,$D$24=$AR64),Schweine_Werte!$C64*0.5,IF(OR($C$24&gt;$AR64,$D$24&lt;$AR64),0,Schweine_Werte!$C64))</f>
        <v>0</v>
      </c>
      <c r="AU64" s="1710">
        <f>IF(OR($C$36=$AR64,$D$36=$AR64),Schweine_Werte!$C64*0.5,IF(OR($C$36&gt;$AR64,$D$36&lt;$AR64),0,Schweine_Werte!$C64))</f>
        <v>0</v>
      </c>
      <c r="AV64" s="1710">
        <f>IF(OR($C$48=$AR64,$D$48=$AR64),Schweine_Werte!$C64*0.5,IF(OR($C$48&gt;$AR64,$D$48&lt;$AR64),0,Schweine_Werte!$C64))</f>
        <v>0</v>
      </c>
      <c r="AW64" s="1710">
        <f>IF(OR($C$60=$AR64,$D$60=$AR64),Schweine_Werte!$C64*0.5,IF(OR($C$60&gt;$AR64,$D$60&lt;$AR64),0,Schweine_Werte!$C64))</f>
        <v>0</v>
      </c>
      <c r="AX64" s="1710">
        <f>IF(OR($C$12=$AR64,$D$12=$AR64),Schweine_Werte!$E64*0.5,IF(OR($C$12&gt;$AR64,$D$12&lt;$AR64),0,Schweine_Werte!$E64))</f>
        <v>0</v>
      </c>
      <c r="AY64" s="1713">
        <f>IF(OR($C$24=$AR64,$D$24=$AR64),Schweine_Werte!$E64*0.5,IF(OR($C$24&gt;$AR64,$D$24&lt;$AR64),0,Schweine_Werte!$E64))</f>
        <v>0</v>
      </c>
      <c r="AZ64" s="1713">
        <f>IF(OR($C$36=$AR64,$D$36=$AR64),Schweine_Werte!$E64*0.5,IF(OR($C$36&gt;$AR64,$D$36&lt;$AR64),0,Schweine_Werte!$E64))</f>
        <v>0</v>
      </c>
      <c r="BA64" s="1713">
        <f>IF(OR($C$48=$AR64,$D$48=$AR64),Schweine_Werte!$E64*0.5,IF(OR($C$48&gt;$AR64,$D$48&lt;$AR64),0,Schweine_Werte!$E64))</f>
        <v>0</v>
      </c>
      <c r="BB64" s="1713">
        <f>IF(OR($C$60=$AR64,$D$60=$AR64),Schweine_Werte!$E64*0.5,IF(OR($C$60&gt;$AR64,$D$60&lt;$AR64),0,Schweine_Werte!$E64))</f>
        <v>0</v>
      </c>
      <c r="BC64" s="1710">
        <f>IF(OR($C$12=$AR64,$D$12=$AR64),Schweine_Werte!$G64*0.5,IF(OR($C$12&gt;$AR64,$D$12&lt;$AR64),0,Schweine_Werte!$G64))</f>
        <v>0</v>
      </c>
      <c r="BD64" s="1713">
        <f>IF(OR($C$24=$AR64,$D$24=$AR64),Schweine_Werte!$G64*0.5,IF(OR($C$24&gt;$AR64,$D$24&lt;$AR64),0,Schweine_Werte!$G64))</f>
        <v>0</v>
      </c>
      <c r="BE64" s="1713">
        <f>IF(OR($C$36=$AR64,$D$36=$AR64),Schweine_Werte!$G64*0.5,IF(OR($C$36&gt;$AR64,$D$36&lt;$AR64),0,Schweine_Werte!$G64))</f>
        <v>0</v>
      </c>
      <c r="BF64" s="1713">
        <f>IF(OR($C$48=$AR64,$D$48=$AR64),Schweine_Werte!$G64*0.5,IF(OR($C$48&gt;$AR64,$D$48&lt;$AR64),0,Schweine_Werte!$G64))</f>
        <v>0</v>
      </c>
      <c r="BG64" s="1713">
        <f>IF(OR($C$60=$AR64,$D$60=$AR64),Schweine_Werte!$G64*0.5,IF(OR($C$60&gt;$AR64,$D$60&lt;$AR64),0,Schweine_Werte!$G64))</f>
        <v>0</v>
      </c>
      <c r="BH64" s="1710">
        <f>IF(OR($C$12=$AR64,$D$12=$AR64),Schweine_Werte!$I64*0.5,IF(OR($C$12&gt;$AR64,$D$12&lt;$AR64),0,Schweine_Werte!$I64))</f>
        <v>0</v>
      </c>
      <c r="BI64" s="1713">
        <f>IF(OR($C$24=$AR64,$D$24=$AR64),Schweine_Werte!$I64*0.5,IF(OR($C$24&gt;$AR64,$D$24&lt;$AR64),0,Schweine_Werte!$I64))</f>
        <v>0</v>
      </c>
      <c r="BJ64" s="1713">
        <f>IF(OR($C$36=$AR64,$D$36=$AR64),Schweine_Werte!$I64*0.5,IF(OR($C$36&gt;$AR64,$D$36&lt;$AR64),0,Schweine_Werte!$I64))</f>
        <v>0</v>
      </c>
      <c r="BK64" s="1713">
        <f>IF(OR($C$48=$AR64,$D$48=$AR64),Schweine_Werte!$I64*0.5,IF(OR($C$48&gt;$AR64,$D$48&lt;$AR64),0,Schweine_Werte!$I64))</f>
        <v>0</v>
      </c>
      <c r="BL64" s="1713">
        <f>IF(OR($C$60=$AR64,$D$60=$AR64),Schweine_Werte!$I64*0.5,IF(OR($C$60&gt;$AR64,$D$60&lt;$AR64),0,Schweine_Werte!$I64))</f>
        <v>0</v>
      </c>
      <c r="BM64" s="1710">
        <f>IF(OR($C$12=$AR64,$D$12=$AR64),Schweine_Werte!$K64*0.5,IF(OR($C$12&gt;$AR64,$D$12&lt;$AR64),0,Schweine_Werte!$K64))</f>
        <v>0</v>
      </c>
      <c r="BN64" s="1713">
        <f>IF(OR($C$24=$AR64,$D$24=$AR64),Schweine_Werte!$K64*0.5,IF(OR($C$24&gt;$AR64,$D$24&lt;$AR64),0,Schweine_Werte!$K64))</f>
        <v>0</v>
      </c>
      <c r="BO64" s="1713">
        <f>IF(OR($C$36=$AR64,$D$36=$AR64),Schweine_Werte!$K64*0.5,IF(OR($C$36&gt;$AR64,$D$36&lt;$AR64),0,Schweine_Werte!$K64))</f>
        <v>0</v>
      </c>
      <c r="BP64" s="1713">
        <f>IF(OR($C$48=$AR64,$D$48=$AR64),Schweine_Werte!$K64*0.5,IF(OR($C$48&gt;$AR64,$D$48&lt;$AR64),0,Schweine_Werte!$K64))</f>
        <v>0</v>
      </c>
      <c r="BQ64" s="1713">
        <f>IF(OR($C$60=$AR64,$D$60=$AR64),Schweine_Werte!$K64*0.5,IF(OR($C$60&gt;$AR64,$D$60&lt;$AR64),0,Schweine_Werte!$K64))</f>
        <v>0</v>
      </c>
      <c r="BR64" s="1710">
        <f>IF(OR($C$74=$AR64,$D$74=$AR64),Schweine_Werte!$M64*0.5,IF(OR($C$74&gt;$AR64,$D$74&lt;$AR64),0,Schweine_Werte!$M64))</f>
        <v>0</v>
      </c>
      <c r="BS64" s="1710">
        <f>IF(OR($C$83=$AR64,$D$83=$AR64),Schweine_Werte!$M64*0.5,IF(OR($C$83&gt;$AR64,$D$83&lt;$AR64),0,Schweine_Werte!$M64))</f>
        <v>0</v>
      </c>
      <c r="BT64" s="1714">
        <f>IF(OR($C$92=$AR64,$D$92=$AR64),Schweine_Werte!$M64*0.5,IF(OR($C$92&gt;$AR64,$D$92&lt;$AR64),0,Schweine_Werte!$M64))</f>
        <v>0</v>
      </c>
      <c r="BU64" s="1714">
        <f>IF(OR($C$101=$AR64,$D$101=$AR64),Schweine_Werte!$M64*0.5,IF(OR($C$101&gt;$AR64,$D$101&lt;$AR64),0,Schweine_Werte!$M64))</f>
        <v>0</v>
      </c>
      <c r="BV64" s="1714">
        <f>IF(OR($C$110=$AR64,$D$110=$AR64),Schweine_Werte!$M64*0.5,IF(OR($C$110&gt;$AR64,$D$110&lt;$AR64),0,Schweine_Werte!$M64))</f>
        <v>0</v>
      </c>
      <c r="BW64" s="1714">
        <f>IF(OR(8=$AR64,$E$127=$AR64),Schweine_Werte!$M64*0.5,IF(OR(8&gt;$AR64,$E$127&lt;$AR64),0,Schweine_Werte!$M64))</f>
        <v>1.1082296078893841</v>
      </c>
      <c r="BX64" s="1714">
        <f>IF(OR(8=$AR64,$E$145=$AR64),Schweine_Werte!$M64*0.5,IF(OR(8&gt;$AR64,$E$145&lt;$AR64),0,Schweine_Werte!$M64))</f>
        <v>1.1082296078893841</v>
      </c>
      <c r="BY64" s="1710">
        <f>IF(OR($C$74=$AR64,$D$74=$AR64),Schweine_Werte!$O64*0.5,IF(OR($C$74&gt;$AR64,$D$74&lt;$AR64),0,Schweine_Werte!$O64))</f>
        <v>0</v>
      </c>
      <c r="BZ64" s="1710">
        <f>IF(OR($C$83=$AR64,$D$83=$AR64),Schweine_Werte!$O64*0.5,IF(OR($C$83&gt;$AR64,$D$83&lt;$AR64),0,Schweine_Werte!$O64))</f>
        <v>0</v>
      </c>
      <c r="CA64" s="1714">
        <f>IF(OR($C$92=$AR64,$D$92=$AR64),Schweine_Werte!$O64*0.5,IF(OR($C$92&gt;$AR64,$D$92&lt;$AR64),0,Schweine_Werte!$O64))</f>
        <v>0</v>
      </c>
      <c r="CB64" s="1714">
        <f>IF(OR($C$101=$AR64,$D$101=$AR64),Schweine_Werte!$O64*0.5,IF(OR($C$101&gt;$AR64,$D$101&lt;$AR64),0,Schweine_Werte!$O64))</f>
        <v>0</v>
      </c>
      <c r="CC64" s="1714">
        <f>IF(OR($C$110=$AR64,$D$110=$AR64),Schweine_Werte!$O64*0.5,IF(OR($C$110&gt;$AR64,$D$110&lt;$AR64),0,Schweine_Werte!$O64))</f>
        <v>0</v>
      </c>
    </row>
    <row r="65" spans="1:81" ht="18.75" x14ac:dyDescent="0.3">
      <c r="B65" s="1701" t="s">
        <v>8612</v>
      </c>
      <c r="C65" s="1702"/>
      <c r="D65" s="1702"/>
      <c r="E65" s="1702"/>
      <c r="F65" s="1702"/>
      <c r="G65" s="1702"/>
      <c r="H65" s="1703"/>
      <c r="I65" s="1698"/>
      <c r="AR65" s="1733">
        <v>69</v>
      </c>
      <c r="AS65" s="1710">
        <f>IF(OR($C$12=$AR65,$D$12=$AR65),Schweine_Werte!$C65*0.5,IF(OR($C$12&gt;$AR65,$D$12&lt;$AR65),0,Schweine_Werte!$C65))</f>
        <v>0</v>
      </c>
      <c r="AT65" s="1713">
        <f>IF(OR($C$24=$AR65,$D$24=$AR65),Schweine_Werte!$C65*0.5,IF(OR($C$24&gt;$AR65,$D$24&lt;$AR65),0,Schweine_Werte!$C65))</f>
        <v>0</v>
      </c>
      <c r="AU65" s="1710">
        <f>IF(OR($C$36=$AR65,$D$36=$AR65),Schweine_Werte!$C65*0.5,IF(OR($C$36&gt;$AR65,$D$36&lt;$AR65),0,Schweine_Werte!$C65))</f>
        <v>0</v>
      </c>
      <c r="AV65" s="1710">
        <f>IF(OR($C$48=$AR65,$D$48=$AR65),Schweine_Werte!$C65*0.5,IF(OR($C$48&gt;$AR65,$D$48&lt;$AR65),0,Schweine_Werte!$C65))</f>
        <v>0</v>
      </c>
      <c r="AW65" s="1710">
        <f>IF(OR($C$60=$AR65,$D$60=$AR65),Schweine_Werte!$C65*0.5,IF(OR($C$60&gt;$AR65,$D$60&lt;$AR65),0,Schweine_Werte!$C65))</f>
        <v>0</v>
      </c>
      <c r="AX65" s="1710">
        <f>IF(OR($C$12=$AR65,$D$12=$AR65),Schweine_Werte!$E65*0.5,IF(OR($C$12&gt;$AR65,$D$12&lt;$AR65),0,Schweine_Werte!$E65))</f>
        <v>0</v>
      </c>
      <c r="AY65" s="1713">
        <f>IF(OR($C$24=$AR65,$D$24=$AR65),Schweine_Werte!$E65*0.5,IF(OR($C$24&gt;$AR65,$D$24&lt;$AR65),0,Schweine_Werte!$E65))</f>
        <v>0</v>
      </c>
      <c r="AZ65" s="1713">
        <f>IF(OR($C$36=$AR65,$D$36=$AR65),Schweine_Werte!$E65*0.5,IF(OR($C$36&gt;$AR65,$D$36&lt;$AR65),0,Schweine_Werte!$E65))</f>
        <v>0</v>
      </c>
      <c r="BA65" s="1713">
        <f>IF(OR($C$48=$AR65,$D$48=$AR65),Schweine_Werte!$E65*0.5,IF(OR($C$48&gt;$AR65,$D$48&lt;$AR65),0,Schweine_Werte!$E65))</f>
        <v>0</v>
      </c>
      <c r="BB65" s="1713">
        <f>IF(OR($C$60=$AR65,$D$60=$AR65),Schweine_Werte!$E65*0.5,IF(OR($C$60&gt;$AR65,$D$60&lt;$AR65),0,Schweine_Werte!$E65))</f>
        <v>0</v>
      </c>
      <c r="BC65" s="1710">
        <f>IF(OR($C$12=$AR65,$D$12=$AR65),Schweine_Werte!$G65*0.5,IF(OR($C$12&gt;$AR65,$D$12&lt;$AR65),0,Schweine_Werte!$G65))</f>
        <v>0</v>
      </c>
      <c r="BD65" s="1713">
        <f>IF(OR($C$24=$AR65,$D$24=$AR65),Schweine_Werte!$G65*0.5,IF(OR($C$24&gt;$AR65,$D$24&lt;$AR65),0,Schweine_Werte!$G65))</f>
        <v>0</v>
      </c>
      <c r="BE65" s="1713">
        <f>IF(OR($C$36=$AR65,$D$36=$AR65),Schweine_Werte!$G65*0.5,IF(OR($C$36&gt;$AR65,$D$36&lt;$AR65),0,Schweine_Werte!$G65))</f>
        <v>0</v>
      </c>
      <c r="BF65" s="1713">
        <f>IF(OR($C$48=$AR65,$D$48=$AR65),Schweine_Werte!$G65*0.5,IF(OR($C$48&gt;$AR65,$D$48&lt;$AR65),0,Schweine_Werte!$G65))</f>
        <v>0</v>
      </c>
      <c r="BG65" s="1713">
        <f>IF(OR($C$60=$AR65,$D$60=$AR65),Schweine_Werte!$G65*0.5,IF(OR($C$60&gt;$AR65,$D$60&lt;$AR65),0,Schweine_Werte!$G65))</f>
        <v>0</v>
      </c>
      <c r="BH65" s="1710">
        <f>IF(OR($C$12=$AR65,$D$12=$AR65),Schweine_Werte!$I65*0.5,IF(OR($C$12&gt;$AR65,$D$12&lt;$AR65),0,Schweine_Werte!$I65))</f>
        <v>0</v>
      </c>
      <c r="BI65" s="1713">
        <f>IF(OR($C$24=$AR65,$D$24=$AR65),Schweine_Werte!$I65*0.5,IF(OR($C$24&gt;$AR65,$D$24&lt;$AR65),0,Schweine_Werte!$I65))</f>
        <v>0</v>
      </c>
      <c r="BJ65" s="1713">
        <f>IF(OR($C$36=$AR65,$D$36=$AR65),Schweine_Werte!$I65*0.5,IF(OR($C$36&gt;$AR65,$D$36&lt;$AR65),0,Schweine_Werte!$I65))</f>
        <v>0</v>
      </c>
      <c r="BK65" s="1713">
        <f>IF(OR($C$48=$AR65,$D$48=$AR65),Schweine_Werte!$I65*0.5,IF(OR($C$48&gt;$AR65,$D$48&lt;$AR65),0,Schweine_Werte!$I65))</f>
        <v>0</v>
      </c>
      <c r="BL65" s="1713">
        <f>IF(OR($C$60=$AR65,$D$60=$AR65),Schweine_Werte!$I65*0.5,IF(OR($C$60&gt;$AR65,$D$60&lt;$AR65),0,Schweine_Werte!$I65))</f>
        <v>0</v>
      </c>
      <c r="BM65" s="1710">
        <f>IF(OR($C$12=$AR65,$D$12=$AR65),Schweine_Werte!$K65*0.5,IF(OR($C$12&gt;$AR65,$D$12&lt;$AR65),0,Schweine_Werte!$K65))</f>
        <v>0</v>
      </c>
      <c r="BN65" s="1713">
        <f>IF(OR($C$24=$AR65,$D$24=$AR65),Schweine_Werte!$K65*0.5,IF(OR($C$24&gt;$AR65,$D$24&lt;$AR65),0,Schweine_Werte!$K65))</f>
        <v>0</v>
      </c>
      <c r="BO65" s="1713">
        <f>IF(OR($C$36=$AR65,$D$36=$AR65),Schweine_Werte!$K65*0.5,IF(OR($C$36&gt;$AR65,$D$36&lt;$AR65),0,Schweine_Werte!$K65))</f>
        <v>0</v>
      </c>
      <c r="BP65" s="1713">
        <f>IF(OR($C$48=$AR65,$D$48=$AR65),Schweine_Werte!$K65*0.5,IF(OR($C$48&gt;$AR65,$D$48&lt;$AR65),0,Schweine_Werte!$K65))</f>
        <v>0</v>
      </c>
      <c r="BQ65" s="1713">
        <f>IF(OR($C$60=$AR65,$D$60=$AR65),Schweine_Werte!$K65*0.5,IF(OR($C$60&gt;$AR65,$D$60&lt;$AR65),0,Schweine_Werte!$K65))</f>
        <v>0</v>
      </c>
      <c r="BR65" s="1710">
        <f>IF(OR($C$74=$AR65,$D$74=$AR65),Schweine_Werte!$M65*0.5,IF(OR($C$74&gt;$AR65,$D$74&lt;$AR65),0,Schweine_Werte!$M65))</f>
        <v>0</v>
      </c>
      <c r="BS65" s="1710">
        <f>IF(OR($C$83=$AR65,$D$83=$AR65),Schweine_Werte!$M65*0.5,IF(OR($C$83&gt;$AR65,$D$83&lt;$AR65),0,Schweine_Werte!$M65))</f>
        <v>0</v>
      </c>
      <c r="BT65" s="1714">
        <f>IF(OR($C$92=$AR65,$D$92=$AR65),Schweine_Werte!$M65*0.5,IF(OR($C$92&gt;$AR65,$D$92&lt;$AR65),0,Schweine_Werte!$M65))</f>
        <v>0</v>
      </c>
      <c r="BU65" s="1714">
        <f>IF(OR($C$101=$AR65,$D$101=$AR65),Schweine_Werte!$M65*0.5,IF(OR($C$101&gt;$AR65,$D$101&lt;$AR65),0,Schweine_Werte!$M65))</f>
        <v>0</v>
      </c>
      <c r="BV65" s="1714">
        <f>IF(OR($C$110=$AR65,$D$110=$AR65),Schweine_Werte!$M65*0.5,IF(OR($C$110&gt;$AR65,$D$110&lt;$AR65),0,Schweine_Werte!$M65))</f>
        <v>0</v>
      </c>
      <c r="BW65" s="1714">
        <f>IF(OR(8=$AR65,$E$127=$AR65),Schweine_Werte!$M65*0.5,IF(OR(8&gt;$AR65,$E$127&lt;$AR65),0,Schweine_Werte!$M65))</f>
        <v>1.106781668808736</v>
      </c>
      <c r="BX65" s="1714">
        <f>IF(OR(8=$AR65,$E$145=$AR65),Schweine_Werte!$M65*0.5,IF(OR(8&gt;$AR65,$E$145&lt;$AR65),0,Schweine_Werte!$M65))</f>
        <v>1.106781668808736</v>
      </c>
      <c r="BY65" s="1710">
        <f>IF(OR($C$74=$AR65,$D$74=$AR65),Schweine_Werte!$O65*0.5,IF(OR($C$74&gt;$AR65,$D$74&lt;$AR65),0,Schweine_Werte!$O65))</f>
        <v>0</v>
      </c>
      <c r="BZ65" s="1710">
        <f>IF(OR($C$83=$AR65,$D$83=$AR65),Schweine_Werte!$O65*0.5,IF(OR($C$83&gt;$AR65,$D$83&lt;$AR65),0,Schweine_Werte!$O65))</f>
        <v>0</v>
      </c>
      <c r="CA65" s="1714">
        <f>IF(OR($C$92=$AR65,$D$92=$AR65),Schweine_Werte!$O65*0.5,IF(OR($C$92&gt;$AR65,$D$92&lt;$AR65),0,Schweine_Werte!$O65))</f>
        <v>0</v>
      </c>
      <c r="CB65" s="1714">
        <f>IF(OR($C$101=$AR65,$D$101=$AR65),Schweine_Werte!$O65*0.5,IF(OR($C$101&gt;$AR65,$D$101&lt;$AR65),0,Schweine_Werte!$O65))</f>
        <v>0</v>
      </c>
      <c r="CC65" s="1714">
        <f>IF(OR($C$110=$AR65,$D$110=$AR65),Schweine_Werte!$O65*0.5,IF(OR($C$110&gt;$AR65,$D$110&lt;$AR65),0,Schweine_Werte!$O65))</f>
        <v>0</v>
      </c>
    </row>
    <row r="66" spans="1:81" x14ac:dyDescent="0.25">
      <c r="AR66" s="1733">
        <v>70</v>
      </c>
      <c r="AS66" s="1710">
        <f>IF(OR($C$12=$AR66,$D$12=$AR66),Schweine_Werte!$C66*0.5,IF(OR($C$12&gt;$AR66,$D$12&lt;$AR66),0,Schweine_Werte!$C66))</f>
        <v>0</v>
      </c>
      <c r="AT66" s="1713">
        <f>IF(OR($C$24=$AR66,$D$24=$AR66),Schweine_Werte!$C66*0.5,IF(OR($C$24&gt;$AR66,$D$24&lt;$AR66),0,Schweine_Werte!$C66))</f>
        <v>0</v>
      </c>
      <c r="AU66" s="1710">
        <f>IF(OR($C$36=$AR66,$D$36=$AR66),Schweine_Werte!$C66*0.5,IF(OR($C$36&gt;$AR66,$D$36&lt;$AR66),0,Schweine_Werte!$C66))</f>
        <v>0</v>
      </c>
      <c r="AV66" s="1710">
        <f>IF(OR($C$48=$AR66,$D$48=$AR66),Schweine_Werte!$C66*0.5,IF(OR($C$48&gt;$AR66,$D$48&lt;$AR66),0,Schweine_Werte!$C66))</f>
        <v>0</v>
      </c>
      <c r="AW66" s="1710">
        <f>IF(OR($C$60=$AR66,$D$60=$AR66),Schweine_Werte!$C66*0.5,IF(OR($C$60&gt;$AR66,$D$60&lt;$AR66),0,Schweine_Werte!$C66))</f>
        <v>0</v>
      </c>
      <c r="AX66" s="1710">
        <f>IF(OR($C$12=$AR66,$D$12=$AR66),Schweine_Werte!$E66*0.5,IF(OR($C$12&gt;$AR66,$D$12&lt;$AR66),0,Schweine_Werte!$E66))</f>
        <v>0</v>
      </c>
      <c r="AY66" s="1713">
        <f>IF(OR($C$24=$AR66,$D$24=$AR66),Schweine_Werte!$E66*0.5,IF(OR($C$24&gt;$AR66,$D$24&lt;$AR66),0,Schweine_Werte!$E66))</f>
        <v>0</v>
      </c>
      <c r="AZ66" s="1713">
        <f>IF(OR($C$36=$AR66,$D$36=$AR66),Schweine_Werte!$E66*0.5,IF(OR($C$36&gt;$AR66,$D$36&lt;$AR66),0,Schweine_Werte!$E66))</f>
        <v>0</v>
      </c>
      <c r="BA66" s="1713">
        <f>IF(OR($C$48=$AR66,$D$48=$AR66),Schweine_Werte!$E66*0.5,IF(OR($C$48&gt;$AR66,$D$48&lt;$AR66),0,Schweine_Werte!$E66))</f>
        <v>0</v>
      </c>
      <c r="BB66" s="1713">
        <f>IF(OR($C$60=$AR66,$D$60=$AR66),Schweine_Werte!$E66*0.5,IF(OR($C$60&gt;$AR66,$D$60&lt;$AR66),0,Schweine_Werte!$E66))</f>
        <v>0</v>
      </c>
      <c r="BC66" s="1710">
        <f>IF(OR($C$12=$AR66,$D$12=$AR66),Schweine_Werte!$G66*0.5,IF(OR($C$12&gt;$AR66,$D$12&lt;$AR66),0,Schweine_Werte!$G66))</f>
        <v>0</v>
      </c>
      <c r="BD66" s="1713">
        <f>IF(OR($C$24=$AR66,$D$24=$AR66),Schweine_Werte!$G66*0.5,IF(OR($C$24&gt;$AR66,$D$24&lt;$AR66),0,Schweine_Werte!$G66))</f>
        <v>0</v>
      </c>
      <c r="BE66" s="1713">
        <f>IF(OR($C$36=$AR66,$D$36=$AR66),Schweine_Werte!$G66*0.5,IF(OR($C$36&gt;$AR66,$D$36&lt;$AR66),0,Schweine_Werte!$G66))</f>
        <v>0</v>
      </c>
      <c r="BF66" s="1713">
        <f>IF(OR($C$48=$AR66,$D$48=$AR66),Schweine_Werte!$G66*0.5,IF(OR($C$48&gt;$AR66,$D$48&lt;$AR66),0,Schweine_Werte!$G66))</f>
        <v>0</v>
      </c>
      <c r="BG66" s="1713">
        <f>IF(OR($C$60=$AR66,$D$60=$AR66),Schweine_Werte!$G66*0.5,IF(OR($C$60&gt;$AR66,$D$60&lt;$AR66),0,Schweine_Werte!$G66))</f>
        <v>0</v>
      </c>
      <c r="BH66" s="1710">
        <f>IF(OR($C$12=$AR66,$D$12=$AR66),Schweine_Werte!$I66*0.5,IF(OR($C$12&gt;$AR66,$D$12&lt;$AR66),0,Schweine_Werte!$I66))</f>
        <v>0</v>
      </c>
      <c r="BI66" s="1713">
        <f>IF(OR($C$24=$AR66,$D$24=$AR66),Schweine_Werte!$I66*0.5,IF(OR($C$24&gt;$AR66,$D$24&lt;$AR66),0,Schweine_Werte!$I66))</f>
        <v>0</v>
      </c>
      <c r="BJ66" s="1713">
        <f>IF(OR($C$36=$AR66,$D$36=$AR66),Schweine_Werte!$I66*0.5,IF(OR($C$36&gt;$AR66,$D$36&lt;$AR66),0,Schweine_Werte!$I66))</f>
        <v>0</v>
      </c>
      <c r="BK66" s="1713">
        <f>IF(OR($C$48=$AR66,$D$48=$AR66),Schweine_Werte!$I66*0.5,IF(OR($C$48&gt;$AR66,$D$48&lt;$AR66),0,Schweine_Werte!$I66))</f>
        <v>0</v>
      </c>
      <c r="BL66" s="1713">
        <f>IF(OR($C$60=$AR66,$D$60=$AR66),Schweine_Werte!$I66*0.5,IF(OR($C$60&gt;$AR66,$D$60&lt;$AR66),0,Schweine_Werte!$I66))</f>
        <v>0</v>
      </c>
      <c r="BM66" s="1710">
        <f>IF(OR($C$12=$AR66,$D$12=$AR66),Schweine_Werte!$K66*0.5,IF(OR($C$12&gt;$AR66,$D$12&lt;$AR66),0,Schweine_Werte!$K66))</f>
        <v>0</v>
      </c>
      <c r="BN66" s="1713">
        <f>IF(OR($C$24=$AR66,$D$24=$AR66),Schweine_Werte!$K66*0.5,IF(OR($C$24&gt;$AR66,$D$24&lt;$AR66),0,Schweine_Werte!$K66))</f>
        <v>0</v>
      </c>
      <c r="BO66" s="1713">
        <f>IF(OR($C$36=$AR66,$D$36=$AR66),Schweine_Werte!$K66*0.5,IF(OR($C$36&gt;$AR66,$D$36&lt;$AR66),0,Schweine_Werte!$K66))</f>
        <v>0</v>
      </c>
      <c r="BP66" s="1713">
        <f>IF(OR($C$48=$AR66,$D$48=$AR66),Schweine_Werte!$K66*0.5,IF(OR($C$48&gt;$AR66,$D$48&lt;$AR66),0,Schweine_Werte!$K66))</f>
        <v>0</v>
      </c>
      <c r="BQ66" s="1713">
        <f>IF(OR($C$60=$AR66,$D$60=$AR66),Schweine_Werte!$K66*0.5,IF(OR($C$60&gt;$AR66,$D$60&lt;$AR66),0,Schweine_Werte!$K66))</f>
        <v>0</v>
      </c>
      <c r="BR66" s="1710">
        <f>IF(OR($C$74=$AR66,$D$74=$AR66),Schweine_Werte!$M66*0.5,IF(OR($C$74&gt;$AR66,$D$74&lt;$AR66),0,Schweine_Werte!$M66))</f>
        <v>0</v>
      </c>
      <c r="BS66" s="1710">
        <f>IF(OR($C$83=$AR66,$D$83=$AR66),Schweine_Werte!$M66*0.5,IF(OR($C$83&gt;$AR66,$D$83&lt;$AR66),0,Schweine_Werte!$M66))</f>
        <v>0</v>
      </c>
      <c r="BT66" s="1714">
        <f>IF(OR($C$92=$AR66,$D$92=$AR66),Schweine_Werte!$M66*0.5,IF(OR($C$92&gt;$AR66,$D$92&lt;$AR66),0,Schweine_Werte!$M66))</f>
        <v>0</v>
      </c>
      <c r="BU66" s="1714">
        <f>IF(OR($C$101=$AR66,$D$101=$AR66),Schweine_Werte!$M66*0.5,IF(OR($C$101&gt;$AR66,$D$101&lt;$AR66),0,Schweine_Werte!$M66))</f>
        <v>0</v>
      </c>
      <c r="BV66" s="1714">
        <f>IF(OR($C$110=$AR66,$D$110=$AR66),Schweine_Werte!$M66*0.5,IF(OR($C$110&gt;$AR66,$D$110&lt;$AR66),0,Schweine_Werte!$M66))</f>
        <v>0</v>
      </c>
      <c r="BW66" s="1714">
        <f>IF(OR(8=$AR66,$E$127=$AR66),Schweine_Werte!$M66*0.5,IF(OR(8&gt;$AR66,$E$127&lt;$AR66),0,Schweine_Werte!$M66))</f>
        <v>1.1057004077079438</v>
      </c>
      <c r="BX66" s="1714">
        <f>IF(OR(8=$AR66,$E$145=$AR66),Schweine_Werte!$M66*0.5,IF(OR(8&gt;$AR66,$E$145&lt;$AR66),0,Schweine_Werte!$M66))</f>
        <v>1.1057004077079438</v>
      </c>
      <c r="BY66" s="1710">
        <f>IF(OR($C$74=$AR66,$D$74=$AR66),Schweine_Werte!$O66*0.5,IF(OR($C$74&gt;$AR66,$D$74&lt;$AR66),0,Schweine_Werte!$O66))</f>
        <v>0</v>
      </c>
      <c r="BZ66" s="1710">
        <f>IF(OR($C$83=$AR66,$D$83=$AR66),Schweine_Werte!$O66*0.5,IF(OR($C$83&gt;$AR66,$D$83&lt;$AR66),0,Schweine_Werte!$O66))</f>
        <v>0</v>
      </c>
      <c r="CA66" s="1714">
        <f>IF(OR($C$92=$AR66,$D$92=$AR66),Schweine_Werte!$O66*0.5,IF(OR($C$92&gt;$AR66,$D$92&lt;$AR66),0,Schweine_Werte!$O66))</f>
        <v>0</v>
      </c>
      <c r="CB66" s="1714">
        <f>IF(OR($C$101=$AR66,$D$101=$AR66),Schweine_Werte!$O66*0.5,IF(OR($C$101&gt;$AR66,$D$101&lt;$AR66),0,Schweine_Werte!$O66))</f>
        <v>0</v>
      </c>
      <c r="CC66" s="1714">
        <f>IF(OR($C$110=$AR66,$D$110=$AR66),Schweine_Werte!$O66*0.5,IF(OR($C$110&gt;$AR66,$D$110&lt;$AR66),0,Schweine_Werte!$O66))</f>
        <v>0</v>
      </c>
    </row>
    <row r="67" spans="1:81" x14ac:dyDescent="0.25">
      <c r="AR67" s="1733">
        <v>71</v>
      </c>
      <c r="AS67" s="1710">
        <f>IF(OR($C$12=$AR67,$D$12=$AR67),Schweine_Werte!$C67*0.5,IF(OR($C$12&gt;$AR67,$D$12&lt;$AR67),0,Schweine_Werte!$C67))</f>
        <v>0</v>
      </c>
      <c r="AT67" s="1713">
        <f>IF(OR($C$24=$AR67,$D$24=$AR67),Schweine_Werte!$C67*0.5,IF(OR($C$24&gt;$AR67,$D$24&lt;$AR67),0,Schweine_Werte!$C67))</f>
        <v>0</v>
      </c>
      <c r="AU67" s="1710">
        <f>IF(OR($C$36=$AR67,$D$36=$AR67),Schweine_Werte!$C67*0.5,IF(OR($C$36&gt;$AR67,$D$36&lt;$AR67),0,Schweine_Werte!$C67))</f>
        <v>0</v>
      </c>
      <c r="AV67" s="1710">
        <f>IF(OR($C$48=$AR67,$D$48=$AR67),Schweine_Werte!$C67*0.5,IF(OR($C$48&gt;$AR67,$D$48&lt;$AR67),0,Schweine_Werte!$C67))</f>
        <v>0</v>
      </c>
      <c r="AW67" s="1710">
        <f>IF(OR($C$60=$AR67,$D$60=$AR67),Schweine_Werte!$C67*0.5,IF(OR($C$60&gt;$AR67,$D$60&lt;$AR67),0,Schweine_Werte!$C67))</f>
        <v>0</v>
      </c>
      <c r="AX67" s="1710">
        <f>IF(OR($C$12=$AR67,$D$12=$AR67),Schweine_Werte!$E67*0.5,IF(OR($C$12&gt;$AR67,$D$12&lt;$AR67),0,Schweine_Werte!$E67))</f>
        <v>0</v>
      </c>
      <c r="AY67" s="1713">
        <f>IF(OR($C$24=$AR67,$D$24=$AR67),Schweine_Werte!$E67*0.5,IF(OR($C$24&gt;$AR67,$D$24&lt;$AR67),0,Schweine_Werte!$E67))</f>
        <v>0</v>
      </c>
      <c r="AZ67" s="1713">
        <f>IF(OR($C$36=$AR67,$D$36=$AR67),Schweine_Werte!$E67*0.5,IF(OR($C$36&gt;$AR67,$D$36&lt;$AR67),0,Schweine_Werte!$E67))</f>
        <v>0</v>
      </c>
      <c r="BA67" s="1713">
        <f>IF(OR($C$48=$AR67,$D$48=$AR67),Schweine_Werte!$E67*0.5,IF(OR($C$48&gt;$AR67,$D$48&lt;$AR67),0,Schweine_Werte!$E67))</f>
        <v>0</v>
      </c>
      <c r="BB67" s="1713">
        <f>IF(OR($C$60=$AR67,$D$60=$AR67),Schweine_Werte!$E67*0.5,IF(OR($C$60&gt;$AR67,$D$60&lt;$AR67),0,Schweine_Werte!$E67))</f>
        <v>0</v>
      </c>
      <c r="BC67" s="1710">
        <f>IF(OR($C$12=$AR67,$D$12=$AR67),Schweine_Werte!$G67*0.5,IF(OR($C$12&gt;$AR67,$D$12&lt;$AR67),0,Schweine_Werte!$G67))</f>
        <v>0</v>
      </c>
      <c r="BD67" s="1713">
        <f>IF(OR($C$24=$AR67,$D$24=$AR67),Schweine_Werte!$G67*0.5,IF(OR($C$24&gt;$AR67,$D$24&lt;$AR67),0,Schweine_Werte!$G67))</f>
        <v>0</v>
      </c>
      <c r="BE67" s="1713">
        <f>IF(OR($C$36=$AR67,$D$36=$AR67),Schweine_Werte!$G67*0.5,IF(OR($C$36&gt;$AR67,$D$36&lt;$AR67),0,Schweine_Werte!$G67))</f>
        <v>0</v>
      </c>
      <c r="BF67" s="1713">
        <f>IF(OR($C$48=$AR67,$D$48=$AR67),Schweine_Werte!$G67*0.5,IF(OR($C$48&gt;$AR67,$D$48&lt;$AR67),0,Schweine_Werte!$G67))</f>
        <v>0</v>
      </c>
      <c r="BG67" s="1713">
        <f>IF(OR($C$60=$AR67,$D$60=$AR67),Schweine_Werte!$G67*0.5,IF(OR($C$60&gt;$AR67,$D$60&lt;$AR67),0,Schweine_Werte!$G67))</f>
        <v>0</v>
      </c>
      <c r="BH67" s="1710">
        <f>IF(OR($C$12=$AR67,$D$12=$AR67),Schweine_Werte!$I67*0.5,IF(OR($C$12&gt;$AR67,$D$12&lt;$AR67),0,Schweine_Werte!$I67))</f>
        <v>0</v>
      </c>
      <c r="BI67" s="1713">
        <f>IF(OR($C$24=$AR67,$D$24=$AR67),Schweine_Werte!$I67*0.5,IF(OR($C$24&gt;$AR67,$D$24&lt;$AR67),0,Schweine_Werte!$I67))</f>
        <v>0</v>
      </c>
      <c r="BJ67" s="1713">
        <f>IF(OR($C$36=$AR67,$D$36=$AR67),Schweine_Werte!$I67*0.5,IF(OR($C$36&gt;$AR67,$D$36&lt;$AR67),0,Schweine_Werte!$I67))</f>
        <v>0</v>
      </c>
      <c r="BK67" s="1713">
        <f>IF(OR($C$48=$AR67,$D$48=$AR67),Schweine_Werte!$I67*0.5,IF(OR($C$48&gt;$AR67,$D$48&lt;$AR67),0,Schweine_Werte!$I67))</f>
        <v>0</v>
      </c>
      <c r="BL67" s="1713">
        <f>IF(OR($C$60=$AR67,$D$60=$AR67),Schweine_Werte!$I67*0.5,IF(OR($C$60&gt;$AR67,$D$60&lt;$AR67),0,Schweine_Werte!$I67))</f>
        <v>0</v>
      </c>
      <c r="BM67" s="1710">
        <f>IF(OR($C$12=$AR67,$D$12=$AR67),Schweine_Werte!$K67*0.5,IF(OR($C$12&gt;$AR67,$D$12&lt;$AR67),0,Schweine_Werte!$K67))</f>
        <v>0</v>
      </c>
      <c r="BN67" s="1713">
        <f>IF(OR($C$24=$AR67,$D$24=$AR67),Schweine_Werte!$K67*0.5,IF(OR($C$24&gt;$AR67,$D$24&lt;$AR67),0,Schweine_Werte!$K67))</f>
        <v>0</v>
      </c>
      <c r="BO67" s="1713">
        <f>IF(OR($C$36=$AR67,$D$36=$AR67),Schweine_Werte!$K67*0.5,IF(OR($C$36&gt;$AR67,$D$36&lt;$AR67),0,Schweine_Werte!$K67))</f>
        <v>0</v>
      </c>
      <c r="BP67" s="1713">
        <f>IF(OR($C$48=$AR67,$D$48=$AR67),Schweine_Werte!$K67*0.5,IF(OR($C$48&gt;$AR67,$D$48&lt;$AR67),0,Schweine_Werte!$K67))</f>
        <v>0</v>
      </c>
      <c r="BQ67" s="1713">
        <f>IF(OR($C$60=$AR67,$D$60=$AR67),Schweine_Werte!$K67*0.5,IF(OR($C$60&gt;$AR67,$D$60&lt;$AR67),0,Schweine_Werte!$K67))</f>
        <v>0</v>
      </c>
      <c r="BR67" s="1710">
        <f>IF(OR($C$74=$AR67,$D$74=$AR67),Schweine_Werte!$M67*0.5,IF(OR($C$74&gt;$AR67,$D$74&lt;$AR67),0,Schweine_Werte!$M67))</f>
        <v>0</v>
      </c>
      <c r="BS67" s="1710">
        <f>IF(OR($C$83=$AR67,$D$83=$AR67),Schweine_Werte!$M67*0.5,IF(OR($C$83&gt;$AR67,$D$83&lt;$AR67),0,Schweine_Werte!$M67))</f>
        <v>0</v>
      </c>
      <c r="BT67" s="1714">
        <f>IF(OR($C$92=$AR67,$D$92=$AR67),Schweine_Werte!$M67*0.5,IF(OR($C$92&gt;$AR67,$D$92&lt;$AR67),0,Schweine_Werte!$M67))</f>
        <v>0</v>
      </c>
      <c r="BU67" s="1714">
        <f>IF(OR($C$101=$AR67,$D$101=$AR67),Schweine_Werte!$M67*0.5,IF(OR($C$101&gt;$AR67,$D$101&lt;$AR67),0,Schweine_Werte!$M67))</f>
        <v>0</v>
      </c>
      <c r="BV67" s="1714">
        <f>IF(OR($C$110=$AR67,$D$110=$AR67),Schweine_Werte!$M67*0.5,IF(OR($C$110&gt;$AR67,$D$110&lt;$AR67),0,Schweine_Werte!$M67))</f>
        <v>0</v>
      </c>
      <c r="BW67" s="1714">
        <f>IF(OR(8=$AR67,$E$127=$AR67),Schweine_Werte!$M67*0.5,IF(OR(8&gt;$AR67,$E$127&lt;$AR67),0,Schweine_Werte!$M67))</f>
        <v>1.1049837293732905</v>
      </c>
      <c r="BX67" s="1714">
        <f>IF(OR(8=$AR67,$E$145=$AR67),Schweine_Werte!$M67*0.5,IF(OR(8&gt;$AR67,$E$145&lt;$AR67),0,Schweine_Werte!$M67))</f>
        <v>1.1049837293732905</v>
      </c>
      <c r="BY67" s="1710">
        <f>IF(OR($C$74=$AR67,$D$74=$AR67),Schweine_Werte!$O67*0.5,IF(OR($C$74&gt;$AR67,$D$74&lt;$AR67),0,Schweine_Werte!$O67))</f>
        <v>0</v>
      </c>
      <c r="BZ67" s="1710">
        <f>IF(OR($C$83=$AR67,$D$83=$AR67),Schweine_Werte!$O67*0.5,IF(OR($C$83&gt;$AR67,$D$83&lt;$AR67),0,Schweine_Werte!$O67))</f>
        <v>0</v>
      </c>
      <c r="CA67" s="1714">
        <f>IF(OR($C$92=$AR67,$D$92=$AR67),Schweine_Werte!$O67*0.5,IF(OR($C$92&gt;$AR67,$D$92&lt;$AR67),0,Schweine_Werte!$O67))</f>
        <v>0</v>
      </c>
      <c r="CB67" s="1714">
        <f>IF(OR($C$101=$AR67,$D$101=$AR67),Schweine_Werte!$O67*0.5,IF(OR($C$101&gt;$AR67,$D$101&lt;$AR67),0,Schweine_Werte!$O67))</f>
        <v>0</v>
      </c>
      <c r="CC67" s="1714">
        <f>IF(OR($C$110=$AR67,$D$110=$AR67),Schweine_Werte!$O67*0.5,IF(OR($C$110&gt;$AR67,$D$110&lt;$AR67),0,Schweine_Werte!$O67))</f>
        <v>0</v>
      </c>
    </row>
    <row r="68" spans="1:81" x14ac:dyDescent="0.25">
      <c r="Q68" s="3251" t="s">
        <v>8546</v>
      </c>
      <c r="R68" s="3251"/>
      <c r="S68" s="3251"/>
      <c r="T68" s="3251" t="s">
        <v>8547</v>
      </c>
      <c r="U68" s="3251"/>
      <c r="V68" s="3251"/>
      <c r="W68" s="1689" t="s">
        <v>8544</v>
      </c>
      <c r="X68" s="1689"/>
      <c r="Y68" s="1689"/>
      <c r="AR68" s="1733">
        <v>72</v>
      </c>
      <c r="AS68" s="1710">
        <f>IF(OR($C$12=$AR68,$D$12=$AR68),Schweine_Werte!$C68*0.5,IF(OR($C$12&gt;$AR68,$D$12&lt;$AR68),0,Schweine_Werte!$C68))</f>
        <v>0</v>
      </c>
      <c r="AT68" s="1713">
        <f>IF(OR($C$24=$AR68,$D$24=$AR68),Schweine_Werte!$C68*0.5,IF(OR($C$24&gt;$AR68,$D$24&lt;$AR68),0,Schweine_Werte!$C68))</f>
        <v>0</v>
      </c>
      <c r="AU68" s="1710">
        <f>IF(OR($C$36=$AR68,$D$36=$AR68),Schweine_Werte!$C68*0.5,IF(OR($C$36&gt;$AR68,$D$36&lt;$AR68),0,Schweine_Werte!$C68))</f>
        <v>0</v>
      </c>
      <c r="AV68" s="1710">
        <f>IF(OR($C$48=$AR68,$D$48=$AR68),Schweine_Werte!$C68*0.5,IF(OR($C$48&gt;$AR68,$D$48&lt;$AR68),0,Schweine_Werte!$C68))</f>
        <v>0</v>
      </c>
      <c r="AW68" s="1710">
        <f>IF(OR($C$60=$AR68,$D$60=$AR68),Schweine_Werte!$C68*0.5,IF(OR($C$60&gt;$AR68,$D$60&lt;$AR68),0,Schweine_Werte!$C68))</f>
        <v>0</v>
      </c>
      <c r="AX68" s="1710">
        <f>IF(OR($C$12=$AR68,$D$12=$AR68),Schweine_Werte!$E68*0.5,IF(OR($C$12&gt;$AR68,$D$12&lt;$AR68),0,Schweine_Werte!$E68))</f>
        <v>0</v>
      </c>
      <c r="AY68" s="1713">
        <f>IF(OR($C$24=$AR68,$D$24=$AR68),Schweine_Werte!$E68*0.5,IF(OR($C$24&gt;$AR68,$D$24&lt;$AR68),0,Schweine_Werte!$E68))</f>
        <v>0</v>
      </c>
      <c r="AZ68" s="1713">
        <f>IF(OR($C$36=$AR68,$D$36=$AR68),Schweine_Werte!$E68*0.5,IF(OR($C$36&gt;$AR68,$D$36&lt;$AR68),0,Schweine_Werte!$E68))</f>
        <v>0</v>
      </c>
      <c r="BA68" s="1713">
        <f>IF(OR($C$48=$AR68,$D$48=$AR68),Schweine_Werte!$E68*0.5,IF(OR($C$48&gt;$AR68,$D$48&lt;$AR68),0,Schweine_Werte!$E68))</f>
        <v>0</v>
      </c>
      <c r="BB68" s="1713">
        <f>IF(OR($C$60=$AR68,$D$60=$AR68),Schweine_Werte!$E68*0.5,IF(OR($C$60&gt;$AR68,$D$60&lt;$AR68),0,Schweine_Werte!$E68))</f>
        <v>0</v>
      </c>
      <c r="BC68" s="1710">
        <f>IF(OR($C$12=$AR68,$D$12=$AR68),Schweine_Werte!$G68*0.5,IF(OR($C$12&gt;$AR68,$D$12&lt;$AR68),0,Schweine_Werte!$G68))</f>
        <v>0</v>
      </c>
      <c r="BD68" s="1713">
        <f>IF(OR($C$24=$AR68,$D$24=$AR68),Schweine_Werte!$G68*0.5,IF(OR($C$24&gt;$AR68,$D$24&lt;$AR68),0,Schweine_Werte!$G68))</f>
        <v>0</v>
      </c>
      <c r="BE68" s="1713">
        <f>IF(OR($C$36=$AR68,$D$36=$AR68),Schweine_Werte!$G68*0.5,IF(OR($C$36&gt;$AR68,$D$36&lt;$AR68),0,Schweine_Werte!$G68))</f>
        <v>0</v>
      </c>
      <c r="BF68" s="1713">
        <f>IF(OR($C$48=$AR68,$D$48=$AR68),Schweine_Werte!$G68*0.5,IF(OR($C$48&gt;$AR68,$D$48&lt;$AR68),0,Schweine_Werte!$G68))</f>
        <v>0</v>
      </c>
      <c r="BG68" s="1713">
        <f>IF(OR($C$60=$AR68,$D$60=$AR68),Schweine_Werte!$G68*0.5,IF(OR($C$60&gt;$AR68,$D$60&lt;$AR68),0,Schweine_Werte!$G68))</f>
        <v>0</v>
      </c>
      <c r="BH68" s="1710">
        <f>IF(OR($C$12=$AR68,$D$12=$AR68),Schweine_Werte!$I68*0.5,IF(OR($C$12&gt;$AR68,$D$12&lt;$AR68),0,Schweine_Werte!$I68))</f>
        <v>0</v>
      </c>
      <c r="BI68" s="1713">
        <f>IF(OR($C$24=$AR68,$D$24=$AR68),Schweine_Werte!$I68*0.5,IF(OR($C$24&gt;$AR68,$D$24&lt;$AR68),0,Schweine_Werte!$I68))</f>
        <v>0</v>
      </c>
      <c r="BJ68" s="1713">
        <f>IF(OR($C$36=$AR68,$D$36=$AR68),Schweine_Werte!$I68*0.5,IF(OR($C$36&gt;$AR68,$D$36&lt;$AR68),0,Schweine_Werte!$I68))</f>
        <v>0</v>
      </c>
      <c r="BK68" s="1713">
        <f>IF(OR($C$48=$AR68,$D$48=$AR68),Schweine_Werte!$I68*0.5,IF(OR($C$48&gt;$AR68,$D$48&lt;$AR68),0,Schweine_Werte!$I68))</f>
        <v>0</v>
      </c>
      <c r="BL68" s="1713">
        <f>IF(OR($C$60=$AR68,$D$60=$AR68),Schweine_Werte!$I68*0.5,IF(OR($C$60&gt;$AR68,$D$60&lt;$AR68),0,Schweine_Werte!$I68))</f>
        <v>0</v>
      </c>
      <c r="BM68" s="1710">
        <f>IF(OR($C$12=$AR68,$D$12=$AR68),Schweine_Werte!$K68*0.5,IF(OR($C$12&gt;$AR68,$D$12&lt;$AR68),0,Schweine_Werte!$K68))</f>
        <v>0</v>
      </c>
      <c r="BN68" s="1713">
        <f>IF(OR($C$24=$AR68,$D$24=$AR68),Schweine_Werte!$K68*0.5,IF(OR($C$24&gt;$AR68,$D$24&lt;$AR68),0,Schweine_Werte!$K68))</f>
        <v>0</v>
      </c>
      <c r="BO68" s="1713">
        <f>IF(OR($C$36=$AR68,$D$36=$AR68),Schweine_Werte!$K68*0.5,IF(OR($C$36&gt;$AR68,$D$36&lt;$AR68),0,Schweine_Werte!$K68))</f>
        <v>0</v>
      </c>
      <c r="BP68" s="1713">
        <f>IF(OR($C$48=$AR68,$D$48=$AR68),Schweine_Werte!$K68*0.5,IF(OR($C$48&gt;$AR68,$D$48&lt;$AR68),0,Schweine_Werte!$K68))</f>
        <v>0</v>
      </c>
      <c r="BQ68" s="1713">
        <f>IF(OR($C$60=$AR68,$D$60=$AR68),Schweine_Werte!$K68*0.5,IF(OR($C$60&gt;$AR68,$D$60&lt;$AR68),0,Schweine_Werte!$K68))</f>
        <v>0</v>
      </c>
      <c r="BR68" s="1710">
        <f>IF(OR($C$74=$AR68,$D$74=$AR68),Schweine_Werte!$M68*0.5,IF(OR($C$74&gt;$AR68,$D$74&lt;$AR68),0,Schweine_Werte!$M68))</f>
        <v>0</v>
      </c>
      <c r="BS68" s="1710">
        <f>IF(OR($C$83=$AR68,$D$83=$AR68),Schweine_Werte!$M68*0.5,IF(OR($C$83&gt;$AR68,$D$83&lt;$AR68),0,Schweine_Werte!$M68))</f>
        <v>0</v>
      </c>
      <c r="BT68" s="1714">
        <f>IF(OR($C$92=$AR68,$D$92=$AR68),Schweine_Werte!$M68*0.5,IF(OR($C$92&gt;$AR68,$D$92&lt;$AR68),0,Schweine_Werte!$M68))</f>
        <v>0</v>
      </c>
      <c r="BU68" s="1714">
        <f>IF(OR($C$101=$AR68,$D$101=$AR68),Schweine_Werte!$M68*0.5,IF(OR($C$101&gt;$AR68,$D$101&lt;$AR68),0,Schweine_Werte!$M68))</f>
        <v>0</v>
      </c>
      <c r="BV68" s="1714">
        <f>IF(OR($C$110=$AR68,$D$110=$AR68),Schweine_Werte!$M68*0.5,IF(OR($C$110&gt;$AR68,$D$110&lt;$AR68),0,Schweine_Werte!$M68))</f>
        <v>0</v>
      </c>
      <c r="BW68" s="1714">
        <f>IF(OR(8=$AR68,$E$127=$AR68),Schweine_Werte!$M68*0.5,IF(OR(8&gt;$AR68,$E$127&lt;$AR68),0,Schweine_Werte!$M68))</f>
        <v>1.104630248375454</v>
      </c>
      <c r="BX68" s="1714">
        <f>IF(OR(8=$AR68,$E$145=$AR68),Schweine_Werte!$M68*0.5,IF(OR(8&gt;$AR68,$E$145&lt;$AR68),0,Schweine_Werte!$M68))</f>
        <v>1.104630248375454</v>
      </c>
      <c r="BY68" s="1710">
        <f>IF(OR($C$74=$AR68,$D$74=$AR68),Schweine_Werte!$O68*0.5,IF(OR($C$74&gt;$AR68,$D$74&lt;$AR68),0,Schweine_Werte!$O68))</f>
        <v>0</v>
      </c>
      <c r="BZ68" s="1710">
        <f>IF(OR($C$83=$AR68,$D$83=$AR68),Schweine_Werte!$O68*0.5,IF(OR($C$83&gt;$AR68,$D$83&lt;$AR68),0,Schweine_Werte!$O68))</f>
        <v>0</v>
      </c>
      <c r="CA68" s="1714">
        <f>IF(OR($C$92=$AR68,$D$92=$AR68),Schweine_Werte!$O68*0.5,IF(OR($C$92&gt;$AR68,$D$92&lt;$AR68),0,Schweine_Werte!$O68))</f>
        <v>0</v>
      </c>
      <c r="CB68" s="1714">
        <f>IF(OR($C$101=$AR68,$D$101=$AR68),Schweine_Werte!$O68*0.5,IF(OR($C$101&gt;$AR68,$D$101&lt;$AR68),0,Schweine_Werte!$O68))</f>
        <v>0</v>
      </c>
      <c r="CC68" s="1714">
        <f>IF(OR($C$110=$AR68,$D$110=$AR68),Schweine_Werte!$O68*0.5,IF(OR($C$110&gt;$AR68,$D$110&lt;$AR68),0,Schweine_Werte!$O68))</f>
        <v>0</v>
      </c>
    </row>
    <row r="69" spans="1:81" x14ac:dyDescent="0.25">
      <c r="B69" t="s">
        <v>8613</v>
      </c>
      <c r="C69"/>
      <c r="D69"/>
      <c r="E69" t="s">
        <v>8568</v>
      </c>
      <c r="F69" t="s">
        <v>195</v>
      </c>
      <c r="G69" t="s">
        <v>8569</v>
      </c>
      <c r="H69" t="s">
        <v>8570</v>
      </c>
      <c r="I69" t="s">
        <v>8571</v>
      </c>
      <c r="J69" t="s">
        <v>8096</v>
      </c>
      <c r="K69" t="s">
        <v>8572</v>
      </c>
      <c r="L69" t="s">
        <v>8573</v>
      </c>
      <c r="M69" t="s">
        <v>8574</v>
      </c>
      <c r="N69" t="s">
        <v>8575</v>
      </c>
      <c r="O69" t="s">
        <v>8576</v>
      </c>
      <c r="P69" t="s">
        <v>8577</v>
      </c>
      <c r="Q69" t="s">
        <v>35</v>
      </c>
      <c r="R69" t="s">
        <v>36</v>
      </c>
      <c r="S69" t="s">
        <v>37</v>
      </c>
      <c r="T69" t="s">
        <v>35</v>
      </c>
      <c r="U69" t="s">
        <v>36</v>
      </c>
      <c r="V69" t="s">
        <v>37</v>
      </c>
      <c r="W69" t="s">
        <v>8548</v>
      </c>
      <c r="X69" t="s">
        <v>8549</v>
      </c>
      <c r="Y69" t="s">
        <v>8550</v>
      </c>
      <c r="Z69"/>
      <c r="AA69"/>
      <c r="AB69"/>
      <c r="AC69"/>
      <c r="AD69"/>
      <c r="AE69"/>
      <c r="AF69"/>
      <c r="AG69"/>
      <c r="AH69"/>
      <c r="AI69"/>
      <c r="AJ69"/>
      <c r="AK69"/>
      <c r="AL69"/>
      <c r="AM69"/>
      <c r="AN69"/>
      <c r="AO69"/>
      <c r="AR69" s="1733">
        <v>73</v>
      </c>
      <c r="AS69" s="1710">
        <f>IF(OR($C$12=$AR69,$D$12=$AR69),Schweine_Werte!$C69*0.5,IF(OR($C$12&gt;$AR69,$D$12&lt;$AR69),0,Schweine_Werte!$C69))</f>
        <v>0</v>
      </c>
      <c r="AT69" s="1713">
        <f>IF(OR($C$24=$AR69,$D$24=$AR69),Schweine_Werte!$C69*0.5,IF(OR($C$24&gt;$AR69,$D$24&lt;$AR69),0,Schweine_Werte!$C69))</f>
        <v>0</v>
      </c>
      <c r="AU69" s="1710">
        <f>IF(OR($C$36=$AR69,$D$36=$AR69),Schweine_Werte!$C69*0.5,IF(OR($C$36&gt;$AR69,$D$36&lt;$AR69),0,Schweine_Werte!$C69))</f>
        <v>0</v>
      </c>
      <c r="AV69" s="1710">
        <f>IF(OR($C$48=$AR69,$D$48=$AR69),Schweine_Werte!$C69*0.5,IF(OR($C$48&gt;$AR69,$D$48&lt;$AR69),0,Schweine_Werte!$C69))</f>
        <v>0</v>
      </c>
      <c r="AW69" s="1710">
        <f>IF(OR($C$60=$AR69,$D$60=$AR69),Schweine_Werte!$C69*0.5,IF(OR($C$60&gt;$AR69,$D$60&lt;$AR69),0,Schweine_Werte!$C69))</f>
        <v>0</v>
      </c>
      <c r="AX69" s="1710">
        <f>IF(OR($C$12=$AR69,$D$12=$AR69),Schweine_Werte!$E69*0.5,IF(OR($C$12&gt;$AR69,$D$12&lt;$AR69),0,Schweine_Werte!$E69))</f>
        <v>0</v>
      </c>
      <c r="AY69" s="1713">
        <f>IF(OR($C$24=$AR69,$D$24=$AR69),Schweine_Werte!$E69*0.5,IF(OR($C$24&gt;$AR69,$D$24&lt;$AR69),0,Schweine_Werte!$E69))</f>
        <v>0</v>
      </c>
      <c r="AZ69" s="1713">
        <f>IF(OR($C$36=$AR69,$D$36=$AR69),Schweine_Werte!$E69*0.5,IF(OR($C$36&gt;$AR69,$D$36&lt;$AR69),0,Schweine_Werte!$E69))</f>
        <v>0</v>
      </c>
      <c r="BA69" s="1713">
        <f>IF(OR($C$48=$AR69,$D$48=$AR69),Schweine_Werte!$E69*0.5,IF(OR($C$48&gt;$AR69,$D$48&lt;$AR69),0,Schweine_Werte!$E69))</f>
        <v>0</v>
      </c>
      <c r="BB69" s="1713">
        <f>IF(OR($C$60=$AR69,$D$60=$AR69),Schweine_Werte!$E69*0.5,IF(OR($C$60&gt;$AR69,$D$60&lt;$AR69),0,Schweine_Werte!$E69))</f>
        <v>0</v>
      </c>
      <c r="BC69" s="1710">
        <f>IF(OR($C$12=$AR69,$D$12=$AR69),Schweine_Werte!$G69*0.5,IF(OR($C$12&gt;$AR69,$D$12&lt;$AR69),0,Schweine_Werte!$G69))</f>
        <v>0</v>
      </c>
      <c r="BD69" s="1713">
        <f>IF(OR($C$24=$AR69,$D$24=$AR69),Schweine_Werte!$G69*0.5,IF(OR($C$24&gt;$AR69,$D$24&lt;$AR69),0,Schweine_Werte!$G69))</f>
        <v>0</v>
      </c>
      <c r="BE69" s="1713">
        <f>IF(OR($C$36=$AR69,$D$36=$AR69),Schweine_Werte!$G69*0.5,IF(OR($C$36&gt;$AR69,$D$36&lt;$AR69),0,Schweine_Werte!$G69))</f>
        <v>0</v>
      </c>
      <c r="BF69" s="1713">
        <f>IF(OR($C$48=$AR69,$D$48=$AR69),Schweine_Werte!$G69*0.5,IF(OR($C$48&gt;$AR69,$D$48&lt;$AR69),0,Schweine_Werte!$G69))</f>
        <v>0</v>
      </c>
      <c r="BG69" s="1713">
        <f>IF(OR($C$60=$AR69,$D$60=$AR69),Schweine_Werte!$G69*0.5,IF(OR($C$60&gt;$AR69,$D$60&lt;$AR69),0,Schweine_Werte!$G69))</f>
        <v>0</v>
      </c>
      <c r="BH69" s="1710">
        <f>IF(OR($C$12=$AR69,$D$12=$AR69),Schweine_Werte!$I69*0.5,IF(OR($C$12&gt;$AR69,$D$12&lt;$AR69),0,Schweine_Werte!$I69))</f>
        <v>0</v>
      </c>
      <c r="BI69" s="1713">
        <f>IF(OR($C$24=$AR69,$D$24=$AR69),Schweine_Werte!$I69*0.5,IF(OR($C$24&gt;$AR69,$D$24&lt;$AR69),0,Schweine_Werte!$I69))</f>
        <v>0</v>
      </c>
      <c r="BJ69" s="1713">
        <f>IF(OR($C$36=$AR69,$D$36=$AR69),Schweine_Werte!$I69*0.5,IF(OR($C$36&gt;$AR69,$D$36&lt;$AR69),0,Schweine_Werte!$I69))</f>
        <v>0</v>
      </c>
      <c r="BK69" s="1713">
        <f>IF(OR($C$48=$AR69,$D$48=$AR69),Schweine_Werte!$I69*0.5,IF(OR($C$48&gt;$AR69,$D$48&lt;$AR69),0,Schweine_Werte!$I69))</f>
        <v>0</v>
      </c>
      <c r="BL69" s="1713">
        <f>IF(OR($C$60=$AR69,$D$60=$AR69),Schweine_Werte!$I69*0.5,IF(OR($C$60&gt;$AR69,$D$60&lt;$AR69),0,Schweine_Werte!$I69))</f>
        <v>0</v>
      </c>
      <c r="BM69" s="1710">
        <f>IF(OR($C$12=$AR69,$D$12=$AR69),Schweine_Werte!$K69*0.5,IF(OR($C$12&gt;$AR69,$D$12&lt;$AR69),0,Schweine_Werte!$K69))</f>
        <v>0</v>
      </c>
      <c r="BN69" s="1713">
        <f>IF(OR($C$24=$AR69,$D$24=$AR69),Schweine_Werte!$K69*0.5,IF(OR($C$24&gt;$AR69,$D$24&lt;$AR69),0,Schweine_Werte!$K69))</f>
        <v>0</v>
      </c>
      <c r="BO69" s="1713">
        <f>IF(OR($C$36=$AR69,$D$36=$AR69),Schweine_Werte!$K69*0.5,IF(OR($C$36&gt;$AR69,$D$36&lt;$AR69),0,Schweine_Werte!$K69))</f>
        <v>0</v>
      </c>
      <c r="BP69" s="1713">
        <f>IF(OR($C$48=$AR69,$D$48=$AR69),Schweine_Werte!$K69*0.5,IF(OR($C$48&gt;$AR69,$D$48&lt;$AR69),0,Schweine_Werte!$K69))</f>
        <v>0</v>
      </c>
      <c r="BQ69" s="1713">
        <f>IF(OR($C$60=$AR69,$D$60=$AR69),Schweine_Werte!$K69*0.5,IF(OR($C$60&gt;$AR69,$D$60&lt;$AR69),0,Schweine_Werte!$K69))</f>
        <v>0</v>
      </c>
      <c r="BR69" s="1710">
        <f>IF(OR($C$74=$AR69,$D$74=$AR69),Schweine_Werte!$M69*0.5,IF(OR($C$74&gt;$AR69,$D$74&lt;$AR69),0,Schweine_Werte!$M69))</f>
        <v>0</v>
      </c>
      <c r="BS69" s="1710">
        <f>IF(OR($C$83=$AR69,$D$83=$AR69),Schweine_Werte!$M69*0.5,IF(OR($C$83&gt;$AR69,$D$83&lt;$AR69),0,Schweine_Werte!$M69))</f>
        <v>0</v>
      </c>
      <c r="BT69" s="1714">
        <f>IF(OR($C$92=$AR69,$D$92=$AR69),Schweine_Werte!$M69*0.5,IF(OR($C$92&gt;$AR69,$D$92&lt;$AR69),0,Schweine_Werte!$M69))</f>
        <v>0</v>
      </c>
      <c r="BU69" s="1714">
        <f>IF(OR($C$101=$AR69,$D$101=$AR69),Schweine_Werte!$M69*0.5,IF(OR($C$101&gt;$AR69,$D$101&lt;$AR69),0,Schweine_Werte!$M69))</f>
        <v>0</v>
      </c>
      <c r="BV69" s="1714">
        <f>IF(OR($C$110=$AR69,$D$110=$AR69),Schweine_Werte!$M69*0.5,IF(OR($C$110&gt;$AR69,$D$110&lt;$AR69),0,Schweine_Werte!$M69))</f>
        <v>0</v>
      </c>
      <c r="BW69" s="1714">
        <f>IF(OR(8=$AR69,$E$127=$AR69),Schweine_Werte!$M69*0.5,IF(OR(8&gt;$AR69,$E$127&lt;$AR69),0,Schweine_Werte!$M69))</f>
        <v>1.1046392823633366</v>
      </c>
      <c r="BX69" s="1714">
        <f>IF(OR(8=$AR69,$E$145=$AR69),Schweine_Werte!$M69*0.5,IF(OR(8&gt;$AR69,$E$145&lt;$AR69),0,Schweine_Werte!$M69))</f>
        <v>1.1046392823633366</v>
      </c>
      <c r="BY69" s="1710">
        <f>IF(OR($C$74=$AR69,$D$74=$AR69),Schweine_Werte!$O69*0.5,IF(OR($C$74&gt;$AR69,$D$74&lt;$AR69),0,Schweine_Werte!$O69))</f>
        <v>0</v>
      </c>
      <c r="BZ69" s="1710">
        <f>IF(OR($C$83=$AR69,$D$83=$AR69),Schweine_Werte!$O69*0.5,IF(OR($C$83&gt;$AR69,$D$83&lt;$AR69),0,Schweine_Werte!$O69))</f>
        <v>0</v>
      </c>
      <c r="CA69" s="1714">
        <f>IF(OR($C$92=$AR69,$D$92=$AR69),Schweine_Werte!$O69*0.5,IF(OR($C$92&gt;$AR69,$D$92&lt;$AR69),0,Schweine_Werte!$O69))</f>
        <v>0</v>
      </c>
      <c r="CB69" s="1714">
        <f>IF(OR($C$101=$AR69,$D$101=$AR69),Schweine_Werte!$O69*0.5,IF(OR($C$101&gt;$AR69,$D$101&lt;$AR69),0,Schweine_Werte!$O69))</f>
        <v>0</v>
      </c>
      <c r="CC69" s="1714">
        <f>IF(OR($C$110=$AR69,$D$110=$AR69),Schweine_Werte!$O69*0.5,IF(OR($C$110&gt;$AR69,$D$110&lt;$AR69),0,Schweine_Werte!$O69))</f>
        <v>0</v>
      </c>
    </row>
    <row r="70" spans="1:81" x14ac:dyDescent="0.25">
      <c r="B70">
        <v>450</v>
      </c>
      <c r="C70"/>
      <c r="D70" s="885"/>
      <c r="E70" t="e">
        <f>($D74-$C74)*1000/SUM($BR$4:$BR$31)</f>
        <v>#VALUE!</v>
      </c>
      <c r="F70" s="885" t="e">
        <f>SUMPRODUCT($BR$4:$BR$31,Schweine_Werte!$V$4:$V$31)/SUM($BR$4:$BR$31)</f>
        <v>#DIV/0!</v>
      </c>
      <c r="G70" s="885" t="e">
        <f>IF($B74=$A$8,SUMPRODUCT($BR$4:$BR$31,Schweine_Werte!HE$4:HE$31)/SUM($BR$4:$BR$31),IF($B74=$A$7,SUMPRODUCT($BR$4:$BR$31,Schweine_Werte!GQ$4:GQ$31)/SUM($BR$4:$BR$31),IF($B74=$A$6,SUMPRODUCT($BR$4:$BR$31,Schweine_Werte!GC$4:GC$31)/SUM($BR$4:$BR$31),SUMPRODUCT($BR$4:$BR$31,Schweine_Werte!FO$4:FO$31)/SUM($BR$4:$BR$31))))</f>
        <v>#DIV/0!</v>
      </c>
      <c r="H70" s="885" t="e">
        <f>IF($B74=$A$8,SUMPRODUCT($BR$4:$BR$31,Schweine_Werte!HF$4:HF$31)/SUM($BR$4:$BR$31),IF($B74=$A$7,SUMPRODUCT($BR$4:$BR$31,Schweine_Werte!GR$4:GR$31)/SUM($BR$4:$BR$31),IF($B74=$A$6,SUMPRODUCT($BR$4:$BR$31,Schweine_Werte!GD$4:GD$31)/SUM($BR$4:$BR$31),SUMPRODUCT($BR$4:$BR$31,Schweine_Werte!FP$4:FP$31)/SUM($BR$4:$BR$31))))</f>
        <v>#DIV/0!</v>
      </c>
      <c r="I70" s="885" t="e">
        <f>IF($B74=$A$8,SUMPRODUCT($BR$4:$BR$31,Schweine_Werte!HG$4:HG$31)/SUM($BR$4:$BR$31),IF($B74=$A$7,SUMPRODUCT($BR$4:$BR$31,Schweine_Werte!GS$4:GS$31)/SUM($BR$4:$BR$31),IF($B74=$A$6,SUMPRODUCT($BR$4:$BR$31,Schweine_Werte!GE$4:GE$31)/SUM($BR$4:$BR$31),SUMPRODUCT($BR$4:$BR$31,Schweine_Werte!FQ$4:FQ$31)/SUM($BR$4:$BR$31))))</f>
        <v>#DIV/0!</v>
      </c>
      <c r="J70" s="885" t="e">
        <f>SUMPRODUCT($BR$4:$BR$31,Schweine_Werte!$AD$4:$AD$31)/SUM($BR$4:$BR$31)</f>
        <v>#DIV/0!</v>
      </c>
      <c r="K70" s="885" t="e">
        <f>SUMPRODUCT($BR$4:$BR$31,Schweine_Werte!$AL$4:$AL$31)/SUM($BR$4:$BR$31)</f>
        <v>#DIV/0!</v>
      </c>
      <c r="L70" s="885" t="e">
        <f>T70*$F70*365/1000+$J70-$K70</f>
        <v>#DIV/0!</v>
      </c>
      <c r="M70" s="885" t="e">
        <f>U70*$F70*365/1000+$J70-$K70/2</f>
        <v>#DIV/0!</v>
      </c>
      <c r="N70" s="885" t="e">
        <f>V70*$F70*365/1000+$J70</f>
        <v>#DIV/0!</v>
      </c>
      <c r="O70" s="885">
        <f>IF($C74&lt;28,SUM($BR$4:$BR$23)+IF($D74&gt;28,$BR$24*0.5,$BR$24),0)</f>
        <v>0</v>
      </c>
      <c r="P70" s="885">
        <f>IF($D74&gt;28,SUM($BR$25:$BR$31)+IF($C74&lt;28,$BR$24*0.5,$BR$24),0)</f>
        <v>0</v>
      </c>
      <c r="Q70" s="885" t="e">
        <f t="shared" ref="Q70:S71" si="15">+T70*$F70</f>
        <v>#DIV/0!</v>
      </c>
      <c r="R70" s="885" t="e">
        <f t="shared" si="15"/>
        <v>#DIV/0!</v>
      </c>
      <c r="S70" s="885" t="e">
        <f t="shared" si="15"/>
        <v>#DIV/0!</v>
      </c>
      <c r="T70" s="885" t="e">
        <f>+($O70*Schweine_Werte!$HT$15+$P70*Schweine_Werte!$HU$15)/SUM($O70:$P70)</f>
        <v>#DIV/0!</v>
      </c>
      <c r="U70" s="885" t="e">
        <f>+($O70*Schweine_Werte!$HV$15+$P70*Schweine_Werte!$HW$15)/SUM($O70:$P70)</f>
        <v>#DIV/0!</v>
      </c>
      <c r="V70" s="885" t="e">
        <f>+($O70*Schweine_Werte!$HX$15+$P70*Schweine_Werte!$HY$15)/SUM($O70:$P70)</f>
        <v>#DIV/0!</v>
      </c>
      <c r="W70" s="1915" t="e">
        <f>($J70*0.055+T70*0.365*0.86*$F70-$K70*0.018)/L70*100</f>
        <v>#DIV/0!</v>
      </c>
      <c r="X70" s="1915" t="e">
        <f>($J70*0.055+U70*0.365*0.86*$F70-$K70*0.018/2)/M70*100</f>
        <v>#DIV/0!</v>
      </c>
      <c r="Y70" s="885" t="e">
        <f>($J70*0.055+V70*0.365*0.86*$F70)/N70*100</f>
        <v>#DIV/0!</v>
      </c>
      <c r="Z70" s="885" t="e">
        <f>IF($B74=$A$8,SUMPRODUCT($BR$4:$BR$31,Schweine_Werte!$HH$4:$HH$31,Schweine_Werte!$HI$4:$HI$31)/SUMPRODUCT($BR$4:$BR$31,Schweine_Werte!$HH$4:$HH$31),IF($B74=$A$7,SUMPRODUCT($BR$4:$BR$31,Schweine_Werte!$GT$4:$GT$31,Schweine_Werte!$GU$4:$GU$31)/SUMPRODUCT($BR$4:$BR$31,Schweine_Werte!$GT$4:$GT$31),IF($B74=$A$6,SUMPRODUCT($BR$4:$BR$31,Schweine_Werte!$GF$4:$GF$31,Schweine_Werte!$GG$4:$GG$31)/SUMPRODUCT($BR$4:$BR$31,Schweine_Werte!$GF$4:$GF$31),SUMPRODUCT($BR$4:$BR$31,Schweine_Werte!$FR$4:$FR$31,Schweine_Werte!$FS$4:$FS$31)/SUMPRODUCT($BR$4:$BR$31,Schweine_Werte!$FR$4:$FR$31))))</f>
        <v>#DIV/0!</v>
      </c>
      <c r="AA70" s="885"/>
      <c r="AB70" s="885">
        <f>IF($B74=$A$8,SUMIF(Schweine_Werte!$AO$4:$AO$31,$C74,Schweine_Werte!$HI$4:$HI$31),IF($B74=$A$7,SUMIF(Schweine_Werte!$AO$4:$AO$31,$C74,Schweine_Werte!$GU$4:$GU$31),IF($B74=$A$6,SUMIF(Schweine_Werte!$AO$4:$AO$31,$C74,Schweine_Werte!$GG$4:$GG$31),SUMIF(Schweine_Werte!$AO$4:$AO$31,$C74,Schweine_Werte!$FS$4:$FS$31))))</f>
        <v>0</v>
      </c>
      <c r="AC70" s="885"/>
      <c r="AD70" s="885">
        <f>IF($B74=$A$8,SUMIF(Schweine_Werte!$AO$4:$AO$31,$D74,Schweine_Werte!$HI$4:$HI$31),IF($B74=$A$7,SUMIF(Schweine_Werte!$AO$4:$AO$31,$D74,Schweine_Werte!$GU$4:$GU$31),IF($B74=$A$6,SUMIF(Schweine_Werte!$AO$4:$AO$31,$D74,Schweine_Werte!$GG$4:$GG$31),SUMIF(Schweine_Werte!$AO$4:$AO$31,$D74,Schweine_Werte!$FS$4:$FS$31))))</f>
        <v>0</v>
      </c>
      <c r="AE70" s="885"/>
      <c r="AF70" s="885"/>
      <c r="AG70" s="885" t="e">
        <f>IF($B74=$A$8,SUMPRODUCT($BR$4:$BR$31,Schweine_Werte!$HH$4:$HH$31)/SUM($BR$4:$BR$31),IF($B74=$A$7,SUMPRODUCT($BR$4:$BR$31,Schweine_Werte!$GT$4:$GT$31)/SUM($BR$4:$BR$31),IF($B74=$A$6,SUMPRODUCT($BR$4:$BR$31,Schweine_Werte!$GF$4:$GF$31)/SUM($BR$4:$BR$31),SUMPRODUCT($BR$4:$BR$31,Schweine_Werte!$FR$4:$FR$31)/SUM($BR$4:$BR$31))))</f>
        <v>#DIV/0!</v>
      </c>
      <c r="AH70" s="885"/>
      <c r="AI70" s="885"/>
      <c r="AJ70" s="885" t="e">
        <f>IF($B74=$A$8,SUMPRODUCT($BR$4:$BR$31,Schweine_Werte!$HH$4:$HH$31,Schweine_Werte!$HJ$4:$HJ$31)/SUMPRODUCT($BR$4:$BR$31,Schweine_Werte!$HH$4:$HH$31),IF($B74=$A$7,SUMPRODUCT($BR$4:$BR$31,Schweine_Werte!$GT$4:$GT$31,Schweine_Werte!$GV$4:$GV$31)/SUMPRODUCT($BR$4:$BR$31,Schweine_Werte!$GT$4:$GT$31),IF($B74=$A$6,SUMPRODUCT($BR$4:$BR$31,Schweine_Werte!$GF$4:$GF$31,Schweine_Werte!$GH$4:$GH$31)/SUMPRODUCT($BR$4:$BR$31,Schweine_Werte!$GF$4:$GF$31),SUMPRODUCT($BR$4:$BR$31,Schweine_Werte!$FR$4:$FR$31,Schweine_Werte!$FT$4:$FT$31)/SUMPRODUCT($BR$4:$BR$31,Schweine_Werte!$FR$4:$FR$31))))</f>
        <v>#DIV/0!</v>
      </c>
      <c r="AK70" s="885"/>
      <c r="AL70" s="885">
        <f>IF($B74=$A$8,SUMIF(Schweine_Werte!$AO$4:$AO$31,$C74,Schweine_Werte!$HJ$4:$HJ$31),IF($B74=$A$7,SUMIF(Schweine_Werte!$AO$4:$AO$31,$C74,Schweine_Werte!$GV$4:$GV$31),IF($B74=$A$6,SUMIF(Schweine_Werte!$AO$4:$AO$31,$C74,Schweine_Werte!$GH$4:$GH$31),SUMIF(Schweine_Werte!$AO$4:$AO$31,$C74,Schweine_Werte!$FT$4:$FT$31))))</f>
        <v>0</v>
      </c>
      <c r="AM70" s="885"/>
      <c r="AN70" s="885">
        <f>IF($B74=$A$8,SUMIF(Schweine_Werte!$AO$4:$AO$31,$D74,Schweine_Werte!$HJ$4:$HJ$31),IF($B74=$A$7,SUMIF(Schweine_Werte!$AO$4:$AO$31,$D74,Schweine_Werte!$GV$4:$GV$31),IF($B74=$A$6,SUMIF(Schweine_Werte!$AO$4:$AO$31,$D74,Schweine_Werte!$GH$4:$GH$31),SUMIF(Schweine_Werte!$AO$4:$AO$31,$D74,Schweine_Werte!$FT$4:$FT$31))))</f>
        <v>0</v>
      </c>
      <c r="AO70" s="885"/>
      <c r="AR70" s="1733">
        <v>74</v>
      </c>
      <c r="AS70" s="1710">
        <f>IF(OR($C$12=$AR70,$D$12=$AR70),Schweine_Werte!$C70*0.5,IF(OR($C$12&gt;$AR70,$D$12&lt;$AR70),0,Schweine_Werte!$C70))</f>
        <v>0</v>
      </c>
      <c r="AT70" s="1713">
        <f>IF(OR($C$24=$AR70,$D$24=$AR70),Schweine_Werte!$C70*0.5,IF(OR($C$24&gt;$AR70,$D$24&lt;$AR70),0,Schweine_Werte!$C70))</f>
        <v>0</v>
      </c>
      <c r="AU70" s="1710">
        <f>IF(OR($C$36=$AR70,$D$36=$AR70),Schweine_Werte!$C70*0.5,IF(OR($C$36&gt;$AR70,$D$36&lt;$AR70),0,Schweine_Werte!$C70))</f>
        <v>0</v>
      </c>
      <c r="AV70" s="1710">
        <f>IF(OR($C$48=$AR70,$D$48=$AR70),Schweine_Werte!$C70*0.5,IF(OR($C$48&gt;$AR70,$D$48&lt;$AR70),0,Schweine_Werte!$C70))</f>
        <v>0</v>
      </c>
      <c r="AW70" s="1710">
        <f>IF(OR($C$60=$AR70,$D$60=$AR70),Schweine_Werte!$C70*0.5,IF(OR($C$60&gt;$AR70,$D$60&lt;$AR70),0,Schweine_Werte!$C70))</f>
        <v>0</v>
      </c>
      <c r="AX70" s="1710">
        <f>IF(OR($C$12=$AR70,$D$12=$AR70),Schweine_Werte!$E70*0.5,IF(OR($C$12&gt;$AR70,$D$12&lt;$AR70),0,Schweine_Werte!$E70))</f>
        <v>0</v>
      </c>
      <c r="AY70" s="1713">
        <f>IF(OR($C$24=$AR70,$D$24=$AR70),Schweine_Werte!$E70*0.5,IF(OR($C$24&gt;$AR70,$D$24&lt;$AR70),0,Schweine_Werte!$E70))</f>
        <v>0</v>
      </c>
      <c r="AZ70" s="1713">
        <f>IF(OR($C$36=$AR70,$D$36=$AR70),Schweine_Werte!$E70*0.5,IF(OR($C$36&gt;$AR70,$D$36&lt;$AR70),0,Schweine_Werte!$E70))</f>
        <v>0</v>
      </c>
      <c r="BA70" s="1713">
        <f>IF(OR($C$48=$AR70,$D$48=$AR70),Schweine_Werte!$E70*0.5,IF(OR($C$48&gt;$AR70,$D$48&lt;$AR70),0,Schweine_Werte!$E70))</f>
        <v>0</v>
      </c>
      <c r="BB70" s="1713">
        <f>IF(OR($C$60=$AR70,$D$60=$AR70),Schweine_Werte!$E70*0.5,IF(OR($C$60&gt;$AR70,$D$60&lt;$AR70),0,Schweine_Werte!$E70))</f>
        <v>0</v>
      </c>
      <c r="BC70" s="1710">
        <f>IF(OR($C$12=$AR70,$D$12=$AR70),Schweine_Werte!$G70*0.5,IF(OR($C$12&gt;$AR70,$D$12&lt;$AR70),0,Schweine_Werte!$G70))</f>
        <v>0</v>
      </c>
      <c r="BD70" s="1713">
        <f>IF(OR($C$24=$AR70,$D$24=$AR70),Schweine_Werte!$G70*0.5,IF(OR($C$24&gt;$AR70,$D$24&lt;$AR70),0,Schweine_Werte!$G70))</f>
        <v>0</v>
      </c>
      <c r="BE70" s="1713">
        <f>IF(OR($C$36=$AR70,$D$36=$AR70),Schweine_Werte!$G70*0.5,IF(OR($C$36&gt;$AR70,$D$36&lt;$AR70),0,Schweine_Werte!$G70))</f>
        <v>0</v>
      </c>
      <c r="BF70" s="1713">
        <f>IF(OR($C$48=$AR70,$D$48=$AR70),Schweine_Werte!$G70*0.5,IF(OR($C$48&gt;$AR70,$D$48&lt;$AR70),0,Schweine_Werte!$G70))</f>
        <v>0</v>
      </c>
      <c r="BG70" s="1713">
        <f>IF(OR($C$60=$AR70,$D$60=$AR70),Schweine_Werte!$G70*0.5,IF(OR($C$60&gt;$AR70,$D$60&lt;$AR70),0,Schweine_Werte!$G70))</f>
        <v>0</v>
      </c>
      <c r="BH70" s="1710">
        <f>IF(OR($C$12=$AR70,$D$12=$AR70),Schweine_Werte!$I70*0.5,IF(OR($C$12&gt;$AR70,$D$12&lt;$AR70),0,Schweine_Werte!$I70))</f>
        <v>0</v>
      </c>
      <c r="BI70" s="1713">
        <f>IF(OR($C$24=$AR70,$D$24=$AR70),Schweine_Werte!$I70*0.5,IF(OR($C$24&gt;$AR70,$D$24&lt;$AR70),0,Schweine_Werte!$I70))</f>
        <v>0</v>
      </c>
      <c r="BJ70" s="1713">
        <f>IF(OR($C$36=$AR70,$D$36=$AR70),Schweine_Werte!$I70*0.5,IF(OR($C$36&gt;$AR70,$D$36&lt;$AR70),0,Schweine_Werte!$I70))</f>
        <v>0</v>
      </c>
      <c r="BK70" s="1713">
        <f>IF(OR($C$48=$AR70,$D$48=$AR70),Schweine_Werte!$I70*0.5,IF(OR($C$48&gt;$AR70,$D$48&lt;$AR70),0,Schweine_Werte!$I70))</f>
        <v>0</v>
      </c>
      <c r="BL70" s="1713">
        <f>IF(OR($C$60=$AR70,$D$60=$AR70),Schweine_Werte!$I70*0.5,IF(OR($C$60&gt;$AR70,$D$60&lt;$AR70),0,Schweine_Werte!$I70))</f>
        <v>0</v>
      </c>
      <c r="BM70" s="1710">
        <f>IF(OR($C$12=$AR70,$D$12=$AR70),Schweine_Werte!$K70*0.5,IF(OR($C$12&gt;$AR70,$D$12&lt;$AR70),0,Schweine_Werte!$K70))</f>
        <v>0</v>
      </c>
      <c r="BN70" s="1713">
        <f>IF(OR($C$24=$AR70,$D$24=$AR70),Schweine_Werte!$K70*0.5,IF(OR($C$24&gt;$AR70,$D$24&lt;$AR70),0,Schweine_Werte!$K70))</f>
        <v>0</v>
      </c>
      <c r="BO70" s="1713">
        <f>IF(OR($C$36=$AR70,$D$36=$AR70),Schweine_Werte!$K70*0.5,IF(OR($C$36&gt;$AR70,$D$36&lt;$AR70),0,Schweine_Werte!$K70))</f>
        <v>0</v>
      </c>
      <c r="BP70" s="1713">
        <f>IF(OR($C$48=$AR70,$D$48=$AR70),Schweine_Werte!$K70*0.5,IF(OR($C$48&gt;$AR70,$D$48&lt;$AR70),0,Schweine_Werte!$K70))</f>
        <v>0</v>
      </c>
      <c r="BQ70" s="1713">
        <f>IF(OR($C$60=$AR70,$D$60=$AR70),Schweine_Werte!$K70*0.5,IF(OR($C$60&gt;$AR70,$D$60&lt;$AR70),0,Schweine_Werte!$K70))</f>
        <v>0</v>
      </c>
      <c r="BR70" s="1710">
        <f>IF(OR($C$74=$AR70,$D$74=$AR70),Schweine_Werte!$M70*0.5,IF(OR($C$74&gt;$AR70,$D$74&lt;$AR70),0,Schweine_Werte!$M70))</f>
        <v>0</v>
      </c>
      <c r="BS70" s="1710">
        <f>IF(OR($C$83=$AR70,$D$83=$AR70),Schweine_Werte!$M70*0.5,IF(OR($C$83&gt;$AR70,$D$83&lt;$AR70),0,Schweine_Werte!$M70))</f>
        <v>0</v>
      </c>
      <c r="BT70" s="1714">
        <f>IF(OR($C$92=$AR70,$D$92=$AR70),Schweine_Werte!$M70*0.5,IF(OR($C$92&gt;$AR70,$D$92&lt;$AR70),0,Schweine_Werte!$M70))</f>
        <v>0</v>
      </c>
      <c r="BU70" s="1714">
        <f>IF(OR($C$101=$AR70,$D$101=$AR70),Schweine_Werte!$M70*0.5,IF(OR($C$101&gt;$AR70,$D$101&lt;$AR70),0,Schweine_Werte!$M70))</f>
        <v>0</v>
      </c>
      <c r="BV70" s="1714">
        <f>IF(OR($C$110=$AR70,$D$110=$AR70),Schweine_Werte!$M70*0.5,IF(OR($C$110&gt;$AR70,$D$110&lt;$AR70),0,Schweine_Werte!$M70))</f>
        <v>0</v>
      </c>
      <c r="BW70" s="1714">
        <f>IF(OR(8=$AR70,$E$127=$AR70),Schweine_Werte!$M70*0.5,IF(OR(8&gt;$AR70,$E$127&lt;$AR70),0,Schweine_Werte!$M70))</f>
        <v>1.1050108487679347</v>
      </c>
      <c r="BX70" s="1714">
        <f>IF(OR(8=$AR70,$E$145=$AR70),Schweine_Werte!$M70*0.5,IF(OR(8&gt;$AR70,$E$145&lt;$AR70),0,Schweine_Werte!$M70))</f>
        <v>1.1050108487679347</v>
      </c>
      <c r="BY70" s="1710">
        <f>IF(OR($C$74=$AR70,$D$74=$AR70),Schweine_Werte!$O70*0.5,IF(OR($C$74&gt;$AR70,$D$74&lt;$AR70),0,Schweine_Werte!$O70))</f>
        <v>0</v>
      </c>
      <c r="BZ70" s="1710">
        <f>IF(OR($C$83=$AR70,$D$83=$AR70),Schweine_Werte!$O70*0.5,IF(OR($C$83&gt;$AR70,$D$83&lt;$AR70),0,Schweine_Werte!$O70))</f>
        <v>0</v>
      </c>
      <c r="CA70" s="1714">
        <f>IF(OR($C$92=$AR70,$D$92=$AR70),Schweine_Werte!$O70*0.5,IF(OR($C$92&gt;$AR70,$D$92&lt;$AR70),0,Schweine_Werte!$O70))</f>
        <v>0</v>
      </c>
      <c r="CB70" s="1714">
        <f>IF(OR($C$101=$AR70,$D$101=$AR70),Schweine_Werte!$O70*0.5,IF(OR($C$101&gt;$AR70,$D$101&lt;$AR70),0,Schweine_Werte!$O70))</f>
        <v>0</v>
      </c>
      <c r="CC70" s="1714">
        <f>IF(OR($C$110=$AR70,$D$110=$AR70),Schweine_Werte!$O70*0.5,IF(OR($C$110&gt;$AR70,$D$110&lt;$AR70),0,Schweine_Werte!$O70))</f>
        <v>0</v>
      </c>
    </row>
    <row r="71" spans="1:81" x14ac:dyDescent="0.25">
      <c r="B71">
        <v>500</v>
      </c>
      <c r="C71"/>
      <c r="D71" s="885"/>
      <c r="E71" t="e">
        <f>($D74-$C74)*1000/SUM($BY$4:$BY$31)</f>
        <v>#VALUE!</v>
      </c>
      <c r="F71" s="885" t="e">
        <f>SUMPRODUCT($BY$4:$BY$31,Schweine_Werte!$W$4:$W$31)/SUM($BY$4:$BY$31)</f>
        <v>#DIV/0!</v>
      </c>
      <c r="G71" s="885" t="e">
        <f>IF($B74=$A$8,SUMPRODUCT($BY$4:$BY$31,Schweine_Werte!HK$4:HK$31)/SUM($BY$4:$BY$31),IF($B74=$A$7,SUMPRODUCT($BY$4:$BY$31,Schweine_Werte!GW$4:GW$31)/SUM($BY$4:$BY$31),IF($B74=$A$6,SUMPRODUCT($BY$4:$BY$31,Schweine_Werte!GI$4:GI$31)/SUM($BY$4:$BY$31),SUMPRODUCT($BY$4:$BY$31,Schweine_Werte!FU$4:FU$31)/SUM($BY$4:$BY$31))))</f>
        <v>#DIV/0!</v>
      </c>
      <c r="H71" s="885" t="e">
        <f>IF($B74=$A$8,SUMPRODUCT($BY$4:$BY$31,Schweine_Werte!HL$4:HL$31)/SUM($BY$4:$BY$31),IF($B74=$A$7,SUMPRODUCT($BY$4:$BY$31,Schweine_Werte!GX$4:GX$31)/SUM($BY$4:$BY$31),IF($B74=$A$6,SUMPRODUCT($BY$4:$BY$31,Schweine_Werte!GJ$4:GJ$31)/SUM($BY$4:$BY$31),SUMPRODUCT($BY$4:$BY$31,Schweine_Werte!FV$4:FV$31)/SUM($BY$4:$BY$31))))</f>
        <v>#DIV/0!</v>
      </c>
      <c r="I71" s="885" t="e">
        <f>IF($B74=$A$8,SUMPRODUCT($BY$4:$BY$31,Schweine_Werte!HM$4:HM$31)/SUM($BY$4:$BY$31),IF($B74=$A$7,SUMPRODUCT($BY$4:$BY$31,Schweine_Werte!GY$4:GY$31)/SUM($BY$4:$BY$31),IF($B74=$A$6,SUMPRODUCT($BY$4:$BY$31,Schweine_Werte!GK$4:GK$31)/SUM($BY$4:$BY$31),SUMPRODUCT($BY$4:$BY$31,Schweine_Werte!FW$4:FW$31)/SUM($BY$4:$BY$31))))</f>
        <v>#DIV/0!</v>
      </c>
      <c r="J71" s="885" t="e">
        <f>SUMPRODUCT($BY$4:$BY$31,Schweine_Werte!$AE$4:$AE$31)/SUM($BY$4:$BY$31)</f>
        <v>#DIV/0!</v>
      </c>
      <c r="K71" s="885" t="e">
        <f>SUMPRODUCT($BY$4:$BY$31,Schweine_Werte!$AM$4:$AM$31)/SUM($BY$4:$BY$31)</f>
        <v>#DIV/0!</v>
      </c>
      <c r="L71" s="885" t="e">
        <f>T71*$F71*365/1000+$J71-$K71</f>
        <v>#DIV/0!</v>
      </c>
      <c r="M71" s="885" t="e">
        <f>U71*$F71*365/1000+$J71-$K71/2</f>
        <v>#DIV/0!</v>
      </c>
      <c r="N71" s="885" t="e">
        <f>V71*$F71*365/1000+$J71</f>
        <v>#DIV/0!</v>
      </c>
      <c r="O71" s="885">
        <f>IF($C74&lt;28,SUM($BY$4:$BY$23)+IF($D74&gt;28,$BY$24*0.5,$BY$24),0)</f>
        <v>0</v>
      </c>
      <c r="P71" s="885">
        <f>IF($D74&gt;28,SUM($BY$25:$BY$31)+IF($C74&lt;28,$BY$24*0.5,$BY$24),0)</f>
        <v>0</v>
      </c>
      <c r="Q71" s="885" t="e">
        <f t="shared" si="15"/>
        <v>#DIV/0!</v>
      </c>
      <c r="R71" s="885" t="e">
        <f t="shared" si="15"/>
        <v>#DIV/0!</v>
      </c>
      <c r="S71" s="885" t="e">
        <f t="shared" si="15"/>
        <v>#DIV/0!</v>
      </c>
      <c r="T71" s="885" t="e">
        <f>+($O71*Schweine_Werte!$HT$16+$P71*Schweine_Werte!$HU$16)/SUM($O71:$P71)</f>
        <v>#DIV/0!</v>
      </c>
      <c r="U71" s="885" t="e">
        <f>+($O71*Schweine_Werte!$HV$16+$P71*Schweine_Werte!$HW$16)/SUM($O71:$P71)</f>
        <v>#DIV/0!</v>
      </c>
      <c r="V71" s="885" t="e">
        <f>+($O71*Schweine_Werte!$HX$16+$P71*Schweine_Werte!$HY$16)/SUM($O71:$P71)</f>
        <v>#DIV/0!</v>
      </c>
      <c r="W71" s="885" t="e">
        <f>($J71*0.055+T71*0.365*0.86*$F71-$K71*0.018)/L71*100</f>
        <v>#DIV/0!</v>
      </c>
      <c r="X71" s="885" t="e">
        <f>($J71*0.055+U71*0.365*0.86*$F71-$K71*0.018/2)/M71*100</f>
        <v>#DIV/0!</v>
      </c>
      <c r="Y71" s="885" t="e">
        <f>($J71*0.055+V71*0.365*0.86*$F71)/N71*100</f>
        <v>#DIV/0!</v>
      </c>
      <c r="Z71" s="885" t="e">
        <f>IF($B74=$A$8,SUMPRODUCT($BY$4:$BY$31,Schweine_Werte!$HN$4:$HN$31,Schweine_Werte!$HO$4:$HO$31)/SUMPRODUCT($BY$4:$BY$31,Schweine_Werte!$HN$4:$HN$31),IF($B74=$A$7,SUMPRODUCT($BY$4:$BY$31,Schweine_Werte!$GZ$4:$GZ$31,Schweine_Werte!$HA$4:$HA$31)/SUMPRODUCT($BY$4:$BY$31,Schweine_Werte!$GZ$4:$GZ$31),IF($B74=$A$6,SUMPRODUCT($BY$4:$BY$31,Schweine_Werte!$GL$4:$GL$31,Schweine_Werte!$GM$4:$GM$31)/SUMPRODUCT($BY$4:$BY$31,Schweine_Werte!$GL$4:$GL$31),SUMPRODUCT($BY$4:$BY$31,Schweine_Werte!$FX$4:$FX$31,Schweine_Werte!$FY$4:$FY$31)/SUMPRODUCT($BY$4:$BY$31,Schweine_Werte!$FX$4:$FX$31))))</f>
        <v>#DIV/0!</v>
      </c>
      <c r="AA71" s="885"/>
      <c r="AB71" s="885">
        <f>IF($B74=$A$8,SUMIF(Schweine_Werte!$AO$4:$AO$31,$C74,Schweine_Werte!$HO$4:$HO$31),IF($B74=$A$7,SUMIF(Schweine_Werte!$AO$4:$AO$31,$C74,Schweine_Werte!$HA$4:$HA$31),IF($B74=$A$6,SUMIF(Schweine_Werte!$AO$4:$AO$31,$C74,Schweine_Werte!$GM$4:$GM$31),SUMIF(Schweine_Werte!$AO$4:$AO$31,$C74,Schweine_Werte!$FY$4:$FY$31))))</f>
        <v>0</v>
      </c>
      <c r="AC71" s="885"/>
      <c r="AD71" s="885">
        <f>IF($B74=$A$8,SUMIF(Schweine_Werte!$AO$4:$AO$31,$D74,Schweine_Werte!$HO$4:$HO$31),IF($B74=$A$7,SUMIF(Schweine_Werte!$AO$4:$AO$31,$D74,Schweine_Werte!$HA$4:$HA$31),IF($B74=$A$6,SUMIF(Schweine_Werte!$AO$4:$AO$31,$D74,Schweine_Werte!$GM$4:$GM$31),SUMIF(Schweine_Werte!$AO$4:$AO$31,$D74,Schweine_Werte!$FY$4:$FY$31))))</f>
        <v>0</v>
      </c>
      <c r="AE71" s="885"/>
      <c r="AF71" s="885"/>
      <c r="AG71" s="885" t="e">
        <f>IF($B74=$A$8,SUMPRODUCT($BY$4:$BY$31,Schweine_Werte!$HN$4:$HN$31)/SUM($BY$4:$BY$31),IF($B74=$A$7,SUMPRODUCT($BY$4:$BY$31,Schweine_Werte!$GZ$4:$GZ$31)/SUM($BY$4:$BY$31),IF($B74=$A$6,SUMPRODUCT($BY$4:$BY$31,Schweine_Werte!$GL$4:$GL$31)/SUM($BY$4:$BY$31),SUMPRODUCT($BY$4:$BY$31,Schweine_Werte!$FX$4:$FX$31)/SUM($BY$4:$BY$31))))</f>
        <v>#DIV/0!</v>
      </c>
      <c r="AH71" s="885"/>
      <c r="AI71" s="885"/>
      <c r="AJ71" s="885" t="e">
        <f>IF($B74=$A$8,SUMPRODUCT($BY$4:$BY$31,Schweine_Werte!$HN$4:$HN$31,Schweine_Werte!$HP$4:$HP$31)/SUMPRODUCT($BY$4:$BY$31,Schweine_Werte!$HN$4:$HN$31),IF($B74=$A$7,SUMPRODUCT($BY$4:$BY$31,Schweine_Werte!$GZ$4:$GZ$31,Schweine_Werte!$HB$4:$HB$31)/SUMPRODUCT($BY$4:$BY$31,Schweine_Werte!$GZ$4:$GZ$31),IF($B74=$A$6,SUMPRODUCT($BY$4:$BY$31,Schweine_Werte!$GL$4:$GL$31,Schweine_Werte!$GN$4:$GN$31)/SUMPRODUCT($BY$4:$BY$31,Schweine_Werte!$GL$4:$GL$31),SUMPRODUCT($BY$4:$BY$31,Schweine_Werte!$FX$4:$FX$31,Schweine_Werte!$FZ$4:$FZ$31)/SUMPRODUCT($BY$4:$BY$31,Schweine_Werte!$FX$4:$FX$31))))</f>
        <v>#DIV/0!</v>
      </c>
      <c r="AK71" s="885"/>
      <c r="AL71" s="885">
        <f>IF($B74=$A$8,SUMIF(Schweine_Werte!$AO$4:$AO$31,$C74,Schweine_Werte!$HP$4:$HP$31),IF($B74=$A$7,SUMIF(Schweine_Werte!$AO$4:$AO$31,$C74,Schweine_Werte!$HB$4:$HB$31),IF($B74=$A$6,SUMIF(Schweine_Werte!$AO$4:$AO$31,$C74,Schweine_Werte!$GN$4:$GN$31),SUMIF(Schweine_Werte!$AO$4:$AO$31,$C74,Schweine_Werte!$FZ$4:$FZ$31))))</f>
        <v>0</v>
      </c>
      <c r="AM71" s="885"/>
      <c r="AN71" s="885">
        <f>IF($B74=$A$8,SUMIF(Schweine_Werte!$AO$4:$AO$31,$D74,Schweine_Werte!$HP$4:$HP$31),IF($B74=$A$7,SUMIF(Schweine_Werte!$AO$4:$AO$31,$D74,Schweine_Werte!$HB$4:$HB$31),IF($B74=$A$6,SUMIF(Schweine_Werte!$AO$4:$AO$31,$D74,Schweine_Werte!$GN$4:$GN$31),SUMIF(Schweine_Werte!$AO$4:$AO$31,$D74,Schweine_Werte!$FZ$4:$FZ$31))))</f>
        <v>0</v>
      </c>
      <c r="AO71" s="885"/>
      <c r="AR71" s="1733">
        <v>75</v>
      </c>
      <c r="AS71" s="1710">
        <f>IF(OR($C$12=$AR71,$D$12=$AR71),Schweine_Werte!$C71*0.5,IF(OR($C$12&gt;$AR71,$D$12&lt;$AR71),0,Schweine_Werte!$C71))</f>
        <v>0</v>
      </c>
      <c r="AT71" s="1713">
        <f>IF(OR($C$24=$AR71,$D$24=$AR71),Schweine_Werte!$C71*0.5,IF(OR($C$24&gt;$AR71,$D$24&lt;$AR71),0,Schweine_Werte!$C71))</f>
        <v>0</v>
      </c>
      <c r="AU71" s="1710">
        <f>IF(OR($C$36=$AR71,$D$36=$AR71),Schweine_Werte!$C71*0.5,IF(OR($C$36&gt;$AR71,$D$36&lt;$AR71),0,Schweine_Werte!$C71))</f>
        <v>0</v>
      </c>
      <c r="AV71" s="1710">
        <f>IF(OR($C$48=$AR71,$D$48=$AR71),Schweine_Werte!$C71*0.5,IF(OR($C$48&gt;$AR71,$D$48&lt;$AR71),0,Schweine_Werte!$C71))</f>
        <v>0</v>
      </c>
      <c r="AW71" s="1710">
        <f>IF(OR($C$60=$AR71,$D$60=$AR71),Schweine_Werte!$C71*0.5,IF(OR($C$60&gt;$AR71,$D$60&lt;$AR71),0,Schweine_Werte!$C71))</f>
        <v>0</v>
      </c>
      <c r="AX71" s="1710">
        <f>IF(OR($C$12=$AR71,$D$12=$AR71),Schweine_Werte!$E71*0.5,IF(OR($C$12&gt;$AR71,$D$12&lt;$AR71),0,Schweine_Werte!$E71))</f>
        <v>0</v>
      </c>
      <c r="AY71" s="1713">
        <f>IF(OR($C$24=$AR71,$D$24=$AR71),Schweine_Werte!$E71*0.5,IF(OR($C$24&gt;$AR71,$D$24&lt;$AR71),0,Schweine_Werte!$E71))</f>
        <v>0</v>
      </c>
      <c r="AZ71" s="1713">
        <f>IF(OR($C$36=$AR71,$D$36=$AR71),Schweine_Werte!$E71*0.5,IF(OR($C$36&gt;$AR71,$D$36&lt;$AR71),0,Schweine_Werte!$E71))</f>
        <v>0</v>
      </c>
      <c r="BA71" s="1713">
        <f>IF(OR($C$48=$AR71,$D$48=$AR71),Schweine_Werte!$E71*0.5,IF(OR($C$48&gt;$AR71,$D$48&lt;$AR71),0,Schweine_Werte!$E71))</f>
        <v>0</v>
      </c>
      <c r="BB71" s="1713">
        <f>IF(OR($C$60=$AR71,$D$60=$AR71),Schweine_Werte!$E71*0.5,IF(OR($C$60&gt;$AR71,$D$60&lt;$AR71),0,Schweine_Werte!$E71))</f>
        <v>0</v>
      </c>
      <c r="BC71" s="1710">
        <f>IF(OR($C$12=$AR71,$D$12=$AR71),Schweine_Werte!$G71*0.5,IF(OR($C$12&gt;$AR71,$D$12&lt;$AR71),0,Schweine_Werte!$G71))</f>
        <v>0</v>
      </c>
      <c r="BD71" s="1713">
        <f>IF(OR($C$24=$AR71,$D$24=$AR71),Schweine_Werte!$G71*0.5,IF(OR($C$24&gt;$AR71,$D$24&lt;$AR71),0,Schweine_Werte!$G71))</f>
        <v>0</v>
      </c>
      <c r="BE71" s="1713">
        <f>IF(OR($C$36=$AR71,$D$36=$AR71),Schweine_Werte!$G71*0.5,IF(OR($C$36&gt;$AR71,$D$36&lt;$AR71),0,Schweine_Werte!$G71))</f>
        <v>0</v>
      </c>
      <c r="BF71" s="1713">
        <f>IF(OR($C$48=$AR71,$D$48=$AR71),Schweine_Werte!$G71*0.5,IF(OR($C$48&gt;$AR71,$D$48&lt;$AR71),0,Schweine_Werte!$G71))</f>
        <v>0</v>
      </c>
      <c r="BG71" s="1713">
        <f>IF(OR($C$60=$AR71,$D$60=$AR71),Schweine_Werte!$G71*0.5,IF(OR($C$60&gt;$AR71,$D$60&lt;$AR71),0,Schweine_Werte!$G71))</f>
        <v>0</v>
      </c>
      <c r="BH71" s="1710">
        <f>IF(OR($C$12=$AR71,$D$12=$AR71),Schweine_Werte!$I71*0.5,IF(OR($C$12&gt;$AR71,$D$12&lt;$AR71),0,Schweine_Werte!$I71))</f>
        <v>0</v>
      </c>
      <c r="BI71" s="1713">
        <f>IF(OR($C$24=$AR71,$D$24=$AR71),Schweine_Werte!$I71*0.5,IF(OR($C$24&gt;$AR71,$D$24&lt;$AR71),0,Schweine_Werte!$I71))</f>
        <v>0</v>
      </c>
      <c r="BJ71" s="1713">
        <f>IF(OR($C$36=$AR71,$D$36=$AR71),Schweine_Werte!$I71*0.5,IF(OR($C$36&gt;$AR71,$D$36&lt;$AR71),0,Schweine_Werte!$I71))</f>
        <v>0</v>
      </c>
      <c r="BK71" s="1713">
        <f>IF(OR($C$48=$AR71,$D$48=$AR71),Schweine_Werte!$I71*0.5,IF(OR($C$48&gt;$AR71,$D$48&lt;$AR71),0,Schweine_Werte!$I71))</f>
        <v>0</v>
      </c>
      <c r="BL71" s="1713">
        <f>IF(OR($C$60=$AR71,$D$60=$AR71),Schweine_Werte!$I71*0.5,IF(OR($C$60&gt;$AR71,$D$60&lt;$AR71),0,Schweine_Werte!$I71))</f>
        <v>0</v>
      </c>
      <c r="BM71" s="1710">
        <f>IF(OR($C$12=$AR71,$D$12=$AR71),Schweine_Werte!$K71*0.5,IF(OR($C$12&gt;$AR71,$D$12&lt;$AR71),0,Schweine_Werte!$K71))</f>
        <v>0</v>
      </c>
      <c r="BN71" s="1713">
        <f>IF(OR($C$24=$AR71,$D$24=$AR71),Schweine_Werte!$K71*0.5,IF(OR($C$24&gt;$AR71,$D$24&lt;$AR71),0,Schweine_Werte!$K71))</f>
        <v>0</v>
      </c>
      <c r="BO71" s="1713">
        <f>IF(OR($C$36=$AR71,$D$36=$AR71),Schweine_Werte!$K71*0.5,IF(OR($C$36&gt;$AR71,$D$36&lt;$AR71),0,Schweine_Werte!$K71))</f>
        <v>0</v>
      </c>
      <c r="BP71" s="1713">
        <f>IF(OR($C$48=$AR71,$D$48=$AR71),Schweine_Werte!$K71*0.5,IF(OR($C$48&gt;$AR71,$D$48&lt;$AR71),0,Schweine_Werte!$K71))</f>
        <v>0</v>
      </c>
      <c r="BQ71" s="1713">
        <f>IF(OR($C$60=$AR71,$D$60=$AR71),Schweine_Werte!$K71*0.5,IF(OR($C$60&gt;$AR71,$D$60&lt;$AR71),0,Schweine_Werte!$K71))</f>
        <v>0</v>
      </c>
      <c r="BR71" s="1710">
        <f>IF(OR($C$74=$AR71,$D$74=$AR71),Schweine_Werte!$M71*0.5,IF(OR($C$74&gt;$AR71,$D$74&lt;$AR71),0,Schweine_Werte!$M71))</f>
        <v>0</v>
      </c>
      <c r="BS71" s="1710">
        <f>IF(OR($C$83=$AR71,$D$83=$AR71),Schweine_Werte!$M71*0.5,IF(OR($C$83&gt;$AR71,$D$83&lt;$AR71),0,Schweine_Werte!$M71))</f>
        <v>0</v>
      </c>
      <c r="BT71" s="1714">
        <f>IF(OR($C$92=$AR71,$D$92=$AR71),Schweine_Werte!$M71*0.5,IF(OR($C$92&gt;$AR71,$D$92&lt;$AR71),0,Schweine_Werte!$M71))</f>
        <v>0</v>
      </c>
      <c r="BU71" s="1714">
        <f>IF(OR($C$101=$AR71,$D$101=$AR71),Schweine_Werte!$M71*0.5,IF(OR($C$101&gt;$AR71,$D$101&lt;$AR71),0,Schweine_Werte!$M71))</f>
        <v>0</v>
      </c>
      <c r="BV71" s="1714">
        <f>IF(OR($C$110=$AR71,$D$110=$AR71),Schweine_Werte!$M71*0.5,IF(OR($C$110&gt;$AR71,$D$110&lt;$AR71),0,Schweine_Werte!$M71))</f>
        <v>0</v>
      </c>
      <c r="BW71" s="1714">
        <f>IF(OR(8=$AR71,$E$127=$AR71),Schweine_Werte!$M71*0.5,IF(OR(8&gt;$AR71,$E$127&lt;$AR71),0,Schweine_Werte!$M71))</f>
        <v>1.1057456648864845</v>
      </c>
      <c r="BX71" s="1714">
        <f>IF(OR(8=$AR71,$E$145=$AR71),Schweine_Werte!$M71*0.5,IF(OR(8&gt;$AR71,$E$145&lt;$AR71),0,Schweine_Werte!$M71))</f>
        <v>1.1057456648864845</v>
      </c>
      <c r="BY71" s="1710">
        <f>IF(OR($C$74=$AR71,$D$74=$AR71),Schweine_Werte!$O71*0.5,IF(OR($C$74&gt;$AR71,$D$74&lt;$AR71),0,Schweine_Werte!$O71))</f>
        <v>0</v>
      </c>
      <c r="BZ71" s="1710">
        <f>IF(OR($C$83=$AR71,$D$83=$AR71),Schweine_Werte!$O71*0.5,IF(OR($C$83&gt;$AR71,$D$83&lt;$AR71),0,Schweine_Werte!$O71))</f>
        <v>0</v>
      </c>
      <c r="CA71" s="1714">
        <f>IF(OR($C$92=$AR71,$D$92=$AR71),Schweine_Werte!$O71*0.5,IF(OR($C$92&gt;$AR71,$D$92&lt;$AR71),0,Schweine_Werte!$O71))</f>
        <v>0</v>
      </c>
      <c r="CB71" s="1714">
        <f>IF(OR($C$101=$AR71,$D$101=$AR71),Schweine_Werte!$O71*0.5,IF(OR($C$101&gt;$AR71,$D$101&lt;$AR71),0,Schweine_Werte!$O71))</f>
        <v>0</v>
      </c>
      <c r="CC71" s="1714">
        <f>IF(OR($C$110=$AR71,$D$110=$AR71),Schweine_Werte!$O71*0.5,IF(OR($C$110&gt;$AR71,$D$110&lt;$AR71),0,Schweine_Werte!$O71))</f>
        <v>0</v>
      </c>
    </row>
    <row r="72" spans="1:81" ht="15.75" x14ac:dyDescent="0.25">
      <c r="F72" s="1716"/>
      <c r="G72" s="3257" t="s">
        <v>8582</v>
      </c>
      <c r="H72" s="3258"/>
      <c r="I72" s="3259"/>
      <c r="J72" s="1717" t="s">
        <v>8096</v>
      </c>
      <c r="K72" s="1717" t="s">
        <v>204</v>
      </c>
      <c r="L72" s="3260" t="s">
        <v>8583</v>
      </c>
      <c r="M72" s="3260"/>
      <c r="N72" s="3260"/>
      <c r="O72" s="3247" t="s">
        <v>8584</v>
      </c>
      <c r="P72" s="3249"/>
      <c r="Q72" s="3247" t="s">
        <v>8585</v>
      </c>
      <c r="R72" s="3248"/>
      <c r="S72" s="3249"/>
      <c r="T72" s="3247" t="s">
        <v>8586</v>
      </c>
      <c r="U72" s="3248"/>
      <c r="V72" s="3249"/>
      <c r="W72" s="3247" t="s">
        <v>8587</v>
      </c>
      <c r="X72" s="3248"/>
      <c r="Y72" s="3249"/>
      <c r="Z72" s="3250" t="s">
        <v>8588</v>
      </c>
      <c r="AA72" s="3250"/>
      <c r="AB72" s="3250" t="s">
        <v>8589</v>
      </c>
      <c r="AC72" s="3250"/>
      <c r="AD72" s="3250" t="s">
        <v>8590</v>
      </c>
      <c r="AE72" s="3250"/>
      <c r="AF72" s="1718" t="s">
        <v>8591</v>
      </c>
      <c r="AG72" s="3254" t="s">
        <v>8592</v>
      </c>
      <c r="AH72" s="3255"/>
      <c r="AI72" s="1719" t="s">
        <v>8611</v>
      </c>
      <c r="AJ72" s="3250" t="s">
        <v>8588</v>
      </c>
      <c r="AK72" s="3250"/>
      <c r="AL72" s="3250" t="s">
        <v>8589</v>
      </c>
      <c r="AM72" s="3250"/>
      <c r="AN72" s="3250" t="s">
        <v>8590</v>
      </c>
      <c r="AO72" s="3250"/>
      <c r="AR72" s="1733">
        <v>76</v>
      </c>
      <c r="AS72" s="1710">
        <f>IF(OR($C$12=$AR72,$D$12=$AR72),Schweine_Werte!$C72*0.5,IF(OR($C$12&gt;$AR72,$D$12&lt;$AR72),0,Schweine_Werte!$C72))</f>
        <v>0</v>
      </c>
      <c r="AT72" s="1713">
        <f>IF(OR($C$24=$AR72,$D$24=$AR72),Schweine_Werte!$C72*0.5,IF(OR($C$24&gt;$AR72,$D$24&lt;$AR72),0,Schweine_Werte!$C72))</f>
        <v>0</v>
      </c>
      <c r="AU72" s="1710">
        <f>IF(OR($C$36=$AR72,$D$36=$AR72),Schweine_Werte!$C72*0.5,IF(OR($C$36&gt;$AR72,$D$36&lt;$AR72),0,Schweine_Werte!$C72))</f>
        <v>0</v>
      </c>
      <c r="AV72" s="1710">
        <f>IF(OR($C$48=$AR72,$D$48=$AR72),Schweine_Werte!$C72*0.5,IF(OR($C$48&gt;$AR72,$D$48&lt;$AR72),0,Schweine_Werte!$C72))</f>
        <v>0</v>
      </c>
      <c r="AW72" s="1710">
        <f>IF(OR($C$60=$AR72,$D$60=$AR72),Schweine_Werte!$C72*0.5,IF(OR($C$60&gt;$AR72,$D$60&lt;$AR72),0,Schweine_Werte!$C72))</f>
        <v>0</v>
      </c>
      <c r="AX72" s="1710">
        <f>IF(OR($C$12=$AR72,$D$12=$AR72),Schweine_Werte!$E72*0.5,IF(OR($C$12&gt;$AR72,$D$12&lt;$AR72),0,Schweine_Werte!$E72))</f>
        <v>0</v>
      </c>
      <c r="AY72" s="1713">
        <f>IF(OR($C$24=$AR72,$D$24=$AR72),Schweine_Werte!$E72*0.5,IF(OR($C$24&gt;$AR72,$D$24&lt;$AR72),0,Schweine_Werte!$E72))</f>
        <v>0</v>
      </c>
      <c r="AZ72" s="1713">
        <f>IF(OR($C$36=$AR72,$D$36=$AR72),Schweine_Werte!$E72*0.5,IF(OR($C$36&gt;$AR72,$D$36&lt;$AR72),0,Schweine_Werte!$E72))</f>
        <v>0</v>
      </c>
      <c r="BA72" s="1713">
        <f>IF(OR($C$48=$AR72,$D$48=$AR72),Schweine_Werte!$E72*0.5,IF(OR($C$48&gt;$AR72,$D$48&lt;$AR72),0,Schweine_Werte!$E72))</f>
        <v>0</v>
      </c>
      <c r="BB72" s="1713">
        <f>IF(OR($C$60=$AR72,$D$60=$AR72),Schweine_Werte!$E72*0.5,IF(OR($C$60&gt;$AR72,$D$60&lt;$AR72),0,Schweine_Werte!$E72))</f>
        <v>0</v>
      </c>
      <c r="BC72" s="1710">
        <f>IF(OR($C$12=$AR72,$D$12=$AR72),Schweine_Werte!$G72*0.5,IF(OR($C$12&gt;$AR72,$D$12&lt;$AR72),0,Schweine_Werte!$G72))</f>
        <v>0</v>
      </c>
      <c r="BD72" s="1713">
        <f>IF(OR($C$24=$AR72,$D$24=$AR72),Schweine_Werte!$G72*0.5,IF(OR($C$24&gt;$AR72,$D$24&lt;$AR72),0,Schweine_Werte!$G72))</f>
        <v>0</v>
      </c>
      <c r="BE72" s="1713">
        <f>IF(OR($C$36=$AR72,$D$36=$AR72),Schweine_Werte!$G72*0.5,IF(OR($C$36&gt;$AR72,$D$36&lt;$AR72),0,Schweine_Werte!$G72))</f>
        <v>0</v>
      </c>
      <c r="BF72" s="1713">
        <f>IF(OR($C$48=$AR72,$D$48=$AR72),Schweine_Werte!$G72*0.5,IF(OR($C$48&gt;$AR72,$D$48&lt;$AR72),0,Schweine_Werte!$G72))</f>
        <v>0</v>
      </c>
      <c r="BG72" s="1713">
        <f>IF(OR($C$60=$AR72,$D$60=$AR72),Schweine_Werte!$G72*0.5,IF(OR($C$60&gt;$AR72,$D$60&lt;$AR72),0,Schweine_Werte!$G72))</f>
        <v>0</v>
      </c>
      <c r="BH72" s="1710">
        <f>IF(OR($C$12=$AR72,$D$12=$AR72),Schweine_Werte!$I72*0.5,IF(OR($C$12&gt;$AR72,$D$12&lt;$AR72),0,Schweine_Werte!$I72))</f>
        <v>0</v>
      </c>
      <c r="BI72" s="1713">
        <f>IF(OR($C$24=$AR72,$D$24=$AR72),Schweine_Werte!$I72*0.5,IF(OR($C$24&gt;$AR72,$D$24&lt;$AR72),0,Schweine_Werte!$I72))</f>
        <v>0</v>
      </c>
      <c r="BJ72" s="1713">
        <f>IF(OR($C$36=$AR72,$D$36=$AR72),Schweine_Werte!$I72*0.5,IF(OR($C$36&gt;$AR72,$D$36&lt;$AR72),0,Schweine_Werte!$I72))</f>
        <v>0</v>
      </c>
      <c r="BK72" s="1713">
        <f>IF(OR($C$48=$AR72,$D$48=$AR72),Schweine_Werte!$I72*0.5,IF(OR($C$48&gt;$AR72,$D$48&lt;$AR72),0,Schweine_Werte!$I72))</f>
        <v>0</v>
      </c>
      <c r="BL72" s="1713">
        <f>IF(OR($C$60=$AR72,$D$60=$AR72),Schweine_Werte!$I72*0.5,IF(OR($C$60&gt;$AR72,$D$60&lt;$AR72),0,Schweine_Werte!$I72))</f>
        <v>0</v>
      </c>
      <c r="BM72" s="1710">
        <f>IF(OR($C$12=$AR72,$D$12=$AR72),Schweine_Werte!$K72*0.5,IF(OR($C$12&gt;$AR72,$D$12&lt;$AR72),0,Schweine_Werte!$K72))</f>
        <v>0</v>
      </c>
      <c r="BN72" s="1713">
        <f>IF(OR($C$24=$AR72,$D$24=$AR72),Schweine_Werte!$K72*0.5,IF(OR($C$24&gt;$AR72,$D$24&lt;$AR72),0,Schweine_Werte!$K72))</f>
        <v>0</v>
      </c>
      <c r="BO72" s="1713">
        <f>IF(OR($C$36=$AR72,$D$36=$AR72),Schweine_Werte!$K72*0.5,IF(OR($C$36&gt;$AR72,$D$36&lt;$AR72),0,Schweine_Werte!$K72))</f>
        <v>0</v>
      </c>
      <c r="BP72" s="1713">
        <f>IF(OR($C$48=$AR72,$D$48=$AR72),Schweine_Werte!$K72*0.5,IF(OR($C$48&gt;$AR72,$D$48&lt;$AR72),0,Schweine_Werte!$K72))</f>
        <v>0</v>
      </c>
      <c r="BQ72" s="1713">
        <f>IF(OR($C$60=$AR72,$D$60=$AR72),Schweine_Werte!$K72*0.5,IF(OR($C$60&gt;$AR72,$D$60&lt;$AR72),0,Schweine_Werte!$K72))</f>
        <v>0</v>
      </c>
      <c r="BR72" s="1710">
        <f>IF(OR($C$74=$AR72,$D$74=$AR72),Schweine_Werte!$M72*0.5,IF(OR($C$74&gt;$AR72,$D$74&lt;$AR72),0,Schweine_Werte!$M72))</f>
        <v>0</v>
      </c>
      <c r="BS72" s="1710">
        <f>IF(OR($C$83=$AR72,$D$83=$AR72),Schweine_Werte!$M72*0.5,IF(OR($C$83&gt;$AR72,$D$83&lt;$AR72),0,Schweine_Werte!$M72))</f>
        <v>0</v>
      </c>
      <c r="BT72" s="1714">
        <f>IF(OR($C$92=$AR72,$D$92=$AR72),Schweine_Werte!$M72*0.5,IF(OR($C$92&gt;$AR72,$D$92&lt;$AR72),0,Schweine_Werte!$M72))</f>
        <v>0</v>
      </c>
      <c r="BU72" s="1714">
        <f>IF(OR($C$101=$AR72,$D$101=$AR72),Schweine_Werte!$M72*0.5,IF(OR($C$101&gt;$AR72,$D$101&lt;$AR72),0,Schweine_Werte!$M72))</f>
        <v>0</v>
      </c>
      <c r="BV72" s="1714">
        <f>IF(OR($C$110=$AR72,$D$110=$AR72),Schweine_Werte!$M72*0.5,IF(OR($C$110&gt;$AR72,$D$110&lt;$AR72),0,Schweine_Werte!$M72))</f>
        <v>0</v>
      </c>
      <c r="BW72" s="1714">
        <f>IF(OR(8=$AR72,$E$127=$AR72),Schweine_Werte!$M72*0.5,IF(OR(8&gt;$AR72,$E$127&lt;$AR72),0,Schweine_Werte!$M72))</f>
        <v>1.1068451513476441</v>
      </c>
      <c r="BX72" s="1714">
        <f>IF(OR(8=$AR72,$E$145=$AR72),Schweine_Werte!$M72*0.5,IF(OR(8&gt;$AR72,$E$145&lt;$AR72),0,Schweine_Werte!$M72))</f>
        <v>1.1068451513476441</v>
      </c>
      <c r="BY72" s="1710">
        <f>IF(OR($C$74=$AR72,$D$74=$AR72),Schweine_Werte!$O72*0.5,IF(OR($C$74&gt;$AR72,$D$74&lt;$AR72),0,Schweine_Werte!$O72))</f>
        <v>0</v>
      </c>
      <c r="BZ72" s="1710">
        <f>IF(OR($C$83=$AR72,$D$83=$AR72),Schweine_Werte!$O72*0.5,IF(OR($C$83&gt;$AR72,$D$83&lt;$AR72),0,Schweine_Werte!$O72))</f>
        <v>0</v>
      </c>
      <c r="CA72" s="1714">
        <f>IF(OR($C$92=$AR72,$D$92=$AR72),Schweine_Werte!$O72*0.5,IF(OR($C$92&gt;$AR72,$D$92&lt;$AR72),0,Schweine_Werte!$O72))</f>
        <v>0</v>
      </c>
      <c r="CB72" s="1714">
        <f>IF(OR($C$101=$AR72,$D$101=$AR72),Schweine_Werte!$O72*0.5,IF(OR($C$101&gt;$AR72,$D$101&lt;$AR72),0,Schweine_Werte!$O72))</f>
        <v>0</v>
      </c>
      <c r="CC72" s="1714">
        <f>IF(OR($C$110=$AR72,$D$110=$AR72),Schweine_Werte!$O72*0.5,IF(OR($C$110&gt;$AR72,$D$110&lt;$AR72),0,Schweine_Werte!$O72))</f>
        <v>0</v>
      </c>
    </row>
    <row r="73" spans="1:81" ht="18.75" x14ac:dyDescent="0.25">
      <c r="B73" s="1720" t="s">
        <v>8594</v>
      </c>
      <c r="C73" s="1721" t="s">
        <v>8595</v>
      </c>
      <c r="D73" s="1721" t="s">
        <v>8596</v>
      </c>
      <c r="E73" s="1721" t="s">
        <v>8597</v>
      </c>
      <c r="F73" s="1722" t="s">
        <v>195</v>
      </c>
      <c r="G73" s="1723" t="s">
        <v>4</v>
      </c>
      <c r="H73" s="1723" t="s">
        <v>8598</v>
      </c>
      <c r="I73" s="1723" t="s">
        <v>8599</v>
      </c>
      <c r="J73" s="1724" t="s">
        <v>8600</v>
      </c>
      <c r="K73" s="1724" t="s">
        <v>8600</v>
      </c>
      <c r="L73" s="1725" t="s">
        <v>35</v>
      </c>
      <c r="M73" s="1725" t="s">
        <v>8601</v>
      </c>
      <c r="N73" s="1725" t="s">
        <v>37</v>
      </c>
      <c r="O73" s="1726" t="s">
        <v>0</v>
      </c>
      <c r="P73" s="1726" t="s">
        <v>9</v>
      </c>
      <c r="Q73" s="1725" t="s">
        <v>35</v>
      </c>
      <c r="R73" s="1725" t="s">
        <v>36</v>
      </c>
      <c r="S73" s="1725" t="s">
        <v>37</v>
      </c>
      <c r="T73" s="1725" t="s">
        <v>35</v>
      </c>
      <c r="U73" s="1725" t="s">
        <v>36</v>
      </c>
      <c r="V73" s="1725" t="s">
        <v>37</v>
      </c>
      <c r="W73" s="1724" t="s">
        <v>8528</v>
      </c>
      <c r="X73" s="1724" t="s">
        <v>8529</v>
      </c>
      <c r="Y73" s="1724" t="s">
        <v>8530</v>
      </c>
      <c r="Z73" s="1727" t="s">
        <v>8602</v>
      </c>
      <c r="AA73" s="1727" t="s">
        <v>8603</v>
      </c>
      <c r="AB73" s="1727" t="s">
        <v>8602</v>
      </c>
      <c r="AC73" s="1727" t="s">
        <v>8603</v>
      </c>
      <c r="AD73" s="1727" t="s">
        <v>8602</v>
      </c>
      <c r="AE73" s="1727" t="s">
        <v>8603</v>
      </c>
      <c r="AF73" s="1727" t="s">
        <v>8604</v>
      </c>
      <c r="AG73" s="1728" t="s">
        <v>8605</v>
      </c>
      <c r="AH73" s="1727" t="s">
        <v>216</v>
      </c>
      <c r="AI73" s="1727"/>
      <c r="AJ73" s="1727" t="s">
        <v>8527</v>
      </c>
      <c r="AK73" s="1727" t="s">
        <v>8606</v>
      </c>
      <c r="AL73" s="1727" t="s">
        <v>8607</v>
      </c>
      <c r="AM73" s="1727" t="s">
        <v>8608</v>
      </c>
      <c r="AN73" s="1727" t="s">
        <v>8607</v>
      </c>
      <c r="AO73" s="1727" t="s">
        <v>8609</v>
      </c>
      <c r="AR73" s="1733">
        <v>77</v>
      </c>
      <c r="AS73" s="1710">
        <f>IF(OR($C$12=$AR73,$D$12=$AR73),Schweine_Werte!$C73*0.5,IF(OR($C$12&gt;$AR73,$D$12&lt;$AR73),0,Schweine_Werte!$C73))</f>
        <v>0</v>
      </c>
      <c r="AT73" s="1713">
        <f>IF(OR($C$24=$AR73,$D$24=$AR73),Schweine_Werte!$C73*0.5,IF(OR($C$24&gt;$AR73,$D$24&lt;$AR73),0,Schweine_Werte!$C73))</f>
        <v>0</v>
      </c>
      <c r="AU73" s="1710">
        <f>IF(OR($C$36=$AR73,$D$36=$AR73),Schweine_Werte!$C73*0.5,IF(OR($C$36&gt;$AR73,$D$36&lt;$AR73),0,Schweine_Werte!$C73))</f>
        <v>0</v>
      </c>
      <c r="AV73" s="1710">
        <f>IF(OR($C$48=$AR73,$D$48=$AR73),Schweine_Werte!$C73*0.5,IF(OR($C$48&gt;$AR73,$D$48&lt;$AR73),0,Schweine_Werte!$C73))</f>
        <v>0</v>
      </c>
      <c r="AW73" s="1710">
        <f>IF(OR($C$60=$AR73,$D$60=$AR73),Schweine_Werte!$C73*0.5,IF(OR($C$60&gt;$AR73,$D$60&lt;$AR73),0,Schweine_Werte!$C73))</f>
        <v>0</v>
      </c>
      <c r="AX73" s="1710">
        <f>IF(OR($C$12=$AR73,$D$12=$AR73),Schweine_Werte!$E73*0.5,IF(OR($C$12&gt;$AR73,$D$12&lt;$AR73),0,Schweine_Werte!$E73))</f>
        <v>0</v>
      </c>
      <c r="AY73" s="1713">
        <f>IF(OR($C$24=$AR73,$D$24=$AR73),Schweine_Werte!$E73*0.5,IF(OR($C$24&gt;$AR73,$D$24&lt;$AR73),0,Schweine_Werte!$E73))</f>
        <v>0</v>
      </c>
      <c r="AZ73" s="1713">
        <f>IF(OR($C$36=$AR73,$D$36=$AR73),Schweine_Werte!$E73*0.5,IF(OR($C$36&gt;$AR73,$D$36&lt;$AR73),0,Schweine_Werte!$E73))</f>
        <v>0</v>
      </c>
      <c r="BA73" s="1713">
        <f>IF(OR($C$48=$AR73,$D$48=$AR73),Schweine_Werte!$E73*0.5,IF(OR($C$48&gt;$AR73,$D$48&lt;$AR73),0,Schweine_Werte!$E73))</f>
        <v>0</v>
      </c>
      <c r="BB73" s="1713">
        <f>IF(OR($C$60=$AR73,$D$60=$AR73),Schweine_Werte!$E73*0.5,IF(OR($C$60&gt;$AR73,$D$60&lt;$AR73),0,Schweine_Werte!$E73))</f>
        <v>0</v>
      </c>
      <c r="BC73" s="1710">
        <f>IF(OR($C$12=$AR73,$D$12=$AR73),Schweine_Werte!$G73*0.5,IF(OR($C$12&gt;$AR73,$D$12&lt;$AR73),0,Schweine_Werte!$G73))</f>
        <v>0</v>
      </c>
      <c r="BD73" s="1713">
        <f>IF(OR($C$24=$AR73,$D$24=$AR73),Schweine_Werte!$G73*0.5,IF(OR($C$24&gt;$AR73,$D$24&lt;$AR73),0,Schweine_Werte!$G73))</f>
        <v>0</v>
      </c>
      <c r="BE73" s="1713">
        <f>IF(OR($C$36=$AR73,$D$36=$AR73),Schweine_Werte!$G73*0.5,IF(OR($C$36&gt;$AR73,$D$36&lt;$AR73),0,Schweine_Werte!$G73))</f>
        <v>0</v>
      </c>
      <c r="BF73" s="1713">
        <f>IF(OR($C$48=$AR73,$D$48=$AR73),Schweine_Werte!$G73*0.5,IF(OR($C$48&gt;$AR73,$D$48&lt;$AR73),0,Schweine_Werte!$G73))</f>
        <v>0</v>
      </c>
      <c r="BG73" s="1713">
        <f>IF(OR($C$60=$AR73,$D$60=$AR73),Schweine_Werte!$G73*0.5,IF(OR($C$60&gt;$AR73,$D$60&lt;$AR73),0,Schweine_Werte!$G73))</f>
        <v>0</v>
      </c>
      <c r="BH73" s="1710">
        <f>IF(OR($C$12=$AR73,$D$12=$AR73),Schweine_Werte!$I73*0.5,IF(OR($C$12&gt;$AR73,$D$12&lt;$AR73),0,Schweine_Werte!$I73))</f>
        <v>0</v>
      </c>
      <c r="BI73" s="1713">
        <f>IF(OR($C$24=$AR73,$D$24=$AR73),Schweine_Werte!$I73*0.5,IF(OR($C$24&gt;$AR73,$D$24&lt;$AR73),0,Schweine_Werte!$I73))</f>
        <v>0</v>
      </c>
      <c r="BJ73" s="1713">
        <f>IF(OR($C$36=$AR73,$D$36=$AR73),Schweine_Werte!$I73*0.5,IF(OR($C$36&gt;$AR73,$D$36&lt;$AR73),0,Schweine_Werte!$I73))</f>
        <v>0</v>
      </c>
      <c r="BK73" s="1713">
        <f>IF(OR($C$48=$AR73,$D$48=$AR73),Schweine_Werte!$I73*0.5,IF(OR($C$48&gt;$AR73,$D$48&lt;$AR73),0,Schweine_Werte!$I73))</f>
        <v>0</v>
      </c>
      <c r="BL73" s="1713">
        <f>IF(OR($C$60=$AR73,$D$60=$AR73),Schweine_Werte!$I73*0.5,IF(OR($C$60&gt;$AR73,$D$60&lt;$AR73),0,Schweine_Werte!$I73))</f>
        <v>0</v>
      </c>
      <c r="BM73" s="1710">
        <f>IF(OR($C$12=$AR73,$D$12=$AR73),Schweine_Werte!$K73*0.5,IF(OR($C$12&gt;$AR73,$D$12&lt;$AR73),0,Schweine_Werte!$K73))</f>
        <v>0</v>
      </c>
      <c r="BN73" s="1713">
        <f>IF(OR($C$24=$AR73,$D$24=$AR73),Schweine_Werte!$K73*0.5,IF(OR($C$24&gt;$AR73,$D$24&lt;$AR73),0,Schweine_Werte!$K73))</f>
        <v>0</v>
      </c>
      <c r="BO73" s="1713">
        <f>IF(OR($C$36=$AR73,$D$36=$AR73),Schweine_Werte!$K73*0.5,IF(OR($C$36&gt;$AR73,$D$36&lt;$AR73),0,Schweine_Werte!$K73))</f>
        <v>0</v>
      </c>
      <c r="BP73" s="1713">
        <f>IF(OR($C$48=$AR73,$D$48=$AR73),Schweine_Werte!$K73*0.5,IF(OR($C$48&gt;$AR73,$D$48&lt;$AR73),0,Schweine_Werte!$K73))</f>
        <v>0</v>
      </c>
      <c r="BQ73" s="1713">
        <f>IF(OR($C$60=$AR73,$D$60=$AR73),Schweine_Werte!$K73*0.5,IF(OR($C$60&gt;$AR73,$D$60&lt;$AR73),0,Schweine_Werte!$K73))</f>
        <v>0</v>
      </c>
      <c r="BR73" s="1710">
        <f>IF(OR($C$74=$AR73,$D$74=$AR73),Schweine_Werte!$M73*0.5,IF(OR($C$74&gt;$AR73,$D$74&lt;$AR73),0,Schweine_Werte!$M73))</f>
        <v>0</v>
      </c>
      <c r="BS73" s="1710">
        <f>IF(OR($C$83=$AR73,$D$83=$AR73),Schweine_Werte!$M73*0.5,IF(OR($C$83&gt;$AR73,$D$83&lt;$AR73),0,Schweine_Werte!$M73))</f>
        <v>0</v>
      </c>
      <c r="BT73" s="1714">
        <f>IF(OR($C$92=$AR73,$D$92=$AR73),Schweine_Werte!$M73*0.5,IF(OR($C$92&gt;$AR73,$D$92&lt;$AR73),0,Schweine_Werte!$M73))</f>
        <v>0</v>
      </c>
      <c r="BU73" s="1714">
        <f>IF(OR($C$101=$AR73,$D$101=$AR73),Schweine_Werte!$M73*0.5,IF(OR($C$101&gt;$AR73,$D$101&lt;$AR73),0,Schweine_Werte!$M73))</f>
        <v>0</v>
      </c>
      <c r="BV73" s="1714">
        <f>IF(OR($C$110=$AR73,$D$110=$AR73),Schweine_Werte!$M73*0.5,IF(OR($C$110&gt;$AR73,$D$110&lt;$AR73),0,Schweine_Werte!$M73))</f>
        <v>0</v>
      </c>
      <c r="BW73" s="1714">
        <f>IF(OR(8=$AR73,$E$127=$AR73),Schweine_Werte!$M73*0.5,IF(OR(8&gt;$AR73,$E$127&lt;$AR73),0,Schweine_Werte!$M73))</f>
        <v>1.1083114389889972</v>
      </c>
      <c r="BX73" s="1714">
        <f>IF(OR(8=$AR73,$E$145=$AR73),Schweine_Werte!$M73*0.5,IF(OR(8&gt;$AR73,$E$145&lt;$AR73),0,Schweine_Werte!$M73))</f>
        <v>1.1083114389889972</v>
      </c>
      <c r="BY73" s="1710">
        <f>IF(OR($C$74=$AR73,$D$74=$AR73),Schweine_Werte!$O73*0.5,IF(OR($C$74&gt;$AR73,$D$74&lt;$AR73),0,Schweine_Werte!$O73))</f>
        <v>0</v>
      </c>
      <c r="BZ73" s="1710">
        <f>IF(OR($C$83=$AR73,$D$83=$AR73),Schweine_Werte!$O73*0.5,IF(OR($C$83&gt;$AR73,$D$83&lt;$AR73),0,Schweine_Werte!$O73))</f>
        <v>0</v>
      </c>
      <c r="CA73" s="1714">
        <f>IF(OR($C$92=$AR73,$D$92=$AR73),Schweine_Werte!$O73*0.5,IF(OR($C$92&gt;$AR73,$D$92&lt;$AR73),0,Schweine_Werte!$O73))</f>
        <v>0</v>
      </c>
      <c r="CB73" s="1714">
        <f>IF(OR($C$101=$AR73,$D$101=$AR73),Schweine_Werte!$O73*0.5,IF(OR($C$101&gt;$AR73,$D$101&lt;$AR73),0,Schweine_Werte!$O73))</f>
        <v>0</v>
      </c>
      <c r="CC73" s="1714">
        <f>IF(OR($C$110=$AR73,$D$110=$AR73),Schweine_Werte!$O73*0.5,IF(OR($C$110&gt;$AR73,$D$110&lt;$AR73),0,Schweine_Werte!$O73))</f>
        <v>0</v>
      </c>
    </row>
    <row r="74" spans="1:81" ht="15.75" x14ac:dyDescent="0.25">
      <c r="A74" s="1685" t="s">
        <v>8559</v>
      </c>
      <c r="B74" s="1753" t="str">
        <f>IF('Eigene, abweichende Tierdaten'!AE5=1,'Eigene, abweichende Tierdaten'!F5,"")</f>
        <v/>
      </c>
      <c r="C74" s="1754" t="str">
        <f>IF('Eigene, abweichende Tierdaten'!AE5=1,'Eigene, abweichende Tierdaten'!J5,"")</f>
        <v/>
      </c>
      <c r="D74" s="1755" t="str">
        <f>IF('Eigene, abweichende Tierdaten'!AE5=1,'Eigene, abweichende Tierdaten'!L5,"")</f>
        <v/>
      </c>
      <c r="E74" s="1755" t="str">
        <f>IF('Eigene, abweichende Tierdaten'!AE5=1,'Eigene, abweichende Tierdaten'!N5,"")</f>
        <v/>
      </c>
      <c r="F74" s="1729" t="e">
        <f>IF($E74&lt;=$E70,F70,IF(AND($E74&gt;$E70,$E74&lt;=$E71),F70+(F71-F70)/($E71-$E70)*($E74-$E70),IF($E74&gt;$E71,F71)))</f>
        <v>#VALUE!</v>
      </c>
      <c r="G74" s="1729" t="e">
        <f t="shared" ref="G74:N74" si="16">IF($E74&lt;=$E70,G70,IF(AND($E74&gt;$E70,$E74&lt;=$E71),G70+(G71-G70)/($E71-$E70)*($E74-$E70),IF($E74&gt;$E71,G71)))</f>
        <v>#VALUE!</v>
      </c>
      <c r="H74" s="1729" t="e">
        <f t="shared" si="16"/>
        <v>#VALUE!</v>
      </c>
      <c r="I74" s="1729" t="e">
        <f t="shared" si="16"/>
        <v>#VALUE!</v>
      </c>
      <c r="J74" s="1729" t="e">
        <f t="shared" si="16"/>
        <v>#VALUE!</v>
      </c>
      <c r="K74" s="1729" t="e">
        <f t="shared" si="16"/>
        <v>#VALUE!</v>
      </c>
      <c r="L74" s="1729" t="e">
        <f t="shared" si="16"/>
        <v>#VALUE!</v>
      </c>
      <c r="M74" s="1729" t="e">
        <f t="shared" si="16"/>
        <v>#VALUE!</v>
      </c>
      <c r="N74" s="1729" t="e">
        <f t="shared" si="16"/>
        <v>#VALUE!</v>
      </c>
      <c r="O74" s="1730">
        <v>5.5</v>
      </c>
      <c r="P74" s="1730">
        <v>1.8</v>
      </c>
      <c r="Q74" s="1729" t="e">
        <f t="shared" ref="Q74:Z74" si="17">IF($E74&lt;=$E70,Q70,IF(AND($E74&gt;$E70,$E74&lt;=$E71),Q70+(Q71-Q70)/($E71-$E70)*($E74-$E70),IF($E74&gt;$E71,Q71)))</f>
        <v>#VALUE!</v>
      </c>
      <c r="R74" s="1729" t="e">
        <f t="shared" si="17"/>
        <v>#VALUE!</v>
      </c>
      <c r="S74" s="1729" t="e">
        <f t="shared" si="17"/>
        <v>#VALUE!</v>
      </c>
      <c r="T74" s="1729" t="e">
        <f t="shared" si="17"/>
        <v>#VALUE!</v>
      </c>
      <c r="U74" s="1729" t="e">
        <f t="shared" si="17"/>
        <v>#VALUE!</v>
      </c>
      <c r="V74" s="1729" t="e">
        <f t="shared" si="17"/>
        <v>#VALUE!</v>
      </c>
      <c r="W74" s="1729" t="e">
        <f t="shared" si="17"/>
        <v>#VALUE!</v>
      </c>
      <c r="X74" s="1729" t="e">
        <f t="shared" si="17"/>
        <v>#VALUE!</v>
      </c>
      <c r="Y74" s="1729" t="e">
        <f t="shared" si="17"/>
        <v>#VALUE!</v>
      </c>
      <c r="Z74" s="1729" t="e">
        <f t="shared" si="17"/>
        <v>#VALUE!</v>
      </c>
      <c r="AA74" s="1731" t="e">
        <f>+Z74*6.25</f>
        <v>#VALUE!</v>
      </c>
      <c r="AB74" s="1729" t="e">
        <f>IF($E74&lt;=$E70,AB70,IF(AND($E74&gt;$E70,$E74&lt;=$E71),AB70+(AB71-AB70)/($E71-$E70)*($E74-$E70),IF($E74&gt;$E71,AB71)))</f>
        <v>#VALUE!</v>
      </c>
      <c r="AC74" s="1731" t="e">
        <f>+AB74*6.25</f>
        <v>#VALUE!</v>
      </c>
      <c r="AD74" s="1729" t="e">
        <f>IF($E74&lt;=$E70,AD70,IF(AND($E74&gt;$E70,$E74&lt;=$E71),AD70+(AD71-AD70)/($E71-$E70)*($E74-$E70),IF($E74&gt;$E71,AD71)))</f>
        <v>#VALUE!</v>
      </c>
      <c r="AE74" s="1731" t="e">
        <f>+AD74*6.25</f>
        <v>#VALUE!</v>
      </c>
      <c r="AF74" s="1731" t="e">
        <f>365/((D74-C74)/E74*1000)</f>
        <v>#VALUE!</v>
      </c>
      <c r="AG74" s="1729" t="e">
        <f>IF($E74&lt;=$E70,AG70,IF(AND($E74&gt;$E70,$E74&lt;=$E71),AG70+(AG71-AG70)/($E71-$E70)*($E74-$E70),IF($E74&gt;$E71,AG71)))</f>
        <v>#VALUE!</v>
      </c>
      <c r="AH74" s="1731" t="e">
        <f>+AG74/AF74</f>
        <v>#VALUE!</v>
      </c>
      <c r="AI74" s="1731" t="e">
        <f>+CONCATENATE(ROUND(AH74/(D74-C74),1)," : 1")</f>
        <v>#VALUE!</v>
      </c>
      <c r="AJ74" s="1729" t="e">
        <f>IF($E74&lt;=$E70,AJ70,IF(AND($E74&gt;$E70,$E74&lt;=$E71),AJ70+(AJ71-AJ70)/($E71-$E70)*($E74-$E70),IF($E74&gt;$E71,AJ71)))</f>
        <v>#VALUE!</v>
      </c>
      <c r="AK74" s="1731" t="e">
        <f>+AJ74/2.291</f>
        <v>#VALUE!</v>
      </c>
      <c r="AL74" s="1729" t="e">
        <f>IF($E74&lt;=$E70,AL70,IF(AND($E74&gt;$E70,$E74&lt;=$E71),AL70+(AL71-AL70)/($E71-$E70)*($E74-$E70),IF($E74&gt;$E71,AL71)))</f>
        <v>#VALUE!</v>
      </c>
      <c r="AM74" s="1731" t="e">
        <f>+AL74/2.291</f>
        <v>#VALUE!</v>
      </c>
      <c r="AN74" s="1729" t="e">
        <f>IF($E74&lt;=$E70,AN70,IF(AND($E74&gt;$E70,$E74&lt;=$E71),AN70+(AN71-AN70)/($E71-$E70)*($E74-$E70),IF($E74&gt;$E71,AN71)))</f>
        <v>#VALUE!</v>
      </c>
      <c r="AO74" s="1731" t="e">
        <f>+AN74/2.291</f>
        <v>#VALUE!</v>
      </c>
      <c r="AR74" s="1733">
        <v>78</v>
      </c>
      <c r="AS74" s="1710">
        <f>IF(OR($C$12=$AR74,$D$12=$AR74),Schweine_Werte!$C74*0.5,IF(OR($C$12&gt;$AR74,$D$12&lt;$AR74),0,Schweine_Werte!$C74))</f>
        <v>0</v>
      </c>
      <c r="AT74" s="1713">
        <f>IF(OR($C$24=$AR74,$D$24=$AR74),Schweine_Werte!$C74*0.5,IF(OR($C$24&gt;$AR74,$D$24&lt;$AR74),0,Schweine_Werte!$C74))</f>
        <v>0</v>
      </c>
      <c r="AU74" s="1710">
        <f>IF(OR($C$36=$AR74,$D$36=$AR74),Schweine_Werte!$C74*0.5,IF(OR($C$36&gt;$AR74,$D$36&lt;$AR74),0,Schweine_Werte!$C74))</f>
        <v>0</v>
      </c>
      <c r="AV74" s="1710">
        <f>IF(OR($C$48=$AR74,$D$48=$AR74),Schweine_Werte!$C74*0.5,IF(OR($C$48&gt;$AR74,$D$48&lt;$AR74),0,Schweine_Werte!$C74))</f>
        <v>0</v>
      </c>
      <c r="AW74" s="1710">
        <f>IF(OR($C$60=$AR74,$D$60=$AR74),Schweine_Werte!$C74*0.5,IF(OR($C$60&gt;$AR74,$D$60&lt;$AR74),0,Schweine_Werte!$C74))</f>
        <v>0</v>
      </c>
      <c r="AX74" s="1710">
        <f>IF(OR($C$12=$AR74,$D$12=$AR74),Schweine_Werte!$E74*0.5,IF(OR($C$12&gt;$AR74,$D$12&lt;$AR74),0,Schweine_Werte!$E74))</f>
        <v>0</v>
      </c>
      <c r="AY74" s="1713">
        <f>IF(OR($C$24=$AR74,$D$24=$AR74),Schweine_Werte!$E74*0.5,IF(OR($C$24&gt;$AR74,$D$24&lt;$AR74),0,Schweine_Werte!$E74))</f>
        <v>0</v>
      </c>
      <c r="AZ74" s="1713">
        <f>IF(OR($C$36=$AR74,$D$36=$AR74),Schweine_Werte!$E74*0.5,IF(OR($C$36&gt;$AR74,$D$36&lt;$AR74),0,Schweine_Werte!$E74))</f>
        <v>0</v>
      </c>
      <c r="BA74" s="1713">
        <f>IF(OR($C$48=$AR74,$D$48=$AR74),Schweine_Werte!$E74*0.5,IF(OR($C$48&gt;$AR74,$D$48&lt;$AR74),0,Schweine_Werte!$E74))</f>
        <v>0</v>
      </c>
      <c r="BB74" s="1713">
        <f>IF(OR($C$60=$AR74,$D$60=$AR74),Schweine_Werte!$E74*0.5,IF(OR($C$60&gt;$AR74,$D$60&lt;$AR74),0,Schweine_Werte!$E74))</f>
        <v>0</v>
      </c>
      <c r="BC74" s="1710">
        <f>IF(OR($C$12=$AR74,$D$12=$AR74),Schweine_Werte!$G74*0.5,IF(OR($C$12&gt;$AR74,$D$12&lt;$AR74),0,Schweine_Werte!$G74))</f>
        <v>0</v>
      </c>
      <c r="BD74" s="1713">
        <f>IF(OR($C$24=$AR74,$D$24=$AR74),Schweine_Werte!$G74*0.5,IF(OR($C$24&gt;$AR74,$D$24&lt;$AR74),0,Schweine_Werte!$G74))</f>
        <v>0</v>
      </c>
      <c r="BE74" s="1713">
        <f>IF(OR($C$36=$AR74,$D$36=$AR74),Schweine_Werte!$G74*0.5,IF(OR($C$36&gt;$AR74,$D$36&lt;$AR74),0,Schweine_Werte!$G74))</f>
        <v>0</v>
      </c>
      <c r="BF74" s="1713">
        <f>IF(OR($C$48=$AR74,$D$48=$AR74),Schweine_Werte!$G74*0.5,IF(OR($C$48&gt;$AR74,$D$48&lt;$AR74),0,Schweine_Werte!$G74))</f>
        <v>0</v>
      </c>
      <c r="BG74" s="1713">
        <f>IF(OR($C$60=$AR74,$D$60=$AR74),Schweine_Werte!$G74*0.5,IF(OR($C$60&gt;$AR74,$D$60&lt;$AR74),0,Schweine_Werte!$G74))</f>
        <v>0</v>
      </c>
      <c r="BH74" s="1710">
        <f>IF(OR($C$12=$AR74,$D$12=$AR74),Schweine_Werte!$I74*0.5,IF(OR($C$12&gt;$AR74,$D$12&lt;$AR74),0,Schweine_Werte!$I74))</f>
        <v>0</v>
      </c>
      <c r="BI74" s="1713">
        <f>IF(OR($C$24=$AR74,$D$24=$AR74),Schweine_Werte!$I74*0.5,IF(OR($C$24&gt;$AR74,$D$24&lt;$AR74),0,Schweine_Werte!$I74))</f>
        <v>0</v>
      </c>
      <c r="BJ74" s="1713">
        <f>IF(OR($C$36=$AR74,$D$36=$AR74),Schweine_Werte!$I74*0.5,IF(OR($C$36&gt;$AR74,$D$36&lt;$AR74),0,Schweine_Werte!$I74))</f>
        <v>0</v>
      </c>
      <c r="BK74" s="1713">
        <f>IF(OR($C$48=$AR74,$D$48=$AR74),Schweine_Werte!$I74*0.5,IF(OR($C$48&gt;$AR74,$D$48&lt;$AR74),0,Schweine_Werte!$I74))</f>
        <v>0</v>
      </c>
      <c r="BL74" s="1713">
        <f>IF(OR($C$60=$AR74,$D$60=$AR74),Schweine_Werte!$I74*0.5,IF(OR($C$60&gt;$AR74,$D$60&lt;$AR74),0,Schweine_Werte!$I74))</f>
        <v>0</v>
      </c>
      <c r="BM74" s="1710">
        <f>IF(OR($C$12=$AR74,$D$12=$AR74),Schweine_Werte!$K74*0.5,IF(OR($C$12&gt;$AR74,$D$12&lt;$AR74),0,Schweine_Werte!$K74))</f>
        <v>0</v>
      </c>
      <c r="BN74" s="1713">
        <f>IF(OR($C$24=$AR74,$D$24=$AR74),Schweine_Werte!$K74*0.5,IF(OR($C$24&gt;$AR74,$D$24&lt;$AR74),0,Schweine_Werte!$K74))</f>
        <v>0</v>
      </c>
      <c r="BO74" s="1713">
        <f>IF(OR($C$36=$AR74,$D$36=$AR74),Schweine_Werte!$K74*0.5,IF(OR($C$36&gt;$AR74,$D$36&lt;$AR74),0,Schweine_Werte!$K74))</f>
        <v>0</v>
      </c>
      <c r="BP74" s="1713">
        <f>IF(OR($C$48=$AR74,$D$48=$AR74),Schweine_Werte!$K74*0.5,IF(OR($C$48&gt;$AR74,$D$48&lt;$AR74),0,Schweine_Werte!$K74))</f>
        <v>0</v>
      </c>
      <c r="BQ74" s="1713">
        <f>IF(OR($C$60=$AR74,$D$60=$AR74),Schweine_Werte!$K74*0.5,IF(OR($C$60&gt;$AR74,$D$60&lt;$AR74),0,Schweine_Werte!$K74))</f>
        <v>0</v>
      </c>
      <c r="BR74" s="1710">
        <f>IF(OR($C$74=$AR74,$D$74=$AR74),Schweine_Werte!$M74*0.5,IF(OR($C$74&gt;$AR74,$D$74&lt;$AR74),0,Schweine_Werte!$M74))</f>
        <v>0</v>
      </c>
      <c r="BS74" s="1710">
        <f>IF(OR($C$83=$AR74,$D$83=$AR74),Schweine_Werte!$M74*0.5,IF(OR($C$83&gt;$AR74,$D$83&lt;$AR74),0,Schweine_Werte!$M74))</f>
        <v>0</v>
      </c>
      <c r="BT74" s="1714">
        <f>IF(OR($C$92=$AR74,$D$92=$AR74),Schweine_Werte!$M74*0.5,IF(OR($C$92&gt;$AR74,$D$92&lt;$AR74),0,Schweine_Werte!$M74))</f>
        <v>0</v>
      </c>
      <c r="BU74" s="1714">
        <f>IF(OR($C$101=$AR74,$D$101=$AR74),Schweine_Werte!$M74*0.5,IF(OR($C$101&gt;$AR74,$D$101&lt;$AR74),0,Schweine_Werte!$M74))</f>
        <v>0</v>
      </c>
      <c r="BV74" s="1714">
        <f>IF(OR($C$110=$AR74,$D$110=$AR74),Schweine_Werte!$M74*0.5,IF(OR($C$110&gt;$AR74,$D$110&lt;$AR74),0,Schweine_Werte!$M74))</f>
        <v>0</v>
      </c>
      <c r="BW74" s="1714">
        <f>IF(OR(8=$AR74,$E$127=$AR74),Schweine_Werte!$M74*0.5,IF(OR(8&gt;$AR74,$E$127&lt;$AR74),0,Schweine_Werte!$M74))</f>
        <v>1.1101473792091585</v>
      </c>
      <c r="BX74" s="1714">
        <f>IF(OR(8=$AR74,$E$145=$AR74),Schweine_Werte!$M74*0.5,IF(OR(8&gt;$AR74,$E$145&lt;$AR74),0,Schweine_Werte!$M74))</f>
        <v>1.1101473792091585</v>
      </c>
      <c r="BY74" s="1710">
        <f>IF(OR($C$74=$AR74,$D$74=$AR74),Schweine_Werte!$O74*0.5,IF(OR($C$74&gt;$AR74,$D$74&lt;$AR74),0,Schweine_Werte!$O74))</f>
        <v>0</v>
      </c>
      <c r="BZ74" s="1710">
        <f>IF(OR($C$83=$AR74,$D$83=$AR74),Schweine_Werte!$O74*0.5,IF(OR($C$83&gt;$AR74,$D$83&lt;$AR74),0,Schweine_Werte!$O74))</f>
        <v>0</v>
      </c>
      <c r="CA74" s="1714">
        <f>IF(OR($C$92=$AR74,$D$92=$AR74),Schweine_Werte!$O74*0.5,IF(OR($C$92&gt;$AR74,$D$92&lt;$AR74),0,Schweine_Werte!$O74))</f>
        <v>0</v>
      </c>
      <c r="CB74" s="1714">
        <f>IF(OR($C$101=$AR74,$D$101=$AR74),Schweine_Werte!$O74*0.5,IF(OR($C$101&gt;$AR74,$D$101&lt;$AR74),0,Schweine_Werte!$O74))</f>
        <v>0</v>
      </c>
      <c r="CC74" s="1714">
        <f>IF(OR($C$110=$AR74,$D$110=$AR74),Schweine_Werte!$O74*0.5,IF(OR($C$110&gt;$AR74,$D$110&lt;$AR74),0,Schweine_Werte!$O74))</f>
        <v>0</v>
      </c>
    </row>
    <row r="75" spans="1:81" x14ac:dyDescent="0.25">
      <c r="B75" s="1712"/>
      <c r="C75" s="3261" t="s">
        <v>8614</v>
      </c>
      <c r="D75" s="3261"/>
      <c r="E75" s="1713"/>
      <c r="F75" s="1713"/>
      <c r="G75" s="1713"/>
      <c r="AR75" s="1733">
        <v>79</v>
      </c>
      <c r="AS75" s="1710">
        <f>IF(OR($C$12=$AR75,$D$12=$AR75),Schweine_Werte!$C75*0.5,IF(OR($C$12&gt;$AR75,$D$12&lt;$AR75),0,Schweine_Werte!$C75))</f>
        <v>0</v>
      </c>
      <c r="AT75" s="1713">
        <f>IF(OR($C$24=$AR75,$D$24=$AR75),Schweine_Werte!$C75*0.5,IF(OR($C$24&gt;$AR75,$D$24&lt;$AR75),0,Schweine_Werte!$C75))</f>
        <v>0</v>
      </c>
      <c r="AU75" s="1710">
        <f>IF(OR($C$36=$AR75,$D$36=$AR75),Schweine_Werte!$C75*0.5,IF(OR($C$36&gt;$AR75,$D$36&lt;$AR75),0,Schweine_Werte!$C75))</f>
        <v>0</v>
      </c>
      <c r="AV75" s="1710">
        <f>IF(OR($C$48=$AR75,$D$48=$AR75),Schweine_Werte!$C75*0.5,IF(OR($C$48&gt;$AR75,$D$48&lt;$AR75),0,Schweine_Werte!$C75))</f>
        <v>0</v>
      </c>
      <c r="AW75" s="1710">
        <f>IF(OR($C$60=$AR75,$D$60=$AR75),Schweine_Werte!$C75*0.5,IF(OR($C$60&gt;$AR75,$D$60&lt;$AR75),0,Schweine_Werte!$C75))</f>
        <v>0</v>
      </c>
      <c r="AX75" s="1710">
        <f>IF(OR($C$12=$AR75,$D$12=$AR75),Schweine_Werte!$E75*0.5,IF(OR($C$12&gt;$AR75,$D$12&lt;$AR75),0,Schweine_Werte!$E75))</f>
        <v>0</v>
      </c>
      <c r="AY75" s="1713">
        <f>IF(OR($C$24=$AR75,$D$24=$AR75),Schweine_Werte!$E75*0.5,IF(OR($C$24&gt;$AR75,$D$24&lt;$AR75),0,Schweine_Werte!$E75))</f>
        <v>0</v>
      </c>
      <c r="AZ75" s="1713">
        <f>IF(OR($C$36=$AR75,$D$36=$AR75),Schweine_Werte!$E75*0.5,IF(OR($C$36&gt;$AR75,$D$36&lt;$AR75),0,Schweine_Werte!$E75))</f>
        <v>0</v>
      </c>
      <c r="BA75" s="1713">
        <f>IF(OR($C$48=$AR75,$D$48=$AR75),Schweine_Werte!$E75*0.5,IF(OR($C$48&gt;$AR75,$D$48&lt;$AR75),0,Schweine_Werte!$E75))</f>
        <v>0</v>
      </c>
      <c r="BB75" s="1713">
        <f>IF(OR($C$60=$AR75,$D$60=$AR75),Schweine_Werte!$E75*0.5,IF(OR($C$60&gt;$AR75,$D$60&lt;$AR75),0,Schweine_Werte!$E75))</f>
        <v>0</v>
      </c>
      <c r="BC75" s="1710">
        <f>IF(OR($C$12=$AR75,$D$12=$AR75),Schweine_Werte!$G75*0.5,IF(OR($C$12&gt;$AR75,$D$12&lt;$AR75),0,Schweine_Werte!$G75))</f>
        <v>0</v>
      </c>
      <c r="BD75" s="1713">
        <f>IF(OR($C$24=$AR75,$D$24=$AR75),Schweine_Werte!$G75*0.5,IF(OR($C$24&gt;$AR75,$D$24&lt;$AR75),0,Schweine_Werte!$G75))</f>
        <v>0</v>
      </c>
      <c r="BE75" s="1713">
        <f>IF(OR($C$36=$AR75,$D$36=$AR75),Schweine_Werte!$G75*0.5,IF(OR($C$36&gt;$AR75,$D$36&lt;$AR75),0,Schweine_Werte!$G75))</f>
        <v>0</v>
      </c>
      <c r="BF75" s="1713">
        <f>IF(OR($C$48=$AR75,$D$48=$AR75),Schweine_Werte!$G75*0.5,IF(OR($C$48&gt;$AR75,$D$48&lt;$AR75),0,Schweine_Werte!$G75))</f>
        <v>0</v>
      </c>
      <c r="BG75" s="1713">
        <f>IF(OR($C$60=$AR75,$D$60=$AR75),Schweine_Werte!$G75*0.5,IF(OR($C$60&gt;$AR75,$D$60&lt;$AR75),0,Schweine_Werte!$G75))</f>
        <v>0</v>
      </c>
      <c r="BH75" s="1710">
        <f>IF(OR($C$12=$AR75,$D$12=$AR75),Schweine_Werte!$I75*0.5,IF(OR($C$12&gt;$AR75,$D$12&lt;$AR75),0,Schweine_Werte!$I75))</f>
        <v>0</v>
      </c>
      <c r="BI75" s="1713">
        <f>IF(OR($C$24=$AR75,$D$24=$AR75),Schweine_Werte!$I75*0.5,IF(OR($C$24&gt;$AR75,$D$24&lt;$AR75),0,Schweine_Werte!$I75))</f>
        <v>0</v>
      </c>
      <c r="BJ75" s="1713">
        <f>IF(OR($C$36=$AR75,$D$36=$AR75),Schweine_Werte!$I75*0.5,IF(OR($C$36&gt;$AR75,$D$36&lt;$AR75),0,Schweine_Werte!$I75))</f>
        <v>0</v>
      </c>
      <c r="BK75" s="1713">
        <f>IF(OR($C$48=$AR75,$D$48=$AR75),Schweine_Werte!$I75*0.5,IF(OR($C$48&gt;$AR75,$D$48&lt;$AR75),0,Schweine_Werte!$I75))</f>
        <v>0</v>
      </c>
      <c r="BL75" s="1713">
        <f>IF(OR($C$60=$AR75,$D$60=$AR75),Schweine_Werte!$I75*0.5,IF(OR($C$60&gt;$AR75,$D$60&lt;$AR75),0,Schweine_Werte!$I75))</f>
        <v>0</v>
      </c>
      <c r="BM75" s="1710">
        <f>IF(OR($C$12=$AR75,$D$12=$AR75),Schweine_Werte!$K75*0.5,IF(OR($C$12&gt;$AR75,$D$12&lt;$AR75),0,Schweine_Werte!$K75))</f>
        <v>0</v>
      </c>
      <c r="BN75" s="1713">
        <f>IF(OR($C$24=$AR75,$D$24=$AR75),Schweine_Werte!$K75*0.5,IF(OR($C$24&gt;$AR75,$D$24&lt;$AR75),0,Schweine_Werte!$K75))</f>
        <v>0</v>
      </c>
      <c r="BO75" s="1713">
        <f>IF(OR($C$36=$AR75,$D$36=$AR75),Schweine_Werte!$K75*0.5,IF(OR($C$36&gt;$AR75,$D$36&lt;$AR75),0,Schweine_Werte!$K75))</f>
        <v>0</v>
      </c>
      <c r="BP75" s="1713">
        <f>IF(OR($C$48=$AR75,$D$48=$AR75),Schweine_Werte!$K75*0.5,IF(OR($C$48&gt;$AR75,$D$48&lt;$AR75),0,Schweine_Werte!$K75))</f>
        <v>0</v>
      </c>
      <c r="BQ75" s="1713">
        <f>IF(OR($C$60=$AR75,$D$60=$AR75),Schweine_Werte!$K75*0.5,IF(OR($C$60&gt;$AR75,$D$60&lt;$AR75),0,Schweine_Werte!$K75))</f>
        <v>0</v>
      </c>
      <c r="BR75" s="1710">
        <f>IF(OR($C$74=$AR75,$D$74=$AR75),Schweine_Werte!$M75*0.5,IF(OR($C$74&gt;$AR75,$D$74&lt;$AR75),0,Schweine_Werte!$M75))</f>
        <v>0</v>
      </c>
      <c r="BS75" s="1710">
        <f>IF(OR($C$83=$AR75,$D$83=$AR75),Schweine_Werte!$M75*0.5,IF(OR($C$83&gt;$AR75,$D$83&lt;$AR75),0,Schweine_Werte!$M75))</f>
        <v>0</v>
      </c>
      <c r="BT75" s="1714">
        <f>IF(OR($C$92=$AR75,$D$92=$AR75),Schweine_Werte!$M75*0.5,IF(OR($C$92&gt;$AR75,$D$92&lt;$AR75),0,Schweine_Werte!$M75))</f>
        <v>0</v>
      </c>
      <c r="BU75" s="1714">
        <f>IF(OR($C$101=$AR75,$D$101=$AR75),Schweine_Werte!$M75*0.5,IF(OR($C$101&gt;$AR75,$D$101&lt;$AR75),0,Schweine_Werte!$M75))</f>
        <v>0</v>
      </c>
      <c r="BV75" s="1714">
        <f>IF(OR($C$110=$AR75,$D$110=$AR75),Schweine_Werte!$M75*0.5,IF(OR($C$110&gt;$AR75,$D$110&lt;$AR75),0,Schweine_Werte!$M75))</f>
        <v>0</v>
      </c>
      <c r="BW75" s="1714">
        <f>IF(OR(8=$AR75,$E$127=$AR75),Schweine_Werte!$M75*0.5,IF(OR(8&gt;$AR75,$E$127&lt;$AR75),0,Schweine_Werte!$M75))</f>
        <v>1.1123565578886376</v>
      </c>
      <c r="BX75" s="1714">
        <f>IF(OR(8=$AR75,$E$145=$AR75),Schweine_Werte!$M75*0.5,IF(OR(8&gt;$AR75,$E$145&lt;$AR75),0,Schweine_Werte!$M75))</f>
        <v>1.1123565578886376</v>
      </c>
      <c r="BY75" s="1710">
        <f>IF(OR($C$74=$AR75,$D$74=$AR75),Schweine_Werte!$O75*0.5,IF(OR($C$74&gt;$AR75,$D$74&lt;$AR75),0,Schweine_Werte!$O75))</f>
        <v>0</v>
      </c>
      <c r="BZ75" s="1710">
        <f>IF(OR($C$83=$AR75,$D$83=$AR75),Schweine_Werte!$O75*0.5,IF(OR($C$83&gt;$AR75,$D$83&lt;$AR75),0,Schweine_Werte!$O75))</f>
        <v>0</v>
      </c>
      <c r="CA75" s="1714">
        <f>IF(OR($C$92=$AR75,$D$92=$AR75),Schweine_Werte!$O75*0.5,IF(OR($C$92&gt;$AR75,$D$92&lt;$AR75),0,Schweine_Werte!$O75))</f>
        <v>0</v>
      </c>
      <c r="CB75" s="1714">
        <f>IF(OR($C$101=$AR75,$D$101=$AR75),Schweine_Werte!$O75*0.5,IF(OR($C$101&gt;$AR75,$D$101&lt;$AR75),0,Schweine_Werte!$O75))</f>
        <v>0</v>
      </c>
      <c r="CC75" s="1714">
        <f>IF(OR($C$110=$AR75,$D$110=$AR75),Schweine_Werte!$O75*0.5,IF(OR($C$110&gt;$AR75,$D$110&lt;$AR75),0,Schweine_Werte!$O75))</f>
        <v>0</v>
      </c>
    </row>
    <row r="76" spans="1:81" x14ac:dyDescent="0.25">
      <c r="AR76" s="1733">
        <v>80</v>
      </c>
      <c r="AS76" s="1710">
        <f>IF(OR($C$12=$AR76,$D$12=$AR76),Schweine_Werte!$C76*0.5,IF(OR($C$12&gt;$AR76,$D$12&lt;$AR76),0,Schweine_Werte!$C76))</f>
        <v>0</v>
      </c>
      <c r="AT76" s="1713">
        <f>IF(OR($C$24=$AR76,$D$24=$AR76),Schweine_Werte!$C76*0.5,IF(OR($C$24&gt;$AR76,$D$24&lt;$AR76),0,Schweine_Werte!$C76))</f>
        <v>0</v>
      </c>
      <c r="AU76" s="1710">
        <f>IF(OR($C$36=$AR76,$D$36=$AR76),Schweine_Werte!$C76*0.5,IF(OR($C$36&gt;$AR76,$D$36&lt;$AR76),0,Schweine_Werte!$C76))</f>
        <v>0</v>
      </c>
      <c r="AV76" s="1710">
        <f>IF(OR($C$48=$AR76,$D$48=$AR76),Schweine_Werte!$C76*0.5,IF(OR($C$48&gt;$AR76,$D$48&lt;$AR76),0,Schweine_Werte!$C76))</f>
        <v>0</v>
      </c>
      <c r="AW76" s="1710">
        <f>IF(OR($C$60=$AR76,$D$60=$AR76),Schweine_Werte!$C76*0.5,IF(OR($C$60&gt;$AR76,$D$60&lt;$AR76),0,Schweine_Werte!$C76))</f>
        <v>0</v>
      </c>
      <c r="AX76" s="1710">
        <f>IF(OR($C$12=$AR76,$D$12=$AR76),Schweine_Werte!$E76*0.5,IF(OR($C$12&gt;$AR76,$D$12&lt;$AR76),0,Schweine_Werte!$E76))</f>
        <v>0</v>
      </c>
      <c r="AY76" s="1713">
        <f>IF(OR($C$24=$AR76,$D$24=$AR76),Schweine_Werte!$E76*0.5,IF(OR($C$24&gt;$AR76,$D$24&lt;$AR76),0,Schweine_Werte!$E76))</f>
        <v>0</v>
      </c>
      <c r="AZ76" s="1713">
        <f>IF(OR($C$36=$AR76,$D$36=$AR76),Schweine_Werte!$E76*0.5,IF(OR($C$36&gt;$AR76,$D$36&lt;$AR76),0,Schweine_Werte!$E76))</f>
        <v>0</v>
      </c>
      <c r="BA76" s="1713">
        <f>IF(OR($C$48=$AR76,$D$48=$AR76),Schweine_Werte!$E76*0.5,IF(OR($C$48&gt;$AR76,$D$48&lt;$AR76),0,Schweine_Werte!$E76))</f>
        <v>0</v>
      </c>
      <c r="BB76" s="1713">
        <f>IF(OR($C$60=$AR76,$D$60=$AR76),Schweine_Werte!$E76*0.5,IF(OR($C$60&gt;$AR76,$D$60&lt;$AR76),0,Schweine_Werte!$E76))</f>
        <v>0</v>
      </c>
      <c r="BC76" s="1710">
        <f>IF(OR($C$12=$AR76,$D$12=$AR76),Schweine_Werte!$G76*0.5,IF(OR($C$12&gt;$AR76,$D$12&lt;$AR76),0,Schweine_Werte!$G76))</f>
        <v>0</v>
      </c>
      <c r="BD76" s="1713">
        <f>IF(OR($C$24=$AR76,$D$24=$AR76),Schweine_Werte!$G76*0.5,IF(OR($C$24&gt;$AR76,$D$24&lt;$AR76),0,Schweine_Werte!$G76))</f>
        <v>0</v>
      </c>
      <c r="BE76" s="1713">
        <f>IF(OR($C$36=$AR76,$D$36=$AR76),Schweine_Werte!$G76*0.5,IF(OR($C$36&gt;$AR76,$D$36&lt;$AR76),0,Schweine_Werte!$G76))</f>
        <v>0</v>
      </c>
      <c r="BF76" s="1713">
        <f>IF(OR($C$48=$AR76,$D$48=$AR76),Schweine_Werte!$G76*0.5,IF(OR($C$48&gt;$AR76,$D$48&lt;$AR76),0,Schweine_Werte!$G76))</f>
        <v>0</v>
      </c>
      <c r="BG76" s="1713">
        <f>IF(OR($C$60=$AR76,$D$60=$AR76),Schweine_Werte!$G76*0.5,IF(OR($C$60&gt;$AR76,$D$60&lt;$AR76),0,Schweine_Werte!$G76))</f>
        <v>0</v>
      </c>
      <c r="BH76" s="1710">
        <f>IF(OR($C$12=$AR76,$D$12=$AR76),Schweine_Werte!$I76*0.5,IF(OR($C$12&gt;$AR76,$D$12&lt;$AR76),0,Schweine_Werte!$I76))</f>
        <v>0</v>
      </c>
      <c r="BI76" s="1713">
        <f>IF(OR($C$24=$AR76,$D$24=$AR76),Schweine_Werte!$I76*0.5,IF(OR($C$24&gt;$AR76,$D$24&lt;$AR76),0,Schweine_Werte!$I76))</f>
        <v>0</v>
      </c>
      <c r="BJ76" s="1713">
        <f>IF(OR($C$36=$AR76,$D$36=$AR76),Schweine_Werte!$I76*0.5,IF(OR($C$36&gt;$AR76,$D$36&lt;$AR76),0,Schweine_Werte!$I76))</f>
        <v>0</v>
      </c>
      <c r="BK76" s="1713">
        <f>IF(OR($C$48=$AR76,$D$48=$AR76),Schweine_Werte!$I76*0.5,IF(OR($C$48&gt;$AR76,$D$48&lt;$AR76),0,Schweine_Werte!$I76))</f>
        <v>0</v>
      </c>
      <c r="BL76" s="1713">
        <f>IF(OR($C$60=$AR76,$D$60=$AR76),Schweine_Werte!$I76*0.5,IF(OR($C$60&gt;$AR76,$D$60&lt;$AR76),0,Schweine_Werte!$I76))</f>
        <v>0</v>
      </c>
      <c r="BM76" s="1710">
        <f>IF(OR($C$12=$AR76,$D$12=$AR76),Schweine_Werte!$K76*0.5,IF(OR($C$12&gt;$AR76,$D$12&lt;$AR76),0,Schweine_Werte!$K76))</f>
        <v>0</v>
      </c>
      <c r="BN76" s="1713">
        <f>IF(OR($C$24=$AR76,$D$24=$AR76),Schweine_Werte!$K76*0.5,IF(OR($C$24&gt;$AR76,$D$24&lt;$AR76),0,Schweine_Werte!$K76))</f>
        <v>0</v>
      </c>
      <c r="BO76" s="1713">
        <f>IF(OR($C$36=$AR76,$D$36=$AR76),Schweine_Werte!$K76*0.5,IF(OR($C$36&gt;$AR76,$D$36&lt;$AR76),0,Schweine_Werte!$K76))</f>
        <v>0</v>
      </c>
      <c r="BP76" s="1713">
        <f>IF(OR($C$48=$AR76,$D$48=$AR76),Schweine_Werte!$K76*0.5,IF(OR($C$48&gt;$AR76,$D$48&lt;$AR76),0,Schweine_Werte!$K76))</f>
        <v>0</v>
      </c>
      <c r="BQ76" s="1713">
        <f>IF(OR($C$60=$AR76,$D$60=$AR76),Schweine_Werte!$K76*0.5,IF(OR($C$60&gt;$AR76,$D$60&lt;$AR76),0,Schweine_Werte!$K76))</f>
        <v>0</v>
      </c>
      <c r="BR76" s="1710">
        <f>IF(OR($C$74=$AR76,$D$74=$AR76),Schweine_Werte!$M76*0.5,IF(OR($C$74&gt;$AR76,$D$74&lt;$AR76),0,Schweine_Werte!$M76))</f>
        <v>0</v>
      </c>
      <c r="BS76" s="1710">
        <f>IF(OR($C$83=$AR76,$D$83=$AR76),Schweine_Werte!$M76*0.5,IF(OR($C$83&gt;$AR76,$D$83&lt;$AR76),0,Schweine_Werte!$M76))</f>
        <v>0</v>
      </c>
      <c r="BT76" s="1714">
        <f>IF(OR($C$92=$AR76,$D$92=$AR76),Schweine_Werte!$M76*0.5,IF(OR($C$92&gt;$AR76,$D$92&lt;$AR76),0,Schweine_Werte!$M76))</f>
        <v>0</v>
      </c>
      <c r="BU76" s="1714">
        <f>IF(OR($C$101=$AR76,$D$101=$AR76),Schweine_Werte!$M76*0.5,IF(OR($C$101&gt;$AR76,$D$101&lt;$AR76),0,Schweine_Werte!$M76))</f>
        <v>0</v>
      </c>
      <c r="BV76" s="1714">
        <f>IF(OR($C$110=$AR76,$D$110=$AR76),Schweine_Werte!$M76*0.5,IF(OR($C$110&gt;$AR76,$D$110&lt;$AR76),0,Schweine_Werte!$M76))</f>
        <v>0</v>
      </c>
      <c r="BW76" s="1714">
        <f>IF(OR(8=$AR76,$E$127=$AR76),Schweine_Werte!$M76*0.5,IF(OR(8&gt;$AR76,$E$127&lt;$AR76),0,Schweine_Werte!$M76))</f>
        <v>1.1149433130069055</v>
      </c>
      <c r="BX76" s="1714">
        <f>IF(OR(8=$AR76,$E$145=$AR76),Schweine_Werte!$M76*0.5,IF(OR(8&gt;$AR76,$E$145&lt;$AR76),0,Schweine_Werte!$M76))</f>
        <v>1.1149433130069055</v>
      </c>
      <c r="BY76" s="1710">
        <f>IF(OR($C$74=$AR76,$D$74=$AR76),Schweine_Werte!$O76*0.5,IF(OR($C$74&gt;$AR76,$D$74&lt;$AR76),0,Schweine_Werte!$O76))</f>
        <v>0</v>
      </c>
      <c r="BZ76" s="1710">
        <f>IF(OR($C$83=$AR76,$D$83=$AR76),Schweine_Werte!$O76*0.5,IF(OR($C$83&gt;$AR76,$D$83&lt;$AR76),0,Schweine_Werte!$O76))</f>
        <v>0</v>
      </c>
      <c r="CA76" s="1714">
        <f>IF(OR($C$92=$AR76,$D$92=$AR76),Schweine_Werte!$O76*0.5,IF(OR($C$92&gt;$AR76,$D$92&lt;$AR76),0,Schweine_Werte!$O76))</f>
        <v>0</v>
      </c>
      <c r="CB76" s="1714">
        <f>IF(OR($C$101=$AR76,$D$101=$AR76),Schweine_Werte!$O76*0.5,IF(OR($C$101&gt;$AR76,$D$101&lt;$AR76),0,Schweine_Werte!$O76))</f>
        <v>0</v>
      </c>
      <c r="CC76" s="1714">
        <f>IF(OR($C$110=$AR76,$D$110=$AR76),Schweine_Werte!$O76*0.5,IF(OR($C$110&gt;$AR76,$D$110&lt;$AR76),0,Schweine_Werte!$O76))</f>
        <v>0</v>
      </c>
    </row>
    <row r="77" spans="1:81" x14ac:dyDescent="0.25">
      <c r="Q77" s="3251" t="s">
        <v>8546</v>
      </c>
      <c r="R77" s="3251"/>
      <c r="S77" s="3251"/>
      <c r="T77" s="3251" t="s">
        <v>8547</v>
      </c>
      <c r="U77" s="3251"/>
      <c r="V77" s="3251"/>
      <c r="W77" s="1689" t="s">
        <v>8544</v>
      </c>
      <c r="X77" s="1689"/>
      <c r="Y77" s="1689"/>
      <c r="AR77" s="1733">
        <v>81</v>
      </c>
      <c r="AS77" s="1710">
        <f>IF(OR($C$12=$AR77,$D$12=$AR77),Schweine_Werte!$C77*0.5,IF(OR($C$12&gt;$AR77,$D$12&lt;$AR77),0,Schweine_Werte!$C77))</f>
        <v>0</v>
      </c>
      <c r="AT77" s="1713">
        <f>IF(OR($C$24=$AR77,$D$24=$AR77),Schweine_Werte!$C77*0.5,IF(OR($C$24&gt;$AR77,$D$24&lt;$AR77),0,Schweine_Werte!$C77))</f>
        <v>0</v>
      </c>
      <c r="AU77" s="1710">
        <f>IF(OR($C$36=$AR77,$D$36=$AR77),Schweine_Werte!$C77*0.5,IF(OR($C$36&gt;$AR77,$D$36&lt;$AR77),0,Schweine_Werte!$C77))</f>
        <v>0</v>
      </c>
      <c r="AV77" s="1710">
        <f>IF(OR($C$48=$AR77,$D$48=$AR77),Schweine_Werte!$C77*0.5,IF(OR($C$48&gt;$AR77,$D$48&lt;$AR77),0,Schweine_Werte!$C77))</f>
        <v>0</v>
      </c>
      <c r="AW77" s="1710">
        <f>IF(OR($C$60=$AR77,$D$60=$AR77),Schweine_Werte!$C77*0.5,IF(OR($C$60&gt;$AR77,$D$60&lt;$AR77),0,Schweine_Werte!$C77))</f>
        <v>0</v>
      </c>
      <c r="AX77" s="1710">
        <f>IF(OR($C$12=$AR77,$D$12=$AR77),Schweine_Werte!$E77*0.5,IF(OR($C$12&gt;$AR77,$D$12&lt;$AR77),0,Schweine_Werte!$E77))</f>
        <v>0</v>
      </c>
      <c r="AY77" s="1713">
        <f>IF(OR($C$24=$AR77,$D$24=$AR77),Schweine_Werte!$E77*0.5,IF(OR($C$24&gt;$AR77,$D$24&lt;$AR77),0,Schweine_Werte!$E77))</f>
        <v>0</v>
      </c>
      <c r="AZ77" s="1713">
        <f>IF(OR($C$36=$AR77,$D$36=$AR77),Schweine_Werte!$E77*0.5,IF(OR($C$36&gt;$AR77,$D$36&lt;$AR77),0,Schweine_Werte!$E77))</f>
        <v>0</v>
      </c>
      <c r="BA77" s="1713">
        <f>IF(OR($C$48=$AR77,$D$48=$AR77),Schweine_Werte!$E77*0.5,IF(OR($C$48&gt;$AR77,$D$48&lt;$AR77),0,Schweine_Werte!$E77))</f>
        <v>0</v>
      </c>
      <c r="BB77" s="1713">
        <f>IF(OR($C$60=$AR77,$D$60=$AR77),Schweine_Werte!$E77*0.5,IF(OR($C$60&gt;$AR77,$D$60&lt;$AR77),0,Schweine_Werte!$E77))</f>
        <v>0</v>
      </c>
      <c r="BC77" s="1710">
        <f>IF(OR($C$12=$AR77,$D$12=$AR77),Schweine_Werte!$G77*0.5,IF(OR($C$12&gt;$AR77,$D$12&lt;$AR77),0,Schweine_Werte!$G77))</f>
        <v>0</v>
      </c>
      <c r="BD77" s="1713">
        <f>IF(OR($C$24=$AR77,$D$24=$AR77),Schweine_Werte!$G77*0.5,IF(OR($C$24&gt;$AR77,$D$24&lt;$AR77),0,Schweine_Werte!$G77))</f>
        <v>0</v>
      </c>
      <c r="BE77" s="1713">
        <f>IF(OR($C$36=$AR77,$D$36=$AR77),Schweine_Werte!$G77*0.5,IF(OR($C$36&gt;$AR77,$D$36&lt;$AR77),0,Schweine_Werte!$G77))</f>
        <v>0</v>
      </c>
      <c r="BF77" s="1713">
        <f>IF(OR($C$48=$AR77,$D$48=$AR77),Schweine_Werte!$G77*0.5,IF(OR($C$48&gt;$AR77,$D$48&lt;$AR77),0,Schweine_Werte!$G77))</f>
        <v>0</v>
      </c>
      <c r="BG77" s="1713">
        <f>IF(OR($C$60=$AR77,$D$60=$AR77),Schweine_Werte!$G77*0.5,IF(OR($C$60&gt;$AR77,$D$60&lt;$AR77),0,Schweine_Werte!$G77))</f>
        <v>0</v>
      </c>
      <c r="BH77" s="1710">
        <f>IF(OR($C$12=$AR77,$D$12=$AR77),Schweine_Werte!$I77*0.5,IF(OR($C$12&gt;$AR77,$D$12&lt;$AR77),0,Schweine_Werte!$I77))</f>
        <v>0</v>
      </c>
      <c r="BI77" s="1713">
        <f>IF(OR($C$24=$AR77,$D$24=$AR77),Schweine_Werte!$I77*0.5,IF(OR($C$24&gt;$AR77,$D$24&lt;$AR77),0,Schweine_Werte!$I77))</f>
        <v>0</v>
      </c>
      <c r="BJ77" s="1713">
        <f>IF(OR($C$36=$AR77,$D$36=$AR77),Schweine_Werte!$I77*0.5,IF(OR($C$36&gt;$AR77,$D$36&lt;$AR77),0,Schweine_Werte!$I77))</f>
        <v>0</v>
      </c>
      <c r="BK77" s="1713">
        <f>IF(OR($C$48=$AR77,$D$48=$AR77),Schweine_Werte!$I77*0.5,IF(OR($C$48&gt;$AR77,$D$48&lt;$AR77),0,Schweine_Werte!$I77))</f>
        <v>0</v>
      </c>
      <c r="BL77" s="1713">
        <f>IF(OR($C$60=$AR77,$D$60=$AR77),Schweine_Werte!$I77*0.5,IF(OR($C$60&gt;$AR77,$D$60&lt;$AR77),0,Schweine_Werte!$I77))</f>
        <v>0</v>
      </c>
      <c r="BM77" s="1710">
        <f>IF(OR($C$12=$AR77,$D$12=$AR77),Schweine_Werte!$K77*0.5,IF(OR($C$12&gt;$AR77,$D$12&lt;$AR77),0,Schweine_Werte!$K77))</f>
        <v>0</v>
      </c>
      <c r="BN77" s="1713">
        <f>IF(OR($C$24=$AR77,$D$24=$AR77),Schweine_Werte!$K77*0.5,IF(OR($C$24&gt;$AR77,$D$24&lt;$AR77),0,Schweine_Werte!$K77))</f>
        <v>0</v>
      </c>
      <c r="BO77" s="1713">
        <f>IF(OR($C$36=$AR77,$D$36=$AR77),Schweine_Werte!$K77*0.5,IF(OR($C$36&gt;$AR77,$D$36&lt;$AR77),0,Schweine_Werte!$K77))</f>
        <v>0</v>
      </c>
      <c r="BP77" s="1713">
        <f>IF(OR($C$48=$AR77,$D$48=$AR77),Schweine_Werte!$K77*0.5,IF(OR($C$48&gt;$AR77,$D$48&lt;$AR77),0,Schweine_Werte!$K77))</f>
        <v>0</v>
      </c>
      <c r="BQ77" s="1713">
        <f>IF(OR($C$60=$AR77,$D$60=$AR77),Schweine_Werte!$K77*0.5,IF(OR($C$60&gt;$AR77,$D$60&lt;$AR77),0,Schweine_Werte!$K77))</f>
        <v>0</v>
      </c>
      <c r="BR77" s="1710">
        <f>IF(OR($C$74=$AR77,$D$74=$AR77),Schweine_Werte!$M77*0.5,IF(OR($C$74&gt;$AR77,$D$74&lt;$AR77),0,Schweine_Werte!$M77))</f>
        <v>0</v>
      </c>
      <c r="BS77" s="1710">
        <f>IF(OR($C$83=$AR77,$D$83=$AR77),Schweine_Werte!$M77*0.5,IF(OR($C$83&gt;$AR77,$D$83&lt;$AR77),0,Schweine_Werte!$M77))</f>
        <v>0</v>
      </c>
      <c r="BT77" s="1714">
        <f>IF(OR($C$92=$AR77,$D$92=$AR77),Schweine_Werte!$M77*0.5,IF(OR($C$92&gt;$AR77,$D$92&lt;$AR77),0,Schweine_Werte!$M77))</f>
        <v>0</v>
      </c>
      <c r="BU77" s="1714">
        <f>IF(OR($C$101=$AR77,$D$101=$AR77),Schweine_Werte!$M77*0.5,IF(OR($C$101&gt;$AR77,$D$101&lt;$AR77),0,Schweine_Werte!$M77))</f>
        <v>0</v>
      </c>
      <c r="BV77" s="1714">
        <f>IF(OR($C$110=$AR77,$D$110=$AR77),Schweine_Werte!$M77*0.5,IF(OR($C$110&gt;$AR77,$D$110&lt;$AR77),0,Schweine_Werte!$M77))</f>
        <v>0</v>
      </c>
      <c r="BW77" s="1714">
        <f>IF(OR(8=$AR77,$E$127=$AR77),Schweine_Werte!$M77*0.5,IF(OR(8&gt;$AR77,$E$127&lt;$AR77),0,Schweine_Werte!$M77))</f>
        <v>1.1179127561182562</v>
      </c>
      <c r="BX77" s="1714">
        <f>IF(OR(8=$AR77,$E$145=$AR77),Schweine_Werte!$M77*0.5,IF(OR(8&gt;$AR77,$E$145&lt;$AR77),0,Schweine_Werte!$M77))</f>
        <v>1.1179127561182562</v>
      </c>
      <c r="BY77" s="1710">
        <f>IF(OR($C$74=$AR77,$D$74=$AR77),Schweine_Werte!$O77*0.5,IF(OR($C$74&gt;$AR77,$D$74&lt;$AR77),0,Schweine_Werte!$O77))</f>
        <v>0</v>
      </c>
      <c r="BZ77" s="1710">
        <f>IF(OR($C$83=$AR77,$D$83=$AR77),Schweine_Werte!$O77*0.5,IF(OR($C$83&gt;$AR77,$D$83&lt;$AR77),0,Schweine_Werte!$O77))</f>
        <v>0</v>
      </c>
      <c r="CA77" s="1714">
        <f>IF(OR($C$92=$AR77,$D$92=$AR77),Schweine_Werte!$O77*0.5,IF(OR($C$92&gt;$AR77,$D$92&lt;$AR77),0,Schweine_Werte!$O77))</f>
        <v>0</v>
      </c>
      <c r="CB77" s="1714">
        <f>IF(OR($C$101=$AR77,$D$101=$AR77),Schweine_Werte!$O77*0.5,IF(OR($C$101&gt;$AR77,$D$101&lt;$AR77),0,Schweine_Werte!$O77))</f>
        <v>0</v>
      </c>
      <c r="CC77" s="1714">
        <f>IF(OR($C$110=$AR77,$D$110=$AR77),Schweine_Werte!$O77*0.5,IF(OR($C$110&gt;$AR77,$D$110&lt;$AR77),0,Schweine_Werte!$O77))</f>
        <v>0</v>
      </c>
    </row>
    <row r="78" spans="1:81" x14ac:dyDescent="0.25">
      <c r="B78" t="s">
        <v>8613</v>
      </c>
      <c r="C78"/>
      <c r="D78"/>
      <c r="E78" t="s">
        <v>8568</v>
      </c>
      <c r="F78" t="s">
        <v>195</v>
      </c>
      <c r="G78" t="s">
        <v>8569</v>
      </c>
      <c r="H78" t="s">
        <v>8570</v>
      </c>
      <c r="I78" t="s">
        <v>8571</v>
      </c>
      <c r="J78" t="s">
        <v>8096</v>
      </c>
      <c r="K78" t="s">
        <v>8572</v>
      </c>
      <c r="L78" t="s">
        <v>8573</v>
      </c>
      <c r="M78" t="s">
        <v>8574</v>
      </c>
      <c r="N78" t="s">
        <v>8575</v>
      </c>
      <c r="O78" t="s">
        <v>8576</v>
      </c>
      <c r="P78" t="s">
        <v>8577</v>
      </c>
      <c r="Q78" t="s">
        <v>35</v>
      </c>
      <c r="R78" t="s">
        <v>36</v>
      </c>
      <c r="S78" t="s">
        <v>37</v>
      </c>
      <c r="T78" t="s">
        <v>35</v>
      </c>
      <c r="U78" t="s">
        <v>36</v>
      </c>
      <c r="V78" t="s">
        <v>37</v>
      </c>
      <c r="W78" t="s">
        <v>8548</v>
      </c>
      <c r="X78" t="s">
        <v>8549</v>
      </c>
      <c r="Y78" t="s">
        <v>8550</v>
      </c>
      <c r="Z78"/>
      <c r="AA78"/>
      <c r="AB78"/>
      <c r="AC78"/>
      <c r="AD78"/>
      <c r="AE78"/>
      <c r="AF78"/>
      <c r="AG78"/>
      <c r="AH78"/>
      <c r="AI78"/>
      <c r="AJ78"/>
      <c r="AK78"/>
      <c r="AL78"/>
      <c r="AM78"/>
      <c r="AN78"/>
      <c r="AO78"/>
      <c r="AR78" s="1733">
        <v>82</v>
      </c>
      <c r="AS78" s="1710">
        <f>IF(OR($C$12=$AR78,$D$12=$AR78),Schweine_Werte!$C78*0.5,IF(OR($C$12&gt;$AR78,$D$12&lt;$AR78),0,Schweine_Werte!$C78))</f>
        <v>0</v>
      </c>
      <c r="AT78" s="1713">
        <f>IF(OR($C$24=$AR78,$D$24=$AR78),Schweine_Werte!$C78*0.5,IF(OR($C$24&gt;$AR78,$D$24&lt;$AR78),0,Schweine_Werte!$C78))</f>
        <v>0</v>
      </c>
      <c r="AU78" s="1710">
        <f>IF(OR($C$36=$AR78,$D$36=$AR78),Schweine_Werte!$C78*0.5,IF(OR($C$36&gt;$AR78,$D$36&lt;$AR78),0,Schweine_Werte!$C78))</f>
        <v>0</v>
      </c>
      <c r="AV78" s="1710">
        <f>IF(OR($C$48=$AR78,$D$48=$AR78),Schweine_Werte!$C78*0.5,IF(OR($C$48&gt;$AR78,$D$48&lt;$AR78),0,Schweine_Werte!$C78))</f>
        <v>0</v>
      </c>
      <c r="AW78" s="1710">
        <f>IF(OR($C$60=$AR78,$D$60=$AR78),Schweine_Werte!$C78*0.5,IF(OR($C$60&gt;$AR78,$D$60&lt;$AR78),0,Schweine_Werte!$C78))</f>
        <v>0</v>
      </c>
      <c r="AX78" s="1710">
        <f>IF(OR($C$12=$AR78,$D$12=$AR78),Schweine_Werte!$E78*0.5,IF(OR($C$12&gt;$AR78,$D$12&lt;$AR78),0,Schweine_Werte!$E78))</f>
        <v>0</v>
      </c>
      <c r="AY78" s="1713">
        <f>IF(OR($C$24=$AR78,$D$24=$AR78),Schweine_Werte!$E78*0.5,IF(OR($C$24&gt;$AR78,$D$24&lt;$AR78),0,Schweine_Werte!$E78))</f>
        <v>0</v>
      </c>
      <c r="AZ78" s="1713">
        <f>IF(OR($C$36=$AR78,$D$36=$AR78),Schweine_Werte!$E78*0.5,IF(OR($C$36&gt;$AR78,$D$36&lt;$AR78),0,Schweine_Werte!$E78))</f>
        <v>0</v>
      </c>
      <c r="BA78" s="1713">
        <f>IF(OR($C$48=$AR78,$D$48=$AR78),Schweine_Werte!$E78*0.5,IF(OR($C$48&gt;$AR78,$D$48&lt;$AR78),0,Schweine_Werte!$E78))</f>
        <v>0</v>
      </c>
      <c r="BB78" s="1713">
        <f>IF(OR($C$60=$AR78,$D$60=$AR78),Schweine_Werte!$E78*0.5,IF(OR($C$60&gt;$AR78,$D$60&lt;$AR78),0,Schweine_Werte!$E78))</f>
        <v>0</v>
      </c>
      <c r="BC78" s="1710">
        <f>IF(OR($C$12=$AR78,$D$12=$AR78),Schweine_Werte!$G78*0.5,IF(OR($C$12&gt;$AR78,$D$12&lt;$AR78),0,Schweine_Werte!$G78))</f>
        <v>0</v>
      </c>
      <c r="BD78" s="1713">
        <f>IF(OR($C$24=$AR78,$D$24=$AR78),Schweine_Werte!$G78*0.5,IF(OR($C$24&gt;$AR78,$D$24&lt;$AR78),0,Schweine_Werte!$G78))</f>
        <v>0</v>
      </c>
      <c r="BE78" s="1713">
        <f>IF(OR($C$36=$AR78,$D$36=$AR78),Schweine_Werte!$G78*0.5,IF(OR($C$36&gt;$AR78,$D$36&lt;$AR78),0,Schweine_Werte!$G78))</f>
        <v>0</v>
      </c>
      <c r="BF78" s="1713">
        <f>IF(OR($C$48=$AR78,$D$48=$AR78),Schweine_Werte!$G78*0.5,IF(OR($C$48&gt;$AR78,$D$48&lt;$AR78),0,Schweine_Werte!$G78))</f>
        <v>0</v>
      </c>
      <c r="BG78" s="1713">
        <f>IF(OR($C$60=$AR78,$D$60=$AR78),Schweine_Werte!$G78*0.5,IF(OR($C$60&gt;$AR78,$D$60&lt;$AR78),0,Schweine_Werte!$G78))</f>
        <v>0</v>
      </c>
      <c r="BH78" s="1710">
        <f>IF(OR($C$12=$AR78,$D$12=$AR78),Schweine_Werte!$I78*0.5,IF(OR($C$12&gt;$AR78,$D$12&lt;$AR78),0,Schweine_Werte!$I78))</f>
        <v>0</v>
      </c>
      <c r="BI78" s="1713">
        <f>IF(OR($C$24=$AR78,$D$24=$AR78),Schweine_Werte!$I78*0.5,IF(OR($C$24&gt;$AR78,$D$24&lt;$AR78),0,Schweine_Werte!$I78))</f>
        <v>0</v>
      </c>
      <c r="BJ78" s="1713">
        <f>IF(OR($C$36=$AR78,$D$36=$AR78),Schweine_Werte!$I78*0.5,IF(OR($C$36&gt;$AR78,$D$36&lt;$AR78),0,Schweine_Werte!$I78))</f>
        <v>0</v>
      </c>
      <c r="BK78" s="1713">
        <f>IF(OR($C$48=$AR78,$D$48=$AR78),Schweine_Werte!$I78*0.5,IF(OR($C$48&gt;$AR78,$D$48&lt;$AR78),0,Schweine_Werte!$I78))</f>
        <v>0</v>
      </c>
      <c r="BL78" s="1713">
        <f>IF(OR($C$60=$AR78,$D$60=$AR78),Schweine_Werte!$I78*0.5,IF(OR($C$60&gt;$AR78,$D$60&lt;$AR78),0,Schweine_Werte!$I78))</f>
        <v>0</v>
      </c>
      <c r="BM78" s="1710">
        <f>IF(OR($C$12=$AR78,$D$12=$AR78),Schweine_Werte!$K78*0.5,IF(OR($C$12&gt;$AR78,$D$12&lt;$AR78),0,Schweine_Werte!$K78))</f>
        <v>0</v>
      </c>
      <c r="BN78" s="1713">
        <f>IF(OR($C$24=$AR78,$D$24=$AR78),Schweine_Werte!$K78*0.5,IF(OR($C$24&gt;$AR78,$D$24&lt;$AR78),0,Schweine_Werte!$K78))</f>
        <v>0</v>
      </c>
      <c r="BO78" s="1713">
        <f>IF(OR($C$36=$AR78,$D$36=$AR78),Schweine_Werte!$K78*0.5,IF(OR($C$36&gt;$AR78,$D$36&lt;$AR78),0,Schweine_Werte!$K78))</f>
        <v>0</v>
      </c>
      <c r="BP78" s="1713">
        <f>IF(OR($C$48=$AR78,$D$48=$AR78),Schweine_Werte!$K78*0.5,IF(OR($C$48&gt;$AR78,$D$48&lt;$AR78),0,Schweine_Werte!$K78))</f>
        <v>0</v>
      </c>
      <c r="BQ78" s="1713">
        <f>IF(OR($C$60=$AR78,$D$60=$AR78),Schweine_Werte!$K78*0.5,IF(OR($C$60&gt;$AR78,$D$60&lt;$AR78),0,Schweine_Werte!$K78))</f>
        <v>0</v>
      </c>
      <c r="BR78" s="1710">
        <f>IF(OR($C$74=$AR78,$D$74=$AR78),Schweine_Werte!$M78*0.5,IF(OR($C$74&gt;$AR78,$D$74&lt;$AR78),0,Schweine_Werte!$M78))</f>
        <v>0</v>
      </c>
      <c r="BS78" s="1710">
        <f>IF(OR($C$83=$AR78,$D$83=$AR78),Schweine_Werte!$M78*0.5,IF(OR($C$83&gt;$AR78,$D$83&lt;$AR78),0,Schweine_Werte!$M78))</f>
        <v>0</v>
      </c>
      <c r="BT78" s="1714">
        <f>IF(OR($C$92=$AR78,$D$92=$AR78),Schweine_Werte!$M78*0.5,IF(OR($C$92&gt;$AR78,$D$92&lt;$AR78),0,Schweine_Werte!$M78))</f>
        <v>0</v>
      </c>
      <c r="BU78" s="1714">
        <f>IF(OR($C$101=$AR78,$D$101=$AR78),Schweine_Werte!$M78*0.5,IF(OR($C$101&gt;$AR78,$D$101&lt;$AR78),0,Schweine_Werte!$M78))</f>
        <v>0</v>
      </c>
      <c r="BV78" s="1714">
        <f>IF(OR($C$110=$AR78,$D$110=$AR78),Schweine_Werte!$M78*0.5,IF(OR($C$110&gt;$AR78,$D$110&lt;$AR78),0,Schweine_Werte!$M78))</f>
        <v>0</v>
      </c>
      <c r="BW78" s="1714">
        <f>IF(OR(8=$AR78,$E$127=$AR78),Schweine_Werte!$M78*0.5,IF(OR(8&gt;$AR78,$E$127&lt;$AR78),0,Schweine_Werte!$M78))</f>
        <v>1.1212707978866512</v>
      </c>
      <c r="BX78" s="1714">
        <f>IF(OR(8=$AR78,$E$145=$AR78),Schweine_Werte!$M78*0.5,IF(OR(8&gt;$AR78,$E$145&lt;$AR78),0,Schweine_Werte!$M78))</f>
        <v>1.1212707978866512</v>
      </c>
      <c r="BY78" s="1710">
        <f>IF(OR($C$74=$AR78,$D$74=$AR78),Schweine_Werte!$O78*0.5,IF(OR($C$74&gt;$AR78,$D$74&lt;$AR78),0,Schweine_Werte!$O78))</f>
        <v>0</v>
      </c>
      <c r="BZ78" s="1710">
        <f>IF(OR($C$83=$AR78,$D$83=$AR78),Schweine_Werte!$O78*0.5,IF(OR($C$83&gt;$AR78,$D$83&lt;$AR78),0,Schweine_Werte!$O78))</f>
        <v>0</v>
      </c>
      <c r="CA78" s="1714">
        <f>IF(OR($C$92=$AR78,$D$92=$AR78),Schweine_Werte!$O78*0.5,IF(OR($C$92&gt;$AR78,$D$92&lt;$AR78),0,Schweine_Werte!$O78))</f>
        <v>0</v>
      </c>
      <c r="CB78" s="1714">
        <f>IF(OR($C$101=$AR78,$D$101=$AR78),Schweine_Werte!$O78*0.5,IF(OR($C$101&gt;$AR78,$D$101&lt;$AR78),0,Schweine_Werte!$O78))</f>
        <v>0</v>
      </c>
      <c r="CC78" s="1714">
        <f>IF(OR($C$110=$AR78,$D$110=$AR78),Schweine_Werte!$O78*0.5,IF(OR($C$110&gt;$AR78,$D$110&lt;$AR78),0,Schweine_Werte!$O78))</f>
        <v>0</v>
      </c>
    </row>
    <row r="79" spans="1:81" x14ac:dyDescent="0.25">
      <c r="B79">
        <v>450</v>
      </c>
      <c r="C79"/>
      <c r="D79" s="885"/>
      <c r="E79" t="e">
        <f>($D83-$C83)*1000/SUM($BS$4:$BS$31)</f>
        <v>#VALUE!</v>
      </c>
      <c r="F79" s="885" t="e">
        <f>SUMPRODUCT($BS$4:$BS$31,Schweine_Werte!$V$4:$V$31)/SUM($BS$4:$BS$31)</f>
        <v>#DIV/0!</v>
      </c>
      <c r="G79" s="885" t="e">
        <f>IF($B83=$A$8,SUMPRODUCT($BS$4:$BS$31,Schweine_Werte!HE$4:HE$31)/SUM($BS$4:$BS$31),IF($B83=$A$7,SUMPRODUCT($BS$4:$BS$31,Schweine_Werte!GQ$4:GQ$31)/SUM($BS$4:$BS$31),IF($B83=$A$6,SUMPRODUCT($BS$4:$BS$31,Schweine_Werte!GC$4:GC$31)/SUM($BS$4:$BS$31),SUMPRODUCT($BS$4:$BS$31,Schweine_Werte!FO$4:FO$31)/SUM($BS$4:$BS$31))))</f>
        <v>#DIV/0!</v>
      </c>
      <c r="H79" s="885" t="e">
        <f>IF($B83=$A$8,SUMPRODUCT($BS$4:$BS$31,Schweine_Werte!HF$4:HF$31)/SUM($BS$4:$BS$31),IF($B83=$A$7,SUMPRODUCT($BS$4:$BS$31,Schweine_Werte!GR$4:GR$31)/SUM($BS$4:$BS$31),IF($B83=$A$6,SUMPRODUCT($BS$4:$BS$31,Schweine_Werte!GD$4:GD$31)/SUM($BS$4:$BS$31),SUMPRODUCT($BS$4:$BS$31,Schweine_Werte!FP$4:FP$31)/SUM($BS$4:$BS$31))))</f>
        <v>#DIV/0!</v>
      </c>
      <c r="I79" s="885" t="e">
        <f>IF($B83=$A$8,SUMPRODUCT($BS$4:$BS$31,Schweine_Werte!HG$4:HG$31)/SUM($BS$4:$BS$31),IF($B83=$A$7,SUMPRODUCT($BS$4:$BS$31,Schweine_Werte!GS$4:GS$31)/SUM($BS$4:$BS$31),IF($B83=$A$6,SUMPRODUCT($BS$4:$BS$31,Schweine_Werte!GE$4:GE$31)/SUM($BS$4:$BS$31),SUMPRODUCT($BS$4:$BS$31,Schweine_Werte!FQ$4:FQ$31)/SUM($BS$4:$BS$31))))</f>
        <v>#DIV/0!</v>
      </c>
      <c r="J79" s="885" t="e">
        <f>SUMPRODUCT($BS$4:$BS$31,Schweine_Werte!$AD$4:$AD$31)/SUM($BS$4:$BS$31)</f>
        <v>#DIV/0!</v>
      </c>
      <c r="K79" s="885" t="e">
        <f>SUMPRODUCT($BS$4:$BS$31,Schweine_Werte!$AL$4:$AL$31)/SUM($BS$4:$BS$31)</f>
        <v>#DIV/0!</v>
      </c>
      <c r="L79" s="885" t="e">
        <f>T79*$F79*365/1000+$J79-$K79</f>
        <v>#DIV/0!</v>
      </c>
      <c r="M79" s="885" t="e">
        <f>U79*$F79*365/1000+$J79-$K79/2</f>
        <v>#DIV/0!</v>
      </c>
      <c r="N79" s="885" t="e">
        <f>V79*$F79*365/1000+$J79</f>
        <v>#DIV/0!</v>
      </c>
      <c r="O79" s="885">
        <f>IF($C83&lt;28,SUM($BS$4:$BS$23)+IF($D83&gt;28,$BS$24*0.5,$BS$24),0)</f>
        <v>0</v>
      </c>
      <c r="P79" s="885">
        <f>IF($D83&gt;28,SUM($BS$25:$BS$31)+IF($C83&lt;28,$BS$24*0.5,$BS$24),0)</f>
        <v>0</v>
      </c>
      <c r="Q79" s="885" t="e">
        <f t="shared" ref="Q79:S80" si="18">+T79*$F79</f>
        <v>#DIV/0!</v>
      </c>
      <c r="R79" s="885" t="e">
        <f t="shared" si="18"/>
        <v>#DIV/0!</v>
      </c>
      <c r="S79" s="885" t="e">
        <f t="shared" si="18"/>
        <v>#DIV/0!</v>
      </c>
      <c r="T79" s="885" t="e">
        <f>+($O79*Schweine_Werte!$HT$15+$P79*Schweine_Werte!$HU$15)/SUM($O79:$P79)</f>
        <v>#DIV/0!</v>
      </c>
      <c r="U79" s="885" t="e">
        <f>+($O79*Schweine_Werte!$HV$15+$P79*Schweine_Werte!$HW$15)/SUM($O79:$P79)</f>
        <v>#DIV/0!</v>
      </c>
      <c r="V79" s="885" t="e">
        <f>+($O79*Schweine_Werte!$HX$15+$P79*Schweine_Werte!$HY$15)/SUM($O79:$P79)</f>
        <v>#DIV/0!</v>
      </c>
      <c r="W79" s="1915" t="e">
        <f>($J79*0.055+T79*0.365*0.86*$F79-$K79*0.018)/L79*100</f>
        <v>#DIV/0!</v>
      </c>
      <c r="X79" s="1915" t="e">
        <f>($J79*0.055+U79*0.365*0.86*$F79-$K79*0.018/2)/M79*100</f>
        <v>#DIV/0!</v>
      </c>
      <c r="Y79" s="885" t="e">
        <f>($J79*0.055+V79*0.365*0.86*$F79)/N79*100</f>
        <v>#DIV/0!</v>
      </c>
      <c r="Z79" s="885" t="e">
        <f>IF($B83=$A$8,SUMPRODUCT($BS$4:$BS$31,Schweine_Werte!$HH$4:$HH$31,Schweine_Werte!$HI$4:$HI$31)/SUMPRODUCT($BS$4:$BS$31,Schweine_Werte!$HH$4:$HH$31),IF($B83=$A$7,SUMPRODUCT($BS$4:$BS$31,Schweine_Werte!$GT$4:$GT$31,Schweine_Werte!$GU$4:$GU$31)/SUMPRODUCT($BS$4:$BS$31,Schweine_Werte!$GT$4:$GT$31),IF($B83=$A$6,SUMPRODUCT($BS$4:$BS$31,Schweine_Werte!$GF$4:$GF$31,Schweine_Werte!$GG$4:$GG$31)/SUMPRODUCT($BS$4:$BS$31,Schweine_Werte!$GF$4:$GF$31),SUMPRODUCT($BS$4:$BS$31,Schweine_Werte!$FR$4:$FR$31,Schweine_Werte!$FS$4:$FS$31)/SUMPRODUCT($BS$4:$BS$31,Schweine_Werte!$FR$4:$FR$31))))</f>
        <v>#DIV/0!</v>
      </c>
      <c r="AA79" s="885"/>
      <c r="AB79" s="885">
        <f>IF($B83=$A$8,SUMIF(Schweine_Werte!$AO$4:$AO$31,$C83,Schweine_Werte!$HI$4:$HI$31),IF($B83=$A$7,SUMIF(Schweine_Werte!$AO$4:$AO$31,$C83,Schweine_Werte!$GU$4:$GU$31),IF($B83=$A$6,SUMIF(Schweine_Werte!$AO$4:$AO$31,$C83,Schweine_Werte!$GG$4:$GG$31),SUMIF(Schweine_Werte!$AO$4:$AO$31,$C83,Schweine_Werte!$FS$4:$FS$31))))</f>
        <v>0</v>
      </c>
      <c r="AC79" s="885"/>
      <c r="AD79" s="885">
        <f>IF($B83=$A$8,SUMIF(Schweine_Werte!$AO$4:$AO$31,$D83,Schweine_Werte!$HI$4:$HI$31),IF($B83=$A$7,SUMIF(Schweine_Werte!$AO$4:$AO$31,$D83,Schweine_Werte!$GU$4:$GU$31),IF($B83=$A$6,SUMIF(Schweine_Werte!$AO$4:$AO$31,$D83,Schweine_Werte!$GG$4:$GG$31),SUMIF(Schweine_Werte!$AO$4:$AO$31,$D83,Schweine_Werte!$FS$4:$FS$31))))</f>
        <v>0</v>
      </c>
      <c r="AE79" s="885"/>
      <c r="AF79" s="885"/>
      <c r="AG79" s="885" t="e">
        <f>IF($B83=$A$8,SUMPRODUCT($BS$4:$BS$31,Schweine_Werte!$HH$4:$HH$31)/SUM($BS$4:$BS$31),IF($B83=$A$7,SUMPRODUCT($BS$4:$BS$31,Schweine_Werte!$GT$4:$GT$31)/SUM($BS$4:$BS$31),IF($B83=$A$6,SUMPRODUCT($BS$4:$BS$31,Schweine_Werte!$GF$4:$GF$31)/SUM($BS$4:$BS$31),SUMPRODUCT($BS$4:$BS$31,Schweine_Werte!$FR$4:$FR$31)/SUM($BS$4:$BS$31))))</f>
        <v>#DIV/0!</v>
      </c>
      <c r="AH79" s="885"/>
      <c r="AI79" s="885"/>
      <c r="AJ79" s="885" t="e">
        <f>IF($B83=$A$8,SUMPRODUCT($BS$4:$BS$31,Schweine_Werte!$HH$4:$HH$31,Schweine_Werte!$HJ$4:$HJ$31)/SUMPRODUCT($BS$4:$BS$31,Schweine_Werte!$HH$4:$HH$31),IF($B83=$A$7,SUMPRODUCT($BS$4:$BS$31,Schweine_Werte!$GT$4:$GT$31,Schweine_Werte!$GV$4:$GV$31)/SUMPRODUCT($BS$4:$BS$31,Schweine_Werte!$GT$4:$GT$31),IF($B83=$A$6,SUMPRODUCT($BS$4:$BS$31,Schweine_Werte!$GF$4:$GF$31,Schweine_Werte!$GH$4:$GH$31)/SUMPRODUCT($BS$4:$BS$31,Schweine_Werte!$GF$4:$GF$31),SUMPRODUCT($BS$4:$BS$31,Schweine_Werte!$FR$4:$FR$31,Schweine_Werte!$FT$4:$FT$31)/SUMPRODUCT($BS$4:$BS$31,Schweine_Werte!$FR$4:$FR$31))))</f>
        <v>#DIV/0!</v>
      </c>
      <c r="AK79" s="885"/>
      <c r="AL79" s="885">
        <f>IF($B83=$A$8,SUMIF(Schweine_Werte!$AO$4:$AO$31,$C83,Schweine_Werte!$HJ$4:$HJ$31),IF($B83=$A$7,SUMIF(Schweine_Werte!$AO$4:$AO$31,$C83,Schweine_Werte!$GV$4:$GV$31),IF($B83=$A$6,SUMIF(Schweine_Werte!$AO$4:$AO$31,$C83,Schweine_Werte!$GH$4:$GH$31),SUMIF(Schweine_Werte!$AO$4:$AO$31,$C83,Schweine_Werte!$FT$4:$FT$31))))</f>
        <v>0</v>
      </c>
      <c r="AM79" s="885"/>
      <c r="AN79" s="885">
        <f>IF($B83=$A$8,SUMIF(Schweine_Werte!$AO$4:$AO$31,$D83,Schweine_Werte!$HJ$4:$HJ$31),IF($B83=$A$7,SUMIF(Schweine_Werte!$AO$4:$AO$31,$D83,Schweine_Werte!$GV$4:$GV$31),IF($B83=$A$6,SUMIF(Schweine_Werte!$AO$4:$AO$31,$D83,Schweine_Werte!$GH$4:$GH$31),SUMIF(Schweine_Werte!$AO$4:$AO$31,$D83,Schweine_Werte!$FT$4:$FT$31))))</f>
        <v>0</v>
      </c>
      <c r="AO79" s="885"/>
      <c r="AR79" s="1733">
        <v>83</v>
      </c>
      <c r="AS79" s="1710">
        <f>IF(OR($C$12=$AR79,$D$12=$AR79),Schweine_Werte!$C79*0.5,IF(OR($C$12&gt;$AR79,$D$12&lt;$AR79),0,Schweine_Werte!$C79))</f>
        <v>0</v>
      </c>
      <c r="AT79" s="1713">
        <f>IF(OR($C$24=$AR79,$D$24=$AR79),Schweine_Werte!$C79*0.5,IF(OR($C$24&gt;$AR79,$D$24&lt;$AR79),0,Schweine_Werte!$C79))</f>
        <v>0</v>
      </c>
      <c r="AU79" s="1710">
        <f>IF(OR($C$36=$AR79,$D$36=$AR79),Schweine_Werte!$C79*0.5,IF(OR($C$36&gt;$AR79,$D$36&lt;$AR79),0,Schweine_Werte!$C79))</f>
        <v>0</v>
      </c>
      <c r="AV79" s="1710">
        <f>IF(OR($C$48=$AR79,$D$48=$AR79),Schweine_Werte!$C79*0.5,IF(OR($C$48&gt;$AR79,$D$48&lt;$AR79),0,Schweine_Werte!$C79))</f>
        <v>0</v>
      </c>
      <c r="AW79" s="1710">
        <f>IF(OR($C$60=$AR79,$D$60=$AR79),Schweine_Werte!$C79*0.5,IF(OR($C$60&gt;$AR79,$D$60&lt;$AR79),0,Schweine_Werte!$C79))</f>
        <v>0</v>
      </c>
      <c r="AX79" s="1710">
        <f>IF(OR($C$12=$AR79,$D$12=$AR79),Schweine_Werte!$E79*0.5,IF(OR($C$12&gt;$AR79,$D$12&lt;$AR79),0,Schweine_Werte!$E79))</f>
        <v>0</v>
      </c>
      <c r="AY79" s="1713">
        <f>IF(OR($C$24=$AR79,$D$24=$AR79),Schweine_Werte!$E79*0.5,IF(OR($C$24&gt;$AR79,$D$24&lt;$AR79),0,Schweine_Werte!$E79))</f>
        <v>0</v>
      </c>
      <c r="AZ79" s="1713">
        <f>IF(OR($C$36=$AR79,$D$36=$AR79),Schweine_Werte!$E79*0.5,IF(OR($C$36&gt;$AR79,$D$36&lt;$AR79),0,Schweine_Werte!$E79))</f>
        <v>0</v>
      </c>
      <c r="BA79" s="1713">
        <f>IF(OR($C$48=$AR79,$D$48=$AR79),Schweine_Werte!$E79*0.5,IF(OR($C$48&gt;$AR79,$D$48&lt;$AR79),0,Schweine_Werte!$E79))</f>
        <v>0</v>
      </c>
      <c r="BB79" s="1713">
        <f>IF(OR($C$60=$AR79,$D$60=$AR79),Schweine_Werte!$E79*0.5,IF(OR($C$60&gt;$AR79,$D$60&lt;$AR79),0,Schweine_Werte!$E79))</f>
        <v>0</v>
      </c>
      <c r="BC79" s="1710">
        <f>IF(OR($C$12=$AR79,$D$12=$AR79),Schweine_Werte!$G79*0.5,IF(OR($C$12&gt;$AR79,$D$12&lt;$AR79),0,Schweine_Werte!$G79))</f>
        <v>0</v>
      </c>
      <c r="BD79" s="1713">
        <f>IF(OR($C$24=$AR79,$D$24=$AR79),Schweine_Werte!$G79*0.5,IF(OR($C$24&gt;$AR79,$D$24&lt;$AR79),0,Schweine_Werte!$G79))</f>
        <v>0</v>
      </c>
      <c r="BE79" s="1713">
        <f>IF(OR($C$36=$AR79,$D$36=$AR79),Schweine_Werte!$G79*0.5,IF(OR($C$36&gt;$AR79,$D$36&lt;$AR79),0,Schweine_Werte!$G79))</f>
        <v>0</v>
      </c>
      <c r="BF79" s="1713">
        <f>IF(OR($C$48=$AR79,$D$48=$AR79),Schweine_Werte!$G79*0.5,IF(OR($C$48&gt;$AR79,$D$48&lt;$AR79),0,Schweine_Werte!$G79))</f>
        <v>0</v>
      </c>
      <c r="BG79" s="1713">
        <f>IF(OR($C$60=$AR79,$D$60=$AR79),Schweine_Werte!$G79*0.5,IF(OR($C$60&gt;$AR79,$D$60&lt;$AR79),0,Schweine_Werte!$G79))</f>
        <v>0</v>
      </c>
      <c r="BH79" s="1710">
        <f>IF(OR($C$12=$AR79,$D$12=$AR79),Schweine_Werte!$I79*0.5,IF(OR($C$12&gt;$AR79,$D$12&lt;$AR79),0,Schweine_Werte!$I79))</f>
        <v>0</v>
      </c>
      <c r="BI79" s="1713">
        <f>IF(OR($C$24=$AR79,$D$24=$AR79),Schweine_Werte!$I79*0.5,IF(OR($C$24&gt;$AR79,$D$24&lt;$AR79),0,Schweine_Werte!$I79))</f>
        <v>0</v>
      </c>
      <c r="BJ79" s="1713">
        <f>IF(OR($C$36=$AR79,$D$36=$AR79),Schweine_Werte!$I79*0.5,IF(OR($C$36&gt;$AR79,$D$36&lt;$AR79),0,Schweine_Werte!$I79))</f>
        <v>0</v>
      </c>
      <c r="BK79" s="1713">
        <f>IF(OR($C$48=$AR79,$D$48=$AR79),Schweine_Werte!$I79*0.5,IF(OR($C$48&gt;$AR79,$D$48&lt;$AR79),0,Schweine_Werte!$I79))</f>
        <v>0</v>
      </c>
      <c r="BL79" s="1713">
        <f>IF(OR($C$60=$AR79,$D$60=$AR79),Schweine_Werte!$I79*0.5,IF(OR($C$60&gt;$AR79,$D$60&lt;$AR79),0,Schweine_Werte!$I79))</f>
        <v>0</v>
      </c>
      <c r="BM79" s="1710">
        <f>IF(OR($C$12=$AR79,$D$12=$AR79),Schweine_Werte!$K79*0.5,IF(OR($C$12&gt;$AR79,$D$12&lt;$AR79),0,Schweine_Werte!$K79))</f>
        <v>0</v>
      </c>
      <c r="BN79" s="1713">
        <f>IF(OR($C$24=$AR79,$D$24=$AR79),Schweine_Werte!$K79*0.5,IF(OR($C$24&gt;$AR79,$D$24&lt;$AR79),0,Schweine_Werte!$K79))</f>
        <v>0</v>
      </c>
      <c r="BO79" s="1713">
        <f>IF(OR($C$36=$AR79,$D$36=$AR79),Schweine_Werte!$K79*0.5,IF(OR($C$36&gt;$AR79,$D$36&lt;$AR79),0,Schweine_Werte!$K79))</f>
        <v>0</v>
      </c>
      <c r="BP79" s="1713">
        <f>IF(OR($C$48=$AR79,$D$48=$AR79),Schweine_Werte!$K79*0.5,IF(OR($C$48&gt;$AR79,$D$48&lt;$AR79),0,Schweine_Werte!$K79))</f>
        <v>0</v>
      </c>
      <c r="BQ79" s="1713">
        <f>IF(OR($C$60=$AR79,$D$60=$AR79),Schweine_Werte!$K79*0.5,IF(OR($C$60&gt;$AR79,$D$60&lt;$AR79),0,Schweine_Werte!$K79))</f>
        <v>0</v>
      </c>
      <c r="BR79" s="1710">
        <f>IF(OR($C$74=$AR79,$D$74=$AR79),Schweine_Werte!$M79*0.5,IF(OR($C$74&gt;$AR79,$D$74&lt;$AR79),0,Schweine_Werte!$M79))</f>
        <v>0</v>
      </c>
      <c r="BS79" s="1710">
        <f>IF(OR($C$83=$AR79,$D$83=$AR79),Schweine_Werte!$M79*0.5,IF(OR($C$83&gt;$AR79,$D$83&lt;$AR79),0,Schweine_Werte!$M79))</f>
        <v>0</v>
      </c>
      <c r="BT79" s="1714">
        <f>IF(OR($C$92=$AR79,$D$92=$AR79),Schweine_Werte!$M79*0.5,IF(OR($C$92&gt;$AR79,$D$92&lt;$AR79),0,Schweine_Werte!$M79))</f>
        <v>0</v>
      </c>
      <c r="BU79" s="1714">
        <f>IF(OR($C$101=$AR79,$D$101=$AR79),Schweine_Werte!$M79*0.5,IF(OR($C$101&gt;$AR79,$D$101&lt;$AR79),0,Schweine_Werte!$M79))</f>
        <v>0</v>
      </c>
      <c r="BV79" s="1714">
        <f>IF(OR($C$110=$AR79,$D$110=$AR79),Schweine_Werte!$M79*0.5,IF(OR($C$110&gt;$AR79,$D$110&lt;$AR79),0,Schweine_Werte!$M79))</f>
        <v>0</v>
      </c>
      <c r="BW79" s="1714">
        <f>IF(OR(8=$AR79,$E$127=$AR79),Schweine_Werte!$M79*0.5,IF(OR(8&gt;$AR79,$E$127&lt;$AR79),0,Schweine_Werte!$M79))</f>
        <v>1.1250241779203325</v>
      </c>
      <c r="BX79" s="1714">
        <f>IF(OR(8=$AR79,$E$145=$AR79),Schweine_Werte!$M79*0.5,IF(OR(8&gt;$AR79,$E$145&lt;$AR79),0,Schweine_Werte!$M79))</f>
        <v>1.1250241779203325</v>
      </c>
      <c r="BY79" s="1710">
        <f>IF(OR($C$74=$AR79,$D$74=$AR79),Schweine_Werte!$O79*0.5,IF(OR($C$74&gt;$AR79,$D$74&lt;$AR79),0,Schweine_Werte!$O79))</f>
        <v>0</v>
      </c>
      <c r="BZ79" s="1710">
        <f>IF(OR($C$83=$AR79,$D$83=$AR79),Schweine_Werte!$O79*0.5,IF(OR($C$83&gt;$AR79,$D$83&lt;$AR79),0,Schweine_Werte!$O79))</f>
        <v>0</v>
      </c>
      <c r="CA79" s="1714">
        <f>IF(OR($C$92=$AR79,$D$92=$AR79),Schweine_Werte!$O79*0.5,IF(OR($C$92&gt;$AR79,$D$92&lt;$AR79),0,Schweine_Werte!$O79))</f>
        <v>0</v>
      </c>
      <c r="CB79" s="1714">
        <f>IF(OR($C$101=$AR79,$D$101=$AR79),Schweine_Werte!$O79*0.5,IF(OR($C$101&gt;$AR79,$D$101&lt;$AR79),0,Schweine_Werte!$O79))</f>
        <v>0</v>
      </c>
      <c r="CC79" s="1714">
        <f>IF(OR($C$110=$AR79,$D$110=$AR79),Schweine_Werte!$O79*0.5,IF(OR($C$110&gt;$AR79,$D$110&lt;$AR79),0,Schweine_Werte!$O79))</f>
        <v>0</v>
      </c>
    </row>
    <row r="80" spans="1:81" x14ac:dyDescent="0.25">
      <c r="B80">
        <v>500</v>
      </c>
      <c r="C80"/>
      <c r="D80" s="885"/>
      <c r="E80" t="e">
        <f>($D83-$C83)*1000/SUM($BZ$4:$BZ$31)</f>
        <v>#VALUE!</v>
      </c>
      <c r="F80" s="885" t="e">
        <f>SUMPRODUCT($BZ$4:$BZ$31,Schweine_Werte!$W$4:$W$31)/SUM($BZ$4:$BZ$31)</f>
        <v>#DIV/0!</v>
      </c>
      <c r="G80" s="885" t="e">
        <f>IF($B83=$A$8,SUMPRODUCT($BZ$4:$BZ$31,Schweine_Werte!HK$4:HK$31)/SUM($BZ$4:$BZ$31),IF($B83=$A$7,SUMPRODUCT($BZ$4:$BZ$31,Schweine_Werte!GW$4:GW$31)/SUM($BZ$4:$BZ$31),IF($B83=$A$6,SUMPRODUCT($BZ$4:$BZ$31,Schweine_Werte!GI$4:GI$31)/SUM($BZ$4:$BZ$31),SUMPRODUCT($BZ$4:$BZ$31,Schweine_Werte!FU$4:FU$31)/SUM($BZ$4:$BZ$31))))</f>
        <v>#DIV/0!</v>
      </c>
      <c r="H80" s="885" t="e">
        <f>IF($B83=$A$8,SUMPRODUCT($BZ$4:$BZ$31,Schweine_Werte!HL$4:HL$31)/SUM($BZ$4:$BZ$31),IF($B83=$A$7,SUMPRODUCT($BZ$4:$BZ$31,Schweine_Werte!GX$4:GX$31)/SUM($BZ$4:$BZ$31),IF($B83=$A$6,SUMPRODUCT($BZ$4:$BZ$31,Schweine_Werte!GJ$4:GJ$31)/SUM($BZ$4:$BZ$31),SUMPRODUCT($BZ$4:$BZ$31,Schweine_Werte!FV$4:FV$31)/SUM($BZ$4:$BZ$31))))</f>
        <v>#DIV/0!</v>
      </c>
      <c r="I80" s="885" t="e">
        <f>IF($B83=$A$8,SUMPRODUCT($BZ$4:$BZ$31,Schweine_Werte!HM$4:HM$31)/SUM($BZ$4:$BZ$31),IF($B83=$A$7,SUMPRODUCT($BZ$4:$BZ$31,Schweine_Werte!GY$4:GY$31)/SUM($BZ$4:$BZ$31),IF($B83=$A$6,SUMPRODUCT($BZ$4:$BZ$31,Schweine_Werte!GK$4:GK$31)/SUM($BZ$4:$BZ$31),SUMPRODUCT($BZ$4:$BZ$31,Schweine_Werte!FW$4:FW$31)/SUM($BZ$4:$BZ$31))))</f>
        <v>#DIV/0!</v>
      </c>
      <c r="J80" s="885" t="e">
        <f>SUMPRODUCT($BZ$4:$BZ$31,Schweine_Werte!$AE$4:$AE$31)/SUM($BZ$4:$BZ$31)</f>
        <v>#DIV/0!</v>
      </c>
      <c r="K80" s="885" t="e">
        <f>SUMPRODUCT($BZ$4:$BZ$31,Schweine_Werte!$AM$4:$AM$31)/SUM($BZ$4:$BZ$31)</f>
        <v>#DIV/0!</v>
      </c>
      <c r="L80" s="885" t="e">
        <f>T80*$F80*365/1000+$J80-$K80</f>
        <v>#DIV/0!</v>
      </c>
      <c r="M80" s="885" t="e">
        <f>U80*$F80*365/1000+$J80-$K80/2</f>
        <v>#DIV/0!</v>
      </c>
      <c r="N80" s="885" t="e">
        <f>V80*$F80*365/1000+$J80</f>
        <v>#DIV/0!</v>
      </c>
      <c r="O80" s="885">
        <f>IF($C83&lt;28,SUM($BZ$4:$BZ$23)+IF($D83&gt;28,$BZ$24*0.5,$BZ$24),0)</f>
        <v>0</v>
      </c>
      <c r="P80" s="885">
        <f>IF($D83&gt;28,SUM($BZ$25:$BZ$31)+IF($C83&lt;28,$BZ$24*0.5,$BZ$24),0)</f>
        <v>0</v>
      </c>
      <c r="Q80" s="885" t="e">
        <f t="shared" si="18"/>
        <v>#DIV/0!</v>
      </c>
      <c r="R80" s="885" t="e">
        <f t="shared" si="18"/>
        <v>#DIV/0!</v>
      </c>
      <c r="S80" s="885" t="e">
        <f t="shared" si="18"/>
        <v>#DIV/0!</v>
      </c>
      <c r="T80" s="885" t="e">
        <f>+($O80*Schweine_Werte!$HT$16+$P80*Schweine_Werte!$HU$16)/SUM($O80:$P80)</f>
        <v>#DIV/0!</v>
      </c>
      <c r="U80" s="885" t="e">
        <f>+($O80*Schweine_Werte!$HV$16+$P80*Schweine_Werte!$HW$16)/SUM($O80:$P80)</f>
        <v>#DIV/0!</v>
      </c>
      <c r="V80" s="885" t="e">
        <f>+($O80*Schweine_Werte!$HX$16+$P80*Schweine_Werte!$HY$16)/SUM($O80:$P80)</f>
        <v>#DIV/0!</v>
      </c>
      <c r="W80" s="885" t="e">
        <f>($J80*0.055+T80*0.365*0.86*$F80-$K80*0.018)/L80*100</f>
        <v>#DIV/0!</v>
      </c>
      <c r="X80" s="885" t="e">
        <f>($J80*0.055+U80*0.365*0.86*$F80-$K80*0.018/2)/M80*100</f>
        <v>#DIV/0!</v>
      </c>
      <c r="Y80" s="885" t="e">
        <f>($J80*0.055+V80*0.365*0.86*$F80)/N80*100</f>
        <v>#DIV/0!</v>
      </c>
      <c r="Z80" s="885" t="e">
        <f>IF($B83=$A$8,SUMPRODUCT($BZ$4:$BZ$31,Schweine_Werte!$HN$4:$HN$31,Schweine_Werte!$HO$4:$HO$31)/SUMPRODUCT($BZ$4:$BZ$31,Schweine_Werte!$HN$4:$HN$31),IF($B83=$A$7,SUMPRODUCT($BZ$4:$BZ$31,Schweine_Werte!$GZ$4:$GZ$31,Schweine_Werte!$HA$4:$HA$31)/SUMPRODUCT($BZ$4:$BZ$31,Schweine_Werte!$GZ$4:$GZ$31),IF($B83=$A$6,SUMPRODUCT($BZ$4:$BZ$31,Schweine_Werte!$GL$4:$GL$31,Schweine_Werte!$GM$4:$GM$31)/SUMPRODUCT($BZ$4:$BZ$31,Schweine_Werte!$GL$4:$GL$31),SUMPRODUCT($BZ$4:$BZ$31,Schweine_Werte!$FX$4:$FX$31,Schweine_Werte!$FY$4:$FY$31)/SUMPRODUCT($BZ$4:$BZ$31,Schweine_Werte!$FX$4:$FX$31))))</f>
        <v>#DIV/0!</v>
      </c>
      <c r="AA80" s="885"/>
      <c r="AB80" s="885">
        <f>IF($B83=$A$8,SUMIF(Schweine_Werte!$AO$4:$AO$31,$C83,Schweine_Werte!$HO$4:$HO$31),IF($B83=$A$7,SUMIF(Schweine_Werte!$AO$4:$AO$31,$C83,Schweine_Werte!$HA$4:$HA$31),IF($B83=$A$6,SUMIF(Schweine_Werte!$AO$4:$AO$31,$C83,Schweine_Werte!$GM$4:$GM$31),SUMIF(Schweine_Werte!$AO$4:$AO$31,$C83,Schweine_Werte!$FY$4:$FY$31))))</f>
        <v>0</v>
      </c>
      <c r="AC80" s="885"/>
      <c r="AD80" s="885">
        <f>IF($B83=$A$8,SUMIF(Schweine_Werte!$AO$4:$AO$31,$D83,Schweine_Werte!$HO$4:$HO$31),IF($B83=$A$7,SUMIF(Schweine_Werte!$AO$4:$AO$31,$D83,Schweine_Werte!$HA$4:$HA$31),IF($B83=$A$6,SUMIF(Schweine_Werte!$AO$4:$AO$31,$D83,Schweine_Werte!$GM$4:$GM$31),SUMIF(Schweine_Werte!$AO$4:$AO$31,$D83,Schweine_Werte!$FY$4:$FY$31))))</f>
        <v>0</v>
      </c>
      <c r="AE80" s="885"/>
      <c r="AF80" s="885"/>
      <c r="AG80" s="885" t="e">
        <f>IF($B83=$A$8,SUMPRODUCT($BZ$4:$BZ$31,Schweine_Werte!$HN$4:$HN$31)/SUM($BZ$4:$BZ$31),IF($B83=$A$7,SUMPRODUCT($BZ$4:$BZ$31,Schweine_Werte!$GZ$4:$GZ$31)/SUM($BZ$4:$BZ$31),IF($B83=$A$6,SUMPRODUCT($BZ$4:$BZ$31,Schweine_Werte!$GL$4:$GL$31)/SUM($BZ$4:$BZ$31),SUMPRODUCT($BZ$4:$BZ$31,Schweine_Werte!$FX$4:$FX$31)/SUM($BZ$4:$BZ$31))))</f>
        <v>#DIV/0!</v>
      </c>
      <c r="AH80" s="885"/>
      <c r="AI80" s="885"/>
      <c r="AJ80" s="885" t="e">
        <f>IF($B83=$A$8,SUMPRODUCT($BZ$4:$BZ$31,Schweine_Werte!$HN$4:$HN$31,Schweine_Werte!$HP$4:$HP$31)/SUMPRODUCT($BZ$4:$BZ$31,Schweine_Werte!$HN$4:$HN$31),IF($B83=$A$7,SUMPRODUCT($BZ$4:$BZ$31,Schweine_Werte!$GZ$4:$GZ$31,Schweine_Werte!$HB$4:$HB$31)/SUMPRODUCT($BZ$4:$BZ$31,Schweine_Werte!$GZ$4:$GZ$31),IF($B83=$A$6,SUMPRODUCT($BZ$4:$BZ$31,Schweine_Werte!$GL$4:$GL$31,Schweine_Werte!$GN$4:$GN$31)/SUMPRODUCT($BZ$4:$BZ$31,Schweine_Werte!$GL$4:$GL$31),SUMPRODUCT($BZ$4:$BZ$31,Schweine_Werte!$FX$4:$FX$31,Schweine_Werte!$FZ$4:$FZ$31)/SUMPRODUCT($BZ$4:$BZ$31,Schweine_Werte!$FX$4:$FX$31))))</f>
        <v>#DIV/0!</v>
      </c>
      <c r="AK80" s="885"/>
      <c r="AL80" s="885">
        <f>IF($B83=$A$8,SUMIF(Schweine_Werte!$AO$4:$AO$31,$C83,Schweine_Werte!$HP$4:$HP$31),IF($B83=$A$7,SUMIF(Schweine_Werte!$AO$4:$AO$31,$C83,Schweine_Werte!$HB$4:$HB$31),IF($B83=$A$6,SUMIF(Schweine_Werte!$AO$4:$AO$31,$C83,Schweine_Werte!$GN$4:$GN$31),SUMIF(Schweine_Werte!$AO$4:$AO$31,$C83,Schweine_Werte!$FZ$4:$FZ$31))))</f>
        <v>0</v>
      </c>
      <c r="AM80" s="885"/>
      <c r="AN80" s="885">
        <f>IF($B83=$A$8,SUMIF(Schweine_Werte!$AO$4:$AO$31,$D83,Schweine_Werte!$HP$4:$HP$31),IF($B83=$A$7,SUMIF(Schweine_Werte!$AO$4:$AO$31,$D83,Schweine_Werte!$HB$4:$HB$31),IF($B83=$A$6,SUMIF(Schweine_Werte!$AO$4:$AO$31,$D83,Schweine_Werte!$GN$4:$GN$31),SUMIF(Schweine_Werte!$AO$4:$AO$31,$D83,Schweine_Werte!$FZ$4:$FZ$31))))</f>
        <v>0</v>
      </c>
      <c r="AO80" s="885"/>
      <c r="AR80" s="1733">
        <v>84</v>
      </c>
      <c r="AS80" s="1710">
        <f>IF(OR($C$12=$AR80,$D$12=$AR80),Schweine_Werte!$C80*0.5,IF(OR($C$12&gt;$AR80,$D$12&lt;$AR80),0,Schweine_Werte!$C80))</f>
        <v>0</v>
      </c>
      <c r="AT80" s="1713">
        <f>IF(OR($C$24=$AR80,$D$24=$AR80),Schweine_Werte!$C80*0.5,IF(OR($C$24&gt;$AR80,$D$24&lt;$AR80),0,Schweine_Werte!$C80))</f>
        <v>0</v>
      </c>
      <c r="AU80" s="1710">
        <f>IF(OR($C$36=$AR80,$D$36=$AR80),Schweine_Werte!$C80*0.5,IF(OR($C$36&gt;$AR80,$D$36&lt;$AR80),0,Schweine_Werte!$C80))</f>
        <v>0</v>
      </c>
      <c r="AV80" s="1710">
        <f>IF(OR($C$48=$AR80,$D$48=$AR80),Schweine_Werte!$C80*0.5,IF(OR($C$48&gt;$AR80,$D$48&lt;$AR80),0,Schweine_Werte!$C80))</f>
        <v>0</v>
      </c>
      <c r="AW80" s="1710">
        <f>IF(OR($C$60=$AR80,$D$60=$AR80),Schweine_Werte!$C80*0.5,IF(OR($C$60&gt;$AR80,$D$60&lt;$AR80),0,Schweine_Werte!$C80))</f>
        <v>0</v>
      </c>
      <c r="AX80" s="1710">
        <f>IF(OR($C$12=$AR80,$D$12=$AR80),Schweine_Werte!$E80*0.5,IF(OR($C$12&gt;$AR80,$D$12&lt;$AR80),0,Schweine_Werte!$E80))</f>
        <v>0</v>
      </c>
      <c r="AY80" s="1713">
        <f>IF(OR($C$24=$AR80,$D$24=$AR80),Schweine_Werte!$E80*0.5,IF(OR($C$24&gt;$AR80,$D$24&lt;$AR80),0,Schweine_Werte!$E80))</f>
        <v>0</v>
      </c>
      <c r="AZ80" s="1713">
        <f>IF(OR($C$36=$AR80,$D$36=$AR80),Schweine_Werte!$E80*0.5,IF(OR($C$36&gt;$AR80,$D$36&lt;$AR80),0,Schweine_Werte!$E80))</f>
        <v>0</v>
      </c>
      <c r="BA80" s="1713">
        <f>IF(OR($C$48=$AR80,$D$48=$AR80),Schweine_Werte!$E80*0.5,IF(OR($C$48&gt;$AR80,$D$48&lt;$AR80),0,Schweine_Werte!$E80))</f>
        <v>0</v>
      </c>
      <c r="BB80" s="1713">
        <f>IF(OR($C$60=$AR80,$D$60=$AR80),Schweine_Werte!$E80*0.5,IF(OR($C$60&gt;$AR80,$D$60&lt;$AR80),0,Schweine_Werte!$E80))</f>
        <v>0</v>
      </c>
      <c r="BC80" s="1710">
        <f>IF(OR($C$12=$AR80,$D$12=$AR80),Schweine_Werte!$G80*0.5,IF(OR($C$12&gt;$AR80,$D$12&lt;$AR80),0,Schweine_Werte!$G80))</f>
        <v>0</v>
      </c>
      <c r="BD80" s="1713">
        <f>IF(OR($C$24=$AR80,$D$24=$AR80),Schweine_Werte!$G80*0.5,IF(OR($C$24&gt;$AR80,$D$24&lt;$AR80),0,Schweine_Werte!$G80))</f>
        <v>0</v>
      </c>
      <c r="BE80" s="1713">
        <f>IF(OR($C$36=$AR80,$D$36=$AR80),Schweine_Werte!$G80*0.5,IF(OR($C$36&gt;$AR80,$D$36&lt;$AR80),0,Schweine_Werte!$G80))</f>
        <v>0</v>
      </c>
      <c r="BF80" s="1713">
        <f>IF(OR($C$48=$AR80,$D$48=$AR80),Schweine_Werte!$G80*0.5,IF(OR($C$48&gt;$AR80,$D$48&lt;$AR80),0,Schweine_Werte!$G80))</f>
        <v>0</v>
      </c>
      <c r="BG80" s="1713">
        <f>IF(OR($C$60=$AR80,$D$60=$AR80),Schweine_Werte!$G80*0.5,IF(OR($C$60&gt;$AR80,$D$60&lt;$AR80),0,Schweine_Werte!$G80))</f>
        <v>0</v>
      </c>
      <c r="BH80" s="1710">
        <f>IF(OR($C$12=$AR80,$D$12=$AR80),Schweine_Werte!$I80*0.5,IF(OR($C$12&gt;$AR80,$D$12&lt;$AR80),0,Schweine_Werte!$I80))</f>
        <v>0</v>
      </c>
      <c r="BI80" s="1713">
        <f>IF(OR($C$24=$AR80,$D$24=$AR80),Schweine_Werte!$I80*0.5,IF(OR($C$24&gt;$AR80,$D$24&lt;$AR80),0,Schweine_Werte!$I80))</f>
        <v>0</v>
      </c>
      <c r="BJ80" s="1713">
        <f>IF(OR($C$36=$AR80,$D$36=$AR80),Schweine_Werte!$I80*0.5,IF(OR($C$36&gt;$AR80,$D$36&lt;$AR80),0,Schweine_Werte!$I80))</f>
        <v>0</v>
      </c>
      <c r="BK80" s="1713">
        <f>IF(OR($C$48=$AR80,$D$48=$AR80),Schweine_Werte!$I80*0.5,IF(OR($C$48&gt;$AR80,$D$48&lt;$AR80),0,Schweine_Werte!$I80))</f>
        <v>0</v>
      </c>
      <c r="BL80" s="1713">
        <f>IF(OR($C$60=$AR80,$D$60=$AR80),Schweine_Werte!$I80*0.5,IF(OR($C$60&gt;$AR80,$D$60&lt;$AR80),0,Schweine_Werte!$I80))</f>
        <v>0</v>
      </c>
      <c r="BM80" s="1710">
        <f>IF(OR($C$12=$AR80,$D$12=$AR80),Schweine_Werte!$K80*0.5,IF(OR($C$12&gt;$AR80,$D$12&lt;$AR80),0,Schweine_Werte!$K80))</f>
        <v>0</v>
      </c>
      <c r="BN80" s="1713">
        <f>IF(OR($C$24=$AR80,$D$24=$AR80),Schweine_Werte!$K80*0.5,IF(OR($C$24&gt;$AR80,$D$24&lt;$AR80),0,Schweine_Werte!$K80))</f>
        <v>0</v>
      </c>
      <c r="BO80" s="1713">
        <f>IF(OR($C$36=$AR80,$D$36=$AR80),Schweine_Werte!$K80*0.5,IF(OR($C$36&gt;$AR80,$D$36&lt;$AR80),0,Schweine_Werte!$K80))</f>
        <v>0</v>
      </c>
      <c r="BP80" s="1713">
        <f>IF(OR($C$48=$AR80,$D$48=$AR80),Schweine_Werte!$K80*0.5,IF(OR($C$48&gt;$AR80,$D$48&lt;$AR80),0,Schweine_Werte!$K80))</f>
        <v>0</v>
      </c>
      <c r="BQ80" s="1713">
        <f>IF(OR($C$60=$AR80,$D$60=$AR80),Schweine_Werte!$K80*0.5,IF(OR($C$60&gt;$AR80,$D$60&lt;$AR80),0,Schweine_Werte!$K80))</f>
        <v>0</v>
      </c>
      <c r="BR80" s="1710">
        <f>IF(OR($C$74=$AR80,$D$74=$AR80),Schweine_Werte!$M80*0.5,IF(OR($C$74&gt;$AR80,$D$74&lt;$AR80),0,Schweine_Werte!$M80))</f>
        <v>0</v>
      </c>
      <c r="BS80" s="1710">
        <f>IF(OR($C$83=$AR80,$D$83=$AR80),Schweine_Werte!$M80*0.5,IF(OR($C$83&gt;$AR80,$D$83&lt;$AR80),0,Schweine_Werte!$M80))</f>
        <v>0</v>
      </c>
      <c r="BT80" s="1714">
        <f>IF(OR($C$92=$AR80,$D$92=$AR80),Schweine_Werte!$M80*0.5,IF(OR($C$92&gt;$AR80,$D$92&lt;$AR80),0,Schweine_Werte!$M80))</f>
        <v>0</v>
      </c>
      <c r="BU80" s="1714">
        <f>IF(OR($C$101=$AR80,$D$101=$AR80),Schweine_Werte!$M80*0.5,IF(OR($C$101&gt;$AR80,$D$101&lt;$AR80),0,Schweine_Werte!$M80))</f>
        <v>0</v>
      </c>
      <c r="BV80" s="1714">
        <f>IF(OR($C$110=$AR80,$D$110=$AR80),Schweine_Werte!$M80*0.5,IF(OR($C$110&gt;$AR80,$D$110&lt;$AR80),0,Schweine_Werte!$M80))</f>
        <v>0</v>
      </c>
      <c r="BW80" s="1714">
        <f>IF(OR(8=$AR80,$E$127=$AR80),Schweine_Werte!$M80*0.5,IF(OR(8&gt;$AR80,$E$127&lt;$AR80),0,Schweine_Werte!$M80))</f>
        <v>1.1291804991913001</v>
      </c>
      <c r="BX80" s="1714">
        <f>IF(OR(8=$AR80,$E$145=$AR80),Schweine_Werte!$M80*0.5,IF(OR(8&gt;$AR80,$E$145&lt;$AR80),0,Schweine_Werte!$M80))</f>
        <v>1.1291804991913001</v>
      </c>
      <c r="BY80" s="1710">
        <f>IF(OR($C$74=$AR80,$D$74=$AR80),Schweine_Werte!$O80*0.5,IF(OR($C$74&gt;$AR80,$D$74&lt;$AR80),0,Schweine_Werte!$O80))</f>
        <v>0</v>
      </c>
      <c r="BZ80" s="1710">
        <f>IF(OR($C$83=$AR80,$D$83=$AR80),Schweine_Werte!$O80*0.5,IF(OR($C$83&gt;$AR80,$D$83&lt;$AR80),0,Schweine_Werte!$O80))</f>
        <v>0</v>
      </c>
      <c r="CA80" s="1714">
        <f>IF(OR($C$92=$AR80,$D$92=$AR80),Schweine_Werte!$O80*0.5,IF(OR($C$92&gt;$AR80,$D$92&lt;$AR80),0,Schweine_Werte!$O80))</f>
        <v>0</v>
      </c>
      <c r="CB80" s="1714">
        <f>IF(OR($C$101=$AR80,$D$101=$AR80),Schweine_Werte!$O80*0.5,IF(OR($C$101&gt;$AR80,$D$101&lt;$AR80),0,Schweine_Werte!$O80))</f>
        <v>0</v>
      </c>
      <c r="CC80" s="1714">
        <f>IF(OR($C$110=$AR80,$D$110=$AR80),Schweine_Werte!$O80*0.5,IF(OR($C$110&gt;$AR80,$D$110&lt;$AR80),0,Schweine_Werte!$O80))</f>
        <v>0</v>
      </c>
    </row>
    <row r="81" spans="1:81" ht="15.75" x14ac:dyDescent="0.25">
      <c r="F81" s="1716"/>
      <c r="G81" s="3257" t="s">
        <v>8582</v>
      </c>
      <c r="H81" s="3258"/>
      <c r="I81" s="3259"/>
      <c r="J81" s="1717" t="s">
        <v>8096</v>
      </c>
      <c r="K81" s="1717" t="s">
        <v>204</v>
      </c>
      <c r="L81" s="3260" t="s">
        <v>8583</v>
      </c>
      <c r="M81" s="3260"/>
      <c r="N81" s="3260"/>
      <c r="O81" s="3247" t="s">
        <v>8584</v>
      </c>
      <c r="P81" s="3249"/>
      <c r="Q81" s="3247" t="s">
        <v>8585</v>
      </c>
      <c r="R81" s="3248"/>
      <c r="S81" s="3249"/>
      <c r="T81" s="3247" t="s">
        <v>8586</v>
      </c>
      <c r="U81" s="3248"/>
      <c r="V81" s="3249"/>
      <c r="W81" s="3247" t="s">
        <v>8587</v>
      </c>
      <c r="X81" s="3248"/>
      <c r="Y81" s="3249"/>
      <c r="Z81" s="3250" t="s">
        <v>8588</v>
      </c>
      <c r="AA81" s="3250"/>
      <c r="AB81" s="3250" t="s">
        <v>8589</v>
      </c>
      <c r="AC81" s="3250"/>
      <c r="AD81" s="3250" t="s">
        <v>8590</v>
      </c>
      <c r="AE81" s="3250"/>
      <c r="AF81" s="1718" t="s">
        <v>8591</v>
      </c>
      <c r="AG81" s="3254" t="s">
        <v>8592</v>
      </c>
      <c r="AH81" s="3255"/>
      <c r="AI81" s="1719" t="s">
        <v>8611</v>
      </c>
      <c r="AJ81" s="3250" t="s">
        <v>8588</v>
      </c>
      <c r="AK81" s="3250"/>
      <c r="AL81" s="3250" t="s">
        <v>8589</v>
      </c>
      <c r="AM81" s="3250"/>
      <c r="AN81" s="3250" t="s">
        <v>8590</v>
      </c>
      <c r="AO81" s="3250"/>
      <c r="AR81" s="1733">
        <v>85</v>
      </c>
      <c r="AS81" s="1710">
        <f>IF(OR($C$12=$AR81,$D$12=$AR81),Schweine_Werte!$C81*0.5,IF(OR($C$12&gt;$AR81,$D$12&lt;$AR81),0,Schweine_Werte!$C81))</f>
        <v>0</v>
      </c>
      <c r="AT81" s="1713">
        <f>IF(OR($C$24=$AR81,$D$24=$AR81),Schweine_Werte!$C81*0.5,IF(OR($C$24&gt;$AR81,$D$24&lt;$AR81),0,Schweine_Werte!$C81))</f>
        <v>0</v>
      </c>
      <c r="AU81" s="1710">
        <f>IF(OR($C$36=$AR81,$D$36=$AR81),Schweine_Werte!$C81*0.5,IF(OR($C$36&gt;$AR81,$D$36&lt;$AR81),0,Schweine_Werte!$C81))</f>
        <v>0</v>
      </c>
      <c r="AV81" s="1710">
        <f>IF(OR($C$48=$AR81,$D$48=$AR81),Schweine_Werte!$C81*0.5,IF(OR($C$48&gt;$AR81,$D$48&lt;$AR81),0,Schweine_Werte!$C81))</f>
        <v>0</v>
      </c>
      <c r="AW81" s="1710">
        <f>IF(OR($C$60=$AR81,$D$60=$AR81),Schweine_Werte!$C81*0.5,IF(OR($C$60&gt;$AR81,$D$60&lt;$AR81),0,Schweine_Werte!$C81))</f>
        <v>0</v>
      </c>
      <c r="AX81" s="1710">
        <f>IF(OR($C$12=$AR81,$D$12=$AR81),Schweine_Werte!$E81*0.5,IF(OR($C$12&gt;$AR81,$D$12&lt;$AR81),0,Schweine_Werte!$E81))</f>
        <v>0</v>
      </c>
      <c r="AY81" s="1713">
        <f>IF(OR($C$24=$AR81,$D$24=$AR81),Schweine_Werte!$E81*0.5,IF(OR($C$24&gt;$AR81,$D$24&lt;$AR81),0,Schweine_Werte!$E81))</f>
        <v>0</v>
      </c>
      <c r="AZ81" s="1713">
        <f>IF(OR($C$36=$AR81,$D$36=$AR81),Schweine_Werte!$E81*0.5,IF(OR($C$36&gt;$AR81,$D$36&lt;$AR81),0,Schweine_Werte!$E81))</f>
        <v>0</v>
      </c>
      <c r="BA81" s="1713">
        <f>IF(OR($C$48=$AR81,$D$48=$AR81),Schweine_Werte!$E81*0.5,IF(OR($C$48&gt;$AR81,$D$48&lt;$AR81),0,Schweine_Werte!$E81))</f>
        <v>0</v>
      </c>
      <c r="BB81" s="1713">
        <f>IF(OR($C$60=$AR81,$D$60=$AR81),Schweine_Werte!$E81*0.5,IF(OR($C$60&gt;$AR81,$D$60&lt;$AR81),0,Schweine_Werte!$E81))</f>
        <v>0</v>
      </c>
      <c r="BC81" s="1710">
        <f>IF(OR($C$12=$AR81,$D$12=$AR81),Schweine_Werte!$G81*0.5,IF(OR($C$12&gt;$AR81,$D$12&lt;$AR81),0,Schweine_Werte!$G81))</f>
        <v>0</v>
      </c>
      <c r="BD81" s="1713">
        <f>IF(OR($C$24=$AR81,$D$24=$AR81),Schweine_Werte!$G81*0.5,IF(OR($C$24&gt;$AR81,$D$24&lt;$AR81),0,Schweine_Werte!$G81))</f>
        <v>0</v>
      </c>
      <c r="BE81" s="1713">
        <f>IF(OR($C$36=$AR81,$D$36=$AR81),Schweine_Werte!$G81*0.5,IF(OR($C$36&gt;$AR81,$D$36&lt;$AR81),0,Schweine_Werte!$G81))</f>
        <v>0</v>
      </c>
      <c r="BF81" s="1713">
        <f>IF(OR($C$48=$AR81,$D$48=$AR81),Schweine_Werte!$G81*0.5,IF(OR($C$48&gt;$AR81,$D$48&lt;$AR81),0,Schweine_Werte!$G81))</f>
        <v>0</v>
      </c>
      <c r="BG81" s="1713">
        <f>IF(OR($C$60=$AR81,$D$60=$AR81),Schweine_Werte!$G81*0.5,IF(OR($C$60&gt;$AR81,$D$60&lt;$AR81),0,Schweine_Werte!$G81))</f>
        <v>0</v>
      </c>
      <c r="BH81" s="1710">
        <f>IF(OR($C$12=$AR81,$D$12=$AR81),Schweine_Werte!$I81*0.5,IF(OR($C$12&gt;$AR81,$D$12&lt;$AR81),0,Schweine_Werte!$I81))</f>
        <v>0</v>
      </c>
      <c r="BI81" s="1713">
        <f>IF(OR($C$24=$AR81,$D$24=$AR81),Schweine_Werte!$I81*0.5,IF(OR($C$24&gt;$AR81,$D$24&lt;$AR81),0,Schweine_Werte!$I81))</f>
        <v>0</v>
      </c>
      <c r="BJ81" s="1713">
        <f>IF(OR($C$36=$AR81,$D$36=$AR81),Schweine_Werte!$I81*0.5,IF(OR($C$36&gt;$AR81,$D$36&lt;$AR81),0,Schweine_Werte!$I81))</f>
        <v>0</v>
      </c>
      <c r="BK81" s="1713">
        <f>IF(OR($C$48=$AR81,$D$48=$AR81),Schweine_Werte!$I81*0.5,IF(OR($C$48&gt;$AR81,$D$48&lt;$AR81),0,Schweine_Werte!$I81))</f>
        <v>0</v>
      </c>
      <c r="BL81" s="1713">
        <f>IF(OR($C$60=$AR81,$D$60=$AR81),Schweine_Werte!$I81*0.5,IF(OR($C$60&gt;$AR81,$D$60&lt;$AR81),0,Schweine_Werte!$I81))</f>
        <v>0</v>
      </c>
      <c r="BM81" s="1710">
        <f>IF(OR($C$12=$AR81,$D$12=$AR81),Schweine_Werte!$K81*0.5,IF(OR($C$12&gt;$AR81,$D$12&lt;$AR81),0,Schweine_Werte!$K81))</f>
        <v>0</v>
      </c>
      <c r="BN81" s="1713">
        <f>IF(OR($C$24=$AR81,$D$24=$AR81),Schweine_Werte!$K81*0.5,IF(OR($C$24&gt;$AR81,$D$24&lt;$AR81),0,Schweine_Werte!$K81))</f>
        <v>0</v>
      </c>
      <c r="BO81" s="1713">
        <f>IF(OR($C$36=$AR81,$D$36=$AR81),Schweine_Werte!$K81*0.5,IF(OR($C$36&gt;$AR81,$D$36&lt;$AR81),0,Schweine_Werte!$K81))</f>
        <v>0</v>
      </c>
      <c r="BP81" s="1713">
        <f>IF(OR($C$48=$AR81,$D$48=$AR81),Schweine_Werte!$K81*0.5,IF(OR($C$48&gt;$AR81,$D$48&lt;$AR81),0,Schweine_Werte!$K81))</f>
        <v>0</v>
      </c>
      <c r="BQ81" s="1713">
        <f>IF(OR($C$60=$AR81,$D$60=$AR81),Schweine_Werte!$K81*0.5,IF(OR($C$60&gt;$AR81,$D$60&lt;$AR81),0,Schweine_Werte!$K81))</f>
        <v>0</v>
      </c>
      <c r="BR81" s="1710">
        <f>IF(OR($C$74=$AR81,$D$74=$AR81),Schweine_Werte!$M81*0.5,IF(OR($C$74&gt;$AR81,$D$74&lt;$AR81),0,Schweine_Werte!$M81))</f>
        <v>0</v>
      </c>
      <c r="BS81" s="1710">
        <f>IF(OR($C$83=$AR81,$D$83=$AR81),Schweine_Werte!$M81*0.5,IF(OR($C$83&gt;$AR81,$D$83&lt;$AR81),0,Schweine_Werte!$M81))</f>
        <v>0</v>
      </c>
      <c r="BT81" s="1714">
        <f>IF(OR($C$92=$AR81,$D$92=$AR81),Schweine_Werte!$M81*0.5,IF(OR($C$92&gt;$AR81,$D$92&lt;$AR81),0,Schweine_Werte!$M81))</f>
        <v>0</v>
      </c>
      <c r="BU81" s="1714">
        <f>IF(OR($C$101=$AR81,$D$101=$AR81),Schweine_Werte!$M81*0.5,IF(OR($C$101&gt;$AR81,$D$101&lt;$AR81),0,Schweine_Werte!$M81))</f>
        <v>0</v>
      </c>
      <c r="BV81" s="1714">
        <f>IF(OR($C$110=$AR81,$D$110=$AR81),Schweine_Werte!$M81*0.5,IF(OR($C$110&gt;$AR81,$D$110&lt;$AR81),0,Schweine_Werte!$M81))</f>
        <v>0</v>
      </c>
      <c r="BW81" s="1714">
        <f>IF(OR(8=$AR81,$E$127=$AR81),Schweine_Werte!$M81*0.5,IF(OR(8&gt;$AR81,$E$127&lt;$AR81),0,Schweine_Werte!$M81))</f>
        <v>1.1337482673734904</v>
      </c>
      <c r="BX81" s="1714">
        <f>IF(OR(8=$AR81,$E$145=$AR81),Schweine_Werte!$M81*0.5,IF(OR(8&gt;$AR81,$E$145&lt;$AR81),0,Schweine_Werte!$M81))</f>
        <v>1.1337482673734904</v>
      </c>
      <c r="BY81" s="1710">
        <f>IF(OR($C$74=$AR81,$D$74=$AR81),Schweine_Werte!$O81*0.5,IF(OR($C$74&gt;$AR81,$D$74&lt;$AR81),0,Schweine_Werte!$O81))</f>
        <v>0</v>
      </c>
      <c r="BZ81" s="1710">
        <f>IF(OR($C$83=$AR81,$D$83=$AR81),Schweine_Werte!$O81*0.5,IF(OR($C$83&gt;$AR81,$D$83&lt;$AR81),0,Schweine_Werte!$O81))</f>
        <v>0</v>
      </c>
      <c r="CA81" s="1714">
        <f>IF(OR($C$92=$AR81,$D$92=$AR81),Schweine_Werte!$O81*0.5,IF(OR($C$92&gt;$AR81,$D$92&lt;$AR81),0,Schweine_Werte!$O81))</f>
        <v>0</v>
      </c>
      <c r="CB81" s="1714">
        <f>IF(OR($C$101=$AR81,$D$101=$AR81),Schweine_Werte!$O81*0.5,IF(OR($C$101&gt;$AR81,$D$101&lt;$AR81),0,Schweine_Werte!$O81))</f>
        <v>0</v>
      </c>
      <c r="CC81" s="1714">
        <f>IF(OR($C$110=$AR81,$D$110=$AR81),Schweine_Werte!$O81*0.5,IF(OR($C$110&gt;$AR81,$D$110&lt;$AR81),0,Schweine_Werte!$O81))</f>
        <v>0</v>
      </c>
    </row>
    <row r="82" spans="1:81" ht="18.75" x14ac:dyDescent="0.25">
      <c r="B82" s="1720" t="s">
        <v>8594</v>
      </c>
      <c r="C82" s="1721" t="s">
        <v>8595</v>
      </c>
      <c r="D82" s="1721" t="s">
        <v>8596</v>
      </c>
      <c r="E82" s="1721" t="s">
        <v>8597</v>
      </c>
      <c r="F82" s="1722" t="s">
        <v>195</v>
      </c>
      <c r="G82" s="1723" t="s">
        <v>4</v>
      </c>
      <c r="H82" s="1723" t="s">
        <v>8598</v>
      </c>
      <c r="I82" s="1723" t="s">
        <v>8599</v>
      </c>
      <c r="J82" s="1724" t="s">
        <v>8600</v>
      </c>
      <c r="K82" s="1724" t="s">
        <v>8600</v>
      </c>
      <c r="L82" s="1725" t="s">
        <v>35</v>
      </c>
      <c r="M82" s="1725" t="s">
        <v>8601</v>
      </c>
      <c r="N82" s="1725" t="s">
        <v>37</v>
      </c>
      <c r="O82" s="1726" t="s">
        <v>0</v>
      </c>
      <c r="P82" s="1726" t="s">
        <v>9</v>
      </c>
      <c r="Q82" s="1725" t="s">
        <v>35</v>
      </c>
      <c r="R82" s="1725" t="s">
        <v>36</v>
      </c>
      <c r="S82" s="1725" t="s">
        <v>37</v>
      </c>
      <c r="T82" s="1725" t="s">
        <v>35</v>
      </c>
      <c r="U82" s="1725" t="s">
        <v>36</v>
      </c>
      <c r="V82" s="1725" t="s">
        <v>37</v>
      </c>
      <c r="W82" s="1724" t="s">
        <v>8528</v>
      </c>
      <c r="X82" s="1724" t="s">
        <v>8529</v>
      </c>
      <c r="Y82" s="1724" t="s">
        <v>8530</v>
      </c>
      <c r="Z82" s="1727" t="s">
        <v>8602</v>
      </c>
      <c r="AA82" s="1727" t="s">
        <v>8603</v>
      </c>
      <c r="AB82" s="1727" t="s">
        <v>8602</v>
      </c>
      <c r="AC82" s="1727" t="s">
        <v>8603</v>
      </c>
      <c r="AD82" s="1727" t="s">
        <v>8602</v>
      </c>
      <c r="AE82" s="1727" t="s">
        <v>8603</v>
      </c>
      <c r="AF82" s="1727" t="s">
        <v>8604</v>
      </c>
      <c r="AG82" s="1728" t="s">
        <v>8605</v>
      </c>
      <c r="AH82" s="1727" t="s">
        <v>216</v>
      </c>
      <c r="AI82" s="1727"/>
      <c r="AJ82" s="1727" t="s">
        <v>8527</v>
      </c>
      <c r="AK82" s="1727" t="s">
        <v>8606</v>
      </c>
      <c r="AL82" s="1727" t="s">
        <v>8607</v>
      </c>
      <c r="AM82" s="1727" t="s">
        <v>8608</v>
      </c>
      <c r="AN82" s="1727" t="s">
        <v>8607</v>
      </c>
      <c r="AO82" s="1727" t="s">
        <v>8609</v>
      </c>
      <c r="AR82" s="1733">
        <v>86</v>
      </c>
      <c r="AS82" s="1710">
        <f>IF(OR($C$12=$AR82,$D$12=$AR82),Schweine_Werte!$C82*0.5,IF(OR($C$12&gt;$AR82,$D$12&lt;$AR82),0,Schweine_Werte!$C82))</f>
        <v>0</v>
      </c>
      <c r="AT82" s="1713">
        <f>IF(OR($C$24=$AR82,$D$24=$AR82),Schweine_Werte!$C82*0.5,IF(OR($C$24&gt;$AR82,$D$24&lt;$AR82),0,Schweine_Werte!$C82))</f>
        <v>0</v>
      </c>
      <c r="AU82" s="1710">
        <f>IF(OR($C$36=$AR82,$D$36=$AR82),Schweine_Werte!$C82*0.5,IF(OR($C$36&gt;$AR82,$D$36&lt;$AR82),0,Schweine_Werte!$C82))</f>
        <v>0</v>
      </c>
      <c r="AV82" s="1710">
        <f>IF(OR($C$48=$AR82,$D$48=$AR82),Schweine_Werte!$C82*0.5,IF(OR($C$48&gt;$AR82,$D$48&lt;$AR82),0,Schweine_Werte!$C82))</f>
        <v>0</v>
      </c>
      <c r="AW82" s="1710">
        <f>IF(OR($C$60=$AR82,$D$60=$AR82),Schweine_Werte!$C82*0.5,IF(OR($C$60&gt;$AR82,$D$60&lt;$AR82),0,Schweine_Werte!$C82))</f>
        <v>0</v>
      </c>
      <c r="AX82" s="1710">
        <f>IF(OR($C$12=$AR82,$D$12=$AR82),Schweine_Werte!$E82*0.5,IF(OR($C$12&gt;$AR82,$D$12&lt;$AR82),0,Schweine_Werte!$E82))</f>
        <v>0</v>
      </c>
      <c r="AY82" s="1713">
        <f>IF(OR($C$24=$AR82,$D$24=$AR82),Schweine_Werte!$E82*0.5,IF(OR($C$24&gt;$AR82,$D$24&lt;$AR82),0,Schweine_Werte!$E82))</f>
        <v>0</v>
      </c>
      <c r="AZ82" s="1713">
        <f>IF(OR($C$36=$AR82,$D$36=$AR82),Schweine_Werte!$E82*0.5,IF(OR($C$36&gt;$AR82,$D$36&lt;$AR82),0,Schweine_Werte!$E82))</f>
        <v>0</v>
      </c>
      <c r="BA82" s="1713">
        <f>IF(OR($C$48=$AR82,$D$48=$AR82),Schweine_Werte!$E82*0.5,IF(OR($C$48&gt;$AR82,$D$48&lt;$AR82),0,Schweine_Werte!$E82))</f>
        <v>0</v>
      </c>
      <c r="BB82" s="1713">
        <f>IF(OR($C$60=$AR82,$D$60=$AR82),Schweine_Werte!$E82*0.5,IF(OR($C$60&gt;$AR82,$D$60&lt;$AR82),0,Schweine_Werte!$E82))</f>
        <v>0</v>
      </c>
      <c r="BC82" s="1710">
        <f>IF(OR($C$12=$AR82,$D$12=$AR82),Schweine_Werte!$G82*0.5,IF(OR($C$12&gt;$AR82,$D$12&lt;$AR82),0,Schweine_Werte!$G82))</f>
        <v>0</v>
      </c>
      <c r="BD82" s="1713">
        <f>IF(OR($C$24=$AR82,$D$24=$AR82),Schweine_Werte!$G82*0.5,IF(OR($C$24&gt;$AR82,$D$24&lt;$AR82),0,Schweine_Werte!$G82))</f>
        <v>0</v>
      </c>
      <c r="BE82" s="1713">
        <f>IF(OR($C$36=$AR82,$D$36=$AR82),Schweine_Werte!$G82*0.5,IF(OR($C$36&gt;$AR82,$D$36&lt;$AR82),0,Schweine_Werte!$G82))</f>
        <v>0</v>
      </c>
      <c r="BF82" s="1713">
        <f>IF(OR($C$48=$AR82,$D$48=$AR82),Schweine_Werte!$G82*0.5,IF(OR($C$48&gt;$AR82,$D$48&lt;$AR82),0,Schweine_Werte!$G82))</f>
        <v>0</v>
      </c>
      <c r="BG82" s="1713">
        <f>IF(OR($C$60=$AR82,$D$60=$AR82),Schweine_Werte!$G82*0.5,IF(OR($C$60&gt;$AR82,$D$60&lt;$AR82),0,Schweine_Werte!$G82))</f>
        <v>0</v>
      </c>
      <c r="BH82" s="1710">
        <f>IF(OR($C$12=$AR82,$D$12=$AR82),Schweine_Werte!$I82*0.5,IF(OR($C$12&gt;$AR82,$D$12&lt;$AR82),0,Schweine_Werte!$I82))</f>
        <v>0</v>
      </c>
      <c r="BI82" s="1713">
        <f>IF(OR($C$24=$AR82,$D$24=$AR82),Schweine_Werte!$I82*0.5,IF(OR($C$24&gt;$AR82,$D$24&lt;$AR82),0,Schweine_Werte!$I82))</f>
        <v>0</v>
      </c>
      <c r="BJ82" s="1713">
        <f>IF(OR($C$36=$AR82,$D$36=$AR82),Schweine_Werte!$I82*0.5,IF(OR($C$36&gt;$AR82,$D$36&lt;$AR82),0,Schweine_Werte!$I82))</f>
        <v>0</v>
      </c>
      <c r="BK82" s="1713">
        <f>IF(OR($C$48=$AR82,$D$48=$AR82),Schweine_Werte!$I82*0.5,IF(OR($C$48&gt;$AR82,$D$48&lt;$AR82),0,Schweine_Werte!$I82))</f>
        <v>0</v>
      </c>
      <c r="BL82" s="1713">
        <f>IF(OR($C$60=$AR82,$D$60=$AR82),Schweine_Werte!$I82*0.5,IF(OR($C$60&gt;$AR82,$D$60&lt;$AR82),0,Schweine_Werte!$I82))</f>
        <v>0</v>
      </c>
      <c r="BM82" s="1710">
        <f>IF(OR($C$12=$AR82,$D$12=$AR82),Schweine_Werte!$K82*0.5,IF(OR($C$12&gt;$AR82,$D$12&lt;$AR82),0,Schweine_Werte!$K82))</f>
        <v>0</v>
      </c>
      <c r="BN82" s="1713">
        <f>IF(OR($C$24=$AR82,$D$24=$AR82),Schweine_Werte!$K82*0.5,IF(OR($C$24&gt;$AR82,$D$24&lt;$AR82),0,Schweine_Werte!$K82))</f>
        <v>0</v>
      </c>
      <c r="BO82" s="1713">
        <f>IF(OR($C$36=$AR82,$D$36=$AR82),Schweine_Werte!$K82*0.5,IF(OR($C$36&gt;$AR82,$D$36&lt;$AR82),0,Schweine_Werte!$K82))</f>
        <v>0</v>
      </c>
      <c r="BP82" s="1713">
        <f>IF(OR($C$48=$AR82,$D$48=$AR82),Schweine_Werte!$K82*0.5,IF(OR($C$48&gt;$AR82,$D$48&lt;$AR82),0,Schweine_Werte!$K82))</f>
        <v>0</v>
      </c>
      <c r="BQ82" s="1713">
        <f>IF(OR($C$60=$AR82,$D$60=$AR82),Schweine_Werte!$K82*0.5,IF(OR($C$60&gt;$AR82,$D$60&lt;$AR82),0,Schweine_Werte!$K82))</f>
        <v>0</v>
      </c>
      <c r="BR82" s="1710">
        <f>IF(OR($C$74=$AR82,$D$74=$AR82),Schweine_Werte!$M82*0.5,IF(OR($C$74&gt;$AR82,$D$74&lt;$AR82),0,Schweine_Werte!$M82))</f>
        <v>0</v>
      </c>
      <c r="BS82" s="1710">
        <f>IF(OR($C$83=$AR82,$D$83=$AR82),Schweine_Werte!$M82*0.5,IF(OR($C$83&gt;$AR82,$D$83&lt;$AR82),0,Schweine_Werte!$M82))</f>
        <v>0</v>
      </c>
      <c r="BT82" s="1714">
        <f>IF(OR($C$92=$AR82,$D$92=$AR82),Schweine_Werte!$M82*0.5,IF(OR($C$92&gt;$AR82,$D$92&lt;$AR82),0,Schweine_Werte!$M82))</f>
        <v>0</v>
      </c>
      <c r="BU82" s="1714">
        <f>IF(OR($C$101=$AR82,$D$101=$AR82),Schweine_Werte!$M82*0.5,IF(OR($C$101&gt;$AR82,$D$101&lt;$AR82),0,Schweine_Werte!$M82))</f>
        <v>0</v>
      </c>
      <c r="BV82" s="1714">
        <f>IF(OR($C$110=$AR82,$D$110=$AR82),Schweine_Werte!$M82*0.5,IF(OR($C$110&gt;$AR82,$D$110&lt;$AR82),0,Schweine_Werte!$M82))</f>
        <v>0</v>
      </c>
      <c r="BW82" s="1714">
        <f>IF(OR(8=$AR82,$E$127=$AR82),Schweine_Werte!$M82*0.5,IF(OR(8&gt;$AR82,$E$127&lt;$AR82),0,Schweine_Werte!$M82))</f>
        <v>1.1387369354875152</v>
      </c>
      <c r="BX82" s="1714">
        <f>IF(OR(8=$AR82,$E$145=$AR82),Schweine_Werte!$M82*0.5,IF(OR(8&gt;$AR82,$E$145&lt;$AR82),0,Schweine_Werte!$M82))</f>
        <v>1.1387369354875152</v>
      </c>
      <c r="BY82" s="1710">
        <f>IF(OR($C$74=$AR82,$D$74=$AR82),Schweine_Werte!$O82*0.5,IF(OR($C$74&gt;$AR82,$D$74&lt;$AR82),0,Schweine_Werte!$O82))</f>
        <v>0</v>
      </c>
      <c r="BZ82" s="1710">
        <f>IF(OR($C$83=$AR82,$D$83=$AR82),Schweine_Werte!$O82*0.5,IF(OR($C$83&gt;$AR82,$D$83&lt;$AR82),0,Schweine_Werte!$O82))</f>
        <v>0</v>
      </c>
      <c r="CA82" s="1714">
        <f>IF(OR($C$92=$AR82,$D$92=$AR82),Schweine_Werte!$O82*0.5,IF(OR($C$92&gt;$AR82,$D$92&lt;$AR82),0,Schweine_Werte!$O82))</f>
        <v>0</v>
      </c>
      <c r="CB82" s="1714">
        <f>IF(OR($C$101=$AR82,$D$101=$AR82),Schweine_Werte!$O82*0.5,IF(OR($C$101&gt;$AR82,$D$101&lt;$AR82),0,Schweine_Werte!$O82))</f>
        <v>0</v>
      </c>
      <c r="CC82" s="1714">
        <f>IF(OR($C$110=$AR82,$D$110=$AR82),Schweine_Werte!$O82*0.5,IF(OR($C$110&gt;$AR82,$D$110&lt;$AR82),0,Schweine_Werte!$O82))</f>
        <v>0</v>
      </c>
    </row>
    <row r="83" spans="1:81" ht="15.75" x14ac:dyDescent="0.25">
      <c r="A83" s="1685" t="s">
        <v>8560</v>
      </c>
      <c r="B83" s="1753" t="str">
        <f>IF('Eigene, abweichende Tierdaten'!AE6=1,'Eigene, abweichende Tierdaten'!F6,"")</f>
        <v/>
      </c>
      <c r="C83" s="1754" t="str">
        <f>IF('Eigene, abweichende Tierdaten'!AE6=1,'Eigene, abweichende Tierdaten'!J6,"")</f>
        <v/>
      </c>
      <c r="D83" s="1755" t="str">
        <f>IF('Eigene, abweichende Tierdaten'!AE6=1,'Eigene, abweichende Tierdaten'!L6,"")</f>
        <v/>
      </c>
      <c r="E83" s="1755" t="str">
        <f>IF('Eigene, abweichende Tierdaten'!AE6=1,'Eigene, abweichende Tierdaten'!N6,"")</f>
        <v/>
      </c>
      <c r="F83" s="1729" t="e">
        <f>IF($E83&lt;=$E79,F79,IF(AND($E83&gt;$E79,$E83&lt;=$E80),F79+(F80-F79)/($E80-$E79)*($E83-$E79),IF($E83&gt;$E80,F80)))</f>
        <v>#VALUE!</v>
      </c>
      <c r="G83" s="1729" t="e">
        <f t="shared" ref="G83:N83" si="19">IF($E83&lt;=$E79,G79,IF(AND($E83&gt;$E79,$E83&lt;=$E80),G79+(G80-G79)/($E80-$E79)*($E83-$E79),IF($E83&gt;$E80,G80)))</f>
        <v>#VALUE!</v>
      </c>
      <c r="H83" s="1729" t="e">
        <f t="shared" si="19"/>
        <v>#VALUE!</v>
      </c>
      <c r="I83" s="1729" t="e">
        <f t="shared" si="19"/>
        <v>#VALUE!</v>
      </c>
      <c r="J83" s="1729" t="e">
        <f t="shared" si="19"/>
        <v>#VALUE!</v>
      </c>
      <c r="K83" s="1729" t="e">
        <f t="shared" si="19"/>
        <v>#VALUE!</v>
      </c>
      <c r="L83" s="1729" t="e">
        <f t="shared" si="19"/>
        <v>#VALUE!</v>
      </c>
      <c r="M83" s="1729" t="e">
        <f t="shared" si="19"/>
        <v>#VALUE!</v>
      </c>
      <c r="N83" s="1729" t="e">
        <f t="shared" si="19"/>
        <v>#VALUE!</v>
      </c>
      <c r="O83" s="1730">
        <v>5.5</v>
      </c>
      <c r="P83" s="1730">
        <v>1.8</v>
      </c>
      <c r="Q83" s="1729" t="e">
        <f t="shared" ref="Q83:Z83" si="20">IF($E83&lt;=$E79,Q79,IF(AND($E83&gt;$E79,$E83&lt;=$E80),Q79+(Q80-Q79)/($E80-$E79)*($E83-$E79),IF($E83&gt;$E80,Q80)))</f>
        <v>#VALUE!</v>
      </c>
      <c r="R83" s="1729" t="e">
        <f t="shared" si="20"/>
        <v>#VALUE!</v>
      </c>
      <c r="S83" s="1729" t="e">
        <f t="shared" si="20"/>
        <v>#VALUE!</v>
      </c>
      <c r="T83" s="1729" t="e">
        <f t="shared" si="20"/>
        <v>#VALUE!</v>
      </c>
      <c r="U83" s="1729" t="e">
        <f t="shared" si="20"/>
        <v>#VALUE!</v>
      </c>
      <c r="V83" s="1729" t="e">
        <f t="shared" si="20"/>
        <v>#VALUE!</v>
      </c>
      <c r="W83" s="1729" t="e">
        <f t="shared" si="20"/>
        <v>#VALUE!</v>
      </c>
      <c r="X83" s="1729" t="e">
        <f t="shared" si="20"/>
        <v>#VALUE!</v>
      </c>
      <c r="Y83" s="1729" t="e">
        <f t="shared" si="20"/>
        <v>#VALUE!</v>
      </c>
      <c r="Z83" s="1729" t="e">
        <f t="shared" si="20"/>
        <v>#VALUE!</v>
      </c>
      <c r="AA83" s="1731" t="e">
        <f>+Z83*6.25</f>
        <v>#VALUE!</v>
      </c>
      <c r="AB83" s="1729" t="e">
        <f>IF($E83&lt;=$E79,AB79,IF(AND($E83&gt;$E79,$E83&lt;=$E80),AB79+(AB80-AB79)/($E80-$E79)*($E83-$E79),IF($E83&gt;$E80,AB80)))</f>
        <v>#VALUE!</v>
      </c>
      <c r="AC83" s="1731" t="e">
        <f>+AB83*6.25</f>
        <v>#VALUE!</v>
      </c>
      <c r="AD83" s="1729" t="e">
        <f>IF($E83&lt;=$E79,AD79,IF(AND($E83&gt;$E79,$E83&lt;=$E80),AD79+(AD80-AD79)/($E80-$E79)*($E83-$E79),IF($E83&gt;$E80,AD80)))</f>
        <v>#VALUE!</v>
      </c>
      <c r="AE83" s="1731" t="e">
        <f>+AD83*6.25</f>
        <v>#VALUE!</v>
      </c>
      <c r="AF83" s="1731" t="e">
        <f>365/((D83-C83)/E83*1000)</f>
        <v>#VALUE!</v>
      </c>
      <c r="AG83" s="1729" t="e">
        <f>IF($E83&lt;=$E79,AG79,IF(AND($E83&gt;$E79,$E83&lt;=$E80),AG79+(AG80-AG79)/($E80-$E79)*($E83-$E79),IF($E83&gt;$E80,AG80)))</f>
        <v>#VALUE!</v>
      </c>
      <c r="AH83" s="1731" t="e">
        <f>+AG83/AF83</f>
        <v>#VALUE!</v>
      </c>
      <c r="AI83" s="1731" t="e">
        <f>+CONCATENATE(ROUND(AH83/(D83-C83),1)," : 1")</f>
        <v>#VALUE!</v>
      </c>
      <c r="AJ83" s="1729" t="e">
        <f>IF($E83&lt;=$E79,AJ79,IF(AND($E83&gt;$E79,$E83&lt;=$E80),AJ79+(AJ80-AJ79)/($E80-$E79)*($E83-$E79),IF($E83&gt;$E80,AJ80)))</f>
        <v>#VALUE!</v>
      </c>
      <c r="AK83" s="1731" t="e">
        <f>+AJ83/2.291</f>
        <v>#VALUE!</v>
      </c>
      <c r="AL83" s="1729" t="e">
        <f>IF($E83&lt;=$E79,AL79,IF(AND($E83&gt;$E79,$E83&lt;=$E80),AL79+(AL80-AL79)/($E80-$E79)*($E83-$E79),IF($E83&gt;$E80,AL80)))</f>
        <v>#VALUE!</v>
      </c>
      <c r="AM83" s="1731" t="e">
        <f>+AL83/2.291</f>
        <v>#VALUE!</v>
      </c>
      <c r="AN83" s="1729" t="e">
        <f>IF($E83&lt;=$E79,AN79,IF(AND($E83&gt;$E79,$E83&lt;=$E80),AN79+(AN80-AN79)/($E80-$E79)*($E83-$E79),IF($E83&gt;$E80,AN80)))</f>
        <v>#VALUE!</v>
      </c>
      <c r="AO83" s="1731" t="e">
        <f>+AN83/2.291</f>
        <v>#VALUE!</v>
      </c>
      <c r="AR83" s="1733">
        <v>87</v>
      </c>
      <c r="AS83" s="1710">
        <f>IF(OR($C$12=$AR83,$D$12=$AR83),Schweine_Werte!$C83*0.5,IF(OR($C$12&gt;$AR83,$D$12&lt;$AR83),0,Schweine_Werte!$C83))</f>
        <v>0</v>
      </c>
      <c r="AT83" s="1713">
        <f>IF(OR($C$24=$AR83,$D$24=$AR83),Schweine_Werte!$C83*0.5,IF(OR($C$24&gt;$AR83,$D$24&lt;$AR83),0,Schweine_Werte!$C83))</f>
        <v>0</v>
      </c>
      <c r="AU83" s="1710">
        <f>IF(OR($C$36=$AR83,$D$36=$AR83),Schweine_Werte!$C83*0.5,IF(OR($C$36&gt;$AR83,$D$36&lt;$AR83),0,Schweine_Werte!$C83))</f>
        <v>0</v>
      </c>
      <c r="AV83" s="1710">
        <f>IF(OR($C$48=$AR83,$D$48=$AR83),Schweine_Werte!$C83*0.5,IF(OR($C$48&gt;$AR83,$D$48&lt;$AR83),0,Schweine_Werte!$C83))</f>
        <v>0</v>
      </c>
      <c r="AW83" s="1710">
        <f>IF(OR($C$60=$AR83,$D$60=$AR83),Schweine_Werte!$C83*0.5,IF(OR($C$60&gt;$AR83,$D$60&lt;$AR83),0,Schweine_Werte!$C83))</f>
        <v>0</v>
      </c>
      <c r="AX83" s="1710">
        <f>IF(OR($C$12=$AR83,$D$12=$AR83),Schweine_Werte!$E83*0.5,IF(OR($C$12&gt;$AR83,$D$12&lt;$AR83),0,Schweine_Werte!$E83))</f>
        <v>0</v>
      </c>
      <c r="AY83" s="1713">
        <f>IF(OR($C$24=$AR83,$D$24=$AR83),Schweine_Werte!$E83*0.5,IF(OR($C$24&gt;$AR83,$D$24&lt;$AR83),0,Schweine_Werte!$E83))</f>
        <v>0</v>
      </c>
      <c r="AZ83" s="1713">
        <f>IF(OR($C$36=$AR83,$D$36=$AR83),Schweine_Werte!$E83*0.5,IF(OR($C$36&gt;$AR83,$D$36&lt;$AR83),0,Schweine_Werte!$E83))</f>
        <v>0</v>
      </c>
      <c r="BA83" s="1713">
        <f>IF(OR($C$48=$AR83,$D$48=$AR83),Schweine_Werte!$E83*0.5,IF(OR($C$48&gt;$AR83,$D$48&lt;$AR83),0,Schweine_Werte!$E83))</f>
        <v>0</v>
      </c>
      <c r="BB83" s="1713">
        <f>IF(OR($C$60=$AR83,$D$60=$AR83),Schweine_Werte!$E83*0.5,IF(OR($C$60&gt;$AR83,$D$60&lt;$AR83),0,Schweine_Werte!$E83))</f>
        <v>0</v>
      </c>
      <c r="BC83" s="1710">
        <f>IF(OR($C$12=$AR83,$D$12=$AR83),Schweine_Werte!$G83*0.5,IF(OR($C$12&gt;$AR83,$D$12&lt;$AR83),0,Schweine_Werte!$G83))</f>
        <v>0</v>
      </c>
      <c r="BD83" s="1713">
        <f>IF(OR($C$24=$AR83,$D$24=$AR83),Schweine_Werte!$G83*0.5,IF(OR($C$24&gt;$AR83,$D$24&lt;$AR83),0,Schweine_Werte!$G83))</f>
        <v>0</v>
      </c>
      <c r="BE83" s="1713">
        <f>IF(OR($C$36=$AR83,$D$36=$AR83),Schweine_Werte!$G83*0.5,IF(OR($C$36&gt;$AR83,$D$36&lt;$AR83),0,Schweine_Werte!$G83))</f>
        <v>0</v>
      </c>
      <c r="BF83" s="1713">
        <f>IF(OR($C$48=$AR83,$D$48=$AR83),Schweine_Werte!$G83*0.5,IF(OR($C$48&gt;$AR83,$D$48&lt;$AR83),0,Schweine_Werte!$G83))</f>
        <v>0</v>
      </c>
      <c r="BG83" s="1713">
        <f>IF(OR($C$60=$AR83,$D$60=$AR83),Schweine_Werte!$G83*0.5,IF(OR($C$60&gt;$AR83,$D$60&lt;$AR83),0,Schweine_Werte!$G83))</f>
        <v>0</v>
      </c>
      <c r="BH83" s="1710">
        <f>IF(OR($C$12=$AR83,$D$12=$AR83),Schweine_Werte!$I83*0.5,IF(OR($C$12&gt;$AR83,$D$12&lt;$AR83),0,Schweine_Werte!$I83))</f>
        <v>0</v>
      </c>
      <c r="BI83" s="1713">
        <f>IF(OR($C$24=$AR83,$D$24=$AR83),Schweine_Werte!$I83*0.5,IF(OR($C$24&gt;$AR83,$D$24&lt;$AR83),0,Schweine_Werte!$I83))</f>
        <v>0</v>
      </c>
      <c r="BJ83" s="1713">
        <f>IF(OR($C$36=$AR83,$D$36=$AR83),Schweine_Werte!$I83*0.5,IF(OR($C$36&gt;$AR83,$D$36&lt;$AR83),0,Schweine_Werte!$I83))</f>
        <v>0</v>
      </c>
      <c r="BK83" s="1713">
        <f>IF(OR($C$48=$AR83,$D$48=$AR83),Schweine_Werte!$I83*0.5,IF(OR($C$48&gt;$AR83,$D$48&lt;$AR83),0,Schweine_Werte!$I83))</f>
        <v>0</v>
      </c>
      <c r="BL83" s="1713">
        <f>IF(OR($C$60=$AR83,$D$60=$AR83),Schweine_Werte!$I83*0.5,IF(OR($C$60&gt;$AR83,$D$60&lt;$AR83),0,Schweine_Werte!$I83))</f>
        <v>0</v>
      </c>
      <c r="BM83" s="1710">
        <f>IF(OR($C$12=$AR83,$D$12=$AR83),Schweine_Werte!$K83*0.5,IF(OR($C$12&gt;$AR83,$D$12&lt;$AR83),0,Schweine_Werte!$K83))</f>
        <v>0</v>
      </c>
      <c r="BN83" s="1713">
        <f>IF(OR($C$24=$AR83,$D$24=$AR83),Schweine_Werte!$K83*0.5,IF(OR($C$24&gt;$AR83,$D$24&lt;$AR83),0,Schweine_Werte!$K83))</f>
        <v>0</v>
      </c>
      <c r="BO83" s="1713">
        <f>IF(OR($C$36=$AR83,$D$36=$AR83),Schweine_Werte!$K83*0.5,IF(OR($C$36&gt;$AR83,$D$36&lt;$AR83),0,Schweine_Werte!$K83))</f>
        <v>0</v>
      </c>
      <c r="BP83" s="1713">
        <f>IF(OR($C$48=$AR83,$D$48=$AR83),Schweine_Werte!$K83*0.5,IF(OR($C$48&gt;$AR83,$D$48&lt;$AR83),0,Schweine_Werte!$K83))</f>
        <v>0</v>
      </c>
      <c r="BQ83" s="1713">
        <f>IF(OR($C$60=$AR83,$D$60=$AR83),Schweine_Werte!$K83*0.5,IF(OR($C$60&gt;$AR83,$D$60&lt;$AR83),0,Schweine_Werte!$K83))</f>
        <v>0</v>
      </c>
      <c r="BR83" s="1710">
        <f>IF(OR($C$74=$AR83,$D$74=$AR83),Schweine_Werte!$M83*0.5,IF(OR($C$74&gt;$AR83,$D$74&lt;$AR83),0,Schweine_Werte!$M83))</f>
        <v>0</v>
      </c>
      <c r="BS83" s="1710">
        <f>IF(OR($C$83=$AR83,$D$83=$AR83),Schweine_Werte!$M83*0.5,IF(OR($C$83&gt;$AR83,$D$83&lt;$AR83),0,Schweine_Werte!$M83))</f>
        <v>0</v>
      </c>
      <c r="BT83" s="1714">
        <f>IF(OR($C$92=$AR83,$D$92=$AR83),Schweine_Werte!$M83*0.5,IF(OR($C$92&gt;$AR83,$D$92&lt;$AR83),0,Schweine_Werte!$M83))</f>
        <v>0</v>
      </c>
      <c r="BU83" s="1714">
        <f>IF(OR($C$101=$AR83,$D$101=$AR83),Schweine_Werte!$M83*0.5,IF(OR($C$101&gt;$AR83,$D$101&lt;$AR83),0,Schweine_Werte!$M83))</f>
        <v>0</v>
      </c>
      <c r="BV83" s="1714">
        <f>IF(OR($C$110=$AR83,$D$110=$AR83),Schweine_Werte!$M83*0.5,IF(OR($C$110&gt;$AR83,$D$110&lt;$AR83),0,Schweine_Werte!$M83))</f>
        <v>0</v>
      </c>
      <c r="BW83" s="1714">
        <f>IF(OR(8=$AR83,$E$127=$AR83),Schweine_Werte!$M83*0.5,IF(OR(8&gt;$AR83,$E$127&lt;$AR83),0,Schweine_Werte!$M83))</f>
        <v>1.1441569543001229</v>
      </c>
      <c r="BX83" s="1714">
        <f>IF(OR(8=$AR83,$E$145=$AR83),Schweine_Werte!$M83*0.5,IF(OR(8&gt;$AR83,$E$145&lt;$AR83),0,Schweine_Werte!$M83))</f>
        <v>1.1441569543001229</v>
      </c>
      <c r="BY83" s="1710">
        <f>IF(OR($C$74=$AR83,$D$74=$AR83),Schweine_Werte!$O83*0.5,IF(OR($C$74&gt;$AR83,$D$74&lt;$AR83),0,Schweine_Werte!$O83))</f>
        <v>0</v>
      </c>
      <c r="BZ83" s="1710">
        <f>IF(OR($C$83=$AR83,$D$83=$AR83),Schweine_Werte!$O83*0.5,IF(OR($C$83&gt;$AR83,$D$83&lt;$AR83),0,Schweine_Werte!$O83))</f>
        <v>0</v>
      </c>
      <c r="CA83" s="1714">
        <f>IF(OR($C$92=$AR83,$D$92=$AR83),Schweine_Werte!$O83*0.5,IF(OR($C$92&gt;$AR83,$D$92&lt;$AR83),0,Schweine_Werte!$O83))</f>
        <v>0</v>
      </c>
      <c r="CB83" s="1714">
        <f>IF(OR($C$101=$AR83,$D$101=$AR83),Schweine_Werte!$O83*0.5,IF(OR($C$101&gt;$AR83,$D$101&lt;$AR83),0,Schweine_Werte!$O83))</f>
        <v>0</v>
      </c>
      <c r="CC83" s="1714">
        <f>IF(OR($C$110=$AR83,$D$110=$AR83),Schweine_Werte!$O83*0.5,IF(OR($C$110&gt;$AR83,$D$110&lt;$AR83),0,Schweine_Werte!$O83))</f>
        <v>0</v>
      </c>
    </row>
    <row r="84" spans="1:81" x14ac:dyDescent="0.25">
      <c r="AR84" s="1733">
        <v>88</v>
      </c>
      <c r="AS84" s="1710">
        <f>IF(OR($C$12=$AR84,$D$12=$AR84),Schweine_Werte!$C84*0.5,IF(OR($C$12&gt;$AR84,$D$12&lt;$AR84),0,Schweine_Werte!$C84))</f>
        <v>0</v>
      </c>
      <c r="AT84" s="1713">
        <f>IF(OR($C$24=$AR84,$D$24=$AR84),Schweine_Werte!$C84*0.5,IF(OR($C$24&gt;$AR84,$D$24&lt;$AR84),0,Schweine_Werte!$C84))</f>
        <v>0</v>
      </c>
      <c r="AU84" s="1710">
        <f>IF(OR($C$36=$AR84,$D$36=$AR84),Schweine_Werte!$C84*0.5,IF(OR($C$36&gt;$AR84,$D$36&lt;$AR84),0,Schweine_Werte!$C84))</f>
        <v>0</v>
      </c>
      <c r="AV84" s="1710">
        <f>IF(OR($C$48=$AR84,$D$48=$AR84),Schweine_Werte!$C84*0.5,IF(OR($C$48&gt;$AR84,$D$48&lt;$AR84),0,Schweine_Werte!$C84))</f>
        <v>0</v>
      </c>
      <c r="AW84" s="1710">
        <f>IF(OR($C$60=$AR84,$D$60=$AR84),Schweine_Werte!$C84*0.5,IF(OR($C$60&gt;$AR84,$D$60&lt;$AR84),0,Schweine_Werte!$C84))</f>
        <v>0</v>
      </c>
      <c r="AX84" s="1710">
        <f>IF(OR($C$12=$AR84,$D$12=$AR84),Schweine_Werte!$E84*0.5,IF(OR($C$12&gt;$AR84,$D$12&lt;$AR84),0,Schweine_Werte!$E84))</f>
        <v>0</v>
      </c>
      <c r="AY84" s="1713">
        <f>IF(OR($C$24=$AR84,$D$24=$AR84),Schweine_Werte!$E84*0.5,IF(OR($C$24&gt;$AR84,$D$24&lt;$AR84),0,Schweine_Werte!$E84))</f>
        <v>0</v>
      </c>
      <c r="AZ84" s="1713">
        <f>IF(OR($C$36=$AR84,$D$36=$AR84),Schweine_Werte!$E84*0.5,IF(OR($C$36&gt;$AR84,$D$36&lt;$AR84),0,Schweine_Werte!$E84))</f>
        <v>0</v>
      </c>
      <c r="BA84" s="1713">
        <f>IF(OR($C$48=$AR84,$D$48=$AR84),Schweine_Werte!$E84*0.5,IF(OR($C$48&gt;$AR84,$D$48&lt;$AR84),0,Schweine_Werte!$E84))</f>
        <v>0</v>
      </c>
      <c r="BB84" s="1713">
        <f>IF(OR($C$60=$AR84,$D$60=$AR84),Schweine_Werte!$E84*0.5,IF(OR($C$60&gt;$AR84,$D$60&lt;$AR84),0,Schweine_Werte!$E84))</f>
        <v>0</v>
      </c>
      <c r="BC84" s="1710">
        <f>IF(OR($C$12=$AR84,$D$12=$AR84),Schweine_Werte!$G84*0.5,IF(OR($C$12&gt;$AR84,$D$12&lt;$AR84),0,Schweine_Werte!$G84))</f>
        <v>0</v>
      </c>
      <c r="BD84" s="1713">
        <f>IF(OR($C$24=$AR84,$D$24=$AR84),Schweine_Werte!$G84*0.5,IF(OR($C$24&gt;$AR84,$D$24&lt;$AR84),0,Schweine_Werte!$G84))</f>
        <v>0</v>
      </c>
      <c r="BE84" s="1713">
        <f>IF(OR($C$36=$AR84,$D$36=$AR84),Schweine_Werte!$G84*0.5,IF(OR($C$36&gt;$AR84,$D$36&lt;$AR84),0,Schweine_Werte!$G84))</f>
        <v>0</v>
      </c>
      <c r="BF84" s="1713">
        <f>IF(OR($C$48=$AR84,$D$48=$AR84),Schweine_Werte!$G84*0.5,IF(OR($C$48&gt;$AR84,$D$48&lt;$AR84),0,Schweine_Werte!$G84))</f>
        <v>0</v>
      </c>
      <c r="BG84" s="1713">
        <f>IF(OR($C$60=$AR84,$D$60=$AR84),Schweine_Werte!$G84*0.5,IF(OR($C$60&gt;$AR84,$D$60&lt;$AR84),0,Schweine_Werte!$G84))</f>
        <v>0</v>
      </c>
      <c r="BH84" s="1710">
        <f>IF(OR($C$12=$AR84,$D$12=$AR84),Schweine_Werte!$I84*0.5,IF(OR($C$12&gt;$AR84,$D$12&lt;$AR84),0,Schweine_Werte!$I84))</f>
        <v>0</v>
      </c>
      <c r="BI84" s="1713">
        <f>IF(OR($C$24=$AR84,$D$24=$AR84),Schweine_Werte!$I84*0.5,IF(OR($C$24&gt;$AR84,$D$24&lt;$AR84),0,Schweine_Werte!$I84))</f>
        <v>0</v>
      </c>
      <c r="BJ84" s="1713">
        <f>IF(OR($C$36=$AR84,$D$36=$AR84),Schweine_Werte!$I84*0.5,IF(OR($C$36&gt;$AR84,$D$36&lt;$AR84),0,Schweine_Werte!$I84))</f>
        <v>0</v>
      </c>
      <c r="BK84" s="1713">
        <f>IF(OR($C$48=$AR84,$D$48=$AR84),Schweine_Werte!$I84*0.5,IF(OR($C$48&gt;$AR84,$D$48&lt;$AR84),0,Schweine_Werte!$I84))</f>
        <v>0</v>
      </c>
      <c r="BL84" s="1713">
        <f>IF(OR($C$60=$AR84,$D$60=$AR84),Schweine_Werte!$I84*0.5,IF(OR($C$60&gt;$AR84,$D$60&lt;$AR84),0,Schweine_Werte!$I84))</f>
        <v>0</v>
      </c>
      <c r="BM84" s="1710">
        <f>IF(OR($C$12=$AR84,$D$12=$AR84),Schweine_Werte!$K84*0.5,IF(OR($C$12&gt;$AR84,$D$12&lt;$AR84),0,Schweine_Werte!$K84))</f>
        <v>0</v>
      </c>
      <c r="BN84" s="1713">
        <f>IF(OR($C$24=$AR84,$D$24=$AR84),Schweine_Werte!$K84*0.5,IF(OR($C$24&gt;$AR84,$D$24&lt;$AR84),0,Schweine_Werte!$K84))</f>
        <v>0</v>
      </c>
      <c r="BO84" s="1713">
        <f>IF(OR($C$36=$AR84,$D$36=$AR84),Schweine_Werte!$K84*0.5,IF(OR($C$36&gt;$AR84,$D$36&lt;$AR84),0,Schweine_Werte!$K84))</f>
        <v>0</v>
      </c>
      <c r="BP84" s="1713">
        <f>IF(OR($C$48=$AR84,$D$48=$AR84),Schweine_Werte!$K84*0.5,IF(OR($C$48&gt;$AR84,$D$48&lt;$AR84),0,Schweine_Werte!$K84))</f>
        <v>0</v>
      </c>
      <c r="BQ84" s="1713">
        <f>IF(OR($C$60=$AR84,$D$60=$AR84),Schweine_Werte!$K84*0.5,IF(OR($C$60&gt;$AR84,$D$60&lt;$AR84),0,Schweine_Werte!$K84))</f>
        <v>0</v>
      </c>
      <c r="BR84" s="1710">
        <f>IF(OR($C$74=$AR84,$D$74=$AR84),Schweine_Werte!$M84*0.5,IF(OR($C$74&gt;$AR84,$D$74&lt;$AR84),0,Schweine_Werte!$M84))</f>
        <v>0</v>
      </c>
      <c r="BS84" s="1710">
        <f>IF(OR($C$83=$AR84,$D$83=$AR84),Schweine_Werte!$M84*0.5,IF(OR($C$83&gt;$AR84,$D$83&lt;$AR84),0,Schweine_Werte!$M84))</f>
        <v>0</v>
      </c>
      <c r="BT84" s="1714">
        <f>IF(OR($C$92=$AR84,$D$92=$AR84),Schweine_Werte!$M84*0.5,IF(OR($C$92&gt;$AR84,$D$92&lt;$AR84),0,Schweine_Werte!$M84))</f>
        <v>0</v>
      </c>
      <c r="BU84" s="1714">
        <f>IF(OR($C$101=$AR84,$D$101=$AR84),Schweine_Werte!$M84*0.5,IF(OR($C$101&gt;$AR84,$D$101&lt;$AR84),0,Schweine_Werte!$M84))</f>
        <v>0</v>
      </c>
      <c r="BV84" s="1714">
        <f>IF(OR($C$110=$AR84,$D$110=$AR84),Schweine_Werte!$M84*0.5,IF(OR($C$110&gt;$AR84,$D$110&lt;$AR84),0,Schweine_Werte!$M84))</f>
        <v>0</v>
      </c>
      <c r="BW84" s="1714">
        <f>IF(OR(8=$AR84,$E$127=$AR84),Schweine_Werte!$M84*0.5,IF(OR(8&gt;$AR84,$E$127&lt;$AR84),0,Schweine_Werte!$M84))</f>
        <v>1.1500198289942443</v>
      </c>
      <c r="BX84" s="1714">
        <f>IF(OR(8=$AR84,$E$145=$AR84),Schweine_Werte!$M84*0.5,IF(OR(8&gt;$AR84,$E$145&lt;$AR84),0,Schweine_Werte!$M84))</f>
        <v>1.1500198289942443</v>
      </c>
      <c r="BY84" s="1710">
        <f>IF(OR($C$74=$AR84,$D$74=$AR84),Schweine_Werte!$O84*0.5,IF(OR($C$74&gt;$AR84,$D$74&lt;$AR84),0,Schweine_Werte!$O84))</f>
        <v>0</v>
      </c>
      <c r="BZ84" s="1710">
        <f>IF(OR($C$83=$AR84,$D$83=$AR84),Schweine_Werte!$O84*0.5,IF(OR($C$83&gt;$AR84,$D$83&lt;$AR84),0,Schweine_Werte!$O84))</f>
        <v>0</v>
      </c>
      <c r="CA84" s="1714">
        <f>IF(OR($C$92=$AR84,$D$92=$AR84),Schweine_Werte!$O84*0.5,IF(OR($C$92&gt;$AR84,$D$92&lt;$AR84),0,Schweine_Werte!$O84))</f>
        <v>0</v>
      </c>
      <c r="CB84" s="1714">
        <f>IF(OR($C$101=$AR84,$D$101=$AR84),Schweine_Werte!$O84*0.5,IF(OR($C$101&gt;$AR84,$D$101&lt;$AR84),0,Schweine_Werte!$O84))</f>
        <v>0</v>
      </c>
      <c r="CC84" s="1714">
        <f>IF(OR($C$110=$AR84,$D$110=$AR84),Schweine_Werte!$O84*0.5,IF(OR($C$110&gt;$AR84,$D$110&lt;$AR84),0,Schweine_Werte!$O84))</f>
        <v>0</v>
      </c>
    </row>
    <row r="85" spans="1:81" x14ac:dyDescent="0.25">
      <c r="AR85" s="1733">
        <v>89</v>
      </c>
      <c r="AS85" s="1710">
        <f>IF(OR($C$12=$AR85,$D$12=$AR85),Schweine_Werte!$C85*0.5,IF(OR($C$12&gt;$AR85,$D$12&lt;$AR85),0,Schweine_Werte!$C85))</f>
        <v>0</v>
      </c>
      <c r="AT85" s="1713">
        <f>IF(OR($C$24=$AR85,$D$24=$AR85),Schweine_Werte!$C85*0.5,IF(OR($C$24&gt;$AR85,$D$24&lt;$AR85),0,Schweine_Werte!$C85))</f>
        <v>0</v>
      </c>
      <c r="AU85" s="1710">
        <f>IF(OR($C$36=$AR85,$D$36=$AR85),Schweine_Werte!$C85*0.5,IF(OR($C$36&gt;$AR85,$D$36&lt;$AR85),0,Schweine_Werte!$C85))</f>
        <v>0</v>
      </c>
      <c r="AV85" s="1710">
        <f>IF(OR($C$48=$AR85,$D$48=$AR85),Schweine_Werte!$C85*0.5,IF(OR($C$48&gt;$AR85,$D$48&lt;$AR85),0,Schweine_Werte!$C85))</f>
        <v>0</v>
      </c>
      <c r="AW85" s="1710">
        <f>IF(OR($C$60=$AR85,$D$60=$AR85),Schweine_Werte!$C85*0.5,IF(OR($C$60&gt;$AR85,$D$60&lt;$AR85),0,Schweine_Werte!$C85))</f>
        <v>0</v>
      </c>
      <c r="AX85" s="1710">
        <f>IF(OR($C$12=$AR85,$D$12=$AR85),Schweine_Werte!$E85*0.5,IF(OR($C$12&gt;$AR85,$D$12&lt;$AR85),0,Schweine_Werte!$E85))</f>
        <v>0</v>
      </c>
      <c r="AY85" s="1713">
        <f>IF(OR($C$24=$AR85,$D$24=$AR85),Schweine_Werte!$E85*0.5,IF(OR($C$24&gt;$AR85,$D$24&lt;$AR85),0,Schweine_Werte!$E85))</f>
        <v>0</v>
      </c>
      <c r="AZ85" s="1713">
        <f>IF(OR($C$36=$AR85,$D$36=$AR85),Schweine_Werte!$E85*0.5,IF(OR($C$36&gt;$AR85,$D$36&lt;$AR85),0,Schweine_Werte!$E85))</f>
        <v>0</v>
      </c>
      <c r="BA85" s="1713">
        <f>IF(OR($C$48=$AR85,$D$48=$AR85),Schweine_Werte!$E85*0.5,IF(OR($C$48&gt;$AR85,$D$48&lt;$AR85),0,Schweine_Werte!$E85))</f>
        <v>0</v>
      </c>
      <c r="BB85" s="1713">
        <f>IF(OR($C$60=$AR85,$D$60=$AR85),Schweine_Werte!$E85*0.5,IF(OR($C$60&gt;$AR85,$D$60&lt;$AR85),0,Schweine_Werte!$E85))</f>
        <v>0</v>
      </c>
      <c r="BC85" s="1710">
        <f>IF(OR($C$12=$AR85,$D$12=$AR85),Schweine_Werte!$G85*0.5,IF(OR($C$12&gt;$AR85,$D$12&lt;$AR85),0,Schweine_Werte!$G85))</f>
        <v>0</v>
      </c>
      <c r="BD85" s="1713">
        <f>IF(OR($C$24=$AR85,$D$24=$AR85),Schweine_Werte!$G85*0.5,IF(OR($C$24&gt;$AR85,$D$24&lt;$AR85),0,Schweine_Werte!$G85))</f>
        <v>0</v>
      </c>
      <c r="BE85" s="1713">
        <f>IF(OR($C$36=$AR85,$D$36=$AR85),Schweine_Werte!$G85*0.5,IF(OR($C$36&gt;$AR85,$D$36&lt;$AR85),0,Schweine_Werte!$G85))</f>
        <v>0</v>
      </c>
      <c r="BF85" s="1713">
        <f>IF(OR($C$48=$AR85,$D$48=$AR85),Schweine_Werte!$G85*0.5,IF(OR($C$48&gt;$AR85,$D$48&lt;$AR85),0,Schweine_Werte!$G85))</f>
        <v>0</v>
      </c>
      <c r="BG85" s="1713">
        <f>IF(OR($C$60=$AR85,$D$60=$AR85),Schweine_Werte!$G85*0.5,IF(OR($C$60&gt;$AR85,$D$60&lt;$AR85),0,Schweine_Werte!$G85))</f>
        <v>0</v>
      </c>
      <c r="BH85" s="1710">
        <f>IF(OR($C$12=$AR85,$D$12=$AR85),Schweine_Werte!$I85*0.5,IF(OR($C$12&gt;$AR85,$D$12&lt;$AR85),0,Schweine_Werte!$I85))</f>
        <v>0</v>
      </c>
      <c r="BI85" s="1713">
        <f>IF(OR($C$24=$AR85,$D$24=$AR85),Schweine_Werte!$I85*0.5,IF(OR($C$24&gt;$AR85,$D$24&lt;$AR85),0,Schweine_Werte!$I85))</f>
        <v>0</v>
      </c>
      <c r="BJ85" s="1713">
        <f>IF(OR($C$36=$AR85,$D$36=$AR85),Schweine_Werte!$I85*0.5,IF(OR($C$36&gt;$AR85,$D$36&lt;$AR85),0,Schweine_Werte!$I85))</f>
        <v>0</v>
      </c>
      <c r="BK85" s="1713">
        <f>IF(OR($C$48=$AR85,$D$48=$AR85),Schweine_Werte!$I85*0.5,IF(OR($C$48&gt;$AR85,$D$48&lt;$AR85),0,Schweine_Werte!$I85))</f>
        <v>0</v>
      </c>
      <c r="BL85" s="1713">
        <f>IF(OR($C$60=$AR85,$D$60=$AR85),Schweine_Werte!$I85*0.5,IF(OR($C$60&gt;$AR85,$D$60&lt;$AR85),0,Schweine_Werte!$I85))</f>
        <v>0</v>
      </c>
      <c r="BM85" s="1710">
        <f>IF(OR($C$12=$AR85,$D$12=$AR85),Schweine_Werte!$K85*0.5,IF(OR($C$12&gt;$AR85,$D$12&lt;$AR85),0,Schweine_Werte!$K85))</f>
        <v>0</v>
      </c>
      <c r="BN85" s="1713">
        <f>IF(OR($C$24=$AR85,$D$24=$AR85),Schweine_Werte!$K85*0.5,IF(OR($C$24&gt;$AR85,$D$24&lt;$AR85),0,Schweine_Werte!$K85))</f>
        <v>0</v>
      </c>
      <c r="BO85" s="1713">
        <f>IF(OR($C$36=$AR85,$D$36=$AR85),Schweine_Werte!$K85*0.5,IF(OR($C$36&gt;$AR85,$D$36&lt;$AR85),0,Schweine_Werte!$K85))</f>
        <v>0</v>
      </c>
      <c r="BP85" s="1713">
        <f>IF(OR($C$48=$AR85,$D$48=$AR85),Schweine_Werte!$K85*0.5,IF(OR($C$48&gt;$AR85,$D$48&lt;$AR85),0,Schweine_Werte!$K85))</f>
        <v>0</v>
      </c>
      <c r="BQ85" s="1713">
        <f>IF(OR($C$60=$AR85,$D$60=$AR85),Schweine_Werte!$K85*0.5,IF(OR($C$60&gt;$AR85,$D$60&lt;$AR85),0,Schweine_Werte!$K85))</f>
        <v>0</v>
      </c>
      <c r="BR85" s="1710">
        <f>IF(OR($C$74=$AR85,$D$74=$AR85),Schweine_Werte!$M85*0.5,IF(OR($C$74&gt;$AR85,$D$74&lt;$AR85),0,Schweine_Werte!$M85))</f>
        <v>0</v>
      </c>
      <c r="BS85" s="1710">
        <f>IF(OR($C$83=$AR85,$D$83=$AR85),Schweine_Werte!$M85*0.5,IF(OR($C$83&gt;$AR85,$D$83&lt;$AR85),0,Schweine_Werte!$M85))</f>
        <v>0</v>
      </c>
      <c r="BT85" s="1714">
        <f>IF(OR($C$92=$AR85,$D$92=$AR85),Schweine_Werte!$M85*0.5,IF(OR($C$92&gt;$AR85,$D$92&lt;$AR85),0,Schweine_Werte!$M85))</f>
        <v>0</v>
      </c>
      <c r="BU85" s="1714">
        <f>IF(OR($C$101=$AR85,$D$101=$AR85),Schweine_Werte!$M85*0.5,IF(OR($C$101&gt;$AR85,$D$101&lt;$AR85),0,Schweine_Werte!$M85))</f>
        <v>0</v>
      </c>
      <c r="BV85" s="1714">
        <f>IF(OR($C$110=$AR85,$D$110=$AR85),Schweine_Werte!$M85*0.5,IF(OR($C$110&gt;$AR85,$D$110&lt;$AR85),0,Schweine_Werte!$M85))</f>
        <v>0</v>
      </c>
      <c r="BW85" s="1714">
        <f>IF(OR(8=$AR85,$E$127=$AR85),Schweine_Werte!$M85*0.5,IF(OR(8&gt;$AR85,$E$127&lt;$AR85),0,Schweine_Werte!$M85))</f>
        <v>1.1563381827018655</v>
      </c>
      <c r="BX85" s="1714">
        <f>IF(OR(8=$AR85,$E$145=$AR85),Schweine_Werte!$M85*0.5,IF(OR(8&gt;$AR85,$E$145&lt;$AR85),0,Schweine_Werte!$M85))</f>
        <v>1.1563381827018655</v>
      </c>
      <c r="BY85" s="1710">
        <f>IF(OR($C$74=$AR85,$D$74=$AR85),Schweine_Werte!$O85*0.5,IF(OR($C$74&gt;$AR85,$D$74&lt;$AR85),0,Schweine_Werte!$O85))</f>
        <v>0</v>
      </c>
      <c r="BZ85" s="1710">
        <f>IF(OR($C$83=$AR85,$D$83=$AR85),Schweine_Werte!$O85*0.5,IF(OR($C$83&gt;$AR85,$D$83&lt;$AR85),0,Schweine_Werte!$O85))</f>
        <v>0</v>
      </c>
      <c r="CA85" s="1714">
        <f>IF(OR($C$92=$AR85,$D$92=$AR85),Schweine_Werte!$O85*0.5,IF(OR($C$92&gt;$AR85,$D$92&lt;$AR85),0,Schweine_Werte!$O85))</f>
        <v>0</v>
      </c>
      <c r="CB85" s="1714">
        <f>IF(OR($C$101=$AR85,$D$101=$AR85),Schweine_Werte!$O85*0.5,IF(OR($C$101&gt;$AR85,$D$101&lt;$AR85),0,Schweine_Werte!$O85))</f>
        <v>0</v>
      </c>
      <c r="CC85" s="1714">
        <f>IF(OR($C$110=$AR85,$D$110=$AR85),Schweine_Werte!$O85*0.5,IF(OR($C$110&gt;$AR85,$D$110&lt;$AR85),0,Schweine_Werte!$O85))</f>
        <v>0</v>
      </c>
    </row>
    <row r="86" spans="1:81" x14ac:dyDescent="0.25">
      <c r="Q86" s="3251" t="s">
        <v>8546</v>
      </c>
      <c r="R86" s="3251"/>
      <c r="S86" s="3251"/>
      <c r="T86" s="3251" t="s">
        <v>8547</v>
      </c>
      <c r="U86" s="3251"/>
      <c r="V86" s="3251"/>
      <c r="W86" s="1689" t="s">
        <v>8544</v>
      </c>
      <c r="X86" s="1689"/>
      <c r="Y86" s="1689"/>
      <c r="AR86" s="1733">
        <v>90</v>
      </c>
      <c r="AS86" s="1710">
        <f>IF(OR($C$12=$AR86,$D$12=$AR86),Schweine_Werte!$C86*0.5,IF(OR($C$12&gt;$AR86,$D$12&lt;$AR86),0,Schweine_Werte!$C86))</f>
        <v>0</v>
      </c>
      <c r="AT86" s="1713">
        <f>IF(OR($C$24=$AR86,$D$24=$AR86),Schweine_Werte!$C86*0.5,IF(OR($C$24&gt;$AR86,$D$24&lt;$AR86),0,Schweine_Werte!$C86))</f>
        <v>0</v>
      </c>
      <c r="AU86" s="1710">
        <f>IF(OR($C$36=$AR86,$D$36=$AR86),Schweine_Werte!$C86*0.5,IF(OR($C$36&gt;$AR86,$D$36&lt;$AR86),0,Schweine_Werte!$C86))</f>
        <v>0</v>
      </c>
      <c r="AV86" s="1710">
        <f>IF(OR($C$48=$AR86,$D$48=$AR86),Schweine_Werte!$C86*0.5,IF(OR($C$48&gt;$AR86,$D$48&lt;$AR86),0,Schweine_Werte!$C86))</f>
        <v>0</v>
      </c>
      <c r="AW86" s="1710">
        <f>IF(OR($C$60=$AR86,$D$60=$AR86),Schweine_Werte!$C86*0.5,IF(OR($C$60&gt;$AR86,$D$60&lt;$AR86),0,Schweine_Werte!$C86))</f>
        <v>0</v>
      </c>
      <c r="AX86" s="1710">
        <f>IF(OR($C$12=$AR86,$D$12=$AR86),Schweine_Werte!$E86*0.5,IF(OR($C$12&gt;$AR86,$D$12&lt;$AR86),0,Schweine_Werte!$E86))</f>
        <v>0</v>
      </c>
      <c r="AY86" s="1713">
        <f>IF(OR($C$24=$AR86,$D$24=$AR86),Schweine_Werte!$E86*0.5,IF(OR($C$24&gt;$AR86,$D$24&lt;$AR86),0,Schweine_Werte!$E86))</f>
        <v>0</v>
      </c>
      <c r="AZ86" s="1713">
        <f>IF(OR($C$36=$AR86,$D$36=$AR86),Schweine_Werte!$E86*0.5,IF(OR($C$36&gt;$AR86,$D$36&lt;$AR86),0,Schweine_Werte!$E86))</f>
        <v>0</v>
      </c>
      <c r="BA86" s="1713">
        <f>IF(OR($C$48=$AR86,$D$48=$AR86),Schweine_Werte!$E86*0.5,IF(OR($C$48&gt;$AR86,$D$48&lt;$AR86),0,Schweine_Werte!$E86))</f>
        <v>0</v>
      </c>
      <c r="BB86" s="1713">
        <f>IF(OR($C$60=$AR86,$D$60=$AR86),Schweine_Werte!$E86*0.5,IF(OR($C$60&gt;$AR86,$D$60&lt;$AR86),0,Schweine_Werte!$E86))</f>
        <v>0</v>
      </c>
      <c r="BC86" s="1710">
        <f>IF(OR($C$12=$AR86,$D$12=$AR86),Schweine_Werte!$G86*0.5,IF(OR($C$12&gt;$AR86,$D$12&lt;$AR86),0,Schweine_Werte!$G86))</f>
        <v>0</v>
      </c>
      <c r="BD86" s="1713">
        <f>IF(OR($C$24=$AR86,$D$24=$AR86),Schweine_Werte!$G86*0.5,IF(OR($C$24&gt;$AR86,$D$24&lt;$AR86),0,Schweine_Werte!$G86))</f>
        <v>0</v>
      </c>
      <c r="BE86" s="1713">
        <f>IF(OR($C$36=$AR86,$D$36=$AR86),Schweine_Werte!$G86*0.5,IF(OR($C$36&gt;$AR86,$D$36&lt;$AR86),0,Schweine_Werte!$G86))</f>
        <v>0</v>
      </c>
      <c r="BF86" s="1713">
        <f>IF(OR($C$48=$AR86,$D$48=$AR86),Schweine_Werte!$G86*0.5,IF(OR($C$48&gt;$AR86,$D$48&lt;$AR86),0,Schweine_Werte!$G86))</f>
        <v>0</v>
      </c>
      <c r="BG86" s="1713">
        <f>IF(OR($C$60=$AR86,$D$60=$AR86),Schweine_Werte!$G86*0.5,IF(OR($C$60&gt;$AR86,$D$60&lt;$AR86),0,Schweine_Werte!$G86))</f>
        <v>0</v>
      </c>
      <c r="BH86" s="1710">
        <f>IF(OR($C$12=$AR86,$D$12=$AR86),Schweine_Werte!$I86*0.5,IF(OR($C$12&gt;$AR86,$D$12&lt;$AR86),0,Schweine_Werte!$I86))</f>
        <v>0</v>
      </c>
      <c r="BI86" s="1713">
        <f>IF(OR($C$24=$AR86,$D$24=$AR86),Schweine_Werte!$I86*0.5,IF(OR($C$24&gt;$AR86,$D$24&lt;$AR86),0,Schweine_Werte!$I86))</f>
        <v>0</v>
      </c>
      <c r="BJ86" s="1713">
        <f>IF(OR($C$36=$AR86,$D$36=$AR86),Schweine_Werte!$I86*0.5,IF(OR($C$36&gt;$AR86,$D$36&lt;$AR86),0,Schweine_Werte!$I86))</f>
        <v>0</v>
      </c>
      <c r="BK86" s="1713">
        <f>IF(OR($C$48=$AR86,$D$48=$AR86),Schweine_Werte!$I86*0.5,IF(OR($C$48&gt;$AR86,$D$48&lt;$AR86),0,Schweine_Werte!$I86))</f>
        <v>0</v>
      </c>
      <c r="BL86" s="1713">
        <f>IF(OR($C$60=$AR86,$D$60=$AR86),Schweine_Werte!$I86*0.5,IF(OR($C$60&gt;$AR86,$D$60&lt;$AR86),0,Schweine_Werte!$I86))</f>
        <v>0</v>
      </c>
      <c r="BM86" s="1710">
        <f>IF(OR($C$12=$AR86,$D$12=$AR86),Schweine_Werte!$K86*0.5,IF(OR($C$12&gt;$AR86,$D$12&lt;$AR86),0,Schweine_Werte!$K86))</f>
        <v>0</v>
      </c>
      <c r="BN86" s="1713">
        <f>IF(OR($C$24=$AR86,$D$24=$AR86),Schweine_Werte!$K86*0.5,IF(OR($C$24&gt;$AR86,$D$24&lt;$AR86),0,Schweine_Werte!$K86))</f>
        <v>0</v>
      </c>
      <c r="BO86" s="1713">
        <f>IF(OR($C$36=$AR86,$D$36=$AR86),Schweine_Werte!$K86*0.5,IF(OR($C$36&gt;$AR86,$D$36&lt;$AR86),0,Schweine_Werte!$K86))</f>
        <v>0</v>
      </c>
      <c r="BP86" s="1713">
        <f>IF(OR($C$48=$AR86,$D$48=$AR86),Schweine_Werte!$K86*0.5,IF(OR($C$48&gt;$AR86,$D$48&lt;$AR86),0,Schweine_Werte!$K86))</f>
        <v>0</v>
      </c>
      <c r="BQ86" s="1713">
        <f>IF(OR($C$60=$AR86,$D$60=$AR86),Schweine_Werte!$K86*0.5,IF(OR($C$60&gt;$AR86,$D$60&lt;$AR86),0,Schweine_Werte!$K86))</f>
        <v>0</v>
      </c>
      <c r="BR86" s="1710">
        <f>IF(OR($C$74=$AR86,$D$74=$AR86),Schweine_Werte!$M86*0.5,IF(OR($C$74&gt;$AR86,$D$74&lt;$AR86),0,Schweine_Werte!$M86))</f>
        <v>0</v>
      </c>
      <c r="BS86" s="1710">
        <f>IF(OR($C$83=$AR86,$D$83=$AR86),Schweine_Werte!$M86*0.5,IF(OR($C$83&gt;$AR86,$D$83&lt;$AR86),0,Schweine_Werte!$M86))</f>
        <v>0</v>
      </c>
      <c r="BT86" s="1714">
        <f>IF(OR($C$92=$AR86,$D$92=$AR86),Schweine_Werte!$M86*0.5,IF(OR($C$92&gt;$AR86,$D$92&lt;$AR86),0,Schweine_Werte!$M86))</f>
        <v>0</v>
      </c>
      <c r="BU86" s="1714">
        <f>IF(OR($C$101=$AR86,$D$101=$AR86),Schweine_Werte!$M86*0.5,IF(OR($C$101&gt;$AR86,$D$101&lt;$AR86),0,Schweine_Werte!$M86))</f>
        <v>0</v>
      </c>
      <c r="BV86" s="1714">
        <f>IF(OR($C$110=$AR86,$D$110=$AR86),Schweine_Werte!$M86*0.5,IF(OR($C$110&gt;$AR86,$D$110&lt;$AR86),0,Schweine_Werte!$M86))</f>
        <v>0</v>
      </c>
      <c r="BW86" s="1714">
        <f>IF(OR(8=$AR86,$E$127=$AR86),Schweine_Werte!$M86*0.5,IF(OR(8&gt;$AR86,$E$127&lt;$AR86),0,Schweine_Werte!$M86))</f>
        <v>1.1631258275786267</v>
      </c>
      <c r="BX86" s="1714">
        <f>IF(OR(8=$AR86,$E$145=$AR86),Schweine_Werte!$M86*0.5,IF(OR(8&gt;$AR86,$E$145&lt;$AR86),0,Schweine_Werte!$M86))</f>
        <v>1.1631258275786267</v>
      </c>
      <c r="BY86" s="1710">
        <f>IF(OR($C$74=$AR86,$D$74=$AR86),Schweine_Werte!$O86*0.5,IF(OR($C$74&gt;$AR86,$D$74&lt;$AR86),0,Schweine_Werte!$O86))</f>
        <v>0</v>
      </c>
      <c r="BZ86" s="1710">
        <f>IF(OR($C$83=$AR86,$D$83=$AR86),Schweine_Werte!$O86*0.5,IF(OR($C$83&gt;$AR86,$D$83&lt;$AR86),0,Schweine_Werte!$O86))</f>
        <v>0</v>
      </c>
      <c r="CA86" s="1714">
        <f>IF(OR($C$92=$AR86,$D$92=$AR86),Schweine_Werte!$O86*0.5,IF(OR($C$92&gt;$AR86,$D$92&lt;$AR86),0,Schweine_Werte!$O86))</f>
        <v>0</v>
      </c>
      <c r="CB86" s="1714">
        <f>IF(OR($C$101=$AR86,$D$101=$AR86),Schweine_Werte!$O86*0.5,IF(OR($C$101&gt;$AR86,$D$101&lt;$AR86),0,Schweine_Werte!$O86))</f>
        <v>0</v>
      </c>
      <c r="CC86" s="1714">
        <f>IF(OR($C$110=$AR86,$D$110=$AR86),Schweine_Werte!$O86*0.5,IF(OR($C$110&gt;$AR86,$D$110&lt;$AR86),0,Schweine_Werte!$O86))</f>
        <v>0</v>
      </c>
    </row>
    <row r="87" spans="1:81" x14ac:dyDescent="0.25">
      <c r="B87" t="s">
        <v>8613</v>
      </c>
      <c r="C87"/>
      <c r="D87"/>
      <c r="E87" t="s">
        <v>8568</v>
      </c>
      <c r="F87" t="s">
        <v>195</v>
      </c>
      <c r="G87" t="s">
        <v>8569</v>
      </c>
      <c r="H87" t="s">
        <v>8570</v>
      </c>
      <c r="I87" t="s">
        <v>8571</v>
      </c>
      <c r="J87" t="s">
        <v>8096</v>
      </c>
      <c r="K87" t="s">
        <v>8572</v>
      </c>
      <c r="L87" t="s">
        <v>8573</v>
      </c>
      <c r="M87" t="s">
        <v>8574</v>
      </c>
      <c r="N87" t="s">
        <v>8575</v>
      </c>
      <c r="O87" t="s">
        <v>8576</v>
      </c>
      <c r="P87" t="s">
        <v>8577</v>
      </c>
      <c r="Q87" t="s">
        <v>35</v>
      </c>
      <c r="R87" t="s">
        <v>36</v>
      </c>
      <c r="S87" t="s">
        <v>37</v>
      </c>
      <c r="T87" t="s">
        <v>35</v>
      </c>
      <c r="U87" t="s">
        <v>36</v>
      </c>
      <c r="V87" t="s">
        <v>37</v>
      </c>
      <c r="W87" t="s">
        <v>8548</v>
      </c>
      <c r="X87" t="s">
        <v>8549</v>
      </c>
      <c r="Y87" t="s">
        <v>8550</v>
      </c>
      <c r="Z87"/>
      <c r="AA87"/>
      <c r="AB87"/>
      <c r="AC87"/>
      <c r="AD87"/>
      <c r="AE87"/>
      <c r="AF87"/>
      <c r="AG87"/>
      <c r="AH87"/>
      <c r="AI87"/>
      <c r="AJ87"/>
      <c r="AK87"/>
      <c r="AL87"/>
      <c r="AM87"/>
      <c r="AN87"/>
      <c r="AO87"/>
      <c r="AR87" s="1733">
        <v>91</v>
      </c>
      <c r="AS87" s="1710">
        <f>IF(OR($C$12=$AR87,$D$12=$AR87),Schweine_Werte!$C87*0.5,IF(OR($C$12&gt;$AR87,$D$12&lt;$AR87),0,Schweine_Werte!$C87))</f>
        <v>0</v>
      </c>
      <c r="AT87" s="1713">
        <f>IF(OR($C$24=$AR87,$D$24=$AR87),Schweine_Werte!$C87*0.5,IF(OR($C$24&gt;$AR87,$D$24&lt;$AR87),0,Schweine_Werte!$C87))</f>
        <v>0</v>
      </c>
      <c r="AU87" s="1710">
        <f>IF(OR($C$36=$AR87,$D$36=$AR87),Schweine_Werte!$C87*0.5,IF(OR($C$36&gt;$AR87,$D$36&lt;$AR87),0,Schweine_Werte!$C87))</f>
        <v>0</v>
      </c>
      <c r="AV87" s="1710">
        <f>IF(OR($C$48=$AR87,$D$48=$AR87),Schweine_Werte!$C87*0.5,IF(OR($C$48&gt;$AR87,$D$48&lt;$AR87),0,Schweine_Werte!$C87))</f>
        <v>0</v>
      </c>
      <c r="AW87" s="1710">
        <f>IF(OR($C$60=$AR87,$D$60=$AR87),Schweine_Werte!$C87*0.5,IF(OR($C$60&gt;$AR87,$D$60&lt;$AR87),0,Schweine_Werte!$C87))</f>
        <v>0</v>
      </c>
      <c r="AX87" s="1710">
        <f>IF(OR($C$12=$AR87,$D$12=$AR87),Schweine_Werte!$E87*0.5,IF(OR($C$12&gt;$AR87,$D$12&lt;$AR87),0,Schweine_Werte!$E87))</f>
        <v>0</v>
      </c>
      <c r="AY87" s="1713">
        <f>IF(OR($C$24=$AR87,$D$24=$AR87),Schweine_Werte!$E87*0.5,IF(OR($C$24&gt;$AR87,$D$24&lt;$AR87),0,Schweine_Werte!$E87))</f>
        <v>0</v>
      </c>
      <c r="AZ87" s="1713">
        <f>IF(OR($C$36=$AR87,$D$36=$AR87),Schweine_Werte!$E87*0.5,IF(OR($C$36&gt;$AR87,$D$36&lt;$AR87),0,Schweine_Werte!$E87))</f>
        <v>0</v>
      </c>
      <c r="BA87" s="1713">
        <f>IF(OR($C$48=$AR87,$D$48=$AR87),Schweine_Werte!$E87*0.5,IF(OR($C$48&gt;$AR87,$D$48&lt;$AR87),0,Schweine_Werte!$E87))</f>
        <v>0</v>
      </c>
      <c r="BB87" s="1713">
        <f>IF(OR($C$60=$AR87,$D$60=$AR87),Schweine_Werte!$E87*0.5,IF(OR($C$60&gt;$AR87,$D$60&lt;$AR87),0,Schweine_Werte!$E87))</f>
        <v>0</v>
      </c>
      <c r="BC87" s="1710">
        <f>IF(OR($C$12=$AR87,$D$12=$AR87),Schweine_Werte!$G87*0.5,IF(OR($C$12&gt;$AR87,$D$12&lt;$AR87),0,Schweine_Werte!$G87))</f>
        <v>0</v>
      </c>
      <c r="BD87" s="1713">
        <f>IF(OR($C$24=$AR87,$D$24=$AR87),Schweine_Werte!$G87*0.5,IF(OR($C$24&gt;$AR87,$D$24&lt;$AR87),0,Schweine_Werte!$G87))</f>
        <v>0</v>
      </c>
      <c r="BE87" s="1713">
        <f>IF(OR($C$36=$AR87,$D$36=$AR87),Schweine_Werte!$G87*0.5,IF(OR($C$36&gt;$AR87,$D$36&lt;$AR87),0,Schweine_Werte!$G87))</f>
        <v>0</v>
      </c>
      <c r="BF87" s="1713">
        <f>IF(OR($C$48=$AR87,$D$48=$AR87),Schweine_Werte!$G87*0.5,IF(OR($C$48&gt;$AR87,$D$48&lt;$AR87),0,Schweine_Werte!$G87))</f>
        <v>0</v>
      </c>
      <c r="BG87" s="1713">
        <f>IF(OR($C$60=$AR87,$D$60=$AR87),Schweine_Werte!$G87*0.5,IF(OR($C$60&gt;$AR87,$D$60&lt;$AR87),0,Schweine_Werte!$G87))</f>
        <v>0</v>
      </c>
      <c r="BH87" s="1710">
        <f>IF(OR($C$12=$AR87,$D$12=$AR87),Schweine_Werte!$I87*0.5,IF(OR($C$12&gt;$AR87,$D$12&lt;$AR87),0,Schweine_Werte!$I87))</f>
        <v>0</v>
      </c>
      <c r="BI87" s="1713">
        <f>IF(OR($C$24=$AR87,$D$24=$AR87),Schweine_Werte!$I87*0.5,IF(OR($C$24&gt;$AR87,$D$24&lt;$AR87),0,Schweine_Werte!$I87))</f>
        <v>0</v>
      </c>
      <c r="BJ87" s="1713">
        <f>IF(OR($C$36=$AR87,$D$36=$AR87),Schweine_Werte!$I87*0.5,IF(OR($C$36&gt;$AR87,$D$36&lt;$AR87),0,Schweine_Werte!$I87))</f>
        <v>0</v>
      </c>
      <c r="BK87" s="1713">
        <f>IF(OR($C$48=$AR87,$D$48=$AR87),Schweine_Werte!$I87*0.5,IF(OR($C$48&gt;$AR87,$D$48&lt;$AR87),0,Schweine_Werte!$I87))</f>
        <v>0</v>
      </c>
      <c r="BL87" s="1713">
        <f>IF(OR($C$60=$AR87,$D$60=$AR87),Schweine_Werte!$I87*0.5,IF(OR($C$60&gt;$AR87,$D$60&lt;$AR87),0,Schweine_Werte!$I87))</f>
        <v>0</v>
      </c>
      <c r="BM87" s="1710">
        <f>IF(OR($C$12=$AR87,$D$12=$AR87),Schweine_Werte!$K87*0.5,IF(OR($C$12&gt;$AR87,$D$12&lt;$AR87),0,Schweine_Werte!$K87))</f>
        <v>0</v>
      </c>
      <c r="BN87" s="1713">
        <f>IF(OR($C$24=$AR87,$D$24=$AR87),Schweine_Werte!$K87*0.5,IF(OR($C$24&gt;$AR87,$D$24&lt;$AR87),0,Schweine_Werte!$K87))</f>
        <v>0</v>
      </c>
      <c r="BO87" s="1713">
        <f>IF(OR($C$36=$AR87,$D$36=$AR87),Schweine_Werte!$K87*0.5,IF(OR($C$36&gt;$AR87,$D$36&lt;$AR87),0,Schweine_Werte!$K87))</f>
        <v>0</v>
      </c>
      <c r="BP87" s="1713">
        <f>IF(OR($C$48=$AR87,$D$48=$AR87),Schweine_Werte!$K87*0.5,IF(OR($C$48&gt;$AR87,$D$48&lt;$AR87),0,Schweine_Werte!$K87))</f>
        <v>0</v>
      </c>
      <c r="BQ87" s="1713">
        <f>IF(OR($C$60=$AR87,$D$60=$AR87),Schweine_Werte!$K87*0.5,IF(OR($C$60&gt;$AR87,$D$60&lt;$AR87),0,Schweine_Werte!$K87))</f>
        <v>0</v>
      </c>
      <c r="BR87" s="1710">
        <f>IF(OR($C$74=$AR87,$D$74=$AR87),Schweine_Werte!$M87*0.5,IF(OR($C$74&gt;$AR87,$D$74&lt;$AR87),0,Schweine_Werte!$M87))</f>
        <v>0</v>
      </c>
      <c r="BS87" s="1710">
        <f>IF(OR($C$83=$AR87,$D$83=$AR87),Schweine_Werte!$M87*0.5,IF(OR($C$83&gt;$AR87,$D$83&lt;$AR87),0,Schweine_Werte!$M87))</f>
        <v>0</v>
      </c>
      <c r="BT87" s="1714">
        <f>IF(OR($C$92=$AR87,$D$92=$AR87),Schweine_Werte!$M87*0.5,IF(OR($C$92&gt;$AR87,$D$92&lt;$AR87),0,Schweine_Werte!$M87))</f>
        <v>0</v>
      </c>
      <c r="BU87" s="1714">
        <f>IF(OR($C$101=$AR87,$D$101=$AR87),Schweine_Werte!$M87*0.5,IF(OR($C$101&gt;$AR87,$D$101&lt;$AR87),0,Schweine_Werte!$M87))</f>
        <v>0</v>
      </c>
      <c r="BV87" s="1714">
        <f>IF(OR($C$110=$AR87,$D$110=$AR87),Schweine_Werte!$M87*0.5,IF(OR($C$110&gt;$AR87,$D$110&lt;$AR87),0,Schweine_Werte!$M87))</f>
        <v>0</v>
      </c>
      <c r="BW87" s="1714">
        <f>IF(OR(8=$AR87,$E$127=$AR87),Schweine_Werte!$M87*0.5,IF(OR(8&gt;$AR87,$E$127&lt;$AR87),0,Schweine_Werte!$M87))</f>
        <v>1.1703978441976977</v>
      </c>
      <c r="BX87" s="1714">
        <f>IF(OR(8=$AR87,$E$145=$AR87),Schweine_Werte!$M87*0.5,IF(OR(8&gt;$AR87,$E$145&lt;$AR87),0,Schweine_Werte!$M87))</f>
        <v>1.1703978441976977</v>
      </c>
      <c r="BY87" s="1710">
        <f>IF(OR($C$74=$AR87,$D$74=$AR87),Schweine_Werte!$O87*0.5,IF(OR($C$74&gt;$AR87,$D$74&lt;$AR87),0,Schweine_Werte!$O87))</f>
        <v>0</v>
      </c>
      <c r="BZ87" s="1710">
        <f>IF(OR($C$83=$AR87,$D$83=$AR87),Schweine_Werte!$O87*0.5,IF(OR($C$83&gt;$AR87,$D$83&lt;$AR87),0,Schweine_Werte!$O87))</f>
        <v>0</v>
      </c>
      <c r="CA87" s="1714">
        <f>IF(OR($C$92=$AR87,$D$92=$AR87),Schweine_Werte!$O87*0.5,IF(OR($C$92&gt;$AR87,$D$92&lt;$AR87),0,Schweine_Werte!$O87))</f>
        <v>0</v>
      </c>
      <c r="CB87" s="1714">
        <f>IF(OR($C$101=$AR87,$D$101=$AR87),Schweine_Werte!$O87*0.5,IF(OR($C$101&gt;$AR87,$D$101&lt;$AR87),0,Schweine_Werte!$O87))</f>
        <v>0</v>
      </c>
      <c r="CC87" s="1714">
        <f>IF(OR($C$110=$AR87,$D$110=$AR87),Schweine_Werte!$O87*0.5,IF(OR($C$110&gt;$AR87,$D$110&lt;$AR87),0,Schweine_Werte!$O87))</f>
        <v>0</v>
      </c>
    </row>
    <row r="88" spans="1:81" x14ac:dyDescent="0.25">
      <c r="B88">
        <v>450</v>
      </c>
      <c r="C88"/>
      <c r="D88" s="885"/>
      <c r="E88" t="e">
        <f>($D92-$C92)*1000/SUM($BT$4:$BT$31)</f>
        <v>#VALUE!</v>
      </c>
      <c r="F88" s="885" t="e">
        <f>SUMPRODUCT($BT$4:$BT$31,Schweine_Werte!$V$4:$V$31)/SUM($BT$4:$BT$31)</f>
        <v>#DIV/0!</v>
      </c>
      <c r="G88" s="885" t="e">
        <f>IF($B92=$A$8,SUMPRODUCT($BT$4:$BT$31,Schweine_Werte!HE$4:HE$31)/SUM($BT$4:$BT$31),IF($B92=$A$7,SUMPRODUCT($BT$4:$BT$31,Schweine_Werte!GQ$4:GQ$31)/SUM($BT$4:$BT$31),IF($B92=$A$6,SUMPRODUCT($BT$4:$BT$31,Schweine_Werte!GC$4:GC$31)/SUM($BT$4:$BT$31),SUMPRODUCT($BT$4:$BT$31,Schweine_Werte!FO$4:FO$31)/SUM($BT$4:$BT$31))))</f>
        <v>#DIV/0!</v>
      </c>
      <c r="H88" s="885" t="e">
        <f>IF($B92=$A$8,SUMPRODUCT($BT$4:$BT$31,Schweine_Werte!HF$4:HF$31)/SUM($BT$4:$BT$31),IF($B92=$A$7,SUMPRODUCT($BT$4:$BT$31,Schweine_Werte!GR$4:GR$31)/SUM($BT$4:$BT$31),IF($B92=$A$6,SUMPRODUCT($BT$4:$BT$31,Schweine_Werte!GD$4:GD$31)/SUM($BT$4:$BT$31),SUMPRODUCT($BT$4:$BT$31,Schweine_Werte!FP$4:FP$31)/SUM($BT$4:$BT$31))))</f>
        <v>#DIV/0!</v>
      </c>
      <c r="I88" s="885" t="e">
        <f>IF($B92=$A$8,SUMPRODUCT($BT$4:$BT$31,Schweine_Werte!HG$4:HG$31)/SUM($BT$4:$BT$31),IF($B92=$A$7,SUMPRODUCT($BT$4:$BT$31,Schweine_Werte!GS$4:GS$31)/SUM($BT$4:$BT$31),IF($B92=$A$6,SUMPRODUCT($BT$4:$BT$31,Schweine_Werte!GE$4:GE$31)/SUM($BT$4:$BT$31),SUMPRODUCT($BT$4:$BT$31,Schweine_Werte!FQ$4:FQ$31)/SUM($BT$4:$BT$31))))</f>
        <v>#DIV/0!</v>
      </c>
      <c r="J88" s="885" t="e">
        <f>SUMPRODUCT($BT$4:$BT$31,Schweine_Werte!$AD$4:$AD$31)/SUM($BT$4:$BT$31)</f>
        <v>#DIV/0!</v>
      </c>
      <c r="K88" s="885" t="e">
        <f>SUMPRODUCT($BT$4:$BT$31,Schweine_Werte!$AL$4:$AL$31)/SUM($BT$4:$BT$31)</f>
        <v>#DIV/0!</v>
      </c>
      <c r="L88" s="885" t="e">
        <f>T88*$F88*365/1000+$J88-$K88</f>
        <v>#DIV/0!</v>
      </c>
      <c r="M88" s="885" t="e">
        <f>U88*$F88*365/1000+$J88-$K88/2</f>
        <v>#DIV/0!</v>
      </c>
      <c r="N88" s="885" t="e">
        <f>V88*$F88*365/1000+$J88</f>
        <v>#DIV/0!</v>
      </c>
      <c r="O88" s="885">
        <f>IF($C92&lt;28,SUM($BT$4:$BT$23)+IF($D92&gt;28,$BT$24*0.5,$BT$24),0)</f>
        <v>0</v>
      </c>
      <c r="P88" s="885">
        <f>IF($D92&gt;28,SUM($BT$25:$BT$31)+IF($C92&lt;28,$BT$24*0.5,$BT$24),0)</f>
        <v>0</v>
      </c>
      <c r="Q88" s="885" t="e">
        <f t="shared" ref="Q88:S89" si="21">+T88*$F88</f>
        <v>#DIV/0!</v>
      </c>
      <c r="R88" s="885" t="e">
        <f t="shared" si="21"/>
        <v>#DIV/0!</v>
      </c>
      <c r="S88" s="885" t="e">
        <f t="shared" si="21"/>
        <v>#DIV/0!</v>
      </c>
      <c r="T88" s="885" t="e">
        <f>+($O88*Schweine_Werte!$HT$15+$P88*Schweine_Werte!$HU$15)/SUM($O88:$P88)</f>
        <v>#DIV/0!</v>
      </c>
      <c r="U88" s="885" t="e">
        <f>+($O88*Schweine_Werte!$HV$15+$P88*Schweine_Werte!$HW$15)/SUM($O88:$P88)</f>
        <v>#DIV/0!</v>
      </c>
      <c r="V88" s="885" t="e">
        <f>+($O88*Schweine_Werte!$HX$15+$P88*Schweine_Werte!$HY$15)/SUM($O88:$P88)</f>
        <v>#DIV/0!</v>
      </c>
      <c r="W88" s="1915" t="e">
        <f>($J88*0.055+T88*0.365*0.86*$F88-$K88*0.018)/L88*100</f>
        <v>#DIV/0!</v>
      </c>
      <c r="X88" s="1915" t="e">
        <f>($J88*0.055+U88*0.365*0.86*$F88-$K88*0.018/2)/M88*100</f>
        <v>#DIV/0!</v>
      </c>
      <c r="Y88" s="885" t="e">
        <f>($J88*0.055+V88*0.365*0.86*$F88)/N88*100</f>
        <v>#DIV/0!</v>
      </c>
      <c r="Z88" s="885" t="e">
        <f>IF($B92=$A$8,SUMPRODUCT($BT$4:$BT$31,Schweine_Werte!$HH$4:$HH$31,Schweine_Werte!$HI$4:$HI$31)/SUMPRODUCT($BT$4:$BT$31,Schweine_Werte!$HH$4:$HH$31),IF($B92=$A$7,SUMPRODUCT($BT$4:$BT$31,Schweine_Werte!$GT$4:$GT$31,Schweine_Werte!$GU$4:$GU$31)/SUMPRODUCT($BT$4:$BT$31,Schweine_Werte!$GT$4:$GT$31),IF($B92=$A$6,SUMPRODUCT($BT$4:$BT$31,Schweine_Werte!$GF$4:$GF$31,Schweine_Werte!$GG$4:$GG$31)/SUMPRODUCT($BT$4:$BT$31,Schweine_Werte!$GF$4:$GF$31),SUMPRODUCT($BT$4:$BT$31,Schweine_Werte!$FR$4:$FR$31,Schweine_Werte!$FS$4:$FS$31)/SUMPRODUCT($BT$4:$BT$31,Schweine_Werte!$FR$4:$FR$31))))</f>
        <v>#DIV/0!</v>
      </c>
      <c r="AA88" s="885"/>
      <c r="AB88" s="885">
        <f>IF($B92=$A$8,SUMIF(Schweine_Werte!$AO$4:$AO$31,$C92,Schweine_Werte!$HI$4:$HI$31),IF($B92=$A$7,SUMIF(Schweine_Werte!$AO$4:$AO$31,$C92,Schweine_Werte!$GU$4:$GU$31),IF($B92=$A$6,SUMIF(Schweine_Werte!$AO$4:$AO$31,$C92,Schweine_Werte!$GG$4:$GG$31),SUMIF(Schweine_Werte!$AO$4:$AO$31,$C92,Schweine_Werte!$FS$4:$FS$31))))</f>
        <v>0</v>
      </c>
      <c r="AC88" s="885"/>
      <c r="AD88" s="885">
        <f>IF($B92=$A$8,SUMIF(Schweine_Werte!$AO$4:$AO$31,$D92,Schweine_Werte!$HI$4:$HI$31),IF($B92=$A$7,SUMIF(Schweine_Werte!$AO$4:$AO$31,$D92,Schweine_Werte!$GU$4:$GU$31),IF($B92=$A$6,SUMIF(Schweine_Werte!$AO$4:$AO$31,$D92,Schweine_Werte!$GG$4:$GG$31),SUMIF(Schweine_Werte!$AO$4:$AO$31,$D92,Schweine_Werte!$FS$4:$FS$31))))</f>
        <v>0</v>
      </c>
      <c r="AE88" s="885"/>
      <c r="AF88" s="885"/>
      <c r="AG88" s="885" t="e">
        <f>IF($B92=$A$8,SUMPRODUCT($BT$4:$BT$31,Schweine_Werte!$HH$4:$HH$31)/SUM($BT$4:$BT$31),IF($B92=$A$7,SUMPRODUCT($BT$4:$BT$31,Schweine_Werte!$GT$4:$GT$31)/SUM($BT$4:$BT$31),IF($B92=$A$6,SUMPRODUCT($BT$4:$BT$31,Schweine_Werte!$GF$4:$GF$31)/SUM($BT$4:$BT$31),SUMPRODUCT($BT$4:$BT$31,Schweine_Werte!$FR$4:$FR$31)/SUM($BT$4:$BT$31))))</f>
        <v>#DIV/0!</v>
      </c>
      <c r="AH88" s="885"/>
      <c r="AI88" s="885"/>
      <c r="AJ88" s="885" t="e">
        <f>IF($B92=$A$8,SUMPRODUCT($BT$4:$BT$31,Schweine_Werte!$HH$4:$HH$31,Schweine_Werte!$HJ$4:$HJ$31)/SUMPRODUCT($BT$4:$BT$31,Schweine_Werte!$HH$4:$HH$31),IF($B92=$A$7,SUMPRODUCT($BT$4:$BT$31,Schweine_Werte!$GT$4:$GT$31,Schweine_Werte!$GV$4:$GV$31)/SUMPRODUCT($BT$4:$BT$31,Schweine_Werte!$GT$4:$GT$31),IF($B92=$A$6,SUMPRODUCT($BT$4:$BT$31,Schweine_Werte!$GF$4:$GF$31,Schweine_Werte!$GH$4:$GH$31)/SUMPRODUCT($BT$4:$BT$31,Schweine_Werte!$GF$4:$GF$31),SUMPRODUCT($BT$4:$BT$31,Schweine_Werte!$FR$4:$FR$31,Schweine_Werte!$FT$4:$FT$31)/SUMPRODUCT($BT$4:$BT$31,Schweine_Werte!$FR$4:$FR$31))))</f>
        <v>#DIV/0!</v>
      </c>
      <c r="AK88" s="885"/>
      <c r="AL88" s="885">
        <f>IF($B92=$A$8,SUMIF(Schweine_Werte!$AO$4:$AO$31,$C92,Schweine_Werte!$HJ$4:$HJ$31),IF($B92=$A$7,SUMIF(Schweine_Werte!$AO$4:$AO$31,$C92,Schweine_Werte!$GV$4:$GV$31),IF($B92=$A$6,SUMIF(Schweine_Werte!$AO$4:$AO$31,$C92,Schweine_Werte!$GH$4:$GH$31),SUMIF(Schweine_Werte!$AO$4:$AO$31,$C92,Schweine_Werte!$FT$4:$FT$31))))</f>
        <v>0</v>
      </c>
      <c r="AM88" s="885"/>
      <c r="AN88" s="885">
        <f>IF($B92=$A$8,SUMIF(Schweine_Werte!$AO$4:$AO$31,$D92,Schweine_Werte!$HJ$4:$HJ$31),IF($B92=$A$7,SUMIF(Schweine_Werte!$AO$4:$AO$31,$D92,Schweine_Werte!$GV$4:$GV$31),IF($B92=$A$6,SUMIF(Schweine_Werte!$AO$4:$AO$31,$D92,Schweine_Werte!$GH$4:$GH$31),SUMIF(Schweine_Werte!$AO$4:$AO$31,$D92,Schweine_Werte!$FT$4:$FT$31))))</f>
        <v>0</v>
      </c>
      <c r="AO88" s="885"/>
      <c r="AR88" s="1733">
        <v>92</v>
      </c>
      <c r="AS88" s="1710">
        <f>IF(OR($C$12=$AR88,$D$12=$AR88),Schweine_Werte!$C88*0.5,IF(OR($C$12&gt;$AR88,$D$12&lt;$AR88),0,Schweine_Werte!$C88))</f>
        <v>0</v>
      </c>
      <c r="AT88" s="1713">
        <f>IF(OR($C$24=$AR88,$D$24=$AR88),Schweine_Werte!$C88*0.5,IF(OR($C$24&gt;$AR88,$D$24&lt;$AR88),0,Schweine_Werte!$C88))</f>
        <v>0</v>
      </c>
      <c r="AU88" s="1710">
        <f>IF(OR($C$36=$AR88,$D$36=$AR88),Schweine_Werte!$C88*0.5,IF(OR($C$36&gt;$AR88,$D$36&lt;$AR88),0,Schweine_Werte!$C88))</f>
        <v>0</v>
      </c>
      <c r="AV88" s="1710">
        <f>IF(OR($C$48=$AR88,$D$48=$AR88),Schweine_Werte!$C88*0.5,IF(OR($C$48&gt;$AR88,$D$48&lt;$AR88),0,Schweine_Werte!$C88))</f>
        <v>0</v>
      </c>
      <c r="AW88" s="1710">
        <f>IF(OR($C$60=$AR88,$D$60=$AR88),Schweine_Werte!$C88*0.5,IF(OR($C$60&gt;$AR88,$D$60&lt;$AR88),0,Schweine_Werte!$C88))</f>
        <v>0</v>
      </c>
      <c r="AX88" s="1710">
        <f>IF(OR($C$12=$AR88,$D$12=$AR88),Schweine_Werte!$E88*0.5,IF(OR($C$12&gt;$AR88,$D$12&lt;$AR88),0,Schweine_Werte!$E88))</f>
        <v>0</v>
      </c>
      <c r="AY88" s="1713">
        <f>IF(OR($C$24=$AR88,$D$24=$AR88),Schweine_Werte!$E88*0.5,IF(OR($C$24&gt;$AR88,$D$24&lt;$AR88),0,Schweine_Werte!$E88))</f>
        <v>0</v>
      </c>
      <c r="AZ88" s="1713">
        <f>IF(OR($C$36=$AR88,$D$36=$AR88),Schweine_Werte!$E88*0.5,IF(OR($C$36&gt;$AR88,$D$36&lt;$AR88),0,Schweine_Werte!$E88))</f>
        <v>0</v>
      </c>
      <c r="BA88" s="1713">
        <f>IF(OR($C$48=$AR88,$D$48=$AR88),Schweine_Werte!$E88*0.5,IF(OR($C$48&gt;$AR88,$D$48&lt;$AR88),0,Schweine_Werte!$E88))</f>
        <v>0</v>
      </c>
      <c r="BB88" s="1713">
        <f>IF(OR($C$60=$AR88,$D$60=$AR88),Schweine_Werte!$E88*0.5,IF(OR($C$60&gt;$AR88,$D$60&lt;$AR88),0,Schweine_Werte!$E88))</f>
        <v>0</v>
      </c>
      <c r="BC88" s="1710">
        <f>IF(OR($C$12=$AR88,$D$12=$AR88),Schweine_Werte!$G88*0.5,IF(OR($C$12&gt;$AR88,$D$12&lt;$AR88),0,Schweine_Werte!$G88))</f>
        <v>0</v>
      </c>
      <c r="BD88" s="1713">
        <f>IF(OR($C$24=$AR88,$D$24=$AR88),Schweine_Werte!$G88*0.5,IF(OR($C$24&gt;$AR88,$D$24&lt;$AR88),0,Schweine_Werte!$G88))</f>
        <v>0</v>
      </c>
      <c r="BE88" s="1713">
        <f>IF(OR($C$36=$AR88,$D$36=$AR88),Schweine_Werte!$G88*0.5,IF(OR($C$36&gt;$AR88,$D$36&lt;$AR88),0,Schweine_Werte!$G88))</f>
        <v>0</v>
      </c>
      <c r="BF88" s="1713">
        <f>IF(OR($C$48=$AR88,$D$48=$AR88),Schweine_Werte!$G88*0.5,IF(OR($C$48&gt;$AR88,$D$48&lt;$AR88),0,Schweine_Werte!$G88))</f>
        <v>0</v>
      </c>
      <c r="BG88" s="1713">
        <f>IF(OR($C$60=$AR88,$D$60=$AR88),Schweine_Werte!$G88*0.5,IF(OR($C$60&gt;$AR88,$D$60&lt;$AR88),0,Schweine_Werte!$G88))</f>
        <v>0</v>
      </c>
      <c r="BH88" s="1710">
        <f>IF(OR($C$12=$AR88,$D$12=$AR88),Schweine_Werte!$I88*0.5,IF(OR($C$12&gt;$AR88,$D$12&lt;$AR88),0,Schweine_Werte!$I88))</f>
        <v>0</v>
      </c>
      <c r="BI88" s="1713">
        <f>IF(OR($C$24=$AR88,$D$24=$AR88),Schweine_Werte!$I88*0.5,IF(OR($C$24&gt;$AR88,$D$24&lt;$AR88),0,Schweine_Werte!$I88))</f>
        <v>0</v>
      </c>
      <c r="BJ88" s="1713">
        <f>IF(OR($C$36=$AR88,$D$36=$AR88),Schweine_Werte!$I88*0.5,IF(OR($C$36&gt;$AR88,$D$36&lt;$AR88),0,Schweine_Werte!$I88))</f>
        <v>0</v>
      </c>
      <c r="BK88" s="1713">
        <f>IF(OR($C$48=$AR88,$D$48=$AR88),Schweine_Werte!$I88*0.5,IF(OR($C$48&gt;$AR88,$D$48&lt;$AR88),0,Schweine_Werte!$I88))</f>
        <v>0</v>
      </c>
      <c r="BL88" s="1713">
        <f>IF(OR($C$60=$AR88,$D$60=$AR88),Schweine_Werte!$I88*0.5,IF(OR($C$60&gt;$AR88,$D$60&lt;$AR88),0,Schweine_Werte!$I88))</f>
        <v>0</v>
      </c>
      <c r="BM88" s="1710">
        <f>IF(OR($C$12=$AR88,$D$12=$AR88),Schweine_Werte!$K88*0.5,IF(OR($C$12&gt;$AR88,$D$12&lt;$AR88),0,Schweine_Werte!$K88))</f>
        <v>0</v>
      </c>
      <c r="BN88" s="1713">
        <f>IF(OR($C$24=$AR88,$D$24=$AR88),Schweine_Werte!$K88*0.5,IF(OR($C$24&gt;$AR88,$D$24&lt;$AR88),0,Schweine_Werte!$K88))</f>
        <v>0</v>
      </c>
      <c r="BO88" s="1713">
        <f>IF(OR($C$36=$AR88,$D$36=$AR88),Schweine_Werte!$K88*0.5,IF(OR($C$36&gt;$AR88,$D$36&lt;$AR88),0,Schweine_Werte!$K88))</f>
        <v>0</v>
      </c>
      <c r="BP88" s="1713">
        <f>IF(OR($C$48=$AR88,$D$48=$AR88),Schweine_Werte!$K88*0.5,IF(OR($C$48&gt;$AR88,$D$48&lt;$AR88),0,Schweine_Werte!$K88))</f>
        <v>0</v>
      </c>
      <c r="BQ88" s="1713">
        <f>IF(OR($C$60=$AR88,$D$60=$AR88),Schweine_Werte!$K88*0.5,IF(OR($C$60&gt;$AR88,$D$60&lt;$AR88),0,Schweine_Werte!$K88))</f>
        <v>0</v>
      </c>
      <c r="BR88" s="1710">
        <f>IF(OR($C$74=$AR88,$D$74=$AR88),Schweine_Werte!$M88*0.5,IF(OR($C$74&gt;$AR88,$D$74&lt;$AR88),0,Schweine_Werte!$M88))</f>
        <v>0</v>
      </c>
      <c r="BS88" s="1710">
        <f>IF(OR($C$83=$AR88,$D$83=$AR88),Schweine_Werte!$M88*0.5,IF(OR($C$83&gt;$AR88,$D$83&lt;$AR88),0,Schweine_Werte!$M88))</f>
        <v>0</v>
      </c>
      <c r="BT88" s="1714">
        <f>IF(OR($C$92=$AR88,$D$92=$AR88),Schweine_Werte!$M88*0.5,IF(OR($C$92&gt;$AR88,$D$92&lt;$AR88),0,Schweine_Werte!$M88))</f>
        <v>0</v>
      </c>
      <c r="BU88" s="1714">
        <f>IF(OR($C$101=$AR88,$D$101=$AR88),Schweine_Werte!$M88*0.5,IF(OR($C$101&gt;$AR88,$D$101&lt;$AR88),0,Schweine_Werte!$M88))</f>
        <v>0</v>
      </c>
      <c r="BV88" s="1714">
        <f>IF(OR($C$110=$AR88,$D$110=$AR88),Schweine_Werte!$M88*0.5,IF(OR($C$110&gt;$AR88,$D$110&lt;$AR88),0,Schweine_Werte!$M88))</f>
        <v>0</v>
      </c>
      <c r="BW88" s="1714">
        <f>IF(OR(8=$AR88,$E$127=$AR88),Schweine_Werte!$M88*0.5,IF(OR(8&gt;$AR88,$E$127&lt;$AR88),0,Schweine_Werte!$M88))</f>
        <v>1.1781706701533199</v>
      </c>
      <c r="BX88" s="1714">
        <f>IF(OR(8=$AR88,$E$145=$AR88),Schweine_Werte!$M88*0.5,IF(OR(8&gt;$AR88,$E$145&lt;$AR88),0,Schweine_Werte!$M88))</f>
        <v>1.1781706701533199</v>
      </c>
      <c r="BY88" s="1710">
        <f>IF(OR($C$74=$AR88,$D$74=$AR88),Schweine_Werte!$O88*0.5,IF(OR($C$74&gt;$AR88,$D$74&lt;$AR88),0,Schweine_Werte!$O88))</f>
        <v>0</v>
      </c>
      <c r="BZ88" s="1710">
        <f>IF(OR($C$83=$AR88,$D$83=$AR88),Schweine_Werte!$O88*0.5,IF(OR($C$83&gt;$AR88,$D$83&lt;$AR88),0,Schweine_Werte!$O88))</f>
        <v>0</v>
      </c>
      <c r="CA88" s="1714">
        <f>IF(OR($C$92=$AR88,$D$92=$AR88),Schweine_Werte!$O88*0.5,IF(OR($C$92&gt;$AR88,$D$92&lt;$AR88),0,Schweine_Werte!$O88))</f>
        <v>0</v>
      </c>
      <c r="CB88" s="1714">
        <f>IF(OR($C$101=$AR88,$D$101=$AR88),Schweine_Werte!$O88*0.5,IF(OR($C$101&gt;$AR88,$D$101&lt;$AR88),0,Schweine_Werte!$O88))</f>
        <v>0</v>
      </c>
      <c r="CC88" s="1714">
        <f>IF(OR($C$110=$AR88,$D$110=$AR88),Schweine_Werte!$O88*0.5,IF(OR($C$110&gt;$AR88,$D$110&lt;$AR88),0,Schweine_Werte!$O88))</f>
        <v>0</v>
      </c>
    </row>
    <row r="89" spans="1:81" x14ac:dyDescent="0.25">
      <c r="B89">
        <v>500</v>
      </c>
      <c r="C89"/>
      <c r="D89" s="885"/>
      <c r="E89" t="e">
        <f>($D92-$C92)*1000/SUM($CA$4:$CA$31)</f>
        <v>#VALUE!</v>
      </c>
      <c r="F89" s="885" t="e">
        <f>SUMPRODUCT($CA$4:$CA$31,Schweine_Werte!$W$4:$W$31)/SUM($CA$4:$CA$31)</f>
        <v>#DIV/0!</v>
      </c>
      <c r="G89" s="885" t="e">
        <f>IF($B92=$A$8,SUMPRODUCT($CA$4:$CA$31,Schweine_Werte!HK$4:HK$31)/SUM($CA$4:$CA$31),IF($B92=$A$7,SUMPRODUCT($CA$4:$CA$31,Schweine_Werte!GW$4:GW$31)/SUM($CA$4:$CA$31),IF($B92=$A$6,SUMPRODUCT($CA$4:$CA$31,Schweine_Werte!GI$4:GI$31)/SUM($CA$4:$CA$31),SUMPRODUCT($CA$4:$CA$31,Schweine_Werte!FU$4:FU$31)/SUM($CA$4:$CA$31))))</f>
        <v>#DIV/0!</v>
      </c>
      <c r="H89" s="885" t="e">
        <f>IF($B92=$A$8,SUMPRODUCT($CA$4:$CA$31,Schweine_Werte!HL$4:HL$31)/SUM($CA$4:$CA$31),IF($B92=$A$7,SUMPRODUCT($CA$4:$CA$31,Schweine_Werte!GX$4:GX$31)/SUM($CA$4:$CA$31),IF($B92=$A$6,SUMPRODUCT($CA$4:$CA$31,Schweine_Werte!GJ$4:GJ$31)/SUM($CA$4:$CA$31),SUMPRODUCT($CA$4:$CA$31,Schweine_Werte!FV$4:FV$31)/SUM($CA$4:$CA$31))))</f>
        <v>#DIV/0!</v>
      </c>
      <c r="I89" s="885" t="e">
        <f>IF($B92=$A$8,SUMPRODUCT($CA$4:$CA$31,Schweine_Werte!HM$4:HM$31)/SUM($CA$4:$CA$31),IF($B92=$A$7,SUMPRODUCT($CA$4:$CA$31,Schweine_Werte!GY$4:GY$31)/SUM($CA$4:$CA$31),IF($B92=$A$6,SUMPRODUCT($CA$4:$CA$31,Schweine_Werte!GK$4:GK$31)/SUM($CA$4:$CA$31),SUMPRODUCT($CA$4:$CA$31,Schweine_Werte!FW$4:FW$31)/SUM($CA$4:$CA$31))))</f>
        <v>#DIV/0!</v>
      </c>
      <c r="J89" s="885" t="e">
        <f>SUMPRODUCT($CA$4:$CA$31,Schweine_Werte!$AE$4:$AE$31)/SUM($CA$4:$CA$31)</f>
        <v>#DIV/0!</v>
      </c>
      <c r="K89" s="885" t="e">
        <f>SUMPRODUCT($CA$4:$CA$31,Schweine_Werte!$AM$4:$AM$31)/SUM($CA$4:$CA$31)</f>
        <v>#DIV/0!</v>
      </c>
      <c r="L89" s="885" t="e">
        <f>T89*$F89*365/1000+$J89-$K89</f>
        <v>#DIV/0!</v>
      </c>
      <c r="M89" s="885" t="e">
        <f>U89*$F89*365/1000+$J89-$K89/2</f>
        <v>#DIV/0!</v>
      </c>
      <c r="N89" s="885" t="e">
        <f>V89*$F89*365/1000+$J89</f>
        <v>#DIV/0!</v>
      </c>
      <c r="O89" s="885">
        <f>IF($C92&lt;28,SUM($CA$4:$CA$23)+IF($D92&gt;28,$CA$24*0.5,$CA$24),0)</f>
        <v>0</v>
      </c>
      <c r="P89" s="885">
        <f>IF($D92&gt;28,SUM($CA$25:$CA$31)+IF($C92&lt;28,$CA$24*0.5,$CA$24),0)</f>
        <v>0</v>
      </c>
      <c r="Q89" s="885" t="e">
        <f t="shared" si="21"/>
        <v>#DIV/0!</v>
      </c>
      <c r="R89" s="885" t="e">
        <f t="shared" si="21"/>
        <v>#DIV/0!</v>
      </c>
      <c r="S89" s="885" t="e">
        <f t="shared" si="21"/>
        <v>#DIV/0!</v>
      </c>
      <c r="T89" s="885" t="e">
        <f>+($O89*Schweine_Werte!$HT$16+$P89*Schweine_Werte!$HU$16)/SUM($O89:$P89)</f>
        <v>#DIV/0!</v>
      </c>
      <c r="U89" s="885" t="e">
        <f>+($O89*Schweine_Werte!$HV$16+$P89*Schweine_Werte!$HW$16)/SUM($O89:$P89)</f>
        <v>#DIV/0!</v>
      </c>
      <c r="V89" s="885" t="e">
        <f>+($O89*Schweine_Werte!$HX$16+$P89*Schweine_Werte!$HY$16)/SUM($O89:$P89)</f>
        <v>#DIV/0!</v>
      </c>
      <c r="W89" s="885" t="e">
        <f>($J89*0.055+T89*0.365*0.86*$F89-$K89*0.018)/L89*100</f>
        <v>#DIV/0!</v>
      </c>
      <c r="X89" s="885" t="e">
        <f>($J89*0.055+U89*0.365*0.86*$F89-$K89*0.018/2)/M89*100</f>
        <v>#DIV/0!</v>
      </c>
      <c r="Y89" s="885" t="e">
        <f>($J89*0.055+V89*0.365*0.86*$F89)/N89*100</f>
        <v>#DIV/0!</v>
      </c>
      <c r="Z89" s="885" t="e">
        <f>IF($B92=$A$8,SUMPRODUCT($CA$4:$CA$31,Schweine_Werte!$HN$4:$HN$31,Schweine_Werte!$HO$4:$HO$31)/SUMPRODUCT($CA$4:$CA$31,Schweine_Werte!$HN$4:$HN$31),IF($B92=$A$7,SUMPRODUCT($CA$4:$CA$31,Schweine_Werte!$GZ$4:$GZ$31,Schweine_Werte!$HA$4:$HA$31)/SUMPRODUCT($CA$4:$CA$31,Schweine_Werte!$GZ$4:$GZ$31),IF($B92=$A$6,SUMPRODUCT($CA$4:$CA$31,Schweine_Werte!$GL$4:$GL$31,Schweine_Werte!$GM$4:$GM$31)/SUMPRODUCT($CA$4:$CA$31,Schweine_Werte!$GL$4:$GL$31),SUMPRODUCT($CA$4:$CA$31,Schweine_Werte!$FX$4:$FX$31,Schweine_Werte!$FY$4:$FY$31)/SUMPRODUCT($CA$4:$CA$31,Schweine_Werte!$FX$4:$FX$31))))</f>
        <v>#DIV/0!</v>
      </c>
      <c r="AA89" s="885"/>
      <c r="AB89" s="885">
        <f>IF($B92=$A$8,SUMIF(Schweine_Werte!$AO$4:$AO$31,$C92,Schweine_Werte!$HO$4:$HO$31),IF($B92=$A$7,SUMIF(Schweine_Werte!$AO$4:$AO$31,$C92,Schweine_Werte!$HA$4:$HA$31),IF($B92=$A$6,SUMIF(Schweine_Werte!$AO$4:$AO$31,$C92,Schweine_Werte!$GM$4:$GM$31),SUMIF(Schweine_Werte!$AO$4:$AO$31,$C92,Schweine_Werte!$FY$4:$FY$31))))</f>
        <v>0</v>
      </c>
      <c r="AC89" s="885"/>
      <c r="AD89" s="885">
        <f>IF($B92=$A$8,SUMIF(Schweine_Werte!$AO$4:$AO$31,$D92,Schweine_Werte!$HO$4:$HO$31),IF($B92=$A$7,SUMIF(Schweine_Werte!$AO$4:$AO$31,$D92,Schweine_Werte!$HA$4:$HA$31),IF($B92=$A$6,SUMIF(Schweine_Werte!$AO$4:$AO$31,$D92,Schweine_Werte!$GM$4:$GM$31),SUMIF(Schweine_Werte!$AO$4:$AO$31,$D92,Schweine_Werte!$FY$4:$FY$31))))</f>
        <v>0</v>
      </c>
      <c r="AE89" s="885"/>
      <c r="AF89" s="885"/>
      <c r="AG89" s="885" t="e">
        <f>IF($B92=$A$8,SUMPRODUCT($CA$4:$CA$31,Schweine_Werte!$HN$4:$HN$31)/SUM($CA$4:$CA$31),IF($B92=$A$7,SUMPRODUCT($CA$4:$CA$31,Schweine_Werte!$GZ$4:$GZ$31)/SUM($CA$4:$CA$31),IF($B92=$A$6,SUMPRODUCT($CA$4:$CA$31,Schweine_Werte!$GL$4:$GL$31)/SUM($CA$4:$CA$31),SUMPRODUCT($CA$4:$CA$31,Schweine_Werte!$FX$4:$FX$31)/SUM($CA$4:$CA$31))))</f>
        <v>#DIV/0!</v>
      </c>
      <c r="AH89" s="885"/>
      <c r="AI89" s="885"/>
      <c r="AJ89" s="885" t="e">
        <f>IF($B92=$A$8,SUMPRODUCT($CA$4:$CA$31,Schweine_Werte!$HN$4:$HN$31,Schweine_Werte!$HP$4:$HP$31)/SUMPRODUCT($CA$4:$CA$31,Schweine_Werte!$HN$4:$HN$31),IF($B92=$A$7,SUMPRODUCT($CA$4:$CA$31,Schweine_Werte!$GZ$4:$GZ$31,Schweine_Werte!$HB$4:$HB$31)/SUMPRODUCT($CA$4:$CA$31,Schweine_Werte!$GZ$4:$GZ$31),IF($B92=$A$6,SUMPRODUCT($CA$4:$CA$31,Schweine_Werte!$GL$4:$GL$31,Schweine_Werte!$GN$4:$GN$31)/SUMPRODUCT($CA$4:$CA$31,Schweine_Werte!$GL$4:$GL$31),SUMPRODUCT($CA$4:$CA$31,Schweine_Werte!$FX$4:$FX$31,Schweine_Werte!$FZ$4:$FZ$31)/SUMPRODUCT($CA$4:$CA$31,Schweine_Werte!$FX$4:$FX$31))))</f>
        <v>#DIV/0!</v>
      </c>
      <c r="AK89" s="885"/>
      <c r="AL89" s="885">
        <f>IF($B92=$A$8,SUMIF(Schweine_Werte!$AO$4:$AO$31,$C92,Schweine_Werte!$HP$4:$HP$31),IF($B92=$A$7,SUMIF(Schweine_Werte!$AO$4:$AO$31,$C92,Schweine_Werte!$HB$4:$HB$31),IF($B92=$A$6,SUMIF(Schweine_Werte!$AO$4:$AO$31,$C92,Schweine_Werte!$GN$4:$GN$31),SUMIF(Schweine_Werte!$AO$4:$AO$31,$C92,Schweine_Werte!$FZ$4:$FZ$31))))</f>
        <v>0</v>
      </c>
      <c r="AM89" s="885"/>
      <c r="AN89" s="885">
        <f>IF($B92=$A$8,SUMIF(Schweine_Werte!$AO$4:$AO$31,$D92,Schweine_Werte!$HP$4:$HP$31),IF($B92=$A$7,SUMIF(Schweine_Werte!$AO$4:$AO$31,$D92,Schweine_Werte!$HB$4:$HB$31),IF($B92=$A$6,SUMIF(Schweine_Werte!$AO$4:$AO$31,$D92,Schweine_Werte!$GN$4:$GN$31),SUMIF(Schweine_Werte!$AO$4:$AO$31,$D92,Schweine_Werte!$FZ$4:$FZ$31))))</f>
        <v>0</v>
      </c>
      <c r="AO89" s="885"/>
      <c r="AR89" s="1733">
        <v>93</v>
      </c>
      <c r="AS89" s="1710">
        <f>IF(OR($C$12=$AR89,$D$12=$AR89),Schweine_Werte!$C89*0.5,IF(OR($C$12&gt;$AR89,$D$12&lt;$AR89),0,Schweine_Werte!$C89))</f>
        <v>0</v>
      </c>
      <c r="AT89" s="1713">
        <f>IF(OR($C$24=$AR89,$D$24=$AR89),Schweine_Werte!$C89*0.5,IF(OR($C$24&gt;$AR89,$D$24&lt;$AR89),0,Schweine_Werte!$C89))</f>
        <v>0</v>
      </c>
      <c r="AU89" s="1710">
        <f>IF(OR($C$36=$AR89,$D$36=$AR89),Schweine_Werte!$C89*0.5,IF(OR($C$36&gt;$AR89,$D$36&lt;$AR89),0,Schweine_Werte!$C89))</f>
        <v>0</v>
      </c>
      <c r="AV89" s="1710">
        <f>IF(OR($C$48=$AR89,$D$48=$AR89),Schweine_Werte!$C89*0.5,IF(OR($C$48&gt;$AR89,$D$48&lt;$AR89),0,Schweine_Werte!$C89))</f>
        <v>0</v>
      </c>
      <c r="AW89" s="1710">
        <f>IF(OR($C$60=$AR89,$D$60=$AR89),Schweine_Werte!$C89*0.5,IF(OR($C$60&gt;$AR89,$D$60&lt;$AR89),0,Schweine_Werte!$C89))</f>
        <v>0</v>
      </c>
      <c r="AX89" s="1710">
        <f>IF(OR($C$12=$AR89,$D$12=$AR89),Schweine_Werte!$E89*0.5,IF(OR($C$12&gt;$AR89,$D$12&lt;$AR89),0,Schweine_Werte!$E89))</f>
        <v>0</v>
      </c>
      <c r="AY89" s="1713">
        <f>IF(OR($C$24=$AR89,$D$24=$AR89),Schweine_Werte!$E89*0.5,IF(OR($C$24&gt;$AR89,$D$24&lt;$AR89),0,Schweine_Werte!$E89))</f>
        <v>0</v>
      </c>
      <c r="AZ89" s="1713">
        <f>IF(OR($C$36=$AR89,$D$36=$AR89),Schweine_Werte!$E89*0.5,IF(OR($C$36&gt;$AR89,$D$36&lt;$AR89),0,Schweine_Werte!$E89))</f>
        <v>0</v>
      </c>
      <c r="BA89" s="1713">
        <f>IF(OR($C$48=$AR89,$D$48=$AR89),Schweine_Werte!$E89*0.5,IF(OR($C$48&gt;$AR89,$D$48&lt;$AR89),0,Schweine_Werte!$E89))</f>
        <v>0</v>
      </c>
      <c r="BB89" s="1713">
        <f>IF(OR($C$60=$AR89,$D$60=$AR89),Schweine_Werte!$E89*0.5,IF(OR($C$60&gt;$AR89,$D$60&lt;$AR89),0,Schweine_Werte!$E89))</f>
        <v>0</v>
      </c>
      <c r="BC89" s="1710">
        <f>IF(OR($C$12=$AR89,$D$12=$AR89),Schweine_Werte!$G89*0.5,IF(OR($C$12&gt;$AR89,$D$12&lt;$AR89),0,Schweine_Werte!$G89))</f>
        <v>0</v>
      </c>
      <c r="BD89" s="1713">
        <f>IF(OR($C$24=$AR89,$D$24=$AR89),Schweine_Werte!$G89*0.5,IF(OR($C$24&gt;$AR89,$D$24&lt;$AR89),0,Schweine_Werte!$G89))</f>
        <v>0</v>
      </c>
      <c r="BE89" s="1713">
        <f>IF(OR($C$36=$AR89,$D$36=$AR89),Schweine_Werte!$G89*0.5,IF(OR($C$36&gt;$AR89,$D$36&lt;$AR89),0,Schweine_Werte!$G89))</f>
        <v>0</v>
      </c>
      <c r="BF89" s="1713">
        <f>IF(OR($C$48=$AR89,$D$48=$AR89),Schweine_Werte!$G89*0.5,IF(OR($C$48&gt;$AR89,$D$48&lt;$AR89),0,Schweine_Werte!$G89))</f>
        <v>0</v>
      </c>
      <c r="BG89" s="1713">
        <f>IF(OR($C$60=$AR89,$D$60=$AR89),Schweine_Werte!$G89*0.5,IF(OR($C$60&gt;$AR89,$D$60&lt;$AR89),0,Schweine_Werte!$G89))</f>
        <v>0</v>
      </c>
      <c r="BH89" s="1710">
        <f>IF(OR($C$12=$AR89,$D$12=$AR89),Schweine_Werte!$I89*0.5,IF(OR($C$12&gt;$AR89,$D$12&lt;$AR89),0,Schweine_Werte!$I89))</f>
        <v>0</v>
      </c>
      <c r="BI89" s="1713">
        <f>IF(OR($C$24=$AR89,$D$24=$AR89),Schweine_Werte!$I89*0.5,IF(OR($C$24&gt;$AR89,$D$24&lt;$AR89),0,Schweine_Werte!$I89))</f>
        <v>0</v>
      </c>
      <c r="BJ89" s="1713">
        <f>IF(OR($C$36=$AR89,$D$36=$AR89),Schweine_Werte!$I89*0.5,IF(OR($C$36&gt;$AR89,$D$36&lt;$AR89),0,Schweine_Werte!$I89))</f>
        <v>0</v>
      </c>
      <c r="BK89" s="1713">
        <f>IF(OR($C$48=$AR89,$D$48=$AR89),Schweine_Werte!$I89*0.5,IF(OR($C$48&gt;$AR89,$D$48&lt;$AR89),0,Schweine_Werte!$I89))</f>
        <v>0</v>
      </c>
      <c r="BL89" s="1713">
        <f>IF(OR($C$60=$AR89,$D$60=$AR89),Schweine_Werte!$I89*0.5,IF(OR($C$60&gt;$AR89,$D$60&lt;$AR89),0,Schweine_Werte!$I89))</f>
        <v>0</v>
      </c>
      <c r="BM89" s="1710">
        <f>IF(OR($C$12=$AR89,$D$12=$AR89),Schweine_Werte!$K89*0.5,IF(OR($C$12&gt;$AR89,$D$12&lt;$AR89),0,Schweine_Werte!$K89))</f>
        <v>0</v>
      </c>
      <c r="BN89" s="1713">
        <f>IF(OR($C$24=$AR89,$D$24=$AR89),Schweine_Werte!$K89*0.5,IF(OR($C$24&gt;$AR89,$D$24&lt;$AR89),0,Schweine_Werte!$K89))</f>
        <v>0</v>
      </c>
      <c r="BO89" s="1713">
        <f>IF(OR($C$36=$AR89,$D$36=$AR89),Schweine_Werte!$K89*0.5,IF(OR($C$36&gt;$AR89,$D$36&lt;$AR89),0,Schweine_Werte!$K89))</f>
        <v>0</v>
      </c>
      <c r="BP89" s="1713">
        <f>IF(OR($C$48=$AR89,$D$48=$AR89),Schweine_Werte!$K89*0.5,IF(OR($C$48&gt;$AR89,$D$48&lt;$AR89),0,Schweine_Werte!$K89))</f>
        <v>0</v>
      </c>
      <c r="BQ89" s="1713">
        <f>IF(OR($C$60=$AR89,$D$60=$AR89),Schweine_Werte!$K89*0.5,IF(OR($C$60&gt;$AR89,$D$60&lt;$AR89),0,Schweine_Werte!$K89))</f>
        <v>0</v>
      </c>
      <c r="BR89" s="1710">
        <f>IF(OR($C$74=$AR89,$D$74=$AR89),Schweine_Werte!$M89*0.5,IF(OR($C$74&gt;$AR89,$D$74&lt;$AR89),0,Schweine_Werte!$M89))</f>
        <v>0</v>
      </c>
      <c r="BS89" s="1710">
        <f>IF(OR($C$83=$AR89,$D$83=$AR89),Schweine_Werte!$M89*0.5,IF(OR($C$83&gt;$AR89,$D$83&lt;$AR89),0,Schweine_Werte!$M89))</f>
        <v>0</v>
      </c>
      <c r="BT89" s="1714">
        <f>IF(OR($C$92=$AR89,$D$92=$AR89),Schweine_Werte!$M89*0.5,IF(OR($C$92&gt;$AR89,$D$92&lt;$AR89),0,Schweine_Werte!$M89))</f>
        <v>0</v>
      </c>
      <c r="BU89" s="1714">
        <f>IF(OR($C$101=$AR89,$D$101=$AR89),Schweine_Werte!$M89*0.5,IF(OR($C$101&gt;$AR89,$D$101&lt;$AR89),0,Schweine_Werte!$M89))</f>
        <v>0</v>
      </c>
      <c r="BV89" s="1714">
        <f>IF(OR($C$110=$AR89,$D$110=$AR89),Schweine_Werte!$M89*0.5,IF(OR($C$110&gt;$AR89,$D$110&lt;$AR89),0,Schweine_Werte!$M89))</f>
        <v>0</v>
      </c>
      <c r="BW89" s="1714">
        <f>IF(OR(8=$AR89,$E$127=$AR89),Schweine_Werte!$M89*0.5,IF(OR(8&gt;$AR89,$E$127&lt;$AR89),0,Schweine_Werte!$M89))</f>
        <v>1.186462198893864</v>
      </c>
      <c r="BX89" s="1714">
        <f>IF(OR(8=$AR89,$E$145=$AR89),Schweine_Werte!$M89*0.5,IF(OR(8&gt;$AR89,$E$145&lt;$AR89),0,Schweine_Werte!$M89))</f>
        <v>1.186462198893864</v>
      </c>
      <c r="BY89" s="1710">
        <f>IF(OR($C$74=$AR89,$D$74=$AR89),Schweine_Werte!$O89*0.5,IF(OR($C$74&gt;$AR89,$D$74&lt;$AR89),0,Schweine_Werte!$O89))</f>
        <v>0</v>
      </c>
      <c r="BZ89" s="1710">
        <f>IF(OR($C$83=$AR89,$D$83=$AR89),Schweine_Werte!$O89*0.5,IF(OR($C$83&gt;$AR89,$D$83&lt;$AR89),0,Schweine_Werte!$O89))</f>
        <v>0</v>
      </c>
      <c r="CA89" s="1714">
        <f>IF(OR($C$92=$AR89,$D$92=$AR89),Schweine_Werte!$O89*0.5,IF(OR($C$92&gt;$AR89,$D$92&lt;$AR89),0,Schweine_Werte!$O89))</f>
        <v>0</v>
      </c>
      <c r="CB89" s="1714">
        <f>IF(OR($C$101=$AR89,$D$101=$AR89),Schweine_Werte!$O89*0.5,IF(OR($C$101&gt;$AR89,$D$101&lt;$AR89),0,Schweine_Werte!$O89))</f>
        <v>0</v>
      </c>
      <c r="CC89" s="1714">
        <f>IF(OR($C$110=$AR89,$D$110=$AR89),Schweine_Werte!$O89*0.5,IF(OR($C$110&gt;$AR89,$D$110&lt;$AR89),0,Schweine_Werte!$O89))</f>
        <v>0</v>
      </c>
    </row>
    <row r="90" spans="1:81" ht="15.75" x14ac:dyDescent="0.25">
      <c r="F90" s="1716"/>
      <c r="G90" s="3257" t="s">
        <v>8582</v>
      </c>
      <c r="H90" s="3258"/>
      <c r="I90" s="3259"/>
      <c r="J90" s="1717" t="s">
        <v>8096</v>
      </c>
      <c r="K90" s="1717" t="s">
        <v>204</v>
      </c>
      <c r="L90" s="3260" t="s">
        <v>8583</v>
      </c>
      <c r="M90" s="3260"/>
      <c r="N90" s="3260"/>
      <c r="O90" s="3247" t="s">
        <v>8584</v>
      </c>
      <c r="P90" s="3249"/>
      <c r="Q90" s="3247" t="s">
        <v>8585</v>
      </c>
      <c r="R90" s="3248"/>
      <c r="S90" s="3249"/>
      <c r="T90" s="3247" t="s">
        <v>8586</v>
      </c>
      <c r="U90" s="3248"/>
      <c r="V90" s="3249"/>
      <c r="W90" s="3247" t="s">
        <v>8587</v>
      </c>
      <c r="X90" s="3248"/>
      <c r="Y90" s="3249"/>
      <c r="Z90" s="3250" t="s">
        <v>8588</v>
      </c>
      <c r="AA90" s="3250"/>
      <c r="AB90" s="3250" t="s">
        <v>8589</v>
      </c>
      <c r="AC90" s="3250"/>
      <c r="AD90" s="3250" t="s">
        <v>8590</v>
      </c>
      <c r="AE90" s="3250"/>
      <c r="AF90" s="1718" t="s">
        <v>8591</v>
      </c>
      <c r="AG90" s="3254" t="s">
        <v>8592</v>
      </c>
      <c r="AH90" s="3255"/>
      <c r="AI90" s="1719" t="s">
        <v>8611</v>
      </c>
      <c r="AJ90" s="3250" t="s">
        <v>8588</v>
      </c>
      <c r="AK90" s="3250"/>
      <c r="AL90" s="3250" t="s">
        <v>8589</v>
      </c>
      <c r="AM90" s="3250"/>
      <c r="AN90" s="3250" t="s">
        <v>8590</v>
      </c>
      <c r="AO90" s="3250"/>
      <c r="AR90" s="1733">
        <v>94</v>
      </c>
      <c r="AS90" s="1710">
        <f>IF(OR($C$12=$AR90,$D$12=$AR90),Schweine_Werte!$C90*0.5,IF(OR($C$12&gt;$AR90,$D$12&lt;$AR90),0,Schweine_Werte!$C90))</f>
        <v>0</v>
      </c>
      <c r="AT90" s="1713">
        <f>IF(OR($C$24=$AR90,$D$24=$AR90),Schweine_Werte!$C90*0.5,IF(OR($C$24&gt;$AR90,$D$24&lt;$AR90),0,Schweine_Werte!$C90))</f>
        <v>0</v>
      </c>
      <c r="AU90" s="1710">
        <f>IF(OR($C$36=$AR90,$D$36=$AR90),Schweine_Werte!$C90*0.5,IF(OR($C$36&gt;$AR90,$D$36&lt;$AR90),0,Schweine_Werte!$C90))</f>
        <v>0</v>
      </c>
      <c r="AV90" s="1710">
        <f>IF(OR($C$48=$AR90,$D$48=$AR90),Schweine_Werte!$C90*0.5,IF(OR($C$48&gt;$AR90,$D$48&lt;$AR90),0,Schweine_Werte!$C90))</f>
        <v>0</v>
      </c>
      <c r="AW90" s="1710">
        <f>IF(OR($C$60=$AR90,$D$60=$AR90),Schweine_Werte!$C90*0.5,IF(OR($C$60&gt;$AR90,$D$60&lt;$AR90),0,Schweine_Werte!$C90))</f>
        <v>0</v>
      </c>
      <c r="AX90" s="1710">
        <f>IF(OR($C$12=$AR90,$D$12=$AR90),Schweine_Werte!$E90*0.5,IF(OR($C$12&gt;$AR90,$D$12&lt;$AR90),0,Schweine_Werte!$E90))</f>
        <v>0</v>
      </c>
      <c r="AY90" s="1713">
        <f>IF(OR($C$24=$AR90,$D$24=$AR90),Schweine_Werte!$E90*0.5,IF(OR($C$24&gt;$AR90,$D$24&lt;$AR90),0,Schweine_Werte!$E90))</f>
        <v>0</v>
      </c>
      <c r="AZ90" s="1713">
        <f>IF(OR($C$36=$AR90,$D$36=$AR90),Schweine_Werte!$E90*0.5,IF(OR($C$36&gt;$AR90,$D$36&lt;$AR90),0,Schweine_Werte!$E90))</f>
        <v>0</v>
      </c>
      <c r="BA90" s="1713">
        <f>IF(OR($C$48=$AR90,$D$48=$AR90),Schweine_Werte!$E90*0.5,IF(OR($C$48&gt;$AR90,$D$48&lt;$AR90),0,Schweine_Werte!$E90))</f>
        <v>0</v>
      </c>
      <c r="BB90" s="1713">
        <f>IF(OR($C$60=$AR90,$D$60=$AR90),Schweine_Werte!$E90*0.5,IF(OR($C$60&gt;$AR90,$D$60&lt;$AR90),0,Schweine_Werte!$E90))</f>
        <v>0</v>
      </c>
      <c r="BC90" s="1710">
        <f>IF(OR($C$12=$AR90,$D$12=$AR90),Schweine_Werte!$G90*0.5,IF(OR($C$12&gt;$AR90,$D$12&lt;$AR90),0,Schweine_Werte!$G90))</f>
        <v>0</v>
      </c>
      <c r="BD90" s="1713">
        <f>IF(OR($C$24=$AR90,$D$24=$AR90),Schweine_Werte!$G90*0.5,IF(OR($C$24&gt;$AR90,$D$24&lt;$AR90),0,Schweine_Werte!$G90))</f>
        <v>0</v>
      </c>
      <c r="BE90" s="1713">
        <f>IF(OR($C$36=$AR90,$D$36=$AR90),Schweine_Werte!$G90*0.5,IF(OR($C$36&gt;$AR90,$D$36&lt;$AR90),0,Schweine_Werte!$G90))</f>
        <v>0</v>
      </c>
      <c r="BF90" s="1713">
        <f>IF(OR($C$48=$AR90,$D$48=$AR90),Schweine_Werte!$G90*0.5,IF(OR($C$48&gt;$AR90,$D$48&lt;$AR90),0,Schweine_Werte!$G90))</f>
        <v>0</v>
      </c>
      <c r="BG90" s="1713">
        <f>IF(OR($C$60=$AR90,$D$60=$AR90),Schweine_Werte!$G90*0.5,IF(OR($C$60&gt;$AR90,$D$60&lt;$AR90),0,Schweine_Werte!$G90))</f>
        <v>0</v>
      </c>
      <c r="BH90" s="1710">
        <f>IF(OR($C$12=$AR90,$D$12=$AR90),Schweine_Werte!$I90*0.5,IF(OR($C$12&gt;$AR90,$D$12&lt;$AR90),0,Schweine_Werte!$I90))</f>
        <v>0</v>
      </c>
      <c r="BI90" s="1713">
        <f>IF(OR($C$24=$AR90,$D$24=$AR90),Schweine_Werte!$I90*0.5,IF(OR($C$24&gt;$AR90,$D$24&lt;$AR90),0,Schweine_Werte!$I90))</f>
        <v>0</v>
      </c>
      <c r="BJ90" s="1713">
        <f>IF(OR($C$36=$AR90,$D$36=$AR90),Schweine_Werte!$I90*0.5,IF(OR($C$36&gt;$AR90,$D$36&lt;$AR90),0,Schweine_Werte!$I90))</f>
        <v>0</v>
      </c>
      <c r="BK90" s="1713">
        <f>IF(OR($C$48=$AR90,$D$48=$AR90),Schweine_Werte!$I90*0.5,IF(OR($C$48&gt;$AR90,$D$48&lt;$AR90),0,Schweine_Werte!$I90))</f>
        <v>0</v>
      </c>
      <c r="BL90" s="1713">
        <f>IF(OR($C$60=$AR90,$D$60=$AR90),Schweine_Werte!$I90*0.5,IF(OR($C$60&gt;$AR90,$D$60&lt;$AR90),0,Schweine_Werte!$I90))</f>
        <v>0</v>
      </c>
      <c r="BM90" s="1710">
        <f>IF(OR($C$12=$AR90,$D$12=$AR90),Schweine_Werte!$K90*0.5,IF(OR($C$12&gt;$AR90,$D$12&lt;$AR90),0,Schweine_Werte!$K90))</f>
        <v>0</v>
      </c>
      <c r="BN90" s="1713">
        <f>IF(OR($C$24=$AR90,$D$24=$AR90),Schweine_Werte!$K90*0.5,IF(OR($C$24&gt;$AR90,$D$24&lt;$AR90),0,Schweine_Werte!$K90))</f>
        <v>0</v>
      </c>
      <c r="BO90" s="1713">
        <f>IF(OR($C$36=$AR90,$D$36=$AR90),Schweine_Werte!$K90*0.5,IF(OR($C$36&gt;$AR90,$D$36&lt;$AR90),0,Schweine_Werte!$K90))</f>
        <v>0</v>
      </c>
      <c r="BP90" s="1713">
        <f>IF(OR($C$48=$AR90,$D$48=$AR90),Schweine_Werte!$K90*0.5,IF(OR($C$48&gt;$AR90,$D$48&lt;$AR90),0,Schweine_Werte!$K90))</f>
        <v>0</v>
      </c>
      <c r="BQ90" s="1713">
        <f>IF(OR($C$60=$AR90,$D$60=$AR90),Schweine_Werte!$K90*0.5,IF(OR($C$60&gt;$AR90,$D$60&lt;$AR90),0,Schweine_Werte!$K90))</f>
        <v>0</v>
      </c>
      <c r="BR90" s="1710">
        <f>IF(OR($C$74=$AR90,$D$74=$AR90),Schweine_Werte!$M90*0.5,IF(OR($C$74&gt;$AR90,$D$74&lt;$AR90),0,Schweine_Werte!$M90))</f>
        <v>0</v>
      </c>
      <c r="BS90" s="1710">
        <f>IF(OR($C$83=$AR90,$D$83=$AR90),Schweine_Werte!$M90*0.5,IF(OR($C$83&gt;$AR90,$D$83&lt;$AR90),0,Schweine_Werte!$M90))</f>
        <v>0</v>
      </c>
      <c r="BT90" s="1714">
        <f>IF(OR($C$92=$AR90,$D$92=$AR90),Schweine_Werte!$M90*0.5,IF(OR($C$92&gt;$AR90,$D$92&lt;$AR90),0,Schweine_Werte!$M90))</f>
        <v>0</v>
      </c>
      <c r="BU90" s="1714">
        <f>IF(OR($C$101=$AR90,$D$101=$AR90),Schweine_Werte!$M90*0.5,IF(OR($C$101&gt;$AR90,$D$101&lt;$AR90),0,Schweine_Werte!$M90))</f>
        <v>0</v>
      </c>
      <c r="BV90" s="1714">
        <f>IF(OR($C$110=$AR90,$D$110=$AR90),Schweine_Werte!$M90*0.5,IF(OR($C$110&gt;$AR90,$D$110&lt;$AR90),0,Schweine_Werte!$M90))</f>
        <v>0</v>
      </c>
      <c r="BW90" s="1714">
        <f>IF(OR(8=$AR90,$E$127=$AR90),Schweine_Werte!$M90*0.5,IF(OR(8&gt;$AR90,$E$127&lt;$AR90),0,Schweine_Werte!$M90))</f>
        <v>1.1952918899533977</v>
      </c>
      <c r="BX90" s="1714">
        <f>IF(OR(8=$AR90,$E$145=$AR90),Schweine_Werte!$M90*0.5,IF(OR(8&gt;$AR90,$E$145&lt;$AR90),0,Schweine_Werte!$M90))</f>
        <v>1.1952918899533977</v>
      </c>
      <c r="BY90" s="1710">
        <f>IF(OR($C$74=$AR90,$D$74=$AR90),Schweine_Werte!$O90*0.5,IF(OR($C$74&gt;$AR90,$D$74&lt;$AR90),0,Schweine_Werte!$O90))</f>
        <v>0</v>
      </c>
      <c r="BZ90" s="1710">
        <f>IF(OR($C$83=$AR90,$D$83=$AR90),Schweine_Werte!$O90*0.5,IF(OR($C$83&gt;$AR90,$D$83&lt;$AR90),0,Schweine_Werte!$O90))</f>
        <v>0</v>
      </c>
      <c r="CA90" s="1714">
        <f>IF(OR($C$92=$AR90,$D$92=$AR90),Schweine_Werte!$O90*0.5,IF(OR($C$92&gt;$AR90,$D$92&lt;$AR90),0,Schweine_Werte!$O90))</f>
        <v>0</v>
      </c>
      <c r="CB90" s="1714">
        <f>IF(OR($C$101=$AR90,$D$101=$AR90),Schweine_Werte!$O90*0.5,IF(OR($C$101&gt;$AR90,$D$101&lt;$AR90),0,Schweine_Werte!$O90))</f>
        <v>0</v>
      </c>
      <c r="CC90" s="1714">
        <f>IF(OR($C$110=$AR90,$D$110=$AR90),Schweine_Werte!$O90*0.5,IF(OR($C$110&gt;$AR90,$D$110&lt;$AR90),0,Schweine_Werte!$O90))</f>
        <v>0</v>
      </c>
    </row>
    <row r="91" spans="1:81" ht="18.75" x14ac:dyDescent="0.25">
      <c r="B91" s="1720" t="s">
        <v>8594</v>
      </c>
      <c r="C91" s="1721" t="s">
        <v>8595</v>
      </c>
      <c r="D91" s="1721" t="s">
        <v>8596</v>
      </c>
      <c r="E91" s="1721" t="s">
        <v>8597</v>
      </c>
      <c r="F91" s="1722" t="s">
        <v>195</v>
      </c>
      <c r="G91" s="1723" t="s">
        <v>4</v>
      </c>
      <c r="H91" s="1723" t="s">
        <v>8598</v>
      </c>
      <c r="I91" s="1723" t="s">
        <v>8599</v>
      </c>
      <c r="J91" s="1724" t="s">
        <v>8600</v>
      </c>
      <c r="K91" s="1724" t="s">
        <v>8600</v>
      </c>
      <c r="L91" s="1725" t="s">
        <v>35</v>
      </c>
      <c r="M91" s="1725" t="s">
        <v>8601</v>
      </c>
      <c r="N91" s="1725" t="s">
        <v>37</v>
      </c>
      <c r="O91" s="1726" t="s">
        <v>0</v>
      </c>
      <c r="P91" s="1726" t="s">
        <v>9</v>
      </c>
      <c r="Q91" s="1725" t="s">
        <v>35</v>
      </c>
      <c r="R91" s="1725" t="s">
        <v>36</v>
      </c>
      <c r="S91" s="1725" t="s">
        <v>37</v>
      </c>
      <c r="T91" s="1725" t="s">
        <v>35</v>
      </c>
      <c r="U91" s="1725" t="s">
        <v>36</v>
      </c>
      <c r="V91" s="1725" t="s">
        <v>37</v>
      </c>
      <c r="W91" s="1724" t="s">
        <v>8528</v>
      </c>
      <c r="X91" s="1724" t="s">
        <v>8529</v>
      </c>
      <c r="Y91" s="1724" t="s">
        <v>8530</v>
      </c>
      <c r="Z91" s="1727" t="s">
        <v>8602</v>
      </c>
      <c r="AA91" s="1727" t="s">
        <v>8603</v>
      </c>
      <c r="AB91" s="1727" t="s">
        <v>8602</v>
      </c>
      <c r="AC91" s="1727" t="s">
        <v>8603</v>
      </c>
      <c r="AD91" s="1727" t="s">
        <v>8602</v>
      </c>
      <c r="AE91" s="1727" t="s">
        <v>8603</v>
      </c>
      <c r="AF91" s="1727" t="s">
        <v>8604</v>
      </c>
      <c r="AG91" s="1728" t="s">
        <v>8605</v>
      </c>
      <c r="AH91" s="1727" t="s">
        <v>216</v>
      </c>
      <c r="AI91" s="1727"/>
      <c r="AJ91" s="1727" t="s">
        <v>8527</v>
      </c>
      <c r="AK91" s="1727" t="s">
        <v>8606</v>
      </c>
      <c r="AL91" s="1727" t="s">
        <v>8607</v>
      </c>
      <c r="AM91" s="1727" t="s">
        <v>8608</v>
      </c>
      <c r="AN91" s="1727" t="s">
        <v>8607</v>
      </c>
      <c r="AO91" s="1727" t="s">
        <v>8609</v>
      </c>
      <c r="AR91" s="1733">
        <v>95</v>
      </c>
      <c r="AS91" s="1710">
        <f>IF(OR($C$12=$AR91,$D$12=$AR91),Schweine_Werte!$C91*0.5,IF(OR($C$12&gt;$AR91,$D$12&lt;$AR91),0,Schweine_Werte!$C91))</f>
        <v>0</v>
      </c>
      <c r="AT91" s="1713">
        <f>IF(OR($C$24=$AR91,$D$24=$AR91),Schweine_Werte!$C91*0.5,IF(OR($C$24&gt;$AR91,$D$24&lt;$AR91),0,Schweine_Werte!$C91))</f>
        <v>0</v>
      </c>
      <c r="AU91" s="1710">
        <f>IF(OR($C$36=$AR91,$D$36=$AR91),Schweine_Werte!$C91*0.5,IF(OR($C$36&gt;$AR91,$D$36&lt;$AR91),0,Schweine_Werte!$C91))</f>
        <v>0</v>
      </c>
      <c r="AV91" s="1710">
        <f>IF(OR($C$48=$AR91,$D$48=$AR91),Schweine_Werte!$C91*0.5,IF(OR($C$48&gt;$AR91,$D$48&lt;$AR91),0,Schweine_Werte!$C91))</f>
        <v>0</v>
      </c>
      <c r="AW91" s="1710">
        <f>IF(OR($C$60=$AR91,$D$60=$AR91),Schweine_Werte!$C91*0.5,IF(OR($C$60&gt;$AR91,$D$60&lt;$AR91),0,Schweine_Werte!$C91))</f>
        <v>0</v>
      </c>
      <c r="AX91" s="1710">
        <f>IF(OR($C$12=$AR91,$D$12=$AR91),Schweine_Werte!$E91*0.5,IF(OR($C$12&gt;$AR91,$D$12&lt;$AR91),0,Schweine_Werte!$E91))</f>
        <v>0</v>
      </c>
      <c r="AY91" s="1713">
        <f>IF(OR($C$24=$AR91,$D$24=$AR91),Schweine_Werte!$E91*0.5,IF(OR($C$24&gt;$AR91,$D$24&lt;$AR91),0,Schweine_Werte!$E91))</f>
        <v>0</v>
      </c>
      <c r="AZ91" s="1713">
        <f>IF(OR($C$36=$AR91,$D$36=$AR91),Schweine_Werte!$E91*0.5,IF(OR($C$36&gt;$AR91,$D$36&lt;$AR91),0,Schweine_Werte!$E91))</f>
        <v>0</v>
      </c>
      <c r="BA91" s="1713">
        <f>IF(OR($C$48=$AR91,$D$48=$AR91),Schweine_Werte!$E91*0.5,IF(OR($C$48&gt;$AR91,$D$48&lt;$AR91),0,Schweine_Werte!$E91))</f>
        <v>0</v>
      </c>
      <c r="BB91" s="1713">
        <f>IF(OR($C$60=$AR91,$D$60=$AR91),Schweine_Werte!$E91*0.5,IF(OR($C$60&gt;$AR91,$D$60&lt;$AR91),0,Schweine_Werte!$E91))</f>
        <v>0</v>
      </c>
      <c r="BC91" s="1710">
        <f>IF(OR($C$12=$AR91,$D$12=$AR91),Schweine_Werte!$G91*0.5,IF(OR($C$12&gt;$AR91,$D$12&lt;$AR91),0,Schweine_Werte!$G91))</f>
        <v>0</v>
      </c>
      <c r="BD91" s="1713">
        <f>IF(OR($C$24=$AR91,$D$24=$AR91),Schweine_Werte!$G91*0.5,IF(OR($C$24&gt;$AR91,$D$24&lt;$AR91),0,Schweine_Werte!$G91))</f>
        <v>0</v>
      </c>
      <c r="BE91" s="1713">
        <f>IF(OR($C$36=$AR91,$D$36=$AR91),Schweine_Werte!$G91*0.5,IF(OR($C$36&gt;$AR91,$D$36&lt;$AR91),0,Schweine_Werte!$G91))</f>
        <v>0</v>
      </c>
      <c r="BF91" s="1713">
        <f>IF(OR($C$48=$AR91,$D$48=$AR91),Schweine_Werte!$G91*0.5,IF(OR($C$48&gt;$AR91,$D$48&lt;$AR91),0,Schweine_Werte!$G91))</f>
        <v>0</v>
      </c>
      <c r="BG91" s="1713">
        <f>IF(OR($C$60=$AR91,$D$60=$AR91),Schweine_Werte!$G91*0.5,IF(OR($C$60&gt;$AR91,$D$60&lt;$AR91),0,Schweine_Werte!$G91))</f>
        <v>0</v>
      </c>
      <c r="BH91" s="1710">
        <f>IF(OR($C$12=$AR91,$D$12=$AR91),Schweine_Werte!$I91*0.5,IF(OR($C$12&gt;$AR91,$D$12&lt;$AR91),0,Schweine_Werte!$I91))</f>
        <v>0</v>
      </c>
      <c r="BI91" s="1713">
        <f>IF(OR($C$24=$AR91,$D$24=$AR91),Schweine_Werte!$I91*0.5,IF(OR($C$24&gt;$AR91,$D$24&lt;$AR91),0,Schweine_Werte!$I91))</f>
        <v>0</v>
      </c>
      <c r="BJ91" s="1713">
        <f>IF(OR($C$36=$AR91,$D$36=$AR91),Schweine_Werte!$I91*0.5,IF(OR($C$36&gt;$AR91,$D$36&lt;$AR91),0,Schweine_Werte!$I91))</f>
        <v>0</v>
      </c>
      <c r="BK91" s="1713">
        <f>IF(OR($C$48=$AR91,$D$48=$AR91),Schweine_Werte!$I91*0.5,IF(OR($C$48&gt;$AR91,$D$48&lt;$AR91),0,Schweine_Werte!$I91))</f>
        <v>0</v>
      </c>
      <c r="BL91" s="1713">
        <f>IF(OR($C$60=$AR91,$D$60=$AR91),Schweine_Werte!$I91*0.5,IF(OR($C$60&gt;$AR91,$D$60&lt;$AR91),0,Schweine_Werte!$I91))</f>
        <v>0</v>
      </c>
      <c r="BM91" s="1710">
        <f>IF(OR($C$12=$AR91,$D$12=$AR91),Schweine_Werte!$K91*0.5,IF(OR($C$12&gt;$AR91,$D$12&lt;$AR91),0,Schweine_Werte!$K91))</f>
        <v>0</v>
      </c>
      <c r="BN91" s="1713">
        <f>IF(OR($C$24=$AR91,$D$24=$AR91),Schweine_Werte!$K91*0.5,IF(OR($C$24&gt;$AR91,$D$24&lt;$AR91),0,Schweine_Werte!$K91))</f>
        <v>0</v>
      </c>
      <c r="BO91" s="1713">
        <f>IF(OR($C$36=$AR91,$D$36=$AR91),Schweine_Werte!$K91*0.5,IF(OR($C$36&gt;$AR91,$D$36&lt;$AR91),0,Schweine_Werte!$K91))</f>
        <v>0</v>
      </c>
      <c r="BP91" s="1713">
        <f>IF(OR($C$48=$AR91,$D$48=$AR91),Schweine_Werte!$K91*0.5,IF(OR($C$48&gt;$AR91,$D$48&lt;$AR91),0,Schweine_Werte!$K91))</f>
        <v>0</v>
      </c>
      <c r="BQ91" s="1713">
        <f>IF(OR($C$60=$AR91,$D$60=$AR91),Schweine_Werte!$K91*0.5,IF(OR($C$60&gt;$AR91,$D$60&lt;$AR91),0,Schweine_Werte!$K91))</f>
        <v>0</v>
      </c>
      <c r="BR91" s="1710">
        <f>IF(OR($C$74=$AR91,$D$74=$AR91),Schweine_Werte!$M91*0.5,IF(OR($C$74&gt;$AR91,$D$74&lt;$AR91),0,Schweine_Werte!$M91))</f>
        <v>0</v>
      </c>
      <c r="BS91" s="1710">
        <f>IF(OR($C$83=$AR91,$D$83=$AR91),Schweine_Werte!$M91*0.5,IF(OR($C$83&gt;$AR91,$D$83&lt;$AR91),0,Schweine_Werte!$M91))</f>
        <v>0</v>
      </c>
      <c r="BT91" s="1714">
        <f>IF(OR($C$92=$AR91,$D$92=$AR91),Schweine_Werte!$M91*0.5,IF(OR($C$92&gt;$AR91,$D$92&lt;$AR91),0,Schweine_Werte!$M91))</f>
        <v>0</v>
      </c>
      <c r="BU91" s="1714">
        <f>IF(OR($C$101=$AR91,$D$101=$AR91),Schweine_Werte!$M91*0.5,IF(OR($C$101&gt;$AR91,$D$101&lt;$AR91),0,Schweine_Werte!$M91))</f>
        <v>0</v>
      </c>
      <c r="BV91" s="1714">
        <f>IF(OR($C$110=$AR91,$D$110=$AR91),Schweine_Werte!$M91*0.5,IF(OR($C$110&gt;$AR91,$D$110&lt;$AR91),0,Schweine_Werte!$M91))</f>
        <v>0</v>
      </c>
      <c r="BW91" s="1714">
        <f>IF(OR(8=$AR91,$E$127=$AR91),Schweine_Werte!$M91*0.5,IF(OR(8&gt;$AR91,$E$127&lt;$AR91),0,Schweine_Werte!$M91))</f>
        <v>1.2046808919230616</v>
      </c>
      <c r="BX91" s="1714">
        <f>IF(OR(8=$AR91,$E$145=$AR91),Schweine_Werte!$M91*0.5,IF(OR(8&gt;$AR91,$E$145&lt;$AR91),0,Schweine_Werte!$M91))</f>
        <v>1.2046808919230616</v>
      </c>
      <c r="BY91" s="1710">
        <f>IF(OR($C$74=$AR91,$D$74=$AR91),Schweine_Werte!$O91*0.5,IF(OR($C$74&gt;$AR91,$D$74&lt;$AR91),0,Schweine_Werte!$O91))</f>
        <v>0</v>
      </c>
      <c r="BZ91" s="1710">
        <f>IF(OR($C$83=$AR91,$D$83=$AR91),Schweine_Werte!$O91*0.5,IF(OR($C$83&gt;$AR91,$D$83&lt;$AR91),0,Schweine_Werte!$O91))</f>
        <v>0</v>
      </c>
      <c r="CA91" s="1714">
        <f>IF(OR($C$92=$AR91,$D$92=$AR91),Schweine_Werte!$O91*0.5,IF(OR($C$92&gt;$AR91,$D$92&lt;$AR91),0,Schweine_Werte!$O91))</f>
        <v>0</v>
      </c>
      <c r="CB91" s="1714">
        <f>IF(OR($C$101=$AR91,$D$101=$AR91),Schweine_Werte!$O91*0.5,IF(OR($C$101&gt;$AR91,$D$101&lt;$AR91),0,Schweine_Werte!$O91))</f>
        <v>0</v>
      </c>
      <c r="CC91" s="1714">
        <f>IF(OR($C$110=$AR91,$D$110=$AR91),Schweine_Werte!$O91*0.5,IF(OR($C$110&gt;$AR91,$D$110&lt;$AR91),0,Schweine_Werte!$O91))</f>
        <v>0</v>
      </c>
    </row>
    <row r="92" spans="1:81" ht="15.75" x14ac:dyDescent="0.25">
      <c r="A92" s="1685" t="s">
        <v>8561</v>
      </c>
      <c r="B92" s="1753" t="str">
        <f>IF('Eigene, abweichende Tierdaten'!AE7=1,'Eigene, abweichende Tierdaten'!F7,"")</f>
        <v/>
      </c>
      <c r="C92" s="1754" t="str">
        <f>IF('Eigene, abweichende Tierdaten'!AE7=1,'Eigene, abweichende Tierdaten'!J7,"")</f>
        <v/>
      </c>
      <c r="D92" s="1755" t="str">
        <f>IF('Eigene, abweichende Tierdaten'!AE7=1,'Eigene, abweichende Tierdaten'!L7,"")</f>
        <v/>
      </c>
      <c r="E92" s="1755" t="str">
        <f>IF('Eigene, abweichende Tierdaten'!AE7=1,'Eigene, abweichende Tierdaten'!N7,"")</f>
        <v/>
      </c>
      <c r="F92" s="1729" t="e">
        <f>IF($E92&lt;=$E88,F88,IF(AND($E92&gt;$E88,$E92&lt;=$E89),F88+(F89-F88)/($E89-$E88)*($E92-$E88),IF($E92&gt;$E89,F89)))</f>
        <v>#VALUE!</v>
      </c>
      <c r="G92" s="1729" t="e">
        <f t="shared" ref="G92:N92" si="22">IF($E92&lt;=$E88,G88,IF(AND($E92&gt;$E88,$E92&lt;=$E89),G88+(G89-G88)/($E89-$E88)*($E92-$E88),IF($E92&gt;$E89,G89)))</f>
        <v>#VALUE!</v>
      </c>
      <c r="H92" s="1729" t="e">
        <f t="shared" si="22"/>
        <v>#VALUE!</v>
      </c>
      <c r="I92" s="1729" t="e">
        <f t="shared" si="22"/>
        <v>#VALUE!</v>
      </c>
      <c r="J92" s="1729" t="e">
        <f t="shared" si="22"/>
        <v>#VALUE!</v>
      </c>
      <c r="K92" s="1729" t="e">
        <f t="shared" si="22"/>
        <v>#VALUE!</v>
      </c>
      <c r="L92" s="1729" t="e">
        <f t="shared" si="22"/>
        <v>#VALUE!</v>
      </c>
      <c r="M92" s="1729" t="e">
        <f t="shared" si="22"/>
        <v>#VALUE!</v>
      </c>
      <c r="N92" s="1729" t="e">
        <f t="shared" si="22"/>
        <v>#VALUE!</v>
      </c>
      <c r="O92" s="1730">
        <v>5.5</v>
      </c>
      <c r="P92" s="1730">
        <v>1.8</v>
      </c>
      <c r="Q92" s="1729" t="e">
        <f t="shared" ref="Q92:Z92" si="23">IF($E92&lt;=$E88,Q88,IF(AND($E92&gt;$E88,$E92&lt;=$E89),Q88+(Q89-Q88)/($E89-$E88)*($E92-$E88),IF($E92&gt;$E89,Q89)))</f>
        <v>#VALUE!</v>
      </c>
      <c r="R92" s="1729" t="e">
        <f t="shared" si="23"/>
        <v>#VALUE!</v>
      </c>
      <c r="S92" s="1729" t="e">
        <f t="shared" si="23"/>
        <v>#VALUE!</v>
      </c>
      <c r="T92" s="1729" t="e">
        <f t="shared" si="23"/>
        <v>#VALUE!</v>
      </c>
      <c r="U92" s="1729" t="e">
        <f t="shared" si="23"/>
        <v>#VALUE!</v>
      </c>
      <c r="V92" s="1729" t="e">
        <f t="shared" si="23"/>
        <v>#VALUE!</v>
      </c>
      <c r="W92" s="1729" t="e">
        <f t="shared" si="23"/>
        <v>#VALUE!</v>
      </c>
      <c r="X92" s="1729" t="e">
        <f t="shared" si="23"/>
        <v>#VALUE!</v>
      </c>
      <c r="Y92" s="1729" t="e">
        <f t="shared" si="23"/>
        <v>#VALUE!</v>
      </c>
      <c r="Z92" s="1729" t="e">
        <f t="shared" si="23"/>
        <v>#VALUE!</v>
      </c>
      <c r="AA92" s="1731" t="e">
        <f>+Z92*6.25</f>
        <v>#VALUE!</v>
      </c>
      <c r="AB92" s="1729" t="e">
        <f>IF($E92&lt;=$E88,AB88,IF(AND($E92&gt;$E88,$E92&lt;=$E89),AB88+(AB89-AB88)/($E89-$E88)*($E92-$E88),IF($E92&gt;$E89,AB89)))</f>
        <v>#VALUE!</v>
      </c>
      <c r="AC92" s="1731" t="e">
        <f>+AB92*6.25</f>
        <v>#VALUE!</v>
      </c>
      <c r="AD92" s="1729" t="e">
        <f>IF($E92&lt;=$E88,AD88,IF(AND($E92&gt;$E88,$E92&lt;=$E89),AD88+(AD89-AD88)/($E89-$E88)*($E92-$E88),IF($E92&gt;$E89,AD89)))</f>
        <v>#VALUE!</v>
      </c>
      <c r="AE92" s="1731" t="e">
        <f>+AD92*6.25</f>
        <v>#VALUE!</v>
      </c>
      <c r="AF92" s="1731" t="e">
        <f>365/((D92-C92)/E92*1000)</f>
        <v>#VALUE!</v>
      </c>
      <c r="AG92" s="1729" t="e">
        <f>IF($E92&lt;=$E88,AG88,IF(AND($E92&gt;$E88,$E92&lt;=$E89),AG88+(AG89-AG88)/($E89-$E88)*($E92-$E88),IF($E92&gt;$E89,AG89)))</f>
        <v>#VALUE!</v>
      </c>
      <c r="AH92" s="1731" t="e">
        <f>+AG92/AF92</f>
        <v>#VALUE!</v>
      </c>
      <c r="AI92" s="1731" t="e">
        <f>+CONCATENATE(ROUND(AH92/(D92-C92),1)," : 1")</f>
        <v>#VALUE!</v>
      </c>
      <c r="AJ92" s="1729" t="e">
        <f>IF($E92&lt;=$E88,AJ88,IF(AND($E92&gt;$E88,$E92&lt;=$E89),AJ88+(AJ89-AJ88)/($E89-$E88)*($E92-$E88),IF($E92&gt;$E89,AJ89)))</f>
        <v>#VALUE!</v>
      </c>
      <c r="AK92" s="1731" t="e">
        <f>+AJ92/2.291</f>
        <v>#VALUE!</v>
      </c>
      <c r="AL92" s="1729" t="e">
        <f>IF($E92&lt;=$E88,AL88,IF(AND($E92&gt;$E88,$E92&lt;=$E89),AL88+(AL89-AL88)/($E89-$E88)*($E92-$E88),IF($E92&gt;$E89,AL89)))</f>
        <v>#VALUE!</v>
      </c>
      <c r="AM92" s="1731" t="e">
        <f>+AL92/2.291</f>
        <v>#VALUE!</v>
      </c>
      <c r="AN92" s="1729" t="e">
        <f>IF($E92&lt;=$E88,AN88,IF(AND($E92&gt;$E88,$E92&lt;=$E89),AN88+(AN89-AN88)/($E89-$E88)*($E92-$E88),IF($E92&gt;$E89,AN89)))</f>
        <v>#VALUE!</v>
      </c>
      <c r="AO92" s="1731" t="e">
        <f>+AN92/2.291</f>
        <v>#VALUE!</v>
      </c>
      <c r="AP92" s="1713"/>
      <c r="AR92" s="1733">
        <v>96</v>
      </c>
      <c r="AS92" s="1710">
        <f>IF(OR($C$12=$AR92,$D$12=$AR92),Schweine_Werte!$C92*0.5,IF(OR($C$12&gt;$AR92,$D$12&lt;$AR92),0,Schweine_Werte!$C92))</f>
        <v>0</v>
      </c>
      <c r="AT92" s="1713">
        <f>IF(OR($C$24=$AR92,$D$24=$AR92),Schweine_Werte!$C92*0.5,IF(OR($C$24&gt;$AR92,$D$24&lt;$AR92),0,Schweine_Werte!$C92))</f>
        <v>0</v>
      </c>
      <c r="AU92" s="1710">
        <f>IF(OR($C$36=$AR92,$D$36=$AR92),Schweine_Werte!$C92*0.5,IF(OR($C$36&gt;$AR92,$D$36&lt;$AR92),0,Schweine_Werte!$C92))</f>
        <v>0</v>
      </c>
      <c r="AV92" s="1710">
        <f>IF(OR($C$48=$AR92,$D$48=$AR92),Schweine_Werte!$C92*0.5,IF(OR($C$48&gt;$AR92,$D$48&lt;$AR92),0,Schweine_Werte!$C92))</f>
        <v>0</v>
      </c>
      <c r="AW92" s="1710">
        <f>IF(OR($C$60=$AR92,$D$60=$AR92),Schweine_Werte!$C92*0.5,IF(OR($C$60&gt;$AR92,$D$60&lt;$AR92),0,Schweine_Werte!$C92))</f>
        <v>0</v>
      </c>
      <c r="AX92" s="1710">
        <f>IF(OR($C$12=$AR92,$D$12=$AR92),Schweine_Werte!$E92*0.5,IF(OR($C$12&gt;$AR92,$D$12&lt;$AR92),0,Schweine_Werte!$E92))</f>
        <v>0</v>
      </c>
      <c r="AY92" s="1713">
        <f>IF(OR($C$24=$AR92,$D$24=$AR92),Schweine_Werte!$E92*0.5,IF(OR($C$24&gt;$AR92,$D$24&lt;$AR92),0,Schweine_Werte!$E92))</f>
        <v>0</v>
      </c>
      <c r="AZ92" s="1713">
        <f>IF(OR($C$36=$AR92,$D$36=$AR92),Schweine_Werte!$E92*0.5,IF(OR($C$36&gt;$AR92,$D$36&lt;$AR92),0,Schweine_Werte!$E92))</f>
        <v>0</v>
      </c>
      <c r="BA92" s="1713">
        <f>IF(OR($C$48=$AR92,$D$48=$AR92),Schweine_Werte!$E92*0.5,IF(OR($C$48&gt;$AR92,$D$48&lt;$AR92),0,Schweine_Werte!$E92))</f>
        <v>0</v>
      </c>
      <c r="BB92" s="1713">
        <f>IF(OR($C$60=$AR92,$D$60=$AR92),Schweine_Werte!$E92*0.5,IF(OR($C$60&gt;$AR92,$D$60&lt;$AR92),0,Schweine_Werte!$E92))</f>
        <v>0</v>
      </c>
      <c r="BC92" s="1710">
        <f>IF(OR($C$12=$AR92,$D$12=$AR92),Schweine_Werte!$G92*0.5,IF(OR($C$12&gt;$AR92,$D$12&lt;$AR92),0,Schweine_Werte!$G92))</f>
        <v>0</v>
      </c>
      <c r="BD92" s="1713">
        <f>IF(OR($C$24=$AR92,$D$24=$AR92),Schweine_Werte!$G92*0.5,IF(OR($C$24&gt;$AR92,$D$24&lt;$AR92),0,Schweine_Werte!$G92))</f>
        <v>0</v>
      </c>
      <c r="BE92" s="1713">
        <f>IF(OR($C$36=$AR92,$D$36=$AR92),Schweine_Werte!$G92*0.5,IF(OR($C$36&gt;$AR92,$D$36&lt;$AR92),0,Schweine_Werte!$G92))</f>
        <v>0</v>
      </c>
      <c r="BF92" s="1713">
        <f>IF(OR($C$48=$AR92,$D$48=$AR92),Schweine_Werte!$G92*0.5,IF(OR($C$48&gt;$AR92,$D$48&lt;$AR92),0,Schweine_Werte!$G92))</f>
        <v>0</v>
      </c>
      <c r="BG92" s="1713">
        <f>IF(OR($C$60=$AR92,$D$60=$AR92),Schweine_Werte!$G92*0.5,IF(OR($C$60&gt;$AR92,$D$60&lt;$AR92),0,Schweine_Werte!$G92))</f>
        <v>0</v>
      </c>
      <c r="BH92" s="1710">
        <f>IF(OR($C$12=$AR92,$D$12=$AR92),Schweine_Werte!$I92*0.5,IF(OR($C$12&gt;$AR92,$D$12&lt;$AR92),0,Schweine_Werte!$I92))</f>
        <v>0</v>
      </c>
      <c r="BI92" s="1713">
        <f>IF(OR($C$24=$AR92,$D$24=$AR92),Schweine_Werte!$I92*0.5,IF(OR($C$24&gt;$AR92,$D$24&lt;$AR92),0,Schweine_Werte!$I92))</f>
        <v>0</v>
      </c>
      <c r="BJ92" s="1713">
        <f>IF(OR($C$36=$AR92,$D$36=$AR92),Schweine_Werte!$I92*0.5,IF(OR($C$36&gt;$AR92,$D$36&lt;$AR92),0,Schweine_Werte!$I92))</f>
        <v>0</v>
      </c>
      <c r="BK92" s="1713">
        <f>IF(OR($C$48=$AR92,$D$48=$AR92),Schweine_Werte!$I92*0.5,IF(OR($C$48&gt;$AR92,$D$48&lt;$AR92),0,Schweine_Werte!$I92))</f>
        <v>0</v>
      </c>
      <c r="BL92" s="1713">
        <f>IF(OR($C$60=$AR92,$D$60=$AR92),Schweine_Werte!$I92*0.5,IF(OR($C$60&gt;$AR92,$D$60&lt;$AR92),0,Schweine_Werte!$I92))</f>
        <v>0</v>
      </c>
      <c r="BM92" s="1710">
        <f>IF(OR($C$12=$AR92,$D$12=$AR92),Schweine_Werte!$K92*0.5,IF(OR($C$12&gt;$AR92,$D$12&lt;$AR92),0,Schweine_Werte!$K92))</f>
        <v>0</v>
      </c>
      <c r="BN92" s="1713">
        <f>IF(OR($C$24=$AR92,$D$24=$AR92),Schweine_Werte!$K92*0.5,IF(OR($C$24&gt;$AR92,$D$24&lt;$AR92),0,Schweine_Werte!$K92))</f>
        <v>0</v>
      </c>
      <c r="BO92" s="1713">
        <f>IF(OR($C$36=$AR92,$D$36=$AR92),Schweine_Werte!$K92*0.5,IF(OR($C$36&gt;$AR92,$D$36&lt;$AR92),0,Schweine_Werte!$K92))</f>
        <v>0</v>
      </c>
      <c r="BP92" s="1713">
        <f>IF(OR($C$48=$AR92,$D$48=$AR92),Schweine_Werte!$K92*0.5,IF(OR($C$48&gt;$AR92,$D$48&lt;$AR92),0,Schweine_Werte!$K92))</f>
        <v>0</v>
      </c>
      <c r="BQ92" s="1713">
        <f>IF(OR($C$60=$AR92,$D$60=$AR92),Schweine_Werte!$K92*0.5,IF(OR($C$60&gt;$AR92,$D$60&lt;$AR92),0,Schweine_Werte!$K92))</f>
        <v>0</v>
      </c>
      <c r="BR92" s="1710">
        <f>IF(OR($C$74=$AR92,$D$74=$AR92),Schweine_Werte!$M92*0.5,IF(OR($C$74&gt;$AR92,$D$74&lt;$AR92),0,Schweine_Werte!$M92))</f>
        <v>0</v>
      </c>
      <c r="BS92" s="1710">
        <f>IF(OR($C$83=$AR92,$D$83=$AR92),Schweine_Werte!$M92*0.5,IF(OR($C$83&gt;$AR92,$D$83&lt;$AR92),0,Schweine_Werte!$M92))</f>
        <v>0</v>
      </c>
      <c r="BT92" s="1714">
        <f>IF(OR($C$92=$AR92,$D$92=$AR92),Schweine_Werte!$M92*0.5,IF(OR($C$92&gt;$AR92,$D$92&lt;$AR92),0,Schweine_Werte!$M92))</f>
        <v>0</v>
      </c>
      <c r="BU92" s="1714">
        <f>IF(OR($C$101=$AR92,$D$101=$AR92),Schweine_Werte!$M92*0.5,IF(OR($C$101&gt;$AR92,$D$101&lt;$AR92),0,Schweine_Werte!$M92))</f>
        <v>0</v>
      </c>
      <c r="BV92" s="1714">
        <f>IF(OR($C$110=$AR92,$D$110=$AR92),Schweine_Werte!$M92*0.5,IF(OR($C$110&gt;$AR92,$D$110&lt;$AR92),0,Schweine_Werte!$M92))</f>
        <v>0</v>
      </c>
      <c r="BW92" s="1714">
        <f>IF(OR(8=$AR92,$E$127=$AR92),Schweine_Werte!$M92*0.5,IF(OR(8&gt;$AR92,$E$127&lt;$AR92),0,Schweine_Werte!$M92))</f>
        <v>1.2146521797033036</v>
      </c>
      <c r="BX92" s="1714">
        <f>IF(OR(8=$AR92,$E$145=$AR92),Schweine_Werte!$M92*0.5,IF(OR(8&gt;$AR92,$E$145&lt;$AR92),0,Schweine_Werte!$M92))</f>
        <v>1.2146521797033036</v>
      </c>
      <c r="BY92" s="1710">
        <f>IF(OR($C$74=$AR92,$D$74=$AR92),Schweine_Werte!$O92*0.5,IF(OR($C$74&gt;$AR92,$D$74&lt;$AR92),0,Schweine_Werte!$O92))</f>
        <v>0</v>
      </c>
      <c r="BZ92" s="1710">
        <f>IF(OR($C$83=$AR92,$D$83=$AR92),Schweine_Werte!$O92*0.5,IF(OR($C$83&gt;$AR92,$D$83&lt;$AR92),0,Schweine_Werte!$O92))</f>
        <v>0</v>
      </c>
      <c r="CA92" s="1714">
        <f>IF(OR($C$92=$AR92,$D$92=$AR92),Schweine_Werte!$O92*0.5,IF(OR($C$92&gt;$AR92,$D$92&lt;$AR92),0,Schweine_Werte!$O92))</f>
        <v>0</v>
      </c>
      <c r="CB92" s="1714">
        <f>IF(OR($C$101=$AR92,$D$101=$AR92),Schweine_Werte!$O92*0.5,IF(OR($C$101&gt;$AR92,$D$101&lt;$AR92),0,Schweine_Werte!$O92))</f>
        <v>0</v>
      </c>
      <c r="CC92" s="1714">
        <f>IF(OR($C$110=$AR92,$D$110=$AR92),Schweine_Werte!$O92*0.5,IF(OR($C$110&gt;$AR92,$D$110&lt;$AR92),0,Schweine_Werte!$O92))</f>
        <v>0</v>
      </c>
    </row>
    <row r="93" spans="1:81" x14ac:dyDescent="0.25">
      <c r="AR93" s="1733">
        <v>97</v>
      </c>
      <c r="AS93" s="1710">
        <f>IF(OR($C$12=$AR93,$D$12=$AR93),Schweine_Werte!$C93*0.5,IF(OR($C$12&gt;$AR93,$D$12&lt;$AR93),0,Schweine_Werte!$C93))</f>
        <v>0</v>
      </c>
      <c r="AT93" s="1713">
        <f>IF(OR($C$24=$AR93,$D$24=$AR93),Schweine_Werte!$C93*0.5,IF(OR($C$24&gt;$AR93,$D$24&lt;$AR93),0,Schweine_Werte!$C93))</f>
        <v>0</v>
      </c>
      <c r="AU93" s="1710">
        <f>IF(OR($C$36=$AR93,$D$36=$AR93),Schweine_Werte!$C93*0.5,IF(OR($C$36&gt;$AR93,$D$36&lt;$AR93),0,Schweine_Werte!$C93))</f>
        <v>0</v>
      </c>
      <c r="AV93" s="1710">
        <f>IF(OR($C$48=$AR93,$D$48=$AR93),Schweine_Werte!$C93*0.5,IF(OR($C$48&gt;$AR93,$D$48&lt;$AR93),0,Schweine_Werte!$C93))</f>
        <v>0</v>
      </c>
      <c r="AW93" s="1710">
        <f>IF(OR($C$60=$AR93,$D$60=$AR93),Schweine_Werte!$C93*0.5,IF(OR($C$60&gt;$AR93,$D$60&lt;$AR93),0,Schweine_Werte!$C93))</f>
        <v>0</v>
      </c>
      <c r="AX93" s="1710">
        <f>IF(OR($C$12=$AR93,$D$12=$AR93),Schweine_Werte!$E93*0.5,IF(OR($C$12&gt;$AR93,$D$12&lt;$AR93),0,Schweine_Werte!$E93))</f>
        <v>0</v>
      </c>
      <c r="AY93" s="1713">
        <f>IF(OR($C$24=$AR93,$D$24=$AR93),Schweine_Werte!$E93*0.5,IF(OR($C$24&gt;$AR93,$D$24&lt;$AR93),0,Schweine_Werte!$E93))</f>
        <v>0</v>
      </c>
      <c r="AZ93" s="1713">
        <f>IF(OR($C$36=$AR93,$D$36=$AR93),Schweine_Werte!$E93*0.5,IF(OR($C$36&gt;$AR93,$D$36&lt;$AR93),0,Schweine_Werte!$E93))</f>
        <v>0</v>
      </c>
      <c r="BA93" s="1713">
        <f>IF(OR($C$48=$AR93,$D$48=$AR93),Schweine_Werte!$E93*0.5,IF(OR($C$48&gt;$AR93,$D$48&lt;$AR93),0,Schweine_Werte!$E93))</f>
        <v>0</v>
      </c>
      <c r="BB93" s="1713">
        <f>IF(OR($C$60=$AR93,$D$60=$AR93),Schweine_Werte!$E93*0.5,IF(OR($C$60&gt;$AR93,$D$60&lt;$AR93),0,Schweine_Werte!$E93))</f>
        <v>0</v>
      </c>
      <c r="BC93" s="1710">
        <f>IF(OR($C$12=$AR93,$D$12=$AR93),Schweine_Werte!$G93*0.5,IF(OR($C$12&gt;$AR93,$D$12&lt;$AR93),0,Schweine_Werte!$G93))</f>
        <v>0</v>
      </c>
      <c r="BD93" s="1713">
        <f>IF(OR($C$24=$AR93,$D$24=$AR93),Schweine_Werte!$G93*0.5,IF(OR($C$24&gt;$AR93,$D$24&lt;$AR93),0,Schweine_Werte!$G93))</f>
        <v>0</v>
      </c>
      <c r="BE93" s="1713">
        <f>IF(OR($C$36=$AR93,$D$36=$AR93),Schweine_Werte!$G93*0.5,IF(OR($C$36&gt;$AR93,$D$36&lt;$AR93),0,Schweine_Werte!$G93))</f>
        <v>0</v>
      </c>
      <c r="BF93" s="1713">
        <f>IF(OR($C$48=$AR93,$D$48=$AR93),Schweine_Werte!$G93*0.5,IF(OR($C$48&gt;$AR93,$D$48&lt;$AR93),0,Schweine_Werte!$G93))</f>
        <v>0</v>
      </c>
      <c r="BG93" s="1713">
        <f>IF(OR($C$60=$AR93,$D$60=$AR93),Schweine_Werte!$G93*0.5,IF(OR($C$60&gt;$AR93,$D$60&lt;$AR93),0,Schweine_Werte!$G93))</f>
        <v>0</v>
      </c>
      <c r="BH93" s="1710">
        <f>IF(OR($C$12=$AR93,$D$12=$AR93),Schweine_Werte!$I93*0.5,IF(OR($C$12&gt;$AR93,$D$12&lt;$AR93),0,Schweine_Werte!$I93))</f>
        <v>0</v>
      </c>
      <c r="BI93" s="1713">
        <f>IF(OR($C$24=$AR93,$D$24=$AR93),Schweine_Werte!$I93*0.5,IF(OR($C$24&gt;$AR93,$D$24&lt;$AR93),0,Schweine_Werte!$I93))</f>
        <v>0</v>
      </c>
      <c r="BJ93" s="1713">
        <f>IF(OR($C$36=$AR93,$D$36=$AR93),Schweine_Werte!$I93*0.5,IF(OR($C$36&gt;$AR93,$D$36&lt;$AR93),0,Schweine_Werte!$I93))</f>
        <v>0</v>
      </c>
      <c r="BK93" s="1713">
        <f>IF(OR($C$48=$AR93,$D$48=$AR93),Schweine_Werte!$I93*0.5,IF(OR($C$48&gt;$AR93,$D$48&lt;$AR93),0,Schweine_Werte!$I93))</f>
        <v>0</v>
      </c>
      <c r="BL93" s="1713">
        <f>IF(OR($C$60=$AR93,$D$60=$AR93),Schweine_Werte!$I93*0.5,IF(OR($C$60&gt;$AR93,$D$60&lt;$AR93),0,Schweine_Werte!$I93))</f>
        <v>0</v>
      </c>
      <c r="BM93" s="1710">
        <f>IF(OR($C$12=$AR93,$D$12=$AR93),Schweine_Werte!$K93*0.5,IF(OR($C$12&gt;$AR93,$D$12&lt;$AR93),0,Schweine_Werte!$K93))</f>
        <v>0</v>
      </c>
      <c r="BN93" s="1713">
        <f>IF(OR($C$24=$AR93,$D$24=$AR93),Schweine_Werte!$K93*0.5,IF(OR($C$24&gt;$AR93,$D$24&lt;$AR93),0,Schweine_Werte!$K93))</f>
        <v>0</v>
      </c>
      <c r="BO93" s="1713">
        <f>IF(OR($C$36=$AR93,$D$36=$AR93),Schweine_Werte!$K93*0.5,IF(OR($C$36&gt;$AR93,$D$36&lt;$AR93),0,Schweine_Werte!$K93))</f>
        <v>0</v>
      </c>
      <c r="BP93" s="1713">
        <f>IF(OR($C$48=$AR93,$D$48=$AR93),Schweine_Werte!$K93*0.5,IF(OR($C$48&gt;$AR93,$D$48&lt;$AR93),0,Schweine_Werte!$K93))</f>
        <v>0</v>
      </c>
      <c r="BQ93" s="1713">
        <f>IF(OR($C$60=$AR93,$D$60=$AR93),Schweine_Werte!$K93*0.5,IF(OR($C$60&gt;$AR93,$D$60&lt;$AR93),0,Schweine_Werte!$K93))</f>
        <v>0</v>
      </c>
      <c r="BR93" s="1710">
        <f>IF(OR($C$74=$AR93,$D$74=$AR93),Schweine_Werte!$M93*0.5,IF(OR($C$74&gt;$AR93,$D$74&lt;$AR93),0,Schweine_Werte!$M93))</f>
        <v>0</v>
      </c>
      <c r="BS93" s="1710">
        <f>IF(OR($C$83=$AR93,$D$83=$AR93),Schweine_Werte!$M93*0.5,IF(OR($C$83&gt;$AR93,$D$83&lt;$AR93),0,Schweine_Werte!$M93))</f>
        <v>0</v>
      </c>
      <c r="BT93" s="1714">
        <f>IF(OR($C$92=$AR93,$D$92=$AR93),Schweine_Werte!$M93*0.5,IF(OR($C$92&gt;$AR93,$D$92&lt;$AR93),0,Schweine_Werte!$M93))</f>
        <v>0</v>
      </c>
      <c r="BU93" s="1714">
        <f>IF(OR($C$101=$AR93,$D$101=$AR93),Schweine_Werte!$M93*0.5,IF(OR($C$101&gt;$AR93,$D$101&lt;$AR93),0,Schweine_Werte!$M93))</f>
        <v>0</v>
      </c>
      <c r="BV93" s="1714">
        <f>IF(OR($C$110=$AR93,$D$110=$AR93),Schweine_Werte!$M93*0.5,IF(OR($C$110&gt;$AR93,$D$110&lt;$AR93),0,Schweine_Werte!$M93))</f>
        <v>0</v>
      </c>
      <c r="BW93" s="1714">
        <f>IF(OR(8=$AR93,$E$127=$AR93),Schweine_Werte!$M93*0.5,IF(OR(8&gt;$AR93,$E$127&lt;$AR93),0,Schweine_Werte!$M93))</f>
        <v>1.225230707810347</v>
      </c>
      <c r="BX93" s="1714">
        <f>IF(OR(8=$AR93,$E$145=$AR93),Schweine_Werte!$M93*0.5,IF(OR(8&gt;$AR93,$E$145&lt;$AR93),0,Schweine_Werte!$M93))</f>
        <v>1.225230707810347</v>
      </c>
      <c r="BY93" s="1710">
        <f>IF(OR($C$74=$AR93,$D$74=$AR93),Schweine_Werte!$O93*0.5,IF(OR($C$74&gt;$AR93,$D$74&lt;$AR93),0,Schweine_Werte!$O93))</f>
        <v>0</v>
      </c>
      <c r="BZ93" s="1710">
        <f>IF(OR($C$83=$AR93,$D$83=$AR93),Schweine_Werte!$O93*0.5,IF(OR($C$83&gt;$AR93,$D$83&lt;$AR93),0,Schweine_Werte!$O93))</f>
        <v>0</v>
      </c>
      <c r="CA93" s="1714">
        <f>IF(OR($C$92=$AR93,$D$92=$AR93),Schweine_Werte!$O93*0.5,IF(OR($C$92&gt;$AR93,$D$92&lt;$AR93),0,Schweine_Werte!$O93))</f>
        <v>0</v>
      </c>
      <c r="CB93" s="1714">
        <f>IF(OR($C$101=$AR93,$D$101=$AR93),Schweine_Werte!$O93*0.5,IF(OR($C$101&gt;$AR93,$D$101&lt;$AR93),0,Schweine_Werte!$O93))</f>
        <v>0</v>
      </c>
      <c r="CC93" s="1714">
        <f>IF(OR($C$110=$AR93,$D$110=$AR93),Schweine_Werte!$O93*0.5,IF(OR($C$110&gt;$AR93,$D$110&lt;$AR93),0,Schweine_Werte!$O93))</f>
        <v>0</v>
      </c>
    </row>
    <row r="94" spans="1:81" x14ac:dyDescent="0.25">
      <c r="AR94" s="1733">
        <v>98</v>
      </c>
      <c r="AS94" s="1710">
        <f>IF(OR($C$12=$AR94,$D$12=$AR94),Schweine_Werte!$C94*0.5,IF(OR($C$12&gt;$AR94,$D$12&lt;$AR94),0,Schweine_Werte!$C94))</f>
        <v>0</v>
      </c>
      <c r="AT94" s="1713">
        <f>IF(OR($C$24=$AR94,$D$24=$AR94),Schweine_Werte!$C94*0.5,IF(OR($C$24&gt;$AR94,$D$24&lt;$AR94),0,Schweine_Werte!$C94))</f>
        <v>0</v>
      </c>
      <c r="AU94" s="1710">
        <f>IF(OR($C$36=$AR94,$D$36=$AR94),Schweine_Werte!$C94*0.5,IF(OR($C$36&gt;$AR94,$D$36&lt;$AR94),0,Schweine_Werte!$C94))</f>
        <v>0</v>
      </c>
      <c r="AV94" s="1710">
        <f>IF(OR($C$48=$AR94,$D$48=$AR94),Schweine_Werte!$C94*0.5,IF(OR($C$48&gt;$AR94,$D$48&lt;$AR94),0,Schweine_Werte!$C94))</f>
        <v>0</v>
      </c>
      <c r="AW94" s="1710">
        <f>IF(OR($C$60=$AR94,$D$60=$AR94),Schweine_Werte!$C94*0.5,IF(OR($C$60&gt;$AR94,$D$60&lt;$AR94),0,Schweine_Werte!$C94))</f>
        <v>0</v>
      </c>
      <c r="AX94" s="1710">
        <f>IF(OR($C$12=$AR94,$D$12=$AR94),Schweine_Werte!$E94*0.5,IF(OR($C$12&gt;$AR94,$D$12&lt;$AR94),0,Schweine_Werte!$E94))</f>
        <v>0</v>
      </c>
      <c r="AY94" s="1713">
        <f>IF(OR($C$24=$AR94,$D$24=$AR94),Schweine_Werte!$E94*0.5,IF(OR($C$24&gt;$AR94,$D$24&lt;$AR94),0,Schweine_Werte!$E94))</f>
        <v>0</v>
      </c>
      <c r="AZ94" s="1713">
        <f>IF(OR($C$36=$AR94,$D$36=$AR94),Schweine_Werte!$E94*0.5,IF(OR($C$36&gt;$AR94,$D$36&lt;$AR94),0,Schweine_Werte!$E94))</f>
        <v>0</v>
      </c>
      <c r="BA94" s="1713">
        <f>IF(OR($C$48=$AR94,$D$48=$AR94),Schweine_Werte!$E94*0.5,IF(OR($C$48&gt;$AR94,$D$48&lt;$AR94),0,Schweine_Werte!$E94))</f>
        <v>0</v>
      </c>
      <c r="BB94" s="1713">
        <f>IF(OR($C$60=$AR94,$D$60=$AR94),Schweine_Werte!$E94*0.5,IF(OR($C$60&gt;$AR94,$D$60&lt;$AR94),0,Schweine_Werte!$E94))</f>
        <v>0</v>
      </c>
      <c r="BC94" s="1710">
        <f>IF(OR($C$12=$AR94,$D$12=$AR94),Schweine_Werte!$G94*0.5,IF(OR($C$12&gt;$AR94,$D$12&lt;$AR94),0,Schweine_Werte!$G94))</f>
        <v>0</v>
      </c>
      <c r="BD94" s="1713">
        <f>IF(OR($C$24=$AR94,$D$24=$AR94),Schweine_Werte!$G94*0.5,IF(OR($C$24&gt;$AR94,$D$24&lt;$AR94),0,Schweine_Werte!$G94))</f>
        <v>0</v>
      </c>
      <c r="BE94" s="1713">
        <f>IF(OR($C$36=$AR94,$D$36=$AR94),Schweine_Werte!$G94*0.5,IF(OR($C$36&gt;$AR94,$D$36&lt;$AR94),0,Schweine_Werte!$G94))</f>
        <v>0</v>
      </c>
      <c r="BF94" s="1713">
        <f>IF(OR($C$48=$AR94,$D$48=$AR94),Schweine_Werte!$G94*0.5,IF(OR($C$48&gt;$AR94,$D$48&lt;$AR94),0,Schweine_Werte!$G94))</f>
        <v>0</v>
      </c>
      <c r="BG94" s="1713">
        <f>IF(OR($C$60=$AR94,$D$60=$AR94),Schweine_Werte!$G94*0.5,IF(OR($C$60&gt;$AR94,$D$60&lt;$AR94),0,Schweine_Werte!$G94))</f>
        <v>0</v>
      </c>
      <c r="BH94" s="1710">
        <f>IF(OR($C$12=$AR94,$D$12=$AR94),Schweine_Werte!$I94*0.5,IF(OR($C$12&gt;$AR94,$D$12&lt;$AR94),0,Schweine_Werte!$I94))</f>
        <v>0</v>
      </c>
      <c r="BI94" s="1713">
        <f>IF(OR($C$24=$AR94,$D$24=$AR94),Schweine_Werte!$I94*0.5,IF(OR($C$24&gt;$AR94,$D$24&lt;$AR94),0,Schweine_Werte!$I94))</f>
        <v>0</v>
      </c>
      <c r="BJ94" s="1713">
        <f>IF(OR($C$36=$AR94,$D$36=$AR94),Schweine_Werte!$I94*0.5,IF(OR($C$36&gt;$AR94,$D$36&lt;$AR94),0,Schweine_Werte!$I94))</f>
        <v>0</v>
      </c>
      <c r="BK94" s="1713">
        <f>IF(OR($C$48=$AR94,$D$48=$AR94),Schweine_Werte!$I94*0.5,IF(OR($C$48&gt;$AR94,$D$48&lt;$AR94),0,Schweine_Werte!$I94))</f>
        <v>0</v>
      </c>
      <c r="BL94" s="1713">
        <f>IF(OR($C$60=$AR94,$D$60=$AR94),Schweine_Werte!$I94*0.5,IF(OR($C$60&gt;$AR94,$D$60&lt;$AR94),0,Schweine_Werte!$I94))</f>
        <v>0</v>
      </c>
      <c r="BM94" s="1710">
        <f>IF(OR($C$12=$AR94,$D$12=$AR94),Schweine_Werte!$K94*0.5,IF(OR($C$12&gt;$AR94,$D$12&lt;$AR94),0,Schweine_Werte!$K94))</f>
        <v>0</v>
      </c>
      <c r="BN94" s="1713">
        <f>IF(OR($C$24=$AR94,$D$24=$AR94),Schweine_Werte!$K94*0.5,IF(OR($C$24&gt;$AR94,$D$24&lt;$AR94),0,Schweine_Werte!$K94))</f>
        <v>0</v>
      </c>
      <c r="BO94" s="1713">
        <f>IF(OR($C$36=$AR94,$D$36=$AR94),Schweine_Werte!$K94*0.5,IF(OR($C$36&gt;$AR94,$D$36&lt;$AR94),0,Schweine_Werte!$K94))</f>
        <v>0</v>
      </c>
      <c r="BP94" s="1713">
        <f>IF(OR($C$48=$AR94,$D$48=$AR94),Schweine_Werte!$K94*0.5,IF(OR($C$48&gt;$AR94,$D$48&lt;$AR94),0,Schweine_Werte!$K94))</f>
        <v>0</v>
      </c>
      <c r="BQ94" s="1713">
        <f>IF(OR($C$60=$AR94,$D$60=$AR94),Schweine_Werte!$K94*0.5,IF(OR($C$60&gt;$AR94,$D$60&lt;$AR94),0,Schweine_Werte!$K94))</f>
        <v>0</v>
      </c>
      <c r="BR94" s="1710">
        <f>IF(OR($C$74=$AR94,$D$74=$AR94),Schweine_Werte!$M94*0.5,IF(OR($C$74&gt;$AR94,$D$74&lt;$AR94),0,Schweine_Werte!$M94))</f>
        <v>0</v>
      </c>
      <c r="BS94" s="1710">
        <f>IF(OR($C$83=$AR94,$D$83=$AR94),Schweine_Werte!$M94*0.5,IF(OR($C$83&gt;$AR94,$D$83&lt;$AR94),0,Schweine_Werte!$M94))</f>
        <v>0</v>
      </c>
      <c r="BT94" s="1714">
        <f>IF(OR($C$92=$AR94,$D$92=$AR94),Schweine_Werte!$M94*0.5,IF(OR($C$92&gt;$AR94,$D$92&lt;$AR94),0,Schweine_Werte!$M94))</f>
        <v>0</v>
      </c>
      <c r="BU94" s="1714">
        <f>IF(OR($C$101=$AR94,$D$101=$AR94),Schweine_Werte!$M94*0.5,IF(OR($C$101&gt;$AR94,$D$101&lt;$AR94),0,Schweine_Werte!$M94))</f>
        <v>0</v>
      </c>
      <c r="BV94" s="1714">
        <f>IF(OR($C$110=$AR94,$D$110=$AR94),Schweine_Werte!$M94*0.5,IF(OR($C$110&gt;$AR94,$D$110&lt;$AR94),0,Schweine_Werte!$M94))</f>
        <v>0</v>
      </c>
      <c r="BW94" s="1714">
        <f>IF(OR(8=$AR94,$E$127=$AR94),Schweine_Werte!$M94*0.5,IF(OR(8&gt;$AR94,$E$127&lt;$AR94),0,Schweine_Werte!$M94))</f>
        <v>1.2364435817812538</v>
      </c>
      <c r="BX94" s="1714">
        <f>IF(OR(8=$AR94,$E$145=$AR94),Schweine_Werte!$M94*0.5,IF(OR(8&gt;$AR94,$E$145&lt;$AR94),0,Schweine_Werte!$M94))</f>
        <v>1.2364435817812538</v>
      </c>
      <c r="BY94" s="1710">
        <f>IF(OR($C$74=$AR94,$D$74=$AR94),Schweine_Werte!$O94*0.5,IF(OR($C$74&gt;$AR94,$D$74&lt;$AR94),0,Schweine_Werte!$O94))</f>
        <v>0</v>
      </c>
      <c r="BZ94" s="1710">
        <f>IF(OR($C$83=$AR94,$D$83=$AR94),Schweine_Werte!$O94*0.5,IF(OR($C$83&gt;$AR94,$D$83&lt;$AR94),0,Schweine_Werte!$O94))</f>
        <v>0</v>
      </c>
      <c r="CA94" s="1714">
        <f>IF(OR($C$92=$AR94,$D$92=$AR94),Schweine_Werte!$O94*0.5,IF(OR($C$92&gt;$AR94,$D$92&lt;$AR94),0,Schweine_Werte!$O94))</f>
        <v>0</v>
      </c>
      <c r="CB94" s="1714">
        <f>IF(OR($C$101=$AR94,$D$101=$AR94),Schweine_Werte!$O94*0.5,IF(OR($C$101&gt;$AR94,$D$101&lt;$AR94),0,Schweine_Werte!$O94))</f>
        <v>0</v>
      </c>
      <c r="CC94" s="1714">
        <f>IF(OR($C$110=$AR94,$D$110=$AR94),Schweine_Werte!$O94*0.5,IF(OR($C$110&gt;$AR94,$D$110&lt;$AR94),0,Schweine_Werte!$O94))</f>
        <v>0</v>
      </c>
    </row>
    <row r="95" spans="1:81" x14ac:dyDescent="0.25">
      <c r="Q95" s="3251" t="s">
        <v>8546</v>
      </c>
      <c r="R95" s="3251"/>
      <c r="S95" s="3251"/>
      <c r="T95" s="3251" t="s">
        <v>8547</v>
      </c>
      <c r="U95" s="3251"/>
      <c r="V95" s="3251"/>
      <c r="W95" s="1689" t="s">
        <v>8544</v>
      </c>
      <c r="X95" s="1689"/>
      <c r="Y95" s="1689"/>
      <c r="AR95" s="1733">
        <v>99</v>
      </c>
      <c r="AS95" s="1710">
        <f>IF(OR($C$12=$AR95,$D$12=$AR95),Schweine_Werte!$C95*0.5,IF(OR($C$12&gt;$AR95,$D$12&lt;$AR95),0,Schweine_Werte!$C95))</f>
        <v>0</v>
      </c>
      <c r="AT95" s="1713">
        <f>IF(OR($C$24=$AR95,$D$24=$AR95),Schweine_Werte!$C95*0.5,IF(OR($C$24&gt;$AR95,$D$24&lt;$AR95),0,Schweine_Werte!$C95))</f>
        <v>0</v>
      </c>
      <c r="AU95" s="1710">
        <f>IF(OR($C$36=$AR95,$D$36=$AR95),Schweine_Werte!$C95*0.5,IF(OR($C$36&gt;$AR95,$D$36&lt;$AR95),0,Schweine_Werte!$C95))</f>
        <v>0</v>
      </c>
      <c r="AV95" s="1710">
        <f>IF(OR($C$48=$AR95,$D$48=$AR95),Schweine_Werte!$C95*0.5,IF(OR($C$48&gt;$AR95,$D$48&lt;$AR95),0,Schweine_Werte!$C95))</f>
        <v>0</v>
      </c>
      <c r="AW95" s="1710">
        <f>IF(OR($C$60=$AR95,$D$60=$AR95),Schweine_Werte!$C95*0.5,IF(OR($C$60&gt;$AR95,$D$60&lt;$AR95),0,Schweine_Werte!$C95))</f>
        <v>0</v>
      </c>
      <c r="AX95" s="1710">
        <f>IF(OR($C$12=$AR95,$D$12=$AR95),Schweine_Werte!$E95*0.5,IF(OR($C$12&gt;$AR95,$D$12&lt;$AR95),0,Schweine_Werte!$E95))</f>
        <v>0</v>
      </c>
      <c r="AY95" s="1713">
        <f>IF(OR($C$24=$AR95,$D$24=$AR95),Schweine_Werte!$E95*0.5,IF(OR($C$24&gt;$AR95,$D$24&lt;$AR95),0,Schweine_Werte!$E95))</f>
        <v>0</v>
      </c>
      <c r="AZ95" s="1713">
        <f>IF(OR($C$36=$AR95,$D$36=$AR95),Schweine_Werte!$E95*0.5,IF(OR($C$36&gt;$AR95,$D$36&lt;$AR95),0,Schweine_Werte!$E95))</f>
        <v>0</v>
      </c>
      <c r="BA95" s="1713">
        <f>IF(OR($C$48=$AR95,$D$48=$AR95),Schweine_Werte!$E95*0.5,IF(OR($C$48&gt;$AR95,$D$48&lt;$AR95),0,Schweine_Werte!$E95))</f>
        <v>0</v>
      </c>
      <c r="BB95" s="1713">
        <f>IF(OR($C$60=$AR95,$D$60=$AR95),Schweine_Werte!$E95*0.5,IF(OR($C$60&gt;$AR95,$D$60&lt;$AR95),0,Schweine_Werte!$E95))</f>
        <v>0</v>
      </c>
      <c r="BC95" s="1710">
        <f>IF(OR($C$12=$AR95,$D$12=$AR95),Schweine_Werte!$G95*0.5,IF(OR($C$12&gt;$AR95,$D$12&lt;$AR95),0,Schweine_Werte!$G95))</f>
        <v>0</v>
      </c>
      <c r="BD95" s="1713">
        <f>IF(OR($C$24=$AR95,$D$24=$AR95),Schweine_Werte!$G95*0.5,IF(OR($C$24&gt;$AR95,$D$24&lt;$AR95),0,Schweine_Werte!$G95))</f>
        <v>0</v>
      </c>
      <c r="BE95" s="1713">
        <f>IF(OR($C$36=$AR95,$D$36=$AR95),Schweine_Werte!$G95*0.5,IF(OR($C$36&gt;$AR95,$D$36&lt;$AR95),0,Schweine_Werte!$G95))</f>
        <v>0</v>
      </c>
      <c r="BF95" s="1713">
        <f>IF(OR($C$48=$AR95,$D$48=$AR95),Schweine_Werte!$G95*0.5,IF(OR($C$48&gt;$AR95,$D$48&lt;$AR95),0,Schweine_Werte!$G95))</f>
        <v>0</v>
      </c>
      <c r="BG95" s="1713">
        <f>IF(OR($C$60=$AR95,$D$60=$AR95),Schweine_Werte!$G95*0.5,IF(OR($C$60&gt;$AR95,$D$60&lt;$AR95),0,Schweine_Werte!$G95))</f>
        <v>0</v>
      </c>
      <c r="BH95" s="1710">
        <f>IF(OR($C$12=$AR95,$D$12=$AR95),Schweine_Werte!$I95*0.5,IF(OR($C$12&gt;$AR95,$D$12&lt;$AR95),0,Schweine_Werte!$I95))</f>
        <v>0</v>
      </c>
      <c r="BI95" s="1713">
        <f>IF(OR($C$24=$AR95,$D$24=$AR95),Schweine_Werte!$I95*0.5,IF(OR($C$24&gt;$AR95,$D$24&lt;$AR95),0,Schweine_Werte!$I95))</f>
        <v>0</v>
      </c>
      <c r="BJ95" s="1713">
        <f>IF(OR($C$36=$AR95,$D$36=$AR95),Schweine_Werte!$I95*0.5,IF(OR($C$36&gt;$AR95,$D$36&lt;$AR95),0,Schweine_Werte!$I95))</f>
        <v>0</v>
      </c>
      <c r="BK95" s="1713">
        <f>IF(OR($C$48=$AR95,$D$48=$AR95),Schweine_Werte!$I95*0.5,IF(OR($C$48&gt;$AR95,$D$48&lt;$AR95),0,Schweine_Werte!$I95))</f>
        <v>0</v>
      </c>
      <c r="BL95" s="1713">
        <f>IF(OR($C$60=$AR95,$D$60=$AR95),Schweine_Werte!$I95*0.5,IF(OR($C$60&gt;$AR95,$D$60&lt;$AR95),0,Schweine_Werte!$I95))</f>
        <v>0</v>
      </c>
      <c r="BM95" s="1710">
        <f>IF(OR($C$12=$AR95,$D$12=$AR95),Schweine_Werte!$K95*0.5,IF(OR($C$12&gt;$AR95,$D$12&lt;$AR95),0,Schweine_Werte!$K95))</f>
        <v>0</v>
      </c>
      <c r="BN95" s="1713">
        <f>IF(OR($C$24=$AR95,$D$24=$AR95),Schweine_Werte!$K95*0.5,IF(OR($C$24&gt;$AR95,$D$24&lt;$AR95),0,Schweine_Werte!$K95))</f>
        <v>0</v>
      </c>
      <c r="BO95" s="1713">
        <f>IF(OR($C$36=$AR95,$D$36=$AR95),Schweine_Werte!$K95*0.5,IF(OR($C$36&gt;$AR95,$D$36&lt;$AR95),0,Schweine_Werte!$K95))</f>
        <v>0</v>
      </c>
      <c r="BP95" s="1713">
        <f>IF(OR($C$48=$AR95,$D$48=$AR95),Schweine_Werte!$K95*0.5,IF(OR($C$48&gt;$AR95,$D$48&lt;$AR95),0,Schweine_Werte!$K95))</f>
        <v>0</v>
      </c>
      <c r="BQ95" s="1713">
        <f>IF(OR($C$60=$AR95,$D$60=$AR95),Schweine_Werte!$K95*0.5,IF(OR($C$60&gt;$AR95,$D$60&lt;$AR95),0,Schweine_Werte!$K95))</f>
        <v>0</v>
      </c>
      <c r="BR95" s="1710">
        <f>IF(OR($C$74=$AR95,$D$74=$AR95),Schweine_Werte!$M95*0.5,IF(OR($C$74&gt;$AR95,$D$74&lt;$AR95),0,Schweine_Werte!$M95))</f>
        <v>0</v>
      </c>
      <c r="BS95" s="1710">
        <f>IF(OR($C$83=$AR95,$D$83=$AR95),Schweine_Werte!$M95*0.5,IF(OR($C$83&gt;$AR95,$D$83&lt;$AR95),0,Schweine_Werte!$M95))</f>
        <v>0</v>
      </c>
      <c r="BT95" s="1714">
        <f>IF(OR($C$92=$AR95,$D$92=$AR95),Schweine_Werte!$M95*0.5,IF(OR($C$92&gt;$AR95,$D$92&lt;$AR95),0,Schweine_Werte!$M95))</f>
        <v>0</v>
      </c>
      <c r="BU95" s="1714">
        <f>IF(OR($C$101=$AR95,$D$101=$AR95),Schweine_Werte!$M95*0.5,IF(OR($C$101&gt;$AR95,$D$101&lt;$AR95),0,Schweine_Werte!$M95))</f>
        <v>0</v>
      </c>
      <c r="BV95" s="1714">
        <f>IF(OR($C$110=$AR95,$D$110=$AR95),Schweine_Werte!$M95*0.5,IF(OR($C$110&gt;$AR95,$D$110&lt;$AR95),0,Schweine_Werte!$M95))</f>
        <v>0</v>
      </c>
      <c r="BW95" s="1714">
        <f>IF(OR(8=$AR95,$E$127=$AR95),Schweine_Werte!$M95*0.5,IF(OR(8&gt;$AR95,$E$127&lt;$AR95),0,Schweine_Werte!$M95))</f>
        <v>1.2483202500391168</v>
      </c>
      <c r="BX95" s="1714">
        <f>IF(OR(8=$AR95,$E$145=$AR95),Schweine_Werte!$M95*0.5,IF(OR(8&gt;$AR95,$E$145&lt;$AR95),0,Schweine_Werte!$M95))</f>
        <v>1.2483202500391168</v>
      </c>
      <c r="BY95" s="1710">
        <f>IF(OR($C$74=$AR95,$D$74=$AR95),Schweine_Werte!$O95*0.5,IF(OR($C$74&gt;$AR95,$D$74&lt;$AR95),0,Schweine_Werte!$O95))</f>
        <v>0</v>
      </c>
      <c r="BZ95" s="1710">
        <f>IF(OR($C$83=$AR95,$D$83=$AR95),Schweine_Werte!$O95*0.5,IF(OR($C$83&gt;$AR95,$D$83&lt;$AR95),0,Schweine_Werte!$O95))</f>
        <v>0</v>
      </c>
      <c r="CA95" s="1714">
        <f>IF(OR($C$92=$AR95,$D$92=$AR95),Schweine_Werte!$O95*0.5,IF(OR($C$92&gt;$AR95,$D$92&lt;$AR95),0,Schweine_Werte!$O95))</f>
        <v>0</v>
      </c>
      <c r="CB95" s="1714">
        <f>IF(OR($C$101=$AR95,$D$101=$AR95),Schweine_Werte!$O95*0.5,IF(OR($C$101&gt;$AR95,$D$101&lt;$AR95),0,Schweine_Werte!$O95))</f>
        <v>0</v>
      </c>
      <c r="CC95" s="1714">
        <f>IF(OR($C$110=$AR95,$D$110=$AR95),Schweine_Werte!$O95*0.5,IF(OR($C$110&gt;$AR95,$D$110&lt;$AR95),0,Schweine_Werte!$O95))</f>
        <v>0</v>
      </c>
    </row>
    <row r="96" spans="1:81" x14ac:dyDescent="0.25">
      <c r="B96" t="s">
        <v>8613</v>
      </c>
      <c r="C96"/>
      <c r="D96"/>
      <c r="E96" t="s">
        <v>8568</v>
      </c>
      <c r="F96" t="s">
        <v>195</v>
      </c>
      <c r="G96" t="s">
        <v>8569</v>
      </c>
      <c r="H96" t="s">
        <v>8570</v>
      </c>
      <c r="I96" t="s">
        <v>8571</v>
      </c>
      <c r="J96" t="s">
        <v>8096</v>
      </c>
      <c r="K96" t="s">
        <v>8572</v>
      </c>
      <c r="L96" t="s">
        <v>8573</v>
      </c>
      <c r="M96" t="s">
        <v>8574</v>
      </c>
      <c r="N96" t="s">
        <v>8575</v>
      </c>
      <c r="O96" t="s">
        <v>8576</v>
      </c>
      <c r="P96" t="s">
        <v>8577</v>
      </c>
      <c r="Q96" t="s">
        <v>35</v>
      </c>
      <c r="R96" t="s">
        <v>36</v>
      </c>
      <c r="S96" t="s">
        <v>37</v>
      </c>
      <c r="T96" t="s">
        <v>35</v>
      </c>
      <c r="U96" t="s">
        <v>36</v>
      </c>
      <c r="V96" t="s">
        <v>37</v>
      </c>
      <c r="W96" t="s">
        <v>8548</v>
      </c>
      <c r="X96" t="s">
        <v>8549</v>
      </c>
      <c r="Y96" t="s">
        <v>8550</v>
      </c>
      <c r="Z96"/>
      <c r="AA96"/>
      <c r="AB96"/>
      <c r="AC96"/>
      <c r="AD96"/>
      <c r="AE96"/>
      <c r="AF96"/>
      <c r="AG96"/>
      <c r="AH96"/>
      <c r="AI96"/>
      <c r="AJ96"/>
      <c r="AK96"/>
      <c r="AL96"/>
      <c r="AM96"/>
      <c r="AN96"/>
      <c r="AO96"/>
      <c r="AR96" s="1733">
        <v>100</v>
      </c>
      <c r="AS96" s="1710">
        <f>IF(OR($C$12=$AR96,$D$12=$AR96),Schweine_Werte!$C96*0.5,IF(OR($C$12&gt;$AR96,$D$12&lt;$AR96),0,Schweine_Werte!$C96))</f>
        <v>0</v>
      </c>
      <c r="AT96" s="1713">
        <f>IF(OR($C$24=$AR96,$D$24=$AR96),Schweine_Werte!$C96*0.5,IF(OR($C$24&gt;$AR96,$D$24&lt;$AR96),0,Schweine_Werte!$C96))</f>
        <v>0</v>
      </c>
      <c r="AU96" s="1710">
        <f>IF(OR($C$36=$AR96,$D$36=$AR96),Schweine_Werte!$C96*0.5,IF(OR($C$36&gt;$AR96,$D$36&lt;$AR96),0,Schweine_Werte!$C96))</f>
        <v>0</v>
      </c>
      <c r="AV96" s="1710">
        <f>IF(OR($C$48=$AR96,$D$48=$AR96),Schweine_Werte!$C96*0.5,IF(OR($C$48&gt;$AR96,$D$48&lt;$AR96),0,Schweine_Werte!$C96))</f>
        <v>0</v>
      </c>
      <c r="AW96" s="1710">
        <f>IF(OR($C$60=$AR96,$D$60=$AR96),Schweine_Werte!$C96*0.5,IF(OR($C$60&gt;$AR96,$D$60&lt;$AR96),0,Schweine_Werte!$C96))</f>
        <v>0</v>
      </c>
      <c r="AX96" s="1710">
        <f>IF(OR($C$12=$AR96,$D$12=$AR96),Schweine_Werte!$E96*0.5,IF(OR($C$12&gt;$AR96,$D$12&lt;$AR96),0,Schweine_Werte!$E96))</f>
        <v>0</v>
      </c>
      <c r="AY96" s="1713">
        <f>IF(OR($C$24=$AR96,$D$24=$AR96),Schweine_Werte!$E96*0.5,IF(OR($C$24&gt;$AR96,$D$24&lt;$AR96),0,Schweine_Werte!$E96))</f>
        <v>0</v>
      </c>
      <c r="AZ96" s="1713">
        <f>IF(OR($C$36=$AR96,$D$36=$AR96),Schweine_Werte!$E96*0.5,IF(OR($C$36&gt;$AR96,$D$36&lt;$AR96),0,Schweine_Werte!$E96))</f>
        <v>0</v>
      </c>
      <c r="BA96" s="1713">
        <f>IF(OR($C$48=$AR96,$D$48=$AR96),Schweine_Werte!$E96*0.5,IF(OR($C$48&gt;$AR96,$D$48&lt;$AR96),0,Schweine_Werte!$E96))</f>
        <v>0</v>
      </c>
      <c r="BB96" s="1713">
        <f>IF(OR($C$60=$AR96,$D$60=$AR96),Schweine_Werte!$E96*0.5,IF(OR($C$60&gt;$AR96,$D$60&lt;$AR96),0,Schweine_Werte!$E96))</f>
        <v>0</v>
      </c>
      <c r="BC96" s="1710">
        <f>IF(OR($C$12=$AR96,$D$12=$AR96),Schweine_Werte!$G96*0.5,IF(OR($C$12&gt;$AR96,$D$12&lt;$AR96),0,Schweine_Werte!$G96))</f>
        <v>0</v>
      </c>
      <c r="BD96" s="1713">
        <f>IF(OR($C$24=$AR96,$D$24=$AR96),Schweine_Werte!$G96*0.5,IF(OR($C$24&gt;$AR96,$D$24&lt;$AR96),0,Schweine_Werte!$G96))</f>
        <v>0</v>
      </c>
      <c r="BE96" s="1713">
        <f>IF(OR($C$36=$AR96,$D$36=$AR96),Schweine_Werte!$G96*0.5,IF(OR($C$36&gt;$AR96,$D$36&lt;$AR96),0,Schweine_Werte!$G96))</f>
        <v>0</v>
      </c>
      <c r="BF96" s="1713">
        <f>IF(OR($C$48=$AR96,$D$48=$AR96),Schweine_Werte!$G96*0.5,IF(OR($C$48&gt;$AR96,$D$48&lt;$AR96),0,Schweine_Werte!$G96))</f>
        <v>0</v>
      </c>
      <c r="BG96" s="1713">
        <f>IF(OR($C$60=$AR96,$D$60=$AR96),Schweine_Werte!$G96*0.5,IF(OR($C$60&gt;$AR96,$D$60&lt;$AR96),0,Schweine_Werte!$G96))</f>
        <v>0</v>
      </c>
      <c r="BH96" s="1710">
        <f>IF(OR($C$12=$AR96,$D$12=$AR96),Schweine_Werte!$I96*0.5,IF(OR($C$12&gt;$AR96,$D$12&lt;$AR96),0,Schweine_Werte!$I96))</f>
        <v>0</v>
      </c>
      <c r="BI96" s="1713">
        <f>IF(OR($C$24=$AR96,$D$24=$AR96),Schweine_Werte!$I96*0.5,IF(OR($C$24&gt;$AR96,$D$24&lt;$AR96),0,Schweine_Werte!$I96))</f>
        <v>0</v>
      </c>
      <c r="BJ96" s="1713">
        <f>IF(OR($C$36=$AR96,$D$36=$AR96),Schweine_Werte!$I96*0.5,IF(OR($C$36&gt;$AR96,$D$36&lt;$AR96),0,Schweine_Werte!$I96))</f>
        <v>0</v>
      </c>
      <c r="BK96" s="1713">
        <f>IF(OR($C$48=$AR96,$D$48=$AR96),Schweine_Werte!$I96*0.5,IF(OR($C$48&gt;$AR96,$D$48&lt;$AR96),0,Schweine_Werte!$I96))</f>
        <v>0</v>
      </c>
      <c r="BL96" s="1713">
        <f>IF(OR($C$60=$AR96,$D$60=$AR96),Schweine_Werte!$I96*0.5,IF(OR($C$60&gt;$AR96,$D$60&lt;$AR96),0,Schweine_Werte!$I96))</f>
        <v>0</v>
      </c>
      <c r="BM96" s="1710">
        <f>IF(OR($C$12=$AR96,$D$12=$AR96),Schweine_Werte!$K96*0.5,IF(OR($C$12&gt;$AR96,$D$12&lt;$AR96),0,Schweine_Werte!$K96))</f>
        <v>0</v>
      </c>
      <c r="BN96" s="1713">
        <f>IF(OR($C$24=$AR96,$D$24=$AR96),Schweine_Werte!$K96*0.5,IF(OR($C$24&gt;$AR96,$D$24&lt;$AR96),0,Schweine_Werte!$K96))</f>
        <v>0</v>
      </c>
      <c r="BO96" s="1713">
        <f>IF(OR($C$36=$AR96,$D$36=$AR96),Schweine_Werte!$K96*0.5,IF(OR($C$36&gt;$AR96,$D$36&lt;$AR96),0,Schweine_Werte!$K96))</f>
        <v>0</v>
      </c>
      <c r="BP96" s="1713">
        <f>IF(OR($C$48=$AR96,$D$48=$AR96),Schweine_Werte!$K96*0.5,IF(OR($C$48&gt;$AR96,$D$48&lt;$AR96),0,Schweine_Werte!$K96))</f>
        <v>0</v>
      </c>
      <c r="BQ96" s="1713">
        <f>IF(OR($C$60=$AR96,$D$60=$AR96),Schweine_Werte!$K96*0.5,IF(OR($C$60&gt;$AR96,$D$60&lt;$AR96),0,Schweine_Werte!$K96))</f>
        <v>0</v>
      </c>
      <c r="BR96" s="1710">
        <f>IF(OR($C$74=$AR96,$D$74=$AR96),Schweine_Werte!$M96*0.5,IF(OR($C$74&gt;$AR96,$D$74&lt;$AR96),0,Schweine_Werte!$M96))</f>
        <v>0</v>
      </c>
      <c r="BS96" s="1710">
        <f>IF(OR($C$83=$AR96,$D$83=$AR96),Schweine_Werte!$M96*0.5,IF(OR($C$83&gt;$AR96,$D$83&lt;$AR96),0,Schweine_Werte!$M96))</f>
        <v>0</v>
      </c>
      <c r="BT96" s="1714">
        <f>IF(OR($C$92=$AR96,$D$92=$AR96),Schweine_Werte!$M96*0.5,IF(OR($C$92&gt;$AR96,$D$92&lt;$AR96),0,Schweine_Werte!$M96))</f>
        <v>0</v>
      </c>
      <c r="BU96" s="1714">
        <f>IF(OR($C$101=$AR96,$D$101=$AR96),Schweine_Werte!$M96*0.5,IF(OR($C$101&gt;$AR96,$D$101&lt;$AR96),0,Schweine_Werte!$M96))</f>
        <v>0</v>
      </c>
      <c r="BV96" s="1714">
        <f>IF(OR($C$110=$AR96,$D$110=$AR96),Schweine_Werte!$M96*0.5,IF(OR($C$110&gt;$AR96,$D$110&lt;$AR96),0,Schweine_Werte!$M96))</f>
        <v>0</v>
      </c>
      <c r="BW96" s="1714">
        <f>IF(OR(8=$AR96,$E$127=$AR96),Schweine_Werte!$M96*0.5,IF(OR(8&gt;$AR96,$E$127&lt;$AR96),0,Schweine_Werte!$M96))</f>
        <v>1.2608927189522001</v>
      </c>
      <c r="BX96" s="1714">
        <f>IF(OR(8=$AR96,$E$145=$AR96),Schweine_Werte!$M96*0.5,IF(OR(8&gt;$AR96,$E$145&lt;$AR96),0,Schweine_Werte!$M96))</f>
        <v>1.2608927189522001</v>
      </c>
      <c r="BY96" s="1710">
        <f>IF(OR($C$74=$AR96,$D$74=$AR96),Schweine_Werte!$O96*0.5,IF(OR($C$74&gt;$AR96,$D$74&lt;$AR96),0,Schweine_Werte!$O96))</f>
        <v>0</v>
      </c>
      <c r="BZ96" s="1710">
        <f>IF(OR($C$83=$AR96,$D$83=$AR96),Schweine_Werte!$O96*0.5,IF(OR($C$83&gt;$AR96,$D$83&lt;$AR96),0,Schweine_Werte!$O96))</f>
        <v>0</v>
      </c>
      <c r="CA96" s="1714">
        <f>IF(OR($C$92=$AR96,$D$92=$AR96),Schweine_Werte!$O96*0.5,IF(OR($C$92&gt;$AR96,$D$92&lt;$AR96),0,Schweine_Werte!$O96))</f>
        <v>0</v>
      </c>
      <c r="CB96" s="1714">
        <f>IF(OR($C$101=$AR96,$D$101=$AR96),Schweine_Werte!$O96*0.5,IF(OR($C$101&gt;$AR96,$D$101&lt;$AR96),0,Schweine_Werte!$O96))</f>
        <v>0</v>
      </c>
      <c r="CC96" s="1714">
        <f>IF(OR($C$110=$AR96,$D$110=$AR96),Schweine_Werte!$O96*0.5,IF(OR($C$110&gt;$AR96,$D$110&lt;$AR96),0,Schweine_Werte!$O96))</f>
        <v>0</v>
      </c>
    </row>
    <row r="97" spans="1:81" x14ac:dyDescent="0.25">
      <c r="B97">
        <v>450</v>
      </c>
      <c r="C97"/>
      <c r="D97" s="885"/>
      <c r="E97" t="e">
        <f>($D101-$C101)*1000/SUM($BU$4:$BU$31)</f>
        <v>#VALUE!</v>
      </c>
      <c r="F97" s="885" t="e">
        <f>SUMPRODUCT($BU$4:$BU$31,Schweine_Werte!$V$4:$V$31)/SUM($BU$4:$BU$31)</f>
        <v>#DIV/0!</v>
      </c>
      <c r="G97" s="885" t="e">
        <f>IF($B101=$A$8,SUMPRODUCT($BU$4:$BU$31,Schweine_Werte!HE$4:HE$31)/SUM($BU$4:$BU$31),IF($B101=$A$7,SUMPRODUCT($BU$4:$BU$31,Schweine_Werte!GQ$4:GQ$31)/SUM($BU$4:$BU$31),IF($B101=$A$6,SUMPRODUCT($BU$4:$BU$31,Schweine_Werte!GC$4:GC$31)/SUM($BU$4:$BU$31),SUMPRODUCT($BU$4:$BU$31,Schweine_Werte!FO$4:FO$31)/SUM($BU$4:$BU$31))))</f>
        <v>#DIV/0!</v>
      </c>
      <c r="H97" s="885" t="e">
        <f>IF($B101=$A$8,SUMPRODUCT($BU$4:$BU$31,Schweine_Werte!HF$4:HF$31)/SUM($BU$4:$BU$31),IF($B101=$A$7,SUMPRODUCT($BU$4:$BU$31,Schweine_Werte!GR$4:GR$31)/SUM($BU$4:$BU$31),IF($B101=$A$6,SUMPRODUCT($BU$4:$BU$31,Schweine_Werte!GD$4:GD$31)/SUM($BU$4:$BU$31),SUMPRODUCT($BU$4:$BU$31,Schweine_Werte!FP$4:FP$31)/SUM($BU$4:$BU$31))))</f>
        <v>#DIV/0!</v>
      </c>
      <c r="I97" s="885" t="e">
        <f>IF($B101=$A$8,SUMPRODUCT($BU$4:$BU$31,Schweine_Werte!HG$4:HG$31)/SUM($BU$4:$BU$31),IF($B101=$A$7,SUMPRODUCT($BU$4:$BU$31,Schweine_Werte!GS$4:GS$31)/SUM($BU$4:$BU$31),IF($B101=$A$6,SUMPRODUCT($BU$4:$BU$31,Schweine_Werte!GE$4:GE$31)/SUM($BU$4:$BU$31),SUMPRODUCT($BU$4:$BU$31,Schweine_Werte!FQ$4:FQ$31)/SUM($BU$4:$BU$31))))</f>
        <v>#DIV/0!</v>
      </c>
      <c r="J97" s="885" t="e">
        <f>SUMPRODUCT($BU$4:$BU$31,Schweine_Werte!$AD$4:$AD$31)/SUM($BU$4:$BU$31)</f>
        <v>#DIV/0!</v>
      </c>
      <c r="K97" s="885" t="e">
        <f>SUMPRODUCT($BU$4:$BU$31,Schweine_Werte!$AL$4:$AL$31)/SUM($BU$4:$BU$31)</f>
        <v>#DIV/0!</v>
      </c>
      <c r="L97" s="885" t="e">
        <f>T97*$F97*365/1000+$J97-$K97</f>
        <v>#DIV/0!</v>
      </c>
      <c r="M97" s="885" t="e">
        <f>U97*$F97*365/1000+$J97-$K97/2</f>
        <v>#DIV/0!</v>
      </c>
      <c r="N97" s="885" t="e">
        <f>V97*$F97*365/1000+$J97</f>
        <v>#DIV/0!</v>
      </c>
      <c r="O97" s="885">
        <f>IF($C101&lt;28,SUM($BU$4:$BU$23)+IF($D101&gt;28,$BU$24*0.5,$BU$24),0)</f>
        <v>0</v>
      </c>
      <c r="P97" s="885">
        <f>IF($D101&gt;28,SUM($BU$25:$BU$31)+IF($C101&lt;28,$BU$24*0.5,$BU$24),0)</f>
        <v>0</v>
      </c>
      <c r="Q97" s="885" t="e">
        <f t="shared" ref="Q97:S98" si="24">+T97*$F97</f>
        <v>#DIV/0!</v>
      </c>
      <c r="R97" s="885" t="e">
        <f t="shared" si="24"/>
        <v>#DIV/0!</v>
      </c>
      <c r="S97" s="885" t="e">
        <f t="shared" si="24"/>
        <v>#DIV/0!</v>
      </c>
      <c r="T97" s="885" t="e">
        <f>+($O97*Schweine_Werte!$HT$15+$P97*Schweine_Werte!$HU$15)/SUM($O97:$P97)</f>
        <v>#DIV/0!</v>
      </c>
      <c r="U97" s="885" t="e">
        <f>+($O97*Schweine_Werte!$HV$15+$P97*Schweine_Werte!$HW$15)/SUM($O97:$P97)</f>
        <v>#DIV/0!</v>
      </c>
      <c r="V97" s="885" t="e">
        <f>+($O97*Schweine_Werte!$HX$15+$P97*Schweine_Werte!$HY$15)/SUM($O97:$P97)</f>
        <v>#DIV/0!</v>
      </c>
      <c r="W97" s="1915" t="e">
        <f>($J97*0.055+T97*0.365*0.86*$F97-$K97*0.018)/L97*100</f>
        <v>#DIV/0!</v>
      </c>
      <c r="X97" s="1915" t="e">
        <f>($J97*0.055+U97*0.365*0.86*$F97-$K97*0.018/2)/M97*100</f>
        <v>#DIV/0!</v>
      </c>
      <c r="Y97" s="885" t="e">
        <f>($J97*0.055+V97*0.365*0.86*$F97)/N97*100</f>
        <v>#DIV/0!</v>
      </c>
      <c r="Z97" s="885" t="e">
        <f>IF($B101=$A$8,SUMPRODUCT($BU$4:$BU$31,Schweine_Werte!$HH$4:$HH$31,Schweine_Werte!$HI$4:$HI$31)/SUMPRODUCT($BU$4:$BU$31,Schweine_Werte!$HH$4:$HH$31),IF($B101=$A$7,SUMPRODUCT($BU$4:$BU$31,Schweine_Werte!$GT$4:$GT$31,Schweine_Werte!$GU$4:$GU$31)/SUMPRODUCT($BU$4:$BU$31,Schweine_Werte!$GT$4:$GT$31),IF($B101=$A$6,SUMPRODUCT($BU$4:$BU$31,Schweine_Werte!$GF$4:$GF$31,Schweine_Werte!$GG$4:$GG$31)/SUMPRODUCT($BU$4:$BU$31,Schweine_Werte!$GF$4:$GF$31),SUMPRODUCT($BU$4:$BU$31,Schweine_Werte!$FR$4:$FR$31,Schweine_Werte!$FS$4:$FS$31)/SUMPRODUCT($BU$4:$BU$31,Schweine_Werte!$FR$4:$FR$31))))</f>
        <v>#DIV/0!</v>
      </c>
      <c r="AA97" s="885"/>
      <c r="AB97" s="885">
        <f>IF($B101=$A$8,SUMIF(Schweine_Werte!$AO$4:$AO$31,$C101,Schweine_Werte!$HI$4:$HI$31),IF($B101=$A$7,SUMIF(Schweine_Werte!$AO$4:$AO$31,$C101,Schweine_Werte!$GU$4:$GU$31),IF($B101=$A$6,SUMIF(Schweine_Werte!$AO$4:$AO$31,$C101,Schweine_Werte!$GG$4:$GG$31),SUMIF(Schweine_Werte!$AO$4:$AO$31,$C101,Schweine_Werte!$FS$4:$FS$31))))</f>
        <v>0</v>
      </c>
      <c r="AC97" s="885"/>
      <c r="AD97" s="885">
        <f>IF($B101=$A$8,SUMIF(Schweine_Werte!$AO$4:$AO$31,$D101,Schweine_Werte!$HI$4:$HI$31),IF($B101=$A$7,SUMIF(Schweine_Werte!$AO$4:$AO$31,$D101,Schweine_Werte!$GU$4:$GU$31),IF($B101=$A$6,SUMIF(Schweine_Werte!$AO$4:$AO$31,$D101,Schweine_Werte!$GG$4:$GG$31),SUMIF(Schweine_Werte!$AO$4:$AO$31,$D101,Schweine_Werte!$FS$4:$FS$31))))</f>
        <v>0</v>
      </c>
      <c r="AE97" s="885"/>
      <c r="AF97" s="885"/>
      <c r="AG97" s="885" t="e">
        <f>IF($B101=$A$8,SUMPRODUCT($BU$4:$BU$31,Schweine_Werte!$HH$4:$HH$31)/SUM($BU$4:$BU$31),IF($B101=$A$7,SUMPRODUCT($BU$4:$BU$31,Schweine_Werte!$GT$4:$GT$31)/SUM($BU$4:$BU$31),IF($B101=$A$6,SUMPRODUCT($BU$4:$BU$31,Schweine_Werte!$GF$4:$GF$31)/SUM($BU$4:$BU$31),SUMPRODUCT($BU$4:$BU$31,Schweine_Werte!$FR$4:$FR$31)/SUM($BU$4:$BU$31))))</f>
        <v>#DIV/0!</v>
      </c>
      <c r="AH97" s="885"/>
      <c r="AI97" s="885"/>
      <c r="AJ97" s="885" t="e">
        <f>IF($B101=$A$8,SUMPRODUCT($BU$4:$BU$31,Schweine_Werte!$HH$4:$HH$31,Schweine_Werte!$HJ$4:$HJ$31)/SUMPRODUCT($BU$4:$BU$31,Schweine_Werte!$HH$4:$HH$31),IF($B101=$A$7,SUMPRODUCT($BU$4:$BU$31,Schweine_Werte!$GT$4:$GT$31,Schweine_Werte!$GV$4:$GV$31)/SUMPRODUCT($BU$4:$BU$31,Schweine_Werte!$GT$4:$GT$31),IF($B101=$A$6,SUMPRODUCT($BU$4:$BU$31,Schweine_Werte!$GF$4:$GF$31,Schweine_Werte!$GH$4:$GH$31)/SUMPRODUCT($BU$4:$BU$31,Schweine_Werte!$GF$4:$GF$31),SUMPRODUCT($BU$4:$BU$31,Schweine_Werte!$FR$4:$FR$31,Schweine_Werte!$FT$4:$FT$31)/SUMPRODUCT($BU$4:$BU$31,Schweine_Werte!$FR$4:$FR$31))))</f>
        <v>#DIV/0!</v>
      </c>
      <c r="AK97" s="885"/>
      <c r="AL97" s="885">
        <f>IF($B101=$A$8,SUMIF(Schweine_Werte!$AO$4:$AO$31,$C101,Schweine_Werte!$HJ$4:$HJ$31),IF($B101=$A$7,SUMIF(Schweine_Werte!$AO$4:$AO$31,$C101,Schweine_Werte!$GV$4:$GV$31),IF($B101=$A$6,SUMIF(Schweine_Werte!$AO$4:$AO$31,$C101,Schweine_Werte!$GH$4:$GH$31),SUMIF(Schweine_Werte!$AO$4:$AO$31,$C101,Schweine_Werte!$FT$4:$FT$31))))</f>
        <v>0</v>
      </c>
      <c r="AM97" s="885"/>
      <c r="AN97" s="885">
        <f>IF($B101=$A$8,SUMIF(Schweine_Werte!$AO$4:$AO$31,$D101,Schweine_Werte!$HJ$4:$HJ$31),IF($B101=$A$7,SUMIF(Schweine_Werte!$AO$4:$AO$31,$D101,Schweine_Werte!$GV$4:$GV$31),IF($B101=$A$6,SUMIF(Schweine_Werte!$AO$4:$AO$31,$D101,Schweine_Werte!$GH$4:$GH$31),SUMIF(Schweine_Werte!$AO$4:$AO$31,$D101,Schweine_Werte!$FT$4:$FT$31))))</f>
        <v>0</v>
      </c>
      <c r="AO97"/>
      <c r="AR97" s="1733">
        <v>101</v>
      </c>
      <c r="AS97" s="1710">
        <f>IF(OR($C$12=$AR97,$D$12=$AR97),Schweine_Werte!$C97*0.5,IF(OR($C$12&gt;$AR97,$D$12&lt;$AR97),0,Schweine_Werte!$C97))</f>
        <v>0</v>
      </c>
      <c r="AT97" s="1713">
        <f>IF(OR($C$24=$AR97,$D$24=$AR97),Schweine_Werte!$C97*0.5,IF(OR($C$24&gt;$AR97,$D$24&lt;$AR97),0,Schweine_Werte!$C97))</f>
        <v>0</v>
      </c>
      <c r="AU97" s="1710">
        <f>IF(OR($C$36=$AR97,$D$36=$AR97),Schweine_Werte!$C97*0.5,IF(OR($C$36&gt;$AR97,$D$36&lt;$AR97),0,Schweine_Werte!$C97))</f>
        <v>0</v>
      </c>
      <c r="AV97" s="1710">
        <f>IF(OR($C$48=$AR97,$D$48=$AR97),Schweine_Werte!$C97*0.5,IF(OR($C$48&gt;$AR97,$D$48&lt;$AR97),0,Schweine_Werte!$C97))</f>
        <v>0</v>
      </c>
      <c r="AW97" s="1710">
        <f>IF(OR($C$60=$AR97,$D$60=$AR97),Schweine_Werte!$C97*0.5,IF(OR($C$60&gt;$AR97,$D$60&lt;$AR97),0,Schweine_Werte!$C97))</f>
        <v>0</v>
      </c>
      <c r="AX97" s="1710">
        <f>IF(OR($C$12=$AR97,$D$12=$AR97),Schweine_Werte!$E97*0.5,IF(OR($C$12&gt;$AR97,$D$12&lt;$AR97),0,Schweine_Werte!$E97))</f>
        <v>0</v>
      </c>
      <c r="AY97" s="1713">
        <f>IF(OR($C$24=$AR97,$D$24=$AR97),Schweine_Werte!$E97*0.5,IF(OR($C$24&gt;$AR97,$D$24&lt;$AR97),0,Schweine_Werte!$E97))</f>
        <v>0</v>
      </c>
      <c r="AZ97" s="1713">
        <f>IF(OR($C$36=$AR97,$D$36=$AR97),Schweine_Werte!$E97*0.5,IF(OR($C$36&gt;$AR97,$D$36&lt;$AR97),0,Schweine_Werte!$E97))</f>
        <v>0</v>
      </c>
      <c r="BA97" s="1713">
        <f>IF(OR($C$48=$AR97,$D$48=$AR97),Schweine_Werte!$E97*0.5,IF(OR($C$48&gt;$AR97,$D$48&lt;$AR97),0,Schweine_Werte!$E97))</f>
        <v>0</v>
      </c>
      <c r="BB97" s="1713">
        <f>IF(OR($C$60=$AR97,$D$60=$AR97),Schweine_Werte!$E97*0.5,IF(OR($C$60&gt;$AR97,$D$60&lt;$AR97),0,Schweine_Werte!$E97))</f>
        <v>0</v>
      </c>
      <c r="BC97" s="1710">
        <f>IF(OR($C$12=$AR97,$D$12=$AR97),Schweine_Werte!$G97*0.5,IF(OR($C$12&gt;$AR97,$D$12&lt;$AR97),0,Schweine_Werte!$G97))</f>
        <v>0</v>
      </c>
      <c r="BD97" s="1713">
        <f>IF(OR($C$24=$AR97,$D$24=$AR97),Schweine_Werte!$G97*0.5,IF(OR($C$24&gt;$AR97,$D$24&lt;$AR97),0,Schweine_Werte!$G97))</f>
        <v>0</v>
      </c>
      <c r="BE97" s="1713">
        <f>IF(OR($C$36=$AR97,$D$36=$AR97),Schweine_Werte!$G97*0.5,IF(OR($C$36&gt;$AR97,$D$36&lt;$AR97),0,Schweine_Werte!$G97))</f>
        <v>0</v>
      </c>
      <c r="BF97" s="1713">
        <f>IF(OR($C$48=$AR97,$D$48=$AR97),Schweine_Werte!$G97*0.5,IF(OR($C$48&gt;$AR97,$D$48&lt;$AR97),0,Schweine_Werte!$G97))</f>
        <v>0</v>
      </c>
      <c r="BG97" s="1713">
        <f>IF(OR($C$60=$AR97,$D$60=$AR97),Schweine_Werte!$G97*0.5,IF(OR($C$60&gt;$AR97,$D$60&lt;$AR97),0,Schweine_Werte!$G97))</f>
        <v>0</v>
      </c>
      <c r="BH97" s="1710">
        <f>IF(OR($C$12=$AR97,$D$12=$AR97),Schweine_Werte!$I97*0.5,IF(OR($C$12&gt;$AR97,$D$12&lt;$AR97),0,Schweine_Werte!$I97))</f>
        <v>0</v>
      </c>
      <c r="BI97" s="1713">
        <f>IF(OR($C$24=$AR97,$D$24=$AR97),Schweine_Werte!$I97*0.5,IF(OR($C$24&gt;$AR97,$D$24&lt;$AR97),0,Schweine_Werte!$I97))</f>
        <v>0</v>
      </c>
      <c r="BJ97" s="1713">
        <f>IF(OR($C$36=$AR97,$D$36=$AR97),Schweine_Werte!$I97*0.5,IF(OR($C$36&gt;$AR97,$D$36&lt;$AR97),0,Schweine_Werte!$I97))</f>
        <v>0</v>
      </c>
      <c r="BK97" s="1713">
        <f>IF(OR($C$48=$AR97,$D$48=$AR97),Schweine_Werte!$I97*0.5,IF(OR($C$48&gt;$AR97,$D$48&lt;$AR97),0,Schweine_Werte!$I97))</f>
        <v>0</v>
      </c>
      <c r="BL97" s="1713">
        <f>IF(OR($C$60=$AR97,$D$60=$AR97),Schweine_Werte!$I97*0.5,IF(OR($C$60&gt;$AR97,$D$60&lt;$AR97),0,Schweine_Werte!$I97))</f>
        <v>0</v>
      </c>
      <c r="BM97" s="1710">
        <f>IF(OR($C$12=$AR97,$D$12=$AR97),Schweine_Werte!$K97*0.5,IF(OR($C$12&gt;$AR97,$D$12&lt;$AR97),0,Schweine_Werte!$K97))</f>
        <v>0</v>
      </c>
      <c r="BN97" s="1713">
        <f>IF(OR($C$24=$AR97,$D$24=$AR97),Schweine_Werte!$K97*0.5,IF(OR($C$24&gt;$AR97,$D$24&lt;$AR97),0,Schweine_Werte!$K97))</f>
        <v>0</v>
      </c>
      <c r="BO97" s="1713">
        <f>IF(OR($C$36=$AR97,$D$36=$AR97),Schweine_Werte!$K97*0.5,IF(OR($C$36&gt;$AR97,$D$36&lt;$AR97),0,Schweine_Werte!$K97))</f>
        <v>0</v>
      </c>
      <c r="BP97" s="1713">
        <f>IF(OR($C$48=$AR97,$D$48=$AR97),Schweine_Werte!$K97*0.5,IF(OR($C$48&gt;$AR97,$D$48&lt;$AR97),0,Schweine_Werte!$K97))</f>
        <v>0</v>
      </c>
      <c r="BQ97" s="1713">
        <f>IF(OR($C$60=$AR97,$D$60=$AR97),Schweine_Werte!$K97*0.5,IF(OR($C$60&gt;$AR97,$D$60&lt;$AR97),0,Schweine_Werte!$K97))</f>
        <v>0</v>
      </c>
      <c r="BR97" s="1710">
        <f>IF(OR($C$74=$AR97,$D$74=$AR97),Schweine_Werte!$M97*0.5,IF(OR($C$74&gt;$AR97,$D$74&lt;$AR97),0,Schweine_Werte!$M97))</f>
        <v>0</v>
      </c>
      <c r="BS97" s="1710">
        <f>IF(OR($C$83=$AR97,$D$83=$AR97),Schweine_Werte!$M97*0.5,IF(OR($C$83&gt;$AR97,$D$83&lt;$AR97),0,Schweine_Werte!$M97))</f>
        <v>0</v>
      </c>
      <c r="BT97" s="1714">
        <f>IF(OR($C$92=$AR97,$D$92=$AR97),Schweine_Werte!$M97*0.5,IF(OR($C$92&gt;$AR97,$D$92&lt;$AR97),0,Schweine_Werte!$M97))</f>
        <v>0</v>
      </c>
      <c r="BU97" s="1714">
        <f>IF(OR($C$101=$AR97,$D$101=$AR97),Schweine_Werte!$M97*0.5,IF(OR($C$101&gt;$AR97,$D$101&lt;$AR97),0,Schweine_Werte!$M97))</f>
        <v>0</v>
      </c>
      <c r="BV97" s="1714">
        <f>IF(OR($C$110=$AR97,$D$110=$AR97),Schweine_Werte!$M97*0.5,IF(OR($C$110&gt;$AR97,$D$110&lt;$AR97),0,Schweine_Werte!$M97))</f>
        <v>0</v>
      </c>
      <c r="BW97" s="1714">
        <f>IF(OR(8=$AR97,$E$127=$AR97),Schweine_Werte!$M97*0.5,IF(OR(8&gt;$AR97,$E$127&lt;$AR97),0,Schweine_Werte!$M97))</f>
        <v>1.2741957942593323</v>
      </c>
      <c r="BX97" s="1714">
        <f>IF(OR(8=$AR97,$E$145=$AR97),Schweine_Werte!$M97*0.5,IF(OR(8&gt;$AR97,$E$145&lt;$AR97),0,Schweine_Werte!$M97))</f>
        <v>1.2741957942593323</v>
      </c>
      <c r="BY97" s="1710">
        <f>IF(OR($C$74=$AR97,$D$74=$AR97),Schweine_Werte!$O97*0.5,IF(OR($C$74&gt;$AR97,$D$74&lt;$AR97),0,Schweine_Werte!$O97))</f>
        <v>0</v>
      </c>
      <c r="BZ97" s="1710">
        <f>IF(OR($C$83=$AR97,$D$83=$AR97),Schweine_Werte!$O97*0.5,IF(OR($C$83&gt;$AR97,$D$83&lt;$AR97),0,Schweine_Werte!$O97))</f>
        <v>0</v>
      </c>
      <c r="CA97" s="1714">
        <f>IF(OR($C$92=$AR97,$D$92=$AR97),Schweine_Werte!$O97*0.5,IF(OR($C$92&gt;$AR97,$D$92&lt;$AR97),0,Schweine_Werte!$O97))</f>
        <v>0</v>
      </c>
      <c r="CB97" s="1714">
        <f>IF(OR($C$101=$AR97,$D$101=$AR97),Schweine_Werte!$O97*0.5,IF(OR($C$101&gt;$AR97,$D$101&lt;$AR97),0,Schweine_Werte!$O97))</f>
        <v>0</v>
      </c>
      <c r="CC97" s="1714">
        <f>IF(OR($C$110=$AR97,$D$110=$AR97),Schweine_Werte!$O97*0.5,IF(OR($C$110&gt;$AR97,$D$110&lt;$AR97),0,Schweine_Werte!$O97))</f>
        <v>0</v>
      </c>
    </row>
    <row r="98" spans="1:81" x14ac:dyDescent="0.25">
      <c r="B98">
        <v>500</v>
      </c>
      <c r="C98"/>
      <c r="D98" s="885"/>
      <c r="E98" t="e">
        <f>($D101-$C101)*1000/SUM($CB$4:$CB$31)</f>
        <v>#VALUE!</v>
      </c>
      <c r="F98" s="885" t="e">
        <f>SUMPRODUCT($CB$4:$CB$31,Schweine_Werte!$W$4:$W$31)/SUM($CB$4:$CB$31)</f>
        <v>#DIV/0!</v>
      </c>
      <c r="G98" s="885" t="e">
        <f>IF($B101=$A$8,SUMPRODUCT($CB$4:$CB$31,Schweine_Werte!HK$4:HK$31)/SUM($CB$4:$CB$31),IF($B101=$A$7,SUMPRODUCT($CB$4:$CB$31,Schweine_Werte!GW$4:GW$31)/SUM($CB$4:$CB$31),IF($B101=$A$6,SUMPRODUCT($CB$4:$CB$31,Schweine_Werte!GI$4:GI$31)/SUM($CB$4:$CB$31),SUMPRODUCT($CB$4:$CB$31,Schweine_Werte!FU$4:FU$31)/SUM($CB$4:$CB$31))))</f>
        <v>#DIV/0!</v>
      </c>
      <c r="H98" s="885" t="e">
        <f>IF($B101=$A$8,SUMPRODUCT($CB$4:$CB$31,Schweine_Werte!HL$4:HL$31)/SUM($CB$4:$CB$31),IF($B101=$A$7,SUMPRODUCT($CB$4:$CB$31,Schweine_Werte!GX$4:GX$31)/SUM($CB$4:$CB$31),IF($B101=$A$6,SUMPRODUCT($CB$4:$CB$31,Schweine_Werte!GJ$4:GJ$31)/SUM($CB$4:$CB$31),SUMPRODUCT($CB$4:$CB$31,Schweine_Werte!FV$4:FV$31)/SUM($CB$4:$CB$31))))</f>
        <v>#DIV/0!</v>
      </c>
      <c r="I98" s="885" t="e">
        <f>IF($B101=$A$8,SUMPRODUCT($CB$4:$CB$31,Schweine_Werte!HM$4:HM$31)/SUM($CB$4:$CB$31),IF($B101=$A$7,SUMPRODUCT($CB$4:$CB$31,Schweine_Werte!GY$4:GY$31)/SUM($CB$4:$CB$31),IF($B101=$A$6,SUMPRODUCT($CB$4:$CB$31,Schweine_Werte!GK$4:GK$31)/SUM($CB$4:$CB$31),SUMPRODUCT($CB$4:$CB$31,Schweine_Werte!FW$4:FW$31)/SUM($CB$4:$CB$31))))</f>
        <v>#DIV/0!</v>
      </c>
      <c r="J98" s="885" t="e">
        <f>SUMPRODUCT($CB$4:$CB$31,Schweine_Werte!$AE$4:$AE$31)/SUM($CB$4:$CB$31)</f>
        <v>#DIV/0!</v>
      </c>
      <c r="K98" s="885" t="e">
        <f>SUMPRODUCT($CB$4:$CB$31,Schweine_Werte!$AM$4:$AM$31)/SUM($CB$4:$CB$31)</f>
        <v>#DIV/0!</v>
      </c>
      <c r="L98" s="885" t="e">
        <f>T98*$F98*365/1000+$J98-$K98</f>
        <v>#DIV/0!</v>
      </c>
      <c r="M98" s="885" t="e">
        <f>U98*$F98*365/1000+$J98-$K98/2</f>
        <v>#DIV/0!</v>
      </c>
      <c r="N98" s="885" t="e">
        <f>V98*$F98*365/1000+$J98</f>
        <v>#DIV/0!</v>
      </c>
      <c r="O98" s="885">
        <f>IF($C101&lt;28,SUM($CB$4:$CB$23)+IF($D101&gt;28,$CB$24*0.5,$CB$24),0)</f>
        <v>0</v>
      </c>
      <c r="P98" s="885">
        <f>IF($D101&gt;28,SUM($CB$25:$CB$31)+IF($C101&lt;28,$CB$24*0.5,$CB$24),0)</f>
        <v>0</v>
      </c>
      <c r="Q98" s="885" t="e">
        <f t="shared" si="24"/>
        <v>#DIV/0!</v>
      </c>
      <c r="R98" s="885" t="e">
        <f t="shared" si="24"/>
        <v>#DIV/0!</v>
      </c>
      <c r="S98" s="885" t="e">
        <f t="shared" si="24"/>
        <v>#DIV/0!</v>
      </c>
      <c r="T98" s="885" t="e">
        <f>+($O98*Schweine_Werte!$HT$16+$P98*Schweine_Werte!$HU$16)/SUM($O98:$P98)</f>
        <v>#DIV/0!</v>
      </c>
      <c r="U98" s="885" t="e">
        <f>+($O98*Schweine_Werte!$HV$16+$P98*Schweine_Werte!$HW$16)/SUM($O98:$P98)</f>
        <v>#DIV/0!</v>
      </c>
      <c r="V98" s="885" t="e">
        <f>+($O98*Schweine_Werte!$HX$16+$P98*Schweine_Werte!$HY$16)/SUM($O98:$P98)</f>
        <v>#DIV/0!</v>
      </c>
      <c r="W98" s="885" t="e">
        <f>($J98*0.055+T98*0.365*0.86*$F98-$K98*0.018)/L98*100</f>
        <v>#DIV/0!</v>
      </c>
      <c r="X98" s="885" t="e">
        <f>($J98*0.055+U98*0.365*0.86*$F98-$K98*0.018/2)/M98*100</f>
        <v>#DIV/0!</v>
      </c>
      <c r="Y98" s="885" t="e">
        <f>($J98*0.055+V98*0.365*0.86*$F98)/N98*100</f>
        <v>#DIV/0!</v>
      </c>
      <c r="Z98" s="885" t="e">
        <f>IF($B101=$A$8,SUMPRODUCT($CB$4:$CB$31,Schweine_Werte!$HN$4:$HN$31,Schweine_Werte!$HO$4:$HO$31)/SUMPRODUCT($CB$4:$CB$31,Schweine_Werte!$HN$4:$HN$31),IF($B101=$A$7,SUMPRODUCT($CB$4:$CB$31,Schweine_Werte!$GZ$4:$GZ$31,Schweine_Werte!$HA$4:$HA$31)/SUMPRODUCT($CB$4:$CB$31,Schweine_Werte!$GZ$4:$GZ$31),IF($B101=$A$6,SUMPRODUCT($CB$4:$CB$31,Schweine_Werte!$GL$4:$GL$31,Schweine_Werte!$GM$4:$GM$31)/SUMPRODUCT($CB$4:$CB$31,Schweine_Werte!$GL$4:$GL$31),SUMPRODUCT($CB$4:$CB$31,Schweine_Werte!$FX$4:$FX$31,Schweine_Werte!$FY$4:$FY$31)/SUMPRODUCT($CB$4:$CB$31,Schweine_Werte!$FX$4:$FX$31))))</f>
        <v>#DIV/0!</v>
      </c>
      <c r="AA98" s="885"/>
      <c r="AB98" s="885">
        <f>IF($B101=$A$8,SUMIF(Schweine_Werte!$AO$4:$AO$31,$C101,Schweine_Werte!$HO$4:$HO$31),IF($B101=$A$7,SUMIF(Schweine_Werte!$AO$4:$AO$31,$C101,Schweine_Werte!$HA$4:$HA$31),IF($B101=$A$6,SUMIF(Schweine_Werte!$AO$4:$AO$31,$C101,Schweine_Werte!$GM$4:$GM$31),SUMIF(Schweine_Werte!$AO$4:$AO$31,$C101,Schweine_Werte!$FY$4:$FY$31))))</f>
        <v>0</v>
      </c>
      <c r="AC98" s="885"/>
      <c r="AD98" s="885">
        <f>IF($B101=$A$8,SUMIF(Schweine_Werte!$AO$4:$AO$31,$D101,Schweine_Werte!$HO$4:$HO$31),IF($B101=$A$7,SUMIF(Schweine_Werte!$AO$4:$AO$31,$D101,Schweine_Werte!$HA$4:$HA$31),IF($B101=$A$6,SUMIF(Schweine_Werte!$AO$4:$AO$31,$D101,Schweine_Werte!$GM$4:$GM$31),SUMIF(Schweine_Werte!$AO$4:$AO$31,$D101,Schweine_Werte!$FY$4:$FY$31))))</f>
        <v>0</v>
      </c>
      <c r="AE98" s="885"/>
      <c r="AF98" s="885"/>
      <c r="AG98" s="885" t="e">
        <f>IF($B101=$A$8,SUMPRODUCT($CB$4:$CB$31,Schweine_Werte!$HN$4:$HN$31)/SUM($CB$4:$CB$31),IF($B101=$A$7,SUMPRODUCT($CB$4:$CB$31,Schweine_Werte!$GZ$4:$GZ$31)/SUM($CB$4:$CB$31),IF($B101=$A$6,SUMPRODUCT($CB$4:$CB$31,Schweine_Werte!$GL$4:$GL$31)/SUM($CB$4:$CB$31),SUMPRODUCT($CB$4:$CB$31,Schweine_Werte!$FX$4:$FX$31)/SUM($CB$4:$CB$31))))</f>
        <v>#DIV/0!</v>
      </c>
      <c r="AH98" s="885"/>
      <c r="AI98" s="885"/>
      <c r="AJ98" s="885" t="e">
        <f>IF($B101=$A$8,SUMPRODUCT($CB$4:$CB$31,Schweine_Werte!$HN$4:$HN$31,Schweine_Werte!$HP$4:$HP$31)/SUMPRODUCT($CB$4:$CB$31,Schweine_Werte!$HN$4:$HN$31),IF($B101=$A$7,SUMPRODUCT($CB$4:$CB$31,Schweine_Werte!$GZ$4:$GZ$31,Schweine_Werte!$HB$4:$HB$31)/SUMPRODUCT($CB$4:$CB$31,Schweine_Werte!$GZ$4:$GZ$31),IF($B101=$A$6,SUMPRODUCT($CB$4:$CB$31,Schweine_Werte!$GL$4:$GL$31,Schweine_Werte!$GN$4:$GN$31)/SUMPRODUCT($CB$4:$CB$31,Schweine_Werte!$GL$4:$GL$31),SUMPRODUCT($CB$4:$CB$31,Schweine_Werte!$FX$4:$FX$31,Schweine_Werte!$FZ$4:$FZ$31)/SUMPRODUCT($CB$4:$CB$31,Schweine_Werte!$FX$4:$FX$31))))</f>
        <v>#DIV/0!</v>
      </c>
      <c r="AK98" s="885"/>
      <c r="AL98" s="885">
        <f>IF($B101=$A$8,SUMIF(Schweine_Werte!$AO$4:$AO$31,$C101,Schweine_Werte!$HP$4:$HP$31),IF($B101=$A$7,SUMIF(Schweine_Werte!$AO$4:$AO$31,$C101,Schweine_Werte!$HB$4:$HB$31),IF($B101=$A$6,SUMIF(Schweine_Werte!$AO$4:$AO$31,$C101,Schweine_Werte!$GN$4:$GN$31),SUMIF(Schweine_Werte!$AO$4:$AO$31,$C101,Schweine_Werte!$FZ$4:$FZ$31))))</f>
        <v>0</v>
      </c>
      <c r="AM98" s="885"/>
      <c r="AN98" s="885">
        <f>IF($B101=$A$8,SUMIF(Schweine_Werte!$AO$4:$AO$31,$D101,Schweine_Werte!$HP$4:$HP$31),IF($B101=$A$7,SUMIF(Schweine_Werte!$AO$4:$AO$31,$D101,Schweine_Werte!$HB$4:$HB$31),IF($B101=$A$6,SUMIF(Schweine_Werte!$AO$4:$AO$31,$D101,Schweine_Werte!$GN$4:$GN$31),SUMIF(Schweine_Werte!$AO$4:$AO$31,$D101,Schweine_Werte!$FZ$4:$FZ$31))))</f>
        <v>0</v>
      </c>
      <c r="AO98"/>
      <c r="AR98" s="1733">
        <v>102</v>
      </c>
      <c r="AS98" s="1710">
        <f>IF(OR($C$12=$AR98,$D$12=$AR98),Schweine_Werte!$C98*0.5,IF(OR($C$12&gt;$AR98,$D$12&lt;$AR98),0,Schweine_Werte!$C98))</f>
        <v>0</v>
      </c>
      <c r="AT98" s="1713">
        <f>IF(OR($C$24=$AR98,$D$24=$AR98),Schweine_Werte!$C98*0.5,IF(OR($C$24&gt;$AR98,$D$24&lt;$AR98),0,Schweine_Werte!$C98))</f>
        <v>0</v>
      </c>
      <c r="AU98" s="1710">
        <f>IF(OR($C$36=$AR98,$D$36=$AR98),Schweine_Werte!$C98*0.5,IF(OR($C$36&gt;$AR98,$D$36&lt;$AR98),0,Schweine_Werte!$C98))</f>
        <v>0</v>
      </c>
      <c r="AV98" s="1710">
        <f>IF(OR($C$48=$AR98,$D$48=$AR98),Schweine_Werte!$C98*0.5,IF(OR($C$48&gt;$AR98,$D$48&lt;$AR98),0,Schweine_Werte!$C98))</f>
        <v>0</v>
      </c>
      <c r="AW98" s="1710">
        <f>IF(OR($C$60=$AR98,$D$60=$AR98),Schweine_Werte!$C98*0.5,IF(OR($C$60&gt;$AR98,$D$60&lt;$AR98),0,Schweine_Werte!$C98))</f>
        <v>0</v>
      </c>
      <c r="AX98" s="1710">
        <f>IF(OR($C$12=$AR98,$D$12=$AR98),Schweine_Werte!$E98*0.5,IF(OR($C$12&gt;$AR98,$D$12&lt;$AR98),0,Schweine_Werte!$E98))</f>
        <v>0</v>
      </c>
      <c r="AY98" s="1713">
        <f>IF(OR($C$24=$AR98,$D$24=$AR98),Schweine_Werte!$E98*0.5,IF(OR($C$24&gt;$AR98,$D$24&lt;$AR98),0,Schweine_Werte!$E98))</f>
        <v>0</v>
      </c>
      <c r="AZ98" s="1713">
        <f>IF(OR($C$36=$AR98,$D$36=$AR98),Schweine_Werte!$E98*0.5,IF(OR($C$36&gt;$AR98,$D$36&lt;$AR98),0,Schweine_Werte!$E98))</f>
        <v>0</v>
      </c>
      <c r="BA98" s="1713">
        <f>IF(OR($C$48=$AR98,$D$48=$AR98),Schweine_Werte!$E98*0.5,IF(OR($C$48&gt;$AR98,$D$48&lt;$AR98),0,Schweine_Werte!$E98))</f>
        <v>0</v>
      </c>
      <c r="BB98" s="1713">
        <f>IF(OR($C$60=$AR98,$D$60=$AR98),Schweine_Werte!$E98*0.5,IF(OR($C$60&gt;$AR98,$D$60&lt;$AR98),0,Schweine_Werte!$E98))</f>
        <v>0</v>
      </c>
      <c r="BC98" s="1710">
        <f>IF(OR($C$12=$AR98,$D$12=$AR98),Schweine_Werte!$G98*0.5,IF(OR($C$12&gt;$AR98,$D$12&lt;$AR98),0,Schweine_Werte!$G98))</f>
        <v>0</v>
      </c>
      <c r="BD98" s="1713">
        <f>IF(OR($C$24=$AR98,$D$24=$AR98),Schweine_Werte!$G98*0.5,IF(OR($C$24&gt;$AR98,$D$24&lt;$AR98),0,Schweine_Werte!$G98))</f>
        <v>0</v>
      </c>
      <c r="BE98" s="1713">
        <f>IF(OR($C$36=$AR98,$D$36=$AR98),Schweine_Werte!$G98*0.5,IF(OR($C$36&gt;$AR98,$D$36&lt;$AR98),0,Schweine_Werte!$G98))</f>
        <v>0</v>
      </c>
      <c r="BF98" s="1713">
        <f>IF(OR($C$48=$AR98,$D$48=$AR98),Schweine_Werte!$G98*0.5,IF(OR($C$48&gt;$AR98,$D$48&lt;$AR98),0,Schweine_Werte!$G98))</f>
        <v>0</v>
      </c>
      <c r="BG98" s="1713">
        <f>IF(OR($C$60=$AR98,$D$60=$AR98),Schweine_Werte!$G98*0.5,IF(OR($C$60&gt;$AR98,$D$60&lt;$AR98),0,Schweine_Werte!$G98))</f>
        <v>0</v>
      </c>
      <c r="BH98" s="1710">
        <f>IF(OR($C$12=$AR98,$D$12=$AR98),Schweine_Werte!$I98*0.5,IF(OR($C$12&gt;$AR98,$D$12&lt;$AR98),0,Schweine_Werte!$I98))</f>
        <v>0</v>
      </c>
      <c r="BI98" s="1713">
        <f>IF(OR($C$24=$AR98,$D$24=$AR98),Schweine_Werte!$I98*0.5,IF(OR($C$24&gt;$AR98,$D$24&lt;$AR98),0,Schweine_Werte!$I98))</f>
        <v>0</v>
      </c>
      <c r="BJ98" s="1713">
        <f>IF(OR($C$36=$AR98,$D$36=$AR98),Schweine_Werte!$I98*0.5,IF(OR($C$36&gt;$AR98,$D$36&lt;$AR98),0,Schweine_Werte!$I98))</f>
        <v>0</v>
      </c>
      <c r="BK98" s="1713">
        <f>IF(OR($C$48=$AR98,$D$48=$AR98),Schweine_Werte!$I98*0.5,IF(OR($C$48&gt;$AR98,$D$48&lt;$AR98),0,Schweine_Werte!$I98))</f>
        <v>0</v>
      </c>
      <c r="BL98" s="1713">
        <f>IF(OR($C$60=$AR98,$D$60=$AR98),Schweine_Werte!$I98*0.5,IF(OR($C$60&gt;$AR98,$D$60&lt;$AR98),0,Schweine_Werte!$I98))</f>
        <v>0</v>
      </c>
      <c r="BM98" s="1710">
        <f>IF(OR($C$12=$AR98,$D$12=$AR98),Schweine_Werte!$K98*0.5,IF(OR($C$12&gt;$AR98,$D$12&lt;$AR98),0,Schweine_Werte!$K98))</f>
        <v>0</v>
      </c>
      <c r="BN98" s="1713">
        <f>IF(OR($C$24=$AR98,$D$24=$AR98),Schweine_Werte!$K98*0.5,IF(OR($C$24&gt;$AR98,$D$24&lt;$AR98),0,Schweine_Werte!$K98))</f>
        <v>0</v>
      </c>
      <c r="BO98" s="1713">
        <f>IF(OR($C$36=$AR98,$D$36=$AR98),Schweine_Werte!$K98*0.5,IF(OR($C$36&gt;$AR98,$D$36&lt;$AR98),0,Schweine_Werte!$K98))</f>
        <v>0</v>
      </c>
      <c r="BP98" s="1713">
        <f>IF(OR($C$48=$AR98,$D$48=$AR98),Schweine_Werte!$K98*0.5,IF(OR($C$48&gt;$AR98,$D$48&lt;$AR98),0,Schweine_Werte!$K98))</f>
        <v>0</v>
      </c>
      <c r="BQ98" s="1713">
        <f>IF(OR($C$60=$AR98,$D$60=$AR98),Schweine_Werte!$K98*0.5,IF(OR($C$60&gt;$AR98,$D$60&lt;$AR98),0,Schweine_Werte!$K98))</f>
        <v>0</v>
      </c>
      <c r="BR98" s="1710">
        <f>IF(OR($C$74=$AR98,$D$74=$AR98),Schweine_Werte!$M98*0.5,IF(OR($C$74&gt;$AR98,$D$74&lt;$AR98),0,Schweine_Werte!$M98))</f>
        <v>0</v>
      </c>
      <c r="BS98" s="1710">
        <f>IF(OR($C$83=$AR98,$D$83=$AR98),Schweine_Werte!$M98*0.5,IF(OR($C$83&gt;$AR98,$D$83&lt;$AR98),0,Schweine_Werte!$M98))</f>
        <v>0</v>
      </c>
      <c r="BT98" s="1714">
        <f>IF(OR($C$92=$AR98,$D$92=$AR98),Schweine_Werte!$M98*0.5,IF(OR($C$92&gt;$AR98,$D$92&lt;$AR98),0,Schweine_Werte!$M98))</f>
        <v>0</v>
      </c>
      <c r="BU98" s="1714">
        <f>IF(OR($C$101=$AR98,$D$101=$AR98),Schweine_Werte!$M98*0.5,IF(OR($C$101&gt;$AR98,$D$101&lt;$AR98),0,Schweine_Werte!$M98))</f>
        <v>0</v>
      </c>
      <c r="BV98" s="1714">
        <f>IF(OR($C$110=$AR98,$D$110=$AR98),Schweine_Werte!$M98*0.5,IF(OR($C$110&gt;$AR98,$D$110&lt;$AR98),0,Schweine_Werte!$M98))</f>
        <v>0</v>
      </c>
      <c r="BW98" s="1714">
        <f>IF(OR(8=$AR98,$E$127=$AR98),Schweine_Werte!$M98*0.5,IF(OR(8&gt;$AR98,$E$127&lt;$AR98),0,Schweine_Werte!$M98))</f>
        <v>1.2882673525519277</v>
      </c>
      <c r="BX98" s="1714">
        <f>IF(OR(8=$AR98,$E$145=$AR98),Schweine_Werte!$M98*0.5,IF(OR(8&gt;$AR98,$E$145&lt;$AR98),0,Schweine_Werte!$M98))</f>
        <v>1.2882673525519277</v>
      </c>
      <c r="BY98" s="1710">
        <f>IF(OR($C$74=$AR98,$D$74=$AR98),Schweine_Werte!$O98*0.5,IF(OR($C$74&gt;$AR98,$D$74&lt;$AR98),0,Schweine_Werte!$O98))</f>
        <v>0</v>
      </c>
      <c r="BZ98" s="1710">
        <f>IF(OR($C$83=$AR98,$D$83=$AR98),Schweine_Werte!$O98*0.5,IF(OR($C$83&gt;$AR98,$D$83&lt;$AR98),0,Schweine_Werte!$O98))</f>
        <v>0</v>
      </c>
      <c r="CA98" s="1714">
        <f>IF(OR($C$92=$AR98,$D$92=$AR98),Schweine_Werte!$O98*0.5,IF(OR($C$92&gt;$AR98,$D$92&lt;$AR98),0,Schweine_Werte!$O98))</f>
        <v>0</v>
      </c>
      <c r="CB98" s="1714">
        <f>IF(OR($C$101=$AR98,$D$101=$AR98),Schweine_Werte!$O98*0.5,IF(OR($C$101&gt;$AR98,$D$101&lt;$AR98),0,Schweine_Werte!$O98))</f>
        <v>0</v>
      </c>
      <c r="CC98" s="1714">
        <f>IF(OR($C$110=$AR98,$D$110=$AR98),Schweine_Werte!$O98*0.5,IF(OR($C$110&gt;$AR98,$D$110&lt;$AR98),0,Schweine_Werte!$O98))</f>
        <v>0</v>
      </c>
    </row>
    <row r="99" spans="1:81" ht="15.75" x14ac:dyDescent="0.25">
      <c r="F99" s="1716"/>
      <c r="G99" s="3257" t="s">
        <v>8582</v>
      </c>
      <c r="H99" s="3258"/>
      <c r="I99" s="3259"/>
      <c r="J99" s="1717" t="s">
        <v>8096</v>
      </c>
      <c r="K99" s="1717" t="s">
        <v>204</v>
      </c>
      <c r="L99" s="3260" t="s">
        <v>8583</v>
      </c>
      <c r="M99" s="3260"/>
      <c r="N99" s="3260"/>
      <c r="O99" s="3247" t="s">
        <v>8584</v>
      </c>
      <c r="P99" s="3249"/>
      <c r="Q99" s="3247" t="s">
        <v>8585</v>
      </c>
      <c r="R99" s="3248"/>
      <c r="S99" s="3249"/>
      <c r="T99" s="3247" t="s">
        <v>8586</v>
      </c>
      <c r="U99" s="3248"/>
      <c r="V99" s="3249"/>
      <c r="W99" s="3247" t="s">
        <v>8587</v>
      </c>
      <c r="X99" s="3248"/>
      <c r="Y99" s="3249"/>
      <c r="Z99" s="3250" t="s">
        <v>8588</v>
      </c>
      <c r="AA99" s="3250"/>
      <c r="AB99" s="3250" t="s">
        <v>8589</v>
      </c>
      <c r="AC99" s="3250"/>
      <c r="AD99" s="3250" t="s">
        <v>8590</v>
      </c>
      <c r="AE99" s="3250"/>
      <c r="AF99" s="1718" t="s">
        <v>8591</v>
      </c>
      <c r="AG99" s="3254" t="s">
        <v>8592</v>
      </c>
      <c r="AH99" s="3255"/>
      <c r="AI99" s="1719" t="s">
        <v>8611</v>
      </c>
      <c r="AJ99" s="3250" t="s">
        <v>8588</v>
      </c>
      <c r="AK99" s="3250"/>
      <c r="AL99" s="3250" t="s">
        <v>8589</v>
      </c>
      <c r="AM99" s="3250"/>
      <c r="AN99" s="3250" t="s">
        <v>8590</v>
      </c>
      <c r="AO99" s="3250"/>
      <c r="AR99" s="1733">
        <v>103</v>
      </c>
      <c r="AS99" s="1710">
        <f>IF(OR($C$12=$AR99,$D$12=$AR99),Schweine_Werte!$C99*0.5,IF(OR($C$12&gt;$AR99,$D$12&lt;$AR99),0,Schweine_Werte!$C99))</f>
        <v>0</v>
      </c>
      <c r="AT99" s="1713">
        <f>IF(OR($C$24=$AR99,$D$24=$AR99),Schweine_Werte!$C99*0.5,IF(OR($C$24&gt;$AR99,$D$24&lt;$AR99),0,Schweine_Werte!$C99))</f>
        <v>0</v>
      </c>
      <c r="AU99" s="1710">
        <f>IF(OR($C$36=$AR99,$D$36=$AR99),Schweine_Werte!$C99*0.5,IF(OR($C$36&gt;$AR99,$D$36&lt;$AR99),0,Schweine_Werte!$C99))</f>
        <v>0</v>
      </c>
      <c r="AV99" s="1710">
        <f>IF(OR($C$48=$AR99,$D$48=$AR99),Schweine_Werte!$C99*0.5,IF(OR($C$48&gt;$AR99,$D$48&lt;$AR99),0,Schweine_Werte!$C99))</f>
        <v>0</v>
      </c>
      <c r="AW99" s="1710">
        <f>IF(OR($C$60=$AR99,$D$60=$AR99),Schweine_Werte!$C99*0.5,IF(OR($C$60&gt;$AR99,$D$60&lt;$AR99),0,Schweine_Werte!$C99))</f>
        <v>0</v>
      </c>
      <c r="AX99" s="1710">
        <f>IF(OR($C$12=$AR99,$D$12=$AR99),Schweine_Werte!$E99*0.5,IF(OR($C$12&gt;$AR99,$D$12&lt;$AR99),0,Schweine_Werte!$E99))</f>
        <v>0</v>
      </c>
      <c r="AY99" s="1713">
        <f>IF(OR($C$24=$AR99,$D$24=$AR99),Schweine_Werte!$E99*0.5,IF(OR($C$24&gt;$AR99,$D$24&lt;$AR99),0,Schweine_Werte!$E99))</f>
        <v>0</v>
      </c>
      <c r="AZ99" s="1713">
        <f>IF(OR($C$36=$AR99,$D$36=$AR99),Schweine_Werte!$E99*0.5,IF(OR($C$36&gt;$AR99,$D$36&lt;$AR99),0,Schweine_Werte!$E99))</f>
        <v>0</v>
      </c>
      <c r="BA99" s="1713">
        <f>IF(OR($C$48=$AR99,$D$48=$AR99),Schweine_Werte!$E99*0.5,IF(OR($C$48&gt;$AR99,$D$48&lt;$AR99),0,Schweine_Werte!$E99))</f>
        <v>0</v>
      </c>
      <c r="BB99" s="1713">
        <f>IF(OR($C$60=$AR99,$D$60=$AR99),Schweine_Werte!$E99*0.5,IF(OR($C$60&gt;$AR99,$D$60&lt;$AR99),0,Schweine_Werte!$E99))</f>
        <v>0</v>
      </c>
      <c r="BC99" s="1710">
        <f>IF(OR($C$12=$AR99,$D$12=$AR99),Schweine_Werte!$G99*0.5,IF(OR($C$12&gt;$AR99,$D$12&lt;$AR99),0,Schweine_Werte!$G99))</f>
        <v>0</v>
      </c>
      <c r="BD99" s="1713">
        <f>IF(OR($C$24=$AR99,$D$24=$AR99),Schweine_Werte!$G99*0.5,IF(OR($C$24&gt;$AR99,$D$24&lt;$AR99),0,Schweine_Werte!$G99))</f>
        <v>0</v>
      </c>
      <c r="BE99" s="1713">
        <f>IF(OR($C$36=$AR99,$D$36=$AR99),Schweine_Werte!$G99*0.5,IF(OR($C$36&gt;$AR99,$D$36&lt;$AR99),0,Schweine_Werte!$G99))</f>
        <v>0</v>
      </c>
      <c r="BF99" s="1713">
        <f>IF(OR($C$48=$AR99,$D$48=$AR99),Schweine_Werte!$G99*0.5,IF(OR($C$48&gt;$AR99,$D$48&lt;$AR99),0,Schweine_Werte!$G99))</f>
        <v>0</v>
      </c>
      <c r="BG99" s="1713">
        <f>IF(OR($C$60=$AR99,$D$60=$AR99),Schweine_Werte!$G99*0.5,IF(OR($C$60&gt;$AR99,$D$60&lt;$AR99),0,Schweine_Werte!$G99))</f>
        <v>0</v>
      </c>
      <c r="BH99" s="1710">
        <f>IF(OR($C$12=$AR99,$D$12=$AR99),Schweine_Werte!$I99*0.5,IF(OR($C$12&gt;$AR99,$D$12&lt;$AR99),0,Schweine_Werte!$I99))</f>
        <v>0</v>
      </c>
      <c r="BI99" s="1713">
        <f>IF(OR($C$24=$AR99,$D$24=$AR99),Schweine_Werte!$I99*0.5,IF(OR($C$24&gt;$AR99,$D$24&lt;$AR99),0,Schweine_Werte!$I99))</f>
        <v>0</v>
      </c>
      <c r="BJ99" s="1713">
        <f>IF(OR($C$36=$AR99,$D$36=$AR99),Schweine_Werte!$I99*0.5,IF(OR($C$36&gt;$AR99,$D$36&lt;$AR99),0,Schweine_Werte!$I99))</f>
        <v>0</v>
      </c>
      <c r="BK99" s="1713">
        <f>IF(OR($C$48=$AR99,$D$48=$AR99),Schweine_Werte!$I99*0.5,IF(OR($C$48&gt;$AR99,$D$48&lt;$AR99),0,Schweine_Werte!$I99))</f>
        <v>0</v>
      </c>
      <c r="BL99" s="1713">
        <f>IF(OR($C$60=$AR99,$D$60=$AR99),Schweine_Werte!$I99*0.5,IF(OR($C$60&gt;$AR99,$D$60&lt;$AR99),0,Schweine_Werte!$I99))</f>
        <v>0</v>
      </c>
      <c r="BM99" s="1710">
        <f>IF(OR($C$12=$AR99,$D$12=$AR99),Schweine_Werte!$K99*0.5,IF(OR($C$12&gt;$AR99,$D$12&lt;$AR99),0,Schweine_Werte!$K99))</f>
        <v>0</v>
      </c>
      <c r="BN99" s="1713">
        <f>IF(OR($C$24=$AR99,$D$24=$AR99),Schweine_Werte!$K99*0.5,IF(OR($C$24&gt;$AR99,$D$24&lt;$AR99),0,Schweine_Werte!$K99))</f>
        <v>0</v>
      </c>
      <c r="BO99" s="1713">
        <f>IF(OR($C$36=$AR99,$D$36=$AR99),Schweine_Werte!$K99*0.5,IF(OR($C$36&gt;$AR99,$D$36&lt;$AR99),0,Schweine_Werte!$K99))</f>
        <v>0</v>
      </c>
      <c r="BP99" s="1713">
        <f>IF(OR($C$48=$AR99,$D$48=$AR99),Schweine_Werte!$K99*0.5,IF(OR($C$48&gt;$AR99,$D$48&lt;$AR99),0,Schweine_Werte!$K99))</f>
        <v>0</v>
      </c>
      <c r="BQ99" s="1713">
        <f>IF(OR($C$60=$AR99,$D$60=$AR99),Schweine_Werte!$K99*0.5,IF(OR($C$60&gt;$AR99,$D$60&lt;$AR99),0,Schweine_Werte!$K99))</f>
        <v>0</v>
      </c>
      <c r="BR99" s="1710">
        <f>IF(OR($C$74=$AR99,$D$74=$AR99),Schweine_Werte!$M99*0.5,IF(OR($C$74&gt;$AR99,$D$74&lt;$AR99),0,Schweine_Werte!$M99))</f>
        <v>0</v>
      </c>
      <c r="BS99" s="1710">
        <f>IF(OR($C$83=$AR99,$D$83=$AR99),Schweine_Werte!$M99*0.5,IF(OR($C$83&gt;$AR99,$D$83&lt;$AR99),0,Schweine_Werte!$M99))</f>
        <v>0</v>
      </c>
      <c r="BT99" s="1714">
        <f>IF(OR($C$92=$AR99,$D$92=$AR99),Schweine_Werte!$M99*0.5,IF(OR($C$92&gt;$AR99,$D$92&lt;$AR99),0,Schweine_Werte!$M99))</f>
        <v>0</v>
      </c>
      <c r="BU99" s="1714">
        <f>IF(OR($C$101=$AR99,$D$101=$AR99),Schweine_Werte!$M99*0.5,IF(OR($C$101&gt;$AR99,$D$101&lt;$AR99),0,Schweine_Werte!$M99))</f>
        <v>0</v>
      </c>
      <c r="BV99" s="1714">
        <f>IF(OR($C$110=$AR99,$D$110=$AR99),Schweine_Werte!$M99*0.5,IF(OR($C$110&gt;$AR99,$D$110&lt;$AR99),0,Schweine_Werte!$M99))</f>
        <v>0</v>
      </c>
      <c r="BW99" s="1714">
        <f>IF(OR(8=$AR99,$E$127=$AR99),Schweine_Werte!$M99*0.5,IF(OR(8&gt;$AR99,$E$127&lt;$AR99),0,Schweine_Werte!$M99))</f>
        <v>1.3031486471171543</v>
      </c>
      <c r="BX99" s="1714">
        <f>IF(OR(8=$AR99,$E$145=$AR99),Schweine_Werte!$M99*0.5,IF(OR(8&gt;$AR99,$E$145&lt;$AR99),0,Schweine_Werte!$M99))</f>
        <v>1.3031486471171543</v>
      </c>
      <c r="BY99" s="1710">
        <f>IF(OR($C$74=$AR99,$D$74=$AR99),Schweine_Werte!$O99*0.5,IF(OR($C$74&gt;$AR99,$D$74&lt;$AR99),0,Schweine_Werte!$O99))</f>
        <v>0</v>
      </c>
      <c r="BZ99" s="1710">
        <f>IF(OR($C$83=$AR99,$D$83=$AR99),Schweine_Werte!$O99*0.5,IF(OR($C$83&gt;$AR99,$D$83&lt;$AR99),0,Schweine_Werte!$O99))</f>
        <v>0</v>
      </c>
      <c r="CA99" s="1714">
        <f>IF(OR($C$92=$AR99,$D$92=$AR99),Schweine_Werte!$O99*0.5,IF(OR($C$92&gt;$AR99,$D$92&lt;$AR99),0,Schweine_Werte!$O99))</f>
        <v>0</v>
      </c>
      <c r="CB99" s="1714">
        <f>IF(OR($C$101=$AR99,$D$101=$AR99),Schweine_Werte!$O99*0.5,IF(OR($C$101&gt;$AR99,$D$101&lt;$AR99),0,Schweine_Werte!$O99))</f>
        <v>0</v>
      </c>
      <c r="CC99" s="1714">
        <f>IF(OR($C$110=$AR99,$D$110=$AR99),Schweine_Werte!$O99*0.5,IF(OR($C$110&gt;$AR99,$D$110&lt;$AR99),0,Schweine_Werte!$O99))</f>
        <v>0</v>
      </c>
    </row>
    <row r="100" spans="1:81" ht="18.75" x14ac:dyDescent="0.25">
      <c r="B100" s="1720" t="s">
        <v>8594</v>
      </c>
      <c r="C100" s="1721" t="s">
        <v>8595</v>
      </c>
      <c r="D100" s="1721" t="s">
        <v>8596</v>
      </c>
      <c r="E100" s="1721" t="s">
        <v>8597</v>
      </c>
      <c r="F100" s="1722" t="s">
        <v>195</v>
      </c>
      <c r="G100" s="1723" t="s">
        <v>4</v>
      </c>
      <c r="H100" s="1723" t="s">
        <v>8598</v>
      </c>
      <c r="I100" s="1723" t="s">
        <v>8599</v>
      </c>
      <c r="J100" s="1724" t="s">
        <v>8600</v>
      </c>
      <c r="K100" s="1724" t="s">
        <v>8600</v>
      </c>
      <c r="L100" s="1725" t="s">
        <v>35</v>
      </c>
      <c r="M100" s="1725" t="s">
        <v>8601</v>
      </c>
      <c r="N100" s="1725" t="s">
        <v>37</v>
      </c>
      <c r="O100" s="1726" t="s">
        <v>0</v>
      </c>
      <c r="P100" s="1726" t="s">
        <v>9</v>
      </c>
      <c r="Q100" s="1725" t="s">
        <v>35</v>
      </c>
      <c r="R100" s="1725" t="s">
        <v>36</v>
      </c>
      <c r="S100" s="1725" t="s">
        <v>37</v>
      </c>
      <c r="T100" s="1725" t="s">
        <v>35</v>
      </c>
      <c r="U100" s="1725" t="s">
        <v>36</v>
      </c>
      <c r="V100" s="1725" t="s">
        <v>37</v>
      </c>
      <c r="W100" s="1724" t="s">
        <v>8528</v>
      </c>
      <c r="X100" s="1724" t="s">
        <v>8529</v>
      </c>
      <c r="Y100" s="1724" t="s">
        <v>8530</v>
      </c>
      <c r="Z100" s="1727" t="s">
        <v>8602</v>
      </c>
      <c r="AA100" s="1727" t="s">
        <v>8603</v>
      </c>
      <c r="AB100" s="1727" t="s">
        <v>8602</v>
      </c>
      <c r="AC100" s="1727" t="s">
        <v>8603</v>
      </c>
      <c r="AD100" s="1727" t="s">
        <v>8602</v>
      </c>
      <c r="AE100" s="1727" t="s">
        <v>8603</v>
      </c>
      <c r="AF100" s="1727" t="s">
        <v>8604</v>
      </c>
      <c r="AG100" s="1728" t="s">
        <v>8605</v>
      </c>
      <c r="AH100" s="1727" t="s">
        <v>216</v>
      </c>
      <c r="AI100" s="1727"/>
      <c r="AJ100" s="1727" t="s">
        <v>8527</v>
      </c>
      <c r="AK100" s="1727" t="s">
        <v>8606</v>
      </c>
      <c r="AL100" s="1727" t="s">
        <v>8607</v>
      </c>
      <c r="AM100" s="1727" t="s">
        <v>8608</v>
      </c>
      <c r="AN100" s="1727" t="s">
        <v>8607</v>
      </c>
      <c r="AO100" s="1727" t="s">
        <v>8609</v>
      </c>
      <c r="AR100" s="1733">
        <v>104</v>
      </c>
      <c r="AS100" s="1710">
        <f>IF(OR($C$12=$AR100,$D$12=$AR100),Schweine_Werte!$C100*0.5,IF(OR($C$12&gt;$AR100,$D$12&lt;$AR100),0,Schweine_Werte!$C100))</f>
        <v>0</v>
      </c>
      <c r="AT100" s="1713">
        <f>IF(OR($C$24=$AR100,$D$24=$AR100),Schweine_Werte!$C100*0.5,IF(OR($C$24&gt;$AR100,$D$24&lt;$AR100),0,Schweine_Werte!$C100))</f>
        <v>0</v>
      </c>
      <c r="AU100" s="1710">
        <f>IF(OR($C$36=$AR100,$D$36=$AR100),Schweine_Werte!$C100*0.5,IF(OR($C$36&gt;$AR100,$D$36&lt;$AR100),0,Schweine_Werte!$C100))</f>
        <v>0</v>
      </c>
      <c r="AV100" s="1710">
        <f>IF(OR($C$48=$AR100,$D$48=$AR100),Schweine_Werte!$C100*0.5,IF(OR($C$48&gt;$AR100,$D$48&lt;$AR100),0,Schweine_Werte!$C100))</f>
        <v>0</v>
      </c>
      <c r="AW100" s="1710">
        <f>IF(OR($C$60=$AR100,$D$60=$AR100),Schweine_Werte!$C100*0.5,IF(OR($C$60&gt;$AR100,$D$60&lt;$AR100),0,Schweine_Werte!$C100))</f>
        <v>0</v>
      </c>
      <c r="AX100" s="1710">
        <f>IF(OR($C$12=$AR100,$D$12=$AR100),Schweine_Werte!$E100*0.5,IF(OR($C$12&gt;$AR100,$D$12&lt;$AR100),0,Schweine_Werte!$E100))</f>
        <v>0</v>
      </c>
      <c r="AY100" s="1713">
        <f>IF(OR($C$24=$AR100,$D$24=$AR100),Schweine_Werte!$E100*0.5,IF(OR($C$24&gt;$AR100,$D$24&lt;$AR100),0,Schweine_Werte!$E100))</f>
        <v>0</v>
      </c>
      <c r="AZ100" s="1713">
        <f>IF(OR($C$36=$AR100,$D$36=$AR100),Schweine_Werte!$E100*0.5,IF(OR($C$36&gt;$AR100,$D$36&lt;$AR100),0,Schweine_Werte!$E100))</f>
        <v>0</v>
      </c>
      <c r="BA100" s="1713">
        <f>IF(OR($C$48=$AR100,$D$48=$AR100),Schweine_Werte!$E100*0.5,IF(OR($C$48&gt;$AR100,$D$48&lt;$AR100),0,Schweine_Werte!$E100))</f>
        <v>0</v>
      </c>
      <c r="BB100" s="1713">
        <f>IF(OR($C$60=$AR100,$D$60=$AR100),Schweine_Werte!$E100*0.5,IF(OR($C$60&gt;$AR100,$D$60&lt;$AR100),0,Schweine_Werte!$E100))</f>
        <v>0</v>
      </c>
      <c r="BC100" s="1710">
        <f>IF(OR($C$12=$AR100,$D$12=$AR100),Schweine_Werte!$G100*0.5,IF(OR($C$12&gt;$AR100,$D$12&lt;$AR100),0,Schweine_Werte!$G100))</f>
        <v>0</v>
      </c>
      <c r="BD100" s="1713">
        <f>IF(OR($C$24=$AR100,$D$24=$AR100),Schweine_Werte!$G100*0.5,IF(OR($C$24&gt;$AR100,$D$24&lt;$AR100),0,Schweine_Werte!$G100))</f>
        <v>0</v>
      </c>
      <c r="BE100" s="1713">
        <f>IF(OR($C$36=$AR100,$D$36=$AR100),Schweine_Werte!$G100*0.5,IF(OR($C$36&gt;$AR100,$D$36&lt;$AR100),0,Schweine_Werte!$G100))</f>
        <v>0</v>
      </c>
      <c r="BF100" s="1713">
        <f>IF(OR($C$48=$AR100,$D$48=$AR100),Schweine_Werte!$G100*0.5,IF(OR($C$48&gt;$AR100,$D$48&lt;$AR100),0,Schweine_Werte!$G100))</f>
        <v>0</v>
      </c>
      <c r="BG100" s="1713">
        <f>IF(OR($C$60=$AR100,$D$60=$AR100),Schweine_Werte!$G100*0.5,IF(OR($C$60&gt;$AR100,$D$60&lt;$AR100),0,Schweine_Werte!$G100))</f>
        <v>0</v>
      </c>
      <c r="BH100" s="1710">
        <f>IF(OR($C$12=$AR100,$D$12=$AR100),Schweine_Werte!$I100*0.5,IF(OR($C$12&gt;$AR100,$D$12&lt;$AR100),0,Schweine_Werte!$I100))</f>
        <v>0</v>
      </c>
      <c r="BI100" s="1713">
        <f>IF(OR($C$24=$AR100,$D$24=$AR100),Schweine_Werte!$I100*0.5,IF(OR($C$24&gt;$AR100,$D$24&lt;$AR100),0,Schweine_Werte!$I100))</f>
        <v>0</v>
      </c>
      <c r="BJ100" s="1713">
        <f>IF(OR($C$36=$AR100,$D$36=$AR100),Schweine_Werte!$I100*0.5,IF(OR($C$36&gt;$AR100,$D$36&lt;$AR100),0,Schweine_Werte!$I100))</f>
        <v>0</v>
      </c>
      <c r="BK100" s="1713">
        <f>IF(OR($C$48=$AR100,$D$48=$AR100),Schweine_Werte!$I100*0.5,IF(OR($C$48&gt;$AR100,$D$48&lt;$AR100),0,Schweine_Werte!$I100))</f>
        <v>0</v>
      </c>
      <c r="BL100" s="1713">
        <f>IF(OR($C$60=$AR100,$D$60=$AR100),Schweine_Werte!$I100*0.5,IF(OR($C$60&gt;$AR100,$D$60&lt;$AR100),0,Schweine_Werte!$I100))</f>
        <v>0</v>
      </c>
      <c r="BM100" s="1710">
        <f>IF(OR($C$12=$AR100,$D$12=$AR100),Schweine_Werte!$K100*0.5,IF(OR($C$12&gt;$AR100,$D$12&lt;$AR100),0,Schweine_Werte!$K100))</f>
        <v>0</v>
      </c>
      <c r="BN100" s="1713">
        <f>IF(OR($C$24=$AR100,$D$24=$AR100),Schweine_Werte!$K100*0.5,IF(OR($C$24&gt;$AR100,$D$24&lt;$AR100),0,Schweine_Werte!$K100))</f>
        <v>0</v>
      </c>
      <c r="BO100" s="1713">
        <f>IF(OR($C$36=$AR100,$D$36=$AR100),Schweine_Werte!$K100*0.5,IF(OR($C$36&gt;$AR100,$D$36&lt;$AR100),0,Schweine_Werte!$K100))</f>
        <v>0</v>
      </c>
      <c r="BP100" s="1713">
        <f>IF(OR($C$48=$AR100,$D$48=$AR100),Schweine_Werte!$K100*0.5,IF(OR($C$48&gt;$AR100,$D$48&lt;$AR100),0,Schweine_Werte!$K100))</f>
        <v>0</v>
      </c>
      <c r="BQ100" s="1713">
        <f>IF(OR($C$60=$AR100,$D$60=$AR100),Schweine_Werte!$K100*0.5,IF(OR($C$60&gt;$AR100,$D$60&lt;$AR100),0,Schweine_Werte!$K100))</f>
        <v>0</v>
      </c>
      <c r="BR100" s="1710">
        <f>IF(OR($C$74=$AR100,$D$74=$AR100),Schweine_Werte!$M100*0.5,IF(OR($C$74&gt;$AR100,$D$74&lt;$AR100),0,Schweine_Werte!$M100))</f>
        <v>0</v>
      </c>
      <c r="BS100" s="1710">
        <f>IF(OR($C$83=$AR100,$D$83=$AR100),Schweine_Werte!$M100*0.5,IF(OR($C$83&gt;$AR100,$D$83&lt;$AR100),0,Schweine_Werte!$M100))</f>
        <v>0</v>
      </c>
      <c r="BT100" s="1714">
        <f>IF(OR($C$92=$AR100,$D$92=$AR100),Schweine_Werte!$M100*0.5,IF(OR($C$92&gt;$AR100,$D$92&lt;$AR100),0,Schweine_Werte!$M100))</f>
        <v>0</v>
      </c>
      <c r="BU100" s="1714">
        <f>IF(OR($C$101=$AR100,$D$101=$AR100),Schweine_Werte!$M100*0.5,IF(OR($C$101&gt;$AR100,$D$101&lt;$AR100),0,Schweine_Werte!$M100))</f>
        <v>0</v>
      </c>
      <c r="BV100" s="1714">
        <f>IF(OR($C$110=$AR100,$D$110=$AR100),Schweine_Werte!$M100*0.5,IF(OR($C$110&gt;$AR100,$D$110&lt;$AR100),0,Schweine_Werte!$M100))</f>
        <v>0</v>
      </c>
      <c r="BW100" s="1714">
        <f>IF(OR(8=$AR100,$E$127=$AR100),Schweine_Werte!$M100*0.5,IF(OR(8&gt;$AR100,$E$127&lt;$AR100),0,Schweine_Werte!$M100))</f>
        <v>1.3188846531773604</v>
      </c>
      <c r="BX100" s="1714">
        <f>IF(OR(8=$AR100,$E$145=$AR100),Schweine_Werte!$M100*0.5,IF(OR(8&gt;$AR100,$E$145&lt;$AR100),0,Schweine_Werte!$M100))</f>
        <v>1.3188846531773604</v>
      </c>
      <c r="BY100" s="1710">
        <f>IF(OR($C$74=$AR100,$D$74=$AR100),Schweine_Werte!$O100*0.5,IF(OR($C$74&gt;$AR100,$D$74&lt;$AR100),0,Schweine_Werte!$O100))</f>
        <v>0</v>
      </c>
      <c r="BZ100" s="1710">
        <f>IF(OR($C$83=$AR100,$D$83=$AR100),Schweine_Werte!$O100*0.5,IF(OR($C$83&gt;$AR100,$D$83&lt;$AR100),0,Schweine_Werte!$O100))</f>
        <v>0</v>
      </c>
      <c r="CA100" s="1714">
        <f>IF(OR($C$92=$AR100,$D$92=$AR100),Schweine_Werte!$O100*0.5,IF(OR($C$92&gt;$AR100,$D$92&lt;$AR100),0,Schweine_Werte!$O100))</f>
        <v>0</v>
      </c>
      <c r="CB100" s="1714">
        <f>IF(OR($C$101=$AR100,$D$101=$AR100),Schweine_Werte!$O100*0.5,IF(OR($C$101&gt;$AR100,$D$101&lt;$AR100),0,Schweine_Werte!$O100))</f>
        <v>0</v>
      </c>
      <c r="CC100" s="1714">
        <f>IF(OR($C$110=$AR100,$D$110=$AR100),Schweine_Werte!$O100*0.5,IF(OR($C$110&gt;$AR100,$D$110&lt;$AR100),0,Schweine_Werte!$O100))</f>
        <v>0</v>
      </c>
    </row>
    <row r="101" spans="1:81" ht="15.75" x14ac:dyDescent="0.25">
      <c r="A101" s="1685" t="s">
        <v>8562</v>
      </c>
      <c r="B101" s="1753" t="str">
        <f>IF('Eigene, abweichende Tierdaten'!AE8=1,'Eigene, abweichende Tierdaten'!F8,"")</f>
        <v/>
      </c>
      <c r="C101" s="1754" t="str">
        <f>IF('Eigene, abweichende Tierdaten'!AE8=1,'Eigene, abweichende Tierdaten'!J8,"")</f>
        <v/>
      </c>
      <c r="D101" s="1755" t="str">
        <f>IF('Eigene, abweichende Tierdaten'!AE8=1,'Eigene, abweichende Tierdaten'!L8,"")</f>
        <v/>
      </c>
      <c r="E101" s="1755" t="str">
        <f>IF('Eigene, abweichende Tierdaten'!AE8=1,'Eigene, abweichende Tierdaten'!N8,"")</f>
        <v/>
      </c>
      <c r="F101" s="1729" t="e">
        <f>IF($E101&lt;=$E97,F97,IF(AND($E101&gt;$E97,$E101&lt;=$E98),F97+(F98-F97)/($E98-$E97)*($E101-$E97),IF($E101&gt;$E98,F98)))</f>
        <v>#VALUE!</v>
      </c>
      <c r="G101" s="1729" t="e">
        <f t="shared" ref="G101:N101" si="25">IF($E101&lt;=$E97,G97,IF(AND($E101&gt;$E97,$E101&lt;=$E98),G97+(G98-G97)/($E98-$E97)*($E101-$E97),IF($E101&gt;$E98,G98)))</f>
        <v>#VALUE!</v>
      </c>
      <c r="H101" s="1729" t="e">
        <f t="shared" si="25"/>
        <v>#VALUE!</v>
      </c>
      <c r="I101" s="1729" t="e">
        <f t="shared" si="25"/>
        <v>#VALUE!</v>
      </c>
      <c r="J101" s="1729" t="e">
        <f t="shared" si="25"/>
        <v>#VALUE!</v>
      </c>
      <c r="K101" s="1729" t="e">
        <f t="shared" si="25"/>
        <v>#VALUE!</v>
      </c>
      <c r="L101" s="1729" t="e">
        <f t="shared" si="25"/>
        <v>#VALUE!</v>
      </c>
      <c r="M101" s="1729" t="e">
        <f t="shared" si="25"/>
        <v>#VALUE!</v>
      </c>
      <c r="N101" s="1729" t="e">
        <f t="shared" si="25"/>
        <v>#VALUE!</v>
      </c>
      <c r="O101" s="1730">
        <v>5.5</v>
      </c>
      <c r="P101" s="1730">
        <v>1.8</v>
      </c>
      <c r="Q101" s="1729" t="e">
        <f t="shared" ref="Q101:Z101" si="26">IF($E101&lt;=$E97,Q97,IF(AND($E101&gt;$E97,$E101&lt;=$E98),Q97+(Q98-Q97)/($E98-$E97)*($E101-$E97),IF($E101&gt;$E98,Q98)))</f>
        <v>#VALUE!</v>
      </c>
      <c r="R101" s="1729" t="e">
        <f t="shared" si="26"/>
        <v>#VALUE!</v>
      </c>
      <c r="S101" s="1729" t="e">
        <f t="shared" si="26"/>
        <v>#VALUE!</v>
      </c>
      <c r="T101" s="1729" t="e">
        <f t="shared" si="26"/>
        <v>#VALUE!</v>
      </c>
      <c r="U101" s="1729" t="e">
        <f t="shared" si="26"/>
        <v>#VALUE!</v>
      </c>
      <c r="V101" s="1729" t="e">
        <f t="shared" si="26"/>
        <v>#VALUE!</v>
      </c>
      <c r="W101" s="1729" t="e">
        <f t="shared" si="26"/>
        <v>#VALUE!</v>
      </c>
      <c r="X101" s="1729" t="e">
        <f t="shared" si="26"/>
        <v>#VALUE!</v>
      </c>
      <c r="Y101" s="1729" t="e">
        <f t="shared" si="26"/>
        <v>#VALUE!</v>
      </c>
      <c r="Z101" s="1729" t="e">
        <f t="shared" si="26"/>
        <v>#VALUE!</v>
      </c>
      <c r="AA101" s="1731" t="e">
        <f>+Z101*6.25</f>
        <v>#VALUE!</v>
      </c>
      <c r="AB101" s="1729" t="e">
        <f>IF($E101&lt;=$E97,AB97,IF(AND($E101&gt;$E97,$E101&lt;=$E98),AB97+(AB98-AB97)/($E98-$E97)*($E101-$E97),IF($E101&gt;$E98,AB98)))</f>
        <v>#VALUE!</v>
      </c>
      <c r="AC101" s="1731" t="e">
        <f>+AB101*6.25</f>
        <v>#VALUE!</v>
      </c>
      <c r="AD101" s="1729" t="e">
        <f>IF($E101&lt;=$E97,AD97,IF(AND($E101&gt;$E97,$E101&lt;=$E98),AD97+(AD98-AD97)/($E98-$E97)*($E101-$E97),IF($E101&gt;$E98,AD98)))</f>
        <v>#VALUE!</v>
      </c>
      <c r="AE101" s="1731" t="e">
        <f>+AD101*6.25</f>
        <v>#VALUE!</v>
      </c>
      <c r="AF101" s="1731" t="e">
        <f>365/((D101-C101)/E101*1000)</f>
        <v>#VALUE!</v>
      </c>
      <c r="AG101" s="1729" t="e">
        <f>IF($E101&lt;=$E97,AG97,IF(AND($E101&gt;$E97,$E101&lt;=$E98),AG97+(AG98-AG97)/($E98-$E97)*($E101-$E97),IF($E101&gt;$E98,AG98)))</f>
        <v>#VALUE!</v>
      </c>
      <c r="AH101" s="1731" t="e">
        <f>+AG101/AF101</f>
        <v>#VALUE!</v>
      </c>
      <c r="AI101" s="1731" t="e">
        <f>+CONCATENATE(ROUND(AH101/(D101-C101),1)," : 1")</f>
        <v>#VALUE!</v>
      </c>
      <c r="AJ101" s="1729" t="e">
        <f>IF($E101&lt;=$E97,AJ97,IF(AND($E101&gt;$E97,$E101&lt;=$E98),AJ97+(AJ98-AJ97)/($E98-$E97)*($E101-$E97),IF($E101&gt;$E98,AJ98)))</f>
        <v>#VALUE!</v>
      </c>
      <c r="AK101" s="1731" t="e">
        <f>+AJ101/2.291</f>
        <v>#VALUE!</v>
      </c>
      <c r="AL101" s="1729" t="e">
        <f>IF($E101&lt;=$E97,AL97,IF(AND($E101&gt;$E97,$E101&lt;=$E98),AL97+(AL98-AL97)/($E98-$E97)*($E101-$E97),IF($E101&gt;$E98,AL98)))</f>
        <v>#VALUE!</v>
      </c>
      <c r="AM101" s="1731" t="e">
        <f>+AL101/2.291</f>
        <v>#VALUE!</v>
      </c>
      <c r="AN101" s="1729" t="e">
        <f>IF($E101&lt;=$E97,AN97,IF(AND($E101&gt;$E97,$E101&lt;=$E98),AN97+(AN98-AN97)/($E98-$E97)*($E101-$E97),IF($E101&gt;$E98,AN98)))</f>
        <v>#VALUE!</v>
      </c>
      <c r="AO101" s="1731" t="e">
        <f>+AN101/2.291</f>
        <v>#VALUE!</v>
      </c>
      <c r="AR101" s="1733">
        <v>105</v>
      </c>
      <c r="AS101" s="1710">
        <f>IF(OR($C$12=$AR101,$D$12=$AR101),Schweine_Werte!$C101*0.5,IF(OR($C$12&gt;$AR101,$D$12&lt;$AR101),0,Schweine_Werte!$C101))</f>
        <v>0</v>
      </c>
      <c r="AT101" s="1713">
        <f>IF(OR($C$24=$AR101,$D$24=$AR101),Schweine_Werte!$C101*0.5,IF(OR($C$24&gt;$AR101,$D$24&lt;$AR101),0,Schweine_Werte!$C101))</f>
        <v>0</v>
      </c>
      <c r="AU101" s="1710">
        <f>IF(OR($C$36=$AR101,$D$36=$AR101),Schweine_Werte!$C101*0.5,IF(OR($C$36&gt;$AR101,$D$36&lt;$AR101),0,Schweine_Werte!$C101))</f>
        <v>0</v>
      </c>
      <c r="AV101" s="1710">
        <f>IF(OR($C$48=$AR101,$D$48=$AR101),Schweine_Werte!$C101*0.5,IF(OR($C$48&gt;$AR101,$D$48&lt;$AR101),0,Schweine_Werte!$C101))</f>
        <v>0</v>
      </c>
      <c r="AW101" s="1710">
        <f>IF(OR($C$60=$AR101,$D$60=$AR101),Schweine_Werte!$C101*0.5,IF(OR($C$60&gt;$AR101,$D$60&lt;$AR101),0,Schweine_Werte!$C101))</f>
        <v>0</v>
      </c>
      <c r="AX101" s="1710">
        <f>IF(OR($C$12=$AR101,$D$12=$AR101),Schweine_Werte!$E101*0.5,IF(OR($C$12&gt;$AR101,$D$12&lt;$AR101),0,Schweine_Werte!$E101))</f>
        <v>0</v>
      </c>
      <c r="AY101" s="1713">
        <f>IF(OR($C$24=$AR101,$D$24=$AR101),Schweine_Werte!$E101*0.5,IF(OR($C$24&gt;$AR101,$D$24&lt;$AR101),0,Schweine_Werte!$E101))</f>
        <v>0</v>
      </c>
      <c r="AZ101" s="1713">
        <f>IF(OR($C$36=$AR101,$D$36=$AR101),Schweine_Werte!$E101*0.5,IF(OR($C$36&gt;$AR101,$D$36&lt;$AR101),0,Schweine_Werte!$E101))</f>
        <v>0</v>
      </c>
      <c r="BA101" s="1713">
        <f>IF(OR($C$48=$AR101,$D$48=$AR101),Schweine_Werte!$E101*0.5,IF(OR($C$48&gt;$AR101,$D$48&lt;$AR101),0,Schweine_Werte!$E101))</f>
        <v>0</v>
      </c>
      <c r="BB101" s="1713">
        <f>IF(OR($C$60=$AR101,$D$60=$AR101),Schweine_Werte!$E101*0.5,IF(OR($C$60&gt;$AR101,$D$60&lt;$AR101),0,Schweine_Werte!$E101))</f>
        <v>0</v>
      </c>
      <c r="BC101" s="1710">
        <f>IF(OR($C$12=$AR101,$D$12=$AR101),Schweine_Werte!$G101*0.5,IF(OR($C$12&gt;$AR101,$D$12&lt;$AR101),0,Schweine_Werte!$G101))</f>
        <v>0</v>
      </c>
      <c r="BD101" s="1713">
        <f>IF(OR($C$24=$AR101,$D$24=$AR101),Schweine_Werte!$G101*0.5,IF(OR($C$24&gt;$AR101,$D$24&lt;$AR101),0,Schweine_Werte!$G101))</f>
        <v>0</v>
      </c>
      <c r="BE101" s="1713">
        <f>IF(OR($C$36=$AR101,$D$36=$AR101),Schweine_Werte!$G101*0.5,IF(OR($C$36&gt;$AR101,$D$36&lt;$AR101),0,Schweine_Werte!$G101))</f>
        <v>0</v>
      </c>
      <c r="BF101" s="1713">
        <f>IF(OR($C$48=$AR101,$D$48=$AR101),Schweine_Werte!$G101*0.5,IF(OR($C$48&gt;$AR101,$D$48&lt;$AR101),0,Schweine_Werte!$G101))</f>
        <v>0</v>
      </c>
      <c r="BG101" s="1713">
        <f>IF(OR($C$60=$AR101,$D$60=$AR101),Schweine_Werte!$G101*0.5,IF(OR($C$60&gt;$AR101,$D$60&lt;$AR101),0,Schweine_Werte!$G101))</f>
        <v>0</v>
      </c>
      <c r="BH101" s="1710">
        <f>IF(OR($C$12=$AR101,$D$12=$AR101),Schweine_Werte!$I101*0.5,IF(OR($C$12&gt;$AR101,$D$12&lt;$AR101),0,Schweine_Werte!$I101))</f>
        <v>0</v>
      </c>
      <c r="BI101" s="1713">
        <f>IF(OR($C$24=$AR101,$D$24=$AR101),Schweine_Werte!$I101*0.5,IF(OR($C$24&gt;$AR101,$D$24&lt;$AR101),0,Schweine_Werte!$I101))</f>
        <v>0</v>
      </c>
      <c r="BJ101" s="1713">
        <f>IF(OR($C$36=$AR101,$D$36=$AR101),Schweine_Werte!$I101*0.5,IF(OR($C$36&gt;$AR101,$D$36&lt;$AR101),0,Schweine_Werte!$I101))</f>
        <v>0</v>
      </c>
      <c r="BK101" s="1713">
        <f>IF(OR($C$48=$AR101,$D$48=$AR101),Schweine_Werte!$I101*0.5,IF(OR($C$48&gt;$AR101,$D$48&lt;$AR101),0,Schweine_Werte!$I101))</f>
        <v>0</v>
      </c>
      <c r="BL101" s="1713">
        <f>IF(OR($C$60=$AR101,$D$60=$AR101),Schweine_Werte!$I101*0.5,IF(OR($C$60&gt;$AR101,$D$60&lt;$AR101),0,Schweine_Werte!$I101))</f>
        <v>0</v>
      </c>
      <c r="BM101" s="1710">
        <f>IF(OR($C$12=$AR101,$D$12=$AR101),Schweine_Werte!$K101*0.5,IF(OR($C$12&gt;$AR101,$D$12&lt;$AR101),0,Schweine_Werte!$K101))</f>
        <v>0</v>
      </c>
      <c r="BN101" s="1713">
        <f>IF(OR($C$24=$AR101,$D$24=$AR101),Schweine_Werte!$K101*0.5,IF(OR($C$24&gt;$AR101,$D$24&lt;$AR101),0,Schweine_Werte!$K101))</f>
        <v>0</v>
      </c>
      <c r="BO101" s="1713">
        <f>IF(OR($C$36=$AR101,$D$36=$AR101),Schweine_Werte!$K101*0.5,IF(OR($C$36&gt;$AR101,$D$36&lt;$AR101),0,Schweine_Werte!$K101))</f>
        <v>0</v>
      </c>
      <c r="BP101" s="1713">
        <f>IF(OR($C$48=$AR101,$D$48=$AR101),Schweine_Werte!$K101*0.5,IF(OR($C$48&gt;$AR101,$D$48&lt;$AR101),0,Schweine_Werte!$K101))</f>
        <v>0</v>
      </c>
      <c r="BQ101" s="1713">
        <f>IF(OR($C$60=$AR101,$D$60=$AR101),Schweine_Werte!$K101*0.5,IF(OR($C$60&gt;$AR101,$D$60&lt;$AR101),0,Schweine_Werte!$K101))</f>
        <v>0</v>
      </c>
      <c r="BR101" s="1710">
        <f>IF(OR($C$74=$AR101,$D$74=$AR101),Schweine_Werte!$M101*0.5,IF(OR($C$74&gt;$AR101,$D$74&lt;$AR101),0,Schweine_Werte!$M101))</f>
        <v>0</v>
      </c>
      <c r="BS101" s="1710">
        <f>IF(OR($C$83=$AR101,$D$83=$AR101),Schweine_Werte!$M101*0.5,IF(OR($C$83&gt;$AR101,$D$83&lt;$AR101),0,Schweine_Werte!$M101))</f>
        <v>0</v>
      </c>
      <c r="BT101" s="1714">
        <f>IF(OR($C$92=$AR101,$D$92=$AR101),Schweine_Werte!$M101*0.5,IF(OR($C$92&gt;$AR101,$D$92&lt;$AR101),0,Schweine_Werte!$M101))</f>
        <v>0</v>
      </c>
      <c r="BU101" s="1714">
        <f>IF(OR($C$101=$AR101,$D$101=$AR101),Schweine_Werte!$M101*0.5,IF(OR($C$101&gt;$AR101,$D$101&lt;$AR101),0,Schweine_Werte!$M101))</f>
        <v>0</v>
      </c>
      <c r="BV101" s="1714">
        <f>IF(OR($C$110=$AR101,$D$110=$AR101),Schweine_Werte!$M101*0.5,IF(OR($C$110&gt;$AR101,$D$110&lt;$AR101),0,Schweine_Werte!$M101))</f>
        <v>0</v>
      </c>
      <c r="BW101" s="1714">
        <f>IF(OR(8=$AR101,$E$127=$AR101),Schweine_Werte!$M101*0.5,IF(OR(8&gt;$AR101,$E$127&lt;$AR101),0,Schweine_Werte!$M101))</f>
        <v>1.3355244584329835</v>
      </c>
      <c r="BX101" s="1714">
        <f>IF(OR(8=$AR101,$E$145=$AR101),Schweine_Werte!$M101*0.5,IF(OR(8&gt;$AR101,$E$145&lt;$AR101),0,Schweine_Werte!$M101))</f>
        <v>1.3355244584329835</v>
      </c>
      <c r="BY101" s="1710">
        <f>IF(OR($C$74=$AR101,$D$74=$AR101),Schweine_Werte!$O101*0.5,IF(OR($C$74&gt;$AR101,$D$74&lt;$AR101),0,Schweine_Werte!$O101))</f>
        <v>0</v>
      </c>
      <c r="BZ101" s="1710">
        <f>IF(OR($C$83=$AR101,$D$83=$AR101),Schweine_Werte!$O101*0.5,IF(OR($C$83&gt;$AR101,$D$83&lt;$AR101),0,Schweine_Werte!$O101))</f>
        <v>0</v>
      </c>
      <c r="CA101" s="1714">
        <f>IF(OR($C$92=$AR101,$D$92=$AR101),Schweine_Werte!$O101*0.5,IF(OR($C$92&gt;$AR101,$D$92&lt;$AR101),0,Schweine_Werte!$O101))</f>
        <v>0</v>
      </c>
      <c r="CB101" s="1714">
        <f>IF(OR($C$101=$AR101,$D$101=$AR101),Schweine_Werte!$O101*0.5,IF(OR($C$101&gt;$AR101,$D$101&lt;$AR101),0,Schweine_Werte!$O101))</f>
        <v>0</v>
      </c>
      <c r="CC101" s="1714">
        <f>IF(OR($C$110=$AR101,$D$110=$AR101),Schweine_Werte!$O101*0.5,IF(OR($C$110&gt;$AR101,$D$110&lt;$AR101),0,Schweine_Werte!$O101))</f>
        <v>0</v>
      </c>
    </row>
    <row r="102" spans="1:81" x14ac:dyDescent="0.25">
      <c r="AR102" s="1733">
        <v>106</v>
      </c>
      <c r="AS102" s="1710">
        <f>IF(OR($C$12=$AR102,$D$12=$AR102),Schweine_Werte!$C102*0.5,IF(OR($C$12&gt;$AR102,$D$12&lt;$AR102),0,Schweine_Werte!$C102))</f>
        <v>0</v>
      </c>
      <c r="AT102" s="1713">
        <f>IF(OR($C$24=$AR102,$D$24=$AR102),Schweine_Werte!$C102*0.5,IF(OR($C$24&gt;$AR102,$D$24&lt;$AR102),0,Schweine_Werte!$C102))</f>
        <v>0</v>
      </c>
      <c r="AU102" s="1710">
        <f>IF(OR($C$36=$AR102,$D$36=$AR102),Schweine_Werte!$C102*0.5,IF(OR($C$36&gt;$AR102,$D$36&lt;$AR102),0,Schweine_Werte!$C102))</f>
        <v>0</v>
      </c>
      <c r="AV102" s="1710">
        <f>IF(OR($C$48=$AR102,$D$48=$AR102),Schweine_Werte!$C102*0.5,IF(OR($C$48&gt;$AR102,$D$48&lt;$AR102),0,Schweine_Werte!$C102))</f>
        <v>0</v>
      </c>
      <c r="AW102" s="1710">
        <f>IF(OR($C$60=$AR102,$D$60=$AR102),Schweine_Werte!$C102*0.5,IF(OR($C$60&gt;$AR102,$D$60&lt;$AR102),0,Schweine_Werte!$C102))</f>
        <v>0</v>
      </c>
      <c r="AX102" s="1710">
        <f>IF(OR($C$12=$AR102,$D$12=$AR102),Schweine_Werte!$E102*0.5,IF(OR($C$12&gt;$AR102,$D$12&lt;$AR102),0,Schweine_Werte!$E102))</f>
        <v>0</v>
      </c>
      <c r="AY102" s="1713">
        <f>IF(OR($C$24=$AR102,$D$24=$AR102),Schweine_Werte!$E102*0.5,IF(OR($C$24&gt;$AR102,$D$24&lt;$AR102),0,Schweine_Werte!$E102))</f>
        <v>0</v>
      </c>
      <c r="AZ102" s="1713">
        <f>IF(OR($C$36=$AR102,$D$36=$AR102),Schweine_Werte!$E102*0.5,IF(OR($C$36&gt;$AR102,$D$36&lt;$AR102),0,Schweine_Werte!$E102))</f>
        <v>0</v>
      </c>
      <c r="BA102" s="1713">
        <f>IF(OR($C$48=$AR102,$D$48=$AR102),Schweine_Werte!$E102*0.5,IF(OR($C$48&gt;$AR102,$D$48&lt;$AR102),0,Schweine_Werte!$E102))</f>
        <v>0</v>
      </c>
      <c r="BB102" s="1713">
        <f>IF(OR($C$60=$AR102,$D$60=$AR102),Schweine_Werte!$E102*0.5,IF(OR($C$60&gt;$AR102,$D$60&lt;$AR102),0,Schweine_Werte!$E102))</f>
        <v>0</v>
      </c>
      <c r="BC102" s="1710">
        <f>IF(OR($C$12=$AR102,$D$12=$AR102),Schweine_Werte!$G102*0.5,IF(OR($C$12&gt;$AR102,$D$12&lt;$AR102),0,Schweine_Werte!$G102))</f>
        <v>0</v>
      </c>
      <c r="BD102" s="1713">
        <f>IF(OR($C$24=$AR102,$D$24=$AR102),Schweine_Werte!$G102*0.5,IF(OR($C$24&gt;$AR102,$D$24&lt;$AR102),0,Schweine_Werte!$G102))</f>
        <v>0</v>
      </c>
      <c r="BE102" s="1713">
        <f>IF(OR($C$36=$AR102,$D$36=$AR102),Schweine_Werte!$G102*0.5,IF(OR($C$36&gt;$AR102,$D$36&lt;$AR102),0,Schweine_Werte!$G102))</f>
        <v>0</v>
      </c>
      <c r="BF102" s="1713">
        <f>IF(OR($C$48=$AR102,$D$48=$AR102),Schweine_Werte!$G102*0.5,IF(OR($C$48&gt;$AR102,$D$48&lt;$AR102),0,Schweine_Werte!$G102))</f>
        <v>0</v>
      </c>
      <c r="BG102" s="1713">
        <f>IF(OR($C$60=$AR102,$D$60=$AR102),Schweine_Werte!$G102*0.5,IF(OR($C$60&gt;$AR102,$D$60&lt;$AR102),0,Schweine_Werte!$G102))</f>
        <v>0</v>
      </c>
      <c r="BH102" s="1710">
        <f>IF(OR($C$12=$AR102,$D$12=$AR102),Schweine_Werte!$I102*0.5,IF(OR($C$12&gt;$AR102,$D$12&lt;$AR102),0,Schweine_Werte!$I102))</f>
        <v>0</v>
      </c>
      <c r="BI102" s="1713">
        <f>IF(OR($C$24=$AR102,$D$24=$AR102),Schweine_Werte!$I102*0.5,IF(OR($C$24&gt;$AR102,$D$24&lt;$AR102),0,Schweine_Werte!$I102))</f>
        <v>0</v>
      </c>
      <c r="BJ102" s="1713">
        <f>IF(OR($C$36=$AR102,$D$36=$AR102),Schweine_Werte!$I102*0.5,IF(OR($C$36&gt;$AR102,$D$36&lt;$AR102),0,Schweine_Werte!$I102))</f>
        <v>0</v>
      </c>
      <c r="BK102" s="1713">
        <f>IF(OR($C$48=$AR102,$D$48=$AR102),Schweine_Werte!$I102*0.5,IF(OR($C$48&gt;$AR102,$D$48&lt;$AR102),0,Schweine_Werte!$I102))</f>
        <v>0</v>
      </c>
      <c r="BL102" s="1713">
        <f>IF(OR($C$60=$AR102,$D$60=$AR102),Schweine_Werte!$I102*0.5,IF(OR($C$60&gt;$AR102,$D$60&lt;$AR102),0,Schweine_Werte!$I102))</f>
        <v>0</v>
      </c>
      <c r="BM102" s="1710">
        <f>IF(OR($C$12=$AR102,$D$12=$AR102),Schweine_Werte!$K102*0.5,IF(OR($C$12&gt;$AR102,$D$12&lt;$AR102),0,Schweine_Werte!$K102))</f>
        <v>0</v>
      </c>
      <c r="BN102" s="1713">
        <f>IF(OR($C$24=$AR102,$D$24=$AR102),Schweine_Werte!$K102*0.5,IF(OR($C$24&gt;$AR102,$D$24&lt;$AR102),0,Schweine_Werte!$K102))</f>
        <v>0</v>
      </c>
      <c r="BO102" s="1713">
        <f>IF(OR($C$36=$AR102,$D$36=$AR102),Schweine_Werte!$K102*0.5,IF(OR($C$36&gt;$AR102,$D$36&lt;$AR102),0,Schweine_Werte!$K102))</f>
        <v>0</v>
      </c>
      <c r="BP102" s="1713">
        <f>IF(OR($C$48=$AR102,$D$48=$AR102),Schweine_Werte!$K102*0.5,IF(OR($C$48&gt;$AR102,$D$48&lt;$AR102),0,Schweine_Werte!$K102))</f>
        <v>0</v>
      </c>
      <c r="BQ102" s="1713">
        <f>IF(OR($C$60=$AR102,$D$60=$AR102),Schweine_Werte!$K102*0.5,IF(OR($C$60&gt;$AR102,$D$60&lt;$AR102),0,Schweine_Werte!$K102))</f>
        <v>0</v>
      </c>
      <c r="BR102" s="1710">
        <f>IF(OR($C$74=$AR102,$D$74=$AR102),Schweine_Werte!$M102*0.5,IF(OR($C$74&gt;$AR102,$D$74&lt;$AR102),0,Schweine_Werte!$M102))</f>
        <v>0</v>
      </c>
      <c r="BS102" s="1710">
        <f>IF(OR($C$83=$AR102,$D$83=$AR102),Schweine_Werte!$M102*0.5,IF(OR($C$83&gt;$AR102,$D$83&lt;$AR102),0,Schweine_Werte!$M102))</f>
        <v>0</v>
      </c>
      <c r="BT102" s="1714">
        <f>IF(OR($C$92=$AR102,$D$92=$AR102),Schweine_Werte!$M102*0.5,IF(OR($C$92&gt;$AR102,$D$92&lt;$AR102),0,Schweine_Werte!$M102))</f>
        <v>0</v>
      </c>
      <c r="BU102" s="1714">
        <f>IF(OR($C$101=$AR102,$D$101=$AR102),Schweine_Werte!$M102*0.5,IF(OR($C$101&gt;$AR102,$D$101&lt;$AR102),0,Schweine_Werte!$M102))</f>
        <v>0</v>
      </c>
      <c r="BV102" s="1714">
        <f>IF(OR($C$110=$AR102,$D$110=$AR102),Schweine_Werte!$M102*0.5,IF(OR($C$110&gt;$AR102,$D$110&lt;$AR102),0,Schweine_Werte!$M102))</f>
        <v>0</v>
      </c>
      <c r="BW102" s="1714">
        <f>IF(OR(8=$AR102,$E$127=$AR102),Schweine_Werte!$M102*0.5,IF(OR(8&gt;$AR102,$E$127&lt;$AR102),0,Schweine_Werte!$M102))</f>
        <v>1.3531217058610687</v>
      </c>
      <c r="BX102" s="1714">
        <f>IF(OR(8=$AR102,$E$145=$AR102),Schweine_Werte!$M102*0.5,IF(OR(8&gt;$AR102,$E$145&lt;$AR102),0,Schweine_Werte!$M102))</f>
        <v>1.3531217058610687</v>
      </c>
      <c r="BY102" s="1710">
        <f>IF(OR($C$74=$AR102,$D$74=$AR102),Schweine_Werte!$O102*0.5,IF(OR($C$74&gt;$AR102,$D$74&lt;$AR102),0,Schweine_Werte!$O102))</f>
        <v>0</v>
      </c>
      <c r="BZ102" s="1710">
        <f>IF(OR($C$83=$AR102,$D$83=$AR102),Schweine_Werte!$O102*0.5,IF(OR($C$83&gt;$AR102,$D$83&lt;$AR102),0,Schweine_Werte!$O102))</f>
        <v>0</v>
      </c>
      <c r="CA102" s="1714">
        <f>IF(OR($C$92=$AR102,$D$92=$AR102),Schweine_Werte!$O102*0.5,IF(OR($C$92&gt;$AR102,$D$92&lt;$AR102),0,Schweine_Werte!$O102))</f>
        <v>0</v>
      </c>
      <c r="CB102" s="1714">
        <f>IF(OR($C$101=$AR102,$D$101=$AR102),Schweine_Werte!$O102*0.5,IF(OR($C$101&gt;$AR102,$D$101&lt;$AR102),0,Schweine_Werte!$O102))</f>
        <v>0</v>
      </c>
      <c r="CC102" s="1714">
        <f>IF(OR($C$110=$AR102,$D$110=$AR102),Schweine_Werte!$O102*0.5,IF(OR($C$110&gt;$AR102,$D$110&lt;$AR102),0,Schweine_Werte!$O102))</f>
        <v>0</v>
      </c>
    </row>
    <row r="103" spans="1:81" x14ac:dyDescent="0.25">
      <c r="AR103" s="1733">
        <v>107</v>
      </c>
      <c r="AS103" s="1710">
        <f>IF(OR($C$12=$AR103,$D$12=$AR103),Schweine_Werte!$C103*0.5,IF(OR($C$12&gt;$AR103,$D$12&lt;$AR103),0,Schweine_Werte!$C103))</f>
        <v>0</v>
      </c>
      <c r="AT103" s="1713">
        <f>IF(OR($C$24=$AR103,$D$24=$AR103),Schweine_Werte!$C103*0.5,IF(OR($C$24&gt;$AR103,$D$24&lt;$AR103),0,Schweine_Werte!$C103))</f>
        <v>0</v>
      </c>
      <c r="AU103" s="1710">
        <f>IF(OR($C$36=$AR103,$D$36=$AR103),Schweine_Werte!$C103*0.5,IF(OR($C$36&gt;$AR103,$D$36&lt;$AR103),0,Schweine_Werte!$C103))</f>
        <v>0</v>
      </c>
      <c r="AV103" s="1710">
        <f>IF(OR($C$48=$AR103,$D$48=$AR103),Schweine_Werte!$C103*0.5,IF(OR($C$48&gt;$AR103,$D$48&lt;$AR103),0,Schweine_Werte!$C103))</f>
        <v>0</v>
      </c>
      <c r="AW103" s="1710">
        <f>IF(OR($C$60=$AR103,$D$60=$AR103),Schweine_Werte!$C103*0.5,IF(OR($C$60&gt;$AR103,$D$60&lt;$AR103),0,Schweine_Werte!$C103))</f>
        <v>0</v>
      </c>
      <c r="AX103" s="1710">
        <f>IF(OR($C$12=$AR103,$D$12=$AR103),Schweine_Werte!$E103*0.5,IF(OR($C$12&gt;$AR103,$D$12&lt;$AR103),0,Schweine_Werte!$E103))</f>
        <v>0</v>
      </c>
      <c r="AY103" s="1713">
        <f>IF(OR($C$24=$AR103,$D$24=$AR103),Schweine_Werte!$E103*0.5,IF(OR($C$24&gt;$AR103,$D$24&lt;$AR103),0,Schweine_Werte!$E103))</f>
        <v>0</v>
      </c>
      <c r="AZ103" s="1713">
        <f>IF(OR($C$36=$AR103,$D$36=$AR103),Schweine_Werte!$E103*0.5,IF(OR($C$36&gt;$AR103,$D$36&lt;$AR103),0,Schweine_Werte!$E103))</f>
        <v>0</v>
      </c>
      <c r="BA103" s="1713">
        <f>IF(OR($C$48=$AR103,$D$48=$AR103),Schweine_Werte!$E103*0.5,IF(OR($C$48&gt;$AR103,$D$48&lt;$AR103),0,Schweine_Werte!$E103))</f>
        <v>0</v>
      </c>
      <c r="BB103" s="1713">
        <f>IF(OR($C$60=$AR103,$D$60=$AR103),Schweine_Werte!$E103*0.5,IF(OR($C$60&gt;$AR103,$D$60&lt;$AR103),0,Schweine_Werte!$E103))</f>
        <v>0</v>
      </c>
      <c r="BC103" s="1710">
        <f>IF(OR($C$12=$AR103,$D$12=$AR103),Schweine_Werte!$G103*0.5,IF(OR($C$12&gt;$AR103,$D$12&lt;$AR103),0,Schweine_Werte!$G103))</f>
        <v>0</v>
      </c>
      <c r="BD103" s="1713">
        <f>IF(OR($C$24=$AR103,$D$24=$AR103),Schweine_Werte!$G103*0.5,IF(OR($C$24&gt;$AR103,$D$24&lt;$AR103),0,Schweine_Werte!$G103))</f>
        <v>0</v>
      </c>
      <c r="BE103" s="1713">
        <f>IF(OR($C$36=$AR103,$D$36=$AR103),Schweine_Werte!$G103*0.5,IF(OR($C$36&gt;$AR103,$D$36&lt;$AR103),0,Schweine_Werte!$G103))</f>
        <v>0</v>
      </c>
      <c r="BF103" s="1713">
        <f>IF(OR($C$48=$AR103,$D$48=$AR103),Schweine_Werte!$G103*0.5,IF(OR($C$48&gt;$AR103,$D$48&lt;$AR103),0,Schweine_Werte!$G103))</f>
        <v>0</v>
      </c>
      <c r="BG103" s="1713">
        <f>IF(OR($C$60=$AR103,$D$60=$AR103),Schweine_Werte!$G103*0.5,IF(OR($C$60&gt;$AR103,$D$60&lt;$AR103),0,Schweine_Werte!$G103))</f>
        <v>0</v>
      </c>
      <c r="BH103" s="1710">
        <f>IF(OR($C$12=$AR103,$D$12=$AR103),Schweine_Werte!$I103*0.5,IF(OR($C$12&gt;$AR103,$D$12&lt;$AR103),0,Schweine_Werte!$I103))</f>
        <v>0</v>
      </c>
      <c r="BI103" s="1713">
        <f>IF(OR($C$24=$AR103,$D$24=$AR103),Schweine_Werte!$I103*0.5,IF(OR($C$24&gt;$AR103,$D$24&lt;$AR103),0,Schweine_Werte!$I103))</f>
        <v>0</v>
      </c>
      <c r="BJ103" s="1713">
        <f>IF(OR($C$36=$AR103,$D$36=$AR103),Schweine_Werte!$I103*0.5,IF(OR($C$36&gt;$AR103,$D$36&lt;$AR103),0,Schweine_Werte!$I103))</f>
        <v>0</v>
      </c>
      <c r="BK103" s="1713">
        <f>IF(OR($C$48=$AR103,$D$48=$AR103),Schweine_Werte!$I103*0.5,IF(OR($C$48&gt;$AR103,$D$48&lt;$AR103),0,Schweine_Werte!$I103))</f>
        <v>0</v>
      </c>
      <c r="BL103" s="1713">
        <f>IF(OR($C$60=$AR103,$D$60=$AR103),Schweine_Werte!$I103*0.5,IF(OR($C$60&gt;$AR103,$D$60&lt;$AR103),0,Schweine_Werte!$I103))</f>
        <v>0</v>
      </c>
      <c r="BM103" s="1710">
        <f>IF(OR($C$12=$AR103,$D$12=$AR103),Schweine_Werte!$K103*0.5,IF(OR($C$12&gt;$AR103,$D$12&lt;$AR103),0,Schweine_Werte!$K103))</f>
        <v>0</v>
      </c>
      <c r="BN103" s="1713">
        <f>IF(OR($C$24=$AR103,$D$24=$AR103),Schweine_Werte!$K103*0.5,IF(OR($C$24&gt;$AR103,$D$24&lt;$AR103),0,Schweine_Werte!$K103))</f>
        <v>0</v>
      </c>
      <c r="BO103" s="1713">
        <f>IF(OR($C$36=$AR103,$D$36=$AR103),Schweine_Werte!$K103*0.5,IF(OR($C$36&gt;$AR103,$D$36&lt;$AR103),0,Schweine_Werte!$K103))</f>
        <v>0</v>
      </c>
      <c r="BP103" s="1713">
        <f>IF(OR($C$48=$AR103,$D$48=$AR103),Schweine_Werte!$K103*0.5,IF(OR($C$48&gt;$AR103,$D$48&lt;$AR103),0,Schweine_Werte!$K103))</f>
        <v>0</v>
      </c>
      <c r="BQ103" s="1713">
        <f>IF(OR($C$60=$AR103,$D$60=$AR103),Schweine_Werte!$K103*0.5,IF(OR($C$60&gt;$AR103,$D$60&lt;$AR103),0,Schweine_Werte!$K103))</f>
        <v>0</v>
      </c>
      <c r="BR103" s="1710">
        <f>IF(OR($C$74=$AR103,$D$74=$AR103),Schweine_Werte!$M103*0.5,IF(OR($C$74&gt;$AR103,$D$74&lt;$AR103),0,Schweine_Werte!$M103))</f>
        <v>0</v>
      </c>
      <c r="BS103" s="1710">
        <f>IF(OR($C$83=$AR103,$D$83=$AR103),Schweine_Werte!$M103*0.5,IF(OR($C$83&gt;$AR103,$D$83&lt;$AR103),0,Schweine_Werte!$M103))</f>
        <v>0</v>
      </c>
      <c r="BT103" s="1714">
        <f>IF(OR($C$92=$AR103,$D$92=$AR103),Schweine_Werte!$M103*0.5,IF(OR($C$92&gt;$AR103,$D$92&lt;$AR103),0,Schweine_Werte!$M103))</f>
        <v>0</v>
      </c>
      <c r="BU103" s="1714">
        <f>IF(OR($C$101=$AR103,$D$101=$AR103),Schweine_Werte!$M103*0.5,IF(OR($C$101&gt;$AR103,$D$101&lt;$AR103),0,Schweine_Werte!$M103))</f>
        <v>0</v>
      </c>
      <c r="BV103" s="1714">
        <f>IF(OR($C$110=$AR103,$D$110=$AR103),Schweine_Werte!$M103*0.5,IF(OR($C$110&gt;$AR103,$D$110&lt;$AR103),0,Schweine_Werte!$M103))</f>
        <v>0</v>
      </c>
      <c r="BW103" s="1714">
        <f>IF(OR(8=$AR103,$E$127=$AR103),Schweine_Werte!$M103*0.5,IF(OR(8&gt;$AR103,$E$127&lt;$AR103),0,Schweine_Werte!$M103))</f>
        <v>1.3717350969782129</v>
      </c>
      <c r="BX103" s="1714">
        <f>IF(OR(8=$AR103,$E$145=$AR103),Schweine_Werte!$M103*0.5,IF(OR(8&gt;$AR103,$E$145&lt;$AR103),0,Schweine_Werte!$M103))</f>
        <v>1.3717350969782129</v>
      </c>
      <c r="BY103" s="1710">
        <f>IF(OR($C$74=$AR103,$D$74=$AR103),Schweine_Werte!$O103*0.5,IF(OR($C$74&gt;$AR103,$D$74&lt;$AR103),0,Schweine_Werte!$O103))</f>
        <v>0</v>
      </c>
      <c r="BZ103" s="1710">
        <f>IF(OR($C$83=$AR103,$D$83=$AR103),Schweine_Werte!$O103*0.5,IF(OR($C$83&gt;$AR103,$D$83&lt;$AR103),0,Schweine_Werte!$O103))</f>
        <v>0</v>
      </c>
      <c r="CA103" s="1714">
        <f>IF(OR($C$92=$AR103,$D$92=$AR103),Schweine_Werte!$O103*0.5,IF(OR($C$92&gt;$AR103,$D$92&lt;$AR103),0,Schweine_Werte!$O103))</f>
        <v>0</v>
      </c>
      <c r="CB103" s="1714">
        <f>IF(OR($C$101=$AR103,$D$101=$AR103),Schweine_Werte!$O103*0.5,IF(OR($C$101&gt;$AR103,$D$101&lt;$AR103),0,Schweine_Werte!$O103))</f>
        <v>0</v>
      </c>
      <c r="CC103" s="1714">
        <f>IF(OR($C$110=$AR103,$D$110=$AR103),Schweine_Werte!$O103*0.5,IF(OR($C$110&gt;$AR103,$D$110&lt;$AR103),0,Schweine_Werte!$O103))</f>
        <v>0</v>
      </c>
    </row>
    <row r="104" spans="1:81" x14ac:dyDescent="0.25">
      <c r="Q104" s="3251" t="s">
        <v>8546</v>
      </c>
      <c r="R104" s="3251"/>
      <c r="S104" s="3251"/>
      <c r="T104" s="3251" t="s">
        <v>8547</v>
      </c>
      <c r="U104" s="3251"/>
      <c r="V104" s="3251"/>
      <c r="W104" s="1689" t="s">
        <v>8544</v>
      </c>
      <c r="X104" s="1689"/>
      <c r="Y104" s="1689"/>
      <c r="AR104" s="1733">
        <v>108</v>
      </c>
      <c r="AS104" s="1710">
        <f>IF(OR($C$12=$AR104,$D$12=$AR104),Schweine_Werte!$C104*0.5,IF(OR($C$12&gt;$AR104,$D$12&lt;$AR104),0,Schweine_Werte!$C104))</f>
        <v>0</v>
      </c>
      <c r="AT104" s="1713">
        <f>IF(OR($C$24=$AR104,$D$24=$AR104),Schweine_Werte!$C104*0.5,IF(OR($C$24&gt;$AR104,$D$24&lt;$AR104),0,Schweine_Werte!$C104))</f>
        <v>0</v>
      </c>
      <c r="AU104" s="1710">
        <f>IF(OR($C$36=$AR104,$D$36=$AR104),Schweine_Werte!$C104*0.5,IF(OR($C$36&gt;$AR104,$D$36&lt;$AR104),0,Schweine_Werte!$C104))</f>
        <v>0</v>
      </c>
      <c r="AV104" s="1710">
        <f>IF(OR($C$48=$AR104,$D$48=$AR104),Schweine_Werte!$C104*0.5,IF(OR($C$48&gt;$AR104,$D$48&lt;$AR104),0,Schweine_Werte!$C104))</f>
        <v>0</v>
      </c>
      <c r="AW104" s="1710">
        <f>IF(OR($C$60=$AR104,$D$60=$AR104),Schweine_Werte!$C104*0.5,IF(OR($C$60&gt;$AR104,$D$60&lt;$AR104),0,Schweine_Werte!$C104))</f>
        <v>0</v>
      </c>
      <c r="AX104" s="1710">
        <f>IF(OR($C$12=$AR104,$D$12=$AR104),Schweine_Werte!$E104*0.5,IF(OR($C$12&gt;$AR104,$D$12&lt;$AR104),0,Schweine_Werte!$E104))</f>
        <v>0</v>
      </c>
      <c r="AY104" s="1713">
        <f>IF(OR($C$24=$AR104,$D$24=$AR104),Schweine_Werte!$E104*0.5,IF(OR($C$24&gt;$AR104,$D$24&lt;$AR104),0,Schweine_Werte!$E104))</f>
        <v>0</v>
      </c>
      <c r="AZ104" s="1713">
        <f>IF(OR($C$36=$AR104,$D$36=$AR104),Schweine_Werte!$E104*0.5,IF(OR($C$36&gt;$AR104,$D$36&lt;$AR104),0,Schweine_Werte!$E104))</f>
        <v>0</v>
      </c>
      <c r="BA104" s="1713">
        <f>IF(OR($C$48=$AR104,$D$48=$AR104),Schweine_Werte!$E104*0.5,IF(OR($C$48&gt;$AR104,$D$48&lt;$AR104),0,Schweine_Werte!$E104))</f>
        <v>0</v>
      </c>
      <c r="BB104" s="1713">
        <f>IF(OR($C$60=$AR104,$D$60=$AR104),Schweine_Werte!$E104*0.5,IF(OR($C$60&gt;$AR104,$D$60&lt;$AR104),0,Schweine_Werte!$E104))</f>
        <v>0</v>
      </c>
      <c r="BC104" s="1710">
        <f>IF(OR($C$12=$AR104,$D$12=$AR104),Schweine_Werte!$G104*0.5,IF(OR($C$12&gt;$AR104,$D$12&lt;$AR104),0,Schweine_Werte!$G104))</f>
        <v>0</v>
      </c>
      <c r="BD104" s="1713">
        <f>IF(OR($C$24=$AR104,$D$24=$AR104),Schweine_Werte!$G104*0.5,IF(OR($C$24&gt;$AR104,$D$24&lt;$AR104),0,Schweine_Werte!$G104))</f>
        <v>0</v>
      </c>
      <c r="BE104" s="1713">
        <f>IF(OR($C$36=$AR104,$D$36=$AR104),Schweine_Werte!$G104*0.5,IF(OR($C$36&gt;$AR104,$D$36&lt;$AR104),0,Schweine_Werte!$G104))</f>
        <v>0</v>
      </c>
      <c r="BF104" s="1713">
        <f>IF(OR($C$48=$AR104,$D$48=$AR104),Schweine_Werte!$G104*0.5,IF(OR($C$48&gt;$AR104,$D$48&lt;$AR104),0,Schweine_Werte!$G104))</f>
        <v>0</v>
      </c>
      <c r="BG104" s="1713">
        <f>IF(OR($C$60=$AR104,$D$60=$AR104),Schweine_Werte!$G104*0.5,IF(OR($C$60&gt;$AR104,$D$60&lt;$AR104),0,Schweine_Werte!$G104))</f>
        <v>0</v>
      </c>
      <c r="BH104" s="1710">
        <f>IF(OR($C$12=$AR104,$D$12=$AR104),Schweine_Werte!$I104*0.5,IF(OR($C$12&gt;$AR104,$D$12&lt;$AR104),0,Schweine_Werte!$I104))</f>
        <v>0</v>
      </c>
      <c r="BI104" s="1713">
        <f>IF(OR($C$24=$AR104,$D$24=$AR104),Schweine_Werte!$I104*0.5,IF(OR($C$24&gt;$AR104,$D$24&lt;$AR104),0,Schweine_Werte!$I104))</f>
        <v>0</v>
      </c>
      <c r="BJ104" s="1713">
        <f>IF(OR($C$36=$AR104,$D$36=$AR104),Schweine_Werte!$I104*0.5,IF(OR($C$36&gt;$AR104,$D$36&lt;$AR104),0,Schweine_Werte!$I104))</f>
        <v>0</v>
      </c>
      <c r="BK104" s="1713">
        <f>IF(OR($C$48=$AR104,$D$48=$AR104),Schweine_Werte!$I104*0.5,IF(OR($C$48&gt;$AR104,$D$48&lt;$AR104),0,Schweine_Werte!$I104))</f>
        <v>0</v>
      </c>
      <c r="BL104" s="1713">
        <f>IF(OR($C$60=$AR104,$D$60=$AR104),Schweine_Werte!$I104*0.5,IF(OR($C$60&gt;$AR104,$D$60&lt;$AR104),0,Schweine_Werte!$I104))</f>
        <v>0</v>
      </c>
      <c r="BM104" s="1710">
        <f>IF(OR($C$12=$AR104,$D$12=$AR104),Schweine_Werte!$K104*0.5,IF(OR($C$12&gt;$AR104,$D$12&lt;$AR104),0,Schweine_Werte!$K104))</f>
        <v>0</v>
      </c>
      <c r="BN104" s="1713">
        <f>IF(OR($C$24=$AR104,$D$24=$AR104),Schweine_Werte!$K104*0.5,IF(OR($C$24&gt;$AR104,$D$24&lt;$AR104),0,Schweine_Werte!$K104))</f>
        <v>0</v>
      </c>
      <c r="BO104" s="1713">
        <f>IF(OR($C$36=$AR104,$D$36=$AR104),Schweine_Werte!$K104*0.5,IF(OR($C$36&gt;$AR104,$D$36&lt;$AR104),0,Schweine_Werte!$K104))</f>
        <v>0</v>
      </c>
      <c r="BP104" s="1713">
        <f>IF(OR($C$48=$AR104,$D$48=$AR104),Schweine_Werte!$K104*0.5,IF(OR($C$48&gt;$AR104,$D$48&lt;$AR104),0,Schweine_Werte!$K104))</f>
        <v>0</v>
      </c>
      <c r="BQ104" s="1713">
        <f>IF(OR($C$60=$AR104,$D$60=$AR104),Schweine_Werte!$K104*0.5,IF(OR($C$60&gt;$AR104,$D$60&lt;$AR104),0,Schweine_Werte!$K104))</f>
        <v>0</v>
      </c>
      <c r="BR104" s="1710">
        <f>IF(OR($C$74=$AR104,$D$74=$AR104),Schweine_Werte!$M104*0.5,IF(OR($C$74&gt;$AR104,$D$74&lt;$AR104),0,Schweine_Werte!$M104))</f>
        <v>0</v>
      </c>
      <c r="BS104" s="1710">
        <f>IF(OR($C$83=$AR104,$D$83=$AR104),Schweine_Werte!$M104*0.5,IF(OR($C$83&gt;$AR104,$D$83&lt;$AR104),0,Schweine_Werte!$M104))</f>
        <v>0</v>
      </c>
      <c r="BT104" s="1714">
        <f>IF(OR($C$92=$AR104,$D$92=$AR104),Schweine_Werte!$M104*0.5,IF(OR($C$92&gt;$AR104,$D$92&lt;$AR104),0,Schweine_Werte!$M104))</f>
        <v>0</v>
      </c>
      <c r="BU104" s="1714">
        <f>IF(OR($C$101=$AR104,$D$101=$AR104),Schweine_Werte!$M104*0.5,IF(OR($C$101&gt;$AR104,$D$101&lt;$AR104),0,Schweine_Werte!$M104))</f>
        <v>0</v>
      </c>
      <c r="BV104" s="1714">
        <f>IF(OR($C$110=$AR104,$D$110=$AR104),Schweine_Werte!$M104*0.5,IF(OR($C$110&gt;$AR104,$D$110&lt;$AR104),0,Schweine_Werte!$M104))</f>
        <v>0</v>
      </c>
      <c r="BW104" s="1714">
        <f>IF(OR(8=$AR104,$E$127=$AR104),Schweine_Werte!$M104*0.5,IF(OR(8&gt;$AR104,$E$127&lt;$AR104),0,Schweine_Werte!$M104))</f>
        <v>1.3914289652940333</v>
      </c>
      <c r="BX104" s="1714">
        <f>IF(OR(8=$AR104,$E$145=$AR104),Schweine_Werte!$M104*0.5,IF(OR(8&gt;$AR104,$E$145&lt;$AR104),0,Schweine_Werte!$M104))</f>
        <v>1.3914289652940333</v>
      </c>
      <c r="BY104" s="1710">
        <f>IF(OR($C$74=$AR104,$D$74=$AR104),Schweine_Werte!$O104*0.5,IF(OR($C$74&gt;$AR104,$D$74&lt;$AR104),0,Schweine_Werte!$O104))</f>
        <v>0</v>
      </c>
      <c r="BZ104" s="1710">
        <f>IF(OR($C$83=$AR104,$D$83=$AR104),Schweine_Werte!$O104*0.5,IF(OR($C$83&gt;$AR104,$D$83&lt;$AR104),0,Schweine_Werte!$O104))</f>
        <v>0</v>
      </c>
      <c r="CA104" s="1714">
        <f>IF(OR($C$92=$AR104,$D$92=$AR104),Schweine_Werte!$O104*0.5,IF(OR($C$92&gt;$AR104,$D$92&lt;$AR104),0,Schweine_Werte!$O104))</f>
        <v>0</v>
      </c>
      <c r="CB104" s="1714">
        <f>IF(OR($C$101=$AR104,$D$101=$AR104),Schweine_Werte!$O104*0.5,IF(OR($C$101&gt;$AR104,$D$101&lt;$AR104),0,Schweine_Werte!$O104))</f>
        <v>0</v>
      </c>
      <c r="CC104" s="1714">
        <f>IF(OR($C$110=$AR104,$D$110=$AR104),Schweine_Werte!$O104*0.5,IF(OR($C$110&gt;$AR104,$D$110&lt;$AR104),0,Schweine_Werte!$O104))</f>
        <v>0</v>
      </c>
    </row>
    <row r="105" spans="1:81" x14ac:dyDescent="0.25">
      <c r="B105" t="s">
        <v>8613</v>
      </c>
      <c r="C105"/>
      <c r="D105"/>
      <c r="E105" t="s">
        <v>8568</v>
      </c>
      <c r="F105" t="s">
        <v>195</v>
      </c>
      <c r="G105" t="s">
        <v>8569</v>
      </c>
      <c r="H105" t="s">
        <v>8570</v>
      </c>
      <c r="I105" t="s">
        <v>8571</v>
      </c>
      <c r="J105" t="s">
        <v>8096</v>
      </c>
      <c r="K105" t="s">
        <v>8572</v>
      </c>
      <c r="L105" t="s">
        <v>8573</v>
      </c>
      <c r="M105" t="s">
        <v>8574</v>
      </c>
      <c r="N105" t="s">
        <v>8575</v>
      </c>
      <c r="O105" t="s">
        <v>8576</v>
      </c>
      <c r="P105" t="s">
        <v>8577</v>
      </c>
      <c r="Q105" t="s">
        <v>35</v>
      </c>
      <c r="R105" t="s">
        <v>36</v>
      </c>
      <c r="S105" t="s">
        <v>37</v>
      </c>
      <c r="T105" t="s">
        <v>35</v>
      </c>
      <c r="U105" t="s">
        <v>36</v>
      </c>
      <c r="V105" t="s">
        <v>37</v>
      </c>
      <c r="W105" t="s">
        <v>8548</v>
      </c>
      <c r="X105" t="s">
        <v>8549</v>
      </c>
      <c r="Y105" t="s">
        <v>8550</v>
      </c>
      <c r="Z105"/>
      <c r="AA105"/>
      <c r="AB105"/>
      <c r="AC105"/>
      <c r="AD105"/>
      <c r="AE105"/>
      <c r="AF105"/>
      <c r="AG105"/>
      <c r="AH105"/>
      <c r="AI105"/>
      <c r="AJ105"/>
      <c r="AK105"/>
      <c r="AL105"/>
      <c r="AM105"/>
      <c r="AN105"/>
      <c r="AO105"/>
      <c r="AR105" s="1733">
        <v>109</v>
      </c>
      <c r="AS105" s="1710">
        <f>IF(OR($C$12=$AR105,$D$12=$AR105),Schweine_Werte!$C105*0.5,IF(OR($C$12&gt;$AR105,$D$12&lt;$AR105),0,Schweine_Werte!$C105))</f>
        <v>0</v>
      </c>
      <c r="AT105" s="1713">
        <f>IF(OR($C$24=$AR105,$D$24=$AR105),Schweine_Werte!$C105*0.5,IF(OR($C$24&gt;$AR105,$D$24&lt;$AR105),0,Schweine_Werte!$C105))</f>
        <v>0</v>
      </c>
      <c r="AU105" s="1710">
        <f>IF(OR($C$36=$AR105,$D$36=$AR105),Schweine_Werte!$C105*0.5,IF(OR($C$36&gt;$AR105,$D$36&lt;$AR105),0,Schweine_Werte!$C105))</f>
        <v>0</v>
      </c>
      <c r="AV105" s="1710">
        <f>IF(OR($C$48=$AR105,$D$48=$AR105),Schweine_Werte!$C105*0.5,IF(OR($C$48&gt;$AR105,$D$48&lt;$AR105),0,Schweine_Werte!$C105))</f>
        <v>0</v>
      </c>
      <c r="AW105" s="1710">
        <f>IF(OR($C$60=$AR105,$D$60=$AR105),Schweine_Werte!$C105*0.5,IF(OR($C$60&gt;$AR105,$D$60&lt;$AR105),0,Schweine_Werte!$C105))</f>
        <v>0</v>
      </c>
      <c r="AX105" s="1710">
        <f>IF(OR($C$12=$AR105,$D$12=$AR105),Schweine_Werte!$E105*0.5,IF(OR($C$12&gt;$AR105,$D$12&lt;$AR105),0,Schweine_Werte!$E105))</f>
        <v>0</v>
      </c>
      <c r="AY105" s="1713">
        <f>IF(OR($C$24=$AR105,$D$24=$AR105),Schweine_Werte!$E105*0.5,IF(OR($C$24&gt;$AR105,$D$24&lt;$AR105),0,Schweine_Werte!$E105))</f>
        <v>0</v>
      </c>
      <c r="AZ105" s="1713">
        <f>IF(OR($C$36=$AR105,$D$36=$AR105),Schweine_Werte!$E105*0.5,IF(OR($C$36&gt;$AR105,$D$36&lt;$AR105),0,Schweine_Werte!$E105))</f>
        <v>0</v>
      </c>
      <c r="BA105" s="1713">
        <f>IF(OR($C$48=$AR105,$D$48=$AR105),Schweine_Werte!$E105*0.5,IF(OR($C$48&gt;$AR105,$D$48&lt;$AR105),0,Schweine_Werte!$E105))</f>
        <v>0</v>
      </c>
      <c r="BB105" s="1713">
        <f>IF(OR($C$60=$AR105,$D$60=$AR105),Schweine_Werte!$E105*0.5,IF(OR($C$60&gt;$AR105,$D$60&lt;$AR105),0,Schweine_Werte!$E105))</f>
        <v>0</v>
      </c>
      <c r="BC105" s="1710">
        <f>IF(OR($C$12=$AR105,$D$12=$AR105),Schweine_Werte!$G105*0.5,IF(OR($C$12&gt;$AR105,$D$12&lt;$AR105),0,Schweine_Werte!$G105))</f>
        <v>0</v>
      </c>
      <c r="BD105" s="1713">
        <f>IF(OR($C$24=$AR105,$D$24=$AR105),Schweine_Werte!$G105*0.5,IF(OR($C$24&gt;$AR105,$D$24&lt;$AR105),0,Schweine_Werte!$G105))</f>
        <v>0</v>
      </c>
      <c r="BE105" s="1713">
        <f>IF(OR($C$36=$AR105,$D$36=$AR105),Schweine_Werte!$G105*0.5,IF(OR($C$36&gt;$AR105,$D$36&lt;$AR105),0,Schweine_Werte!$G105))</f>
        <v>0</v>
      </c>
      <c r="BF105" s="1713">
        <f>IF(OR($C$48=$AR105,$D$48=$AR105),Schweine_Werte!$G105*0.5,IF(OR($C$48&gt;$AR105,$D$48&lt;$AR105),0,Schweine_Werte!$G105))</f>
        <v>0</v>
      </c>
      <c r="BG105" s="1713">
        <f>IF(OR($C$60=$AR105,$D$60=$AR105),Schweine_Werte!$G105*0.5,IF(OR($C$60&gt;$AR105,$D$60&lt;$AR105),0,Schweine_Werte!$G105))</f>
        <v>0</v>
      </c>
      <c r="BH105" s="1710">
        <f>IF(OR($C$12=$AR105,$D$12=$AR105),Schweine_Werte!$I105*0.5,IF(OR($C$12&gt;$AR105,$D$12&lt;$AR105),0,Schweine_Werte!$I105))</f>
        <v>0</v>
      </c>
      <c r="BI105" s="1713">
        <f>IF(OR($C$24=$AR105,$D$24=$AR105),Schweine_Werte!$I105*0.5,IF(OR($C$24&gt;$AR105,$D$24&lt;$AR105),0,Schweine_Werte!$I105))</f>
        <v>0</v>
      </c>
      <c r="BJ105" s="1713">
        <f>IF(OR($C$36=$AR105,$D$36=$AR105),Schweine_Werte!$I105*0.5,IF(OR($C$36&gt;$AR105,$D$36&lt;$AR105),0,Schweine_Werte!$I105))</f>
        <v>0</v>
      </c>
      <c r="BK105" s="1713">
        <f>IF(OR($C$48=$AR105,$D$48=$AR105),Schweine_Werte!$I105*0.5,IF(OR($C$48&gt;$AR105,$D$48&lt;$AR105),0,Schweine_Werte!$I105))</f>
        <v>0</v>
      </c>
      <c r="BL105" s="1713">
        <f>IF(OR($C$60=$AR105,$D$60=$AR105),Schweine_Werte!$I105*0.5,IF(OR($C$60&gt;$AR105,$D$60&lt;$AR105),0,Schweine_Werte!$I105))</f>
        <v>0</v>
      </c>
      <c r="BM105" s="1710">
        <f>IF(OR($C$12=$AR105,$D$12=$AR105),Schweine_Werte!$K105*0.5,IF(OR($C$12&gt;$AR105,$D$12&lt;$AR105),0,Schweine_Werte!$K105))</f>
        <v>0</v>
      </c>
      <c r="BN105" s="1713">
        <f>IF(OR($C$24=$AR105,$D$24=$AR105),Schweine_Werte!$K105*0.5,IF(OR($C$24&gt;$AR105,$D$24&lt;$AR105),0,Schweine_Werte!$K105))</f>
        <v>0</v>
      </c>
      <c r="BO105" s="1713">
        <f>IF(OR($C$36=$AR105,$D$36=$AR105),Schweine_Werte!$K105*0.5,IF(OR($C$36&gt;$AR105,$D$36&lt;$AR105),0,Schweine_Werte!$K105))</f>
        <v>0</v>
      </c>
      <c r="BP105" s="1713">
        <f>IF(OR($C$48=$AR105,$D$48=$AR105),Schweine_Werte!$K105*0.5,IF(OR($C$48&gt;$AR105,$D$48&lt;$AR105),0,Schweine_Werte!$K105))</f>
        <v>0</v>
      </c>
      <c r="BQ105" s="1713">
        <f>IF(OR($C$60=$AR105,$D$60=$AR105),Schweine_Werte!$K105*0.5,IF(OR($C$60&gt;$AR105,$D$60&lt;$AR105),0,Schweine_Werte!$K105))</f>
        <v>0</v>
      </c>
      <c r="BR105" s="1710">
        <f>IF(OR($C$74=$AR105,$D$74=$AR105),Schweine_Werte!$M105*0.5,IF(OR($C$74&gt;$AR105,$D$74&lt;$AR105),0,Schweine_Werte!$M105))</f>
        <v>0</v>
      </c>
      <c r="BS105" s="1710">
        <f>IF(OR($C$83=$AR105,$D$83=$AR105),Schweine_Werte!$M105*0.5,IF(OR($C$83&gt;$AR105,$D$83&lt;$AR105),0,Schweine_Werte!$M105))</f>
        <v>0</v>
      </c>
      <c r="BT105" s="1714">
        <f>IF(OR($C$92=$AR105,$D$92=$AR105),Schweine_Werte!$M105*0.5,IF(OR($C$92&gt;$AR105,$D$92&lt;$AR105),0,Schweine_Werte!$M105))</f>
        <v>0</v>
      </c>
      <c r="BU105" s="1714">
        <f>IF(OR($C$101=$AR105,$D$101=$AR105),Schweine_Werte!$M105*0.5,IF(OR($C$101&gt;$AR105,$D$101&lt;$AR105),0,Schweine_Werte!$M105))</f>
        <v>0</v>
      </c>
      <c r="BV105" s="1714">
        <f>IF(OR($C$110=$AR105,$D$110=$AR105),Schweine_Werte!$M105*0.5,IF(OR($C$110&gt;$AR105,$D$110&lt;$AR105),0,Schweine_Werte!$M105))</f>
        <v>0</v>
      </c>
      <c r="BW105" s="1714">
        <f>IF(OR(8=$AR105,$E$127=$AR105),Schweine_Werte!$M105*0.5,IF(OR(8&gt;$AR105,$E$127&lt;$AR105),0,Schweine_Werte!$M105))</f>
        <v>1.4122739315207109</v>
      </c>
      <c r="BX105" s="1714">
        <f>IF(OR(8=$AR105,$E$145=$AR105),Schweine_Werte!$M105*0.5,IF(OR(8&gt;$AR105,$E$145&lt;$AR105),0,Schweine_Werte!$M105))</f>
        <v>1.4122739315207109</v>
      </c>
      <c r="BY105" s="1710">
        <f>IF(OR($C$74=$AR105,$D$74=$AR105),Schweine_Werte!$O105*0.5,IF(OR($C$74&gt;$AR105,$D$74&lt;$AR105),0,Schweine_Werte!$O105))</f>
        <v>0</v>
      </c>
      <c r="BZ105" s="1710">
        <f>IF(OR($C$83=$AR105,$D$83=$AR105),Schweine_Werte!$O105*0.5,IF(OR($C$83&gt;$AR105,$D$83&lt;$AR105),0,Schweine_Werte!$O105))</f>
        <v>0</v>
      </c>
      <c r="CA105" s="1714">
        <f>IF(OR($C$92=$AR105,$D$92=$AR105),Schweine_Werte!$O105*0.5,IF(OR($C$92&gt;$AR105,$D$92&lt;$AR105),0,Schweine_Werte!$O105))</f>
        <v>0</v>
      </c>
      <c r="CB105" s="1714">
        <f>IF(OR($C$101=$AR105,$D$101=$AR105),Schweine_Werte!$O105*0.5,IF(OR($C$101&gt;$AR105,$D$101&lt;$AR105),0,Schweine_Werte!$O105))</f>
        <v>0</v>
      </c>
      <c r="CC105" s="1714">
        <f>IF(OR($C$110=$AR105,$D$110=$AR105),Schweine_Werte!$O105*0.5,IF(OR($C$110&gt;$AR105,$D$110&lt;$AR105),0,Schweine_Werte!$O105))</f>
        <v>0</v>
      </c>
    </row>
    <row r="106" spans="1:81" x14ac:dyDescent="0.25">
      <c r="B106">
        <v>450</v>
      </c>
      <c r="C106"/>
      <c r="D106" s="885"/>
      <c r="E106" t="e">
        <f>($D110-$C110)*1000/SUM($BV$4:$BV$31)</f>
        <v>#VALUE!</v>
      </c>
      <c r="F106" s="885" t="e">
        <f>SUMPRODUCT($BV$4:$BV$31,Schweine_Werte!$V$4:$V$31)/SUM($BV$4:$BV$31)</f>
        <v>#DIV/0!</v>
      </c>
      <c r="G106" s="885" t="e">
        <f>IF($B110=$A$8,SUMPRODUCT($BV$4:$BV$31,Schweine_Werte!HE$4:HE$31)/SUM($BV$4:$BV$31),IF($B110=$A$7,SUMPRODUCT($BV$4:$BV$31,Schweine_Werte!GQ$4:GQ$31)/SUM($BV$4:$BV$31),IF($B110=$A$6,SUMPRODUCT($BV$4:$BV$31,Schweine_Werte!GC$4:GC$31)/SUM($BV$4:$BV$31),SUMPRODUCT($BV$4:$BV$31,Schweine_Werte!FO$4:FO$31)/SUM($BV$4:$BV$31))))</f>
        <v>#DIV/0!</v>
      </c>
      <c r="H106" s="885" t="e">
        <f>IF($B110=$A$8,SUMPRODUCT($BV$4:$BV$31,Schweine_Werte!HF$4:HF$31)/SUM($BV$4:$BV$31),IF($B110=$A$7,SUMPRODUCT($BV$4:$BV$31,Schweine_Werte!GR$4:GR$31)/SUM($BV$4:$BV$31),IF($B110=$A$6,SUMPRODUCT($BV$4:$BV$31,Schweine_Werte!GD$4:GD$31)/SUM($BV$4:$BV$31),SUMPRODUCT($BV$4:$BV$31,Schweine_Werte!FP$4:FP$31)/SUM($BV$4:$BV$31))))</f>
        <v>#DIV/0!</v>
      </c>
      <c r="I106" s="885" t="e">
        <f>IF($B110=$A$8,SUMPRODUCT($BV$4:$BV$31,Schweine_Werte!HG$4:HG$31)/SUM($BV$4:$BV$31),IF($B110=$A$7,SUMPRODUCT($BV$4:$BV$31,Schweine_Werte!GS$4:GS$31)/SUM($BV$4:$BV$31),IF($B110=$A$6,SUMPRODUCT($BV$4:$BV$31,Schweine_Werte!GE$4:GE$31)/SUM($BV$4:$BV$31),SUMPRODUCT($BV$4:$BV$31,Schweine_Werte!FQ$4:FQ$31)/SUM($BV$4:$BV$31))))</f>
        <v>#DIV/0!</v>
      </c>
      <c r="J106" s="885" t="e">
        <f>SUMPRODUCT($BV$4:$BV$31,Schweine_Werte!$AD$4:$AD$31)/SUM($BV$4:$BV$31)</f>
        <v>#DIV/0!</v>
      </c>
      <c r="K106" s="885" t="e">
        <f>SUMPRODUCT($BV$4:$BV$31,Schweine_Werte!$AL$4:$AL$31)/SUM($BV$4:$BV$31)</f>
        <v>#DIV/0!</v>
      </c>
      <c r="L106" s="885" t="e">
        <f>T106*$F106*365/1000+$J106-$K106</f>
        <v>#DIV/0!</v>
      </c>
      <c r="M106" s="885" t="e">
        <f>U106*$F106*365/1000+$J106-$K106/2</f>
        <v>#DIV/0!</v>
      </c>
      <c r="N106" s="885" t="e">
        <f>V106*$F106*365/1000+$J106</f>
        <v>#DIV/0!</v>
      </c>
      <c r="O106" s="885">
        <f>IF($C110&lt;28,SUM($BV$4:$BV$23)+IF($D110&gt;28,$BV$24*0.5,$BV$24),0)</f>
        <v>0</v>
      </c>
      <c r="P106" s="885">
        <f>IF($D110&gt;28,SUM($BV$25:$BV$31)+IF($C110&lt;28,$BV$24*0.5,$BV$24),0)</f>
        <v>0</v>
      </c>
      <c r="Q106" s="885" t="e">
        <f t="shared" ref="Q106:S107" si="27">+T106*$F106</f>
        <v>#DIV/0!</v>
      </c>
      <c r="R106" s="885" t="e">
        <f t="shared" si="27"/>
        <v>#DIV/0!</v>
      </c>
      <c r="S106" s="885" t="e">
        <f t="shared" si="27"/>
        <v>#DIV/0!</v>
      </c>
      <c r="T106" s="885" t="e">
        <f>+($O106*Schweine_Werte!$HT$15+$P106*Schweine_Werte!$HU$15)/SUM($O106:$P106)</f>
        <v>#DIV/0!</v>
      </c>
      <c r="U106" s="885" t="e">
        <f>+($O106*Schweine_Werte!$HV$15+$P106*Schweine_Werte!$HW$15)/SUM($O106:$P106)</f>
        <v>#DIV/0!</v>
      </c>
      <c r="V106" s="885" t="e">
        <f>+($O106*Schweine_Werte!$HX$15+$P106*Schweine_Werte!$HY$15)/SUM($O106:$P106)</f>
        <v>#DIV/0!</v>
      </c>
      <c r="W106" s="1915" t="e">
        <f>($J106*0.055+T106*0.365*0.86*$F106-$K106*0.018)/L106*100</f>
        <v>#DIV/0!</v>
      </c>
      <c r="X106" s="1915" t="e">
        <f>($J106*0.055+U106*0.365*0.86*$F106-$K106*0.018/2)/M106*100</f>
        <v>#DIV/0!</v>
      </c>
      <c r="Y106" s="885" t="e">
        <f>($J106*0.055+V106*0.365*0.86*$F106)/N106*100</f>
        <v>#DIV/0!</v>
      </c>
      <c r="Z106" s="885" t="e">
        <f>IF($B110=$A$8,SUMPRODUCT($BV$4:$BV$31,Schweine_Werte!$HH$4:$HH$31,Schweine_Werte!$HI$4:$HI$31)/SUMPRODUCT($BV$4:$BV$31,Schweine_Werte!$HH$4:$HH$31),IF($B110=$A$7,SUMPRODUCT($BV$4:$BV$31,Schweine_Werte!$GT$4:$GT$31,Schweine_Werte!$GU$4:$GU$31)/SUMPRODUCT($BV$4:$BV$31,Schweine_Werte!$GT$4:$GT$31),IF($B110=$A$6,SUMPRODUCT($BV$4:$BV$31,Schweine_Werte!$GF$4:$GF$31,Schweine_Werte!$GG$4:$GG$31)/SUMPRODUCT($BV$4:$BV$31,Schweine_Werte!$GF$4:$GF$31),SUMPRODUCT($BV$4:$BV$31,Schweine_Werte!$FR$4:$FR$31,Schweine_Werte!$FS$4:$FS$31)/SUMPRODUCT($BV$4:$BV$31,Schweine_Werte!$FR$4:$FR$31))))</f>
        <v>#DIV/0!</v>
      </c>
      <c r="AA106" s="885"/>
      <c r="AB106" s="885">
        <f>IF($B110=$A$8,SUMIF(Schweine_Werte!$AO$4:$AO$31,$C110,Schweine_Werte!$HI$4:$HI$31),IF($B110=$A$7,SUMIF(Schweine_Werte!$AO$4:$AO$31,$C110,Schweine_Werte!$GU$4:$GU$31),IF($B110=$A$6,SUMIF(Schweine_Werte!$AO$4:$AO$31,$C110,Schweine_Werte!$GG$4:$GG$31),SUMIF(Schweine_Werte!$AO$4:$AO$31,$C110,Schweine_Werte!$FS$4:$FS$31))))</f>
        <v>0</v>
      </c>
      <c r="AC106" s="885"/>
      <c r="AD106" s="885">
        <f>IF($B110=$A$8,SUMIF(Schweine_Werte!$AO$4:$AO$31,$D110,Schweine_Werte!$HI$4:$HI$31),IF($B110=$A$7,SUMIF(Schweine_Werte!$AO$4:$AO$31,$D110,Schweine_Werte!$GU$4:$GU$31),IF($B110=$A$6,SUMIF(Schweine_Werte!$AO$4:$AO$31,$D110,Schweine_Werte!$GG$4:$GG$31),SUMIF(Schweine_Werte!$AO$4:$AO$31,$D110,Schweine_Werte!$FS$4:$FS$31))))</f>
        <v>0</v>
      </c>
      <c r="AE106" s="885"/>
      <c r="AF106" s="885"/>
      <c r="AG106" s="885" t="e">
        <f>IF($B110=$A$8,SUMPRODUCT($BV$4:$BV$31,Schweine_Werte!$HH$4:$HH$31)/SUM($BV$4:$BV$31),IF($B110=$A$7,SUMPRODUCT($BV$4:$BV$31,Schweine_Werte!$GT$4:$GT$31)/SUM($BV$4:$BV$31),IF($B110=$A$6,SUMPRODUCT($BV$4:$BV$31,Schweine_Werte!$GF$4:$GF$31)/SUM($BV$4:$BV$31),SUMPRODUCT($BV$4:$BV$31,Schweine_Werte!$FR$4:$FR$31)/SUM($BV$4:$BV$31))))</f>
        <v>#DIV/0!</v>
      </c>
      <c r="AH106" s="885"/>
      <c r="AI106" s="885"/>
      <c r="AJ106" s="885" t="e">
        <f>IF($B110=$A$8,SUMPRODUCT($BV$4:$BV$31,Schweine_Werte!$HH$4:$HH$31,Schweine_Werte!$HJ$4:$HJ$31)/SUMPRODUCT($BV$4:$BV$31,Schweine_Werte!$HH$4:$HH$31),IF($B110=$A$7,SUMPRODUCT($BV$4:$BV$31,Schweine_Werte!$GT$4:$GT$31,Schweine_Werte!$GV$4:$GV$31)/SUMPRODUCT($BV$4:$BV$31,Schweine_Werte!$GT$4:$GT$31),IF($B110=$A$6,SUMPRODUCT($BV$4:$BV$31,Schweine_Werte!$GF$4:$GF$31,Schweine_Werte!$GH$4:$GH$31)/SUMPRODUCT($BV$4:$BV$31,Schweine_Werte!$GF$4:$GF$31),SUMPRODUCT($BV$4:$BV$31,Schweine_Werte!$FR$4:$FR$31,Schweine_Werte!$FT$4:$FT$31)/SUMPRODUCT($BV$4:$BV$31,Schweine_Werte!$FR$4:$FR$31))))</f>
        <v>#DIV/0!</v>
      </c>
      <c r="AK106" s="885"/>
      <c r="AL106" s="885">
        <f>IF($B110=$A$8,SUMIF(Schweine_Werte!$AO$4:$AO$31,$C110,Schweine_Werte!$HJ$4:$HJ$31),IF($B110=$A$7,SUMIF(Schweine_Werte!$AO$4:$AO$31,$C110,Schweine_Werte!$GV$4:$GV$31),IF($B110=$A$6,SUMIF(Schweine_Werte!$AO$4:$AO$31,$C110,Schweine_Werte!$GH$4:$GH$31),SUMIF(Schweine_Werte!$AO$4:$AO$31,$C110,Schweine_Werte!$FT$4:$FT$31))))</f>
        <v>0</v>
      </c>
      <c r="AM106" s="885"/>
      <c r="AN106" s="885">
        <f>IF($B110=$A$8,SUMIF(Schweine_Werte!$AO$4:$AO$31,$D110,Schweine_Werte!$HJ$4:$HJ$31),IF($B110=$A$7,SUMIF(Schweine_Werte!$AO$4:$AO$31,$D110,Schweine_Werte!$GV$4:$GV$31),IF($B110=$A$6,SUMIF(Schweine_Werte!$AO$4:$AO$31,$D110,Schweine_Werte!$GH$4:$GH$31),SUMIF(Schweine_Werte!$AO$4:$AO$31,$D110,Schweine_Werte!$FT$4:$FT$31))))</f>
        <v>0</v>
      </c>
      <c r="AO106"/>
      <c r="AR106" s="1733">
        <v>110</v>
      </c>
      <c r="AS106" s="1710">
        <f>IF(OR($C$12=$AR106,$D$12=$AR106),Schweine_Werte!$C106*0.5,IF(OR($C$12&gt;$AR106,$D$12&lt;$AR106),0,Schweine_Werte!$C106))</f>
        <v>0</v>
      </c>
      <c r="AT106" s="1713">
        <f>IF(OR($C$24=$AR106,$D$24=$AR106),Schweine_Werte!$C106*0.5,IF(OR($C$24&gt;$AR106,$D$24&lt;$AR106),0,Schweine_Werte!$C106))</f>
        <v>0</v>
      </c>
      <c r="AU106" s="1710">
        <f>IF(OR($C$36=$AR106,$D$36=$AR106),Schweine_Werte!$C106*0.5,IF(OR($C$36&gt;$AR106,$D$36&lt;$AR106),0,Schweine_Werte!$C106))</f>
        <v>0</v>
      </c>
      <c r="AV106" s="1710">
        <f>IF(OR($C$48=$AR106,$D$48=$AR106),Schweine_Werte!$C106*0.5,IF(OR($C$48&gt;$AR106,$D$48&lt;$AR106),0,Schweine_Werte!$C106))</f>
        <v>0</v>
      </c>
      <c r="AW106" s="1710">
        <f>IF(OR($C$60=$AR106,$D$60=$AR106),Schweine_Werte!$C106*0.5,IF(OR($C$60&gt;$AR106,$D$60&lt;$AR106),0,Schweine_Werte!$C106))</f>
        <v>0</v>
      </c>
      <c r="AX106" s="1710">
        <f>IF(OR($C$12=$AR106,$D$12=$AR106),Schweine_Werte!$E106*0.5,IF(OR($C$12&gt;$AR106,$D$12&lt;$AR106),0,Schweine_Werte!$E106))</f>
        <v>0</v>
      </c>
      <c r="AY106" s="1713">
        <f>IF(OR($C$24=$AR106,$D$24=$AR106),Schweine_Werte!$E106*0.5,IF(OR($C$24&gt;$AR106,$D$24&lt;$AR106),0,Schweine_Werte!$E106))</f>
        <v>0</v>
      </c>
      <c r="AZ106" s="1713">
        <f>IF(OR($C$36=$AR106,$D$36=$AR106),Schweine_Werte!$E106*0.5,IF(OR($C$36&gt;$AR106,$D$36&lt;$AR106),0,Schweine_Werte!$E106))</f>
        <v>0</v>
      </c>
      <c r="BA106" s="1713">
        <f>IF(OR($C$48=$AR106,$D$48=$AR106),Schweine_Werte!$E106*0.5,IF(OR($C$48&gt;$AR106,$D$48&lt;$AR106),0,Schweine_Werte!$E106))</f>
        <v>0</v>
      </c>
      <c r="BB106" s="1713">
        <f>IF(OR($C$60=$AR106,$D$60=$AR106),Schweine_Werte!$E106*0.5,IF(OR($C$60&gt;$AR106,$D$60&lt;$AR106),0,Schweine_Werte!$E106))</f>
        <v>0</v>
      </c>
      <c r="BC106" s="1710">
        <f>IF(OR($C$12=$AR106,$D$12=$AR106),Schweine_Werte!$G106*0.5,IF(OR($C$12&gt;$AR106,$D$12&lt;$AR106),0,Schweine_Werte!$G106))</f>
        <v>0</v>
      </c>
      <c r="BD106" s="1713">
        <f>IF(OR($C$24=$AR106,$D$24=$AR106),Schweine_Werte!$G106*0.5,IF(OR($C$24&gt;$AR106,$D$24&lt;$AR106),0,Schweine_Werte!$G106))</f>
        <v>0</v>
      </c>
      <c r="BE106" s="1713">
        <f>IF(OR($C$36=$AR106,$D$36=$AR106),Schweine_Werte!$G106*0.5,IF(OR($C$36&gt;$AR106,$D$36&lt;$AR106),0,Schweine_Werte!$G106))</f>
        <v>0</v>
      </c>
      <c r="BF106" s="1713">
        <f>IF(OR($C$48=$AR106,$D$48=$AR106),Schweine_Werte!$G106*0.5,IF(OR($C$48&gt;$AR106,$D$48&lt;$AR106),0,Schweine_Werte!$G106))</f>
        <v>0</v>
      </c>
      <c r="BG106" s="1713">
        <f>IF(OR($C$60=$AR106,$D$60=$AR106),Schweine_Werte!$G106*0.5,IF(OR($C$60&gt;$AR106,$D$60&lt;$AR106),0,Schweine_Werte!$G106))</f>
        <v>0</v>
      </c>
      <c r="BH106" s="1710">
        <f>IF(OR($C$12=$AR106,$D$12=$AR106),Schweine_Werte!$I106*0.5,IF(OR($C$12&gt;$AR106,$D$12&lt;$AR106),0,Schweine_Werte!$I106))</f>
        <v>0</v>
      </c>
      <c r="BI106" s="1713">
        <f>IF(OR($C$24=$AR106,$D$24=$AR106),Schweine_Werte!$I106*0.5,IF(OR($C$24&gt;$AR106,$D$24&lt;$AR106),0,Schweine_Werte!$I106))</f>
        <v>0</v>
      </c>
      <c r="BJ106" s="1713">
        <f>IF(OR($C$36=$AR106,$D$36=$AR106),Schweine_Werte!$I106*0.5,IF(OR($C$36&gt;$AR106,$D$36&lt;$AR106),0,Schweine_Werte!$I106))</f>
        <v>0</v>
      </c>
      <c r="BK106" s="1713">
        <f>IF(OR($C$48=$AR106,$D$48=$AR106),Schweine_Werte!$I106*0.5,IF(OR($C$48&gt;$AR106,$D$48&lt;$AR106),0,Schweine_Werte!$I106))</f>
        <v>0</v>
      </c>
      <c r="BL106" s="1713">
        <f>IF(OR($C$60=$AR106,$D$60=$AR106),Schweine_Werte!$I106*0.5,IF(OR($C$60&gt;$AR106,$D$60&lt;$AR106),0,Schweine_Werte!$I106))</f>
        <v>0</v>
      </c>
      <c r="BM106" s="1710">
        <f>IF(OR($C$12=$AR106,$D$12=$AR106),Schweine_Werte!$K106*0.5,IF(OR($C$12&gt;$AR106,$D$12&lt;$AR106),0,Schweine_Werte!$K106))</f>
        <v>0</v>
      </c>
      <c r="BN106" s="1713">
        <f>IF(OR($C$24=$AR106,$D$24=$AR106),Schweine_Werte!$K106*0.5,IF(OR($C$24&gt;$AR106,$D$24&lt;$AR106),0,Schweine_Werte!$K106))</f>
        <v>0</v>
      </c>
      <c r="BO106" s="1713">
        <f>IF(OR($C$36=$AR106,$D$36=$AR106),Schweine_Werte!$K106*0.5,IF(OR($C$36&gt;$AR106,$D$36&lt;$AR106),0,Schweine_Werte!$K106))</f>
        <v>0</v>
      </c>
      <c r="BP106" s="1713">
        <f>IF(OR($C$48=$AR106,$D$48=$AR106),Schweine_Werte!$K106*0.5,IF(OR($C$48&gt;$AR106,$D$48&lt;$AR106),0,Schweine_Werte!$K106))</f>
        <v>0</v>
      </c>
      <c r="BQ106" s="1713">
        <f>IF(OR($C$60=$AR106,$D$60=$AR106),Schweine_Werte!$K106*0.5,IF(OR($C$60&gt;$AR106,$D$60&lt;$AR106),0,Schweine_Werte!$K106))</f>
        <v>0</v>
      </c>
      <c r="BR106" s="1710">
        <f>IF(OR($C$74=$AR106,$D$74=$AR106),Schweine_Werte!$M106*0.5,IF(OR($C$74&gt;$AR106,$D$74&lt;$AR106),0,Schweine_Werte!$M106))</f>
        <v>0</v>
      </c>
      <c r="BS106" s="1710">
        <f>IF(OR($C$83=$AR106,$D$83=$AR106),Schweine_Werte!$M106*0.5,IF(OR($C$83&gt;$AR106,$D$83&lt;$AR106),0,Schweine_Werte!$M106))</f>
        <v>0</v>
      </c>
      <c r="BT106" s="1714">
        <f>IF(OR($C$92=$AR106,$D$92=$AR106),Schweine_Werte!$M106*0.5,IF(OR($C$92&gt;$AR106,$D$92&lt;$AR106),0,Schweine_Werte!$M106))</f>
        <v>0</v>
      </c>
      <c r="BU106" s="1714">
        <f>IF(OR($C$101=$AR106,$D$101=$AR106),Schweine_Werte!$M106*0.5,IF(OR($C$101&gt;$AR106,$D$101&lt;$AR106),0,Schweine_Werte!$M106))</f>
        <v>0</v>
      </c>
      <c r="BV106" s="1714">
        <f>IF(OR($C$110=$AR106,$D$110=$AR106),Schweine_Werte!$M106*0.5,IF(OR($C$110&gt;$AR106,$D$110&lt;$AR106),0,Schweine_Werte!$M106))</f>
        <v>0</v>
      </c>
      <c r="BW106" s="1714">
        <f>IF(OR(8=$AR106,$E$127=$AR106),Schweine_Werte!$M106*0.5,IF(OR(8&gt;$AR106,$E$127&lt;$AR106),0,Schweine_Werte!$M106))</f>
        <v>1.4343476543437557</v>
      </c>
      <c r="BX106" s="1714">
        <f>IF(OR(8=$AR106,$E$145=$AR106),Schweine_Werte!$M106*0.5,IF(OR(8&gt;$AR106,$E$145&lt;$AR106),0,Schweine_Werte!$M106))</f>
        <v>1.4343476543437557</v>
      </c>
      <c r="BY106" s="1710">
        <f>IF(OR($C$74=$AR106,$D$74=$AR106),Schweine_Werte!$O106*0.5,IF(OR($C$74&gt;$AR106,$D$74&lt;$AR106),0,Schweine_Werte!$O106))</f>
        <v>0</v>
      </c>
      <c r="BZ106" s="1710">
        <f>IF(OR($C$83=$AR106,$D$83=$AR106),Schweine_Werte!$O106*0.5,IF(OR($C$83&gt;$AR106,$D$83&lt;$AR106),0,Schweine_Werte!$O106))</f>
        <v>0</v>
      </c>
      <c r="CA106" s="1714">
        <f>IF(OR($C$92=$AR106,$D$92=$AR106),Schweine_Werte!$O106*0.5,IF(OR($C$92&gt;$AR106,$D$92&lt;$AR106),0,Schweine_Werte!$O106))</f>
        <v>0</v>
      </c>
      <c r="CB106" s="1714">
        <f>IF(OR($C$101=$AR106,$D$101=$AR106),Schweine_Werte!$O106*0.5,IF(OR($C$101&gt;$AR106,$D$101&lt;$AR106),0,Schweine_Werte!$O106))</f>
        <v>0</v>
      </c>
      <c r="CC106" s="1714">
        <f>IF(OR($C$110=$AR106,$D$110=$AR106),Schweine_Werte!$O106*0.5,IF(OR($C$110&gt;$AR106,$D$110&lt;$AR106),0,Schweine_Werte!$O106))</f>
        <v>0</v>
      </c>
    </row>
    <row r="107" spans="1:81" x14ac:dyDescent="0.25">
      <c r="B107">
        <v>500</v>
      </c>
      <c r="C107"/>
      <c r="D107" s="885"/>
      <c r="E107" t="e">
        <f>($D110-$C110)*1000/SUM($CC$4:$CC$31)</f>
        <v>#VALUE!</v>
      </c>
      <c r="F107" s="885" t="e">
        <f>SUMPRODUCT($CC$4:$CC$31,Schweine_Werte!$W$4:$W$31)/SUM($CC$4:$CC$31)</f>
        <v>#DIV/0!</v>
      </c>
      <c r="G107" s="885" t="e">
        <f>IF($B110=$A$8,SUMPRODUCT($CC$4:$CC$31,Schweine_Werte!HK$4:HK$31)/SUM($CC$4:$CC$31),IF($B110=$A$7,SUMPRODUCT($CC$4:$CC$31,Schweine_Werte!GW$4:GW$31)/SUM($CC$4:$CC$31),IF($B110=$A$6,SUMPRODUCT($CC$4:$CC$31,Schweine_Werte!GI$4:GI$31)/SUM($CC$4:$CC$31),SUMPRODUCT($CC$4:$CC$31,Schweine_Werte!FU$4:FU$31)/SUM($CC$4:$CC$31))))</f>
        <v>#DIV/0!</v>
      </c>
      <c r="H107" s="885" t="e">
        <f>IF($B110=$A$8,SUMPRODUCT($CC$4:$CC$31,Schweine_Werte!HL$4:HL$31)/SUM($CC$4:$CC$31),IF($B110=$A$7,SUMPRODUCT($CC$4:$CC$31,Schweine_Werte!GX$4:GX$31)/SUM($CC$4:$CC$31),IF($B110=$A$6,SUMPRODUCT($CC$4:$CC$31,Schweine_Werte!GJ$4:GJ$31)/SUM($CC$4:$CC$31),SUMPRODUCT($CC$4:$CC$31,Schweine_Werte!FV$4:FV$31)/SUM($CC$4:$CC$31))))</f>
        <v>#DIV/0!</v>
      </c>
      <c r="I107" s="885" t="e">
        <f>IF($B110=$A$8,SUMPRODUCT($CC$4:$CC$31,Schweine_Werte!HM$4:HM$31)/SUM($CC$4:$CC$31),IF($B110=$A$7,SUMPRODUCT($CC$4:$CC$31,Schweine_Werte!GY$4:GY$31)/SUM($CC$4:$CC$31),IF($B110=$A$6,SUMPRODUCT($CC$4:$CC$31,Schweine_Werte!GK$4:GK$31)/SUM($CC$4:$CC$31),SUMPRODUCT($CC$4:$CC$31,Schweine_Werte!FW$4:FW$31)/SUM($CC$4:$CC$31))))</f>
        <v>#DIV/0!</v>
      </c>
      <c r="J107" s="885" t="e">
        <f>SUMPRODUCT($CC$4:$CC$31,Schweine_Werte!$AE$4:$AE$31)/SUM($CC$4:$CC$31)</f>
        <v>#DIV/0!</v>
      </c>
      <c r="K107" s="885" t="e">
        <f>SUMPRODUCT($CC$4:$CC$31,Schweine_Werte!$AM$4:$AM$31)/SUM($CC$4:$CC$31)</f>
        <v>#DIV/0!</v>
      </c>
      <c r="L107" s="885" t="e">
        <f>T107*$F107*365/1000+$J107-$K107</f>
        <v>#DIV/0!</v>
      </c>
      <c r="M107" s="885" t="e">
        <f>U107*$F107*365/1000+$J107-$K107/2</f>
        <v>#DIV/0!</v>
      </c>
      <c r="N107" s="885" t="e">
        <f>V107*$F107*365/1000+$J107</f>
        <v>#DIV/0!</v>
      </c>
      <c r="O107" s="885">
        <f>IF($C110&lt;28,SUM($CC$4:$CC$23)+IF($D110&gt;28,$CC$24*0.5,$CC$24),0)</f>
        <v>0</v>
      </c>
      <c r="P107" s="885">
        <f>IF($D110&gt;28,SUM($CC$25:$CC$31)+IF($C110&lt;28,$CC$24*0.5,$CC$24),0)</f>
        <v>0</v>
      </c>
      <c r="Q107" s="885" t="e">
        <f t="shared" si="27"/>
        <v>#DIV/0!</v>
      </c>
      <c r="R107" s="885" t="e">
        <f t="shared" si="27"/>
        <v>#DIV/0!</v>
      </c>
      <c r="S107" s="885" t="e">
        <f t="shared" si="27"/>
        <v>#DIV/0!</v>
      </c>
      <c r="T107" s="885" t="e">
        <f>+($O107*Schweine_Werte!$HT$16+$P107*Schweine_Werte!$HU$16)/SUM($O107:$P107)</f>
        <v>#DIV/0!</v>
      </c>
      <c r="U107" s="885" t="e">
        <f>+($O107*Schweine_Werte!$HV$16+$P107*Schweine_Werte!$HW$16)/SUM($O107:$P107)</f>
        <v>#DIV/0!</v>
      </c>
      <c r="V107" s="885" t="e">
        <f>+($O107*Schweine_Werte!$HX$16+$P107*Schweine_Werte!$HY$16)/SUM($O107:$P107)</f>
        <v>#DIV/0!</v>
      </c>
      <c r="W107" s="885" t="e">
        <f>($J107*0.055+T107*0.365*0.86*$F107-$K107*0.018)/L107*100</f>
        <v>#DIV/0!</v>
      </c>
      <c r="X107" s="885" t="e">
        <f>($J107*0.055+U107*0.365*0.86*$F107-$K107*0.018/2)/M107*100</f>
        <v>#DIV/0!</v>
      </c>
      <c r="Y107" s="885" t="e">
        <f>($J107*0.055+V107*0.365*0.86*$F107)/N107*100</f>
        <v>#DIV/0!</v>
      </c>
      <c r="Z107" s="885" t="e">
        <f>IF($B110=$A$8,SUMPRODUCT($CC$4:$CC$31,Schweine_Werte!$HN$4:$HN$31,Schweine_Werte!$HO$4:$HO$31)/SUMPRODUCT($CC$4:$CC$31,Schweine_Werte!$HN$4:$HN$31),IF($B110=$A$7,SUMPRODUCT($CC$4:$CC$31,Schweine_Werte!$GZ$4:$GZ$31,Schweine_Werte!$HA$4:$HA$31)/SUMPRODUCT($CC$4:$CC$31,Schweine_Werte!$GZ$4:$GZ$31),IF($B110=$A$6,SUMPRODUCT($CC$4:$CC$31,Schweine_Werte!$GL$4:$GL$31,Schweine_Werte!$GM$4:$GM$31)/SUMPRODUCT($CC$4:$CC$31,Schweine_Werte!$GL$4:$GL$31),SUMPRODUCT($CC$4:$CC$31,Schweine_Werte!$FX$4:$FX$31,Schweine_Werte!$FY$4:$FY$31)/SUMPRODUCT($CC$4:$CC$31,Schweine_Werte!$FX$4:$FX$31))))</f>
        <v>#DIV/0!</v>
      </c>
      <c r="AA107" s="885"/>
      <c r="AB107" s="885">
        <f>IF($B110=$A$8,SUMIF(Schweine_Werte!$AO$4:$AO$31,$C110,Schweine_Werte!$HO$4:$HO$31),IF($B110=$A$7,SUMIF(Schweine_Werte!$AO$4:$AO$31,$C110,Schweine_Werte!$HA$4:$HA$31),IF($B110=$A$6,SUMIF(Schweine_Werte!$AO$4:$AO$31,$C110,Schweine_Werte!$GM$4:$GM$31),SUMIF(Schweine_Werte!$AO$4:$AO$31,$C110,Schweine_Werte!$FY$4:$FY$31))))</f>
        <v>0</v>
      </c>
      <c r="AC107" s="885"/>
      <c r="AD107" s="885">
        <f>IF($B110=$A$8,SUMIF(Schweine_Werte!$AO$4:$AO$31,$D110,Schweine_Werte!$HO$4:$HO$31),IF($B110=$A$7,SUMIF(Schweine_Werte!$AO$4:$AO$31,$D110,Schweine_Werte!$HA$4:$HA$31),IF($B110=$A$6,SUMIF(Schweine_Werte!$AO$4:$AO$31,$D110,Schweine_Werte!$GM$4:$GM$31),SUMIF(Schweine_Werte!$AO$4:$AO$31,$D110,Schweine_Werte!$FY$4:$FY$31))))</f>
        <v>0</v>
      </c>
      <c r="AE107" s="885"/>
      <c r="AF107" s="885"/>
      <c r="AG107" s="885" t="e">
        <f>IF($B110=$A$8,SUMPRODUCT($CC$4:$CC$31,Schweine_Werte!$HN$4:$HN$31)/SUM($CC$4:$CC$31),IF($B110=$A$7,SUMPRODUCT($CC$4:$CC$31,Schweine_Werte!$GZ$4:$GZ$31)/SUM($CC$4:$CC$31),IF($B110=$A$6,SUMPRODUCT($CC$4:$CC$31,Schweine_Werte!$GL$4:$GL$31)/SUM($CC$4:$CC$31),SUMPRODUCT($CC$4:$CC$31,Schweine_Werte!$FX$4:$FX$31)/SUM($CC$4:$CC$31))))</f>
        <v>#DIV/0!</v>
      </c>
      <c r="AH107" s="885"/>
      <c r="AI107" s="885"/>
      <c r="AJ107" s="885" t="e">
        <f>IF($B110=$A$8,SUMPRODUCT($CC$4:$CC$31,Schweine_Werte!$HN$4:$HN$31,Schweine_Werte!$HP$4:$HP$31)/SUMPRODUCT($CC$4:$CC$31,Schweine_Werte!$HN$4:$HN$31),IF($B110=$A$7,SUMPRODUCT($CC$4:$CC$31,Schweine_Werte!$GZ$4:$GZ$31,Schweine_Werte!$HB$4:$HB$31)/SUMPRODUCT($CC$4:$CC$31,Schweine_Werte!$GZ$4:$GZ$31),IF($B110=$A$6,SUMPRODUCT($CC$4:$CC$31,Schweine_Werte!$GL$4:$GL$31,Schweine_Werte!$GN$4:$GN$31)/SUMPRODUCT($CC$4:$CC$31,Schweine_Werte!$GL$4:$GL$31),SUMPRODUCT($CC$4:$CC$31,Schweine_Werte!$FX$4:$FX$31,Schweine_Werte!$FZ$4:$FZ$31)/SUMPRODUCT($CC$4:$CC$31,Schweine_Werte!$FX$4:$FX$31))))</f>
        <v>#DIV/0!</v>
      </c>
      <c r="AK107" s="885"/>
      <c r="AL107" s="885">
        <f>IF($B110=$A$8,SUMIF(Schweine_Werte!$AO$4:$AO$31,$C110,Schweine_Werte!$HP$4:$HP$31),IF($B110=$A$7,SUMIF(Schweine_Werte!$AO$4:$AO$31,$C110,Schweine_Werte!$HB$4:$HB$31),IF($B110=$A$6,SUMIF(Schweine_Werte!$AO$4:$AO$31,$C110,Schweine_Werte!$GN$4:$GN$31),SUMIF(Schweine_Werte!$AO$4:$AO$31,$C110,Schweine_Werte!$FZ$4:$FZ$31))))</f>
        <v>0</v>
      </c>
      <c r="AM107" s="885"/>
      <c r="AN107" s="885">
        <f>IF($B110=$A$8,SUMIF(Schweine_Werte!$AO$4:$AO$31,$D110,Schweine_Werte!$HP$4:$HP$31),IF($B110=$A$7,SUMIF(Schweine_Werte!$AO$4:$AO$31,$D110,Schweine_Werte!$HB$4:$HB$31),IF($B110=$A$6,SUMIF(Schweine_Werte!$AO$4:$AO$31,$D110,Schweine_Werte!$GN$4:$GN$31),SUMIF(Schweine_Werte!$AO$4:$AO$31,$D110,Schweine_Werte!$FZ$4:$FZ$31))))</f>
        <v>0</v>
      </c>
      <c r="AO107"/>
      <c r="AR107" s="1733">
        <v>111</v>
      </c>
      <c r="AS107" s="1710">
        <f>IF(OR($C$12=$AR107,$D$12=$AR107),Schweine_Werte!$C107*0.5,IF(OR($C$12&gt;$AR107,$D$12&lt;$AR107),0,Schweine_Werte!$C107))</f>
        <v>0</v>
      </c>
      <c r="AT107" s="1713">
        <f>IF(OR($C$24=$AR107,$D$24=$AR107),Schweine_Werte!$C107*0.5,IF(OR($C$24&gt;$AR107,$D$24&lt;$AR107),0,Schweine_Werte!$C107))</f>
        <v>0</v>
      </c>
      <c r="AU107" s="1710">
        <f>IF(OR($C$36=$AR107,$D$36=$AR107),Schweine_Werte!$C107*0.5,IF(OR($C$36&gt;$AR107,$D$36&lt;$AR107),0,Schweine_Werte!$C107))</f>
        <v>0</v>
      </c>
      <c r="AV107" s="1710">
        <f>IF(OR($C$48=$AR107,$D$48=$AR107),Schweine_Werte!$C107*0.5,IF(OR($C$48&gt;$AR107,$D$48&lt;$AR107),0,Schweine_Werte!$C107))</f>
        <v>0</v>
      </c>
      <c r="AW107" s="1710">
        <f>IF(OR($C$60=$AR107,$D$60=$AR107),Schweine_Werte!$C107*0.5,IF(OR($C$60&gt;$AR107,$D$60&lt;$AR107),0,Schweine_Werte!$C107))</f>
        <v>0</v>
      </c>
      <c r="AX107" s="1710">
        <f>IF(OR($C$12=$AR107,$D$12=$AR107),Schweine_Werte!$E107*0.5,IF(OR($C$12&gt;$AR107,$D$12&lt;$AR107),0,Schweine_Werte!$E107))</f>
        <v>0</v>
      </c>
      <c r="AY107" s="1713">
        <f>IF(OR($C$24=$AR107,$D$24=$AR107),Schweine_Werte!$E107*0.5,IF(OR($C$24&gt;$AR107,$D$24&lt;$AR107),0,Schweine_Werte!$E107))</f>
        <v>0</v>
      </c>
      <c r="AZ107" s="1713">
        <f>IF(OR($C$36=$AR107,$D$36=$AR107),Schweine_Werte!$E107*0.5,IF(OR($C$36&gt;$AR107,$D$36&lt;$AR107),0,Schweine_Werte!$E107))</f>
        <v>0</v>
      </c>
      <c r="BA107" s="1713">
        <f>IF(OR($C$48=$AR107,$D$48=$AR107),Schweine_Werte!$E107*0.5,IF(OR($C$48&gt;$AR107,$D$48&lt;$AR107),0,Schweine_Werte!$E107))</f>
        <v>0</v>
      </c>
      <c r="BB107" s="1713">
        <f>IF(OR($C$60=$AR107,$D$60=$AR107),Schweine_Werte!$E107*0.5,IF(OR($C$60&gt;$AR107,$D$60&lt;$AR107),0,Schweine_Werte!$E107))</f>
        <v>0</v>
      </c>
      <c r="BC107" s="1710">
        <f>IF(OR($C$12=$AR107,$D$12=$AR107),Schweine_Werte!$G107*0.5,IF(OR($C$12&gt;$AR107,$D$12&lt;$AR107),0,Schweine_Werte!$G107))</f>
        <v>0</v>
      </c>
      <c r="BD107" s="1713">
        <f>IF(OR($C$24=$AR107,$D$24=$AR107),Schweine_Werte!$G107*0.5,IF(OR($C$24&gt;$AR107,$D$24&lt;$AR107),0,Schweine_Werte!$G107))</f>
        <v>0</v>
      </c>
      <c r="BE107" s="1713">
        <f>IF(OR($C$36=$AR107,$D$36=$AR107),Schweine_Werte!$G107*0.5,IF(OR($C$36&gt;$AR107,$D$36&lt;$AR107),0,Schweine_Werte!$G107))</f>
        <v>0</v>
      </c>
      <c r="BF107" s="1713">
        <f>IF(OR($C$48=$AR107,$D$48=$AR107),Schweine_Werte!$G107*0.5,IF(OR($C$48&gt;$AR107,$D$48&lt;$AR107),0,Schweine_Werte!$G107))</f>
        <v>0</v>
      </c>
      <c r="BG107" s="1713">
        <f>IF(OR($C$60=$AR107,$D$60=$AR107),Schweine_Werte!$G107*0.5,IF(OR($C$60&gt;$AR107,$D$60&lt;$AR107),0,Schweine_Werte!$G107))</f>
        <v>0</v>
      </c>
      <c r="BH107" s="1710">
        <f>IF(OR($C$12=$AR107,$D$12=$AR107),Schweine_Werte!$I107*0.5,IF(OR($C$12&gt;$AR107,$D$12&lt;$AR107),0,Schweine_Werte!$I107))</f>
        <v>0</v>
      </c>
      <c r="BI107" s="1713">
        <f>IF(OR($C$24=$AR107,$D$24=$AR107),Schweine_Werte!$I107*0.5,IF(OR($C$24&gt;$AR107,$D$24&lt;$AR107),0,Schweine_Werte!$I107))</f>
        <v>0</v>
      </c>
      <c r="BJ107" s="1713">
        <f>IF(OR($C$36=$AR107,$D$36=$AR107),Schweine_Werte!$I107*0.5,IF(OR($C$36&gt;$AR107,$D$36&lt;$AR107),0,Schweine_Werte!$I107))</f>
        <v>0</v>
      </c>
      <c r="BK107" s="1713">
        <f>IF(OR($C$48=$AR107,$D$48=$AR107),Schweine_Werte!$I107*0.5,IF(OR($C$48&gt;$AR107,$D$48&lt;$AR107),0,Schweine_Werte!$I107))</f>
        <v>0</v>
      </c>
      <c r="BL107" s="1713">
        <f>IF(OR($C$60=$AR107,$D$60=$AR107),Schweine_Werte!$I107*0.5,IF(OR($C$60&gt;$AR107,$D$60&lt;$AR107),0,Schweine_Werte!$I107))</f>
        <v>0</v>
      </c>
      <c r="BM107" s="1710">
        <f>IF(OR($C$12=$AR107,$D$12=$AR107),Schweine_Werte!$K107*0.5,IF(OR($C$12&gt;$AR107,$D$12&lt;$AR107),0,Schweine_Werte!$K107))</f>
        <v>0</v>
      </c>
      <c r="BN107" s="1713">
        <f>IF(OR($C$24=$AR107,$D$24=$AR107),Schweine_Werte!$K107*0.5,IF(OR($C$24&gt;$AR107,$D$24&lt;$AR107),0,Schweine_Werte!$K107))</f>
        <v>0</v>
      </c>
      <c r="BO107" s="1713">
        <f>IF(OR($C$36=$AR107,$D$36=$AR107),Schweine_Werte!$K107*0.5,IF(OR($C$36&gt;$AR107,$D$36&lt;$AR107),0,Schweine_Werte!$K107))</f>
        <v>0</v>
      </c>
      <c r="BP107" s="1713">
        <f>IF(OR($C$48=$AR107,$D$48=$AR107),Schweine_Werte!$K107*0.5,IF(OR($C$48&gt;$AR107,$D$48&lt;$AR107),0,Schweine_Werte!$K107))</f>
        <v>0</v>
      </c>
      <c r="BQ107" s="1713">
        <f>IF(OR($C$60=$AR107,$D$60=$AR107),Schweine_Werte!$K107*0.5,IF(OR($C$60&gt;$AR107,$D$60&lt;$AR107),0,Schweine_Werte!$K107))</f>
        <v>0</v>
      </c>
      <c r="BR107" s="1710">
        <f>IF(OR($C$74=$AR107,$D$74=$AR107),Schweine_Werte!$M107*0.5,IF(OR($C$74&gt;$AR107,$D$74&lt;$AR107),0,Schweine_Werte!$M107))</f>
        <v>0</v>
      </c>
      <c r="BS107" s="1710">
        <f>IF(OR($C$83=$AR107,$D$83=$AR107),Schweine_Werte!$M107*0.5,IF(OR($C$83&gt;$AR107,$D$83&lt;$AR107),0,Schweine_Werte!$M107))</f>
        <v>0</v>
      </c>
      <c r="BT107" s="1714">
        <f>IF(OR($C$92=$AR107,$D$92=$AR107),Schweine_Werte!$M107*0.5,IF(OR($C$92&gt;$AR107,$D$92&lt;$AR107),0,Schweine_Werte!$M107))</f>
        <v>0</v>
      </c>
      <c r="BU107" s="1714">
        <f>IF(OR($C$101=$AR107,$D$101=$AR107),Schweine_Werte!$M107*0.5,IF(OR($C$101&gt;$AR107,$D$101&lt;$AR107),0,Schweine_Werte!$M107))</f>
        <v>0</v>
      </c>
      <c r="BV107" s="1714">
        <f>IF(OR($C$110=$AR107,$D$110=$AR107),Schweine_Werte!$M107*0.5,IF(OR($C$110&gt;$AR107,$D$110&lt;$AR107),0,Schweine_Werte!$M107))</f>
        <v>0</v>
      </c>
      <c r="BW107" s="1714">
        <f>IF(OR(8=$AR107,$E$127=$AR107),Schweine_Werte!$M107*0.5,IF(OR(8&gt;$AR107,$E$127&lt;$AR107),0,Schweine_Werte!$M107))</f>
        <v>1.4477278921508818</v>
      </c>
      <c r="BX107" s="1714">
        <f>IF(OR(8=$AR107,$E$145=$AR107),Schweine_Werte!$M107*0.5,IF(OR(8&gt;$AR107,$E$145&lt;$AR107),0,Schweine_Werte!$M107))</f>
        <v>1.4477278921508818</v>
      </c>
      <c r="BY107" s="1710">
        <f>IF(OR($C$74=$AR107,$D$74=$AR107),Schweine_Werte!$O107*0.5,IF(OR($C$74&gt;$AR107,$D$74&lt;$AR107),0,Schweine_Werte!$O107))</f>
        <v>0</v>
      </c>
      <c r="BZ107" s="1710">
        <f>IF(OR($C$83=$AR107,$D$83=$AR107),Schweine_Werte!$O107*0.5,IF(OR($C$83&gt;$AR107,$D$83&lt;$AR107),0,Schweine_Werte!$O107))</f>
        <v>0</v>
      </c>
      <c r="CA107" s="1714">
        <f>IF(OR($C$92=$AR107,$D$92=$AR107),Schweine_Werte!$O107*0.5,IF(OR($C$92&gt;$AR107,$D$92&lt;$AR107),0,Schweine_Werte!$O107))</f>
        <v>0</v>
      </c>
      <c r="CB107" s="1714">
        <f>IF(OR($C$101=$AR107,$D$101=$AR107),Schweine_Werte!$O107*0.5,IF(OR($C$101&gt;$AR107,$D$101&lt;$AR107),0,Schweine_Werte!$O107))</f>
        <v>0</v>
      </c>
      <c r="CC107" s="1714">
        <f>IF(OR($C$110=$AR107,$D$110=$AR107),Schweine_Werte!$O107*0.5,IF(OR($C$110&gt;$AR107,$D$110&lt;$AR107),0,Schweine_Werte!$O107))</f>
        <v>0</v>
      </c>
    </row>
    <row r="108" spans="1:81" ht="15.75" x14ac:dyDescent="0.25">
      <c r="F108" s="1716"/>
      <c r="G108" s="3257" t="s">
        <v>8582</v>
      </c>
      <c r="H108" s="3258"/>
      <c r="I108" s="3259"/>
      <c r="J108" s="1717" t="s">
        <v>8096</v>
      </c>
      <c r="K108" s="1717" t="s">
        <v>204</v>
      </c>
      <c r="L108" s="3260" t="s">
        <v>8583</v>
      </c>
      <c r="M108" s="3260"/>
      <c r="N108" s="3260"/>
      <c r="O108" s="3247" t="s">
        <v>8584</v>
      </c>
      <c r="P108" s="3249"/>
      <c r="Q108" s="3247" t="s">
        <v>8585</v>
      </c>
      <c r="R108" s="3248"/>
      <c r="S108" s="3249"/>
      <c r="T108" s="3247" t="s">
        <v>8586</v>
      </c>
      <c r="U108" s="3248"/>
      <c r="V108" s="3249"/>
      <c r="W108" s="3247" t="s">
        <v>8587</v>
      </c>
      <c r="X108" s="3248"/>
      <c r="Y108" s="3249"/>
      <c r="Z108" s="3250" t="s">
        <v>8588</v>
      </c>
      <c r="AA108" s="3250"/>
      <c r="AB108" s="3250" t="s">
        <v>8589</v>
      </c>
      <c r="AC108" s="3250"/>
      <c r="AD108" s="3250" t="s">
        <v>8590</v>
      </c>
      <c r="AE108" s="3250"/>
      <c r="AF108" s="1718" t="s">
        <v>8591</v>
      </c>
      <c r="AG108" s="3254" t="s">
        <v>8592</v>
      </c>
      <c r="AH108" s="3255"/>
      <c r="AI108" s="1719" t="s">
        <v>8611</v>
      </c>
      <c r="AJ108" s="3250" t="s">
        <v>8588</v>
      </c>
      <c r="AK108" s="3250"/>
      <c r="AL108" s="3250" t="s">
        <v>8589</v>
      </c>
      <c r="AM108" s="3250"/>
      <c r="AN108" s="3250" t="s">
        <v>8590</v>
      </c>
      <c r="AO108" s="3250"/>
      <c r="AR108" s="1733">
        <v>112</v>
      </c>
      <c r="AS108" s="1710">
        <f>IF(OR($C$12=$AR108,$D$12=$AR108),Schweine_Werte!$C108*0.5,IF(OR($C$12&gt;$AR108,$D$12&lt;$AR108),0,Schweine_Werte!$C108))</f>
        <v>0</v>
      </c>
      <c r="AT108" s="1713">
        <f>IF(OR($C$24=$AR108,$D$24=$AR108),Schweine_Werte!$C108*0.5,IF(OR($C$24&gt;$AR108,$D$24&lt;$AR108),0,Schweine_Werte!$C108))</f>
        <v>0</v>
      </c>
      <c r="AU108" s="1710">
        <f>IF(OR($C$36=$AR108,$D$36=$AR108),Schweine_Werte!$C108*0.5,IF(OR($C$36&gt;$AR108,$D$36&lt;$AR108),0,Schweine_Werte!$C108))</f>
        <v>0</v>
      </c>
      <c r="AV108" s="1710">
        <f>IF(OR($C$48=$AR108,$D$48=$AR108),Schweine_Werte!$C108*0.5,IF(OR($C$48&gt;$AR108,$D$48&lt;$AR108),0,Schweine_Werte!$C108))</f>
        <v>0</v>
      </c>
      <c r="AW108" s="1710">
        <f>IF(OR($C$60=$AR108,$D$60=$AR108),Schweine_Werte!$C108*0.5,IF(OR($C$60&gt;$AR108,$D$60&lt;$AR108),0,Schweine_Werte!$C108))</f>
        <v>0</v>
      </c>
      <c r="AX108" s="1710">
        <f>IF(OR($C$12=$AR108,$D$12=$AR108),Schweine_Werte!$E108*0.5,IF(OR($C$12&gt;$AR108,$D$12&lt;$AR108),0,Schweine_Werte!$E108))</f>
        <v>0</v>
      </c>
      <c r="AY108" s="1713">
        <f>IF(OR($C$24=$AR108,$D$24=$AR108),Schweine_Werte!$E108*0.5,IF(OR($C$24&gt;$AR108,$D$24&lt;$AR108),0,Schweine_Werte!$E108))</f>
        <v>0</v>
      </c>
      <c r="AZ108" s="1713">
        <f>IF(OR($C$36=$AR108,$D$36=$AR108),Schweine_Werte!$E108*0.5,IF(OR($C$36&gt;$AR108,$D$36&lt;$AR108),0,Schweine_Werte!$E108))</f>
        <v>0</v>
      </c>
      <c r="BA108" s="1713">
        <f>IF(OR($C$48=$AR108,$D$48=$AR108),Schweine_Werte!$E108*0.5,IF(OR($C$48&gt;$AR108,$D$48&lt;$AR108),0,Schweine_Werte!$E108))</f>
        <v>0</v>
      </c>
      <c r="BB108" s="1713">
        <f>IF(OR($C$60=$AR108,$D$60=$AR108),Schweine_Werte!$E108*0.5,IF(OR($C$60&gt;$AR108,$D$60&lt;$AR108),0,Schweine_Werte!$E108))</f>
        <v>0</v>
      </c>
      <c r="BC108" s="1710">
        <f>IF(OR($C$12=$AR108,$D$12=$AR108),Schweine_Werte!$G108*0.5,IF(OR($C$12&gt;$AR108,$D$12&lt;$AR108),0,Schweine_Werte!$G108))</f>
        <v>0</v>
      </c>
      <c r="BD108" s="1713">
        <f>IF(OR($C$24=$AR108,$D$24=$AR108),Schweine_Werte!$G108*0.5,IF(OR($C$24&gt;$AR108,$D$24&lt;$AR108),0,Schweine_Werte!$G108))</f>
        <v>0</v>
      </c>
      <c r="BE108" s="1713">
        <f>IF(OR($C$36=$AR108,$D$36=$AR108),Schweine_Werte!$G108*0.5,IF(OR($C$36&gt;$AR108,$D$36&lt;$AR108),0,Schweine_Werte!$G108))</f>
        <v>0</v>
      </c>
      <c r="BF108" s="1713">
        <f>IF(OR($C$48=$AR108,$D$48=$AR108),Schweine_Werte!$G108*0.5,IF(OR($C$48&gt;$AR108,$D$48&lt;$AR108),0,Schweine_Werte!$G108))</f>
        <v>0</v>
      </c>
      <c r="BG108" s="1713">
        <f>IF(OR($C$60=$AR108,$D$60=$AR108),Schweine_Werte!$G108*0.5,IF(OR($C$60&gt;$AR108,$D$60&lt;$AR108),0,Schweine_Werte!$G108))</f>
        <v>0</v>
      </c>
      <c r="BH108" s="1710">
        <f>IF(OR($C$12=$AR108,$D$12=$AR108),Schweine_Werte!$I108*0.5,IF(OR($C$12&gt;$AR108,$D$12&lt;$AR108),0,Schweine_Werte!$I108))</f>
        <v>0</v>
      </c>
      <c r="BI108" s="1713">
        <f>IF(OR($C$24=$AR108,$D$24=$AR108),Schweine_Werte!$I108*0.5,IF(OR($C$24&gt;$AR108,$D$24&lt;$AR108),0,Schweine_Werte!$I108))</f>
        <v>0</v>
      </c>
      <c r="BJ108" s="1713">
        <f>IF(OR($C$36=$AR108,$D$36=$AR108),Schweine_Werte!$I108*0.5,IF(OR($C$36&gt;$AR108,$D$36&lt;$AR108),0,Schweine_Werte!$I108))</f>
        <v>0</v>
      </c>
      <c r="BK108" s="1713">
        <f>IF(OR($C$48=$AR108,$D$48=$AR108),Schweine_Werte!$I108*0.5,IF(OR($C$48&gt;$AR108,$D$48&lt;$AR108),0,Schweine_Werte!$I108))</f>
        <v>0</v>
      </c>
      <c r="BL108" s="1713">
        <f>IF(OR($C$60=$AR108,$D$60=$AR108),Schweine_Werte!$I108*0.5,IF(OR($C$60&gt;$AR108,$D$60&lt;$AR108),0,Schweine_Werte!$I108))</f>
        <v>0</v>
      </c>
      <c r="BM108" s="1710">
        <f>IF(OR($C$12=$AR108,$D$12=$AR108),Schweine_Werte!$K108*0.5,IF(OR($C$12&gt;$AR108,$D$12&lt;$AR108),0,Schweine_Werte!$K108))</f>
        <v>0</v>
      </c>
      <c r="BN108" s="1713">
        <f>IF(OR($C$24=$AR108,$D$24=$AR108),Schweine_Werte!$K108*0.5,IF(OR($C$24&gt;$AR108,$D$24&lt;$AR108),0,Schweine_Werte!$K108))</f>
        <v>0</v>
      </c>
      <c r="BO108" s="1713">
        <f>IF(OR($C$36=$AR108,$D$36=$AR108),Schweine_Werte!$K108*0.5,IF(OR($C$36&gt;$AR108,$D$36&lt;$AR108),0,Schweine_Werte!$K108))</f>
        <v>0</v>
      </c>
      <c r="BP108" s="1713">
        <f>IF(OR($C$48=$AR108,$D$48=$AR108),Schweine_Werte!$K108*0.5,IF(OR($C$48&gt;$AR108,$D$48&lt;$AR108),0,Schweine_Werte!$K108))</f>
        <v>0</v>
      </c>
      <c r="BQ108" s="1713">
        <f>IF(OR($C$60=$AR108,$D$60=$AR108),Schweine_Werte!$K108*0.5,IF(OR($C$60&gt;$AR108,$D$60&lt;$AR108),0,Schweine_Werte!$K108))</f>
        <v>0</v>
      </c>
      <c r="BR108" s="1710">
        <f>IF(OR($C$74=$AR108,$D$74=$AR108),Schweine_Werte!$M108*0.5,IF(OR($C$74&gt;$AR108,$D$74&lt;$AR108),0,Schweine_Werte!$M108))</f>
        <v>0</v>
      </c>
      <c r="BS108" s="1710">
        <f>IF(OR($C$83=$AR108,$D$83=$AR108),Schweine_Werte!$M108*0.5,IF(OR($C$83&gt;$AR108,$D$83&lt;$AR108),0,Schweine_Werte!$M108))</f>
        <v>0</v>
      </c>
      <c r="BT108" s="1714">
        <f>IF(OR($C$92=$AR108,$D$92=$AR108),Schweine_Werte!$M108*0.5,IF(OR($C$92&gt;$AR108,$D$92&lt;$AR108),0,Schweine_Werte!$M108))</f>
        <v>0</v>
      </c>
      <c r="BU108" s="1714">
        <f>IF(OR($C$101=$AR108,$D$101=$AR108),Schweine_Werte!$M108*0.5,IF(OR($C$101&gt;$AR108,$D$101&lt;$AR108),0,Schweine_Werte!$M108))</f>
        <v>0</v>
      </c>
      <c r="BV108" s="1714">
        <f>IF(OR($C$110=$AR108,$D$110=$AR108),Schweine_Werte!$M108*0.5,IF(OR($C$110&gt;$AR108,$D$110&lt;$AR108),0,Schweine_Werte!$M108))</f>
        <v>0</v>
      </c>
      <c r="BW108" s="1714">
        <f>IF(OR(8=$AR108,$E$127=$AR108),Schweine_Werte!$M108*0.5,IF(OR(8&gt;$AR108,$E$127&lt;$AR108),0,Schweine_Werte!$M108))</f>
        <v>1.4477278921508818</v>
      </c>
      <c r="BX108" s="1714">
        <f>IF(OR(8=$AR108,$E$145=$AR108),Schweine_Werte!$M108*0.5,IF(OR(8&gt;$AR108,$E$145&lt;$AR108),0,Schweine_Werte!$M108))</f>
        <v>1.4477278921508818</v>
      </c>
      <c r="BY108" s="1710">
        <f>IF(OR($C$74=$AR108,$D$74=$AR108),Schweine_Werte!$O108*0.5,IF(OR($C$74&gt;$AR108,$D$74&lt;$AR108),0,Schweine_Werte!$O108))</f>
        <v>0</v>
      </c>
      <c r="BZ108" s="1710">
        <f>IF(OR($C$83=$AR108,$D$83=$AR108),Schweine_Werte!$O108*0.5,IF(OR($C$83&gt;$AR108,$D$83&lt;$AR108),0,Schweine_Werte!$O108))</f>
        <v>0</v>
      </c>
      <c r="CA108" s="1714">
        <f>IF(OR($C$92=$AR108,$D$92=$AR108),Schweine_Werte!$O108*0.5,IF(OR($C$92&gt;$AR108,$D$92&lt;$AR108),0,Schweine_Werte!$O108))</f>
        <v>0</v>
      </c>
      <c r="CB108" s="1714">
        <f>IF(OR($C$101=$AR108,$D$101=$AR108),Schweine_Werte!$O108*0.5,IF(OR($C$101&gt;$AR108,$D$101&lt;$AR108),0,Schweine_Werte!$O108))</f>
        <v>0</v>
      </c>
      <c r="CC108" s="1714">
        <f>IF(OR($C$110=$AR108,$D$110=$AR108),Schweine_Werte!$O108*0.5,IF(OR($C$110&gt;$AR108,$D$110&lt;$AR108),0,Schweine_Werte!$O108))</f>
        <v>0</v>
      </c>
    </row>
    <row r="109" spans="1:81" ht="18.75" x14ac:dyDescent="0.25">
      <c r="B109" s="1720" t="s">
        <v>8594</v>
      </c>
      <c r="C109" s="1721" t="s">
        <v>8595</v>
      </c>
      <c r="D109" s="1721" t="s">
        <v>8596</v>
      </c>
      <c r="E109" s="1721" t="s">
        <v>8597</v>
      </c>
      <c r="F109" s="1722" t="s">
        <v>195</v>
      </c>
      <c r="G109" s="1723" t="s">
        <v>4</v>
      </c>
      <c r="H109" s="1723" t="s">
        <v>8598</v>
      </c>
      <c r="I109" s="1723" t="s">
        <v>8599</v>
      </c>
      <c r="J109" s="1724" t="s">
        <v>8600</v>
      </c>
      <c r="K109" s="1724" t="s">
        <v>8600</v>
      </c>
      <c r="L109" s="1725" t="s">
        <v>35</v>
      </c>
      <c r="M109" s="1725" t="s">
        <v>8601</v>
      </c>
      <c r="N109" s="1725" t="s">
        <v>37</v>
      </c>
      <c r="O109" s="1726" t="s">
        <v>0</v>
      </c>
      <c r="P109" s="1726" t="s">
        <v>9</v>
      </c>
      <c r="Q109" s="1725" t="s">
        <v>35</v>
      </c>
      <c r="R109" s="1725" t="s">
        <v>36</v>
      </c>
      <c r="S109" s="1725" t="s">
        <v>37</v>
      </c>
      <c r="T109" s="1725" t="s">
        <v>35</v>
      </c>
      <c r="U109" s="1725" t="s">
        <v>36</v>
      </c>
      <c r="V109" s="1725" t="s">
        <v>37</v>
      </c>
      <c r="W109" s="1724" t="s">
        <v>8528</v>
      </c>
      <c r="X109" s="1724" t="s">
        <v>8529</v>
      </c>
      <c r="Y109" s="1724" t="s">
        <v>8530</v>
      </c>
      <c r="Z109" s="1727" t="s">
        <v>8602</v>
      </c>
      <c r="AA109" s="1727" t="s">
        <v>8603</v>
      </c>
      <c r="AB109" s="1727" t="s">
        <v>8602</v>
      </c>
      <c r="AC109" s="1727" t="s">
        <v>8603</v>
      </c>
      <c r="AD109" s="1727" t="s">
        <v>8602</v>
      </c>
      <c r="AE109" s="1727" t="s">
        <v>8603</v>
      </c>
      <c r="AF109" s="1727" t="s">
        <v>8604</v>
      </c>
      <c r="AG109" s="1728" t="s">
        <v>8605</v>
      </c>
      <c r="AH109" s="1727" t="s">
        <v>216</v>
      </c>
      <c r="AI109" s="1727"/>
      <c r="AJ109" s="1727" t="s">
        <v>8527</v>
      </c>
      <c r="AK109" s="1727" t="s">
        <v>8606</v>
      </c>
      <c r="AL109" s="1727" t="s">
        <v>8607</v>
      </c>
      <c r="AM109" s="1727" t="s">
        <v>8608</v>
      </c>
      <c r="AN109" s="1727" t="s">
        <v>8607</v>
      </c>
      <c r="AO109" s="1727" t="s">
        <v>8609</v>
      </c>
      <c r="AR109" s="1733">
        <v>113</v>
      </c>
      <c r="AS109" s="1710">
        <f>IF(OR($C$12=$AR109,$D$12=$AR109),Schweine_Werte!$C109*0.5,IF(OR($C$12&gt;$AR109,$D$12&lt;$AR109),0,Schweine_Werte!$C109))</f>
        <v>0</v>
      </c>
      <c r="AT109" s="1713">
        <f>IF(OR($C$24=$AR109,$D$24=$AR109),Schweine_Werte!$C109*0.5,IF(OR($C$24&gt;$AR109,$D$24&lt;$AR109),0,Schweine_Werte!$C109))</f>
        <v>0</v>
      </c>
      <c r="AU109" s="1710">
        <f>IF(OR($C$36=$AR109,$D$36=$AR109),Schweine_Werte!$C109*0.5,IF(OR($C$36&gt;$AR109,$D$36&lt;$AR109),0,Schweine_Werte!$C109))</f>
        <v>0</v>
      </c>
      <c r="AV109" s="1710">
        <f>IF(OR($C$48=$AR109,$D$48=$AR109),Schweine_Werte!$C109*0.5,IF(OR($C$48&gt;$AR109,$D$48&lt;$AR109),0,Schweine_Werte!$C109))</f>
        <v>0</v>
      </c>
      <c r="AW109" s="1710">
        <f>IF(OR($C$60=$AR109,$D$60=$AR109),Schweine_Werte!$C109*0.5,IF(OR($C$60&gt;$AR109,$D$60&lt;$AR109),0,Schweine_Werte!$C109))</f>
        <v>0</v>
      </c>
      <c r="AX109" s="1710">
        <f>IF(OR($C$12=$AR109,$D$12=$AR109),Schweine_Werte!$E109*0.5,IF(OR($C$12&gt;$AR109,$D$12&lt;$AR109),0,Schweine_Werte!$E109))</f>
        <v>0</v>
      </c>
      <c r="AY109" s="1713">
        <f>IF(OR($C$24=$AR109,$D$24=$AR109),Schweine_Werte!$E109*0.5,IF(OR($C$24&gt;$AR109,$D$24&lt;$AR109),0,Schweine_Werte!$E109))</f>
        <v>0</v>
      </c>
      <c r="AZ109" s="1713">
        <f>IF(OR($C$36=$AR109,$D$36=$AR109),Schweine_Werte!$E109*0.5,IF(OR($C$36&gt;$AR109,$D$36&lt;$AR109),0,Schweine_Werte!$E109))</f>
        <v>0</v>
      </c>
      <c r="BA109" s="1713">
        <f>IF(OR($C$48=$AR109,$D$48=$AR109),Schweine_Werte!$E109*0.5,IF(OR($C$48&gt;$AR109,$D$48&lt;$AR109),0,Schweine_Werte!$E109))</f>
        <v>0</v>
      </c>
      <c r="BB109" s="1713">
        <f>IF(OR($C$60=$AR109,$D$60=$AR109),Schweine_Werte!$E109*0.5,IF(OR($C$60&gt;$AR109,$D$60&lt;$AR109),0,Schweine_Werte!$E109))</f>
        <v>0</v>
      </c>
      <c r="BC109" s="1710">
        <f>IF(OR($C$12=$AR109,$D$12=$AR109),Schweine_Werte!$G109*0.5,IF(OR($C$12&gt;$AR109,$D$12&lt;$AR109),0,Schweine_Werte!$G109))</f>
        <v>0</v>
      </c>
      <c r="BD109" s="1713">
        <f>IF(OR($C$24=$AR109,$D$24=$AR109),Schweine_Werte!$G109*0.5,IF(OR($C$24&gt;$AR109,$D$24&lt;$AR109),0,Schweine_Werte!$G109))</f>
        <v>0</v>
      </c>
      <c r="BE109" s="1713">
        <f>IF(OR($C$36=$AR109,$D$36=$AR109),Schweine_Werte!$G109*0.5,IF(OR($C$36&gt;$AR109,$D$36&lt;$AR109),0,Schweine_Werte!$G109))</f>
        <v>0</v>
      </c>
      <c r="BF109" s="1713">
        <f>IF(OR($C$48=$AR109,$D$48=$AR109),Schweine_Werte!$G109*0.5,IF(OR($C$48&gt;$AR109,$D$48&lt;$AR109),0,Schweine_Werte!$G109))</f>
        <v>0</v>
      </c>
      <c r="BG109" s="1713">
        <f>IF(OR($C$60=$AR109,$D$60=$AR109),Schweine_Werte!$G109*0.5,IF(OR($C$60&gt;$AR109,$D$60&lt;$AR109),0,Schweine_Werte!$G109))</f>
        <v>0</v>
      </c>
      <c r="BH109" s="1710">
        <f>IF(OR($C$12=$AR109,$D$12=$AR109),Schweine_Werte!$I109*0.5,IF(OR($C$12&gt;$AR109,$D$12&lt;$AR109),0,Schweine_Werte!$I109))</f>
        <v>0</v>
      </c>
      <c r="BI109" s="1713">
        <f>IF(OR($C$24=$AR109,$D$24=$AR109),Schweine_Werte!$I109*0.5,IF(OR($C$24&gt;$AR109,$D$24&lt;$AR109),0,Schweine_Werte!$I109))</f>
        <v>0</v>
      </c>
      <c r="BJ109" s="1713">
        <f>IF(OR($C$36=$AR109,$D$36=$AR109),Schweine_Werte!$I109*0.5,IF(OR($C$36&gt;$AR109,$D$36&lt;$AR109),0,Schweine_Werte!$I109))</f>
        <v>0</v>
      </c>
      <c r="BK109" s="1713">
        <f>IF(OR($C$48=$AR109,$D$48=$AR109),Schweine_Werte!$I109*0.5,IF(OR($C$48&gt;$AR109,$D$48&lt;$AR109),0,Schweine_Werte!$I109))</f>
        <v>0</v>
      </c>
      <c r="BL109" s="1713">
        <f>IF(OR($C$60=$AR109,$D$60=$AR109),Schweine_Werte!$I109*0.5,IF(OR($C$60&gt;$AR109,$D$60&lt;$AR109),0,Schweine_Werte!$I109))</f>
        <v>0</v>
      </c>
      <c r="BM109" s="1710">
        <f>IF(OR($C$12=$AR109,$D$12=$AR109),Schweine_Werte!$K109*0.5,IF(OR($C$12&gt;$AR109,$D$12&lt;$AR109),0,Schweine_Werte!$K109))</f>
        <v>0</v>
      </c>
      <c r="BN109" s="1713">
        <f>IF(OR($C$24=$AR109,$D$24=$AR109),Schweine_Werte!$K109*0.5,IF(OR($C$24&gt;$AR109,$D$24&lt;$AR109),0,Schweine_Werte!$K109))</f>
        <v>0</v>
      </c>
      <c r="BO109" s="1713">
        <f>IF(OR($C$36=$AR109,$D$36=$AR109),Schweine_Werte!$K109*0.5,IF(OR($C$36&gt;$AR109,$D$36&lt;$AR109),0,Schweine_Werte!$K109))</f>
        <v>0</v>
      </c>
      <c r="BP109" s="1713">
        <f>IF(OR($C$48=$AR109,$D$48=$AR109),Schweine_Werte!$K109*0.5,IF(OR($C$48&gt;$AR109,$D$48&lt;$AR109),0,Schweine_Werte!$K109))</f>
        <v>0</v>
      </c>
      <c r="BQ109" s="1713">
        <f>IF(OR($C$60=$AR109,$D$60=$AR109),Schweine_Werte!$K109*0.5,IF(OR($C$60&gt;$AR109,$D$60&lt;$AR109),0,Schweine_Werte!$K109))</f>
        <v>0</v>
      </c>
      <c r="BR109" s="1710">
        <f>IF(OR($C$74=$AR109,$D$74=$AR109),Schweine_Werte!$M109*0.5,IF(OR($C$74&gt;$AR109,$D$74&lt;$AR109),0,Schweine_Werte!$M109))</f>
        <v>0</v>
      </c>
      <c r="BS109" s="1710">
        <f>IF(OR($C$83=$AR109,$D$83=$AR109),Schweine_Werte!$M109*0.5,IF(OR($C$83&gt;$AR109,$D$83&lt;$AR109),0,Schweine_Werte!$M109))</f>
        <v>0</v>
      </c>
      <c r="BT109" s="1714">
        <f>IF(OR($C$92=$AR109,$D$92=$AR109),Schweine_Werte!$M109*0.5,IF(OR($C$92&gt;$AR109,$D$92&lt;$AR109),0,Schweine_Werte!$M109))</f>
        <v>0</v>
      </c>
      <c r="BU109" s="1714">
        <f>IF(OR($C$101=$AR109,$D$101=$AR109),Schweine_Werte!$M109*0.5,IF(OR($C$101&gt;$AR109,$D$101&lt;$AR109),0,Schweine_Werte!$M109))</f>
        <v>0</v>
      </c>
      <c r="BV109" s="1714">
        <f>IF(OR($C$110=$AR109,$D$110=$AR109),Schweine_Werte!$M109*0.5,IF(OR($C$110&gt;$AR109,$D$110&lt;$AR109),0,Schweine_Werte!$M109))</f>
        <v>0</v>
      </c>
      <c r="BW109" s="1714">
        <f>IF(OR(8=$AR109,$E$127=$AR109),Schweine_Werte!$M109*0.5,IF(OR(8&gt;$AR109,$E$127&lt;$AR109),0,Schweine_Werte!$M109))</f>
        <v>1.4477278921508818</v>
      </c>
      <c r="BX109" s="1714">
        <f>IF(OR(8=$AR109,$E$145=$AR109),Schweine_Werte!$M109*0.5,IF(OR(8&gt;$AR109,$E$145&lt;$AR109),0,Schweine_Werte!$M109))</f>
        <v>1.4477278921508818</v>
      </c>
      <c r="BY109" s="1710">
        <f>IF(OR($C$74=$AR109,$D$74=$AR109),Schweine_Werte!$O109*0.5,IF(OR($C$74&gt;$AR109,$D$74&lt;$AR109),0,Schweine_Werte!$O109))</f>
        <v>0</v>
      </c>
      <c r="BZ109" s="1710">
        <f>IF(OR($C$83=$AR109,$D$83=$AR109),Schweine_Werte!$O109*0.5,IF(OR($C$83&gt;$AR109,$D$83&lt;$AR109),0,Schweine_Werte!$O109))</f>
        <v>0</v>
      </c>
      <c r="CA109" s="1714">
        <f>IF(OR($C$92=$AR109,$D$92=$AR109),Schweine_Werte!$O109*0.5,IF(OR($C$92&gt;$AR109,$D$92&lt;$AR109),0,Schweine_Werte!$O109))</f>
        <v>0</v>
      </c>
      <c r="CB109" s="1714">
        <f>IF(OR($C$101=$AR109,$D$101=$AR109),Schweine_Werte!$O109*0.5,IF(OR($C$101&gt;$AR109,$D$101&lt;$AR109),0,Schweine_Werte!$O109))</f>
        <v>0</v>
      </c>
      <c r="CC109" s="1714">
        <f>IF(OR($C$110=$AR109,$D$110=$AR109),Schweine_Werte!$O109*0.5,IF(OR($C$110&gt;$AR109,$D$110&lt;$AR109),0,Schweine_Werte!$O109))</f>
        <v>0</v>
      </c>
    </row>
    <row r="110" spans="1:81" ht="15.75" x14ac:dyDescent="0.25">
      <c r="A110" s="1685" t="s">
        <v>8563</v>
      </c>
      <c r="B110" s="1753" t="str">
        <f>IF('Eigene, abweichende Tierdaten'!AE9=1,'Eigene, abweichende Tierdaten'!F9,"")</f>
        <v/>
      </c>
      <c r="C110" s="1754" t="str">
        <f>IF('Eigene, abweichende Tierdaten'!AE9=1,'Eigene, abweichende Tierdaten'!J9,"")</f>
        <v/>
      </c>
      <c r="D110" s="1755" t="str">
        <f>IF('Eigene, abweichende Tierdaten'!AE9=1,'Eigene, abweichende Tierdaten'!L9,"")</f>
        <v/>
      </c>
      <c r="E110" s="1755" t="str">
        <f>IF('Eigene, abweichende Tierdaten'!AE9=1,'Eigene, abweichende Tierdaten'!N9,"")</f>
        <v/>
      </c>
      <c r="F110" s="1729" t="e">
        <f>IF($E110&lt;=$E106,F106,IF(AND($E110&gt;$E106,$E110&lt;=$E107),F106+(F107-F106)/($E107-$E106)*($E110-$E106),IF($E110&gt;$E107,F107)))</f>
        <v>#VALUE!</v>
      </c>
      <c r="G110" s="1729" t="e">
        <f t="shared" ref="G110:N110" si="28">IF($E110&lt;=$E106,G106,IF(AND($E110&gt;$E106,$E110&lt;=$E107),G106+(G107-G106)/($E107-$E106)*($E110-$E106),IF($E110&gt;$E107,G107)))</f>
        <v>#VALUE!</v>
      </c>
      <c r="H110" s="1729" t="e">
        <f t="shared" si="28"/>
        <v>#VALUE!</v>
      </c>
      <c r="I110" s="1729" t="e">
        <f t="shared" si="28"/>
        <v>#VALUE!</v>
      </c>
      <c r="J110" s="1729" t="e">
        <f t="shared" si="28"/>
        <v>#VALUE!</v>
      </c>
      <c r="K110" s="1729" t="e">
        <f t="shared" si="28"/>
        <v>#VALUE!</v>
      </c>
      <c r="L110" s="1729" t="e">
        <f t="shared" si="28"/>
        <v>#VALUE!</v>
      </c>
      <c r="M110" s="1729" t="e">
        <f t="shared" si="28"/>
        <v>#VALUE!</v>
      </c>
      <c r="N110" s="1729" t="e">
        <f t="shared" si="28"/>
        <v>#VALUE!</v>
      </c>
      <c r="O110" s="1730">
        <v>5.5</v>
      </c>
      <c r="P110" s="1730">
        <v>1.8</v>
      </c>
      <c r="Q110" s="1729" t="e">
        <f t="shared" ref="Q110:Z110" si="29">IF($E110&lt;=$E106,Q106,IF(AND($E110&gt;$E106,$E110&lt;=$E107),Q106+(Q107-Q106)/($E107-$E106)*($E110-$E106),IF($E110&gt;$E107,Q107)))</f>
        <v>#VALUE!</v>
      </c>
      <c r="R110" s="1729" t="e">
        <f t="shared" si="29"/>
        <v>#VALUE!</v>
      </c>
      <c r="S110" s="1729" t="e">
        <f t="shared" si="29"/>
        <v>#VALUE!</v>
      </c>
      <c r="T110" s="1729" t="e">
        <f t="shared" si="29"/>
        <v>#VALUE!</v>
      </c>
      <c r="U110" s="1729" t="e">
        <f t="shared" si="29"/>
        <v>#VALUE!</v>
      </c>
      <c r="V110" s="1729" t="e">
        <f t="shared" si="29"/>
        <v>#VALUE!</v>
      </c>
      <c r="W110" s="1729" t="e">
        <f t="shared" si="29"/>
        <v>#VALUE!</v>
      </c>
      <c r="X110" s="1729" t="e">
        <f t="shared" si="29"/>
        <v>#VALUE!</v>
      </c>
      <c r="Y110" s="1729" t="e">
        <f t="shared" si="29"/>
        <v>#VALUE!</v>
      </c>
      <c r="Z110" s="1729" t="e">
        <f t="shared" si="29"/>
        <v>#VALUE!</v>
      </c>
      <c r="AA110" s="1731" t="e">
        <f>+Z110*6.25</f>
        <v>#VALUE!</v>
      </c>
      <c r="AB110" s="1729" t="e">
        <f>IF($E110&lt;=$E106,AB106,IF(AND($E110&gt;$E106,$E110&lt;=$E107),AB106+(AB107-AB106)/($E107-$E106)*($E110-$E106),IF($E110&gt;$E107,AB107)))</f>
        <v>#VALUE!</v>
      </c>
      <c r="AC110" s="1731" t="e">
        <f>+AB110*6.25</f>
        <v>#VALUE!</v>
      </c>
      <c r="AD110" s="1729" t="e">
        <f>IF($E110&lt;=$E106,AD106,IF(AND($E110&gt;$E106,$E110&lt;=$E107),AD106+(AD107-AD106)/($E107-$E106)*($E110-$E106),IF($E110&gt;$E107,AD107)))</f>
        <v>#VALUE!</v>
      </c>
      <c r="AE110" s="1731" t="e">
        <f>+AD110*6.25</f>
        <v>#VALUE!</v>
      </c>
      <c r="AF110" s="1731" t="e">
        <f>365/((D110-C110)/E110*1000)</f>
        <v>#VALUE!</v>
      </c>
      <c r="AG110" s="1729" t="e">
        <f>IF($E110&lt;=$E106,AG106,IF(AND($E110&gt;$E106,$E110&lt;=$E107),AG106+(AG107-AG106)/($E107-$E106)*($E110-$E106),IF($E110&gt;$E107,AG107)))</f>
        <v>#VALUE!</v>
      </c>
      <c r="AH110" s="1731" t="e">
        <f>+AG110/AF110</f>
        <v>#VALUE!</v>
      </c>
      <c r="AI110" s="1731" t="e">
        <f>+CONCATENATE(ROUND(AH110/(D110-C110),1)," : 1")</f>
        <v>#VALUE!</v>
      </c>
      <c r="AJ110" s="1729" t="e">
        <f>IF($E110&lt;=$E106,AJ106,IF(AND($E110&gt;$E106,$E110&lt;=$E107),AJ106+(AJ107-AJ106)/($E107-$E106)*($E110-$E106),IF($E110&gt;$E107,AJ107)))</f>
        <v>#VALUE!</v>
      </c>
      <c r="AK110" s="1731" t="e">
        <f>+AJ110/2.291</f>
        <v>#VALUE!</v>
      </c>
      <c r="AL110" s="1729" t="e">
        <f>IF($E110&lt;=$E106,AL106,IF(AND($E110&gt;$E106,$E110&lt;=$E107),AL106+(AL107-AL106)/($E107-$E106)*($E110-$E106),IF($E110&gt;$E107,AL107)))</f>
        <v>#VALUE!</v>
      </c>
      <c r="AM110" s="1731" t="e">
        <f>+AL110/2.291</f>
        <v>#VALUE!</v>
      </c>
      <c r="AN110" s="1729" t="e">
        <f>IF($E110&lt;=$E106,AN106,IF(AND($E110&gt;$E106,$E110&lt;=$E107),AN106+(AN107-AN106)/($E107-$E106)*($E110-$E106),IF($E110&gt;$E107,AN107)))</f>
        <v>#VALUE!</v>
      </c>
      <c r="AO110" s="1731" t="e">
        <f>+AN110/2.291</f>
        <v>#VALUE!</v>
      </c>
      <c r="AR110" s="1733">
        <v>114</v>
      </c>
      <c r="AS110" s="1710">
        <f>IF(OR($C$12=$AR110,$D$12=$AR110),Schweine_Werte!$C110*0.5,IF(OR($C$12&gt;$AR110,$D$12&lt;$AR110),0,Schweine_Werte!$C110))</f>
        <v>0</v>
      </c>
      <c r="AT110" s="1713">
        <f>IF(OR($C$24=$AR110,$D$24=$AR110),Schweine_Werte!$C110*0.5,IF(OR($C$24&gt;$AR110,$D$24&lt;$AR110),0,Schweine_Werte!$C110))</f>
        <v>0</v>
      </c>
      <c r="AU110" s="1710">
        <f>IF(OR($C$36=$AR110,$D$36=$AR110),Schweine_Werte!$C110*0.5,IF(OR($C$36&gt;$AR110,$D$36&lt;$AR110),0,Schweine_Werte!$C110))</f>
        <v>0</v>
      </c>
      <c r="AV110" s="1710">
        <f>IF(OR($C$48=$AR110,$D$48=$AR110),Schweine_Werte!$C110*0.5,IF(OR($C$48&gt;$AR110,$D$48&lt;$AR110),0,Schweine_Werte!$C110))</f>
        <v>0</v>
      </c>
      <c r="AW110" s="1710">
        <f>IF(OR($C$60=$AR110,$D$60=$AR110),Schweine_Werte!$C110*0.5,IF(OR($C$60&gt;$AR110,$D$60&lt;$AR110),0,Schweine_Werte!$C110))</f>
        <v>0</v>
      </c>
      <c r="AX110" s="1710">
        <f>IF(OR($C$12=$AR110,$D$12=$AR110),Schweine_Werte!$E110*0.5,IF(OR($C$12&gt;$AR110,$D$12&lt;$AR110),0,Schweine_Werte!$E110))</f>
        <v>0</v>
      </c>
      <c r="AY110" s="1713">
        <f>IF(OR($C$24=$AR110,$D$24=$AR110),Schweine_Werte!$E110*0.5,IF(OR($C$24&gt;$AR110,$D$24&lt;$AR110),0,Schweine_Werte!$E110))</f>
        <v>0</v>
      </c>
      <c r="AZ110" s="1713">
        <f>IF(OR($C$36=$AR110,$D$36=$AR110),Schweine_Werte!$E110*0.5,IF(OR($C$36&gt;$AR110,$D$36&lt;$AR110),0,Schweine_Werte!$E110))</f>
        <v>0</v>
      </c>
      <c r="BA110" s="1713">
        <f>IF(OR($C$48=$AR110,$D$48=$AR110),Schweine_Werte!$E110*0.5,IF(OR($C$48&gt;$AR110,$D$48&lt;$AR110),0,Schweine_Werte!$E110))</f>
        <v>0</v>
      </c>
      <c r="BB110" s="1713">
        <f>IF(OR($C$60=$AR110,$D$60=$AR110),Schweine_Werte!$E110*0.5,IF(OR($C$60&gt;$AR110,$D$60&lt;$AR110),0,Schweine_Werte!$E110))</f>
        <v>0</v>
      </c>
      <c r="BC110" s="1710">
        <f>IF(OR($C$12=$AR110,$D$12=$AR110),Schweine_Werte!$G110*0.5,IF(OR($C$12&gt;$AR110,$D$12&lt;$AR110),0,Schweine_Werte!$G110))</f>
        <v>0</v>
      </c>
      <c r="BD110" s="1713">
        <f>IF(OR($C$24=$AR110,$D$24=$AR110),Schweine_Werte!$G110*0.5,IF(OR($C$24&gt;$AR110,$D$24&lt;$AR110),0,Schweine_Werte!$G110))</f>
        <v>0</v>
      </c>
      <c r="BE110" s="1713">
        <f>IF(OR($C$36=$AR110,$D$36=$AR110),Schweine_Werte!$G110*0.5,IF(OR($C$36&gt;$AR110,$D$36&lt;$AR110),0,Schweine_Werte!$G110))</f>
        <v>0</v>
      </c>
      <c r="BF110" s="1713">
        <f>IF(OR($C$48=$AR110,$D$48=$AR110),Schweine_Werte!$G110*0.5,IF(OR($C$48&gt;$AR110,$D$48&lt;$AR110),0,Schweine_Werte!$G110))</f>
        <v>0</v>
      </c>
      <c r="BG110" s="1713">
        <f>IF(OR($C$60=$AR110,$D$60=$AR110),Schweine_Werte!$G110*0.5,IF(OR($C$60&gt;$AR110,$D$60&lt;$AR110),0,Schweine_Werte!$G110))</f>
        <v>0</v>
      </c>
      <c r="BH110" s="1710">
        <f>IF(OR($C$12=$AR110,$D$12=$AR110),Schweine_Werte!$I110*0.5,IF(OR($C$12&gt;$AR110,$D$12&lt;$AR110),0,Schweine_Werte!$I110))</f>
        <v>0</v>
      </c>
      <c r="BI110" s="1713">
        <f>IF(OR($C$24=$AR110,$D$24=$AR110),Schweine_Werte!$I110*0.5,IF(OR($C$24&gt;$AR110,$D$24&lt;$AR110),0,Schweine_Werte!$I110))</f>
        <v>0</v>
      </c>
      <c r="BJ110" s="1713">
        <f>IF(OR($C$36=$AR110,$D$36=$AR110),Schweine_Werte!$I110*0.5,IF(OR($C$36&gt;$AR110,$D$36&lt;$AR110),0,Schweine_Werte!$I110))</f>
        <v>0</v>
      </c>
      <c r="BK110" s="1713">
        <f>IF(OR($C$48=$AR110,$D$48=$AR110),Schweine_Werte!$I110*0.5,IF(OR($C$48&gt;$AR110,$D$48&lt;$AR110),0,Schweine_Werte!$I110))</f>
        <v>0</v>
      </c>
      <c r="BL110" s="1713">
        <f>IF(OR($C$60=$AR110,$D$60=$AR110),Schweine_Werte!$I110*0.5,IF(OR($C$60&gt;$AR110,$D$60&lt;$AR110),0,Schweine_Werte!$I110))</f>
        <v>0</v>
      </c>
      <c r="BM110" s="1710">
        <f>IF(OR($C$12=$AR110,$D$12=$AR110),Schweine_Werte!$K110*0.5,IF(OR($C$12&gt;$AR110,$D$12&lt;$AR110),0,Schweine_Werte!$K110))</f>
        <v>0</v>
      </c>
      <c r="BN110" s="1713">
        <f>IF(OR($C$24=$AR110,$D$24=$AR110),Schweine_Werte!$K110*0.5,IF(OR($C$24&gt;$AR110,$D$24&lt;$AR110),0,Schweine_Werte!$K110))</f>
        <v>0</v>
      </c>
      <c r="BO110" s="1713">
        <f>IF(OR($C$36=$AR110,$D$36=$AR110),Schweine_Werte!$K110*0.5,IF(OR($C$36&gt;$AR110,$D$36&lt;$AR110),0,Schweine_Werte!$K110))</f>
        <v>0</v>
      </c>
      <c r="BP110" s="1713">
        <f>IF(OR($C$48=$AR110,$D$48=$AR110),Schweine_Werte!$K110*0.5,IF(OR($C$48&gt;$AR110,$D$48&lt;$AR110),0,Schweine_Werte!$K110))</f>
        <v>0</v>
      </c>
      <c r="BQ110" s="1713">
        <f>IF(OR($C$60=$AR110,$D$60=$AR110),Schweine_Werte!$K110*0.5,IF(OR($C$60&gt;$AR110,$D$60&lt;$AR110),0,Schweine_Werte!$K110))</f>
        <v>0</v>
      </c>
      <c r="BR110" s="1710">
        <f>IF(OR($C$74=$AR110,$D$74=$AR110),Schweine_Werte!$M110*0.5,IF(OR($C$74&gt;$AR110,$D$74&lt;$AR110),0,Schweine_Werte!$M110))</f>
        <v>0</v>
      </c>
      <c r="BS110" s="1710">
        <f>IF(OR($C$83=$AR110,$D$83=$AR110),Schweine_Werte!$M110*0.5,IF(OR($C$83&gt;$AR110,$D$83&lt;$AR110),0,Schweine_Werte!$M110))</f>
        <v>0</v>
      </c>
      <c r="BT110" s="1714">
        <f>IF(OR($C$92=$AR110,$D$92=$AR110),Schweine_Werte!$M110*0.5,IF(OR($C$92&gt;$AR110,$D$92&lt;$AR110),0,Schweine_Werte!$M110))</f>
        <v>0</v>
      </c>
      <c r="BU110" s="1714">
        <f>IF(OR($C$101=$AR110,$D$101=$AR110),Schweine_Werte!$M110*0.5,IF(OR($C$101&gt;$AR110,$D$101&lt;$AR110),0,Schweine_Werte!$M110))</f>
        <v>0</v>
      </c>
      <c r="BV110" s="1714">
        <f>IF(OR($C$110=$AR110,$D$110=$AR110),Schweine_Werte!$M110*0.5,IF(OR($C$110&gt;$AR110,$D$110&lt;$AR110),0,Schweine_Werte!$M110))</f>
        <v>0</v>
      </c>
      <c r="BW110" s="1714">
        <f>IF(OR(8=$AR110,$E$127=$AR110),Schweine_Werte!$M110*0.5,IF(OR(8&gt;$AR110,$E$127&lt;$AR110),0,Schweine_Werte!$M110))</f>
        <v>1.4477278921508818</v>
      </c>
      <c r="BX110" s="1714">
        <f>IF(OR(8=$AR110,$E$145=$AR110),Schweine_Werte!$M110*0.5,IF(OR(8&gt;$AR110,$E$145&lt;$AR110),0,Schweine_Werte!$M110))</f>
        <v>1.4477278921508818</v>
      </c>
      <c r="BY110" s="1710">
        <f>IF(OR($C$74=$AR110,$D$74=$AR110),Schweine_Werte!$O110*0.5,IF(OR($C$74&gt;$AR110,$D$74&lt;$AR110),0,Schweine_Werte!$O110))</f>
        <v>0</v>
      </c>
      <c r="BZ110" s="1710">
        <f>IF(OR($C$83=$AR110,$D$83=$AR110),Schweine_Werte!$O110*0.5,IF(OR($C$83&gt;$AR110,$D$83&lt;$AR110),0,Schweine_Werte!$O110))</f>
        <v>0</v>
      </c>
      <c r="CA110" s="1714">
        <f>IF(OR($C$92=$AR110,$D$92=$AR110),Schweine_Werte!$O110*0.5,IF(OR($C$92&gt;$AR110,$D$92&lt;$AR110),0,Schweine_Werte!$O110))</f>
        <v>0</v>
      </c>
      <c r="CB110" s="1714">
        <f>IF(OR($C$101=$AR110,$D$101=$AR110),Schweine_Werte!$O110*0.5,IF(OR($C$101&gt;$AR110,$D$101&lt;$AR110),0,Schweine_Werte!$O110))</f>
        <v>0</v>
      </c>
      <c r="CC110" s="1714">
        <f>IF(OR($C$110=$AR110,$D$110=$AR110),Schweine_Werte!$O110*0.5,IF(OR($C$110&gt;$AR110,$D$110&lt;$AR110),0,Schweine_Werte!$O110))</f>
        <v>0</v>
      </c>
    </row>
    <row r="111" spans="1:81" x14ac:dyDescent="0.25">
      <c r="AR111" s="1733">
        <v>115</v>
      </c>
      <c r="AS111" s="1710">
        <f>IF(OR($C$12=$AR111,$D$12=$AR111),Schweine_Werte!$C111*0.5,IF(OR($C$12&gt;$AR111,$D$12&lt;$AR111),0,Schweine_Werte!$C111))</f>
        <v>0</v>
      </c>
      <c r="AT111" s="1713">
        <f>IF(OR($C$24=$AR111,$D$24=$AR111),Schweine_Werte!$C111*0.5,IF(OR($C$24&gt;$AR111,$D$24&lt;$AR111),0,Schweine_Werte!$C111))</f>
        <v>0</v>
      </c>
      <c r="AU111" s="1710">
        <f>IF(OR($C$36=$AR111,$D$36=$AR111),Schweine_Werte!$C111*0.5,IF(OR($C$36&gt;$AR111,$D$36&lt;$AR111),0,Schweine_Werte!$C111))</f>
        <v>0</v>
      </c>
      <c r="AV111" s="1710">
        <f>IF(OR($C$48=$AR111,$D$48=$AR111),Schweine_Werte!$C111*0.5,IF(OR($C$48&gt;$AR111,$D$48&lt;$AR111),0,Schweine_Werte!$C111))</f>
        <v>0</v>
      </c>
      <c r="AW111" s="1710">
        <f>IF(OR($C$60=$AR111,$D$60=$AR111),Schweine_Werte!$C111*0.5,IF(OR($C$60&gt;$AR111,$D$60&lt;$AR111),0,Schweine_Werte!$C111))</f>
        <v>0</v>
      </c>
      <c r="AX111" s="1710">
        <f>IF(OR($C$12=$AR111,$D$12=$AR111),Schweine_Werte!$E111*0.5,IF(OR($C$12&gt;$AR111,$D$12&lt;$AR111),0,Schweine_Werte!$E111))</f>
        <v>0</v>
      </c>
      <c r="AY111" s="1713">
        <f>IF(OR($C$24=$AR111,$D$24=$AR111),Schweine_Werte!$E111*0.5,IF(OR($C$24&gt;$AR111,$D$24&lt;$AR111),0,Schweine_Werte!$E111))</f>
        <v>0</v>
      </c>
      <c r="AZ111" s="1713">
        <f>IF(OR($C$36=$AR111,$D$36=$AR111),Schweine_Werte!$E111*0.5,IF(OR($C$36&gt;$AR111,$D$36&lt;$AR111),0,Schweine_Werte!$E111))</f>
        <v>0</v>
      </c>
      <c r="BA111" s="1713">
        <f>IF(OR($C$48=$AR111,$D$48=$AR111),Schweine_Werte!$E111*0.5,IF(OR($C$48&gt;$AR111,$D$48&lt;$AR111),0,Schweine_Werte!$E111))</f>
        <v>0</v>
      </c>
      <c r="BB111" s="1713">
        <f>IF(OR($C$60=$AR111,$D$60=$AR111),Schweine_Werte!$E111*0.5,IF(OR($C$60&gt;$AR111,$D$60&lt;$AR111),0,Schweine_Werte!$E111))</f>
        <v>0</v>
      </c>
      <c r="BC111" s="1710">
        <f>IF(OR($C$12=$AR111,$D$12=$AR111),Schweine_Werte!$G111*0.5,IF(OR($C$12&gt;$AR111,$D$12&lt;$AR111),0,Schweine_Werte!$G111))</f>
        <v>0</v>
      </c>
      <c r="BD111" s="1713">
        <f>IF(OR($C$24=$AR111,$D$24=$AR111),Schweine_Werte!$G111*0.5,IF(OR($C$24&gt;$AR111,$D$24&lt;$AR111),0,Schweine_Werte!$G111))</f>
        <v>0</v>
      </c>
      <c r="BE111" s="1713">
        <f>IF(OR($C$36=$AR111,$D$36=$AR111),Schweine_Werte!$G111*0.5,IF(OR($C$36&gt;$AR111,$D$36&lt;$AR111),0,Schweine_Werte!$G111))</f>
        <v>0</v>
      </c>
      <c r="BF111" s="1713">
        <f>IF(OR($C$48=$AR111,$D$48=$AR111),Schweine_Werte!$G111*0.5,IF(OR($C$48&gt;$AR111,$D$48&lt;$AR111),0,Schweine_Werte!$G111))</f>
        <v>0</v>
      </c>
      <c r="BG111" s="1713">
        <f>IF(OR($C$60=$AR111,$D$60=$AR111),Schweine_Werte!$G111*0.5,IF(OR($C$60&gt;$AR111,$D$60&lt;$AR111),0,Schweine_Werte!$G111))</f>
        <v>0</v>
      </c>
      <c r="BH111" s="1710">
        <f>IF(OR($C$12=$AR111,$D$12=$AR111),Schweine_Werte!$I111*0.5,IF(OR($C$12&gt;$AR111,$D$12&lt;$AR111),0,Schweine_Werte!$I111))</f>
        <v>0</v>
      </c>
      <c r="BI111" s="1713">
        <f>IF(OR($C$24=$AR111,$D$24=$AR111),Schweine_Werte!$I111*0.5,IF(OR($C$24&gt;$AR111,$D$24&lt;$AR111),0,Schweine_Werte!$I111))</f>
        <v>0</v>
      </c>
      <c r="BJ111" s="1713">
        <f>IF(OR($C$36=$AR111,$D$36=$AR111),Schweine_Werte!$I111*0.5,IF(OR($C$36&gt;$AR111,$D$36&lt;$AR111),0,Schweine_Werte!$I111))</f>
        <v>0</v>
      </c>
      <c r="BK111" s="1713">
        <f>IF(OR($C$48=$AR111,$D$48=$AR111),Schweine_Werte!$I111*0.5,IF(OR($C$48&gt;$AR111,$D$48&lt;$AR111),0,Schweine_Werte!$I111))</f>
        <v>0</v>
      </c>
      <c r="BL111" s="1713">
        <f>IF(OR($C$60=$AR111,$D$60=$AR111),Schweine_Werte!$I111*0.5,IF(OR($C$60&gt;$AR111,$D$60&lt;$AR111),0,Schweine_Werte!$I111))</f>
        <v>0</v>
      </c>
      <c r="BM111" s="1710">
        <f>IF(OR($C$12=$AR111,$D$12=$AR111),Schweine_Werte!$K111*0.5,IF(OR($C$12&gt;$AR111,$D$12&lt;$AR111),0,Schweine_Werte!$K111))</f>
        <v>0</v>
      </c>
      <c r="BN111" s="1713">
        <f>IF(OR($C$24=$AR111,$D$24=$AR111),Schweine_Werte!$K111*0.5,IF(OR($C$24&gt;$AR111,$D$24&lt;$AR111),0,Schweine_Werte!$K111))</f>
        <v>0</v>
      </c>
      <c r="BO111" s="1713">
        <f>IF(OR($C$36=$AR111,$D$36=$AR111),Schweine_Werte!$K111*0.5,IF(OR($C$36&gt;$AR111,$D$36&lt;$AR111),0,Schweine_Werte!$K111))</f>
        <v>0</v>
      </c>
      <c r="BP111" s="1713">
        <f>IF(OR($C$48=$AR111,$D$48=$AR111),Schweine_Werte!$K111*0.5,IF(OR($C$48&gt;$AR111,$D$48&lt;$AR111),0,Schweine_Werte!$K111))</f>
        <v>0</v>
      </c>
      <c r="BQ111" s="1713">
        <f>IF(OR($C$60=$AR111,$D$60=$AR111),Schweine_Werte!$K111*0.5,IF(OR($C$60&gt;$AR111,$D$60&lt;$AR111),0,Schweine_Werte!$K111))</f>
        <v>0</v>
      </c>
      <c r="BR111" s="1710">
        <f>IF(OR($C$74=$AR111,$D$74=$AR111),Schweine_Werte!$M111*0.5,IF(OR($C$74&gt;$AR111,$D$74&lt;$AR111),0,Schweine_Werte!$M111))</f>
        <v>0</v>
      </c>
      <c r="BS111" s="1710">
        <f>IF(OR($C$83=$AR111,$D$83=$AR111),Schweine_Werte!$M111*0.5,IF(OR($C$83&gt;$AR111,$D$83&lt;$AR111),0,Schweine_Werte!$M111))</f>
        <v>0</v>
      </c>
      <c r="BT111" s="1714">
        <f>IF(OR($C$92=$AR111,$D$92=$AR111),Schweine_Werte!$M111*0.5,IF(OR($C$92&gt;$AR111,$D$92&lt;$AR111),0,Schweine_Werte!$M111))</f>
        <v>0</v>
      </c>
      <c r="BU111" s="1714">
        <f>IF(OR($C$101=$AR111,$D$101=$AR111),Schweine_Werte!$M111*0.5,IF(OR($C$101&gt;$AR111,$D$101&lt;$AR111),0,Schweine_Werte!$M111))</f>
        <v>0</v>
      </c>
      <c r="BV111" s="1714">
        <f>IF(OR($C$110=$AR111,$D$110=$AR111),Schweine_Werte!$M111*0.5,IF(OR($C$110&gt;$AR111,$D$110&lt;$AR111),0,Schweine_Werte!$M111))</f>
        <v>0</v>
      </c>
      <c r="BW111" s="1714">
        <f>IF(OR(8=$AR111,$E$127=$AR111),Schweine_Werte!$M111*0.5,IF(OR(8&gt;$AR111,$E$127&lt;$AR111),0,Schweine_Werte!$M111))</f>
        <v>1.4477278921508818</v>
      </c>
      <c r="BX111" s="1714">
        <f>IF(OR(8=$AR111,$E$145=$AR111),Schweine_Werte!$M111*0.5,IF(OR(8&gt;$AR111,$E$145&lt;$AR111),0,Schweine_Werte!$M111))</f>
        <v>1.4477278921508818</v>
      </c>
      <c r="BY111" s="1710">
        <f>IF(OR($C$74=$AR111,$D$74=$AR111),Schweine_Werte!$O111*0.5,IF(OR($C$74&gt;$AR111,$D$74&lt;$AR111),0,Schweine_Werte!$O111))</f>
        <v>0</v>
      </c>
      <c r="BZ111" s="1710">
        <f>IF(OR($C$83=$AR111,$D$83=$AR111),Schweine_Werte!$O111*0.5,IF(OR($C$83&gt;$AR111,$D$83&lt;$AR111),0,Schweine_Werte!$O111))</f>
        <v>0</v>
      </c>
      <c r="CA111" s="1714">
        <f>IF(OR($C$92=$AR111,$D$92=$AR111),Schweine_Werte!$O111*0.5,IF(OR($C$92&gt;$AR111,$D$92&lt;$AR111),0,Schweine_Werte!$O111))</f>
        <v>0</v>
      </c>
      <c r="CB111" s="1714">
        <f>IF(OR($C$101=$AR111,$D$101=$AR111),Schweine_Werte!$O111*0.5,IF(OR($C$101&gt;$AR111,$D$101&lt;$AR111),0,Schweine_Werte!$O111))</f>
        <v>0</v>
      </c>
      <c r="CC111" s="1714">
        <f>IF(OR($C$110=$AR111,$D$110=$AR111),Schweine_Werte!$O111*0.5,IF(OR($C$110&gt;$AR111,$D$110&lt;$AR111),0,Schweine_Werte!$O111))</f>
        <v>0</v>
      </c>
    </row>
    <row r="112" spans="1:81" x14ac:dyDescent="0.25">
      <c r="AR112" s="1733">
        <v>116</v>
      </c>
      <c r="AS112" s="1710">
        <f>IF(OR($C$12=$AR112,$D$12=$AR112),Schweine_Werte!$C112*0.5,IF(OR($C$12&gt;$AR112,$D$12&lt;$AR112),0,Schweine_Werte!$C112))</f>
        <v>0</v>
      </c>
      <c r="AT112" s="1713">
        <f>IF(OR($C$24=$AR112,$D$24=$AR112),Schweine_Werte!$C112*0.5,IF(OR($C$24&gt;$AR112,$D$24&lt;$AR112),0,Schweine_Werte!$C112))</f>
        <v>0</v>
      </c>
      <c r="AU112" s="1710">
        <f>IF(OR($C$36=$AR112,$D$36=$AR112),Schweine_Werte!$C112*0.5,IF(OR($C$36&gt;$AR112,$D$36&lt;$AR112),0,Schweine_Werte!$C112))</f>
        <v>0</v>
      </c>
      <c r="AV112" s="1710">
        <f>IF(OR($C$48=$AR112,$D$48=$AR112),Schweine_Werte!$C112*0.5,IF(OR($C$48&gt;$AR112,$D$48&lt;$AR112),0,Schweine_Werte!$C112))</f>
        <v>0</v>
      </c>
      <c r="AW112" s="1710">
        <f>IF(OR($C$60=$AR112,$D$60=$AR112),Schweine_Werte!$C112*0.5,IF(OR($C$60&gt;$AR112,$D$60&lt;$AR112),0,Schweine_Werte!$C112))</f>
        <v>0</v>
      </c>
      <c r="AX112" s="1710">
        <f>IF(OR($C$12=$AR112,$D$12=$AR112),Schweine_Werte!$E112*0.5,IF(OR($C$12&gt;$AR112,$D$12&lt;$AR112),0,Schweine_Werte!$E112))</f>
        <v>0</v>
      </c>
      <c r="AY112" s="1713">
        <f>IF(OR($C$24=$AR112,$D$24=$AR112),Schweine_Werte!$E112*0.5,IF(OR($C$24&gt;$AR112,$D$24&lt;$AR112),0,Schweine_Werte!$E112))</f>
        <v>0</v>
      </c>
      <c r="AZ112" s="1713">
        <f>IF(OR($C$36=$AR112,$D$36=$AR112),Schweine_Werte!$E112*0.5,IF(OR($C$36&gt;$AR112,$D$36&lt;$AR112),0,Schweine_Werte!$E112))</f>
        <v>0</v>
      </c>
      <c r="BA112" s="1713">
        <f>IF(OR($C$48=$AR112,$D$48=$AR112),Schweine_Werte!$E112*0.5,IF(OR($C$48&gt;$AR112,$D$48&lt;$AR112),0,Schweine_Werte!$E112))</f>
        <v>0</v>
      </c>
      <c r="BB112" s="1713">
        <f>IF(OR($C$60=$AR112,$D$60=$AR112),Schweine_Werte!$E112*0.5,IF(OR($C$60&gt;$AR112,$D$60&lt;$AR112),0,Schweine_Werte!$E112))</f>
        <v>0</v>
      </c>
      <c r="BC112" s="1710">
        <f>IF(OR($C$12=$AR112,$D$12=$AR112),Schweine_Werte!$G112*0.5,IF(OR($C$12&gt;$AR112,$D$12&lt;$AR112),0,Schweine_Werte!$G112))</f>
        <v>0</v>
      </c>
      <c r="BD112" s="1713">
        <f>IF(OR($C$24=$AR112,$D$24=$AR112),Schweine_Werte!$G112*0.5,IF(OR($C$24&gt;$AR112,$D$24&lt;$AR112),0,Schweine_Werte!$G112))</f>
        <v>0</v>
      </c>
      <c r="BE112" s="1713">
        <f>IF(OR($C$36=$AR112,$D$36=$AR112),Schweine_Werte!$G112*0.5,IF(OR($C$36&gt;$AR112,$D$36&lt;$AR112),0,Schweine_Werte!$G112))</f>
        <v>0</v>
      </c>
      <c r="BF112" s="1713">
        <f>IF(OR($C$48=$AR112,$D$48=$AR112),Schweine_Werte!$G112*0.5,IF(OR($C$48&gt;$AR112,$D$48&lt;$AR112),0,Schweine_Werte!$G112))</f>
        <v>0</v>
      </c>
      <c r="BG112" s="1713">
        <f>IF(OR($C$60=$AR112,$D$60=$AR112),Schweine_Werte!$G112*0.5,IF(OR($C$60&gt;$AR112,$D$60&lt;$AR112),0,Schweine_Werte!$G112))</f>
        <v>0</v>
      </c>
      <c r="BH112" s="1710">
        <f>IF(OR($C$12=$AR112,$D$12=$AR112),Schweine_Werte!$I112*0.5,IF(OR($C$12&gt;$AR112,$D$12&lt;$AR112),0,Schweine_Werte!$I112))</f>
        <v>0</v>
      </c>
      <c r="BI112" s="1713">
        <f>IF(OR($C$24=$AR112,$D$24=$AR112),Schweine_Werte!$I112*0.5,IF(OR($C$24&gt;$AR112,$D$24&lt;$AR112),0,Schweine_Werte!$I112))</f>
        <v>0</v>
      </c>
      <c r="BJ112" s="1713">
        <f>IF(OR($C$36=$AR112,$D$36=$AR112),Schweine_Werte!$I112*0.5,IF(OR($C$36&gt;$AR112,$D$36&lt;$AR112),0,Schweine_Werte!$I112))</f>
        <v>0</v>
      </c>
      <c r="BK112" s="1713">
        <f>IF(OR($C$48=$AR112,$D$48=$AR112),Schweine_Werte!$I112*0.5,IF(OR($C$48&gt;$AR112,$D$48&lt;$AR112),0,Schweine_Werte!$I112))</f>
        <v>0</v>
      </c>
      <c r="BL112" s="1713">
        <f>IF(OR($C$60=$AR112,$D$60=$AR112),Schweine_Werte!$I112*0.5,IF(OR($C$60&gt;$AR112,$D$60&lt;$AR112),0,Schweine_Werte!$I112))</f>
        <v>0</v>
      </c>
      <c r="BM112" s="1710">
        <f>IF(OR($C$12=$AR112,$D$12=$AR112),Schweine_Werte!$K112*0.5,IF(OR($C$12&gt;$AR112,$D$12&lt;$AR112),0,Schweine_Werte!$K112))</f>
        <v>0</v>
      </c>
      <c r="BN112" s="1713">
        <f>IF(OR($C$24=$AR112,$D$24=$AR112),Schweine_Werte!$K112*0.5,IF(OR($C$24&gt;$AR112,$D$24&lt;$AR112),0,Schweine_Werte!$K112))</f>
        <v>0</v>
      </c>
      <c r="BO112" s="1713">
        <f>IF(OR($C$36=$AR112,$D$36=$AR112),Schweine_Werte!$K112*0.5,IF(OR($C$36&gt;$AR112,$D$36&lt;$AR112),0,Schweine_Werte!$K112))</f>
        <v>0</v>
      </c>
      <c r="BP112" s="1713">
        <f>IF(OR($C$48=$AR112,$D$48=$AR112),Schweine_Werte!$K112*0.5,IF(OR($C$48&gt;$AR112,$D$48&lt;$AR112),0,Schweine_Werte!$K112))</f>
        <v>0</v>
      </c>
      <c r="BQ112" s="1713">
        <f>IF(OR($C$60=$AR112,$D$60=$AR112),Schweine_Werte!$K112*0.5,IF(OR($C$60&gt;$AR112,$D$60&lt;$AR112),0,Schweine_Werte!$K112))</f>
        <v>0</v>
      </c>
      <c r="BR112" s="1710">
        <f>IF(OR($C$74=$AR112,$D$74=$AR112),Schweine_Werte!$M112*0.5,IF(OR($C$74&gt;$AR112,$D$74&lt;$AR112),0,Schweine_Werte!$M112))</f>
        <v>0</v>
      </c>
      <c r="BS112" s="1710">
        <f>IF(OR($C$83=$AR112,$D$83=$AR112),Schweine_Werte!$M112*0.5,IF(OR($C$83&gt;$AR112,$D$83&lt;$AR112),0,Schweine_Werte!$M112))</f>
        <v>0</v>
      </c>
      <c r="BT112" s="1714">
        <f>IF(OR($C$92=$AR112,$D$92=$AR112),Schweine_Werte!$M112*0.5,IF(OR($C$92&gt;$AR112,$D$92&lt;$AR112),0,Schweine_Werte!$M112))</f>
        <v>0</v>
      </c>
      <c r="BU112" s="1714">
        <f>IF(OR($C$101=$AR112,$D$101=$AR112),Schweine_Werte!$M112*0.5,IF(OR($C$101&gt;$AR112,$D$101&lt;$AR112),0,Schweine_Werte!$M112))</f>
        <v>0</v>
      </c>
      <c r="BV112" s="1714">
        <f>IF(OR($C$110=$AR112,$D$110=$AR112),Schweine_Werte!$M112*0.5,IF(OR($C$110&gt;$AR112,$D$110&lt;$AR112),0,Schweine_Werte!$M112))</f>
        <v>0</v>
      </c>
      <c r="BW112" s="1714">
        <f>IF(OR(8=$AR112,$E$127=$AR112),Schweine_Werte!$M112*0.5,IF(OR(8&gt;$AR112,$E$127&lt;$AR112),0,Schweine_Werte!$M112))</f>
        <v>1.4477278921508818</v>
      </c>
      <c r="BX112" s="1714">
        <f>IF(OR(8=$AR112,$E$145=$AR112),Schweine_Werte!$M112*0.5,IF(OR(8&gt;$AR112,$E$145&lt;$AR112),0,Schweine_Werte!$M112))</f>
        <v>1.4477278921508818</v>
      </c>
      <c r="BY112" s="1710">
        <f>IF(OR($C$74=$AR112,$D$74=$AR112),Schweine_Werte!$O112*0.5,IF(OR($C$74&gt;$AR112,$D$74&lt;$AR112),0,Schweine_Werte!$O112))</f>
        <v>0</v>
      </c>
      <c r="BZ112" s="1710">
        <f>IF(OR($C$83=$AR112,$D$83=$AR112),Schweine_Werte!$O112*0.5,IF(OR($C$83&gt;$AR112,$D$83&lt;$AR112),0,Schweine_Werte!$O112))</f>
        <v>0</v>
      </c>
      <c r="CA112" s="1714">
        <f>IF(OR($C$92=$AR112,$D$92=$AR112),Schweine_Werte!$O112*0.5,IF(OR($C$92&gt;$AR112,$D$92&lt;$AR112),0,Schweine_Werte!$O112))</f>
        <v>0</v>
      </c>
      <c r="CB112" s="1714">
        <f>IF(OR($C$101=$AR112,$D$101=$AR112),Schweine_Werte!$O112*0.5,IF(OR($C$101&gt;$AR112,$D$101&lt;$AR112),0,Schweine_Werte!$O112))</f>
        <v>0</v>
      </c>
      <c r="CC112" s="1714">
        <f>IF(OR($C$110=$AR112,$D$110=$AR112),Schweine_Werte!$O112*0.5,IF(OR($C$110&gt;$AR112,$D$110&lt;$AR112),0,Schweine_Werte!$O112))</f>
        <v>0</v>
      </c>
    </row>
    <row r="113" spans="1:81" x14ac:dyDescent="0.25">
      <c r="AR113" s="1733">
        <v>117</v>
      </c>
      <c r="AS113" s="1710">
        <f>IF(OR($C$12=$AR113,$D$12=$AR113),Schweine_Werte!$C113*0.5,IF(OR($C$12&gt;$AR113,$D$12&lt;$AR113),0,Schweine_Werte!$C113))</f>
        <v>0</v>
      </c>
      <c r="AT113" s="1713">
        <f>IF(OR($C$24=$AR113,$D$24=$AR113),Schweine_Werte!$C113*0.5,IF(OR($C$24&gt;$AR113,$D$24&lt;$AR113),0,Schweine_Werte!$C113))</f>
        <v>0</v>
      </c>
      <c r="AU113" s="1710">
        <f>IF(OR($C$36=$AR113,$D$36=$AR113),Schweine_Werte!$C113*0.5,IF(OR($C$36&gt;$AR113,$D$36&lt;$AR113),0,Schweine_Werte!$C113))</f>
        <v>0</v>
      </c>
      <c r="AV113" s="1710">
        <f>IF(OR($C$48=$AR113,$D$48=$AR113),Schweine_Werte!$C113*0.5,IF(OR($C$48&gt;$AR113,$D$48&lt;$AR113),0,Schweine_Werte!$C113))</f>
        <v>0</v>
      </c>
      <c r="AW113" s="1710">
        <f>IF(OR($C$60=$AR113,$D$60=$AR113),Schweine_Werte!$C113*0.5,IF(OR($C$60&gt;$AR113,$D$60&lt;$AR113),0,Schweine_Werte!$C113))</f>
        <v>0</v>
      </c>
      <c r="AX113" s="1710">
        <f>IF(OR($C$12=$AR113,$D$12=$AR113),Schweine_Werte!$E113*0.5,IF(OR($C$12&gt;$AR113,$D$12&lt;$AR113),0,Schweine_Werte!$E113))</f>
        <v>0</v>
      </c>
      <c r="AY113" s="1713">
        <f>IF(OR($C$24=$AR113,$D$24=$AR113),Schweine_Werte!$E113*0.5,IF(OR($C$24&gt;$AR113,$D$24&lt;$AR113),0,Schweine_Werte!$E113))</f>
        <v>0</v>
      </c>
      <c r="AZ113" s="1713">
        <f>IF(OR($C$36=$AR113,$D$36=$AR113),Schweine_Werte!$E113*0.5,IF(OR($C$36&gt;$AR113,$D$36&lt;$AR113),0,Schweine_Werte!$E113))</f>
        <v>0</v>
      </c>
      <c r="BA113" s="1713">
        <f>IF(OR($C$48=$AR113,$D$48=$AR113),Schweine_Werte!$E113*0.5,IF(OR($C$48&gt;$AR113,$D$48&lt;$AR113),0,Schweine_Werte!$E113))</f>
        <v>0</v>
      </c>
      <c r="BB113" s="1713">
        <f>IF(OR($C$60=$AR113,$D$60=$AR113),Schweine_Werte!$E113*0.5,IF(OR($C$60&gt;$AR113,$D$60&lt;$AR113),0,Schweine_Werte!$E113))</f>
        <v>0</v>
      </c>
      <c r="BC113" s="1710">
        <f>IF(OR($C$12=$AR113,$D$12=$AR113),Schweine_Werte!$G113*0.5,IF(OR($C$12&gt;$AR113,$D$12&lt;$AR113),0,Schweine_Werte!$G113))</f>
        <v>0</v>
      </c>
      <c r="BD113" s="1713">
        <f>IF(OR($C$24=$AR113,$D$24=$AR113),Schweine_Werte!$G113*0.5,IF(OR($C$24&gt;$AR113,$D$24&lt;$AR113),0,Schweine_Werte!$G113))</f>
        <v>0</v>
      </c>
      <c r="BE113" s="1713">
        <f>IF(OR($C$36=$AR113,$D$36=$AR113),Schweine_Werte!$G113*0.5,IF(OR($C$36&gt;$AR113,$D$36&lt;$AR113),0,Schweine_Werte!$G113))</f>
        <v>0</v>
      </c>
      <c r="BF113" s="1713">
        <f>IF(OR($C$48=$AR113,$D$48=$AR113),Schweine_Werte!$G113*0.5,IF(OR($C$48&gt;$AR113,$D$48&lt;$AR113),0,Schweine_Werte!$G113))</f>
        <v>0</v>
      </c>
      <c r="BG113" s="1713">
        <f>IF(OR($C$60=$AR113,$D$60=$AR113),Schweine_Werte!$G113*0.5,IF(OR($C$60&gt;$AR113,$D$60&lt;$AR113),0,Schweine_Werte!$G113))</f>
        <v>0</v>
      </c>
      <c r="BH113" s="1710">
        <f>IF(OR($C$12=$AR113,$D$12=$AR113),Schweine_Werte!$I113*0.5,IF(OR($C$12&gt;$AR113,$D$12&lt;$AR113),0,Schweine_Werte!$I113))</f>
        <v>0</v>
      </c>
      <c r="BI113" s="1713">
        <f>IF(OR($C$24=$AR113,$D$24=$AR113),Schweine_Werte!$I113*0.5,IF(OR($C$24&gt;$AR113,$D$24&lt;$AR113),0,Schweine_Werte!$I113))</f>
        <v>0</v>
      </c>
      <c r="BJ113" s="1713">
        <f>IF(OR($C$36=$AR113,$D$36=$AR113),Schweine_Werte!$I113*0.5,IF(OR($C$36&gt;$AR113,$D$36&lt;$AR113),0,Schweine_Werte!$I113))</f>
        <v>0</v>
      </c>
      <c r="BK113" s="1713">
        <f>IF(OR($C$48=$AR113,$D$48=$AR113),Schweine_Werte!$I113*0.5,IF(OR($C$48&gt;$AR113,$D$48&lt;$AR113),0,Schweine_Werte!$I113))</f>
        <v>0</v>
      </c>
      <c r="BL113" s="1713">
        <f>IF(OR($C$60=$AR113,$D$60=$AR113),Schweine_Werte!$I113*0.5,IF(OR($C$60&gt;$AR113,$D$60&lt;$AR113),0,Schweine_Werte!$I113))</f>
        <v>0</v>
      </c>
      <c r="BM113" s="1710">
        <f>IF(OR($C$12=$AR113,$D$12=$AR113),Schweine_Werte!$K113*0.5,IF(OR($C$12&gt;$AR113,$D$12&lt;$AR113),0,Schweine_Werte!$K113))</f>
        <v>0</v>
      </c>
      <c r="BN113" s="1713">
        <f>IF(OR($C$24=$AR113,$D$24=$AR113),Schweine_Werte!$K113*0.5,IF(OR($C$24&gt;$AR113,$D$24&lt;$AR113),0,Schweine_Werte!$K113))</f>
        <v>0</v>
      </c>
      <c r="BO113" s="1713">
        <f>IF(OR($C$36=$AR113,$D$36=$AR113),Schweine_Werte!$K113*0.5,IF(OR($C$36&gt;$AR113,$D$36&lt;$AR113),0,Schweine_Werte!$K113))</f>
        <v>0</v>
      </c>
      <c r="BP113" s="1713">
        <f>IF(OR($C$48=$AR113,$D$48=$AR113),Schweine_Werte!$K113*0.5,IF(OR($C$48&gt;$AR113,$D$48&lt;$AR113),0,Schweine_Werte!$K113))</f>
        <v>0</v>
      </c>
      <c r="BQ113" s="1713">
        <f>IF(OR($C$60=$AR113,$D$60=$AR113),Schweine_Werte!$K113*0.5,IF(OR($C$60&gt;$AR113,$D$60&lt;$AR113),0,Schweine_Werte!$K113))</f>
        <v>0</v>
      </c>
      <c r="BR113" s="1710">
        <f>IF(OR($C$74=$AR113,$D$74=$AR113),Schweine_Werte!$M113*0.5,IF(OR($C$74&gt;$AR113,$D$74&lt;$AR113),0,Schweine_Werte!$M113))</f>
        <v>0</v>
      </c>
      <c r="BS113" s="1710">
        <f>IF(OR($C$83=$AR113,$D$83=$AR113),Schweine_Werte!$M113*0.5,IF(OR($C$83&gt;$AR113,$D$83&lt;$AR113),0,Schweine_Werte!$M113))</f>
        <v>0</v>
      </c>
      <c r="BT113" s="1714">
        <f>IF(OR($C$92=$AR113,$D$92=$AR113),Schweine_Werte!$M113*0.5,IF(OR($C$92&gt;$AR113,$D$92&lt;$AR113),0,Schweine_Werte!$M113))</f>
        <v>0</v>
      </c>
      <c r="BU113" s="1714">
        <f>IF(OR($C$101=$AR113,$D$101=$AR113),Schweine_Werte!$M113*0.5,IF(OR($C$101&gt;$AR113,$D$101&lt;$AR113),0,Schweine_Werte!$M113))</f>
        <v>0</v>
      </c>
      <c r="BV113" s="1714">
        <f>IF(OR($C$110=$AR113,$D$110=$AR113),Schweine_Werte!$M113*0.5,IF(OR($C$110&gt;$AR113,$D$110&lt;$AR113),0,Schweine_Werte!$M113))</f>
        <v>0</v>
      </c>
      <c r="BW113" s="1714">
        <f>IF(OR(8=$AR113,$E$127=$AR113),Schweine_Werte!$M113*0.5,IF(OR(8&gt;$AR113,$E$127&lt;$AR113),0,Schweine_Werte!$M113))</f>
        <v>1.4477278921508818</v>
      </c>
      <c r="BX113" s="1714">
        <f>IF(OR(8=$AR113,$E$145=$AR113),Schweine_Werte!$M113*0.5,IF(OR(8&gt;$AR113,$E$145&lt;$AR113),0,Schweine_Werte!$M113))</f>
        <v>1.4477278921508818</v>
      </c>
      <c r="BY113" s="1710">
        <f>IF(OR($C$74=$AR113,$D$74=$AR113),Schweine_Werte!$O113*0.5,IF(OR($C$74&gt;$AR113,$D$74&lt;$AR113),0,Schweine_Werte!$O113))</f>
        <v>0</v>
      </c>
      <c r="BZ113" s="1710">
        <f>IF(OR($C$83=$AR113,$D$83=$AR113),Schweine_Werte!$O113*0.5,IF(OR($C$83&gt;$AR113,$D$83&lt;$AR113),0,Schweine_Werte!$O113))</f>
        <v>0</v>
      </c>
      <c r="CA113" s="1714">
        <f>IF(OR($C$92=$AR113,$D$92=$AR113),Schweine_Werte!$O113*0.5,IF(OR($C$92&gt;$AR113,$D$92&lt;$AR113),0,Schweine_Werte!$O113))</f>
        <v>0</v>
      </c>
      <c r="CB113" s="1714">
        <f>IF(OR($C$101=$AR113,$D$101=$AR113),Schweine_Werte!$O113*0.5,IF(OR($C$101&gt;$AR113,$D$101&lt;$AR113),0,Schweine_Werte!$O113))</f>
        <v>0</v>
      </c>
      <c r="CC113" s="1714">
        <f>IF(OR($C$110=$AR113,$D$110=$AR113),Schweine_Werte!$O113*0.5,IF(OR($C$110&gt;$AR113,$D$110&lt;$AR113),0,Schweine_Werte!$O113))</f>
        <v>0</v>
      </c>
    </row>
    <row r="114" spans="1:81" x14ac:dyDescent="0.25">
      <c r="AR114" s="1733">
        <v>118</v>
      </c>
      <c r="AS114" s="1710">
        <f>IF(OR($C$12=$AR114,$D$12=$AR114),Schweine_Werte!$C114*0.5,IF(OR($C$12&gt;$AR114,$D$12&lt;$AR114),0,Schweine_Werte!$C114))</f>
        <v>0</v>
      </c>
      <c r="AT114" s="1713">
        <f>IF(OR($C$24=$AR114,$D$24=$AR114),Schweine_Werte!$C114*0.5,IF(OR($C$24&gt;$AR114,$D$24&lt;$AR114),0,Schweine_Werte!$C114))</f>
        <v>0</v>
      </c>
      <c r="AU114" s="1710">
        <f>IF(OR($C$36=$AR114,$D$36=$AR114),Schweine_Werte!$C114*0.5,IF(OR($C$36&gt;$AR114,$D$36&lt;$AR114),0,Schweine_Werte!$C114))</f>
        <v>0</v>
      </c>
      <c r="AV114" s="1710">
        <f>IF(OR($C$48=$AR114,$D$48=$AR114),Schweine_Werte!$C114*0.5,IF(OR($C$48&gt;$AR114,$D$48&lt;$AR114),0,Schweine_Werte!$C114))</f>
        <v>0</v>
      </c>
      <c r="AW114" s="1710">
        <f>IF(OR($C$60=$AR114,$D$60=$AR114),Schweine_Werte!$C114*0.5,IF(OR($C$60&gt;$AR114,$D$60&lt;$AR114),0,Schweine_Werte!$C114))</f>
        <v>0</v>
      </c>
      <c r="AX114" s="1710">
        <f>IF(OR($C$12=$AR114,$D$12=$AR114),Schweine_Werte!$E114*0.5,IF(OR($C$12&gt;$AR114,$D$12&lt;$AR114),0,Schweine_Werte!$E114))</f>
        <v>0</v>
      </c>
      <c r="AY114" s="1713">
        <f>IF(OR($C$24=$AR114,$D$24=$AR114),Schweine_Werte!$E114*0.5,IF(OR($C$24&gt;$AR114,$D$24&lt;$AR114),0,Schweine_Werte!$E114))</f>
        <v>0</v>
      </c>
      <c r="AZ114" s="1713">
        <f>IF(OR($C$36=$AR114,$D$36=$AR114),Schweine_Werte!$E114*0.5,IF(OR($C$36&gt;$AR114,$D$36&lt;$AR114),0,Schweine_Werte!$E114))</f>
        <v>0</v>
      </c>
      <c r="BA114" s="1713">
        <f>IF(OR($C$48=$AR114,$D$48=$AR114),Schweine_Werte!$E114*0.5,IF(OR($C$48&gt;$AR114,$D$48&lt;$AR114),0,Schweine_Werte!$E114))</f>
        <v>0</v>
      </c>
      <c r="BB114" s="1713">
        <f>IF(OR($C$60=$AR114,$D$60=$AR114),Schweine_Werte!$E114*0.5,IF(OR($C$60&gt;$AR114,$D$60&lt;$AR114),0,Schweine_Werte!$E114))</f>
        <v>0</v>
      </c>
      <c r="BC114" s="1710">
        <f>IF(OR($C$12=$AR114,$D$12=$AR114),Schweine_Werte!$G114*0.5,IF(OR($C$12&gt;$AR114,$D$12&lt;$AR114),0,Schweine_Werte!$G114))</f>
        <v>0</v>
      </c>
      <c r="BD114" s="1713">
        <f>IF(OR($C$24=$AR114,$D$24=$AR114),Schweine_Werte!$G114*0.5,IF(OR($C$24&gt;$AR114,$D$24&lt;$AR114),0,Schweine_Werte!$G114))</f>
        <v>0</v>
      </c>
      <c r="BE114" s="1713">
        <f>IF(OR($C$36=$AR114,$D$36=$AR114),Schweine_Werte!$G114*0.5,IF(OR($C$36&gt;$AR114,$D$36&lt;$AR114),0,Schweine_Werte!$G114))</f>
        <v>0</v>
      </c>
      <c r="BF114" s="1713">
        <f>IF(OR($C$48=$AR114,$D$48=$AR114),Schweine_Werte!$G114*0.5,IF(OR($C$48&gt;$AR114,$D$48&lt;$AR114),0,Schweine_Werte!$G114))</f>
        <v>0</v>
      </c>
      <c r="BG114" s="1713">
        <f>IF(OR($C$60=$AR114,$D$60=$AR114),Schweine_Werte!$G114*0.5,IF(OR($C$60&gt;$AR114,$D$60&lt;$AR114),0,Schweine_Werte!$G114))</f>
        <v>0</v>
      </c>
      <c r="BH114" s="1710">
        <f>IF(OR($C$12=$AR114,$D$12=$AR114),Schweine_Werte!$I114*0.5,IF(OR($C$12&gt;$AR114,$D$12&lt;$AR114),0,Schweine_Werte!$I114))</f>
        <v>0</v>
      </c>
      <c r="BI114" s="1713">
        <f>IF(OR($C$24=$AR114,$D$24=$AR114),Schweine_Werte!$I114*0.5,IF(OR($C$24&gt;$AR114,$D$24&lt;$AR114),0,Schweine_Werte!$I114))</f>
        <v>0</v>
      </c>
      <c r="BJ114" s="1713">
        <f>IF(OR($C$36=$AR114,$D$36=$AR114),Schweine_Werte!$I114*0.5,IF(OR($C$36&gt;$AR114,$D$36&lt;$AR114),0,Schweine_Werte!$I114))</f>
        <v>0</v>
      </c>
      <c r="BK114" s="1713">
        <f>IF(OR($C$48=$AR114,$D$48=$AR114),Schweine_Werte!$I114*0.5,IF(OR($C$48&gt;$AR114,$D$48&lt;$AR114),0,Schweine_Werte!$I114))</f>
        <v>0</v>
      </c>
      <c r="BL114" s="1713">
        <f>IF(OR($C$60=$AR114,$D$60=$AR114),Schweine_Werte!$I114*0.5,IF(OR($C$60&gt;$AR114,$D$60&lt;$AR114),0,Schweine_Werte!$I114))</f>
        <v>0</v>
      </c>
      <c r="BM114" s="1710">
        <f>IF(OR($C$12=$AR114,$D$12=$AR114),Schweine_Werte!$K114*0.5,IF(OR($C$12&gt;$AR114,$D$12&lt;$AR114),0,Schweine_Werte!$K114))</f>
        <v>0</v>
      </c>
      <c r="BN114" s="1713">
        <f>IF(OR($C$24=$AR114,$D$24=$AR114),Schweine_Werte!$K114*0.5,IF(OR($C$24&gt;$AR114,$D$24&lt;$AR114),0,Schweine_Werte!$K114))</f>
        <v>0</v>
      </c>
      <c r="BO114" s="1713">
        <f>IF(OR($C$36=$AR114,$D$36=$AR114),Schweine_Werte!$K114*0.5,IF(OR($C$36&gt;$AR114,$D$36&lt;$AR114),0,Schweine_Werte!$K114))</f>
        <v>0</v>
      </c>
      <c r="BP114" s="1713">
        <f>IF(OR($C$48=$AR114,$D$48=$AR114),Schweine_Werte!$K114*0.5,IF(OR($C$48&gt;$AR114,$D$48&lt;$AR114),0,Schweine_Werte!$K114))</f>
        <v>0</v>
      </c>
      <c r="BQ114" s="1713">
        <f>IF(OR($C$60=$AR114,$D$60=$AR114),Schweine_Werte!$K114*0.5,IF(OR($C$60&gt;$AR114,$D$60&lt;$AR114),0,Schweine_Werte!$K114))</f>
        <v>0</v>
      </c>
      <c r="BR114" s="1710">
        <f>IF(OR($C$74=$AR114,$D$74=$AR114),Schweine_Werte!$M114*0.5,IF(OR($C$74&gt;$AR114,$D$74&lt;$AR114),0,Schweine_Werte!$M114))</f>
        <v>0</v>
      </c>
      <c r="BS114" s="1710">
        <f>IF(OR($C$83=$AR114,$D$83=$AR114),Schweine_Werte!$M114*0.5,IF(OR($C$83&gt;$AR114,$D$83&lt;$AR114),0,Schweine_Werte!$M114))</f>
        <v>0</v>
      </c>
      <c r="BT114" s="1714">
        <f>IF(OR($C$92=$AR114,$D$92=$AR114),Schweine_Werte!$M114*0.5,IF(OR($C$92&gt;$AR114,$D$92&lt;$AR114),0,Schweine_Werte!$M114))</f>
        <v>0</v>
      </c>
      <c r="BU114" s="1714">
        <f>IF(OR($C$101=$AR114,$D$101=$AR114),Schweine_Werte!$M114*0.5,IF(OR($C$101&gt;$AR114,$D$101&lt;$AR114),0,Schweine_Werte!$M114))</f>
        <v>0</v>
      </c>
      <c r="BV114" s="1714">
        <f>IF(OR($C$110=$AR114,$D$110=$AR114),Schweine_Werte!$M114*0.5,IF(OR($C$110&gt;$AR114,$D$110&lt;$AR114),0,Schweine_Werte!$M114))</f>
        <v>0</v>
      </c>
      <c r="BW114" s="1714">
        <f>IF(OR(8=$AR114,$E$127=$AR114),Schweine_Werte!$M114*0.5,IF(OR(8&gt;$AR114,$E$127&lt;$AR114),0,Schweine_Werte!$M114))</f>
        <v>1.4477278921508818</v>
      </c>
      <c r="BX114" s="1714">
        <f>IF(OR(8=$AR114,$E$145=$AR114),Schweine_Werte!$M114*0.5,IF(OR(8&gt;$AR114,$E$145&lt;$AR114),0,Schweine_Werte!$M114))</f>
        <v>1.4477278921508818</v>
      </c>
      <c r="BY114" s="1710">
        <f>IF(OR($C$74=$AR114,$D$74=$AR114),Schweine_Werte!$O114*0.5,IF(OR($C$74&gt;$AR114,$D$74&lt;$AR114),0,Schweine_Werte!$O114))</f>
        <v>0</v>
      </c>
      <c r="BZ114" s="1710">
        <f>IF(OR($C$83=$AR114,$D$83=$AR114),Schweine_Werte!$O114*0.5,IF(OR($C$83&gt;$AR114,$D$83&lt;$AR114),0,Schweine_Werte!$O114))</f>
        <v>0</v>
      </c>
      <c r="CA114" s="1714">
        <f>IF(OR($C$92=$AR114,$D$92=$AR114),Schweine_Werte!$O114*0.5,IF(OR($C$92&gt;$AR114,$D$92&lt;$AR114),0,Schweine_Werte!$O114))</f>
        <v>0</v>
      </c>
      <c r="CB114" s="1714">
        <f>IF(OR($C$101=$AR114,$D$101=$AR114),Schweine_Werte!$O114*0.5,IF(OR($C$101&gt;$AR114,$D$101&lt;$AR114),0,Schweine_Werte!$O114))</f>
        <v>0</v>
      </c>
      <c r="CC114" s="1714">
        <f>IF(OR($C$110=$AR114,$D$110=$AR114),Schweine_Werte!$O114*0.5,IF(OR($C$110&gt;$AR114,$D$110&lt;$AR114),0,Schweine_Werte!$O114))</f>
        <v>0</v>
      </c>
    </row>
    <row r="115" spans="1:81" x14ac:dyDescent="0.25">
      <c r="AR115" s="1733">
        <v>119</v>
      </c>
      <c r="AS115" s="1710">
        <f>IF(OR($C$12=$AR115,$D$12=$AR115),Schweine_Werte!$C115*0.5,IF(OR($C$12&gt;$AR115,$D$12&lt;$AR115),0,Schweine_Werte!$C115))</f>
        <v>0</v>
      </c>
      <c r="AT115" s="1713">
        <f>IF(OR($C$24=$AR115,$D$24=$AR115),Schweine_Werte!$C115*0.5,IF(OR($C$24&gt;$AR115,$D$24&lt;$AR115),0,Schweine_Werte!$C115))</f>
        <v>0</v>
      </c>
      <c r="AU115" s="1710">
        <f>IF(OR($C$36=$AR115,$D$36=$AR115),Schweine_Werte!$C115*0.5,IF(OR($C$36&gt;$AR115,$D$36&lt;$AR115),0,Schweine_Werte!$C115))</f>
        <v>0</v>
      </c>
      <c r="AV115" s="1710">
        <f>IF(OR($C$48=$AR115,$D$48=$AR115),Schweine_Werte!$C115*0.5,IF(OR($C$48&gt;$AR115,$D$48&lt;$AR115),0,Schweine_Werte!$C115))</f>
        <v>0</v>
      </c>
      <c r="AW115" s="1710">
        <f>IF(OR($C$60=$AR115,$D$60=$AR115),Schweine_Werte!$C115*0.5,IF(OR($C$60&gt;$AR115,$D$60&lt;$AR115),0,Schweine_Werte!$C115))</f>
        <v>0</v>
      </c>
      <c r="AX115" s="1710">
        <f>IF(OR($C$12=$AR115,$D$12=$AR115),Schweine_Werte!$E115*0.5,IF(OR($C$12&gt;$AR115,$D$12&lt;$AR115),0,Schweine_Werte!$E115))</f>
        <v>0</v>
      </c>
      <c r="AY115" s="1713">
        <f>IF(OR($C$24=$AR115,$D$24=$AR115),Schweine_Werte!$E115*0.5,IF(OR($C$24&gt;$AR115,$D$24&lt;$AR115),0,Schweine_Werte!$E115))</f>
        <v>0</v>
      </c>
      <c r="AZ115" s="1713">
        <f>IF(OR($C$36=$AR115,$D$36=$AR115),Schweine_Werte!$E115*0.5,IF(OR($C$36&gt;$AR115,$D$36&lt;$AR115),0,Schweine_Werte!$E115))</f>
        <v>0</v>
      </c>
      <c r="BA115" s="1713">
        <f>IF(OR($C$48=$AR115,$D$48=$AR115),Schweine_Werte!$E115*0.5,IF(OR($C$48&gt;$AR115,$D$48&lt;$AR115),0,Schweine_Werte!$E115))</f>
        <v>0</v>
      </c>
      <c r="BB115" s="1713">
        <f>IF(OR($C$60=$AR115,$D$60=$AR115),Schweine_Werte!$E115*0.5,IF(OR($C$60&gt;$AR115,$D$60&lt;$AR115),0,Schweine_Werte!$E115))</f>
        <v>0</v>
      </c>
      <c r="BC115" s="1710">
        <f>IF(OR($C$12=$AR115,$D$12=$AR115),Schweine_Werte!$G115*0.5,IF(OR($C$12&gt;$AR115,$D$12&lt;$AR115),0,Schweine_Werte!$G115))</f>
        <v>0</v>
      </c>
      <c r="BD115" s="1713">
        <f>IF(OR($C$24=$AR115,$D$24=$AR115),Schweine_Werte!$G115*0.5,IF(OR($C$24&gt;$AR115,$D$24&lt;$AR115),0,Schweine_Werte!$G115))</f>
        <v>0</v>
      </c>
      <c r="BE115" s="1713">
        <f>IF(OR($C$36=$AR115,$D$36=$AR115),Schweine_Werte!$G115*0.5,IF(OR($C$36&gt;$AR115,$D$36&lt;$AR115),0,Schweine_Werte!$G115))</f>
        <v>0</v>
      </c>
      <c r="BF115" s="1713">
        <f>IF(OR($C$48=$AR115,$D$48=$AR115),Schweine_Werte!$G115*0.5,IF(OR($C$48&gt;$AR115,$D$48&lt;$AR115),0,Schweine_Werte!$G115))</f>
        <v>0</v>
      </c>
      <c r="BG115" s="1713">
        <f>IF(OR($C$60=$AR115,$D$60=$AR115),Schweine_Werte!$G115*0.5,IF(OR($C$60&gt;$AR115,$D$60&lt;$AR115),0,Schweine_Werte!$G115))</f>
        <v>0</v>
      </c>
      <c r="BH115" s="1710">
        <f>IF(OR($C$12=$AR115,$D$12=$AR115),Schweine_Werte!$I115*0.5,IF(OR($C$12&gt;$AR115,$D$12&lt;$AR115),0,Schweine_Werte!$I115))</f>
        <v>0</v>
      </c>
      <c r="BI115" s="1713">
        <f>IF(OR($C$24=$AR115,$D$24=$AR115),Schweine_Werte!$I115*0.5,IF(OR($C$24&gt;$AR115,$D$24&lt;$AR115),0,Schweine_Werte!$I115))</f>
        <v>0</v>
      </c>
      <c r="BJ115" s="1713">
        <f>IF(OR($C$36=$AR115,$D$36=$AR115),Schweine_Werte!$I115*0.5,IF(OR($C$36&gt;$AR115,$D$36&lt;$AR115),0,Schweine_Werte!$I115))</f>
        <v>0</v>
      </c>
      <c r="BK115" s="1713">
        <f>IF(OR($C$48=$AR115,$D$48=$AR115),Schweine_Werte!$I115*0.5,IF(OR($C$48&gt;$AR115,$D$48&lt;$AR115),0,Schweine_Werte!$I115))</f>
        <v>0</v>
      </c>
      <c r="BL115" s="1713">
        <f>IF(OR($C$60=$AR115,$D$60=$AR115),Schweine_Werte!$I115*0.5,IF(OR($C$60&gt;$AR115,$D$60&lt;$AR115),0,Schweine_Werte!$I115))</f>
        <v>0</v>
      </c>
      <c r="BM115" s="1710">
        <f>IF(OR($C$12=$AR115,$D$12=$AR115),Schweine_Werte!$K115*0.5,IF(OR($C$12&gt;$AR115,$D$12&lt;$AR115),0,Schweine_Werte!$K115))</f>
        <v>0</v>
      </c>
      <c r="BN115" s="1713">
        <f>IF(OR($C$24=$AR115,$D$24=$AR115),Schweine_Werte!$K115*0.5,IF(OR($C$24&gt;$AR115,$D$24&lt;$AR115),0,Schweine_Werte!$K115))</f>
        <v>0</v>
      </c>
      <c r="BO115" s="1713">
        <f>IF(OR($C$36=$AR115,$D$36=$AR115),Schweine_Werte!$K115*0.5,IF(OR($C$36&gt;$AR115,$D$36&lt;$AR115),0,Schweine_Werte!$K115))</f>
        <v>0</v>
      </c>
      <c r="BP115" s="1713">
        <f>IF(OR($C$48=$AR115,$D$48=$AR115),Schweine_Werte!$K115*0.5,IF(OR($C$48&gt;$AR115,$D$48&lt;$AR115),0,Schweine_Werte!$K115))</f>
        <v>0</v>
      </c>
      <c r="BQ115" s="1713">
        <f>IF(OR($C$60=$AR115,$D$60=$AR115),Schweine_Werte!$K115*0.5,IF(OR($C$60&gt;$AR115,$D$60&lt;$AR115),0,Schweine_Werte!$K115))</f>
        <v>0</v>
      </c>
      <c r="BR115" s="1710">
        <f>IF(OR($C$74=$AR115,$D$74=$AR115),Schweine_Werte!$M115*0.5,IF(OR($C$74&gt;$AR115,$D$74&lt;$AR115),0,Schweine_Werte!$M115))</f>
        <v>0</v>
      </c>
      <c r="BS115" s="1710">
        <f>IF(OR($C$83=$AR115,$D$83=$AR115),Schweine_Werte!$M115*0.5,IF(OR($C$83&gt;$AR115,$D$83&lt;$AR115),0,Schweine_Werte!$M115))</f>
        <v>0</v>
      </c>
      <c r="BT115" s="1714">
        <f>IF(OR($C$92=$AR115,$D$92=$AR115),Schweine_Werte!$M115*0.5,IF(OR($C$92&gt;$AR115,$D$92&lt;$AR115),0,Schweine_Werte!$M115))</f>
        <v>0</v>
      </c>
      <c r="BU115" s="1714">
        <f>IF(OR($C$101=$AR115,$D$101=$AR115),Schweine_Werte!$M115*0.5,IF(OR($C$101&gt;$AR115,$D$101&lt;$AR115),0,Schweine_Werte!$M115))</f>
        <v>0</v>
      </c>
      <c r="BV115" s="1714">
        <f>IF(OR($C$110=$AR115,$D$110=$AR115),Schweine_Werte!$M115*0.5,IF(OR($C$110&gt;$AR115,$D$110&lt;$AR115),0,Schweine_Werte!$M115))</f>
        <v>0</v>
      </c>
      <c r="BW115" s="1714">
        <f>IF(OR(8=$AR115,$E$127=$AR115),Schweine_Werte!$M115*0.5,IF(OR(8&gt;$AR115,$E$127&lt;$AR115),0,Schweine_Werte!$M115))</f>
        <v>1.4477278921508818</v>
      </c>
      <c r="BX115" s="1714">
        <f>IF(OR(8=$AR115,$E$145=$AR115),Schweine_Werte!$M115*0.5,IF(OR(8&gt;$AR115,$E$145&lt;$AR115),0,Schweine_Werte!$M115))</f>
        <v>1.4477278921508818</v>
      </c>
      <c r="BY115" s="1710">
        <f>IF(OR($C$74=$AR115,$D$74=$AR115),Schweine_Werte!$O115*0.5,IF(OR($C$74&gt;$AR115,$D$74&lt;$AR115),0,Schweine_Werte!$O115))</f>
        <v>0</v>
      </c>
      <c r="BZ115" s="1710">
        <f>IF(OR($C$83=$AR115,$D$83=$AR115),Schweine_Werte!$O115*0.5,IF(OR($C$83&gt;$AR115,$D$83&lt;$AR115),0,Schweine_Werte!$O115))</f>
        <v>0</v>
      </c>
      <c r="CA115" s="1714">
        <f>IF(OR($C$92=$AR115,$D$92=$AR115),Schweine_Werte!$O115*0.5,IF(OR($C$92&gt;$AR115,$D$92&lt;$AR115),0,Schweine_Werte!$O115))</f>
        <v>0</v>
      </c>
      <c r="CB115" s="1714">
        <f>IF(OR($C$101=$AR115,$D$101=$AR115),Schweine_Werte!$O115*0.5,IF(OR($C$101&gt;$AR115,$D$101&lt;$AR115),0,Schweine_Werte!$O115))</f>
        <v>0</v>
      </c>
      <c r="CC115" s="1714">
        <f>IF(OR($C$110=$AR115,$D$110=$AR115),Schweine_Werte!$O115*0.5,IF(OR($C$110&gt;$AR115,$D$110&lt;$AR115),0,Schweine_Werte!$O115))</f>
        <v>0</v>
      </c>
    </row>
    <row r="116" spans="1:81" ht="15.75" thickBot="1" x14ac:dyDescent="0.3">
      <c r="AR116" s="1733">
        <v>120</v>
      </c>
      <c r="AS116" s="1710">
        <f>IF(OR($C$12=$AR116,$D$12=$AR116),Schweine_Werte!$C116*0.5,IF(OR($C$12&gt;$AR116,$D$12&lt;$AR116),0,Schweine_Werte!$C116))</f>
        <v>0</v>
      </c>
      <c r="AT116" s="1713">
        <f>IF(OR($C$24=$AR116,$D$24=$AR116),Schweine_Werte!$C116*0.5,IF(OR($C$24&gt;$AR116,$D$24&lt;$AR116),0,Schweine_Werte!$C116))</f>
        <v>0</v>
      </c>
      <c r="AU116" s="1710">
        <f>IF(OR($C$36=$AR116,$D$36=$AR116),Schweine_Werte!$C116*0.5,IF(OR($C$36&gt;$AR116,$D$36&lt;$AR116),0,Schweine_Werte!$C116))</f>
        <v>0</v>
      </c>
      <c r="AV116" s="1710">
        <f>IF(OR($C$48=$AR116,$D$48=$AR116),Schweine_Werte!$C116*0.5,IF(OR($C$48&gt;$AR116,$D$48&lt;$AR116),0,Schweine_Werte!$C116))</f>
        <v>0</v>
      </c>
      <c r="AW116" s="1710">
        <f>IF(OR($C$60=$AR116,$D$60=$AR116),Schweine_Werte!$C116*0.5,IF(OR($C$60&gt;$AR116,$D$60&lt;$AR116),0,Schweine_Werte!$C116))</f>
        <v>0</v>
      </c>
      <c r="AX116" s="1710">
        <f>IF(OR($C$12=$AR116,$D$12=$AR116),Schweine_Werte!$E116*0.5,IF(OR($C$12&gt;$AR116,$D$12&lt;$AR116),0,Schweine_Werte!$E116))</f>
        <v>0</v>
      </c>
      <c r="AY116" s="1713">
        <f>IF(OR($C$24=$AR116,$D$24=$AR116),Schweine_Werte!$E116*0.5,IF(OR($C$24&gt;$AR116,$D$24&lt;$AR116),0,Schweine_Werte!$E116))</f>
        <v>0</v>
      </c>
      <c r="AZ116" s="1713">
        <f>IF(OR($C$36=$AR116,$D$36=$AR116),Schweine_Werte!$E116*0.5,IF(OR($C$36&gt;$AR116,$D$36&lt;$AR116),0,Schweine_Werte!$E116))</f>
        <v>0</v>
      </c>
      <c r="BA116" s="1713">
        <f>IF(OR($C$48=$AR116,$D$48=$AR116),Schweine_Werte!$E116*0.5,IF(OR($C$48&gt;$AR116,$D$48&lt;$AR116),0,Schweine_Werte!$E116))</f>
        <v>0</v>
      </c>
      <c r="BB116" s="1713">
        <f>IF(OR($C$60=$AR116,$D$60=$AR116),Schweine_Werte!$E116*0.5,IF(OR($C$60&gt;$AR116,$D$60&lt;$AR116),0,Schweine_Werte!$E116))</f>
        <v>0</v>
      </c>
      <c r="BC116" s="1710">
        <f>IF(OR($C$12=$AR116,$D$12=$AR116),Schweine_Werte!$G116*0.5,IF(OR($C$12&gt;$AR116,$D$12&lt;$AR116),0,Schweine_Werte!$G116))</f>
        <v>0</v>
      </c>
      <c r="BD116" s="1713">
        <f>IF(OR($C$24=$AR116,$D$24=$AR116),Schweine_Werte!$G116*0.5,IF(OR($C$24&gt;$AR116,$D$24&lt;$AR116),0,Schweine_Werte!$G116))</f>
        <v>0</v>
      </c>
      <c r="BE116" s="1713">
        <f>IF(OR($C$36=$AR116,$D$36=$AR116),Schweine_Werte!$G116*0.5,IF(OR($C$36&gt;$AR116,$D$36&lt;$AR116),0,Schweine_Werte!$G116))</f>
        <v>0</v>
      </c>
      <c r="BF116" s="1713">
        <f>IF(OR($C$48=$AR116,$D$48=$AR116),Schweine_Werte!$G116*0.5,IF(OR($C$48&gt;$AR116,$D$48&lt;$AR116),0,Schweine_Werte!$G116))</f>
        <v>0</v>
      </c>
      <c r="BG116" s="1713">
        <f>IF(OR($C$60=$AR116,$D$60=$AR116),Schweine_Werte!$G116*0.5,IF(OR($C$60&gt;$AR116,$D$60&lt;$AR116),0,Schweine_Werte!$G116))</f>
        <v>0</v>
      </c>
      <c r="BH116" s="1710">
        <f>IF(OR($C$12=$AR116,$D$12=$AR116),Schweine_Werte!$I116*0.5,IF(OR($C$12&gt;$AR116,$D$12&lt;$AR116),0,Schweine_Werte!$I116))</f>
        <v>0</v>
      </c>
      <c r="BI116" s="1713">
        <f>IF(OR($C$24=$AR116,$D$24=$AR116),Schweine_Werte!$I116*0.5,IF(OR($C$24&gt;$AR116,$D$24&lt;$AR116),0,Schweine_Werte!$I116))</f>
        <v>0</v>
      </c>
      <c r="BJ116" s="1713">
        <f>IF(OR($C$36=$AR116,$D$36=$AR116),Schweine_Werte!$I116*0.5,IF(OR($C$36&gt;$AR116,$D$36&lt;$AR116),0,Schweine_Werte!$I116))</f>
        <v>0</v>
      </c>
      <c r="BK116" s="1713">
        <f>IF(OR($C$48=$AR116,$D$48=$AR116),Schweine_Werte!$I116*0.5,IF(OR($C$48&gt;$AR116,$D$48&lt;$AR116),0,Schweine_Werte!$I116))</f>
        <v>0</v>
      </c>
      <c r="BL116" s="1713">
        <f>IF(OR($C$60=$AR116,$D$60=$AR116),Schweine_Werte!$I116*0.5,IF(OR($C$60&gt;$AR116,$D$60&lt;$AR116),0,Schweine_Werte!$I116))</f>
        <v>0</v>
      </c>
      <c r="BM116" s="1710">
        <f>IF(OR($C$12=$AR116,$D$12=$AR116),Schweine_Werte!$K116*0.5,IF(OR($C$12&gt;$AR116,$D$12&lt;$AR116),0,Schweine_Werte!$K116))</f>
        <v>0</v>
      </c>
      <c r="BN116" s="1713">
        <f>IF(OR($C$24=$AR116,$D$24=$AR116),Schweine_Werte!$K116*0.5,IF(OR($C$24&gt;$AR116,$D$24&lt;$AR116),0,Schweine_Werte!$K116))</f>
        <v>0</v>
      </c>
      <c r="BO116" s="1713">
        <f>IF(OR($C$36=$AR116,$D$36=$AR116),Schweine_Werte!$K116*0.5,IF(OR($C$36&gt;$AR116,$D$36&lt;$AR116),0,Schweine_Werte!$K116))</f>
        <v>0</v>
      </c>
      <c r="BP116" s="1713">
        <f>IF(OR($C$48=$AR116,$D$48=$AR116),Schweine_Werte!$K116*0.5,IF(OR($C$48&gt;$AR116,$D$48&lt;$AR116),0,Schweine_Werte!$K116))</f>
        <v>0</v>
      </c>
      <c r="BQ116" s="1713">
        <f>IF(OR($C$60=$AR116,$D$60=$AR116),Schweine_Werte!$K116*0.5,IF(OR($C$60&gt;$AR116,$D$60&lt;$AR116),0,Schweine_Werte!$K116))</f>
        <v>0</v>
      </c>
      <c r="BR116" s="1710">
        <f>IF(OR($C$74=$AR116,$D$74=$AR116),Schweine_Werte!$M116*0.5,IF(OR($C$74&gt;$AR116,$D$74&lt;$AR116),0,Schweine_Werte!$M116))</f>
        <v>0</v>
      </c>
      <c r="BS116" s="1710">
        <f>IF(OR($C$83=$AR116,$D$83=$AR116),Schweine_Werte!$M116*0.5,IF(OR($C$83&gt;$AR116,$D$83&lt;$AR116),0,Schweine_Werte!$M116))</f>
        <v>0</v>
      </c>
      <c r="BT116" s="1714">
        <f>IF(OR($C$92=$AR116,$D$92=$AR116),Schweine_Werte!$M116*0.5,IF(OR($C$92&gt;$AR116,$D$92&lt;$AR116),0,Schweine_Werte!$M116))</f>
        <v>0</v>
      </c>
      <c r="BU116" s="1714">
        <f>IF(OR($C$101=$AR116,$D$101=$AR116),Schweine_Werte!$M116*0.5,IF(OR($C$101&gt;$AR116,$D$101&lt;$AR116),0,Schweine_Werte!$M116))</f>
        <v>0</v>
      </c>
      <c r="BV116" s="1714">
        <f>IF(OR($C$110=$AR116,$D$110=$AR116),Schweine_Werte!$M116*0.5,IF(OR($C$110&gt;$AR116,$D$110&lt;$AR116),0,Schweine_Werte!$M116))</f>
        <v>0</v>
      </c>
      <c r="BW116" s="1714">
        <f>IF(OR(8=$AR116,$E$127=$AR116),Schweine_Werte!$M116*0.5,IF(OR(8&gt;$AR116,$E$127&lt;$AR116),0,Schweine_Werte!$M116))</f>
        <v>1.4477278921508818</v>
      </c>
      <c r="BX116" s="1714">
        <f>IF(OR(8=$AR116,$E$145=$AR116),Schweine_Werte!$M116*0.5,IF(OR(8&gt;$AR116,$E$145&lt;$AR116),0,Schweine_Werte!$M116))</f>
        <v>1.4477278921508818</v>
      </c>
      <c r="BY116" s="1710">
        <f>IF(OR($C$74=$AR116,$D$74=$AR116),Schweine_Werte!$O116*0.5,IF(OR($C$74&gt;$AR116,$D$74&lt;$AR116),0,Schweine_Werte!$O116))</f>
        <v>0</v>
      </c>
      <c r="BZ116" s="1710">
        <f>IF(OR($C$83=$AR116,$D$83=$AR116),Schweine_Werte!$O116*0.5,IF(OR($C$83&gt;$AR116,$D$83&lt;$AR116),0,Schweine_Werte!$O116))</f>
        <v>0</v>
      </c>
      <c r="CA116" s="1714">
        <f>IF(OR($C$92=$AR116,$D$92=$AR116),Schweine_Werte!$O116*0.5,IF(OR($C$92&gt;$AR116,$D$92&lt;$AR116),0,Schweine_Werte!$O116))</f>
        <v>0</v>
      </c>
      <c r="CB116" s="1714">
        <f>IF(OR($C$101=$AR116,$D$101=$AR116),Schweine_Werte!$O116*0.5,IF(OR($C$101&gt;$AR116,$D$101&lt;$AR116),0,Schweine_Werte!$O116))</f>
        <v>0</v>
      </c>
      <c r="CC116" s="1714">
        <f>IF(OR($C$110=$AR116,$D$110=$AR116),Schweine_Werte!$O116*0.5,IF(OR($C$110&gt;$AR116,$D$110&lt;$AR116),0,Schweine_Werte!$O116))</f>
        <v>0</v>
      </c>
    </row>
    <row r="117" spans="1:81" ht="18.75" x14ac:dyDescent="0.3">
      <c r="B117" s="3263" t="s">
        <v>8615</v>
      </c>
      <c r="C117" s="3264"/>
      <c r="D117" s="3264"/>
      <c r="E117" s="3264"/>
      <c r="F117" s="3264"/>
      <c r="G117" s="3265"/>
      <c r="H117" s="1734"/>
      <c r="I117" s="1698"/>
      <c r="J117" s="1698"/>
      <c r="K117" s="1698"/>
      <c r="L117" s="1698"/>
      <c r="M117" s="1698"/>
      <c r="N117" s="1698"/>
      <c r="O117" s="1698"/>
      <c r="P117" s="1698"/>
      <c r="Q117" s="1698"/>
      <c r="R117" s="1698"/>
      <c r="S117" s="1698"/>
      <c r="T117" s="1698"/>
      <c r="U117" s="1698"/>
      <c r="V117" s="1698"/>
      <c r="W117" s="1698"/>
      <c r="X117" s="1698"/>
      <c r="Y117" s="1698"/>
      <c r="AR117" s="1733">
        <v>121</v>
      </c>
      <c r="AS117" s="1710">
        <f>IF(OR($C$12=$AR117,$D$12=$AR117),Schweine_Werte!$C117*0.5,IF(OR($C$12&gt;$AR117,$D$12&lt;$AR117),0,Schweine_Werte!$C117))</f>
        <v>0</v>
      </c>
      <c r="AT117" s="1713">
        <f>IF(OR($C$24=$AR117,$D$24=$AR117),Schweine_Werte!$C117*0.5,IF(OR($C$24&gt;$AR117,$D$24&lt;$AR117),0,Schweine_Werte!$C117))</f>
        <v>0</v>
      </c>
      <c r="AU117" s="1710">
        <f>IF(OR($C$36=$AR117,$D$36=$AR117),Schweine_Werte!$C117*0.5,IF(OR($C$36&gt;$AR117,$D$36&lt;$AR117),0,Schweine_Werte!$C117))</f>
        <v>0</v>
      </c>
      <c r="AV117" s="1710">
        <f>IF(OR($C$48=$AR117,$D$48=$AR117),Schweine_Werte!$C117*0.5,IF(OR($C$48&gt;$AR117,$D$48&lt;$AR117),0,Schweine_Werte!$C117))</f>
        <v>0</v>
      </c>
      <c r="AW117" s="1710">
        <f>IF(OR($C$60=$AR117,$D$60=$AR117),Schweine_Werte!$C117*0.5,IF(OR($C$60&gt;$AR117,$D$60&lt;$AR117),0,Schweine_Werte!$C117))</f>
        <v>0</v>
      </c>
      <c r="AX117" s="1710">
        <f>IF(OR($C$12=$AR117,$D$12=$AR117),Schweine_Werte!$E117*0.5,IF(OR($C$12&gt;$AR117,$D$12&lt;$AR117),0,Schweine_Werte!$E117))</f>
        <v>0</v>
      </c>
      <c r="AY117" s="1713">
        <f>IF(OR($C$24=$AR117,$D$24=$AR117),Schweine_Werte!$E117*0.5,IF(OR($C$24&gt;$AR117,$D$24&lt;$AR117),0,Schweine_Werte!$E117))</f>
        <v>0</v>
      </c>
      <c r="AZ117" s="1713">
        <f>IF(OR($C$36=$AR117,$D$36=$AR117),Schweine_Werte!$E117*0.5,IF(OR($C$36&gt;$AR117,$D$36&lt;$AR117),0,Schweine_Werte!$E117))</f>
        <v>0</v>
      </c>
      <c r="BA117" s="1713">
        <f>IF(OR($C$48=$AR117,$D$48=$AR117),Schweine_Werte!$E117*0.5,IF(OR($C$48&gt;$AR117,$D$48&lt;$AR117),0,Schweine_Werte!$E117))</f>
        <v>0</v>
      </c>
      <c r="BB117" s="1713">
        <f>IF(OR($C$60=$AR117,$D$60=$AR117),Schweine_Werte!$E117*0.5,IF(OR($C$60&gt;$AR117,$D$60&lt;$AR117),0,Schweine_Werte!$E117))</f>
        <v>0</v>
      </c>
      <c r="BC117" s="1710">
        <f>IF(OR($C$12=$AR117,$D$12=$AR117),Schweine_Werte!$G117*0.5,IF(OR($C$12&gt;$AR117,$D$12&lt;$AR117),0,Schweine_Werte!$G117))</f>
        <v>0</v>
      </c>
      <c r="BD117" s="1713">
        <f>IF(OR($C$24=$AR117,$D$24=$AR117),Schweine_Werte!$G117*0.5,IF(OR($C$24&gt;$AR117,$D$24&lt;$AR117),0,Schweine_Werte!$G117))</f>
        <v>0</v>
      </c>
      <c r="BE117" s="1713">
        <f>IF(OR($C$36=$AR117,$D$36=$AR117),Schweine_Werte!$G117*0.5,IF(OR($C$36&gt;$AR117,$D$36&lt;$AR117),0,Schweine_Werte!$G117))</f>
        <v>0</v>
      </c>
      <c r="BF117" s="1713">
        <f>IF(OR($C$48=$AR117,$D$48=$AR117),Schweine_Werte!$G117*0.5,IF(OR($C$48&gt;$AR117,$D$48&lt;$AR117),0,Schweine_Werte!$G117))</f>
        <v>0</v>
      </c>
      <c r="BG117" s="1713">
        <f>IF(OR($C$60=$AR117,$D$60=$AR117),Schweine_Werte!$G117*0.5,IF(OR($C$60&gt;$AR117,$D$60&lt;$AR117),0,Schweine_Werte!$G117))</f>
        <v>0</v>
      </c>
      <c r="BH117" s="1710">
        <f>IF(OR($C$12=$AR117,$D$12=$AR117),Schweine_Werte!$I117*0.5,IF(OR($C$12&gt;$AR117,$D$12&lt;$AR117),0,Schweine_Werte!$I117))</f>
        <v>0</v>
      </c>
      <c r="BI117" s="1713">
        <f>IF(OR($C$24=$AR117,$D$24=$AR117),Schweine_Werte!$I117*0.5,IF(OR($C$24&gt;$AR117,$D$24&lt;$AR117),0,Schweine_Werte!$I117))</f>
        <v>0</v>
      </c>
      <c r="BJ117" s="1713">
        <f>IF(OR($C$36=$AR117,$D$36=$AR117),Schweine_Werte!$I117*0.5,IF(OR($C$36&gt;$AR117,$D$36&lt;$AR117),0,Schweine_Werte!$I117))</f>
        <v>0</v>
      </c>
      <c r="BK117" s="1713">
        <f>IF(OR($C$48=$AR117,$D$48=$AR117),Schweine_Werte!$I117*0.5,IF(OR($C$48&gt;$AR117,$D$48&lt;$AR117),0,Schweine_Werte!$I117))</f>
        <v>0</v>
      </c>
      <c r="BL117" s="1713">
        <f>IF(OR($C$60=$AR117,$D$60=$AR117),Schweine_Werte!$I117*0.5,IF(OR($C$60&gt;$AR117,$D$60&lt;$AR117),0,Schweine_Werte!$I117))</f>
        <v>0</v>
      </c>
      <c r="BM117" s="1710">
        <f>IF(OR($C$12=$AR117,$D$12=$AR117),Schweine_Werte!$K117*0.5,IF(OR($C$12&gt;$AR117,$D$12&lt;$AR117),0,Schweine_Werte!$K117))</f>
        <v>0</v>
      </c>
      <c r="BN117" s="1713">
        <f>IF(OR($C$24=$AR117,$D$24=$AR117),Schweine_Werte!$K117*0.5,IF(OR($C$24&gt;$AR117,$D$24&lt;$AR117),0,Schweine_Werte!$K117))</f>
        <v>0</v>
      </c>
      <c r="BO117" s="1713">
        <f>IF(OR($C$36=$AR117,$D$36=$AR117),Schweine_Werte!$K117*0.5,IF(OR($C$36&gt;$AR117,$D$36&lt;$AR117),0,Schweine_Werte!$K117))</f>
        <v>0</v>
      </c>
      <c r="BP117" s="1713">
        <f>IF(OR($C$48=$AR117,$D$48=$AR117),Schweine_Werte!$K117*0.5,IF(OR($C$48&gt;$AR117,$D$48&lt;$AR117),0,Schweine_Werte!$K117))</f>
        <v>0</v>
      </c>
      <c r="BQ117" s="1713">
        <f>IF(OR($C$60=$AR117,$D$60=$AR117),Schweine_Werte!$K117*0.5,IF(OR($C$60&gt;$AR117,$D$60&lt;$AR117),0,Schweine_Werte!$K117))</f>
        <v>0</v>
      </c>
      <c r="BR117" s="1710">
        <f>IF(OR($C$74=$AR117,$D$74=$AR117),Schweine_Werte!$M117*0.5,IF(OR($C$74&gt;$AR117,$D$74&lt;$AR117),0,Schweine_Werte!$M117))</f>
        <v>0</v>
      </c>
      <c r="BS117" s="1710">
        <f>IF(OR($C$83=$AR117,$D$83=$AR117),Schweine_Werte!$M117*0.5,IF(OR($C$83&gt;$AR117,$D$83&lt;$AR117),0,Schweine_Werte!$M117))</f>
        <v>0</v>
      </c>
      <c r="BT117" s="1714">
        <f>IF(OR($C$92=$AR117,$D$92=$AR117),Schweine_Werte!$M117*0.5,IF(OR($C$92&gt;$AR117,$D$92&lt;$AR117),0,Schweine_Werte!$M117))</f>
        <v>0</v>
      </c>
      <c r="BU117" s="1714">
        <f>IF(OR($C$101=$AR117,$D$101=$AR117),Schweine_Werte!$M117*0.5,IF(OR($C$101&gt;$AR117,$D$101&lt;$AR117),0,Schweine_Werte!$M117))</f>
        <v>0</v>
      </c>
      <c r="BV117" s="1714">
        <f>IF(OR($C$110=$AR117,$D$110=$AR117),Schweine_Werte!$M117*0.5,IF(OR($C$110&gt;$AR117,$D$110&lt;$AR117),0,Schweine_Werte!$M117))</f>
        <v>0</v>
      </c>
      <c r="BW117" s="1714">
        <f>IF(OR(8=$AR117,$E$127=$AR117),Schweine_Werte!$M117*0.5,IF(OR(8&gt;$AR117,$E$127&lt;$AR117),0,Schweine_Werte!$M117))</f>
        <v>1.4477278921508818</v>
      </c>
      <c r="BX117" s="1714">
        <f>IF(OR(8=$AR117,$E$145=$AR117),Schweine_Werte!$M117*0.5,IF(OR(8&gt;$AR117,$E$145&lt;$AR117),0,Schweine_Werte!$M117))</f>
        <v>1.4477278921508818</v>
      </c>
      <c r="BY117" s="1710">
        <f>IF(OR($C$74=$AR117,$D$74=$AR117),Schweine_Werte!$O117*0.5,IF(OR($C$74&gt;$AR117,$D$74&lt;$AR117),0,Schweine_Werte!$O117))</f>
        <v>0</v>
      </c>
      <c r="BZ117" s="1710">
        <f>IF(OR($C$83=$AR117,$D$83=$AR117),Schweine_Werte!$O117*0.5,IF(OR($C$83&gt;$AR117,$D$83&lt;$AR117),0,Schweine_Werte!$O117))</f>
        <v>0</v>
      </c>
      <c r="CA117" s="1714">
        <f>IF(OR($C$92=$AR117,$D$92=$AR117),Schweine_Werte!$O117*0.5,IF(OR($C$92&gt;$AR117,$D$92&lt;$AR117),0,Schweine_Werte!$O117))</f>
        <v>0</v>
      </c>
      <c r="CB117" s="1714">
        <f>IF(OR($C$101=$AR117,$D$101=$AR117),Schweine_Werte!$O117*0.5,IF(OR($C$101&gt;$AR117,$D$101&lt;$AR117),0,Schweine_Werte!$O117))</f>
        <v>0</v>
      </c>
      <c r="CC117" s="1714">
        <f>IF(OR($C$110=$AR117,$D$110=$AR117),Schweine_Werte!$O117*0.5,IF(OR($C$110&gt;$AR117,$D$110&lt;$AR117),0,Schweine_Werte!$O117))</f>
        <v>0</v>
      </c>
    </row>
    <row r="118" spans="1:81" ht="18.75" x14ac:dyDescent="0.3">
      <c r="B118" t="s">
        <v>8616</v>
      </c>
      <c r="C118"/>
      <c r="D118" t="s">
        <v>8617</v>
      </c>
      <c r="E118"/>
      <c r="F118"/>
      <c r="G118" t="s">
        <v>8516</v>
      </c>
      <c r="H118" s="1917"/>
      <c r="I118" s="1917"/>
      <c r="J118" s="1917"/>
      <c r="K118" s="1917"/>
      <c r="L118" s="1917"/>
      <c r="M118" s="1917"/>
      <c r="N118" s="1917"/>
      <c r="O118" t="s">
        <v>8618</v>
      </c>
      <c r="P118" s="885" t="s">
        <v>8619</v>
      </c>
      <c r="Q118" s="885"/>
      <c r="R118" s="885"/>
      <c r="S118" s="885"/>
      <c r="T118" s="1917"/>
      <c r="U118" s="1917"/>
      <c r="V118" s="1917"/>
      <c r="W118"/>
      <c r="X118"/>
      <c r="Y118"/>
      <c r="AR118" s="1733">
        <v>122</v>
      </c>
      <c r="AS118" s="1710">
        <f>IF(OR($C$12=$AR118,$D$12=$AR118),Schweine_Werte!$C118*0.5,IF(OR($C$12&gt;$AR118,$D$12&lt;$AR118),0,Schweine_Werte!$C118))</f>
        <v>0</v>
      </c>
      <c r="AT118" s="1713">
        <f>IF(OR($C$24=$AR118,$D$24=$AR118),Schweine_Werte!$C118*0.5,IF(OR($C$24&gt;$AR118,$D$24&lt;$AR118),0,Schweine_Werte!$C118))</f>
        <v>0</v>
      </c>
      <c r="AU118" s="1710">
        <f>IF(OR($C$36=$AR118,$D$36=$AR118),Schweine_Werte!$C118*0.5,IF(OR($C$36&gt;$AR118,$D$36&lt;$AR118),0,Schweine_Werte!$C118))</f>
        <v>0</v>
      </c>
      <c r="AV118" s="1710">
        <f>IF(OR($C$48=$AR118,$D$48=$AR118),Schweine_Werte!$C118*0.5,IF(OR($C$48&gt;$AR118,$D$48&lt;$AR118),0,Schweine_Werte!$C118))</f>
        <v>0</v>
      </c>
      <c r="AW118" s="1710">
        <f>IF(OR($C$60=$AR118,$D$60=$AR118),Schweine_Werte!$C118*0.5,IF(OR($C$60&gt;$AR118,$D$60&lt;$AR118),0,Schweine_Werte!$C118))</f>
        <v>0</v>
      </c>
      <c r="AX118" s="1710">
        <f>IF(OR($C$12=$AR118,$D$12=$AR118),Schweine_Werte!$E118*0.5,IF(OR($C$12&gt;$AR118,$D$12&lt;$AR118),0,Schweine_Werte!$E118))</f>
        <v>0</v>
      </c>
      <c r="AY118" s="1713">
        <f>IF(OR($C$24=$AR118,$D$24=$AR118),Schweine_Werte!$E118*0.5,IF(OR($C$24&gt;$AR118,$D$24&lt;$AR118),0,Schweine_Werte!$E118))</f>
        <v>0</v>
      </c>
      <c r="AZ118" s="1713">
        <f>IF(OR($C$36=$AR118,$D$36=$AR118),Schweine_Werte!$E118*0.5,IF(OR($C$36&gt;$AR118,$D$36&lt;$AR118),0,Schweine_Werte!$E118))</f>
        <v>0</v>
      </c>
      <c r="BA118" s="1713">
        <f>IF(OR($C$48=$AR118,$D$48=$AR118),Schweine_Werte!$E118*0.5,IF(OR($C$48&gt;$AR118,$D$48&lt;$AR118),0,Schweine_Werte!$E118))</f>
        <v>0</v>
      </c>
      <c r="BB118" s="1713">
        <f>IF(OR($C$60=$AR118,$D$60=$AR118),Schweine_Werte!$E118*0.5,IF(OR($C$60&gt;$AR118,$D$60&lt;$AR118),0,Schweine_Werte!$E118))</f>
        <v>0</v>
      </c>
      <c r="BC118" s="1710">
        <f>IF(OR($C$12=$AR118,$D$12=$AR118),Schweine_Werte!$G118*0.5,IF(OR($C$12&gt;$AR118,$D$12&lt;$AR118),0,Schweine_Werte!$G118))</f>
        <v>0</v>
      </c>
      <c r="BD118" s="1713">
        <f>IF(OR($C$24=$AR118,$D$24=$AR118),Schweine_Werte!$G118*0.5,IF(OR($C$24&gt;$AR118,$D$24&lt;$AR118),0,Schweine_Werte!$G118))</f>
        <v>0</v>
      </c>
      <c r="BE118" s="1713">
        <f>IF(OR($C$36=$AR118,$D$36=$AR118),Schweine_Werte!$G118*0.5,IF(OR($C$36&gt;$AR118,$D$36&lt;$AR118),0,Schweine_Werte!$G118))</f>
        <v>0</v>
      </c>
      <c r="BF118" s="1713">
        <f>IF(OR($C$48=$AR118,$D$48=$AR118),Schweine_Werte!$G118*0.5,IF(OR($C$48&gt;$AR118,$D$48&lt;$AR118),0,Schweine_Werte!$G118))</f>
        <v>0</v>
      </c>
      <c r="BG118" s="1713">
        <f>IF(OR($C$60=$AR118,$D$60=$AR118),Schweine_Werte!$G118*0.5,IF(OR($C$60&gt;$AR118,$D$60&lt;$AR118),0,Schweine_Werte!$G118))</f>
        <v>0</v>
      </c>
      <c r="BH118" s="1710">
        <f>IF(OR($C$12=$AR118,$D$12=$AR118),Schweine_Werte!$I118*0.5,IF(OR($C$12&gt;$AR118,$D$12&lt;$AR118),0,Schweine_Werte!$I118))</f>
        <v>0</v>
      </c>
      <c r="BI118" s="1713">
        <f>IF(OR($C$24=$AR118,$D$24=$AR118),Schweine_Werte!$I118*0.5,IF(OR($C$24&gt;$AR118,$D$24&lt;$AR118),0,Schweine_Werte!$I118))</f>
        <v>0</v>
      </c>
      <c r="BJ118" s="1713">
        <f>IF(OR($C$36=$AR118,$D$36=$AR118),Schweine_Werte!$I118*0.5,IF(OR($C$36&gt;$AR118,$D$36&lt;$AR118),0,Schweine_Werte!$I118))</f>
        <v>0</v>
      </c>
      <c r="BK118" s="1713">
        <f>IF(OR($C$48=$AR118,$D$48=$AR118),Schweine_Werte!$I118*0.5,IF(OR($C$48&gt;$AR118,$D$48&lt;$AR118),0,Schweine_Werte!$I118))</f>
        <v>0</v>
      </c>
      <c r="BL118" s="1713">
        <f>IF(OR($C$60=$AR118,$D$60=$AR118),Schweine_Werte!$I118*0.5,IF(OR($C$60&gt;$AR118,$D$60&lt;$AR118),0,Schweine_Werte!$I118))</f>
        <v>0</v>
      </c>
      <c r="BM118" s="1710">
        <f>IF(OR($C$12=$AR118,$D$12=$AR118),Schweine_Werte!$K118*0.5,IF(OR($C$12&gt;$AR118,$D$12&lt;$AR118),0,Schweine_Werte!$K118))</f>
        <v>0</v>
      </c>
      <c r="BN118" s="1713">
        <f>IF(OR($C$24=$AR118,$D$24=$AR118),Schweine_Werte!$K118*0.5,IF(OR($C$24&gt;$AR118,$D$24&lt;$AR118),0,Schweine_Werte!$K118))</f>
        <v>0</v>
      </c>
      <c r="BO118" s="1713">
        <f>IF(OR($C$36=$AR118,$D$36=$AR118),Schweine_Werte!$K118*0.5,IF(OR($C$36&gt;$AR118,$D$36&lt;$AR118),0,Schweine_Werte!$K118))</f>
        <v>0</v>
      </c>
      <c r="BP118" s="1713">
        <f>IF(OR($C$48=$AR118,$D$48=$AR118),Schweine_Werte!$K118*0.5,IF(OR($C$48&gt;$AR118,$D$48&lt;$AR118),0,Schweine_Werte!$K118))</f>
        <v>0</v>
      </c>
      <c r="BQ118" s="1713">
        <f>IF(OR($C$60=$AR118,$D$60=$AR118),Schweine_Werte!$K118*0.5,IF(OR($C$60&gt;$AR118,$D$60&lt;$AR118),0,Schweine_Werte!$K118))</f>
        <v>0</v>
      </c>
      <c r="BR118" s="1710">
        <f>IF(OR($C$74=$AR118,$D$74=$AR118),Schweine_Werte!$M118*0.5,IF(OR($C$74&gt;$AR118,$D$74&lt;$AR118),0,Schweine_Werte!$M118))</f>
        <v>0</v>
      </c>
      <c r="BS118" s="1710">
        <f>IF(OR($C$83=$AR118,$D$83=$AR118),Schweine_Werte!$M118*0.5,IF(OR($C$83&gt;$AR118,$D$83&lt;$AR118),0,Schweine_Werte!$M118))</f>
        <v>0</v>
      </c>
      <c r="BT118" s="1714">
        <f>IF(OR($C$92=$AR118,$D$92=$AR118),Schweine_Werte!$M118*0.5,IF(OR($C$92&gt;$AR118,$D$92&lt;$AR118),0,Schweine_Werte!$M118))</f>
        <v>0</v>
      </c>
      <c r="BU118" s="1714">
        <f>IF(OR($C$101=$AR118,$D$101=$AR118),Schweine_Werte!$M118*0.5,IF(OR($C$101&gt;$AR118,$D$101&lt;$AR118),0,Schweine_Werte!$M118))</f>
        <v>0</v>
      </c>
      <c r="BV118" s="1714">
        <f>IF(OR($C$110=$AR118,$D$110=$AR118),Schweine_Werte!$M118*0.5,IF(OR($C$110&gt;$AR118,$D$110&lt;$AR118),0,Schweine_Werte!$M118))</f>
        <v>0</v>
      </c>
      <c r="BW118" s="1714">
        <f>IF(OR(8=$AR118,$E$127=$AR118),Schweine_Werte!$M118*0.5,IF(OR(8&gt;$AR118,$E$127&lt;$AR118),0,Schweine_Werte!$M118))</f>
        <v>1.4477278921508818</v>
      </c>
      <c r="BX118" s="1714">
        <f>IF(OR(8=$AR118,$E$145=$AR118),Schweine_Werte!$M118*0.5,IF(OR(8&gt;$AR118,$E$145&lt;$AR118),0,Schweine_Werte!$M118))</f>
        <v>1.4477278921508818</v>
      </c>
      <c r="BY118" s="1710">
        <f>IF(OR($C$74=$AR118,$D$74=$AR118),Schweine_Werte!$O118*0.5,IF(OR($C$74&gt;$AR118,$D$74&lt;$AR118),0,Schweine_Werte!$O118))</f>
        <v>0</v>
      </c>
      <c r="BZ118" s="1710">
        <f>IF(OR($C$83=$AR118,$D$83=$AR118),Schweine_Werte!$O118*0.5,IF(OR($C$83&gt;$AR118,$D$83&lt;$AR118),0,Schweine_Werte!$O118))</f>
        <v>0</v>
      </c>
      <c r="CA118" s="1714">
        <f>IF(OR($C$92=$AR118,$D$92=$AR118),Schweine_Werte!$O118*0.5,IF(OR($C$92&gt;$AR118,$D$92&lt;$AR118),0,Schweine_Werte!$O118))</f>
        <v>0</v>
      </c>
      <c r="CB118" s="1714">
        <f>IF(OR($C$101=$AR118,$D$101=$AR118),Schweine_Werte!$O118*0.5,IF(OR($C$101&gt;$AR118,$D$101&lt;$AR118),0,Schweine_Werte!$O118))</f>
        <v>0</v>
      </c>
      <c r="CC118" s="1714">
        <f>IF(OR($C$110=$AR118,$D$110=$AR118),Schweine_Werte!$O118*0.5,IF(OR($C$110&gt;$AR118,$D$110&lt;$AR118),0,Schweine_Werte!$O118))</f>
        <v>0</v>
      </c>
    </row>
    <row r="119" spans="1:81" x14ac:dyDescent="0.25">
      <c r="B119" t="e">
        <f>+(E127-8)/0.45</f>
        <v>#VALUE!</v>
      </c>
      <c r="C119" t="s">
        <v>8539</v>
      </c>
      <c r="D119"/>
      <c r="E119"/>
      <c r="F119" s="885" t="e">
        <f>IF($E127&lt;=8,0,$B122*SUMPRODUCT($BW$4:$BW$31,Schweine_Werte!$V$4:$V$31)/SUM($BW$4:$BW$31))</f>
        <v>#VALUE!</v>
      </c>
      <c r="G119" s="885" t="e">
        <f>IF($E127&lt;=8,0,IF($B127=$A$8,SUMPRODUCT($BW$4:$BW$31,Schweine_Werte!HE$4:HE$31)/SUM($BW$4:$BW$31),IF($B127=$A$7,SUMPRODUCT($BW$4:$BW$31,Schweine_Werte!GQ$4:GQ$31)/SUM($BW$4:$BW$31),IF($B127=$A$6,SUMPRODUCT($BW$4:$BW$31,Schweine_Werte!GC$4:GC$31)/SUM($BW$4:$BW$31),SUMPRODUCT($BW$4:$BW$31,Schweine_Werte!FO$4:FO$31)/SUM($BW$4:$BW$31))))*$B122)</f>
        <v>#VALUE!</v>
      </c>
      <c r="H119" s="885" t="e">
        <f>IF($E127&lt;=8,0,IF($B127=$A$8,SUMPRODUCT($BW$4:$BW$31,Schweine_Werte!HF$4:HF$31)/SUM($BW$4:$BW$31),IF($B127=$A$7,SUMPRODUCT($BW$4:$BW$31,Schweine_Werte!GR$4:GR$31)/SUM($BW$4:$BW$31),IF($B127=$A$6,SUMPRODUCT($BW$4:$BW$31,Schweine_Werte!GD$4:GD$31)/SUM($BW$4:$BW$31),SUMPRODUCT($BW$4:$BW$31,Schweine_Werte!FP$4:FP$31)/SUM($BW$4:$BW$31))))*$B122)</f>
        <v>#VALUE!</v>
      </c>
      <c r="I119" s="885" t="e">
        <f>IF($E127&lt;=8,0,IF($B127=$A$8,SUMPRODUCT($BW$4:$BW$31,Schweine_Werte!HG$4:HG$31)/SUM($BW$4:$BW$31),IF($B127=$A$7,SUMPRODUCT($BW$4:$BW$31,Schweine_Werte!GS$4:GS$31)/SUM($BW$4:$BW$31),IF($B127=$A$6,SUMPRODUCT($BW$4:$BW$31,Schweine_Werte!GE$4:GE$31)/SUM($BW$4:$BW$31),SUMPRODUCT($BW$4:$BW$31,Schweine_Werte!FQ$4:FQ$31)/SUM($BW$4:$BW$31))))*$B122)</f>
        <v>#VALUE!</v>
      </c>
      <c r="J119" s="885" t="e">
        <f>SUMPRODUCT($BW$4:$BW$31,Schweine_Werte!$AD$4:$AD$31)/SUM($BW$4:$BW$31)*$B122</f>
        <v>#VALUE!</v>
      </c>
      <c r="K119" s="885" t="e">
        <f>SUMPRODUCT($BW$4:$BW$31,Schweine_Werte!$AL$4:$AL$31)/SUM($BW$4:$BW$31)*$B122</f>
        <v>#VALUE!</v>
      </c>
      <c r="L119" s="885"/>
      <c r="M119" s="885"/>
      <c r="N119" s="885"/>
      <c r="O119" s="885">
        <f>SUM($BW$4:$BW$23)+IF($E127&gt;28,$BW$24*0.5,$BW$24)</f>
        <v>44.44444444444445</v>
      </c>
      <c r="P119" s="885">
        <f>IF($E127&gt;28,SUM($BW$25:$BW$31)+$BW$24*0.5,0)</f>
        <v>11.390271160403584</v>
      </c>
      <c r="Q119" s="885" t="e">
        <f t="shared" ref="Q119:S120" si="30">T119*$F119</f>
        <v>#VALUE!</v>
      </c>
      <c r="R119" s="885" t="e">
        <f t="shared" si="30"/>
        <v>#VALUE!</v>
      </c>
      <c r="S119" s="885" t="e">
        <f t="shared" si="30"/>
        <v>#VALUE!</v>
      </c>
      <c r="T119" s="885">
        <f>+IF($E127&lt;=8,0,($O119*Schweine_Werte!$HT$15+$P119*Schweine_Werte!$HU$15)/SUM($O119:$P119))</f>
        <v>7.0161806212562894</v>
      </c>
      <c r="U119" s="885">
        <f>IF(E127&lt;=8,0,($O119*Schweine_Werte!$HV$15+$P119*Schweine_Werte!$HW$15)/SUM($O119:$P119))</f>
        <v>7.5920003876794322</v>
      </c>
      <c r="V119" s="885">
        <f>IF(E127&lt;=8,0,($O119*Schweine_Werte!$HX$15+$P119*Schweine_Werte!$HY$15)/SUM($O119:$P119))</f>
        <v>11</v>
      </c>
      <c r="W119"/>
      <c r="X119"/>
      <c r="Y119"/>
      <c r="AR119" s="1733">
        <v>123</v>
      </c>
      <c r="AS119" s="1710">
        <f>IF(OR($C$12=$AR119,$D$12=$AR119),Schweine_Werte!$C119*0.5,IF(OR($C$12&gt;$AR119,$D$12&lt;$AR119),0,Schweine_Werte!$C119))</f>
        <v>0</v>
      </c>
      <c r="AT119" s="1713">
        <f>IF(OR($C$24=$AR119,$D$24=$AR119),Schweine_Werte!$C119*0.5,IF(OR($C$24&gt;$AR119,$D$24&lt;$AR119),0,Schweine_Werte!$C119))</f>
        <v>0</v>
      </c>
      <c r="AU119" s="1710">
        <f>IF(OR($C$36=$AR119,$D$36=$AR119),Schweine_Werte!$C119*0.5,IF(OR($C$36&gt;$AR119,$D$36&lt;$AR119),0,Schweine_Werte!$C119))</f>
        <v>0</v>
      </c>
      <c r="AV119" s="1710">
        <f>IF(OR($C$48=$AR119,$D$48=$AR119),Schweine_Werte!$C119*0.5,IF(OR($C$48&gt;$AR119,$D$48&lt;$AR119),0,Schweine_Werte!$C119))</f>
        <v>0</v>
      </c>
      <c r="AW119" s="1710">
        <f>IF(OR($C$60=$AR119,$D$60=$AR119),Schweine_Werte!$C119*0.5,IF(OR($C$60&gt;$AR119,$D$60&lt;$AR119),0,Schweine_Werte!$C119))</f>
        <v>0</v>
      </c>
      <c r="AX119" s="1710">
        <f>IF(OR($C$12=$AR119,$D$12=$AR119),Schweine_Werte!$E119*0.5,IF(OR($C$12&gt;$AR119,$D$12&lt;$AR119),0,Schweine_Werte!$E119))</f>
        <v>0</v>
      </c>
      <c r="AY119" s="1713">
        <f>IF(OR($C$24=$AR119,$D$24=$AR119),Schweine_Werte!$E119*0.5,IF(OR($C$24&gt;$AR119,$D$24&lt;$AR119),0,Schweine_Werte!$E119))</f>
        <v>0</v>
      </c>
      <c r="AZ119" s="1713">
        <f>IF(OR($C$36=$AR119,$D$36=$AR119),Schweine_Werte!$E119*0.5,IF(OR($C$36&gt;$AR119,$D$36&lt;$AR119),0,Schweine_Werte!$E119))</f>
        <v>0</v>
      </c>
      <c r="BA119" s="1713">
        <f>IF(OR($C$48=$AR119,$D$48=$AR119),Schweine_Werte!$E119*0.5,IF(OR($C$48&gt;$AR119,$D$48&lt;$AR119),0,Schweine_Werte!$E119))</f>
        <v>0</v>
      </c>
      <c r="BB119" s="1713">
        <f>IF(OR($C$60=$AR119,$D$60=$AR119),Schweine_Werte!$E119*0.5,IF(OR($C$60&gt;$AR119,$D$60&lt;$AR119),0,Schweine_Werte!$E119))</f>
        <v>0</v>
      </c>
      <c r="BC119" s="1710">
        <f>IF(OR($C$12=$AR119,$D$12=$AR119),Schweine_Werte!$G119*0.5,IF(OR($C$12&gt;$AR119,$D$12&lt;$AR119),0,Schweine_Werte!$G119))</f>
        <v>0</v>
      </c>
      <c r="BD119" s="1713">
        <f>IF(OR($C$24=$AR119,$D$24=$AR119),Schweine_Werte!$G119*0.5,IF(OR($C$24&gt;$AR119,$D$24&lt;$AR119),0,Schweine_Werte!$G119))</f>
        <v>0</v>
      </c>
      <c r="BE119" s="1713">
        <f>IF(OR($C$36=$AR119,$D$36=$AR119),Schweine_Werte!$G119*0.5,IF(OR($C$36&gt;$AR119,$D$36&lt;$AR119),0,Schweine_Werte!$G119))</f>
        <v>0</v>
      </c>
      <c r="BF119" s="1713">
        <f>IF(OR($C$48=$AR119,$D$48=$AR119),Schweine_Werte!$G119*0.5,IF(OR($C$48&gt;$AR119,$D$48&lt;$AR119),0,Schweine_Werte!$G119))</f>
        <v>0</v>
      </c>
      <c r="BG119" s="1713">
        <f>IF(OR($C$60=$AR119,$D$60=$AR119),Schweine_Werte!$G119*0.5,IF(OR($C$60&gt;$AR119,$D$60&lt;$AR119),0,Schweine_Werte!$G119))</f>
        <v>0</v>
      </c>
      <c r="BH119" s="1710">
        <f>IF(OR($C$12=$AR119,$D$12=$AR119),Schweine_Werte!$I119*0.5,IF(OR($C$12&gt;$AR119,$D$12&lt;$AR119),0,Schweine_Werte!$I119))</f>
        <v>0</v>
      </c>
      <c r="BI119" s="1713">
        <f>IF(OR($C$24=$AR119,$D$24=$AR119),Schweine_Werte!$I119*0.5,IF(OR($C$24&gt;$AR119,$D$24&lt;$AR119),0,Schweine_Werte!$I119))</f>
        <v>0</v>
      </c>
      <c r="BJ119" s="1713">
        <f>IF(OR($C$36=$AR119,$D$36=$AR119),Schweine_Werte!$I119*0.5,IF(OR($C$36&gt;$AR119,$D$36&lt;$AR119),0,Schweine_Werte!$I119))</f>
        <v>0</v>
      </c>
      <c r="BK119" s="1713">
        <f>IF(OR($C$48=$AR119,$D$48=$AR119),Schweine_Werte!$I119*0.5,IF(OR($C$48&gt;$AR119,$D$48&lt;$AR119),0,Schweine_Werte!$I119))</f>
        <v>0</v>
      </c>
      <c r="BL119" s="1713">
        <f>IF(OR($C$60=$AR119,$D$60=$AR119),Schweine_Werte!$I119*0.5,IF(OR($C$60&gt;$AR119,$D$60&lt;$AR119),0,Schweine_Werte!$I119))</f>
        <v>0</v>
      </c>
      <c r="BM119" s="1710">
        <f>IF(OR($C$12=$AR119,$D$12=$AR119),Schweine_Werte!$K119*0.5,IF(OR($C$12&gt;$AR119,$D$12&lt;$AR119),0,Schweine_Werte!$K119))</f>
        <v>0</v>
      </c>
      <c r="BN119" s="1713">
        <f>IF(OR($C$24=$AR119,$D$24=$AR119),Schweine_Werte!$K119*0.5,IF(OR($C$24&gt;$AR119,$D$24&lt;$AR119),0,Schweine_Werte!$K119))</f>
        <v>0</v>
      </c>
      <c r="BO119" s="1713">
        <f>IF(OR($C$36=$AR119,$D$36=$AR119),Schweine_Werte!$K119*0.5,IF(OR($C$36&gt;$AR119,$D$36&lt;$AR119),0,Schweine_Werte!$K119))</f>
        <v>0</v>
      </c>
      <c r="BP119" s="1713">
        <f>IF(OR($C$48=$AR119,$D$48=$AR119),Schweine_Werte!$K119*0.5,IF(OR($C$48&gt;$AR119,$D$48&lt;$AR119),0,Schweine_Werte!$K119))</f>
        <v>0</v>
      </c>
      <c r="BQ119" s="1713">
        <f>IF(OR($C$60=$AR119,$D$60=$AR119),Schweine_Werte!$K119*0.5,IF(OR($C$60&gt;$AR119,$D$60&lt;$AR119),0,Schweine_Werte!$K119))</f>
        <v>0</v>
      </c>
      <c r="BR119" s="1710">
        <f>IF(OR($C$74=$AR119,$D$74=$AR119),Schweine_Werte!$M119*0.5,IF(OR($C$74&gt;$AR119,$D$74&lt;$AR119),0,Schweine_Werte!$M119))</f>
        <v>0</v>
      </c>
      <c r="BS119" s="1710">
        <f>IF(OR($C$83=$AR119,$D$83=$AR119),Schweine_Werte!$M119*0.5,IF(OR($C$83&gt;$AR119,$D$83&lt;$AR119),0,Schweine_Werte!$M119))</f>
        <v>0</v>
      </c>
      <c r="BT119" s="1714">
        <f>IF(OR($C$92=$AR119,$D$92=$AR119),Schweine_Werte!$M119*0.5,IF(OR($C$92&gt;$AR119,$D$92&lt;$AR119),0,Schweine_Werte!$M119))</f>
        <v>0</v>
      </c>
      <c r="BU119" s="1714">
        <f>IF(OR($C$101=$AR119,$D$101=$AR119),Schweine_Werte!$M119*0.5,IF(OR($C$101&gt;$AR119,$D$101&lt;$AR119),0,Schweine_Werte!$M119))</f>
        <v>0</v>
      </c>
      <c r="BV119" s="1714">
        <f>IF(OR($C$110=$AR119,$D$110=$AR119),Schweine_Werte!$M119*0.5,IF(OR($C$110&gt;$AR119,$D$110&lt;$AR119),0,Schweine_Werte!$M119))</f>
        <v>0</v>
      </c>
      <c r="BW119" s="1714">
        <f>IF(OR(8=$AR119,$E$127=$AR119),Schweine_Werte!$M119*0.5,IF(OR(8&gt;$AR119,$E$127&lt;$AR119),0,Schweine_Werte!$M119))</f>
        <v>1.4477278921508818</v>
      </c>
      <c r="BX119" s="1714">
        <f>IF(OR(8=$AR119,$E$145=$AR119),Schweine_Werte!$M119*0.5,IF(OR(8&gt;$AR119,$E$145&lt;$AR119),0,Schweine_Werte!$M119))</f>
        <v>1.4477278921508818</v>
      </c>
      <c r="BY119" s="1710">
        <f>IF(OR($C$74=$AR119,$D$74=$AR119),Schweine_Werte!$O119*0.5,IF(OR($C$74&gt;$AR119,$D$74&lt;$AR119),0,Schweine_Werte!$O119))</f>
        <v>0</v>
      </c>
      <c r="BZ119" s="1710">
        <f>IF(OR($C$83=$AR119,$D$83=$AR119),Schweine_Werte!$O119*0.5,IF(OR($C$83&gt;$AR119,$D$83&lt;$AR119),0,Schweine_Werte!$O119))</f>
        <v>0</v>
      </c>
      <c r="CA119" s="1714">
        <f>IF(OR($C$92=$AR119,$D$92=$AR119),Schweine_Werte!$O119*0.5,IF(OR($C$92&gt;$AR119,$D$92&lt;$AR119),0,Schweine_Werte!$O119))</f>
        <v>0</v>
      </c>
      <c r="CB119" s="1714">
        <f>IF(OR($C$101=$AR119,$D$101=$AR119),Schweine_Werte!$O119*0.5,IF(OR($C$101&gt;$AR119,$D$101&lt;$AR119),0,Schweine_Werte!$O119))</f>
        <v>0</v>
      </c>
      <c r="CC119" s="1714">
        <f>IF(OR($C$110=$AR119,$D$110=$AR119),Schweine_Werte!$O119*0.5,IF(OR($C$110&gt;$AR119,$D$110&lt;$AR119),0,Schweine_Werte!$O119))</f>
        <v>0</v>
      </c>
    </row>
    <row r="120" spans="1:81" x14ac:dyDescent="0.25">
      <c r="B120"/>
      <c r="C120" s="246" t="s">
        <v>8620</v>
      </c>
      <c r="D120">
        <f>IF(D127&lt;22,22,IF(D127&gt;34,34,D127))</f>
        <v>34</v>
      </c>
      <c r="E120"/>
      <c r="F120" s="885">
        <v>0.32</v>
      </c>
      <c r="G120" s="885" t="str">
        <f>IF($B$127=$A$5,VLOOKUP($D$120,Schweine_Werte!$IA$4:$IE$16,COLUMNS(Schweine_Werte!$IA$3:$IB$3),FALSE),IF($B$127=$A$6,VLOOKUP($D$120,Schweine_Werte!$IA$4:$IE$16,COLUMNS(Schweine_Werte!$IA$3:$IC$3),FALSE),IF($B$127=$A$7,VLOOKUP($D$120,Schweine_Werte!$IA$4:$IE$16,COLUMNS(Schweine_Werte!$IA$3:$ID$3),FALSE),IF($B$127=$A$8,VLOOKUP($D$120,Schweine_Werte!$IA$4:$IE$16,COLUMNS(Schweine_Werte!$IA$3:$IE$3),FALSE),"--"))))</f>
        <v>--</v>
      </c>
      <c r="H120" s="885" t="str">
        <f>IF($B$127=$A$5,VLOOKUP($D$120,Schweine_Werte!$IA$4:$II$16,COLUMNS(Schweine_Werte!$IA$3:$IF$3),FALSE),IF($B$127=$A$6,VLOOKUP($D$120,Schweine_Werte!$IA$4:$II$16,COLUMNS(Schweine_Werte!$IA$3:$IG$3),FALSE),IF($B$127=$A$7,VLOOKUP($D$120,Schweine_Werte!$IA$4:$II$16,COLUMNS(Schweine_Werte!$IA$3:$IH$3),FALSE),IF($B$127=$A$8,VLOOKUP($D$120,Schweine_Werte!$IA$4:$II$16,COLUMNS(Schweine_Werte!$IA$3:$II$3),FALSE),"--"))))</f>
        <v>--</v>
      </c>
      <c r="I120" s="885" t="str">
        <f>IF($B$127=$A$5,VLOOKUP($D$120,Schweine_Werte!$IA$4:$IM$16,COLUMNS(Schweine_Werte!$IA$3:$IJ$3),FALSE),IF($B$127=$A$6,VLOOKUP($D$120,Schweine_Werte!$IA$4:$IM$16,COLUMNS(Schweine_Werte!$IA$3:$IK$3),FALSE),IF($B$127=$A$7,VLOOKUP($D$120,Schweine_Werte!$IA$4:$IM$16,COLUMNS(Schweine_Werte!$IA$3:$IL$3),FALSE),IF($B$127=$A$8,VLOOKUP($D$120,Schweine_Werte!$IA$4:$IM$16,COLUMNS(Schweine_Werte!$IA$3:$IM$3),FALSE),"--"))))</f>
        <v>--</v>
      </c>
      <c r="J120" s="885">
        <f>VLOOKUP($D$120,Schweine_Werte!$IA$4:$IR$16,COLUMNS(Schweine_Werte!$IA$3:IN3),FALSE)</f>
        <v>4.8</v>
      </c>
      <c r="K120" s="885">
        <f>VLOOKUP($D$120,Schweine_Werte!$IA$4:$IR$16,COLUMNS(Schweine_Werte!$IA$3:IO3),FALSE)</f>
        <v>1.6</v>
      </c>
      <c r="L120" s="885"/>
      <c r="M120" s="885"/>
      <c r="N120" s="885"/>
      <c r="O120" s="885"/>
      <c r="P120" s="885"/>
      <c r="Q120" s="885">
        <f t="shared" si="30"/>
        <v>2</v>
      </c>
      <c r="R120" s="885">
        <f t="shared" si="30"/>
        <v>2.56</v>
      </c>
      <c r="S120" s="885">
        <f t="shared" si="30"/>
        <v>3.52</v>
      </c>
      <c r="T120" s="885">
        <f>VLOOKUP($D$120,Schweine_Werte!$IA$4:$IR$16,COLUMNS(Schweine_Werte!$IA$3:IP$3),FALSE)</f>
        <v>6.25</v>
      </c>
      <c r="U120" s="885">
        <f>VLOOKUP($D$120,Schweine_Werte!$IA$4:$IR$16,COLUMNS(Schweine_Werte!$IA$3:IQ$3),FALSE)</f>
        <v>8</v>
      </c>
      <c r="V120" s="885">
        <f>VLOOKUP($D$120,Schweine_Werte!$IA$4:$IR$16,COLUMNS(Schweine_Werte!$IA$3:IR$3),FALSE)</f>
        <v>11</v>
      </c>
      <c r="W120"/>
      <c r="X120"/>
      <c r="Y120"/>
      <c r="AR120" s="1733">
        <v>124</v>
      </c>
      <c r="AS120" s="1710">
        <f>IF(OR($C$12=$AR120,$D$12=$AR120),Schweine_Werte!$C120*0.5,IF(OR($C$12&gt;$AR120,$D$12&lt;$AR120),0,Schweine_Werte!$C120))</f>
        <v>0</v>
      </c>
      <c r="AT120" s="1713">
        <f>IF(OR($C$24=$AR120,$D$24=$AR120),Schweine_Werte!$C120*0.5,IF(OR($C$24&gt;$AR120,$D$24&lt;$AR120),0,Schweine_Werte!$C120))</f>
        <v>0</v>
      </c>
      <c r="AU120" s="1710">
        <f>IF(OR($C$36=$AR120,$D$36=$AR120),Schweine_Werte!$C120*0.5,IF(OR($C$36&gt;$AR120,$D$36&lt;$AR120),0,Schweine_Werte!$C120))</f>
        <v>0</v>
      </c>
      <c r="AV120" s="1710">
        <f>IF(OR($C$48=$AR120,$D$48=$AR120),Schweine_Werte!$C120*0.5,IF(OR($C$48&gt;$AR120,$D$48&lt;$AR120),0,Schweine_Werte!$C120))</f>
        <v>0</v>
      </c>
      <c r="AW120" s="1710">
        <f>IF(OR($C$60=$AR120,$D$60=$AR120),Schweine_Werte!$C120*0.5,IF(OR($C$60&gt;$AR120,$D$60&lt;$AR120),0,Schweine_Werte!$C120))</f>
        <v>0</v>
      </c>
      <c r="AX120" s="1710">
        <f>IF(OR($C$12=$AR120,$D$12=$AR120),Schweine_Werte!$E120*0.5,IF(OR($C$12&gt;$AR120,$D$12&lt;$AR120),0,Schweine_Werte!$E120))</f>
        <v>0</v>
      </c>
      <c r="AY120" s="1713">
        <f>IF(OR($C$24=$AR120,$D$24=$AR120),Schweine_Werte!$E120*0.5,IF(OR($C$24&gt;$AR120,$D$24&lt;$AR120),0,Schweine_Werte!$E120))</f>
        <v>0</v>
      </c>
      <c r="AZ120" s="1713">
        <f>IF(OR($C$36=$AR120,$D$36=$AR120),Schweine_Werte!$E120*0.5,IF(OR($C$36&gt;$AR120,$D$36&lt;$AR120),0,Schweine_Werte!$E120))</f>
        <v>0</v>
      </c>
      <c r="BA120" s="1713">
        <f>IF(OR($C$48=$AR120,$D$48=$AR120),Schweine_Werte!$E120*0.5,IF(OR($C$48&gt;$AR120,$D$48&lt;$AR120),0,Schweine_Werte!$E120))</f>
        <v>0</v>
      </c>
      <c r="BB120" s="1713">
        <f>IF(OR($C$60=$AR120,$D$60=$AR120),Schweine_Werte!$E120*0.5,IF(OR($C$60&gt;$AR120,$D$60&lt;$AR120),0,Schweine_Werte!$E120))</f>
        <v>0</v>
      </c>
      <c r="BC120" s="1710">
        <f>IF(OR($C$12=$AR120,$D$12=$AR120),Schweine_Werte!$G120*0.5,IF(OR($C$12&gt;$AR120,$D$12&lt;$AR120),0,Schweine_Werte!$G120))</f>
        <v>0</v>
      </c>
      <c r="BD120" s="1713">
        <f>IF(OR($C$24=$AR120,$D$24=$AR120),Schweine_Werte!$G120*0.5,IF(OR($C$24&gt;$AR120,$D$24&lt;$AR120),0,Schweine_Werte!$G120))</f>
        <v>0</v>
      </c>
      <c r="BE120" s="1713">
        <f>IF(OR($C$36=$AR120,$D$36=$AR120),Schweine_Werte!$G120*0.5,IF(OR($C$36&gt;$AR120,$D$36&lt;$AR120),0,Schweine_Werte!$G120))</f>
        <v>0</v>
      </c>
      <c r="BF120" s="1713">
        <f>IF(OR($C$48=$AR120,$D$48=$AR120),Schweine_Werte!$G120*0.5,IF(OR($C$48&gt;$AR120,$D$48&lt;$AR120),0,Schweine_Werte!$G120))</f>
        <v>0</v>
      </c>
      <c r="BG120" s="1713">
        <f>IF(OR($C$60=$AR120,$D$60=$AR120),Schweine_Werte!$G120*0.5,IF(OR($C$60&gt;$AR120,$D$60&lt;$AR120),0,Schweine_Werte!$G120))</f>
        <v>0</v>
      </c>
      <c r="BH120" s="1710">
        <f>IF(OR($C$12=$AR120,$D$12=$AR120),Schweine_Werte!$I120*0.5,IF(OR($C$12&gt;$AR120,$D$12&lt;$AR120),0,Schweine_Werte!$I120))</f>
        <v>0</v>
      </c>
      <c r="BI120" s="1713">
        <f>IF(OR($C$24=$AR120,$D$24=$AR120),Schweine_Werte!$I120*0.5,IF(OR($C$24&gt;$AR120,$D$24&lt;$AR120),0,Schweine_Werte!$I120))</f>
        <v>0</v>
      </c>
      <c r="BJ120" s="1713">
        <f>IF(OR($C$36=$AR120,$D$36=$AR120),Schweine_Werte!$I120*0.5,IF(OR($C$36&gt;$AR120,$D$36&lt;$AR120),0,Schweine_Werte!$I120))</f>
        <v>0</v>
      </c>
      <c r="BK120" s="1713">
        <f>IF(OR($C$48=$AR120,$D$48=$AR120),Schweine_Werte!$I120*0.5,IF(OR($C$48&gt;$AR120,$D$48&lt;$AR120),0,Schweine_Werte!$I120))</f>
        <v>0</v>
      </c>
      <c r="BL120" s="1713">
        <f>IF(OR($C$60=$AR120,$D$60=$AR120),Schweine_Werte!$I120*0.5,IF(OR($C$60&gt;$AR120,$D$60&lt;$AR120),0,Schweine_Werte!$I120))</f>
        <v>0</v>
      </c>
      <c r="BM120" s="1710">
        <f>IF(OR($C$12=$AR120,$D$12=$AR120),Schweine_Werte!$K120*0.5,IF(OR($C$12&gt;$AR120,$D$12&lt;$AR120),0,Schweine_Werte!$K120))</f>
        <v>0</v>
      </c>
      <c r="BN120" s="1713">
        <f>IF(OR($C$24=$AR120,$D$24=$AR120),Schweine_Werte!$K120*0.5,IF(OR($C$24&gt;$AR120,$D$24&lt;$AR120),0,Schweine_Werte!$K120))</f>
        <v>0</v>
      </c>
      <c r="BO120" s="1713">
        <f>IF(OR($C$36=$AR120,$D$36=$AR120),Schweine_Werte!$K120*0.5,IF(OR($C$36&gt;$AR120,$D$36&lt;$AR120),0,Schweine_Werte!$K120))</f>
        <v>0</v>
      </c>
      <c r="BP120" s="1713">
        <f>IF(OR($C$48=$AR120,$D$48=$AR120),Schweine_Werte!$K120*0.5,IF(OR($C$48&gt;$AR120,$D$48&lt;$AR120),0,Schweine_Werte!$K120))</f>
        <v>0</v>
      </c>
      <c r="BQ120" s="1713">
        <f>IF(OR($C$60=$AR120,$D$60=$AR120),Schweine_Werte!$K120*0.5,IF(OR($C$60&gt;$AR120,$D$60&lt;$AR120),0,Schweine_Werte!$K120))</f>
        <v>0</v>
      </c>
      <c r="BR120" s="1710">
        <f>IF(OR($C$74=$AR120,$D$74=$AR120),Schweine_Werte!$M120*0.5,IF(OR($C$74&gt;$AR120,$D$74&lt;$AR120),0,Schweine_Werte!$M120))</f>
        <v>0</v>
      </c>
      <c r="BS120" s="1710">
        <f>IF(OR($C$83=$AR120,$D$83=$AR120),Schweine_Werte!$M120*0.5,IF(OR($C$83&gt;$AR120,$D$83&lt;$AR120),0,Schweine_Werte!$M120))</f>
        <v>0</v>
      </c>
      <c r="BT120" s="1714">
        <f>IF(OR($C$92=$AR120,$D$92=$AR120),Schweine_Werte!$M120*0.5,IF(OR($C$92&gt;$AR120,$D$92&lt;$AR120),0,Schweine_Werte!$M120))</f>
        <v>0</v>
      </c>
      <c r="BU120" s="1714">
        <f>IF(OR($C$101=$AR120,$D$101=$AR120),Schweine_Werte!$M120*0.5,IF(OR($C$101&gt;$AR120,$D$101&lt;$AR120),0,Schweine_Werte!$M120))</f>
        <v>0</v>
      </c>
      <c r="BV120" s="1714">
        <f>IF(OR($C$110=$AR120,$D$110=$AR120),Schweine_Werte!$M120*0.5,IF(OR($C$110&gt;$AR120,$D$110&lt;$AR120),0,Schweine_Werte!$M120))</f>
        <v>0</v>
      </c>
      <c r="BW120" s="1714">
        <f>IF(OR(8=$AR120,$E$127=$AR120),Schweine_Werte!$M120*0.5,IF(OR(8&gt;$AR120,$E$127&lt;$AR120),0,Schweine_Werte!$M120))</f>
        <v>1.4477278921508818</v>
      </c>
      <c r="BX120" s="1714">
        <f>IF(OR(8=$AR120,$E$145=$AR120),Schweine_Werte!$M120*0.5,IF(OR(8&gt;$AR120,$E$145&lt;$AR120),0,Schweine_Werte!$M120))</f>
        <v>1.4477278921508818</v>
      </c>
      <c r="BY120" s="1710">
        <f>IF(OR($C$74=$AR120,$D$74=$AR120),Schweine_Werte!$O120*0.5,IF(OR($C$74&gt;$AR120,$D$74&lt;$AR120),0,Schweine_Werte!$O120))</f>
        <v>0</v>
      </c>
      <c r="BZ120" s="1710">
        <f>IF(OR($C$83=$AR120,$D$83=$AR120),Schweine_Werte!$O120*0.5,IF(OR($C$83&gt;$AR120,$D$83&lt;$AR120),0,Schweine_Werte!$O120))</f>
        <v>0</v>
      </c>
      <c r="CA120" s="1714">
        <f>IF(OR($C$92=$AR120,$D$92=$AR120),Schweine_Werte!$O120*0.5,IF(OR($C$92&gt;$AR120,$D$92&lt;$AR120),0,Schweine_Werte!$O120))</f>
        <v>0</v>
      </c>
      <c r="CB120" s="1714">
        <f>IF(OR($C$101=$AR120,$D$101=$AR120),Schweine_Werte!$O120*0.5,IF(OR($C$101&gt;$AR120,$D$101&lt;$AR120),0,Schweine_Werte!$O120))</f>
        <v>0</v>
      </c>
      <c r="CC120" s="1714">
        <f>IF(OR($C$110=$AR120,$D$110=$AR120),Schweine_Werte!$O120*0.5,IF(OR($C$110&gt;$AR120,$D$110&lt;$AR120),0,Schweine_Werte!$O120))</f>
        <v>0</v>
      </c>
    </row>
    <row r="121" spans="1:81" x14ac:dyDescent="0.25">
      <c r="B121" t="s">
        <v>8621</v>
      </c>
      <c r="C121" s="1712"/>
      <c r="D121"/>
      <c r="E121"/>
      <c r="F121"/>
      <c r="G121"/>
      <c r="H121"/>
      <c r="I121"/>
      <c r="J121"/>
      <c r="K121"/>
      <c r="L121"/>
      <c r="M121"/>
      <c r="N121"/>
      <c r="O121"/>
      <c r="P121"/>
      <c r="Q121"/>
      <c r="R121"/>
      <c r="S121"/>
      <c r="T121"/>
      <c r="U121"/>
      <c r="V121"/>
      <c r="W121"/>
      <c r="X121"/>
      <c r="Y121"/>
      <c r="AR121" s="1733">
        <v>125</v>
      </c>
      <c r="AS121" s="1710">
        <f>IF(OR($C$12=$AR121,$D$12=$AR121),Schweine_Werte!$C121*0.5,IF(OR($C$12&gt;$AR121,$D$12&lt;$AR121),0,Schweine_Werte!$C121))</f>
        <v>0</v>
      </c>
      <c r="AT121" s="1713">
        <f>IF(OR($C$24=$AR121,$D$24=$AR121),Schweine_Werte!$C121*0.5,IF(OR($C$24&gt;$AR121,$D$24&lt;$AR121),0,Schweine_Werte!$C121))</f>
        <v>0</v>
      </c>
      <c r="AU121" s="1710">
        <f>IF(OR($C$36=$AR121,$D$36=$AR121),Schweine_Werte!$C121*0.5,IF(OR($C$36&gt;$AR121,$D$36&lt;$AR121),0,Schweine_Werte!$C121))</f>
        <v>0</v>
      </c>
      <c r="AV121" s="1710">
        <f>IF(OR($C$48=$AR121,$D$48=$AR121),Schweine_Werte!$C121*0.5,IF(OR($C$48&gt;$AR121,$D$48&lt;$AR121),0,Schweine_Werte!$C121))</f>
        <v>0</v>
      </c>
      <c r="AW121" s="1710">
        <f>IF(OR($C$60=$AR121,$D$60=$AR121),Schweine_Werte!$C121*0.5,IF(OR($C$60&gt;$AR121,$D$60&lt;$AR121),0,Schweine_Werte!$C121))</f>
        <v>0</v>
      </c>
      <c r="AX121" s="1710">
        <f>IF(OR($C$12=$AR121,$D$12=$AR121),Schweine_Werte!$E121*0.5,IF(OR($C$12&gt;$AR121,$D$12&lt;$AR121),0,Schweine_Werte!$E121))</f>
        <v>0</v>
      </c>
      <c r="AY121" s="1713">
        <f>IF(OR($C$24=$AR121,$D$24=$AR121),Schweine_Werte!$E121*0.5,IF(OR($C$24&gt;$AR121,$D$24&lt;$AR121),0,Schweine_Werte!$E121))</f>
        <v>0</v>
      </c>
      <c r="AZ121" s="1713">
        <f>IF(OR($C$36=$AR121,$D$36=$AR121),Schweine_Werte!$E121*0.5,IF(OR($C$36&gt;$AR121,$D$36&lt;$AR121),0,Schweine_Werte!$E121))</f>
        <v>0</v>
      </c>
      <c r="BA121" s="1713">
        <f>IF(OR($C$48=$AR121,$D$48=$AR121),Schweine_Werte!$E121*0.5,IF(OR($C$48&gt;$AR121,$D$48&lt;$AR121),0,Schweine_Werte!$E121))</f>
        <v>0</v>
      </c>
      <c r="BB121" s="1713">
        <f>IF(OR($C$60=$AR121,$D$60=$AR121),Schweine_Werte!$E121*0.5,IF(OR($C$60&gt;$AR121,$D$60&lt;$AR121),0,Schweine_Werte!$E121))</f>
        <v>0</v>
      </c>
      <c r="BC121" s="1710">
        <f>IF(OR($C$12=$AR121,$D$12=$AR121),Schweine_Werte!$G121*0.5,IF(OR($C$12&gt;$AR121,$D$12&lt;$AR121),0,Schweine_Werte!$G121))</f>
        <v>0</v>
      </c>
      <c r="BD121" s="1713">
        <f>IF(OR($C$24=$AR121,$D$24=$AR121),Schweine_Werte!$G121*0.5,IF(OR($C$24&gt;$AR121,$D$24&lt;$AR121),0,Schweine_Werte!$G121))</f>
        <v>0</v>
      </c>
      <c r="BE121" s="1713">
        <f>IF(OR($C$36=$AR121,$D$36=$AR121),Schweine_Werte!$G121*0.5,IF(OR($C$36&gt;$AR121,$D$36&lt;$AR121),0,Schweine_Werte!$G121))</f>
        <v>0</v>
      </c>
      <c r="BF121" s="1713">
        <f>IF(OR($C$48=$AR121,$D$48=$AR121),Schweine_Werte!$G121*0.5,IF(OR($C$48&gt;$AR121,$D$48&lt;$AR121),0,Schweine_Werte!$G121))</f>
        <v>0</v>
      </c>
      <c r="BG121" s="1713">
        <f>IF(OR($C$60=$AR121,$D$60=$AR121),Schweine_Werte!$G121*0.5,IF(OR($C$60&gt;$AR121,$D$60&lt;$AR121),0,Schweine_Werte!$G121))</f>
        <v>0</v>
      </c>
      <c r="BH121" s="1710">
        <f>IF(OR($C$12=$AR121,$D$12=$AR121),Schweine_Werte!$I121*0.5,IF(OR($C$12&gt;$AR121,$D$12&lt;$AR121),0,Schweine_Werte!$I121))</f>
        <v>0</v>
      </c>
      <c r="BI121" s="1713">
        <f>IF(OR($C$24=$AR121,$D$24=$AR121),Schweine_Werte!$I121*0.5,IF(OR($C$24&gt;$AR121,$D$24&lt;$AR121),0,Schweine_Werte!$I121))</f>
        <v>0</v>
      </c>
      <c r="BJ121" s="1713">
        <f>IF(OR($C$36=$AR121,$D$36=$AR121),Schweine_Werte!$I121*0.5,IF(OR($C$36&gt;$AR121,$D$36&lt;$AR121),0,Schweine_Werte!$I121))</f>
        <v>0</v>
      </c>
      <c r="BK121" s="1713">
        <f>IF(OR($C$48=$AR121,$D$48=$AR121),Schweine_Werte!$I121*0.5,IF(OR($C$48&gt;$AR121,$D$48&lt;$AR121),0,Schweine_Werte!$I121))</f>
        <v>0</v>
      </c>
      <c r="BL121" s="1713">
        <f>IF(OR($C$60=$AR121,$D$60=$AR121),Schweine_Werte!$I121*0.5,IF(OR($C$60&gt;$AR121,$D$60&lt;$AR121),0,Schweine_Werte!$I121))</f>
        <v>0</v>
      </c>
      <c r="BM121" s="1710">
        <f>IF(OR($C$12=$AR121,$D$12=$AR121),Schweine_Werte!$K121*0.5,IF(OR($C$12&gt;$AR121,$D$12&lt;$AR121),0,Schweine_Werte!$K121))</f>
        <v>0</v>
      </c>
      <c r="BN121" s="1713">
        <f>IF(OR($C$24=$AR121,$D$24=$AR121),Schweine_Werte!$K121*0.5,IF(OR($C$24&gt;$AR121,$D$24&lt;$AR121),0,Schweine_Werte!$K121))</f>
        <v>0</v>
      </c>
      <c r="BO121" s="1713">
        <f>IF(OR($C$36=$AR121,$D$36=$AR121),Schweine_Werte!$K121*0.5,IF(OR($C$36&gt;$AR121,$D$36&lt;$AR121),0,Schweine_Werte!$K121))</f>
        <v>0</v>
      </c>
      <c r="BP121" s="1713">
        <f>IF(OR($C$48=$AR121,$D$48=$AR121),Schweine_Werte!$K121*0.5,IF(OR($C$48&gt;$AR121,$D$48&lt;$AR121),0,Schweine_Werte!$K121))</f>
        <v>0</v>
      </c>
      <c r="BQ121" s="1713">
        <f>IF(OR($C$60=$AR121,$D$60=$AR121),Schweine_Werte!$K121*0.5,IF(OR($C$60&gt;$AR121,$D$60&lt;$AR121),0,Schweine_Werte!$K121))</f>
        <v>0</v>
      </c>
      <c r="BR121" s="1710">
        <f>IF(OR($C$74=$AR121,$D$74=$AR121),Schweine_Werte!$M121*0.5,IF(OR($C$74&gt;$AR121,$D$74&lt;$AR121),0,Schweine_Werte!$M121))</f>
        <v>0</v>
      </c>
      <c r="BS121" s="1710">
        <f>IF(OR($C$83=$AR121,$D$83=$AR121),Schweine_Werte!$M121*0.5,IF(OR($C$83&gt;$AR121,$D$83&lt;$AR121),0,Schweine_Werte!$M121))</f>
        <v>0</v>
      </c>
      <c r="BT121" s="1714">
        <f>IF(OR($C$92=$AR121,$D$92=$AR121),Schweine_Werte!$M121*0.5,IF(OR($C$92&gt;$AR121,$D$92&lt;$AR121),0,Schweine_Werte!$M121))</f>
        <v>0</v>
      </c>
      <c r="BU121" s="1714">
        <f>IF(OR($C$101=$AR121,$D$101=$AR121),Schweine_Werte!$M121*0.5,IF(OR($C$101&gt;$AR121,$D$101&lt;$AR121),0,Schweine_Werte!$M121))</f>
        <v>0</v>
      </c>
      <c r="BV121" s="1714">
        <f>IF(OR($C$110=$AR121,$D$110=$AR121),Schweine_Werte!$M121*0.5,IF(OR($C$110&gt;$AR121,$D$110&lt;$AR121),0,Schweine_Werte!$M121))</f>
        <v>0</v>
      </c>
      <c r="BW121" s="1714">
        <f>IF(OR(8=$AR121,$E$127=$AR121),Schweine_Werte!$M121*0.5,IF(OR(8&gt;$AR121,$E$127&lt;$AR121),0,Schweine_Werte!$M121))</f>
        <v>1.4477278921508818</v>
      </c>
      <c r="BX121" s="1714">
        <f>IF(OR(8=$AR121,$E$145=$AR121),Schweine_Werte!$M121*0.5,IF(OR(8&gt;$AR121,$E$145&lt;$AR121),0,Schweine_Werte!$M121))</f>
        <v>1.4477278921508818</v>
      </c>
      <c r="BY121" s="1710">
        <f>IF(OR($C$74=$AR121,$D$74=$AR121),Schweine_Werte!$O121*0.5,IF(OR($C$74&gt;$AR121,$D$74&lt;$AR121),0,Schweine_Werte!$O121))</f>
        <v>0</v>
      </c>
      <c r="BZ121" s="1710">
        <f>IF(OR($C$83=$AR121,$D$83=$AR121),Schweine_Werte!$O121*0.5,IF(OR($C$83&gt;$AR121,$D$83&lt;$AR121),0,Schweine_Werte!$O121))</f>
        <v>0</v>
      </c>
      <c r="CA121" s="1714">
        <f>IF(OR($C$92=$AR121,$D$92=$AR121),Schweine_Werte!$O121*0.5,IF(OR($C$92&gt;$AR121,$D$92&lt;$AR121),0,Schweine_Werte!$O121))</f>
        <v>0</v>
      </c>
      <c r="CB121" s="1714">
        <f>IF(OR($C$101=$AR121,$D$101=$AR121),Schweine_Werte!$O121*0.5,IF(OR($C$101&gt;$AR121,$D$101&lt;$AR121),0,Schweine_Werte!$O121))</f>
        <v>0</v>
      </c>
      <c r="CC121" s="1714">
        <f>IF(OR($C$110=$AR121,$D$110=$AR121),Schweine_Werte!$O121*0.5,IF(OR($C$110&gt;$AR121,$D$110&lt;$AR121),0,Schweine_Werte!$O121))</f>
        <v>0</v>
      </c>
    </row>
    <row r="122" spans="1:81" x14ac:dyDescent="0.25">
      <c r="B122" s="1918" t="e">
        <f>+B119*D127/365</f>
        <v>#VALUE!</v>
      </c>
      <c r="C122" s="1712"/>
      <c r="D122" s="246"/>
      <c r="E122" s="885"/>
      <c r="F122" s="885"/>
      <c r="G122" s="885"/>
      <c r="H122" s="885"/>
      <c r="I122" s="885"/>
      <c r="J122" s="885"/>
      <c r="K122" s="885"/>
      <c r="L122" s="885"/>
      <c r="M122" s="885"/>
      <c r="N122" s="885"/>
      <c r="O122" s="885"/>
      <c r="P122" s="885"/>
      <c r="Q122" s="885"/>
      <c r="R122" s="885"/>
      <c r="S122" s="885"/>
      <c r="T122"/>
      <c r="U122" s="885"/>
      <c r="V122" s="885"/>
      <c r="W122"/>
      <c r="X122"/>
      <c r="Y122"/>
      <c r="AR122" s="1733">
        <v>126</v>
      </c>
      <c r="AS122" s="1710">
        <f>IF(OR($C$12=$AR122,$D$12=$AR122),Schweine_Werte!$C122*0.5,IF(OR($C$12&gt;$AR122,$D$12&lt;$AR122),0,Schweine_Werte!$C122))</f>
        <v>0</v>
      </c>
      <c r="AT122" s="1713">
        <f>IF(OR($C$24=$AR122,$D$24=$AR122),Schweine_Werte!$C122*0.5,IF(OR($C$24&gt;$AR122,$D$24&lt;$AR122),0,Schweine_Werte!$C122))</f>
        <v>0</v>
      </c>
      <c r="AU122" s="1710">
        <f>IF(OR($C$36=$AR122,$D$36=$AR122),Schweine_Werte!$C122*0.5,IF(OR($C$36&gt;$AR122,$D$36&lt;$AR122),0,Schweine_Werte!$C122))</f>
        <v>0</v>
      </c>
      <c r="AV122" s="1710">
        <f>IF(OR($C$48=$AR122,$D$48=$AR122),Schweine_Werte!$C122*0.5,IF(OR($C$48&gt;$AR122,$D$48&lt;$AR122),0,Schweine_Werte!$C122))</f>
        <v>0</v>
      </c>
      <c r="AW122" s="1710">
        <f>IF(OR($C$60=$AR122,$D$60=$AR122),Schweine_Werte!$C122*0.5,IF(OR($C$60&gt;$AR122,$D$60&lt;$AR122),0,Schweine_Werte!$C122))</f>
        <v>0</v>
      </c>
      <c r="AX122" s="1710">
        <f>IF(OR($C$12=$AR122,$D$12=$AR122),Schweine_Werte!$E122*0.5,IF(OR($C$12&gt;$AR122,$D$12&lt;$AR122),0,Schweine_Werte!$E122))</f>
        <v>0</v>
      </c>
      <c r="AY122" s="1713">
        <f>IF(OR($C$24=$AR122,$D$24=$AR122),Schweine_Werte!$E122*0.5,IF(OR($C$24&gt;$AR122,$D$24&lt;$AR122),0,Schweine_Werte!$E122))</f>
        <v>0</v>
      </c>
      <c r="AZ122" s="1713">
        <f>IF(OR($C$36=$AR122,$D$36=$AR122),Schweine_Werte!$E122*0.5,IF(OR($C$36&gt;$AR122,$D$36&lt;$AR122),0,Schweine_Werte!$E122))</f>
        <v>0</v>
      </c>
      <c r="BA122" s="1713">
        <f>IF(OR($C$48=$AR122,$D$48=$AR122),Schweine_Werte!$E122*0.5,IF(OR($C$48&gt;$AR122,$D$48&lt;$AR122),0,Schweine_Werte!$E122))</f>
        <v>0</v>
      </c>
      <c r="BB122" s="1713">
        <f>IF(OR($C$60=$AR122,$D$60=$AR122),Schweine_Werte!$E122*0.5,IF(OR($C$60&gt;$AR122,$D$60&lt;$AR122),0,Schweine_Werte!$E122))</f>
        <v>0</v>
      </c>
      <c r="BC122" s="1710">
        <f>IF(OR($C$12=$AR122,$D$12=$AR122),Schweine_Werte!$G122*0.5,IF(OR($C$12&gt;$AR122,$D$12&lt;$AR122),0,Schweine_Werte!$G122))</f>
        <v>0</v>
      </c>
      <c r="BD122" s="1713">
        <f>IF(OR($C$24=$AR122,$D$24=$AR122),Schweine_Werte!$G122*0.5,IF(OR($C$24&gt;$AR122,$D$24&lt;$AR122),0,Schweine_Werte!$G122))</f>
        <v>0</v>
      </c>
      <c r="BE122" s="1713">
        <f>IF(OR($C$36=$AR122,$D$36=$AR122),Schweine_Werte!$G122*0.5,IF(OR($C$36&gt;$AR122,$D$36&lt;$AR122),0,Schweine_Werte!$G122))</f>
        <v>0</v>
      </c>
      <c r="BF122" s="1713">
        <f>IF(OR($C$48=$AR122,$D$48=$AR122),Schweine_Werte!$G122*0.5,IF(OR($C$48&gt;$AR122,$D$48&lt;$AR122),0,Schweine_Werte!$G122))</f>
        <v>0</v>
      </c>
      <c r="BG122" s="1713">
        <f>IF(OR($C$60=$AR122,$D$60=$AR122),Schweine_Werte!$G122*0.5,IF(OR($C$60&gt;$AR122,$D$60&lt;$AR122),0,Schweine_Werte!$G122))</f>
        <v>0</v>
      </c>
      <c r="BH122" s="1710">
        <f>IF(OR($C$12=$AR122,$D$12=$AR122),Schweine_Werte!$I122*0.5,IF(OR($C$12&gt;$AR122,$D$12&lt;$AR122),0,Schweine_Werte!$I122))</f>
        <v>0</v>
      </c>
      <c r="BI122" s="1713">
        <f>IF(OR($C$24=$AR122,$D$24=$AR122),Schweine_Werte!$I122*0.5,IF(OR($C$24&gt;$AR122,$D$24&lt;$AR122),0,Schweine_Werte!$I122))</f>
        <v>0</v>
      </c>
      <c r="BJ122" s="1713">
        <f>IF(OR($C$36=$AR122,$D$36=$AR122),Schweine_Werte!$I122*0.5,IF(OR($C$36&gt;$AR122,$D$36&lt;$AR122),0,Schweine_Werte!$I122))</f>
        <v>0</v>
      </c>
      <c r="BK122" s="1713">
        <f>IF(OR($C$48=$AR122,$D$48=$AR122),Schweine_Werte!$I122*0.5,IF(OR($C$48&gt;$AR122,$D$48&lt;$AR122),0,Schweine_Werte!$I122))</f>
        <v>0</v>
      </c>
      <c r="BL122" s="1713">
        <f>IF(OR($C$60=$AR122,$D$60=$AR122),Schweine_Werte!$I122*0.5,IF(OR($C$60&gt;$AR122,$D$60&lt;$AR122),0,Schweine_Werte!$I122))</f>
        <v>0</v>
      </c>
      <c r="BM122" s="1710">
        <f>IF(OR($C$12=$AR122,$D$12=$AR122),Schweine_Werte!$K122*0.5,IF(OR($C$12&gt;$AR122,$D$12&lt;$AR122),0,Schweine_Werte!$K122))</f>
        <v>0</v>
      </c>
      <c r="BN122" s="1713">
        <f>IF(OR($C$24=$AR122,$D$24=$AR122),Schweine_Werte!$K122*0.5,IF(OR($C$24&gt;$AR122,$D$24&lt;$AR122),0,Schweine_Werte!$K122))</f>
        <v>0</v>
      </c>
      <c r="BO122" s="1713">
        <f>IF(OR($C$36=$AR122,$D$36=$AR122),Schweine_Werte!$K122*0.5,IF(OR($C$36&gt;$AR122,$D$36&lt;$AR122),0,Schweine_Werte!$K122))</f>
        <v>0</v>
      </c>
      <c r="BP122" s="1713">
        <f>IF(OR($C$48=$AR122,$D$48=$AR122),Schweine_Werte!$K122*0.5,IF(OR($C$48&gt;$AR122,$D$48&lt;$AR122),0,Schweine_Werte!$K122))</f>
        <v>0</v>
      </c>
      <c r="BQ122" s="1713">
        <f>IF(OR($C$60=$AR122,$D$60=$AR122),Schweine_Werte!$K122*0.5,IF(OR($C$60&gt;$AR122,$D$60&lt;$AR122),0,Schweine_Werte!$K122))</f>
        <v>0</v>
      </c>
      <c r="BR122" s="1710">
        <f>IF(OR($C$74=$AR122,$D$74=$AR122),Schweine_Werte!$M122*0.5,IF(OR($C$74&gt;$AR122,$D$74&lt;$AR122),0,Schweine_Werte!$M122))</f>
        <v>0</v>
      </c>
      <c r="BS122" s="1710">
        <f>IF(OR($C$83=$AR122,$D$83=$AR122),Schweine_Werte!$M122*0.5,IF(OR($C$83&gt;$AR122,$D$83&lt;$AR122),0,Schweine_Werte!$M122))</f>
        <v>0</v>
      </c>
      <c r="BT122" s="1714">
        <f>IF(OR($C$92=$AR122,$D$92=$AR122),Schweine_Werte!$M122*0.5,IF(OR($C$92&gt;$AR122,$D$92&lt;$AR122),0,Schweine_Werte!$M122))</f>
        <v>0</v>
      </c>
      <c r="BU122" s="1714">
        <f>IF(OR($C$101=$AR122,$D$101=$AR122),Schweine_Werte!$M122*0.5,IF(OR($C$101&gt;$AR122,$D$101&lt;$AR122),0,Schweine_Werte!$M122))</f>
        <v>0</v>
      </c>
      <c r="BV122" s="1714">
        <f>IF(OR($C$110=$AR122,$D$110=$AR122),Schweine_Werte!$M122*0.5,IF(OR($C$110&gt;$AR122,$D$110&lt;$AR122),0,Schweine_Werte!$M122))</f>
        <v>0</v>
      </c>
      <c r="BW122" s="1714">
        <f>IF(OR(8=$AR122,$E$127=$AR122),Schweine_Werte!$M122*0.5,IF(OR(8&gt;$AR122,$E$127&lt;$AR122),0,Schweine_Werte!$M122))</f>
        <v>1.4477278921508818</v>
      </c>
      <c r="BX122" s="1714">
        <f>IF(OR(8=$AR122,$E$145=$AR122),Schweine_Werte!$M122*0.5,IF(OR(8&gt;$AR122,$E$145&lt;$AR122),0,Schweine_Werte!$M122))</f>
        <v>1.4477278921508818</v>
      </c>
      <c r="BY122" s="1710">
        <f>IF(OR($C$74=$AR122,$D$74=$AR122),Schweine_Werte!$O122*0.5,IF(OR($C$74&gt;$AR122,$D$74&lt;$AR122),0,Schweine_Werte!$O122))</f>
        <v>0</v>
      </c>
      <c r="BZ122" s="1710">
        <f>IF(OR($C$83=$AR122,$D$83=$AR122),Schweine_Werte!$O122*0.5,IF(OR($C$83&gt;$AR122,$D$83&lt;$AR122),0,Schweine_Werte!$O122))</f>
        <v>0</v>
      </c>
      <c r="CA122" s="1714">
        <f>IF(OR($C$92=$AR122,$D$92=$AR122),Schweine_Werte!$O122*0.5,IF(OR($C$92&gt;$AR122,$D$92&lt;$AR122),0,Schweine_Werte!$O122))</f>
        <v>0</v>
      </c>
      <c r="CB122" s="1714">
        <f>IF(OR($C$101=$AR122,$D$101=$AR122),Schweine_Werte!$O122*0.5,IF(OR($C$101&gt;$AR122,$D$101&lt;$AR122),0,Schweine_Werte!$O122))</f>
        <v>0</v>
      </c>
      <c r="CC122" s="1714">
        <f>IF(OR($C$110=$AR122,$D$110=$AR122),Schweine_Werte!$O122*0.5,IF(OR($C$110&gt;$AR122,$D$110&lt;$AR122),0,Schweine_Werte!$O122))</f>
        <v>0</v>
      </c>
    </row>
    <row r="123" spans="1:81" x14ac:dyDescent="0.25">
      <c r="C123" s="1712"/>
      <c r="D123" s="1735"/>
      <c r="F123" s="1713"/>
      <c r="G123" s="1713"/>
      <c r="H123" s="1713"/>
      <c r="I123" s="1713"/>
      <c r="J123" s="1713"/>
      <c r="K123" s="1713"/>
      <c r="L123" s="1713"/>
      <c r="M123" s="1713"/>
      <c r="N123" s="1713"/>
      <c r="O123" s="1713"/>
      <c r="P123" s="1713"/>
      <c r="Q123" s="1713"/>
      <c r="R123" s="1713"/>
      <c r="S123" s="1713"/>
      <c r="T123" s="1713"/>
      <c r="U123" s="1713"/>
      <c r="V123" s="1713"/>
      <c r="AR123" s="1733">
        <v>127</v>
      </c>
      <c r="AS123" s="1710">
        <f>IF(OR($C$12=$AR123,$D$12=$AR123),Schweine_Werte!$C123*0.5,IF(OR($C$12&gt;$AR123,$D$12&lt;$AR123),0,Schweine_Werte!$C123))</f>
        <v>0</v>
      </c>
      <c r="AT123" s="1713">
        <f>IF(OR($C$24=$AR123,$D$24=$AR123),Schweine_Werte!$C123*0.5,IF(OR($C$24&gt;$AR123,$D$24&lt;$AR123),0,Schweine_Werte!$C123))</f>
        <v>0</v>
      </c>
      <c r="AU123" s="1710">
        <f>IF(OR($C$36=$AR123,$D$36=$AR123),Schweine_Werte!$C123*0.5,IF(OR($C$36&gt;$AR123,$D$36&lt;$AR123),0,Schweine_Werte!$C123))</f>
        <v>0</v>
      </c>
      <c r="AV123" s="1710">
        <f>IF(OR($C$48=$AR123,$D$48=$AR123),Schweine_Werte!$C123*0.5,IF(OR($C$48&gt;$AR123,$D$48&lt;$AR123),0,Schweine_Werte!$C123))</f>
        <v>0</v>
      </c>
      <c r="AW123" s="1710">
        <f>IF(OR($C$60=$AR123,$D$60=$AR123),Schweine_Werte!$C123*0.5,IF(OR($C$60&gt;$AR123,$D$60&lt;$AR123),0,Schweine_Werte!$C123))</f>
        <v>0</v>
      </c>
      <c r="AX123" s="1710">
        <f>IF(OR($C$12=$AR123,$D$12=$AR123),Schweine_Werte!$E123*0.5,IF(OR($C$12&gt;$AR123,$D$12&lt;$AR123),0,Schweine_Werte!$E123))</f>
        <v>0</v>
      </c>
      <c r="AY123" s="1713">
        <f>IF(OR($C$24=$AR123,$D$24=$AR123),Schweine_Werte!$E123*0.5,IF(OR($C$24&gt;$AR123,$D$24&lt;$AR123),0,Schweine_Werte!$E123))</f>
        <v>0</v>
      </c>
      <c r="AZ123" s="1713">
        <f>IF(OR($C$36=$AR123,$D$36=$AR123),Schweine_Werte!$E123*0.5,IF(OR($C$36&gt;$AR123,$D$36&lt;$AR123),0,Schweine_Werte!$E123))</f>
        <v>0</v>
      </c>
      <c r="BA123" s="1713">
        <f>IF(OR($C$48=$AR123,$D$48=$AR123),Schweine_Werte!$E123*0.5,IF(OR($C$48&gt;$AR123,$D$48&lt;$AR123),0,Schweine_Werte!$E123))</f>
        <v>0</v>
      </c>
      <c r="BB123" s="1713">
        <f>IF(OR($C$60=$AR123,$D$60=$AR123),Schweine_Werte!$E123*0.5,IF(OR($C$60&gt;$AR123,$D$60&lt;$AR123),0,Schweine_Werte!$E123))</f>
        <v>0</v>
      </c>
      <c r="BC123" s="1710">
        <f>IF(OR($C$12=$AR123,$D$12=$AR123),Schweine_Werte!$G123*0.5,IF(OR($C$12&gt;$AR123,$D$12&lt;$AR123),0,Schweine_Werte!$G123))</f>
        <v>0</v>
      </c>
      <c r="BD123" s="1713">
        <f>IF(OR($C$24=$AR123,$D$24=$AR123),Schweine_Werte!$G123*0.5,IF(OR($C$24&gt;$AR123,$D$24&lt;$AR123),0,Schweine_Werte!$G123))</f>
        <v>0</v>
      </c>
      <c r="BE123" s="1713">
        <f>IF(OR($C$36=$AR123,$D$36=$AR123),Schweine_Werte!$G123*0.5,IF(OR($C$36&gt;$AR123,$D$36&lt;$AR123),0,Schweine_Werte!$G123))</f>
        <v>0</v>
      </c>
      <c r="BF123" s="1713">
        <f>IF(OR($C$48=$AR123,$D$48=$AR123),Schweine_Werte!$G123*0.5,IF(OR($C$48&gt;$AR123,$D$48&lt;$AR123),0,Schweine_Werte!$G123))</f>
        <v>0</v>
      </c>
      <c r="BG123" s="1713">
        <f>IF(OR($C$60=$AR123,$D$60=$AR123),Schweine_Werte!$G123*0.5,IF(OR($C$60&gt;$AR123,$D$60&lt;$AR123),0,Schweine_Werte!$G123))</f>
        <v>0</v>
      </c>
      <c r="BH123" s="1710">
        <f>IF(OR($C$12=$AR123,$D$12=$AR123),Schweine_Werte!$I123*0.5,IF(OR($C$12&gt;$AR123,$D$12&lt;$AR123),0,Schweine_Werte!$I123))</f>
        <v>0</v>
      </c>
      <c r="BI123" s="1713">
        <f>IF(OR($C$24=$AR123,$D$24=$AR123),Schweine_Werte!$I123*0.5,IF(OR($C$24&gt;$AR123,$D$24&lt;$AR123),0,Schweine_Werte!$I123))</f>
        <v>0</v>
      </c>
      <c r="BJ123" s="1713">
        <f>IF(OR($C$36=$AR123,$D$36=$AR123),Schweine_Werte!$I123*0.5,IF(OR($C$36&gt;$AR123,$D$36&lt;$AR123),0,Schweine_Werte!$I123))</f>
        <v>0</v>
      </c>
      <c r="BK123" s="1713">
        <f>IF(OR($C$48=$AR123,$D$48=$AR123),Schweine_Werte!$I123*0.5,IF(OR($C$48&gt;$AR123,$D$48&lt;$AR123),0,Schweine_Werte!$I123))</f>
        <v>0</v>
      </c>
      <c r="BL123" s="1713">
        <f>IF(OR($C$60=$AR123,$D$60=$AR123),Schweine_Werte!$I123*0.5,IF(OR($C$60&gt;$AR123,$D$60&lt;$AR123),0,Schweine_Werte!$I123))</f>
        <v>0</v>
      </c>
      <c r="BM123" s="1710">
        <f>IF(OR($C$12=$AR123,$D$12=$AR123),Schweine_Werte!$K123*0.5,IF(OR($C$12&gt;$AR123,$D$12&lt;$AR123),0,Schweine_Werte!$K123))</f>
        <v>0</v>
      </c>
      <c r="BN123" s="1713">
        <f>IF(OR($C$24=$AR123,$D$24=$AR123),Schweine_Werte!$K123*0.5,IF(OR($C$24&gt;$AR123,$D$24&lt;$AR123),0,Schweine_Werte!$K123))</f>
        <v>0</v>
      </c>
      <c r="BO123" s="1713">
        <f>IF(OR($C$36=$AR123,$D$36=$AR123),Schweine_Werte!$K123*0.5,IF(OR($C$36&gt;$AR123,$D$36&lt;$AR123),0,Schweine_Werte!$K123))</f>
        <v>0</v>
      </c>
      <c r="BP123" s="1713">
        <f>IF(OR($C$48=$AR123,$D$48=$AR123),Schweine_Werte!$K123*0.5,IF(OR($C$48&gt;$AR123,$D$48&lt;$AR123),0,Schweine_Werte!$K123))</f>
        <v>0</v>
      </c>
      <c r="BQ123" s="1713">
        <f>IF(OR($C$60=$AR123,$D$60=$AR123),Schweine_Werte!$K123*0.5,IF(OR($C$60&gt;$AR123,$D$60&lt;$AR123),0,Schweine_Werte!$K123))</f>
        <v>0</v>
      </c>
      <c r="BR123" s="1710">
        <f>IF(OR($C$74=$AR123,$D$74=$AR123),Schweine_Werte!$M123*0.5,IF(OR($C$74&gt;$AR123,$D$74&lt;$AR123),0,Schweine_Werte!$M123))</f>
        <v>0</v>
      </c>
      <c r="BS123" s="1710">
        <f>IF(OR($C$83=$AR123,$D$83=$AR123),Schweine_Werte!$M123*0.5,IF(OR($C$83&gt;$AR123,$D$83&lt;$AR123),0,Schweine_Werte!$M123))</f>
        <v>0</v>
      </c>
      <c r="BT123" s="1714">
        <f>IF(OR($C$92=$AR123,$D$92=$AR123),Schweine_Werte!$M123*0.5,IF(OR($C$92&gt;$AR123,$D$92&lt;$AR123),0,Schweine_Werte!$M123))</f>
        <v>0</v>
      </c>
      <c r="BU123" s="1714">
        <f>IF(OR($C$101=$AR123,$D$101=$AR123),Schweine_Werte!$M123*0.5,IF(OR($C$101&gt;$AR123,$D$101&lt;$AR123),0,Schweine_Werte!$M123))</f>
        <v>0</v>
      </c>
      <c r="BV123" s="1714">
        <f>IF(OR($C$110=$AR123,$D$110=$AR123),Schweine_Werte!$M123*0.5,IF(OR($C$110&gt;$AR123,$D$110&lt;$AR123),0,Schweine_Werte!$M123))</f>
        <v>0</v>
      </c>
      <c r="BW123" s="1714">
        <f>IF(OR(8=$AR123,$E$127=$AR123),Schweine_Werte!$M123*0.5,IF(OR(8&gt;$AR123,$E$127&lt;$AR123),0,Schweine_Werte!$M123))</f>
        <v>1.4477278921508818</v>
      </c>
      <c r="BX123" s="1714">
        <f>IF(OR(8=$AR123,$E$145=$AR123),Schweine_Werte!$M123*0.5,IF(OR(8&gt;$AR123,$E$145&lt;$AR123),0,Schweine_Werte!$M123))</f>
        <v>1.4477278921508818</v>
      </c>
      <c r="BY123" s="1710">
        <f>IF(OR($C$74=$AR123,$D$74=$AR123),Schweine_Werte!$O123*0.5,IF(OR($C$74&gt;$AR123,$D$74&lt;$AR123),0,Schweine_Werte!$O123))</f>
        <v>0</v>
      </c>
      <c r="BZ123" s="1710">
        <f>IF(OR($C$83=$AR123,$D$83=$AR123),Schweine_Werte!$O123*0.5,IF(OR($C$83&gt;$AR123,$D$83&lt;$AR123),0,Schweine_Werte!$O123))</f>
        <v>0</v>
      </c>
      <c r="CA123" s="1714">
        <f>IF(OR($C$92=$AR123,$D$92=$AR123),Schweine_Werte!$O123*0.5,IF(OR($C$92&gt;$AR123,$D$92&lt;$AR123),0,Schweine_Werte!$O123))</f>
        <v>0</v>
      </c>
      <c r="CB123" s="1714">
        <f>IF(OR($C$101=$AR123,$D$101=$AR123),Schweine_Werte!$O123*0.5,IF(OR($C$101&gt;$AR123,$D$101&lt;$AR123),0,Schweine_Werte!$O123))</f>
        <v>0</v>
      </c>
      <c r="CC123" s="1714">
        <f>IF(OR($C$110=$AR123,$D$110=$AR123),Schweine_Werte!$O123*0.5,IF(OR($C$110&gt;$AR123,$D$110&lt;$AR123),0,Schweine_Werte!$O123))</f>
        <v>0</v>
      </c>
    </row>
    <row r="124" spans="1:81" x14ac:dyDescent="0.25">
      <c r="C124" s="1712"/>
      <c r="D124" s="1735"/>
      <c r="E124" s="1713"/>
      <c r="F124" s="1713"/>
      <c r="G124" s="1713"/>
      <c r="H124" s="1713"/>
      <c r="I124" s="1713"/>
      <c r="J124" s="1713"/>
      <c r="K124" s="1713"/>
      <c r="L124" s="1713"/>
      <c r="M124" s="1713"/>
      <c r="N124" s="1713"/>
      <c r="O124" s="1713"/>
      <c r="P124" s="1713"/>
      <c r="Q124" s="1713"/>
      <c r="R124" s="1713"/>
      <c r="S124" s="1713"/>
      <c r="T124" s="1713"/>
      <c r="U124" s="1713"/>
      <c r="V124" s="1713"/>
      <c r="AR124" s="1733">
        <v>128</v>
      </c>
      <c r="AS124" s="1710">
        <f>IF(OR($C$12=$AR124,$D$12=$AR124),Schweine_Werte!$C124*0.5,IF(OR($C$12&gt;$AR124,$D$12&lt;$AR124),0,Schweine_Werte!$C124))</f>
        <v>0</v>
      </c>
      <c r="AT124" s="1713">
        <f>IF(OR($C$24=$AR124,$D$24=$AR124),Schweine_Werte!$C124*0.5,IF(OR($C$24&gt;$AR124,$D$24&lt;$AR124),0,Schweine_Werte!$C124))</f>
        <v>0</v>
      </c>
      <c r="AU124" s="1710">
        <f>IF(OR($C$36=$AR124,$D$36=$AR124),Schweine_Werte!$C124*0.5,IF(OR($C$36&gt;$AR124,$D$36&lt;$AR124),0,Schweine_Werte!$C124))</f>
        <v>0</v>
      </c>
      <c r="AV124" s="1710">
        <f>IF(OR($C$48=$AR124,$D$48=$AR124),Schweine_Werte!$C124*0.5,IF(OR($C$48&gt;$AR124,$D$48&lt;$AR124),0,Schweine_Werte!$C124))</f>
        <v>0</v>
      </c>
      <c r="AW124" s="1710">
        <f>IF(OR($C$60=$AR124,$D$60=$AR124),Schweine_Werte!$C124*0.5,IF(OR($C$60&gt;$AR124,$D$60&lt;$AR124),0,Schweine_Werte!$C124))</f>
        <v>0</v>
      </c>
      <c r="AX124" s="1710">
        <f>IF(OR($C$12=$AR124,$D$12=$AR124),Schweine_Werte!$E124*0.5,IF(OR($C$12&gt;$AR124,$D$12&lt;$AR124),0,Schweine_Werte!$E124))</f>
        <v>0</v>
      </c>
      <c r="AY124" s="1713">
        <f>IF(OR($C$24=$AR124,$D$24=$AR124),Schweine_Werte!$E124*0.5,IF(OR($C$24&gt;$AR124,$D$24&lt;$AR124),0,Schweine_Werte!$E124))</f>
        <v>0</v>
      </c>
      <c r="AZ124" s="1713">
        <f>IF(OR($C$36=$AR124,$D$36=$AR124),Schweine_Werte!$E124*0.5,IF(OR($C$36&gt;$AR124,$D$36&lt;$AR124),0,Schweine_Werte!$E124))</f>
        <v>0</v>
      </c>
      <c r="BA124" s="1713">
        <f>IF(OR($C$48=$AR124,$D$48=$AR124),Schweine_Werte!$E124*0.5,IF(OR($C$48&gt;$AR124,$D$48&lt;$AR124),0,Schweine_Werte!$E124))</f>
        <v>0</v>
      </c>
      <c r="BB124" s="1713">
        <f>IF(OR($C$60=$AR124,$D$60=$AR124),Schweine_Werte!$E124*0.5,IF(OR($C$60&gt;$AR124,$D$60&lt;$AR124),0,Schweine_Werte!$E124))</f>
        <v>0</v>
      </c>
      <c r="BC124" s="1710">
        <f>IF(OR($C$12=$AR124,$D$12=$AR124),Schweine_Werte!$G124*0.5,IF(OR($C$12&gt;$AR124,$D$12&lt;$AR124),0,Schweine_Werte!$G124))</f>
        <v>0</v>
      </c>
      <c r="BD124" s="1713">
        <f>IF(OR($C$24=$AR124,$D$24=$AR124),Schweine_Werte!$G124*0.5,IF(OR($C$24&gt;$AR124,$D$24&lt;$AR124),0,Schweine_Werte!$G124))</f>
        <v>0</v>
      </c>
      <c r="BE124" s="1713">
        <f>IF(OR($C$36=$AR124,$D$36=$AR124),Schweine_Werte!$G124*0.5,IF(OR($C$36&gt;$AR124,$D$36&lt;$AR124),0,Schweine_Werte!$G124))</f>
        <v>0</v>
      </c>
      <c r="BF124" s="1713">
        <f>IF(OR($C$48=$AR124,$D$48=$AR124),Schweine_Werte!$G124*0.5,IF(OR($C$48&gt;$AR124,$D$48&lt;$AR124),0,Schweine_Werte!$G124))</f>
        <v>0</v>
      </c>
      <c r="BG124" s="1713">
        <f>IF(OR($C$60=$AR124,$D$60=$AR124),Schweine_Werte!$G124*0.5,IF(OR($C$60&gt;$AR124,$D$60&lt;$AR124),0,Schweine_Werte!$G124))</f>
        <v>0</v>
      </c>
      <c r="BH124" s="1710">
        <f>IF(OR($C$12=$AR124,$D$12=$AR124),Schweine_Werte!$I124*0.5,IF(OR($C$12&gt;$AR124,$D$12&lt;$AR124),0,Schweine_Werte!$I124))</f>
        <v>0</v>
      </c>
      <c r="BI124" s="1713">
        <f>IF(OR($C$24=$AR124,$D$24=$AR124),Schweine_Werte!$I124*0.5,IF(OR($C$24&gt;$AR124,$D$24&lt;$AR124),0,Schweine_Werte!$I124))</f>
        <v>0</v>
      </c>
      <c r="BJ124" s="1713">
        <f>IF(OR($C$36=$AR124,$D$36=$AR124),Schweine_Werte!$I124*0.5,IF(OR($C$36&gt;$AR124,$D$36&lt;$AR124),0,Schweine_Werte!$I124))</f>
        <v>0</v>
      </c>
      <c r="BK124" s="1713">
        <f>IF(OR($C$48=$AR124,$D$48=$AR124),Schweine_Werte!$I124*0.5,IF(OR($C$48&gt;$AR124,$D$48&lt;$AR124),0,Schweine_Werte!$I124))</f>
        <v>0</v>
      </c>
      <c r="BL124" s="1713">
        <f>IF(OR($C$60=$AR124,$D$60=$AR124),Schweine_Werte!$I124*0.5,IF(OR($C$60&gt;$AR124,$D$60&lt;$AR124),0,Schweine_Werte!$I124))</f>
        <v>0</v>
      </c>
      <c r="BM124" s="1710">
        <f>IF(OR($C$12=$AR124,$D$12=$AR124),Schweine_Werte!$K124*0.5,IF(OR($C$12&gt;$AR124,$D$12&lt;$AR124),0,Schweine_Werte!$K124))</f>
        <v>0</v>
      </c>
      <c r="BN124" s="1713">
        <f>IF(OR($C$24=$AR124,$D$24=$AR124),Schweine_Werte!$K124*0.5,IF(OR($C$24&gt;$AR124,$D$24&lt;$AR124),0,Schweine_Werte!$K124))</f>
        <v>0</v>
      </c>
      <c r="BO124" s="1713">
        <f>IF(OR($C$36=$AR124,$D$36=$AR124),Schweine_Werte!$K124*0.5,IF(OR($C$36&gt;$AR124,$D$36&lt;$AR124),0,Schweine_Werte!$K124))</f>
        <v>0</v>
      </c>
      <c r="BP124" s="1713">
        <f>IF(OR($C$48=$AR124,$D$48=$AR124),Schweine_Werte!$K124*0.5,IF(OR($C$48&gt;$AR124,$D$48&lt;$AR124),0,Schweine_Werte!$K124))</f>
        <v>0</v>
      </c>
      <c r="BQ124" s="1713">
        <f>IF(OR($C$60=$AR124,$D$60=$AR124),Schweine_Werte!$K124*0.5,IF(OR($C$60&gt;$AR124,$D$60&lt;$AR124),0,Schweine_Werte!$K124))</f>
        <v>0</v>
      </c>
      <c r="BR124" s="1710">
        <f>IF(OR($C$74=$AR124,$D$74=$AR124),Schweine_Werte!$M124*0.5,IF(OR($C$74&gt;$AR124,$D$74&lt;$AR124),0,Schweine_Werte!$M124))</f>
        <v>0</v>
      </c>
      <c r="BS124" s="1710">
        <f>IF(OR($C$83=$AR124,$D$83=$AR124),Schweine_Werte!$M124*0.5,IF(OR($C$83&gt;$AR124,$D$83&lt;$AR124),0,Schweine_Werte!$M124))</f>
        <v>0</v>
      </c>
      <c r="BT124" s="1714">
        <f>IF(OR($C$92=$AR124,$D$92=$AR124),Schweine_Werte!$M124*0.5,IF(OR($C$92&gt;$AR124,$D$92&lt;$AR124),0,Schweine_Werte!$M124))</f>
        <v>0</v>
      </c>
      <c r="BU124" s="1714">
        <f>IF(OR($C$101=$AR124,$D$101=$AR124),Schweine_Werte!$M124*0.5,IF(OR($C$101&gt;$AR124,$D$101&lt;$AR124),0,Schweine_Werte!$M124))</f>
        <v>0</v>
      </c>
      <c r="BV124" s="1714">
        <f>IF(OR($C$110=$AR124,$D$110=$AR124),Schweine_Werte!$M124*0.5,IF(OR($C$110&gt;$AR124,$D$110&lt;$AR124),0,Schweine_Werte!$M124))</f>
        <v>0</v>
      </c>
      <c r="BW124" s="1714">
        <f>IF(OR(8=$AR124,$E$127=$AR124),Schweine_Werte!$M124*0.5,IF(OR(8&gt;$AR124,$E$127&lt;$AR124),0,Schweine_Werte!$M124))</f>
        <v>1.4477278921508818</v>
      </c>
      <c r="BX124" s="1714">
        <f>IF(OR(8=$AR124,$E$145=$AR124),Schweine_Werte!$M124*0.5,IF(OR(8&gt;$AR124,$E$145&lt;$AR124),0,Schweine_Werte!$M124))</f>
        <v>1.4477278921508818</v>
      </c>
      <c r="BY124" s="1710">
        <f>IF(OR($C$74=$AR124,$D$74=$AR124),Schweine_Werte!$O124*0.5,IF(OR($C$74&gt;$AR124,$D$74&lt;$AR124),0,Schweine_Werte!$O124))</f>
        <v>0</v>
      </c>
      <c r="BZ124" s="1710">
        <f>IF(OR($C$83=$AR124,$D$83=$AR124),Schweine_Werte!$O124*0.5,IF(OR($C$83&gt;$AR124,$D$83&lt;$AR124),0,Schweine_Werte!$O124))</f>
        <v>0</v>
      </c>
      <c r="CA124" s="1714">
        <f>IF(OR($C$92=$AR124,$D$92=$AR124),Schweine_Werte!$O124*0.5,IF(OR($C$92&gt;$AR124,$D$92&lt;$AR124),0,Schweine_Werte!$O124))</f>
        <v>0</v>
      </c>
      <c r="CB124" s="1714">
        <f>IF(OR($C$101=$AR124,$D$101=$AR124),Schweine_Werte!$O124*0.5,IF(OR($C$101&gt;$AR124,$D$101&lt;$AR124),0,Schweine_Werte!$O124))</f>
        <v>0</v>
      </c>
      <c r="CC124" s="1714">
        <f>IF(OR($C$110=$AR124,$D$110=$AR124),Schweine_Werte!$O124*0.5,IF(OR($C$110&gt;$AR124,$D$110&lt;$AR124),0,Schweine_Werte!$O124))</f>
        <v>0</v>
      </c>
    </row>
    <row r="125" spans="1:81" ht="15.75" x14ac:dyDescent="0.25">
      <c r="F125" s="1716"/>
      <c r="G125" s="3257" t="s">
        <v>8582</v>
      </c>
      <c r="H125" s="3258"/>
      <c r="I125" s="3259"/>
      <c r="J125" s="1717" t="s">
        <v>8096</v>
      </c>
      <c r="K125" s="1717" t="s">
        <v>204</v>
      </c>
      <c r="L125" s="3260" t="s">
        <v>8583</v>
      </c>
      <c r="M125" s="3260"/>
      <c r="N125" s="3260"/>
      <c r="O125" s="3247" t="s">
        <v>8584</v>
      </c>
      <c r="P125" s="3249"/>
      <c r="Q125" s="3247" t="s">
        <v>8585</v>
      </c>
      <c r="R125" s="3248"/>
      <c r="S125" s="3249"/>
      <c r="T125" s="3247" t="s">
        <v>8586</v>
      </c>
      <c r="U125" s="3248"/>
      <c r="V125" s="3249"/>
      <c r="W125" s="3247" t="s">
        <v>8587</v>
      </c>
      <c r="X125" s="3248"/>
      <c r="Y125" s="3249"/>
      <c r="AR125" s="1733">
        <v>129</v>
      </c>
      <c r="AS125" s="1710">
        <f>IF(OR($C$12=$AR125,$D$12=$AR125),Schweine_Werte!$C125*0.5,IF(OR($C$12&gt;$AR125,$D$12&lt;$AR125),0,Schweine_Werte!$C125))</f>
        <v>0</v>
      </c>
      <c r="AT125" s="1713">
        <f>IF(OR($C$24=$AR125,$D$24=$AR125),Schweine_Werte!$C125*0.5,IF(OR($C$24&gt;$AR125,$D$24&lt;$AR125),0,Schweine_Werte!$C125))</f>
        <v>0</v>
      </c>
      <c r="AU125" s="1710">
        <f>IF(OR($C$36=$AR125,$D$36=$AR125),Schweine_Werte!$C125*0.5,IF(OR($C$36&gt;$AR125,$D$36&lt;$AR125),0,Schweine_Werte!$C125))</f>
        <v>0</v>
      </c>
      <c r="AV125" s="1710">
        <f>IF(OR($C$48=$AR125,$D$48=$AR125),Schweine_Werte!$C125*0.5,IF(OR($C$48&gt;$AR125,$D$48&lt;$AR125),0,Schweine_Werte!$C125))</f>
        <v>0</v>
      </c>
      <c r="AW125" s="1710">
        <f>IF(OR($C$60=$AR125,$D$60=$AR125),Schweine_Werte!$C125*0.5,IF(OR($C$60&gt;$AR125,$D$60&lt;$AR125),0,Schweine_Werte!$C125))</f>
        <v>0</v>
      </c>
      <c r="AX125" s="1710">
        <f>IF(OR($C$12=$AR125,$D$12=$AR125),Schweine_Werte!$E125*0.5,IF(OR($C$12&gt;$AR125,$D$12&lt;$AR125),0,Schweine_Werte!$E125))</f>
        <v>0</v>
      </c>
      <c r="AY125" s="1713">
        <f>IF(OR($C$24=$AR125,$D$24=$AR125),Schweine_Werte!$E125*0.5,IF(OR($C$24&gt;$AR125,$D$24&lt;$AR125),0,Schweine_Werte!$E125))</f>
        <v>0</v>
      </c>
      <c r="AZ125" s="1713">
        <f>IF(OR($C$36=$AR125,$D$36=$AR125),Schweine_Werte!$E125*0.5,IF(OR($C$36&gt;$AR125,$D$36&lt;$AR125),0,Schweine_Werte!$E125))</f>
        <v>0</v>
      </c>
      <c r="BA125" s="1713">
        <f>IF(OR($C$48=$AR125,$D$48=$AR125),Schweine_Werte!$E125*0.5,IF(OR($C$48&gt;$AR125,$D$48&lt;$AR125),0,Schweine_Werte!$E125))</f>
        <v>0</v>
      </c>
      <c r="BB125" s="1713">
        <f>IF(OR($C$60=$AR125,$D$60=$AR125),Schweine_Werte!$E125*0.5,IF(OR($C$60&gt;$AR125,$D$60&lt;$AR125),0,Schweine_Werte!$E125))</f>
        <v>0</v>
      </c>
      <c r="BC125" s="1710">
        <f>IF(OR($C$12=$AR125,$D$12=$AR125),Schweine_Werte!$G125*0.5,IF(OR($C$12&gt;$AR125,$D$12&lt;$AR125),0,Schweine_Werte!$G125))</f>
        <v>0</v>
      </c>
      <c r="BD125" s="1713">
        <f>IF(OR($C$24=$AR125,$D$24=$AR125),Schweine_Werte!$G125*0.5,IF(OR($C$24&gt;$AR125,$D$24&lt;$AR125),0,Schweine_Werte!$G125))</f>
        <v>0</v>
      </c>
      <c r="BE125" s="1713">
        <f>IF(OR($C$36=$AR125,$D$36=$AR125),Schweine_Werte!$G125*0.5,IF(OR($C$36&gt;$AR125,$D$36&lt;$AR125),0,Schweine_Werte!$G125))</f>
        <v>0</v>
      </c>
      <c r="BF125" s="1713">
        <f>IF(OR($C$48=$AR125,$D$48=$AR125),Schweine_Werte!$G125*0.5,IF(OR($C$48&gt;$AR125,$D$48&lt;$AR125),0,Schweine_Werte!$G125))</f>
        <v>0</v>
      </c>
      <c r="BG125" s="1713">
        <f>IF(OR($C$60=$AR125,$D$60=$AR125),Schweine_Werte!$G125*0.5,IF(OR($C$60&gt;$AR125,$D$60&lt;$AR125),0,Schweine_Werte!$G125))</f>
        <v>0</v>
      </c>
      <c r="BH125" s="1710">
        <f>IF(OR($C$12=$AR125,$D$12=$AR125),Schweine_Werte!$I125*0.5,IF(OR($C$12&gt;$AR125,$D$12&lt;$AR125),0,Schweine_Werte!$I125))</f>
        <v>0</v>
      </c>
      <c r="BI125" s="1713">
        <f>IF(OR($C$24=$AR125,$D$24=$AR125),Schweine_Werte!$I125*0.5,IF(OR($C$24&gt;$AR125,$D$24&lt;$AR125),0,Schweine_Werte!$I125))</f>
        <v>0</v>
      </c>
      <c r="BJ125" s="1713">
        <f>IF(OR($C$36=$AR125,$D$36=$AR125),Schweine_Werte!$I125*0.5,IF(OR($C$36&gt;$AR125,$D$36&lt;$AR125),0,Schweine_Werte!$I125))</f>
        <v>0</v>
      </c>
      <c r="BK125" s="1713">
        <f>IF(OR($C$48=$AR125,$D$48=$AR125),Schweine_Werte!$I125*0.5,IF(OR($C$48&gt;$AR125,$D$48&lt;$AR125),0,Schweine_Werte!$I125))</f>
        <v>0</v>
      </c>
      <c r="BL125" s="1713">
        <f>IF(OR($C$60=$AR125,$D$60=$AR125),Schweine_Werte!$I125*0.5,IF(OR($C$60&gt;$AR125,$D$60&lt;$AR125),0,Schweine_Werte!$I125))</f>
        <v>0</v>
      </c>
      <c r="BM125" s="1710">
        <f>IF(OR($C$12=$AR125,$D$12=$AR125),Schweine_Werte!$K125*0.5,IF(OR($C$12&gt;$AR125,$D$12&lt;$AR125),0,Schweine_Werte!$K125))</f>
        <v>0</v>
      </c>
      <c r="BN125" s="1713">
        <f>IF(OR($C$24=$AR125,$D$24=$AR125),Schweine_Werte!$K125*0.5,IF(OR($C$24&gt;$AR125,$D$24&lt;$AR125),0,Schweine_Werte!$K125))</f>
        <v>0</v>
      </c>
      <c r="BO125" s="1713">
        <f>IF(OR($C$36=$AR125,$D$36=$AR125),Schweine_Werte!$K125*0.5,IF(OR($C$36&gt;$AR125,$D$36&lt;$AR125),0,Schweine_Werte!$K125))</f>
        <v>0</v>
      </c>
      <c r="BP125" s="1713">
        <f>IF(OR($C$48=$AR125,$D$48=$AR125),Schweine_Werte!$K125*0.5,IF(OR($C$48&gt;$AR125,$D$48&lt;$AR125),0,Schweine_Werte!$K125))</f>
        <v>0</v>
      </c>
      <c r="BQ125" s="1713">
        <f>IF(OR($C$60=$AR125,$D$60=$AR125),Schweine_Werte!$K125*0.5,IF(OR($C$60&gt;$AR125,$D$60&lt;$AR125),0,Schweine_Werte!$K125))</f>
        <v>0</v>
      </c>
      <c r="BR125" s="1710">
        <f>IF(OR($C$74=$AR125,$D$74=$AR125),Schweine_Werte!$M125*0.5,IF(OR($C$74&gt;$AR125,$D$74&lt;$AR125),0,Schweine_Werte!$M125))</f>
        <v>0</v>
      </c>
      <c r="BS125" s="1710">
        <f>IF(OR($C$83=$AR125,$D$83=$AR125),Schweine_Werte!$M125*0.5,IF(OR($C$83&gt;$AR125,$D$83&lt;$AR125),0,Schweine_Werte!$M125))</f>
        <v>0</v>
      </c>
      <c r="BT125" s="1714">
        <f>IF(OR($C$92=$AR125,$D$92=$AR125),Schweine_Werte!$M125*0.5,IF(OR($C$92&gt;$AR125,$D$92&lt;$AR125),0,Schweine_Werte!$M125))</f>
        <v>0</v>
      </c>
      <c r="BU125" s="1714">
        <f>IF(OR($C$101=$AR125,$D$101=$AR125),Schweine_Werte!$M125*0.5,IF(OR($C$101&gt;$AR125,$D$101&lt;$AR125),0,Schweine_Werte!$M125))</f>
        <v>0</v>
      </c>
      <c r="BV125" s="1714">
        <f>IF(OR($C$110=$AR125,$D$110=$AR125),Schweine_Werte!$M125*0.5,IF(OR($C$110&gt;$AR125,$D$110&lt;$AR125),0,Schweine_Werte!$M125))</f>
        <v>0</v>
      </c>
      <c r="BW125" s="1714">
        <f>IF(OR(8=$AR125,$E$127=$AR125),Schweine_Werte!$M125*0.5,IF(OR(8&gt;$AR125,$E$127&lt;$AR125),0,Schweine_Werte!$M125))</f>
        <v>1.4477278921508818</v>
      </c>
      <c r="BX125" s="1714">
        <f>IF(OR(8=$AR125,$E$145=$AR125),Schweine_Werte!$M125*0.5,IF(OR(8&gt;$AR125,$E$145&lt;$AR125),0,Schweine_Werte!$M125))</f>
        <v>1.4477278921508818</v>
      </c>
      <c r="BY125" s="1710">
        <f>IF(OR($C$74=$AR125,$D$74=$AR125),Schweine_Werte!$O125*0.5,IF(OR($C$74&gt;$AR125,$D$74&lt;$AR125),0,Schweine_Werte!$O125))</f>
        <v>0</v>
      </c>
      <c r="BZ125" s="1710">
        <f>IF(OR($C$83=$AR125,$D$83=$AR125),Schweine_Werte!$O125*0.5,IF(OR($C$83&gt;$AR125,$D$83&lt;$AR125),0,Schweine_Werte!$O125))</f>
        <v>0</v>
      </c>
      <c r="CA125" s="1714">
        <f>IF(OR($C$92=$AR125,$D$92=$AR125),Schweine_Werte!$O125*0.5,IF(OR($C$92&gt;$AR125,$D$92&lt;$AR125),0,Schweine_Werte!$O125))</f>
        <v>0</v>
      </c>
      <c r="CB125" s="1714">
        <f>IF(OR($C$101=$AR125,$D$101=$AR125),Schweine_Werte!$O125*0.5,IF(OR($C$101&gt;$AR125,$D$101&lt;$AR125),0,Schweine_Werte!$O125))</f>
        <v>0</v>
      </c>
      <c r="CC125" s="1714">
        <f>IF(OR($C$110=$AR125,$D$110=$AR125),Schweine_Werte!$O125*0.5,IF(OR($C$110&gt;$AR125,$D$110&lt;$AR125),0,Schweine_Werte!$O125))</f>
        <v>0</v>
      </c>
    </row>
    <row r="126" spans="1:81" ht="18.75" x14ac:dyDescent="0.25">
      <c r="B126" s="1736" t="s">
        <v>8594</v>
      </c>
      <c r="C126" s="1737"/>
      <c r="D126" s="1738" t="s">
        <v>8622</v>
      </c>
      <c r="E126" s="1739" t="s">
        <v>8623</v>
      </c>
      <c r="F126" s="1722" t="s">
        <v>195</v>
      </c>
      <c r="G126" s="1723" t="s">
        <v>4</v>
      </c>
      <c r="H126" s="1723" t="s">
        <v>8598</v>
      </c>
      <c r="I126" s="1723" t="s">
        <v>8599</v>
      </c>
      <c r="J126" s="1724" t="s">
        <v>8600</v>
      </c>
      <c r="K126" s="1724" t="s">
        <v>8600</v>
      </c>
      <c r="L126" s="1725" t="s">
        <v>35</v>
      </c>
      <c r="M126" s="1725" t="s">
        <v>8601</v>
      </c>
      <c r="N126" s="1725" t="s">
        <v>37</v>
      </c>
      <c r="O126" s="1726" t="s">
        <v>0</v>
      </c>
      <c r="P126" s="1726" t="s">
        <v>9</v>
      </c>
      <c r="Q126" s="1725" t="s">
        <v>35</v>
      </c>
      <c r="R126" s="1725" t="s">
        <v>36</v>
      </c>
      <c r="S126" s="1725" t="s">
        <v>37</v>
      </c>
      <c r="T126" s="1725" t="s">
        <v>35</v>
      </c>
      <c r="U126" s="1725" t="s">
        <v>36</v>
      </c>
      <c r="V126" s="1725" t="s">
        <v>37</v>
      </c>
      <c r="W126" s="1724" t="s">
        <v>8528</v>
      </c>
      <c r="X126" s="1724" t="s">
        <v>8529</v>
      </c>
      <c r="Y126" s="1724" t="s">
        <v>8530</v>
      </c>
      <c r="AR126" s="1733">
        <v>130</v>
      </c>
      <c r="AS126" s="1710">
        <f>IF(OR($C$12=$AR126,$D$12=$AR126),Schweine_Werte!$C126*0.5,IF(OR($C$12&gt;$AR126,$D$12&lt;$AR126),0,Schweine_Werte!$C126))</f>
        <v>0</v>
      </c>
      <c r="AT126" s="1713">
        <f>IF(OR($C$24=$AR126,$D$24=$AR126),Schweine_Werte!$C126*0.5,IF(OR($C$24&gt;$AR126,$D$24&lt;$AR126),0,Schweine_Werte!$C126))</f>
        <v>0</v>
      </c>
      <c r="AU126" s="1710">
        <f>IF(OR($C$36=$AR126,$D$36=$AR126),Schweine_Werte!$C126*0.5,IF(OR($C$36&gt;$AR126,$D$36&lt;$AR126),0,Schweine_Werte!$C126))</f>
        <v>0</v>
      </c>
      <c r="AV126" s="1710">
        <f>IF(OR($C$48=$AR126,$D$48=$AR126),Schweine_Werte!$C126*0.5,IF(OR($C$48&gt;$AR126,$D$48&lt;$AR126),0,Schweine_Werte!$C126))</f>
        <v>0</v>
      </c>
      <c r="AW126" s="1710">
        <f>IF(OR($C$60=$AR126,$D$60=$AR126),Schweine_Werte!$C126*0.5,IF(OR($C$60&gt;$AR126,$D$60&lt;$AR126),0,Schweine_Werte!$C126))</f>
        <v>0</v>
      </c>
      <c r="AX126" s="1710">
        <f>IF(OR($C$12=$AR126,$D$12=$AR126),Schweine_Werte!$E126*0.5,IF(OR($C$12&gt;$AR126,$D$12&lt;$AR126),0,Schweine_Werte!$E126))</f>
        <v>0</v>
      </c>
      <c r="AY126" s="1713">
        <f>IF(OR($C$24=$AR126,$D$24=$AR126),Schweine_Werte!$E126*0.5,IF(OR($C$24&gt;$AR126,$D$24&lt;$AR126),0,Schweine_Werte!$E126))</f>
        <v>0</v>
      </c>
      <c r="AZ126" s="1713">
        <f>IF(OR($C$36=$AR126,$D$36=$AR126),Schweine_Werte!$E126*0.5,IF(OR($C$36&gt;$AR126,$D$36&lt;$AR126),0,Schweine_Werte!$E126))</f>
        <v>0</v>
      </c>
      <c r="BA126" s="1713">
        <f>IF(OR($C$48=$AR126,$D$48=$AR126),Schweine_Werte!$E126*0.5,IF(OR($C$48&gt;$AR126,$D$48&lt;$AR126),0,Schweine_Werte!$E126))</f>
        <v>0</v>
      </c>
      <c r="BB126" s="1713">
        <f>IF(OR($C$60=$AR126,$D$60=$AR126),Schweine_Werte!$E126*0.5,IF(OR($C$60&gt;$AR126,$D$60&lt;$AR126),0,Schweine_Werte!$E126))</f>
        <v>0</v>
      </c>
      <c r="BC126" s="1710">
        <f>IF(OR($C$12=$AR126,$D$12=$AR126),Schweine_Werte!$G126*0.5,IF(OR($C$12&gt;$AR126,$D$12&lt;$AR126),0,Schweine_Werte!$G126))</f>
        <v>0</v>
      </c>
      <c r="BD126" s="1713">
        <f>IF(OR($C$24=$AR126,$D$24=$AR126),Schweine_Werte!$G126*0.5,IF(OR($C$24&gt;$AR126,$D$24&lt;$AR126),0,Schweine_Werte!$G126))</f>
        <v>0</v>
      </c>
      <c r="BE126" s="1713">
        <f>IF(OR($C$36=$AR126,$D$36=$AR126),Schweine_Werte!$G126*0.5,IF(OR($C$36&gt;$AR126,$D$36&lt;$AR126),0,Schweine_Werte!$G126))</f>
        <v>0</v>
      </c>
      <c r="BF126" s="1713">
        <f>IF(OR($C$48=$AR126,$D$48=$AR126),Schweine_Werte!$G126*0.5,IF(OR($C$48&gt;$AR126,$D$48&lt;$AR126),0,Schweine_Werte!$G126))</f>
        <v>0</v>
      </c>
      <c r="BG126" s="1713">
        <f>IF(OR($C$60=$AR126,$D$60=$AR126),Schweine_Werte!$G126*0.5,IF(OR($C$60&gt;$AR126,$D$60&lt;$AR126),0,Schweine_Werte!$G126))</f>
        <v>0</v>
      </c>
      <c r="BH126" s="1710">
        <f>IF(OR($C$12=$AR126,$D$12=$AR126),Schweine_Werte!$I126*0.5,IF(OR($C$12&gt;$AR126,$D$12&lt;$AR126),0,Schweine_Werte!$I126))</f>
        <v>0</v>
      </c>
      <c r="BI126" s="1713">
        <f>IF(OR($C$24=$AR126,$D$24=$AR126),Schweine_Werte!$I126*0.5,IF(OR($C$24&gt;$AR126,$D$24&lt;$AR126),0,Schweine_Werte!$I126))</f>
        <v>0</v>
      </c>
      <c r="BJ126" s="1713">
        <f>IF(OR($C$36=$AR126,$D$36=$AR126),Schweine_Werte!$I126*0.5,IF(OR($C$36&gt;$AR126,$D$36&lt;$AR126),0,Schweine_Werte!$I126))</f>
        <v>0</v>
      </c>
      <c r="BK126" s="1713">
        <f>IF(OR($C$48=$AR126,$D$48=$AR126),Schweine_Werte!$I126*0.5,IF(OR($C$48&gt;$AR126,$D$48&lt;$AR126),0,Schweine_Werte!$I126))</f>
        <v>0</v>
      </c>
      <c r="BL126" s="1713">
        <f>IF(OR($C$60=$AR126,$D$60=$AR126),Schweine_Werte!$I126*0.5,IF(OR($C$60&gt;$AR126,$D$60&lt;$AR126),0,Schweine_Werte!$I126))</f>
        <v>0</v>
      </c>
      <c r="BM126" s="1710">
        <f>IF(OR($C$12=$AR126,$D$12=$AR126),Schweine_Werte!$K126*0.5,IF(OR($C$12&gt;$AR126,$D$12&lt;$AR126),0,Schweine_Werte!$K126))</f>
        <v>0</v>
      </c>
      <c r="BN126" s="1713">
        <f>IF(OR($C$24=$AR126,$D$24=$AR126),Schweine_Werte!$K126*0.5,IF(OR($C$24&gt;$AR126,$D$24&lt;$AR126),0,Schweine_Werte!$K126))</f>
        <v>0</v>
      </c>
      <c r="BO126" s="1713">
        <f>IF(OR($C$36=$AR126,$D$36=$AR126),Schweine_Werte!$K126*0.5,IF(OR($C$36&gt;$AR126,$D$36&lt;$AR126),0,Schweine_Werte!$K126))</f>
        <v>0</v>
      </c>
      <c r="BP126" s="1713">
        <f>IF(OR($C$48=$AR126,$D$48=$AR126),Schweine_Werte!$K126*0.5,IF(OR($C$48&gt;$AR126,$D$48&lt;$AR126),0,Schweine_Werte!$K126))</f>
        <v>0</v>
      </c>
      <c r="BQ126" s="1713">
        <f>IF(OR($C$60=$AR126,$D$60=$AR126),Schweine_Werte!$K126*0.5,IF(OR($C$60&gt;$AR126,$D$60&lt;$AR126),0,Schweine_Werte!$K126))</f>
        <v>0</v>
      </c>
      <c r="BR126" s="1710">
        <f>IF(OR($C$74=$AR126,$D$74=$AR126),Schweine_Werte!$M126*0.5,IF(OR($C$74&gt;$AR126,$D$74&lt;$AR126),0,Schweine_Werte!$M126))</f>
        <v>0</v>
      </c>
      <c r="BS126" s="1710">
        <f>IF(OR($C$83=$AR126,$D$83=$AR126),Schweine_Werte!$M126*0.5,IF(OR($C$83&gt;$AR126,$D$83&lt;$AR126),0,Schweine_Werte!$M126))</f>
        <v>0</v>
      </c>
      <c r="BT126" s="1714">
        <f>IF(OR($C$92=$AR126,$D$92=$AR126),Schweine_Werte!$M126*0.5,IF(OR($C$92&gt;$AR126,$D$92&lt;$AR126),0,Schweine_Werte!$M126))</f>
        <v>0</v>
      </c>
      <c r="BU126" s="1714">
        <f>IF(OR($C$101=$AR126,$D$101=$AR126),Schweine_Werte!$M126*0.5,IF(OR($C$101&gt;$AR126,$D$101&lt;$AR126),0,Schweine_Werte!$M126))</f>
        <v>0</v>
      </c>
      <c r="BV126" s="1714">
        <f>IF(OR($C$110=$AR126,$D$110=$AR126),Schweine_Werte!$M126*0.5,IF(OR($C$110&gt;$AR126,$D$110&lt;$AR126),0,Schweine_Werte!$M126))</f>
        <v>0</v>
      </c>
      <c r="BW126" s="1714">
        <f>IF(OR(8=$AR126,$E$127=$AR126),Schweine_Werte!$M126*0.5,IF(OR(8&gt;$AR126,$E$127&lt;$AR126),0,Schweine_Werte!$M126))</f>
        <v>1.4477278921508818</v>
      </c>
      <c r="BX126" s="1714">
        <f>IF(OR(8=$AR126,$E$145=$AR126),Schweine_Werte!$M126*0.5,IF(OR(8&gt;$AR126,$E$145&lt;$AR126),0,Schweine_Werte!$M126))</f>
        <v>1.4477278921508818</v>
      </c>
      <c r="BY126" s="1710">
        <f>IF(OR($C$74=$AR126,$D$74=$AR126),Schweine_Werte!$O126*0.5,IF(OR($C$74&gt;$AR126,$D$74&lt;$AR126),0,Schweine_Werte!$O126))</f>
        <v>0</v>
      </c>
      <c r="BZ126" s="1710">
        <f>IF(OR($C$83=$AR126,$D$83=$AR126),Schweine_Werte!$O126*0.5,IF(OR($C$83&gt;$AR126,$D$83&lt;$AR126),0,Schweine_Werte!$O126))</f>
        <v>0</v>
      </c>
      <c r="CA126" s="1714">
        <f>IF(OR($C$92=$AR126,$D$92=$AR126),Schweine_Werte!$O126*0.5,IF(OR($C$92&gt;$AR126,$D$92&lt;$AR126),0,Schweine_Werte!$O126))</f>
        <v>0</v>
      </c>
      <c r="CB126" s="1714">
        <f>IF(OR($C$101=$AR126,$D$101=$AR126),Schweine_Werte!$O126*0.5,IF(OR($C$101&gt;$AR126,$D$101&lt;$AR126),0,Schweine_Werte!$O126))</f>
        <v>0</v>
      </c>
      <c r="CC126" s="1714">
        <f>IF(OR($C$110=$AR126,$D$110=$AR126),Schweine_Werte!$O126*0.5,IF(OR($C$110&gt;$AR126,$D$110&lt;$AR126),0,Schweine_Werte!$O126))</f>
        <v>0</v>
      </c>
    </row>
    <row r="127" spans="1:81" ht="15.75" x14ac:dyDescent="0.25">
      <c r="A127" s="1685" t="s">
        <v>8564</v>
      </c>
      <c r="B127" s="1758" t="str">
        <f>IF('Eigene, abweichende Tierdaten'!AD11=1,'Eigene, abweichende Tierdaten'!F11,"")</f>
        <v/>
      </c>
      <c r="C127" s="1758"/>
      <c r="D127" s="1759" t="str">
        <f>IF('Eigene, abweichende Tierdaten'!AD11=1,'Eigene, abweichende Tierdaten'!J11,"")</f>
        <v/>
      </c>
      <c r="E127" s="1759" t="str">
        <f>IF('Eigene, abweichende Tierdaten'!AD11=1,'Eigene, abweichende Tierdaten'!L11,"")</f>
        <v/>
      </c>
      <c r="F127" s="1740" t="e">
        <f t="shared" ref="F127:K127" si="31">SUM(F119:F120)</f>
        <v>#VALUE!</v>
      </c>
      <c r="G127" s="1740" t="e">
        <f t="shared" si="31"/>
        <v>#VALUE!</v>
      </c>
      <c r="H127" s="1740" t="e">
        <f t="shared" si="31"/>
        <v>#VALUE!</v>
      </c>
      <c r="I127" s="1740" t="e">
        <f t="shared" si="31"/>
        <v>#VALUE!</v>
      </c>
      <c r="J127" s="1740" t="e">
        <f t="shared" si="31"/>
        <v>#VALUE!</v>
      </c>
      <c r="K127" s="1740" t="e">
        <f t="shared" si="31"/>
        <v>#VALUE!</v>
      </c>
      <c r="L127" s="1740" t="e">
        <f>Q127*365/1000+$J127-$K127</f>
        <v>#VALUE!</v>
      </c>
      <c r="M127" s="1740" t="e">
        <f>R127*365/1000+$J127-$K127/2</f>
        <v>#VALUE!</v>
      </c>
      <c r="N127" s="1740" t="e">
        <f>S127*365/1000+$J127</f>
        <v>#VALUE!</v>
      </c>
      <c r="O127" s="1740">
        <v>5.5</v>
      </c>
      <c r="P127" s="1740">
        <v>1.8</v>
      </c>
      <c r="Q127" s="1740" t="e">
        <f>SUM(Q119:Q120)</f>
        <v>#VALUE!</v>
      </c>
      <c r="R127" s="1740" t="e">
        <f>SUM(R119:R120)</f>
        <v>#VALUE!</v>
      </c>
      <c r="S127" s="1740" t="e">
        <f>SUM(S119:S120)</f>
        <v>#VALUE!</v>
      </c>
      <c r="T127" s="1740" t="e">
        <f>Q127/$F127</f>
        <v>#VALUE!</v>
      </c>
      <c r="U127" s="1740" t="e">
        <f>R127/$F127</f>
        <v>#VALUE!</v>
      </c>
      <c r="V127" s="1740" t="e">
        <f>S127/$F127</f>
        <v>#VALUE!</v>
      </c>
      <c r="W127" s="1740" t="e">
        <f>($J127*0.055+Q127*0.365*0.86-$K127*0.018)/L127*100</f>
        <v>#VALUE!</v>
      </c>
      <c r="X127" s="1740" t="e">
        <f>($J127*0.055+R127*0.365*0.86-$K127*0.018/2)/M127*100</f>
        <v>#VALUE!</v>
      </c>
      <c r="Y127" s="1740" t="e">
        <f>($J127*0.055+S127*0.365*0.86)/N127*100</f>
        <v>#VALUE!</v>
      </c>
      <c r="AR127" s="1733">
        <v>131</v>
      </c>
      <c r="AS127" s="1710">
        <f>IF(OR($C$12=$AR127,$D$12=$AR127),Schweine_Werte!$C127*0.5,IF(OR($C$12&gt;$AR127,$D$12&lt;$AR127),0,Schweine_Werte!$C127))</f>
        <v>0</v>
      </c>
      <c r="AT127" s="1713">
        <f>IF(OR($C$24=$AR127,$D$24=$AR127),Schweine_Werte!$C127*0.5,IF(OR($C$24&gt;$AR127,$D$24&lt;$AR127),0,Schweine_Werte!$C127))</f>
        <v>0</v>
      </c>
      <c r="AU127" s="1710">
        <f>IF(OR($C$36=$AR127,$D$36=$AR127),Schweine_Werte!$C127*0.5,IF(OR($C$36&gt;$AR127,$D$36&lt;$AR127),0,Schweine_Werte!$C127))</f>
        <v>0</v>
      </c>
      <c r="AV127" s="1710">
        <f>IF(OR($C$48=$AR127,$D$48=$AR127),Schweine_Werte!$C127*0.5,IF(OR($C$48&gt;$AR127,$D$48&lt;$AR127),0,Schweine_Werte!$C127))</f>
        <v>0</v>
      </c>
      <c r="AW127" s="1710">
        <f>IF(OR($C$60=$AR127,$D$60=$AR127),Schweine_Werte!$C127*0.5,IF(OR($C$60&gt;$AR127,$D$60&lt;$AR127),0,Schweine_Werte!$C127))</f>
        <v>0</v>
      </c>
      <c r="AX127" s="1710">
        <f>IF(OR($C$12=$AR127,$D$12=$AR127),Schweine_Werte!$E127*0.5,IF(OR($C$12&gt;$AR127,$D$12&lt;$AR127),0,Schweine_Werte!$E127))</f>
        <v>0</v>
      </c>
      <c r="AY127" s="1713">
        <f>IF(OR($C$24=$AR127,$D$24=$AR127),Schweine_Werte!$E127*0.5,IF(OR($C$24&gt;$AR127,$D$24&lt;$AR127),0,Schweine_Werte!$E127))</f>
        <v>0</v>
      </c>
      <c r="AZ127" s="1713">
        <f>IF(OR($C$36=$AR127,$D$36=$AR127),Schweine_Werte!$E127*0.5,IF(OR($C$36&gt;$AR127,$D$36&lt;$AR127),0,Schweine_Werte!$E127))</f>
        <v>0</v>
      </c>
      <c r="BA127" s="1713">
        <f>IF(OR($C$48=$AR127,$D$48=$AR127),Schweine_Werte!$E127*0.5,IF(OR($C$48&gt;$AR127,$D$48&lt;$AR127),0,Schweine_Werte!$E127))</f>
        <v>0</v>
      </c>
      <c r="BB127" s="1713">
        <f>IF(OR($C$60=$AR127,$D$60=$AR127),Schweine_Werte!$E127*0.5,IF(OR($C$60&gt;$AR127,$D$60&lt;$AR127),0,Schweine_Werte!$E127))</f>
        <v>0</v>
      </c>
      <c r="BC127" s="1710">
        <f>IF(OR($C$12=$AR127,$D$12=$AR127),Schweine_Werte!$G127*0.5,IF(OR($C$12&gt;$AR127,$D$12&lt;$AR127),0,Schweine_Werte!$G127))</f>
        <v>0</v>
      </c>
      <c r="BD127" s="1713">
        <f>IF(OR($C$24=$AR127,$D$24=$AR127),Schweine_Werte!$G127*0.5,IF(OR($C$24&gt;$AR127,$D$24&lt;$AR127),0,Schweine_Werte!$G127))</f>
        <v>0</v>
      </c>
      <c r="BE127" s="1713">
        <f>IF(OR($C$36=$AR127,$D$36=$AR127),Schweine_Werte!$G127*0.5,IF(OR($C$36&gt;$AR127,$D$36&lt;$AR127),0,Schweine_Werte!$G127))</f>
        <v>0</v>
      </c>
      <c r="BF127" s="1713">
        <f>IF(OR($C$48=$AR127,$D$48=$AR127),Schweine_Werte!$G127*0.5,IF(OR($C$48&gt;$AR127,$D$48&lt;$AR127),0,Schweine_Werte!$G127))</f>
        <v>0</v>
      </c>
      <c r="BG127" s="1713">
        <f>IF(OR($C$60=$AR127,$D$60=$AR127),Schweine_Werte!$G127*0.5,IF(OR($C$60&gt;$AR127,$D$60&lt;$AR127),0,Schweine_Werte!$G127))</f>
        <v>0</v>
      </c>
      <c r="BH127" s="1710">
        <f>IF(OR($C$12=$AR127,$D$12=$AR127),Schweine_Werte!$I127*0.5,IF(OR($C$12&gt;$AR127,$D$12&lt;$AR127),0,Schweine_Werte!$I127))</f>
        <v>0</v>
      </c>
      <c r="BI127" s="1713">
        <f>IF(OR($C$24=$AR127,$D$24=$AR127),Schweine_Werte!$I127*0.5,IF(OR($C$24&gt;$AR127,$D$24&lt;$AR127),0,Schweine_Werte!$I127))</f>
        <v>0</v>
      </c>
      <c r="BJ127" s="1713">
        <f>IF(OR($C$36=$AR127,$D$36=$AR127),Schweine_Werte!$I127*0.5,IF(OR($C$36&gt;$AR127,$D$36&lt;$AR127),0,Schweine_Werte!$I127))</f>
        <v>0</v>
      </c>
      <c r="BK127" s="1713">
        <f>IF(OR($C$48=$AR127,$D$48=$AR127),Schweine_Werte!$I127*0.5,IF(OR($C$48&gt;$AR127,$D$48&lt;$AR127),0,Schweine_Werte!$I127))</f>
        <v>0</v>
      </c>
      <c r="BL127" s="1713">
        <f>IF(OR($C$60=$AR127,$D$60=$AR127),Schweine_Werte!$I127*0.5,IF(OR($C$60&gt;$AR127,$D$60&lt;$AR127),0,Schweine_Werte!$I127))</f>
        <v>0</v>
      </c>
      <c r="BM127" s="1710">
        <f>IF(OR($C$12=$AR127,$D$12=$AR127),Schweine_Werte!$K127*0.5,IF(OR($C$12&gt;$AR127,$D$12&lt;$AR127),0,Schweine_Werte!$K127))</f>
        <v>0</v>
      </c>
      <c r="BN127" s="1713">
        <f>IF(OR($C$24=$AR127,$D$24=$AR127),Schweine_Werte!$K127*0.5,IF(OR($C$24&gt;$AR127,$D$24&lt;$AR127),0,Schweine_Werte!$K127))</f>
        <v>0</v>
      </c>
      <c r="BO127" s="1713">
        <f>IF(OR($C$36=$AR127,$D$36=$AR127),Schweine_Werte!$K127*0.5,IF(OR($C$36&gt;$AR127,$D$36&lt;$AR127),0,Schweine_Werte!$K127))</f>
        <v>0</v>
      </c>
      <c r="BP127" s="1713">
        <f>IF(OR($C$48=$AR127,$D$48=$AR127),Schweine_Werte!$K127*0.5,IF(OR($C$48&gt;$AR127,$D$48&lt;$AR127),0,Schweine_Werte!$K127))</f>
        <v>0</v>
      </c>
      <c r="BQ127" s="1713">
        <f>IF(OR($C$60=$AR127,$D$60=$AR127),Schweine_Werte!$K127*0.5,IF(OR($C$60&gt;$AR127,$D$60&lt;$AR127),0,Schweine_Werte!$K127))</f>
        <v>0</v>
      </c>
      <c r="BR127" s="1710">
        <f>IF(OR($C$74=$AR127,$D$74=$AR127),Schweine_Werte!$M127*0.5,IF(OR($C$74&gt;$AR127,$D$74&lt;$AR127),0,Schweine_Werte!$M127))</f>
        <v>0</v>
      </c>
      <c r="BS127" s="1710">
        <f>IF(OR($C$83=$AR127,$D$83=$AR127),Schweine_Werte!$M127*0.5,IF(OR($C$83&gt;$AR127,$D$83&lt;$AR127),0,Schweine_Werte!$M127))</f>
        <v>0</v>
      </c>
      <c r="BT127" s="1714">
        <f>IF(OR($C$92=$AR127,$D$92=$AR127),Schweine_Werte!$M127*0.5,IF(OR($C$92&gt;$AR127,$D$92&lt;$AR127),0,Schweine_Werte!$M127))</f>
        <v>0</v>
      </c>
      <c r="BU127" s="1714">
        <f>IF(OR($C$101=$AR127,$D$101=$AR127),Schweine_Werte!$M127*0.5,IF(OR($C$101&gt;$AR127,$D$101&lt;$AR127),0,Schweine_Werte!$M127))</f>
        <v>0</v>
      </c>
      <c r="BV127" s="1714">
        <f>IF(OR($C$110=$AR127,$D$110=$AR127),Schweine_Werte!$M127*0.5,IF(OR($C$110&gt;$AR127,$D$110&lt;$AR127),0,Schweine_Werte!$M127))</f>
        <v>0</v>
      </c>
      <c r="BW127" s="1714">
        <f>IF(OR(8=$AR127,$E$127=$AR127),Schweine_Werte!$M127*0.5,IF(OR(8&gt;$AR127,$E$127&lt;$AR127),0,Schweine_Werte!$M127))</f>
        <v>1.4477278921508818</v>
      </c>
      <c r="BX127" s="1714">
        <f>IF(OR(8=$AR127,$E$145=$AR127),Schweine_Werte!$M127*0.5,IF(OR(8&gt;$AR127,$E$145&lt;$AR127),0,Schweine_Werte!$M127))</f>
        <v>1.4477278921508818</v>
      </c>
      <c r="BY127" s="1710">
        <f>IF(OR($C$74=$AR127,$D$74=$AR127),Schweine_Werte!$O127*0.5,IF(OR($C$74&gt;$AR127,$D$74&lt;$AR127),0,Schweine_Werte!$O127))</f>
        <v>0</v>
      </c>
      <c r="BZ127" s="1710">
        <f>IF(OR($C$83=$AR127,$D$83=$AR127),Schweine_Werte!$O127*0.5,IF(OR($C$83&gt;$AR127,$D$83&lt;$AR127),0,Schweine_Werte!$O127))</f>
        <v>0</v>
      </c>
      <c r="CA127" s="1714">
        <f>IF(OR($C$92=$AR127,$D$92=$AR127),Schweine_Werte!$O127*0.5,IF(OR($C$92&gt;$AR127,$D$92&lt;$AR127),0,Schweine_Werte!$O127))</f>
        <v>0</v>
      </c>
      <c r="CB127" s="1714">
        <f>IF(OR($C$101=$AR127,$D$101=$AR127),Schweine_Werte!$O127*0.5,IF(OR($C$101&gt;$AR127,$D$101&lt;$AR127),0,Schweine_Werte!$O127))</f>
        <v>0</v>
      </c>
      <c r="CC127" s="1714">
        <f>IF(OR($C$110=$AR127,$D$110=$AR127),Schweine_Werte!$O127*0.5,IF(OR($C$110&gt;$AR127,$D$110&lt;$AR127),0,Schweine_Werte!$O127))</f>
        <v>0</v>
      </c>
    </row>
    <row r="128" spans="1:81" x14ac:dyDescent="0.25">
      <c r="E128" s="1685" t="s">
        <v>8614</v>
      </c>
      <c r="AR128" s="1733">
        <v>132</v>
      </c>
      <c r="AS128" s="1710">
        <f>IF(OR($C$12=$AR128,$D$12=$AR128),Schweine_Werte!$C128*0.5,IF(OR($C$12&gt;$AR128,$D$12&lt;$AR128),0,Schweine_Werte!$C128))</f>
        <v>0</v>
      </c>
      <c r="AT128" s="1713">
        <f>IF(OR($C$24=$AR128,$D$24=$AR128),Schweine_Werte!$C128*0.5,IF(OR($C$24&gt;$AR128,$D$24&lt;$AR128),0,Schweine_Werte!$C128))</f>
        <v>0</v>
      </c>
      <c r="AU128" s="1710">
        <f>IF(OR($C$36=$AR128,$D$36=$AR128),Schweine_Werte!$C128*0.5,IF(OR($C$36&gt;$AR128,$D$36&lt;$AR128),0,Schweine_Werte!$C128))</f>
        <v>0</v>
      </c>
      <c r="AV128" s="1710">
        <f>IF(OR($C$48=$AR128,$D$48=$AR128),Schweine_Werte!$C128*0.5,IF(OR($C$48&gt;$AR128,$D$48&lt;$AR128),0,Schweine_Werte!$C128))</f>
        <v>0</v>
      </c>
      <c r="AW128" s="1710">
        <f>IF(OR($C$60=$AR128,$D$60=$AR128),Schweine_Werte!$C128*0.5,IF(OR($C$60&gt;$AR128,$D$60&lt;$AR128),0,Schweine_Werte!$C128))</f>
        <v>0</v>
      </c>
      <c r="AX128" s="1710">
        <f>IF(OR($C$12=$AR128,$D$12=$AR128),Schweine_Werte!$E128*0.5,IF(OR($C$12&gt;$AR128,$D$12&lt;$AR128),0,Schweine_Werte!$E128))</f>
        <v>0</v>
      </c>
      <c r="AY128" s="1713">
        <f>IF(OR($C$24=$AR128,$D$24=$AR128),Schweine_Werte!$E128*0.5,IF(OR($C$24&gt;$AR128,$D$24&lt;$AR128),0,Schweine_Werte!$E128))</f>
        <v>0</v>
      </c>
      <c r="AZ128" s="1713">
        <f>IF(OR($C$36=$AR128,$D$36=$AR128),Schweine_Werte!$E128*0.5,IF(OR($C$36&gt;$AR128,$D$36&lt;$AR128),0,Schweine_Werte!$E128))</f>
        <v>0</v>
      </c>
      <c r="BA128" s="1713">
        <f>IF(OR($C$48=$AR128,$D$48=$AR128),Schweine_Werte!$E128*0.5,IF(OR($C$48&gt;$AR128,$D$48&lt;$AR128),0,Schweine_Werte!$E128))</f>
        <v>0</v>
      </c>
      <c r="BB128" s="1713">
        <f>IF(OR($C$60=$AR128,$D$60=$AR128),Schweine_Werte!$E128*0.5,IF(OR($C$60&gt;$AR128,$D$60&lt;$AR128),0,Schweine_Werte!$E128))</f>
        <v>0</v>
      </c>
      <c r="BC128" s="1710">
        <f>IF(OR($C$12=$AR128,$D$12=$AR128),Schweine_Werte!$G128*0.5,IF(OR($C$12&gt;$AR128,$D$12&lt;$AR128),0,Schweine_Werte!$G128))</f>
        <v>0</v>
      </c>
      <c r="BD128" s="1713">
        <f>IF(OR($C$24=$AR128,$D$24=$AR128),Schweine_Werte!$G128*0.5,IF(OR($C$24&gt;$AR128,$D$24&lt;$AR128),0,Schweine_Werte!$G128))</f>
        <v>0</v>
      </c>
      <c r="BE128" s="1713">
        <f>IF(OR($C$36=$AR128,$D$36=$AR128),Schweine_Werte!$G128*0.5,IF(OR($C$36&gt;$AR128,$D$36&lt;$AR128),0,Schweine_Werte!$G128))</f>
        <v>0</v>
      </c>
      <c r="BF128" s="1713">
        <f>IF(OR($C$48=$AR128,$D$48=$AR128),Schweine_Werte!$G128*0.5,IF(OR($C$48&gt;$AR128,$D$48&lt;$AR128),0,Schweine_Werte!$G128))</f>
        <v>0</v>
      </c>
      <c r="BG128" s="1713">
        <f>IF(OR($C$60=$AR128,$D$60=$AR128),Schweine_Werte!$G128*0.5,IF(OR($C$60&gt;$AR128,$D$60&lt;$AR128),0,Schweine_Werte!$G128))</f>
        <v>0</v>
      </c>
      <c r="BH128" s="1710">
        <f>IF(OR($C$12=$AR128,$D$12=$AR128),Schweine_Werte!$I128*0.5,IF(OR($C$12&gt;$AR128,$D$12&lt;$AR128),0,Schweine_Werte!$I128))</f>
        <v>0</v>
      </c>
      <c r="BI128" s="1713">
        <f>IF(OR($C$24=$AR128,$D$24=$AR128),Schweine_Werte!$I128*0.5,IF(OR($C$24&gt;$AR128,$D$24&lt;$AR128),0,Schweine_Werte!$I128))</f>
        <v>0</v>
      </c>
      <c r="BJ128" s="1713">
        <f>IF(OR($C$36=$AR128,$D$36=$AR128),Schweine_Werte!$I128*0.5,IF(OR($C$36&gt;$AR128,$D$36&lt;$AR128),0,Schweine_Werte!$I128))</f>
        <v>0</v>
      </c>
      <c r="BK128" s="1713">
        <f>IF(OR($C$48=$AR128,$D$48=$AR128),Schweine_Werte!$I128*0.5,IF(OR($C$48&gt;$AR128,$D$48&lt;$AR128),0,Schweine_Werte!$I128))</f>
        <v>0</v>
      </c>
      <c r="BL128" s="1713">
        <f>IF(OR($C$60=$AR128,$D$60=$AR128),Schweine_Werte!$I128*0.5,IF(OR($C$60&gt;$AR128,$D$60&lt;$AR128),0,Schweine_Werte!$I128))</f>
        <v>0</v>
      </c>
      <c r="BM128" s="1710">
        <f>IF(OR($C$12=$AR128,$D$12=$AR128),Schweine_Werte!$K128*0.5,IF(OR($C$12&gt;$AR128,$D$12&lt;$AR128),0,Schweine_Werte!$K128))</f>
        <v>0</v>
      </c>
      <c r="BN128" s="1713">
        <f>IF(OR($C$24=$AR128,$D$24=$AR128),Schweine_Werte!$K128*0.5,IF(OR($C$24&gt;$AR128,$D$24&lt;$AR128),0,Schweine_Werte!$K128))</f>
        <v>0</v>
      </c>
      <c r="BO128" s="1713">
        <f>IF(OR($C$36=$AR128,$D$36=$AR128),Schweine_Werte!$K128*0.5,IF(OR($C$36&gt;$AR128,$D$36&lt;$AR128),0,Schweine_Werte!$K128))</f>
        <v>0</v>
      </c>
      <c r="BP128" s="1713">
        <f>IF(OR($C$48=$AR128,$D$48=$AR128),Schweine_Werte!$K128*0.5,IF(OR($C$48&gt;$AR128,$D$48&lt;$AR128),0,Schweine_Werte!$K128))</f>
        <v>0</v>
      </c>
      <c r="BQ128" s="1713">
        <f>IF(OR($C$60=$AR128,$D$60=$AR128),Schweine_Werte!$K128*0.5,IF(OR($C$60&gt;$AR128,$D$60&lt;$AR128),0,Schweine_Werte!$K128))</f>
        <v>0</v>
      </c>
      <c r="BR128" s="1710">
        <f>IF(OR($C$74=$AR128,$D$74=$AR128),Schweine_Werte!$M128*0.5,IF(OR($C$74&gt;$AR128,$D$74&lt;$AR128),0,Schweine_Werte!$M128))</f>
        <v>0</v>
      </c>
      <c r="BS128" s="1710">
        <f>IF(OR($C$83=$AR128,$D$83=$AR128),Schweine_Werte!$M128*0.5,IF(OR($C$83&gt;$AR128,$D$83&lt;$AR128),0,Schweine_Werte!$M128))</f>
        <v>0</v>
      </c>
      <c r="BT128" s="1714">
        <f>IF(OR($C$92=$AR128,$D$92=$AR128),Schweine_Werte!$M128*0.5,IF(OR($C$92&gt;$AR128,$D$92&lt;$AR128),0,Schweine_Werte!$M128))</f>
        <v>0</v>
      </c>
      <c r="BU128" s="1714">
        <f>IF(OR($C$101=$AR128,$D$101=$AR128),Schweine_Werte!$M128*0.5,IF(OR($C$101&gt;$AR128,$D$101&lt;$AR128),0,Schweine_Werte!$M128))</f>
        <v>0</v>
      </c>
      <c r="BV128" s="1714">
        <f>IF(OR($C$110=$AR128,$D$110=$AR128),Schweine_Werte!$M128*0.5,IF(OR($C$110&gt;$AR128,$D$110&lt;$AR128),0,Schweine_Werte!$M128))</f>
        <v>0</v>
      </c>
      <c r="BW128" s="1714">
        <f>IF(OR(8=$AR128,$E$127=$AR128),Schweine_Werte!$M128*0.5,IF(OR(8&gt;$AR128,$E$127&lt;$AR128),0,Schweine_Werte!$M128))</f>
        <v>1.4477278921508818</v>
      </c>
      <c r="BX128" s="1714">
        <f>IF(OR(8=$AR128,$E$145=$AR128),Schweine_Werte!$M128*0.5,IF(OR(8&gt;$AR128,$E$145&lt;$AR128),0,Schweine_Werte!$M128))</f>
        <v>1.4477278921508818</v>
      </c>
      <c r="BY128" s="1710">
        <f>IF(OR($C$74=$AR128,$D$74=$AR128),Schweine_Werte!$O128*0.5,IF(OR($C$74&gt;$AR128,$D$74&lt;$AR128),0,Schweine_Werte!$O128))</f>
        <v>0</v>
      </c>
      <c r="BZ128" s="1710">
        <f>IF(OR($C$83=$AR128,$D$83=$AR128),Schweine_Werte!$O128*0.5,IF(OR($C$83&gt;$AR128,$D$83&lt;$AR128),0,Schweine_Werte!$O128))</f>
        <v>0</v>
      </c>
      <c r="CA128" s="1714">
        <f>IF(OR($C$92=$AR128,$D$92=$AR128),Schweine_Werte!$O128*0.5,IF(OR($C$92&gt;$AR128,$D$92&lt;$AR128),0,Schweine_Werte!$O128))</f>
        <v>0</v>
      </c>
      <c r="CB128" s="1714">
        <f>IF(OR($C$101=$AR128,$D$101=$AR128),Schweine_Werte!$O128*0.5,IF(OR($C$101&gt;$AR128,$D$101&lt;$AR128),0,Schweine_Werte!$O128))</f>
        <v>0</v>
      </c>
      <c r="CC128" s="1714">
        <f>IF(OR($C$110=$AR128,$D$110=$AR128),Schweine_Werte!$O128*0.5,IF(OR($C$110&gt;$AR128,$D$110&lt;$AR128),0,Schweine_Werte!$O128))</f>
        <v>0</v>
      </c>
    </row>
    <row r="129" spans="2:81" x14ac:dyDescent="0.25">
      <c r="C129" s="3262" t="s">
        <v>8624</v>
      </c>
      <c r="D129" s="1685">
        <v>22</v>
      </c>
      <c r="E129" s="1685">
        <v>28</v>
      </c>
      <c r="F129" s="1713">
        <v>0.39</v>
      </c>
      <c r="G129" s="1713" t="str">
        <f>IF($B$127=$A$5,Basisdaten!$B$25,IF($B$127=$A$6,Basisdaten!$B$26,IF($B$127=$A$7,Basisdaten!$B$27,IF($B$127=$A$8,Basisdaten!$B$28,""))))</f>
        <v/>
      </c>
      <c r="H129" s="1713" t="str">
        <f>IF($B$127=$A$5,Basisdaten!$C$25,IF($B$127=$A$6,Basisdaten!$C$26,IF($B$127=$A$7,Basisdaten!$C$27,IF($B$127=$A$8,Basisdaten!$C$28,""))))</f>
        <v/>
      </c>
      <c r="I129" s="1713" t="str">
        <f>IF($B$127=$A$5,Basisdaten!$D$25,IF($B$127=$A$6,Basisdaten!$D$26,IF($B$127=$A$7,Basisdaten!$D$27,IF($B$127=$A$8,Basisdaten!$D$28,""))))</f>
        <v/>
      </c>
      <c r="J129" s="1713" t="str">
        <f>IF($B$127=$A$5,Basisdaten!$F$25,IF($B$127=$A$6,Basisdaten!$F$26,IF($B$127=$A$7,Basisdaten!$F$27,IF($B$127=$A$8,Basisdaten!$F$28,""))))</f>
        <v/>
      </c>
      <c r="K129" s="1713" t="str">
        <f>IF($B$127=$A$5,Basisdaten!$J$25,IF($B$127=$A$6,Basisdaten!$J$26,IF($B$127=$A$7,Basisdaten!$J$27,IF($B$127=$A$8,Basisdaten!$J$28,""))))</f>
        <v/>
      </c>
      <c r="L129" s="1713" t="str">
        <f>IF($B$127=$A$5,Basisdaten!$G$25,IF($B$127=$A$6,Basisdaten!$G$26,IF($B$127=$A$7,Basisdaten!$G$27,IF($B$127=$A$8,Basisdaten!$G$28,""))))</f>
        <v/>
      </c>
      <c r="M129" s="1713" t="str">
        <f>IF($B$127=$A$5,Basisdaten!$H$25,IF($B$127=$A$6,Basisdaten!$H$26,IF($B$127=$A$7,Basisdaten!$H$27,IF($B$127=$A$8,Basisdaten!$H$28,""))))</f>
        <v/>
      </c>
      <c r="N129" s="1713" t="str">
        <f>IF($B$127=$A$5,Basisdaten!$I$25,IF($B$127=$A$6,Basisdaten!$I$26,IF($B$127=$A$7,Basisdaten!$I$27,IF($B$127=$A$8,Basisdaten!$I$28,""))))</f>
        <v/>
      </c>
      <c r="O129" s="1713"/>
      <c r="P129" s="1713"/>
      <c r="Q129" s="1713"/>
      <c r="R129" s="1713"/>
      <c r="S129" s="1713"/>
      <c r="T129" s="1713" t="str">
        <f>IF($B$127=$A$5,Basisdaten!$N$25,IF($B$127=$A$6,Basisdaten!$N$26,IF($B$127=$A$7,Basisdaten!$N$27,IF($B$127=$A$8,Basisdaten!$N$28,""))))</f>
        <v/>
      </c>
      <c r="U129" s="1713" t="str">
        <f>IF($B$127=$A$5,Basisdaten!$O$25,IF($B$127=$A$6,Basisdaten!$O$26,IF($B$127=$A$7,Basisdaten!$O$27,IF($B$127=$A$8,Basisdaten!$O$28,""))))</f>
        <v/>
      </c>
      <c r="V129" s="1713" t="str">
        <f>IF($B$127=$A$5,Basisdaten!$P$25,IF($B$127=$A$6,Basisdaten!$P$26,IF($B$127=$A$7,Basisdaten!$P$27,IF($B$127=$A$8,Basisdaten!$P$28,""))))</f>
        <v/>
      </c>
      <c r="W129" s="1713" t="str">
        <f>IF($B$127=$A$5,Basisdaten!$K$25,IF($B$127=$A$6,Basisdaten!$K$26,IF($B$127=$A$7,Basisdaten!$K$27,IF($B$127=$A$8,Basisdaten!$K$28,""))))</f>
        <v/>
      </c>
      <c r="X129" s="1713" t="str">
        <f>IF($B$127=$A$5,Basisdaten!$L$25,IF($B$127=$A$6,Basisdaten!$L$26,IF($B$127=$A$7,Basisdaten!$L$27,IF($B$127=$A$8,Basisdaten!$L$28,""))))</f>
        <v/>
      </c>
      <c r="Y129" s="1713" t="str">
        <f>IF($B$127=$A$5,Basisdaten!$M$25,IF($B$127=$A$6,Basisdaten!$M$26,IF($B$127=$A$7,Basisdaten!$M$27,IF($B$127=$A$8,Basisdaten!$M$28,""))))</f>
        <v/>
      </c>
      <c r="AR129" s="1733">
        <v>133</v>
      </c>
      <c r="AS129" s="1710">
        <f>IF(OR($C$12=$AR129,$D$12=$AR129),Schweine_Werte!$C129*0.5,IF(OR($C$12&gt;$AR129,$D$12&lt;$AR129),0,Schweine_Werte!$C129))</f>
        <v>0</v>
      </c>
      <c r="AT129" s="1713">
        <f>IF(OR($C$24=$AR129,$D$24=$AR129),Schweine_Werte!$C129*0.5,IF(OR($C$24&gt;$AR129,$D$24&lt;$AR129),0,Schweine_Werte!$C129))</f>
        <v>0</v>
      </c>
      <c r="AU129" s="1710">
        <f>IF(OR($C$36=$AR129,$D$36=$AR129),Schweine_Werte!$C129*0.5,IF(OR($C$36&gt;$AR129,$D$36&lt;$AR129),0,Schweine_Werte!$C129))</f>
        <v>0</v>
      </c>
      <c r="AV129" s="1710">
        <f>IF(OR($C$48=$AR129,$D$48=$AR129),Schweine_Werte!$C129*0.5,IF(OR($C$48&gt;$AR129,$D$48&lt;$AR129),0,Schweine_Werte!$C129))</f>
        <v>0</v>
      </c>
      <c r="AW129" s="1710">
        <f>IF(OR($C$60=$AR129,$D$60=$AR129),Schweine_Werte!$C129*0.5,IF(OR($C$60&gt;$AR129,$D$60&lt;$AR129),0,Schweine_Werte!$C129))</f>
        <v>0</v>
      </c>
      <c r="AX129" s="1710">
        <f>IF(OR($C$12=$AR129,$D$12=$AR129),Schweine_Werte!$E129*0.5,IF(OR($C$12&gt;$AR129,$D$12&lt;$AR129),0,Schweine_Werte!$E129))</f>
        <v>0</v>
      </c>
      <c r="AY129" s="1713">
        <f>IF(OR($C$24=$AR129,$D$24=$AR129),Schweine_Werte!$E129*0.5,IF(OR($C$24&gt;$AR129,$D$24&lt;$AR129),0,Schweine_Werte!$E129))</f>
        <v>0</v>
      </c>
      <c r="AZ129" s="1713">
        <f>IF(OR($C$36=$AR129,$D$36=$AR129),Schweine_Werte!$E129*0.5,IF(OR($C$36&gt;$AR129,$D$36&lt;$AR129),0,Schweine_Werte!$E129))</f>
        <v>0</v>
      </c>
      <c r="BA129" s="1713">
        <f>IF(OR($C$48=$AR129,$D$48=$AR129),Schweine_Werte!$E129*0.5,IF(OR($C$48&gt;$AR129,$D$48&lt;$AR129),0,Schweine_Werte!$E129))</f>
        <v>0</v>
      </c>
      <c r="BB129" s="1713">
        <f>IF(OR($C$60=$AR129,$D$60=$AR129),Schweine_Werte!$E129*0.5,IF(OR($C$60&gt;$AR129,$D$60&lt;$AR129),0,Schweine_Werte!$E129))</f>
        <v>0</v>
      </c>
      <c r="BC129" s="1710">
        <f>IF(OR($C$12=$AR129,$D$12=$AR129),Schweine_Werte!$G129*0.5,IF(OR($C$12&gt;$AR129,$D$12&lt;$AR129),0,Schweine_Werte!$G129))</f>
        <v>0</v>
      </c>
      <c r="BD129" s="1713">
        <f>IF(OR($C$24=$AR129,$D$24=$AR129),Schweine_Werte!$G129*0.5,IF(OR($C$24&gt;$AR129,$D$24&lt;$AR129),0,Schweine_Werte!$G129))</f>
        <v>0</v>
      </c>
      <c r="BE129" s="1713">
        <f>IF(OR($C$36=$AR129,$D$36=$AR129),Schweine_Werte!$G129*0.5,IF(OR($C$36&gt;$AR129,$D$36&lt;$AR129),0,Schweine_Werte!$G129))</f>
        <v>0</v>
      </c>
      <c r="BF129" s="1713">
        <f>IF(OR($C$48=$AR129,$D$48=$AR129),Schweine_Werte!$G129*0.5,IF(OR($C$48&gt;$AR129,$D$48&lt;$AR129),0,Schweine_Werte!$G129))</f>
        <v>0</v>
      </c>
      <c r="BG129" s="1713">
        <f>IF(OR($C$60=$AR129,$D$60=$AR129),Schweine_Werte!$G129*0.5,IF(OR($C$60&gt;$AR129,$D$60&lt;$AR129),0,Schweine_Werte!$G129))</f>
        <v>0</v>
      </c>
      <c r="BH129" s="1710">
        <f>IF(OR($C$12=$AR129,$D$12=$AR129),Schweine_Werte!$I129*0.5,IF(OR($C$12&gt;$AR129,$D$12&lt;$AR129),0,Schweine_Werte!$I129))</f>
        <v>0</v>
      </c>
      <c r="BI129" s="1713">
        <f>IF(OR($C$24=$AR129,$D$24=$AR129),Schweine_Werte!$I129*0.5,IF(OR($C$24&gt;$AR129,$D$24&lt;$AR129),0,Schweine_Werte!$I129))</f>
        <v>0</v>
      </c>
      <c r="BJ129" s="1713">
        <f>IF(OR($C$36=$AR129,$D$36=$AR129),Schweine_Werte!$I129*0.5,IF(OR($C$36&gt;$AR129,$D$36&lt;$AR129),0,Schweine_Werte!$I129))</f>
        <v>0</v>
      </c>
      <c r="BK129" s="1713">
        <f>IF(OR($C$48=$AR129,$D$48=$AR129),Schweine_Werte!$I129*0.5,IF(OR($C$48&gt;$AR129,$D$48&lt;$AR129),0,Schweine_Werte!$I129))</f>
        <v>0</v>
      </c>
      <c r="BL129" s="1713">
        <f>IF(OR($C$60=$AR129,$D$60=$AR129),Schweine_Werte!$I129*0.5,IF(OR($C$60&gt;$AR129,$D$60&lt;$AR129),0,Schweine_Werte!$I129))</f>
        <v>0</v>
      </c>
      <c r="BM129" s="1710">
        <f>IF(OR($C$12=$AR129,$D$12=$AR129),Schweine_Werte!$K129*0.5,IF(OR($C$12&gt;$AR129,$D$12&lt;$AR129),0,Schweine_Werte!$K129))</f>
        <v>0</v>
      </c>
      <c r="BN129" s="1713">
        <f>IF(OR($C$24=$AR129,$D$24=$AR129),Schweine_Werte!$K129*0.5,IF(OR($C$24&gt;$AR129,$D$24&lt;$AR129),0,Schweine_Werte!$K129))</f>
        <v>0</v>
      </c>
      <c r="BO129" s="1713">
        <f>IF(OR($C$36=$AR129,$D$36=$AR129),Schweine_Werte!$K129*0.5,IF(OR($C$36&gt;$AR129,$D$36&lt;$AR129),0,Schweine_Werte!$K129))</f>
        <v>0</v>
      </c>
      <c r="BP129" s="1713">
        <f>IF(OR($C$48=$AR129,$D$48=$AR129),Schweine_Werte!$K129*0.5,IF(OR($C$48&gt;$AR129,$D$48&lt;$AR129),0,Schweine_Werte!$K129))</f>
        <v>0</v>
      </c>
      <c r="BQ129" s="1713">
        <f>IF(OR($C$60=$AR129,$D$60=$AR129),Schweine_Werte!$K129*0.5,IF(OR($C$60&gt;$AR129,$D$60&lt;$AR129),0,Schweine_Werte!$K129))</f>
        <v>0</v>
      </c>
      <c r="BR129" s="1710">
        <f>IF(OR($C$74=$AR129,$D$74=$AR129),Schweine_Werte!$M129*0.5,IF(OR($C$74&gt;$AR129,$D$74&lt;$AR129),0,Schweine_Werte!$M129))</f>
        <v>0</v>
      </c>
      <c r="BS129" s="1710">
        <f>IF(OR($C$83=$AR129,$D$83=$AR129),Schweine_Werte!$M129*0.5,IF(OR($C$83&gt;$AR129,$D$83&lt;$AR129),0,Schweine_Werte!$M129))</f>
        <v>0</v>
      </c>
      <c r="BT129" s="1714">
        <f>IF(OR($C$92=$AR129,$D$92=$AR129),Schweine_Werte!$M129*0.5,IF(OR($C$92&gt;$AR129,$D$92&lt;$AR129),0,Schweine_Werte!$M129))</f>
        <v>0</v>
      </c>
      <c r="BU129" s="1714">
        <f>IF(OR($C$101=$AR129,$D$101=$AR129),Schweine_Werte!$M129*0.5,IF(OR($C$101&gt;$AR129,$D$101&lt;$AR129),0,Schweine_Werte!$M129))</f>
        <v>0</v>
      </c>
      <c r="BV129" s="1714">
        <f>IF(OR($C$110=$AR129,$D$110=$AR129),Schweine_Werte!$M129*0.5,IF(OR($C$110&gt;$AR129,$D$110&lt;$AR129),0,Schweine_Werte!$M129))</f>
        <v>0</v>
      </c>
      <c r="BW129" s="1714">
        <f>IF(OR(8=$AR129,$E$127=$AR129),Schweine_Werte!$M129*0.5,IF(OR(8&gt;$AR129,$E$127&lt;$AR129),0,Schweine_Werte!$M129))</f>
        <v>1.4477278921508818</v>
      </c>
      <c r="BX129" s="1714">
        <f>IF(OR(8=$AR129,$E$145=$AR129),Schweine_Werte!$M129*0.5,IF(OR(8&gt;$AR129,$E$145&lt;$AR129),0,Schweine_Werte!$M129))</f>
        <v>1.4477278921508818</v>
      </c>
      <c r="BY129" s="1710">
        <f>IF(OR($C$74=$AR129,$D$74=$AR129),Schweine_Werte!$O129*0.5,IF(OR($C$74&gt;$AR129,$D$74&lt;$AR129),0,Schweine_Werte!$O129))</f>
        <v>0</v>
      </c>
      <c r="BZ129" s="1710">
        <f>IF(OR($C$83=$AR129,$D$83=$AR129),Schweine_Werte!$O129*0.5,IF(OR($C$83&gt;$AR129,$D$83&lt;$AR129),0,Schweine_Werte!$O129))</f>
        <v>0</v>
      </c>
      <c r="CA129" s="1714">
        <f>IF(OR($C$92=$AR129,$D$92=$AR129),Schweine_Werte!$O129*0.5,IF(OR($C$92&gt;$AR129,$D$92&lt;$AR129),0,Schweine_Werte!$O129))</f>
        <v>0</v>
      </c>
      <c r="CB129" s="1714">
        <f>IF(OR($C$101=$AR129,$D$101=$AR129),Schweine_Werte!$O129*0.5,IF(OR($C$101&gt;$AR129,$D$101&lt;$AR129),0,Schweine_Werte!$O129))</f>
        <v>0</v>
      </c>
      <c r="CC129" s="1714">
        <f>IF(OR($C$110=$AR129,$D$110=$AR129),Schweine_Werte!$O129*0.5,IF(OR($C$110&gt;$AR129,$D$110&lt;$AR129),0,Schweine_Werte!$O129))</f>
        <v>0</v>
      </c>
    </row>
    <row r="130" spans="2:81" x14ac:dyDescent="0.25">
      <c r="C130" s="3262"/>
      <c r="D130" s="1685">
        <v>25</v>
      </c>
      <c r="E130" s="1685">
        <v>28</v>
      </c>
      <c r="F130" s="1713">
        <v>0.4</v>
      </c>
      <c r="G130" s="1713" t="str">
        <f>IF($B$127=$A$5,Basisdaten!$B$29,IF($B$127=$A$6,Basisdaten!$B$30,IF($B$127=$A$7,Basisdaten!$B$31,IF($B$127=$A$8,Basisdaten!$B$32,""))))</f>
        <v/>
      </c>
      <c r="H130" s="1713" t="str">
        <f>IF($B$127=$A$5,Basisdaten!$C$29,IF($B$127=$A$6,Basisdaten!$C$30,IF($B$127=$A$7,Basisdaten!$C$31,IF($B$127=$A$8,Basisdaten!$C$32,""))))</f>
        <v/>
      </c>
      <c r="I130" s="1713" t="str">
        <f>IF($B$127=$A$5,Basisdaten!$D$29,IF($B$127=$A$6,Basisdaten!$D$30,IF($B$127=$A$7,Basisdaten!$D$31,IF($B$127=$A$8,Basisdaten!$D$32,""))))</f>
        <v/>
      </c>
      <c r="J130" s="1713" t="str">
        <f>IF($B$127=$A$5,Basisdaten!$F$29,IF($B$127=$A$6,Basisdaten!$F$30,IF($B$127=$A$7,Basisdaten!$F$31,IF($B$127=$A$8,Basisdaten!$F$32,""))))</f>
        <v/>
      </c>
      <c r="K130" s="1713" t="str">
        <f>IF($B$127=$A$5,Basisdaten!$J$29,IF($B$127=$A$6,Basisdaten!$J$30,IF($B$127=$A$7,Basisdaten!$J$31,IF($B$127=$A$8,Basisdaten!$J$32,""))))</f>
        <v/>
      </c>
      <c r="L130" s="1713" t="str">
        <f>IF($B$127=$A$5,Basisdaten!$G$29,IF($B$127=$A$6,Basisdaten!$G$30,IF($B$127=$A$7,Basisdaten!$G$31,IF($B$127=$A$8,Basisdaten!$G$32,""))))</f>
        <v/>
      </c>
      <c r="M130" s="1713" t="str">
        <f>IF($B$127=$A$5,Basisdaten!$H$29,IF($B$127=$A$6,Basisdaten!$H$30,IF($B$127=$A$7,Basisdaten!$H$31,IF($B$127=$A$8,Basisdaten!$H$32,""))))</f>
        <v/>
      </c>
      <c r="N130" s="1713" t="str">
        <f>IF($B$127=$A$5,Basisdaten!$I$29,IF($B$127=$A$6,Basisdaten!$I$30,IF($B$127=$A$7,Basisdaten!$I$31,IF($B$127=$A$8,Basisdaten!$I$32,""))))</f>
        <v/>
      </c>
      <c r="O130" s="1713"/>
      <c r="P130" s="1713"/>
      <c r="Q130" s="1713"/>
      <c r="R130" s="1713"/>
      <c r="S130" s="1713"/>
      <c r="T130" s="1713" t="str">
        <f>IF($B$127=$A$5,Basisdaten!$N$29,IF($B$127=$A$6,Basisdaten!$N$30,IF($B$127=$A$7,Basisdaten!$N$31,IF($B$127=$A$8,Basisdaten!$N$32,""))))</f>
        <v/>
      </c>
      <c r="U130" s="1713" t="str">
        <f>IF($B$127=$A$5,Basisdaten!$O$29,IF($B$127=$A$6,Basisdaten!$O$30,IF($B$127=$A$7,Basisdaten!$O$31,IF($B$127=$A$8,Basisdaten!$O$32,""))))</f>
        <v/>
      </c>
      <c r="V130" s="1713" t="str">
        <f>IF($B$127=$A$5,Basisdaten!$P$29,IF($B$127=$A$6,Basisdaten!$P$30,IF($B$127=$A$7,Basisdaten!$P$31,IF($B$127=$A$8,Basisdaten!$P$32,""))))</f>
        <v/>
      </c>
      <c r="W130" s="1713" t="str">
        <f>IF($B$127=$A$5,Basisdaten!$K$29,IF($B$127=$A$6,Basisdaten!$K$30,IF($B$127=$A$7,Basisdaten!$K$31,IF($B$127=$A$8,Basisdaten!$K$32,""))))</f>
        <v/>
      </c>
      <c r="X130" s="1713" t="str">
        <f>IF($B$127=$A$5,Basisdaten!$L$29,IF($B$127=$A$6,Basisdaten!$L$30,IF($B$127=$A$7,Basisdaten!$L$31,IF($B$127=$A$8,Basisdaten!$L$32,""))))</f>
        <v/>
      </c>
      <c r="Y130" s="1713" t="str">
        <f>IF($B$127=$A$5,Basisdaten!$M$29,IF($B$127=$A$6,Basisdaten!$M$30,IF($B$127=$A$7,Basisdaten!$M$31,IF($B$127=$A$8,Basisdaten!$M$32,""))))</f>
        <v/>
      </c>
      <c r="AR130" s="1733">
        <v>134</v>
      </c>
      <c r="AS130" s="1710">
        <f>IF(OR($C$12=$AR130,$D$12=$AR130),Schweine_Werte!$C130*0.5,IF(OR($C$12&gt;$AR130,$D$12&lt;$AR130),0,Schweine_Werte!$C130))</f>
        <v>0</v>
      </c>
      <c r="AT130" s="1713">
        <f>IF(OR($C$24=$AR130,$D$24=$AR130),Schweine_Werte!$C130*0.5,IF(OR($C$24&gt;$AR130,$D$24&lt;$AR130),0,Schweine_Werte!$C130))</f>
        <v>0</v>
      </c>
      <c r="AU130" s="1710">
        <f>IF(OR($C$36=$AR130,$D$36=$AR130),Schweine_Werte!$C130*0.5,IF(OR($C$36&gt;$AR130,$D$36&lt;$AR130),0,Schweine_Werte!$C130))</f>
        <v>0</v>
      </c>
      <c r="AV130" s="1710">
        <f>IF(OR($C$48=$AR130,$D$48=$AR130),Schweine_Werte!$C130*0.5,IF(OR($C$48&gt;$AR130,$D$48&lt;$AR130),0,Schweine_Werte!$C130))</f>
        <v>0</v>
      </c>
      <c r="AW130" s="1710">
        <f>IF(OR($C$60=$AR130,$D$60=$AR130),Schweine_Werte!$C130*0.5,IF(OR($C$60&gt;$AR130,$D$60&lt;$AR130),0,Schweine_Werte!$C130))</f>
        <v>0</v>
      </c>
      <c r="AX130" s="1710">
        <f>IF(OR($C$12=$AR130,$D$12=$AR130),Schweine_Werte!$E130*0.5,IF(OR($C$12&gt;$AR130,$D$12&lt;$AR130),0,Schweine_Werte!$E130))</f>
        <v>0</v>
      </c>
      <c r="AY130" s="1713">
        <f>IF(OR($C$24=$AR130,$D$24=$AR130),Schweine_Werte!$E130*0.5,IF(OR($C$24&gt;$AR130,$D$24&lt;$AR130),0,Schweine_Werte!$E130))</f>
        <v>0</v>
      </c>
      <c r="AZ130" s="1713">
        <f>IF(OR($C$36=$AR130,$D$36=$AR130),Schweine_Werte!$E130*0.5,IF(OR($C$36&gt;$AR130,$D$36&lt;$AR130),0,Schweine_Werte!$E130))</f>
        <v>0</v>
      </c>
      <c r="BA130" s="1713">
        <f>IF(OR($C$48=$AR130,$D$48=$AR130),Schweine_Werte!$E130*0.5,IF(OR($C$48&gt;$AR130,$D$48&lt;$AR130),0,Schweine_Werte!$E130))</f>
        <v>0</v>
      </c>
      <c r="BB130" s="1713">
        <f>IF(OR($C$60=$AR130,$D$60=$AR130),Schweine_Werte!$E130*0.5,IF(OR($C$60&gt;$AR130,$D$60&lt;$AR130),0,Schweine_Werte!$E130))</f>
        <v>0</v>
      </c>
      <c r="BC130" s="1710">
        <f>IF(OR($C$12=$AR130,$D$12=$AR130),Schweine_Werte!$G130*0.5,IF(OR($C$12&gt;$AR130,$D$12&lt;$AR130),0,Schweine_Werte!$G130))</f>
        <v>0</v>
      </c>
      <c r="BD130" s="1713">
        <f>IF(OR($C$24=$AR130,$D$24=$AR130),Schweine_Werte!$G130*0.5,IF(OR($C$24&gt;$AR130,$D$24&lt;$AR130),0,Schweine_Werte!$G130))</f>
        <v>0</v>
      </c>
      <c r="BE130" s="1713">
        <f>IF(OR($C$36=$AR130,$D$36=$AR130),Schweine_Werte!$G130*0.5,IF(OR($C$36&gt;$AR130,$D$36&lt;$AR130),0,Schweine_Werte!$G130))</f>
        <v>0</v>
      </c>
      <c r="BF130" s="1713">
        <f>IF(OR($C$48=$AR130,$D$48=$AR130),Schweine_Werte!$G130*0.5,IF(OR($C$48&gt;$AR130,$D$48&lt;$AR130),0,Schweine_Werte!$G130))</f>
        <v>0</v>
      </c>
      <c r="BG130" s="1713">
        <f>IF(OR($C$60=$AR130,$D$60=$AR130),Schweine_Werte!$G130*0.5,IF(OR($C$60&gt;$AR130,$D$60&lt;$AR130),0,Schweine_Werte!$G130))</f>
        <v>0</v>
      </c>
      <c r="BH130" s="1710">
        <f>IF(OR($C$12=$AR130,$D$12=$AR130),Schweine_Werte!$I130*0.5,IF(OR($C$12&gt;$AR130,$D$12&lt;$AR130),0,Schweine_Werte!$I130))</f>
        <v>0</v>
      </c>
      <c r="BI130" s="1713">
        <f>IF(OR($C$24=$AR130,$D$24=$AR130),Schweine_Werte!$I130*0.5,IF(OR($C$24&gt;$AR130,$D$24&lt;$AR130),0,Schweine_Werte!$I130))</f>
        <v>0</v>
      </c>
      <c r="BJ130" s="1713">
        <f>IF(OR($C$36=$AR130,$D$36=$AR130),Schweine_Werte!$I130*0.5,IF(OR($C$36&gt;$AR130,$D$36&lt;$AR130),0,Schweine_Werte!$I130))</f>
        <v>0</v>
      </c>
      <c r="BK130" s="1713">
        <f>IF(OR($C$48=$AR130,$D$48=$AR130),Schweine_Werte!$I130*0.5,IF(OR($C$48&gt;$AR130,$D$48&lt;$AR130),0,Schweine_Werte!$I130))</f>
        <v>0</v>
      </c>
      <c r="BL130" s="1713">
        <f>IF(OR($C$60=$AR130,$D$60=$AR130),Schweine_Werte!$I130*0.5,IF(OR($C$60&gt;$AR130,$D$60&lt;$AR130),0,Schweine_Werte!$I130))</f>
        <v>0</v>
      </c>
      <c r="BM130" s="1710">
        <f>IF(OR($C$12=$AR130,$D$12=$AR130),Schweine_Werte!$K130*0.5,IF(OR($C$12&gt;$AR130,$D$12&lt;$AR130),0,Schweine_Werte!$K130))</f>
        <v>0</v>
      </c>
      <c r="BN130" s="1713">
        <f>IF(OR($C$24=$AR130,$D$24=$AR130),Schweine_Werte!$K130*0.5,IF(OR($C$24&gt;$AR130,$D$24&lt;$AR130),0,Schweine_Werte!$K130))</f>
        <v>0</v>
      </c>
      <c r="BO130" s="1713">
        <f>IF(OR($C$36=$AR130,$D$36=$AR130),Schweine_Werte!$K130*0.5,IF(OR($C$36&gt;$AR130,$D$36&lt;$AR130),0,Schweine_Werte!$K130))</f>
        <v>0</v>
      </c>
      <c r="BP130" s="1713">
        <f>IF(OR($C$48=$AR130,$D$48=$AR130),Schweine_Werte!$K130*0.5,IF(OR($C$48&gt;$AR130,$D$48&lt;$AR130),0,Schweine_Werte!$K130))</f>
        <v>0</v>
      </c>
      <c r="BQ130" s="1713">
        <f>IF(OR($C$60=$AR130,$D$60=$AR130),Schweine_Werte!$K130*0.5,IF(OR($C$60&gt;$AR130,$D$60&lt;$AR130),0,Schweine_Werte!$K130))</f>
        <v>0</v>
      </c>
      <c r="BR130" s="1710">
        <f>IF(OR($C$74=$AR130,$D$74=$AR130),Schweine_Werte!$M130*0.5,IF(OR($C$74&gt;$AR130,$D$74&lt;$AR130),0,Schweine_Werte!$M130))</f>
        <v>0</v>
      </c>
      <c r="BS130" s="1710">
        <f>IF(OR($C$83=$AR130,$D$83=$AR130),Schweine_Werte!$M130*0.5,IF(OR($C$83&gt;$AR130,$D$83&lt;$AR130),0,Schweine_Werte!$M130))</f>
        <v>0</v>
      </c>
      <c r="BT130" s="1714">
        <f>IF(OR($C$92=$AR130,$D$92=$AR130),Schweine_Werte!$M130*0.5,IF(OR($C$92&gt;$AR130,$D$92&lt;$AR130),0,Schweine_Werte!$M130))</f>
        <v>0</v>
      </c>
      <c r="BU130" s="1714">
        <f>IF(OR($C$101=$AR130,$D$101=$AR130),Schweine_Werte!$M130*0.5,IF(OR($C$101&gt;$AR130,$D$101&lt;$AR130),0,Schweine_Werte!$M130))</f>
        <v>0</v>
      </c>
      <c r="BV130" s="1714">
        <f>IF(OR($C$110=$AR130,$D$110=$AR130),Schweine_Werte!$M130*0.5,IF(OR($C$110&gt;$AR130,$D$110&lt;$AR130),0,Schweine_Werte!$M130))</f>
        <v>0</v>
      </c>
      <c r="BW130" s="1714">
        <f>IF(OR(8=$AR130,$E$127=$AR130),Schweine_Werte!$M130*0.5,IF(OR(8&gt;$AR130,$E$127&lt;$AR130),0,Schweine_Werte!$M130))</f>
        <v>1.4477278921508818</v>
      </c>
      <c r="BX130" s="1714">
        <f>IF(OR(8=$AR130,$E$145=$AR130),Schweine_Werte!$M130*0.5,IF(OR(8&gt;$AR130,$E$145&lt;$AR130),0,Schweine_Werte!$M130))</f>
        <v>1.4477278921508818</v>
      </c>
      <c r="BY130" s="1710">
        <f>IF(OR($C$74=$AR130,$D$74=$AR130),Schweine_Werte!$O130*0.5,IF(OR($C$74&gt;$AR130,$D$74&lt;$AR130),0,Schweine_Werte!$O130))</f>
        <v>0</v>
      </c>
      <c r="BZ130" s="1710">
        <f>IF(OR($C$83=$AR130,$D$83=$AR130),Schweine_Werte!$O130*0.5,IF(OR($C$83&gt;$AR130,$D$83&lt;$AR130),0,Schweine_Werte!$O130))</f>
        <v>0</v>
      </c>
      <c r="CA130" s="1714">
        <f>IF(OR($C$92=$AR130,$D$92=$AR130),Schweine_Werte!$O130*0.5,IF(OR($C$92&gt;$AR130,$D$92&lt;$AR130),0,Schweine_Werte!$O130))</f>
        <v>0</v>
      </c>
      <c r="CB130" s="1714">
        <f>IF(OR($C$101=$AR130,$D$101=$AR130),Schweine_Werte!$O130*0.5,IF(OR($C$101&gt;$AR130,$D$101&lt;$AR130),0,Schweine_Werte!$O130))</f>
        <v>0</v>
      </c>
      <c r="CC130" s="1714">
        <f>IF(OR($C$110=$AR130,$D$110=$AR130),Schweine_Werte!$O130*0.5,IF(OR($C$110&gt;$AR130,$D$110&lt;$AR130),0,Schweine_Werte!$O130))</f>
        <v>0</v>
      </c>
    </row>
    <row r="131" spans="2:81" x14ac:dyDescent="0.25">
      <c r="C131" s="3262"/>
      <c r="D131" s="1685">
        <v>28</v>
      </c>
      <c r="E131" s="1685">
        <v>28</v>
      </c>
      <c r="F131" s="1713">
        <v>0.42</v>
      </c>
      <c r="G131" s="1713" t="str">
        <f>IF($B$127=$A$5,Basisdaten!$B$33,IF($B$127=$A$6,Basisdaten!$B$34,IF($B$127=$A$7,Basisdaten!$B$35,IF($B$127=$A$8,Basisdaten!$B$36,""))))</f>
        <v/>
      </c>
      <c r="H131" s="1713" t="str">
        <f>IF($B$127=$A$5,Basisdaten!$C$33,IF($B$127=$A$6,Basisdaten!$C$34,IF($B$127=$A$7,Basisdaten!$C$35,IF($B$127=$A$8,Basisdaten!$C$36,""))))</f>
        <v/>
      </c>
      <c r="I131" s="1713" t="str">
        <f>IF($B$127=$A$5,Basisdaten!$D$33,IF($B$127=$A$6,Basisdaten!$D$34,IF($B$127=$A$7,Basisdaten!$D$35,IF($B$127=$A$8,Basisdaten!$D$36,""))))</f>
        <v/>
      </c>
      <c r="J131" s="1713" t="str">
        <f>IF($B$127=$A$5,Basisdaten!$F$33,IF($B$127=$A$6,Basisdaten!$F$34,IF($B$127=$A$7,Basisdaten!$F$35,IF($B$127=$A$8,Basisdaten!$F$36,""))))</f>
        <v/>
      </c>
      <c r="K131" s="1713" t="str">
        <f>IF($B$127=$A$5,Basisdaten!$J$33,IF($B$127=$A$6,Basisdaten!$J$34,IF($B$127=$A$7,Basisdaten!$J$35,IF($B$127=$A$8,Basisdaten!$J$36,""))))</f>
        <v/>
      </c>
      <c r="L131" s="1713" t="str">
        <f>IF($B$127=$A$5,Basisdaten!$G$33,IF($B$127=$A$6,Basisdaten!$G$34,IF($B$127=$A$7,Basisdaten!$G$35,IF($B$127=$A$8,Basisdaten!$G$36,""))))</f>
        <v/>
      </c>
      <c r="M131" s="1713" t="str">
        <f>IF($B$127=$A$5,Basisdaten!$H$33,IF($B$127=$A$6,Basisdaten!$H$34,IF($B$127=$A$7,Basisdaten!$H$35,IF($B$127=$A$8,Basisdaten!$H$36,""))))</f>
        <v/>
      </c>
      <c r="N131" s="1713" t="str">
        <f>IF($B$127=$A$5,Basisdaten!$I$33,IF($B$127=$A$6,Basisdaten!$I$34,IF($B$127=$A$7,Basisdaten!$I$35,IF($B$127=$A$8,Basisdaten!$I$36,""))))</f>
        <v/>
      </c>
      <c r="O131" s="1713"/>
      <c r="P131" s="1713"/>
      <c r="Q131" s="1713"/>
      <c r="R131" s="1713"/>
      <c r="S131" s="1713"/>
      <c r="T131" s="1713" t="str">
        <f>IF($B$127=$A$5,Basisdaten!$N$33,IF($B$127=$A$6,Basisdaten!$N$34,IF($B$127=$A$7,Basisdaten!$N$35,IF($B$127=$A$8,Basisdaten!$N$36,""))))</f>
        <v/>
      </c>
      <c r="U131" s="1713" t="str">
        <f>IF($B$127=$A$5,Basisdaten!$O$33,IF($B$127=$A$6,Basisdaten!$O$34,IF($B$127=$A$7,Basisdaten!$O$35,IF($B$127=$A$8,Basisdaten!$O$36,""))))</f>
        <v/>
      </c>
      <c r="V131" s="1713" t="str">
        <f>IF($B$127=$A$5,Basisdaten!$P$33,IF($B$127=$A$6,Basisdaten!$P$34,IF($B$127=$A$7,Basisdaten!$P$35,IF($B$127=$A$8,Basisdaten!$P$36,""))))</f>
        <v/>
      </c>
      <c r="W131" s="1713" t="str">
        <f>IF($B$127=$A$5,Basisdaten!$K$33,IF($B$127=$A$6,Basisdaten!$K$34,IF($B$127=$A$7,Basisdaten!$K$35,IF($B$127=$A$8,Basisdaten!$K$36,""))))</f>
        <v/>
      </c>
      <c r="X131" s="1713" t="str">
        <f>IF($B$127=$A$5,Basisdaten!$L$33,IF($B$127=$A$6,Basisdaten!$L$34,IF($B$127=$A$7,Basisdaten!$L$35,IF($B$127=$A$8,Basisdaten!$L$36,""))))</f>
        <v/>
      </c>
      <c r="Y131" s="1713" t="str">
        <f>IF($B$127=$A$5,Basisdaten!$M$33,IF($B$127=$A$6,Basisdaten!$M$34,IF($B$127=$A$7,Basisdaten!$M$35,IF($B$127=$A$8,Basisdaten!$M$36,""))))</f>
        <v/>
      </c>
      <c r="AR131" s="1733">
        <v>135</v>
      </c>
      <c r="AS131" s="1710">
        <f>IF(OR($C$12=$AR131,$D$12=$AR131),Schweine_Werte!$C131*0.5,IF(OR($C$12&gt;$AR131,$D$12&lt;$AR131),0,Schweine_Werte!$C131))</f>
        <v>0</v>
      </c>
      <c r="AT131" s="1713">
        <f>IF(OR($C$24=$AR131,$D$24=$AR131),Schweine_Werte!$C131*0.5,IF(OR($C$24&gt;$AR131,$D$24&lt;$AR131),0,Schweine_Werte!$C131))</f>
        <v>0</v>
      </c>
      <c r="AU131" s="1710">
        <f>IF(OR($C$36=$AR131,$D$36=$AR131),Schweine_Werte!$C131*0.5,IF(OR($C$36&gt;$AR131,$D$36&lt;$AR131),0,Schweine_Werte!$C131))</f>
        <v>0</v>
      </c>
      <c r="AV131" s="1710">
        <f>IF(OR($C$48=$AR131,$D$48=$AR131),Schweine_Werte!$C131*0.5,IF(OR($C$48&gt;$AR131,$D$48&lt;$AR131),0,Schweine_Werte!$C131))</f>
        <v>0</v>
      </c>
      <c r="AW131" s="1710">
        <f>IF(OR($C$60=$AR131,$D$60=$AR131),Schweine_Werte!$C131*0.5,IF(OR($C$60&gt;$AR131,$D$60&lt;$AR131),0,Schweine_Werte!$C131))</f>
        <v>0</v>
      </c>
      <c r="AX131" s="1710">
        <f>IF(OR($C$12=$AR131,$D$12=$AR131),Schweine_Werte!$E131*0.5,IF(OR($C$12&gt;$AR131,$D$12&lt;$AR131),0,Schweine_Werte!$E131))</f>
        <v>0</v>
      </c>
      <c r="AY131" s="1713">
        <f>IF(OR($C$24=$AR131,$D$24=$AR131),Schweine_Werte!$E131*0.5,IF(OR($C$24&gt;$AR131,$D$24&lt;$AR131),0,Schweine_Werte!$E131))</f>
        <v>0</v>
      </c>
      <c r="AZ131" s="1713">
        <f>IF(OR($C$36=$AR131,$D$36=$AR131),Schweine_Werte!$E131*0.5,IF(OR($C$36&gt;$AR131,$D$36&lt;$AR131),0,Schweine_Werte!$E131))</f>
        <v>0</v>
      </c>
      <c r="BA131" s="1713">
        <f>IF(OR($C$48=$AR131,$D$48=$AR131),Schweine_Werte!$E131*0.5,IF(OR($C$48&gt;$AR131,$D$48&lt;$AR131),0,Schweine_Werte!$E131))</f>
        <v>0</v>
      </c>
      <c r="BB131" s="1713">
        <f>IF(OR($C$60=$AR131,$D$60=$AR131),Schweine_Werte!$E131*0.5,IF(OR($C$60&gt;$AR131,$D$60&lt;$AR131),0,Schweine_Werte!$E131))</f>
        <v>0</v>
      </c>
      <c r="BC131" s="1710">
        <f>IF(OR($C$12=$AR131,$D$12=$AR131),Schweine_Werte!$G131*0.5,IF(OR($C$12&gt;$AR131,$D$12&lt;$AR131),0,Schweine_Werte!$G131))</f>
        <v>0</v>
      </c>
      <c r="BD131" s="1713">
        <f>IF(OR($C$24=$AR131,$D$24=$AR131),Schweine_Werte!$G131*0.5,IF(OR($C$24&gt;$AR131,$D$24&lt;$AR131),0,Schweine_Werte!$G131))</f>
        <v>0</v>
      </c>
      <c r="BE131" s="1713">
        <f>IF(OR($C$36=$AR131,$D$36=$AR131),Schweine_Werte!$G131*0.5,IF(OR($C$36&gt;$AR131,$D$36&lt;$AR131),0,Schweine_Werte!$G131))</f>
        <v>0</v>
      </c>
      <c r="BF131" s="1713">
        <f>IF(OR($C$48=$AR131,$D$48=$AR131),Schweine_Werte!$G131*0.5,IF(OR($C$48&gt;$AR131,$D$48&lt;$AR131),0,Schweine_Werte!$G131))</f>
        <v>0</v>
      </c>
      <c r="BG131" s="1713">
        <f>IF(OR($C$60=$AR131,$D$60=$AR131),Schweine_Werte!$G131*0.5,IF(OR($C$60&gt;$AR131,$D$60&lt;$AR131),0,Schweine_Werte!$G131))</f>
        <v>0</v>
      </c>
      <c r="BH131" s="1710">
        <f>IF(OR($C$12=$AR131,$D$12=$AR131),Schweine_Werte!$I131*0.5,IF(OR($C$12&gt;$AR131,$D$12&lt;$AR131),0,Schweine_Werte!$I131))</f>
        <v>0</v>
      </c>
      <c r="BI131" s="1713">
        <f>IF(OR($C$24=$AR131,$D$24=$AR131),Schweine_Werte!$I131*0.5,IF(OR($C$24&gt;$AR131,$D$24&lt;$AR131),0,Schweine_Werte!$I131))</f>
        <v>0</v>
      </c>
      <c r="BJ131" s="1713">
        <f>IF(OR($C$36=$AR131,$D$36=$AR131),Schweine_Werte!$I131*0.5,IF(OR($C$36&gt;$AR131,$D$36&lt;$AR131),0,Schweine_Werte!$I131))</f>
        <v>0</v>
      </c>
      <c r="BK131" s="1713">
        <f>IF(OR($C$48=$AR131,$D$48=$AR131),Schweine_Werte!$I131*0.5,IF(OR($C$48&gt;$AR131,$D$48&lt;$AR131),0,Schweine_Werte!$I131))</f>
        <v>0</v>
      </c>
      <c r="BL131" s="1713">
        <f>IF(OR($C$60=$AR131,$D$60=$AR131),Schweine_Werte!$I131*0.5,IF(OR($C$60&gt;$AR131,$D$60&lt;$AR131),0,Schweine_Werte!$I131))</f>
        <v>0</v>
      </c>
      <c r="BM131" s="1710">
        <f>IF(OR($C$12=$AR131,$D$12=$AR131),Schweine_Werte!$K131*0.5,IF(OR($C$12&gt;$AR131,$D$12&lt;$AR131),0,Schweine_Werte!$K131))</f>
        <v>0</v>
      </c>
      <c r="BN131" s="1713">
        <f>IF(OR($C$24=$AR131,$D$24=$AR131),Schweine_Werte!$K131*0.5,IF(OR($C$24&gt;$AR131,$D$24&lt;$AR131),0,Schweine_Werte!$K131))</f>
        <v>0</v>
      </c>
      <c r="BO131" s="1713">
        <f>IF(OR($C$36=$AR131,$D$36=$AR131),Schweine_Werte!$K131*0.5,IF(OR($C$36&gt;$AR131,$D$36&lt;$AR131),0,Schweine_Werte!$K131))</f>
        <v>0</v>
      </c>
      <c r="BP131" s="1713">
        <f>IF(OR($C$48=$AR131,$D$48=$AR131),Schweine_Werte!$K131*0.5,IF(OR($C$48&gt;$AR131,$D$48&lt;$AR131),0,Schweine_Werte!$K131))</f>
        <v>0</v>
      </c>
      <c r="BQ131" s="1713">
        <f>IF(OR($C$60=$AR131,$D$60=$AR131),Schweine_Werte!$K131*0.5,IF(OR($C$60&gt;$AR131,$D$60&lt;$AR131),0,Schweine_Werte!$K131))</f>
        <v>0</v>
      </c>
      <c r="BR131" s="1710">
        <f>IF(OR($C$74=$AR131,$D$74=$AR131),Schweine_Werte!$M131*0.5,IF(OR($C$74&gt;$AR131,$D$74&lt;$AR131),0,Schweine_Werte!$M131))</f>
        <v>0</v>
      </c>
      <c r="BS131" s="1710">
        <f>IF(OR($C$83=$AR131,$D$83=$AR131),Schweine_Werte!$M131*0.5,IF(OR($C$83&gt;$AR131,$D$83&lt;$AR131),0,Schweine_Werte!$M131))</f>
        <v>0</v>
      </c>
      <c r="BT131" s="1714">
        <f>IF(OR($C$92=$AR131,$D$92=$AR131),Schweine_Werte!$M131*0.5,IF(OR($C$92&gt;$AR131,$D$92&lt;$AR131),0,Schweine_Werte!$M131))</f>
        <v>0</v>
      </c>
      <c r="BU131" s="1714">
        <f>IF(OR($C$101=$AR131,$D$101=$AR131),Schweine_Werte!$M131*0.5,IF(OR($C$101&gt;$AR131,$D$101&lt;$AR131),0,Schweine_Werte!$M131))</f>
        <v>0</v>
      </c>
      <c r="BV131" s="1714">
        <f>IF(OR($C$110=$AR131,$D$110=$AR131),Schweine_Werte!$M131*0.5,IF(OR($C$110&gt;$AR131,$D$110&lt;$AR131),0,Schweine_Werte!$M131))</f>
        <v>0</v>
      </c>
      <c r="BW131" s="1714">
        <f>IF(OR(8=$AR131,$E$127=$AR131),Schweine_Werte!$M131*0.5,IF(OR(8&gt;$AR131,$E$127&lt;$AR131),0,Schweine_Werte!$M131))</f>
        <v>1.4477278921508818</v>
      </c>
      <c r="BX131" s="1714">
        <f>IF(OR(8=$AR131,$E$145=$AR131),Schweine_Werte!$M131*0.5,IF(OR(8&gt;$AR131,$E$145&lt;$AR131),0,Schweine_Werte!$M131))</f>
        <v>1.4477278921508818</v>
      </c>
      <c r="BY131" s="1710">
        <f>IF(OR($C$74=$AR131,$D$74=$AR131),Schweine_Werte!$O131*0.5,IF(OR($C$74&gt;$AR131,$D$74&lt;$AR131),0,Schweine_Werte!$O131))</f>
        <v>0</v>
      </c>
      <c r="BZ131" s="1710">
        <f>IF(OR($C$83=$AR131,$D$83=$AR131),Schweine_Werte!$O131*0.5,IF(OR($C$83&gt;$AR131,$D$83&lt;$AR131),0,Schweine_Werte!$O131))</f>
        <v>0</v>
      </c>
      <c r="CA131" s="1714">
        <f>IF(OR($C$92=$AR131,$D$92=$AR131),Schweine_Werte!$O131*0.5,IF(OR($C$92&gt;$AR131,$D$92&lt;$AR131),0,Schweine_Werte!$O131))</f>
        <v>0</v>
      </c>
      <c r="CB131" s="1714">
        <f>IF(OR($C$101=$AR131,$D$101=$AR131),Schweine_Werte!$O131*0.5,IF(OR($C$101&gt;$AR131,$D$101&lt;$AR131),0,Schweine_Werte!$O131))</f>
        <v>0</v>
      </c>
      <c r="CC131" s="1714">
        <f>IF(OR($C$110=$AR131,$D$110=$AR131),Schweine_Werte!$O131*0.5,IF(OR($C$110&gt;$AR131,$D$110&lt;$AR131),0,Schweine_Werte!$O131))</f>
        <v>0</v>
      </c>
    </row>
    <row r="132" spans="2:81" x14ac:dyDescent="0.25">
      <c r="C132" s="3262"/>
      <c r="D132" s="1685">
        <v>31</v>
      </c>
      <c r="E132" s="1685">
        <v>28</v>
      </c>
      <c r="F132" s="1713">
        <v>0.43</v>
      </c>
      <c r="G132" s="1713" t="str">
        <f>IF($B$127=$A$5,Basisdaten!$B$37,IF($B$127=$A$6,Basisdaten!$B$38,IF($B$127=$A$7,Basisdaten!$B$39,IF($B$127=$A$8,Basisdaten!$B$40,""))))</f>
        <v/>
      </c>
      <c r="H132" s="1713" t="str">
        <f>IF($B$127=$A$5,Basisdaten!$C$37,IF($B$127=$A$6,Basisdaten!$C$38,IF($B$127=$A$7,Basisdaten!$C$39,IF($B$127=$A$8,Basisdaten!$C$40,""))))</f>
        <v/>
      </c>
      <c r="I132" s="1713" t="str">
        <f>IF($B$127=$A$5,Basisdaten!$D$37,IF($B$127=$A$6,Basisdaten!$D$38,IF($B$127=$A$7,Basisdaten!$D$39,IF($B$127=$A$8,Basisdaten!$D$40,""))))</f>
        <v/>
      </c>
      <c r="J132" s="1713" t="str">
        <f>IF($B$127=$A$5,Basisdaten!$F$37,IF($B$127=$A$6,Basisdaten!$F$38,IF($B$127=$A$7,Basisdaten!$F$39,IF($B$127=$A$8,Basisdaten!$F$40,""))))</f>
        <v/>
      </c>
      <c r="K132" s="1713" t="str">
        <f>IF($B$127=$A$5,Basisdaten!$J$37,IF($B$127=$A$6,Basisdaten!$J$38,IF($B$127=$A$7,Basisdaten!$J$39,IF($B$127=$A$8,Basisdaten!$J$40,""))))</f>
        <v/>
      </c>
      <c r="L132" s="1713" t="str">
        <f>IF($B$127=$A$5,Basisdaten!$G$37,IF($B$127=$A$6,Basisdaten!$G$38,IF($B$127=$A$7,Basisdaten!$G$39,IF($B$127=$A$8,Basisdaten!$G$40,""))))</f>
        <v/>
      </c>
      <c r="M132" s="1713" t="str">
        <f>IF($B$127=$A$5,Basisdaten!$H$37,IF($B$127=$A$6,Basisdaten!$H$38,IF($B$127=$A$7,Basisdaten!$H$39,IF($B$127=$A$8,Basisdaten!$H$40,""))))</f>
        <v/>
      </c>
      <c r="N132" s="1713" t="str">
        <f>IF($B$127=$A$5,Basisdaten!$I$37,IF($B$127=$A$6,Basisdaten!$I$38,IF($B$127=$A$7,Basisdaten!$I$39,IF($B$127=$A$8,Basisdaten!$I$40,""))))</f>
        <v/>
      </c>
      <c r="O132" s="1713"/>
      <c r="P132" s="1713"/>
      <c r="Q132" s="1713"/>
      <c r="R132" s="1713"/>
      <c r="S132" s="1713"/>
      <c r="T132" s="1713" t="str">
        <f>IF($B$127=$A$5,Basisdaten!$N$37,IF($B$127=$A$6,Basisdaten!$N$38,IF($B$127=$A$7,Basisdaten!$N$39,IF($B$127=$A$8,Basisdaten!$N$40,""))))</f>
        <v/>
      </c>
      <c r="U132" s="1713" t="str">
        <f>IF($B$127=$A$5,Basisdaten!$O$37,IF($B$127=$A$6,Basisdaten!$O$38,IF($B$127=$A$7,Basisdaten!$O$39,IF($B$127=$A$8,Basisdaten!$O$40,""))))</f>
        <v/>
      </c>
      <c r="V132" s="1713" t="str">
        <f>IF($B$127=$A$5,Basisdaten!$P$37,IF($B$127=$A$6,Basisdaten!$P$38,IF($B$127=$A$7,Basisdaten!$P$39,IF($B$127=$A$8,Basisdaten!$P$40,""))))</f>
        <v/>
      </c>
      <c r="W132" s="1713" t="str">
        <f>IF($B$127=$A$5,Basisdaten!$K$37,IF($B$127=$A$6,Basisdaten!$K$38,IF($B$127=$A$7,Basisdaten!$K$39,IF($B$127=$A$8,Basisdaten!$K$40,""))))</f>
        <v/>
      </c>
      <c r="X132" s="1713" t="str">
        <f>IF($B$127=$A$5,Basisdaten!$L$37,IF($B$127=$A$6,Basisdaten!$L$38,IF($B$127=$A$7,Basisdaten!$L$39,IF($B$127=$A$8,Basisdaten!$L$40,""))))</f>
        <v/>
      </c>
      <c r="Y132" s="1713" t="str">
        <f>IF($B$127=$A$5,Basisdaten!$M$37,IF($B$127=$A$6,Basisdaten!$M$38,IF($B$127=$A$7,Basisdaten!$M$39,IF($B$127=$A$8,Basisdaten!$M$40,""))))</f>
        <v/>
      </c>
      <c r="AR132" s="1733">
        <v>136</v>
      </c>
      <c r="AS132" s="1710">
        <f>IF(OR($C$12=$AR132,$D$12=$AR132),Schweine_Werte!$C132*0.5,IF(OR($C$12&gt;$AR132,$D$12&lt;$AR132),0,Schweine_Werte!$C132))</f>
        <v>0</v>
      </c>
      <c r="AT132" s="1713">
        <f>IF(OR($C$24=$AR132,$D$24=$AR132),Schweine_Werte!$C132*0.5,IF(OR($C$24&gt;$AR132,$D$24&lt;$AR132),0,Schweine_Werte!$C132))</f>
        <v>0</v>
      </c>
      <c r="AU132" s="1710">
        <f>IF(OR($C$36=$AR132,$D$36=$AR132),Schweine_Werte!$C132*0.5,IF(OR($C$36&gt;$AR132,$D$36&lt;$AR132),0,Schweine_Werte!$C132))</f>
        <v>0</v>
      </c>
      <c r="AV132" s="1710">
        <f>IF(OR($C$48=$AR132,$D$48=$AR132),Schweine_Werte!$C132*0.5,IF(OR($C$48&gt;$AR132,$D$48&lt;$AR132),0,Schweine_Werte!$C132))</f>
        <v>0</v>
      </c>
      <c r="AW132" s="1710">
        <f>IF(OR($C$60=$AR132,$D$60=$AR132),Schweine_Werte!$C132*0.5,IF(OR($C$60&gt;$AR132,$D$60&lt;$AR132),0,Schweine_Werte!$C132))</f>
        <v>0</v>
      </c>
      <c r="AX132" s="1710">
        <f>IF(OR($C$12=$AR132,$D$12=$AR132),Schweine_Werte!$E132*0.5,IF(OR($C$12&gt;$AR132,$D$12&lt;$AR132),0,Schweine_Werte!$E132))</f>
        <v>0</v>
      </c>
      <c r="AY132" s="1713">
        <f>IF(OR($C$24=$AR132,$D$24=$AR132),Schweine_Werte!$E132*0.5,IF(OR($C$24&gt;$AR132,$D$24&lt;$AR132),0,Schweine_Werte!$E132))</f>
        <v>0</v>
      </c>
      <c r="AZ132" s="1713">
        <f>IF(OR($C$36=$AR132,$D$36=$AR132),Schweine_Werte!$E132*0.5,IF(OR($C$36&gt;$AR132,$D$36&lt;$AR132),0,Schweine_Werte!$E132))</f>
        <v>0</v>
      </c>
      <c r="BA132" s="1713">
        <f>IF(OR($C$48=$AR132,$D$48=$AR132),Schweine_Werte!$E132*0.5,IF(OR($C$48&gt;$AR132,$D$48&lt;$AR132),0,Schweine_Werte!$E132))</f>
        <v>0</v>
      </c>
      <c r="BB132" s="1713">
        <f>IF(OR($C$60=$AR132,$D$60=$AR132),Schweine_Werte!$E132*0.5,IF(OR($C$60&gt;$AR132,$D$60&lt;$AR132),0,Schweine_Werte!$E132))</f>
        <v>0</v>
      </c>
      <c r="BC132" s="1710">
        <f>IF(OR($C$12=$AR132,$D$12=$AR132),Schweine_Werte!$G132*0.5,IF(OR($C$12&gt;$AR132,$D$12&lt;$AR132),0,Schweine_Werte!$G132))</f>
        <v>0</v>
      </c>
      <c r="BD132" s="1713">
        <f>IF(OR($C$24=$AR132,$D$24=$AR132),Schweine_Werte!$G132*0.5,IF(OR($C$24&gt;$AR132,$D$24&lt;$AR132),0,Schweine_Werte!$G132))</f>
        <v>0</v>
      </c>
      <c r="BE132" s="1713">
        <f>IF(OR($C$36=$AR132,$D$36=$AR132),Schweine_Werte!$G132*0.5,IF(OR($C$36&gt;$AR132,$D$36&lt;$AR132),0,Schweine_Werte!$G132))</f>
        <v>0</v>
      </c>
      <c r="BF132" s="1713">
        <f>IF(OR($C$48=$AR132,$D$48=$AR132),Schweine_Werte!$G132*0.5,IF(OR($C$48&gt;$AR132,$D$48&lt;$AR132),0,Schweine_Werte!$G132))</f>
        <v>0</v>
      </c>
      <c r="BG132" s="1713">
        <f>IF(OR($C$60=$AR132,$D$60=$AR132),Schweine_Werte!$G132*0.5,IF(OR($C$60&gt;$AR132,$D$60&lt;$AR132),0,Schweine_Werte!$G132))</f>
        <v>0</v>
      </c>
      <c r="BH132" s="1710">
        <f>IF(OR($C$12=$AR132,$D$12=$AR132),Schweine_Werte!$I132*0.5,IF(OR($C$12&gt;$AR132,$D$12&lt;$AR132),0,Schweine_Werte!$I132))</f>
        <v>0</v>
      </c>
      <c r="BI132" s="1713">
        <f>IF(OR($C$24=$AR132,$D$24=$AR132),Schweine_Werte!$I132*0.5,IF(OR($C$24&gt;$AR132,$D$24&lt;$AR132),0,Schweine_Werte!$I132))</f>
        <v>0</v>
      </c>
      <c r="BJ132" s="1713">
        <f>IF(OR($C$36=$AR132,$D$36=$AR132),Schweine_Werte!$I132*0.5,IF(OR($C$36&gt;$AR132,$D$36&lt;$AR132),0,Schweine_Werte!$I132))</f>
        <v>0</v>
      </c>
      <c r="BK132" s="1713">
        <f>IF(OR($C$48=$AR132,$D$48=$AR132),Schweine_Werte!$I132*0.5,IF(OR($C$48&gt;$AR132,$D$48&lt;$AR132),0,Schweine_Werte!$I132))</f>
        <v>0</v>
      </c>
      <c r="BL132" s="1713">
        <f>IF(OR($C$60=$AR132,$D$60=$AR132),Schweine_Werte!$I132*0.5,IF(OR($C$60&gt;$AR132,$D$60&lt;$AR132),0,Schweine_Werte!$I132))</f>
        <v>0</v>
      </c>
      <c r="BM132" s="1710">
        <f>IF(OR($C$12=$AR132,$D$12=$AR132),Schweine_Werte!$K132*0.5,IF(OR($C$12&gt;$AR132,$D$12&lt;$AR132),0,Schweine_Werte!$K132))</f>
        <v>0</v>
      </c>
      <c r="BN132" s="1713">
        <f>IF(OR($C$24=$AR132,$D$24=$AR132),Schweine_Werte!$K132*0.5,IF(OR($C$24&gt;$AR132,$D$24&lt;$AR132),0,Schweine_Werte!$K132))</f>
        <v>0</v>
      </c>
      <c r="BO132" s="1713">
        <f>IF(OR($C$36=$AR132,$D$36=$AR132),Schweine_Werte!$K132*0.5,IF(OR($C$36&gt;$AR132,$D$36&lt;$AR132),0,Schweine_Werte!$K132))</f>
        <v>0</v>
      </c>
      <c r="BP132" s="1713">
        <f>IF(OR($C$48=$AR132,$D$48=$AR132),Schweine_Werte!$K132*0.5,IF(OR($C$48&gt;$AR132,$D$48&lt;$AR132),0,Schweine_Werte!$K132))</f>
        <v>0</v>
      </c>
      <c r="BQ132" s="1713">
        <f>IF(OR($C$60=$AR132,$D$60=$AR132),Schweine_Werte!$K132*0.5,IF(OR($C$60&gt;$AR132,$D$60&lt;$AR132),0,Schweine_Werte!$K132))</f>
        <v>0</v>
      </c>
      <c r="BR132" s="1710">
        <f>IF(OR($C$74=$AR132,$D$74=$AR132),Schweine_Werte!$M132*0.5,IF(OR($C$74&gt;$AR132,$D$74&lt;$AR132),0,Schweine_Werte!$M132))</f>
        <v>0</v>
      </c>
      <c r="BS132" s="1710">
        <f>IF(OR($C$83=$AR132,$D$83=$AR132),Schweine_Werte!$M132*0.5,IF(OR($C$83&gt;$AR132,$D$83&lt;$AR132),0,Schweine_Werte!$M132))</f>
        <v>0</v>
      </c>
      <c r="BT132" s="1714">
        <f>IF(OR($C$92=$AR132,$D$92=$AR132),Schweine_Werte!$M132*0.5,IF(OR($C$92&gt;$AR132,$D$92&lt;$AR132),0,Schweine_Werte!$M132))</f>
        <v>0</v>
      </c>
      <c r="BU132" s="1714">
        <f>IF(OR($C$101=$AR132,$D$101=$AR132),Schweine_Werte!$M132*0.5,IF(OR($C$101&gt;$AR132,$D$101&lt;$AR132),0,Schweine_Werte!$M132))</f>
        <v>0</v>
      </c>
      <c r="BV132" s="1714">
        <f>IF(OR($C$110=$AR132,$D$110=$AR132),Schweine_Werte!$M132*0.5,IF(OR($C$110&gt;$AR132,$D$110&lt;$AR132),0,Schweine_Werte!$M132))</f>
        <v>0</v>
      </c>
      <c r="BW132" s="1714">
        <f>IF(OR(8=$AR132,$E$127=$AR132),Schweine_Werte!$M132*0.5,IF(OR(8&gt;$AR132,$E$127&lt;$AR132),0,Schweine_Werte!$M132))</f>
        <v>1.4477278921508818</v>
      </c>
      <c r="BX132" s="1714">
        <f>IF(OR(8=$AR132,$E$145=$AR132),Schweine_Werte!$M132*0.5,IF(OR(8&gt;$AR132,$E$145&lt;$AR132),0,Schweine_Werte!$M132))</f>
        <v>1.4477278921508818</v>
      </c>
      <c r="BY132" s="1710">
        <f>IF(OR($C$74=$AR132,$D$74=$AR132),Schweine_Werte!$O132*0.5,IF(OR($C$74&gt;$AR132,$D$74&lt;$AR132),0,Schweine_Werte!$O132))</f>
        <v>0</v>
      </c>
      <c r="BZ132" s="1710">
        <f>IF(OR($C$83=$AR132,$D$83=$AR132),Schweine_Werte!$O132*0.5,IF(OR($C$83&gt;$AR132,$D$83&lt;$AR132),0,Schweine_Werte!$O132))</f>
        <v>0</v>
      </c>
      <c r="CA132" s="1714">
        <f>IF(OR($C$92=$AR132,$D$92=$AR132),Schweine_Werte!$O132*0.5,IF(OR($C$92&gt;$AR132,$D$92&lt;$AR132),0,Schweine_Werte!$O132))</f>
        <v>0</v>
      </c>
      <c r="CB132" s="1714">
        <f>IF(OR($C$101=$AR132,$D$101=$AR132),Schweine_Werte!$O132*0.5,IF(OR($C$101&gt;$AR132,$D$101&lt;$AR132),0,Schweine_Werte!$O132))</f>
        <v>0</v>
      </c>
      <c r="CC132" s="1714">
        <f>IF(OR($C$110=$AR132,$D$110=$AR132),Schweine_Werte!$O132*0.5,IF(OR($C$110&gt;$AR132,$D$110&lt;$AR132),0,Schweine_Werte!$O132))</f>
        <v>0</v>
      </c>
    </row>
    <row r="133" spans="2:81" x14ac:dyDescent="0.25">
      <c r="C133" s="3262"/>
      <c r="D133" s="1685">
        <v>34</v>
      </c>
      <c r="E133" s="1685">
        <v>28</v>
      </c>
      <c r="F133" s="1713">
        <v>0.44</v>
      </c>
      <c r="G133" s="1713" t="str">
        <f>IF($B$127=$A$5,Basisdaten!$B$41,IF($B$127=$A$6,Basisdaten!$B$42,IF($B$127=$A$7,Basisdaten!$B$43,IF($B$127=$A$8,Basisdaten!$B$44,""))))</f>
        <v/>
      </c>
      <c r="H133" s="1713" t="str">
        <f>IF($B$127=$A$5,Basisdaten!$C$41,IF($B$127=$A$6,Basisdaten!$C$42,IF($B$127=$A$7,Basisdaten!$C$43,IF($B$127=$A$8,Basisdaten!$C$44,""))))</f>
        <v/>
      </c>
      <c r="I133" s="1713" t="str">
        <f>IF($B$127=$A$5,Basisdaten!$D$41,IF($B$127=$A$6,Basisdaten!$D$42,IF($B$127=$A$7,Basisdaten!$D$43,IF($B$127=$A$8,Basisdaten!$D$44,""))))</f>
        <v/>
      </c>
      <c r="J133" s="1713" t="str">
        <f>IF($B$127=$A$5,Basisdaten!$F$41,IF($B$127=$A$6,Basisdaten!$F$42,IF($B$127=$A$7,Basisdaten!$F$43,IF($B$127=$A$8,Basisdaten!$F$44,""))))</f>
        <v/>
      </c>
      <c r="K133" s="1713" t="str">
        <f>IF($B$127=$A$5,Basisdaten!$J$41,IF($B$127=$A$6,Basisdaten!$J$42,IF($B$127=$A$7,Basisdaten!$J$43,IF($B$127=$A$8,Basisdaten!$J$44,""))))</f>
        <v/>
      </c>
      <c r="L133" s="1713" t="str">
        <f>IF($B$127=$A$5,Basisdaten!$G$41,IF($B$127=$A$6,Basisdaten!$G$42,IF($B$127=$A$7,Basisdaten!$G$43,IF($B$127=$A$8,Basisdaten!$G$44,""))))</f>
        <v/>
      </c>
      <c r="M133" s="1713" t="str">
        <f>IF($B$127=$A$5,Basisdaten!$H$41,IF($B$127=$A$6,Basisdaten!$H$42,IF($B$127=$A$7,Basisdaten!$H$43,IF($B$127=$A$8,Basisdaten!$H$44,""))))</f>
        <v/>
      </c>
      <c r="N133" s="1713" t="str">
        <f>IF($B$127=$A$5,Basisdaten!$I$41,IF($B$127=$A$6,Basisdaten!$I$42,IF($B$127=$A$7,Basisdaten!$I$43,IF($B$127=$A$8,Basisdaten!$I$44,""))))</f>
        <v/>
      </c>
      <c r="O133" s="1713"/>
      <c r="P133" s="1713"/>
      <c r="Q133" s="1713"/>
      <c r="R133" s="1713"/>
      <c r="S133" s="1713"/>
      <c r="T133" s="1713" t="str">
        <f>IF($B$127=$A$5,Basisdaten!$N$41,IF($B$127=$A$6,Basisdaten!$N$42,IF($B$127=$A$7,Basisdaten!$N$43,IF($B$127=$A$8,Basisdaten!$N$44,""))))</f>
        <v/>
      </c>
      <c r="U133" s="1713" t="str">
        <f>IF($B$127=$A$5,Basisdaten!$O$41,IF($B$127=$A$6,Basisdaten!$O$42,IF($B$127=$A$7,Basisdaten!$O$43,IF($B$127=$A$8,Basisdaten!$O$44,""))))</f>
        <v/>
      </c>
      <c r="V133" s="1713" t="str">
        <f>IF($B$127=$A$5,Basisdaten!$P$41,IF($B$127=$A$6,Basisdaten!$P$42,IF($B$127=$A$7,Basisdaten!$P$43,IF($B$127=$A$8,Basisdaten!$P$44,""))))</f>
        <v/>
      </c>
      <c r="W133" s="1713" t="str">
        <f>IF($B$127=$A$5,Basisdaten!$K$41,IF($B$127=$A$6,Basisdaten!$K$42,IF($B$127=$A$7,Basisdaten!$K$43,IF($B$127=$A$8,Basisdaten!$K$44,""))))</f>
        <v/>
      </c>
      <c r="X133" s="1713" t="str">
        <f>IF($B$127=$A$5,Basisdaten!$L$41,IF($B$127=$A$6,Basisdaten!$L$42,IF($B$127=$A$7,Basisdaten!$L$43,IF($B$127=$A$8,Basisdaten!$L$44,""))))</f>
        <v/>
      </c>
      <c r="Y133" s="1713" t="str">
        <f>IF($B$127=$A$5,Basisdaten!$M$41,IF($B$127=$A$6,Basisdaten!$M$42,IF($B$127=$A$7,Basisdaten!$M$43,IF($B$127=$A$8,Basisdaten!$M$44,""))))</f>
        <v/>
      </c>
      <c r="AR133" s="1733">
        <v>137</v>
      </c>
      <c r="AS133" s="1710">
        <f>IF(OR($C$12=$AR133,$D$12=$AR133),Schweine_Werte!$C133*0.5,IF(OR($C$12&gt;$AR133,$D$12&lt;$AR133),0,Schweine_Werte!$C133))</f>
        <v>0</v>
      </c>
      <c r="AT133" s="1713">
        <f>IF(OR($C$24=$AR133,$D$24=$AR133),Schweine_Werte!$C133*0.5,IF(OR($C$24&gt;$AR133,$D$24&lt;$AR133),0,Schweine_Werte!$C133))</f>
        <v>0</v>
      </c>
      <c r="AU133" s="1710">
        <f>IF(OR($C$36=$AR133,$D$36=$AR133),Schweine_Werte!$C133*0.5,IF(OR($C$36&gt;$AR133,$D$36&lt;$AR133),0,Schweine_Werte!$C133))</f>
        <v>0</v>
      </c>
      <c r="AV133" s="1710">
        <f>IF(OR($C$48=$AR133,$D$48=$AR133),Schweine_Werte!$C133*0.5,IF(OR($C$48&gt;$AR133,$D$48&lt;$AR133),0,Schweine_Werte!$C133))</f>
        <v>0</v>
      </c>
      <c r="AW133" s="1710">
        <f>IF(OR($C$60=$AR133,$D$60=$AR133),Schweine_Werte!$C133*0.5,IF(OR($C$60&gt;$AR133,$D$60&lt;$AR133),0,Schweine_Werte!$C133))</f>
        <v>0</v>
      </c>
      <c r="AX133" s="1710">
        <f>IF(OR($C$12=$AR133,$D$12=$AR133),Schweine_Werte!$E133*0.5,IF(OR($C$12&gt;$AR133,$D$12&lt;$AR133),0,Schweine_Werte!$E133))</f>
        <v>0</v>
      </c>
      <c r="AY133" s="1713">
        <f>IF(OR($C$24=$AR133,$D$24=$AR133),Schweine_Werte!$E133*0.5,IF(OR($C$24&gt;$AR133,$D$24&lt;$AR133),0,Schweine_Werte!$E133))</f>
        <v>0</v>
      </c>
      <c r="AZ133" s="1713">
        <f>IF(OR($C$36=$AR133,$D$36=$AR133),Schweine_Werte!$E133*0.5,IF(OR($C$36&gt;$AR133,$D$36&lt;$AR133),0,Schweine_Werte!$E133))</f>
        <v>0</v>
      </c>
      <c r="BA133" s="1713">
        <f>IF(OR($C$48=$AR133,$D$48=$AR133),Schweine_Werte!$E133*0.5,IF(OR($C$48&gt;$AR133,$D$48&lt;$AR133),0,Schweine_Werte!$E133))</f>
        <v>0</v>
      </c>
      <c r="BB133" s="1713">
        <f>IF(OR($C$60=$AR133,$D$60=$AR133),Schweine_Werte!$E133*0.5,IF(OR($C$60&gt;$AR133,$D$60&lt;$AR133),0,Schweine_Werte!$E133))</f>
        <v>0</v>
      </c>
      <c r="BC133" s="1710">
        <f>IF(OR($C$12=$AR133,$D$12=$AR133),Schweine_Werte!$G133*0.5,IF(OR($C$12&gt;$AR133,$D$12&lt;$AR133),0,Schweine_Werte!$G133))</f>
        <v>0</v>
      </c>
      <c r="BD133" s="1713">
        <f>IF(OR($C$24=$AR133,$D$24=$AR133),Schweine_Werte!$G133*0.5,IF(OR($C$24&gt;$AR133,$D$24&lt;$AR133),0,Schweine_Werte!$G133))</f>
        <v>0</v>
      </c>
      <c r="BE133" s="1713">
        <f>IF(OR($C$36=$AR133,$D$36=$AR133),Schweine_Werte!$G133*0.5,IF(OR($C$36&gt;$AR133,$D$36&lt;$AR133),0,Schweine_Werte!$G133))</f>
        <v>0</v>
      </c>
      <c r="BF133" s="1713">
        <f>IF(OR($C$48=$AR133,$D$48=$AR133),Schweine_Werte!$G133*0.5,IF(OR($C$48&gt;$AR133,$D$48&lt;$AR133),0,Schweine_Werte!$G133))</f>
        <v>0</v>
      </c>
      <c r="BG133" s="1713">
        <f>IF(OR($C$60=$AR133,$D$60=$AR133),Schweine_Werte!$G133*0.5,IF(OR($C$60&gt;$AR133,$D$60&lt;$AR133),0,Schweine_Werte!$G133))</f>
        <v>0</v>
      </c>
      <c r="BH133" s="1710">
        <f>IF(OR($C$12=$AR133,$D$12=$AR133),Schweine_Werte!$I133*0.5,IF(OR($C$12&gt;$AR133,$D$12&lt;$AR133),0,Schweine_Werte!$I133))</f>
        <v>0</v>
      </c>
      <c r="BI133" s="1713">
        <f>IF(OR($C$24=$AR133,$D$24=$AR133),Schweine_Werte!$I133*0.5,IF(OR($C$24&gt;$AR133,$D$24&lt;$AR133),0,Schweine_Werte!$I133))</f>
        <v>0</v>
      </c>
      <c r="BJ133" s="1713">
        <f>IF(OR($C$36=$AR133,$D$36=$AR133),Schweine_Werte!$I133*0.5,IF(OR($C$36&gt;$AR133,$D$36&lt;$AR133),0,Schweine_Werte!$I133))</f>
        <v>0</v>
      </c>
      <c r="BK133" s="1713">
        <f>IF(OR($C$48=$AR133,$D$48=$AR133),Schweine_Werte!$I133*0.5,IF(OR($C$48&gt;$AR133,$D$48&lt;$AR133),0,Schweine_Werte!$I133))</f>
        <v>0</v>
      </c>
      <c r="BL133" s="1713">
        <f>IF(OR($C$60=$AR133,$D$60=$AR133),Schweine_Werte!$I133*0.5,IF(OR($C$60&gt;$AR133,$D$60&lt;$AR133),0,Schweine_Werte!$I133))</f>
        <v>0</v>
      </c>
      <c r="BM133" s="1710">
        <f>IF(OR($C$12=$AR133,$D$12=$AR133),Schweine_Werte!$K133*0.5,IF(OR($C$12&gt;$AR133,$D$12&lt;$AR133),0,Schweine_Werte!$K133))</f>
        <v>0</v>
      </c>
      <c r="BN133" s="1713">
        <f>IF(OR($C$24=$AR133,$D$24=$AR133),Schweine_Werte!$K133*0.5,IF(OR($C$24&gt;$AR133,$D$24&lt;$AR133),0,Schweine_Werte!$K133))</f>
        <v>0</v>
      </c>
      <c r="BO133" s="1713">
        <f>IF(OR($C$36=$AR133,$D$36=$AR133),Schweine_Werte!$K133*0.5,IF(OR($C$36&gt;$AR133,$D$36&lt;$AR133),0,Schweine_Werte!$K133))</f>
        <v>0</v>
      </c>
      <c r="BP133" s="1713">
        <f>IF(OR($C$48=$AR133,$D$48=$AR133),Schweine_Werte!$K133*0.5,IF(OR($C$48&gt;$AR133,$D$48&lt;$AR133),0,Schweine_Werte!$K133))</f>
        <v>0</v>
      </c>
      <c r="BQ133" s="1713">
        <f>IF(OR($C$60=$AR133,$D$60=$AR133),Schweine_Werte!$K133*0.5,IF(OR($C$60&gt;$AR133,$D$60&lt;$AR133),0,Schweine_Werte!$K133))</f>
        <v>0</v>
      </c>
      <c r="BR133" s="1710">
        <f>IF(OR($C$74=$AR133,$D$74=$AR133),Schweine_Werte!$M133*0.5,IF(OR($C$74&gt;$AR133,$D$74&lt;$AR133),0,Schweine_Werte!$M133))</f>
        <v>0</v>
      </c>
      <c r="BS133" s="1710">
        <f>IF(OR($C$83=$AR133,$D$83=$AR133),Schweine_Werte!$M133*0.5,IF(OR($C$83&gt;$AR133,$D$83&lt;$AR133),0,Schweine_Werte!$M133))</f>
        <v>0</v>
      </c>
      <c r="BT133" s="1714">
        <f>IF(OR($C$92=$AR133,$D$92=$AR133),Schweine_Werte!$M133*0.5,IF(OR($C$92&gt;$AR133,$D$92&lt;$AR133),0,Schweine_Werte!$M133))</f>
        <v>0</v>
      </c>
      <c r="BU133" s="1714">
        <f>IF(OR($C$101=$AR133,$D$101=$AR133),Schweine_Werte!$M133*0.5,IF(OR($C$101&gt;$AR133,$D$101&lt;$AR133),0,Schweine_Werte!$M133))</f>
        <v>0</v>
      </c>
      <c r="BV133" s="1714">
        <f>IF(OR($C$110=$AR133,$D$110=$AR133),Schweine_Werte!$M133*0.5,IF(OR($C$110&gt;$AR133,$D$110&lt;$AR133),0,Schweine_Werte!$M133))</f>
        <v>0</v>
      </c>
      <c r="BW133" s="1714">
        <f>IF(OR(8=$AR133,$E$127=$AR133),Schweine_Werte!$M133*0.5,IF(OR(8&gt;$AR133,$E$127&lt;$AR133),0,Schweine_Werte!$M133))</f>
        <v>1.4477278921508818</v>
      </c>
      <c r="BX133" s="1714">
        <f>IF(OR(8=$AR133,$E$145=$AR133),Schweine_Werte!$M133*0.5,IF(OR(8&gt;$AR133,$E$145&lt;$AR133),0,Schweine_Werte!$M133))</f>
        <v>1.4477278921508818</v>
      </c>
      <c r="BY133" s="1710">
        <f>IF(OR($C$74=$AR133,$D$74=$AR133),Schweine_Werte!$O133*0.5,IF(OR($C$74&gt;$AR133,$D$74&lt;$AR133),0,Schweine_Werte!$O133))</f>
        <v>0</v>
      </c>
      <c r="BZ133" s="1710">
        <f>IF(OR($C$83=$AR133,$D$83=$AR133),Schweine_Werte!$O133*0.5,IF(OR($C$83&gt;$AR133,$D$83&lt;$AR133),0,Schweine_Werte!$O133))</f>
        <v>0</v>
      </c>
      <c r="CA133" s="1714">
        <f>IF(OR($C$92=$AR133,$D$92=$AR133),Schweine_Werte!$O133*0.5,IF(OR($C$92&gt;$AR133,$D$92&lt;$AR133),0,Schweine_Werte!$O133))</f>
        <v>0</v>
      </c>
      <c r="CB133" s="1714">
        <f>IF(OR($C$101=$AR133,$D$101=$AR133),Schweine_Werte!$O133*0.5,IF(OR($C$101&gt;$AR133,$D$101&lt;$AR133),0,Schweine_Werte!$O133))</f>
        <v>0</v>
      </c>
      <c r="CC133" s="1714">
        <f>IF(OR($C$110=$AR133,$D$110=$AR133),Schweine_Werte!$O133*0.5,IF(OR($C$110&gt;$AR133,$D$110&lt;$AR133),0,Schweine_Werte!$O133))</f>
        <v>0</v>
      </c>
    </row>
    <row r="134" spans="2:81" x14ac:dyDescent="0.25">
      <c r="AR134" s="1733">
        <v>138</v>
      </c>
      <c r="AS134" s="1710">
        <f>IF(OR($C$12=$AR134,$D$12=$AR134),Schweine_Werte!$C134*0.5,IF(OR($C$12&gt;$AR134,$D$12&lt;$AR134),0,Schweine_Werte!$C134))</f>
        <v>0</v>
      </c>
      <c r="AT134" s="1713">
        <f>IF(OR($C$24=$AR134,$D$24=$AR134),Schweine_Werte!$C134*0.5,IF(OR($C$24&gt;$AR134,$D$24&lt;$AR134),0,Schweine_Werte!$C134))</f>
        <v>0</v>
      </c>
      <c r="AU134" s="1710">
        <f>IF(OR($C$36=$AR134,$D$36=$AR134),Schweine_Werte!$C134*0.5,IF(OR($C$36&gt;$AR134,$D$36&lt;$AR134),0,Schweine_Werte!$C134))</f>
        <v>0</v>
      </c>
      <c r="AV134" s="1710">
        <f>IF(OR($C$48=$AR134,$D$48=$AR134),Schweine_Werte!$C134*0.5,IF(OR($C$48&gt;$AR134,$D$48&lt;$AR134),0,Schweine_Werte!$C134))</f>
        <v>0</v>
      </c>
      <c r="AW134" s="1710">
        <f>IF(OR($C$60=$AR134,$D$60=$AR134),Schweine_Werte!$C134*0.5,IF(OR($C$60&gt;$AR134,$D$60&lt;$AR134),0,Schweine_Werte!$C134))</f>
        <v>0</v>
      </c>
      <c r="AX134" s="1710">
        <f>IF(OR($C$12=$AR134,$D$12=$AR134),Schweine_Werte!$E134*0.5,IF(OR($C$12&gt;$AR134,$D$12&lt;$AR134),0,Schweine_Werte!$E134))</f>
        <v>0</v>
      </c>
      <c r="AY134" s="1713">
        <f>IF(OR($C$24=$AR134,$D$24=$AR134),Schweine_Werte!$E134*0.5,IF(OR($C$24&gt;$AR134,$D$24&lt;$AR134),0,Schweine_Werte!$E134))</f>
        <v>0</v>
      </c>
      <c r="AZ134" s="1713">
        <f>IF(OR($C$36=$AR134,$D$36=$AR134),Schweine_Werte!$E134*0.5,IF(OR($C$36&gt;$AR134,$D$36&lt;$AR134),0,Schweine_Werte!$E134))</f>
        <v>0</v>
      </c>
      <c r="BA134" s="1713">
        <f>IF(OR($C$48=$AR134,$D$48=$AR134),Schweine_Werte!$E134*0.5,IF(OR($C$48&gt;$AR134,$D$48&lt;$AR134),0,Schweine_Werte!$E134))</f>
        <v>0</v>
      </c>
      <c r="BB134" s="1713">
        <f>IF(OR($C$60=$AR134,$D$60=$AR134),Schweine_Werte!$E134*0.5,IF(OR($C$60&gt;$AR134,$D$60&lt;$AR134),0,Schweine_Werte!$E134))</f>
        <v>0</v>
      </c>
      <c r="BC134" s="1710">
        <f>IF(OR($C$12=$AR134,$D$12=$AR134),Schweine_Werte!$G134*0.5,IF(OR($C$12&gt;$AR134,$D$12&lt;$AR134),0,Schweine_Werte!$G134))</f>
        <v>0</v>
      </c>
      <c r="BD134" s="1713">
        <f>IF(OR($C$24=$AR134,$D$24=$AR134),Schweine_Werte!$G134*0.5,IF(OR($C$24&gt;$AR134,$D$24&lt;$AR134),0,Schweine_Werte!$G134))</f>
        <v>0</v>
      </c>
      <c r="BE134" s="1713">
        <f>IF(OR($C$36=$AR134,$D$36=$AR134),Schweine_Werte!$G134*0.5,IF(OR($C$36&gt;$AR134,$D$36&lt;$AR134),0,Schweine_Werte!$G134))</f>
        <v>0</v>
      </c>
      <c r="BF134" s="1713">
        <f>IF(OR($C$48=$AR134,$D$48=$AR134),Schweine_Werte!$G134*0.5,IF(OR($C$48&gt;$AR134,$D$48&lt;$AR134),0,Schweine_Werte!$G134))</f>
        <v>0</v>
      </c>
      <c r="BG134" s="1713">
        <f>IF(OR($C$60=$AR134,$D$60=$AR134),Schweine_Werte!$G134*0.5,IF(OR($C$60&gt;$AR134,$D$60&lt;$AR134),0,Schweine_Werte!$G134))</f>
        <v>0</v>
      </c>
      <c r="BH134" s="1710">
        <f>IF(OR($C$12=$AR134,$D$12=$AR134),Schweine_Werte!$I134*0.5,IF(OR($C$12&gt;$AR134,$D$12&lt;$AR134),0,Schweine_Werte!$I134))</f>
        <v>0</v>
      </c>
      <c r="BI134" s="1713">
        <f>IF(OR($C$24=$AR134,$D$24=$AR134),Schweine_Werte!$I134*0.5,IF(OR($C$24&gt;$AR134,$D$24&lt;$AR134),0,Schweine_Werte!$I134))</f>
        <v>0</v>
      </c>
      <c r="BJ134" s="1713">
        <f>IF(OR($C$36=$AR134,$D$36=$AR134),Schweine_Werte!$I134*0.5,IF(OR($C$36&gt;$AR134,$D$36&lt;$AR134),0,Schweine_Werte!$I134))</f>
        <v>0</v>
      </c>
      <c r="BK134" s="1713">
        <f>IF(OR($C$48=$AR134,$D$48=$AR134),Schweine_Werte!$I134*0.5,IF(OR($C$48&gt;$AR134,$D$48&lt;$AR134),0,Schweine_Werte!$I134))</f>
        <v>0</v>
      </c>
      <c r="BL134" s="1713">
        <f>IF(OR($C$60=$AR134,$D$60=$AR134),Schweine_Werte!$I134*0.5,IF(OR($C$60&gt;$AR134,$D$60&lt;$AR134),0,Schweine_Werte!$I134))</f>
        <v>0</v>
      </c>
      <c r="BM134" s="1710">
        <f>IF(OR($C$12=$AR134,$D$12=$AR134),Schweine_Werte!$K134*0.5,IF(OR($C$12&gt;$AR134,$D$12&lt;$AR134),0,Schweine_Werte!$K134))</f>
        <v>0</v>
      </c>
      <c r="BN134" s="1713">
        <f>IF(OR($C$24=$AR134,$D$24=$AR134),Schweine_Werte!$K134*0.5,IF(OR($C$24&gt;$AR134,$D$24&lt;$AR134),0,Schweine_Werte!$K134))</f>
        <v>0</v>
      </c>
      <c r="BO134" s="1713">
        <f>IF(OR($C$36=$AR134,$D$36=$AR134),Schweine_Werte!$K134*0.5,IF(OR($C$36&gt;$AR134,$D$36&lt;$AR134),0,Schweine_Werte!$K134))</f>
        <v>0</v>
      </c>
      <c r="BP134" s="1713">
        <f>IF(OR($C$48=$AR134,$D$48=$AR134),Schweine_Werte!$K134*0.5,IF(OR($C$48&gt;$AR134,$D$48&lt;$AR134),0,Schweine_Werte!$K134))</f>
        <v>0</v>
      </c>
      <c r="BQ134" s="1713">
        <f>IF(OR($C$60=$AR134,$D$60=$AR134),Schweine_Werte!$K134*0.5,IF(OR($C$60&gt;$AR134,$D$60&lt;$AR134),0,Schweine_Werte!$K134))</f>
        <v>0</v>
      </c>
      <c r="BR134" s="1710">
        <f>IF(OR($C$74=$AR134,$D$74=$AR134),Schweine_Werte!$M134*0.5,IF(OR($C$74&gt;$AR134,$D$74&lt;$AR134),0,Schweine_Werte!$M134))</f>
        <v>0</v>
      </c>
      <c r="BS134" s="1710">
        <f>IF(OR($C$83=$AR134,$D$83=$AR134),Schweine_Werte!$M134*0.5,IF(OR($C$83&gt;$AR134,$D$83&lt;$AR134),0,Schweine_Werte!$M134))</f>
        <v>0</v>
      </c>
      <c r="BT134" s="1714">
        <f>IF(OR($C$92=$AR134,$D$92=$AR134),Schweine_Werte!$M134*0.5,IF(OR($C$92&gt;$AR134,$D$92&lt;$AR134),0,Schweine_Werte!$M134))</f>
        <v>0</v>
      </c>
      <c r="BU134" s="1714">
        <f>IF(OR($C$101=$AR134,$D$101=$AR134),Schweine_Werte!$M134*0.5,IF(OR($C$101&gt;$AR134,$D$101&lt;$AR134),0,Schweine_Werte!$M134))</f>
        <v>0</v>
      </c>
      <c r="BV134" s="1714">
        <f>IF(OR($C$110=$AR134,$D$110=$AR134),Schweine_Werte!$M134*0.5,IF(OR($C$110&gt;$AR134,$D$110&lt;$AR134),0,Schweine_Werte!$M134))</f>
        <v>0</v>
      </c>
      <c r="BW134" s="1714">
        <f>IF(OR(8=$AR134,$E$127=$AR134),Schweine_Werte!$M134*0.5,IF(OR(8&gt;$AR134,$E$127&lt;$AR134),0,Schweine_Werte!$M134))</f>
        <v>1.4477278921508818</v>
      </c>
      <c r="BX134" s="1714">
        <f>IF(OR(8=$AR134,$E$145=$AR134),Schweine_Werte!$M134*0.5,IF(OR(8&gt;$AR134,$E$145&lt;$AR134),0,Schweine_Werte!$M134))</f>
        <v>1.4477278921508818</v>
      </c>
      <c r="BY134" s="1710">
        <f>IF(OR($C$74=$AR134,$D$74=$AR134),Schweine_Werte!$O134*0.5,IF(OR($C$74&gt;$AR134,$D$74&lt;$AR134),0,Schweine_Werte!$O134))</f>
        <v>0</v>
      </c>
      <c r="BZ134" s="1710">
        <f>IF(OR($C$83=$AR134,$D$83=$AR134),Schweine_Werte!$O134*0.5,IF(OR($C$83&gt;$AR134,$D$83&lt;$AR134),0,Schweine_Werte!$O134))</f>
        <v>0</v>
      </c>
      <c r="CA134" s="1714">
        <f>IF(OR($C$92=$AR134,$D$92=$AR134),Schweine_Werte!$O134*0.5,IF(OR($C$92&gt;$AR134,$D$92&lt;$AR134),0,Schweine_Werte!$O134))</f>
        <v>0</v>
      </c>
      <c r="CB134" s="1714">
        <f>IF(OR($C$101=$AR134,$D$101=$AR134),Schweine_Werte!$O134*0.5,IF(OR($C$101&gt;$AR134,$D$101&lt;$AR134),0,Schweine_Werte!$O134))</f>
        <v>0</v>
      </c>
      <c r="CC134" s="1714">
        <f>IF(OR($C$110=$AR134,$D$110=$AR134),Schweine_Werte!$O134*0.5,IF(OR($C$110&gt;$AR134,$D$110&lt;$AR134),0,Schweine_Werte!$O134))</f>
        <v>0</v>
      </c>
    </row>
    <row r="135" spans="2:81" x14ac:dyDescent="0.25">
      <c r="AR135" s="1733">
        <v>139</v>
      </c>
      <c r="AS135" s="1710">
        <f>IF(OR($C$12=$AR135,$D$12=$AR135),Schweine_Werte!$C135*0.5,IF(OR($C$12&gt;$AR135,$D$12&lt;$AR135),0,Schweine_Werte!$C135))</f>
        <v>0</v>
      </c>
      <c r="AT135" s="1713">
        <f>IF(OR($C$24=$AR135,$D$24=$AR135),Schweine_Werte!$C135*0.5,IF(OR($C$24&gt;$AR135,$D$24&lt;$AR135),0,Schweine_Werte!$C135))</f>
        <v>0</v>
      </c>
      <c r="AU135" s="1710">
        <f>IF(OR($C$36=$AR135,$D$36=$AR135),Schweine_Werte!$C135*0.5,IF(OR($C$36&gt;$AR135,$D$36&lt;$AR135),0,Schweine_Werte!$C135))</f>
        <v>0</v>
      </c>
      <c r="AV135" s="1710">
        <f>IF(OR($C$48=$AR135,$D$48=$AR135),Schweine_Werte!$C135*0.5,IF(OR($C$48&gt;$AR135,$D$48&lt;$AR135),0,Schweine_Werte!$C135))</f>
        <v>0</v>
      </c>
      <c r="AW135" s="1710">
        <f>IF(OR($C$60=$AR135,$D$60=$AR135),Schweine_Werte!$C135*0.5,IF(OR($C$60&gt;$AR135,$D$60&lt;$AR135),0,Schweine_Werte!$C135))</f>
        <v>0</v>
      </c>
      <c r="AX135" s="1710">
        <f>IF(OR($C$12=$AR135,$D$12=$AR135),Schweine_Werte!$E135*0.5,IF(OR($C$12&gt;$AR135,$D$12&lt;$AR135),0,Schweine_Werte!$E135))</f>
        <v>0</v>
      </c>
      <c r="AY135" s="1713">
        <f>IF(OR($C$24=$AR135,$D$24=$AR135),Schweine_Werte!$E135*0.5,IF(OR($C$24&gt;$AR135,$D$24&lt;$AR135),0,Schweine_Werte!$E135))</f>
        <v>0</v>
      </c>
      <c r="AZ135" s="1713">
        <f>IF(OR($C$36=$AR135,$D$36=$AR135),Schweine_Werte!$E135*0.5,IF(OR($C$36&gt;$AR135,$D$36&lt;$AR135),0,Schweine_Werte!$E135))</f>
        <v>0</v>
      </c>
      <c r="BA135" s="1713">
        <f>IF(OR($C$48=$AR135,$D$48=$AR135),Schweine_Werte!$E135*0.5,IF(OR($C$48&gt;$AR135,$D$48&lt;$AR135),0,Schweine_Werte!$E135))</f>
        <v>0</v>
      </c>
      <c r="BB135" s="1713">
        <f>IF(OR($C$60=$AR135,$D$60=$AR135),Schweine_Werte!$E135*0.5,IF(OR($C$60&gt;$AR135,$D$60&lt;$AR135),0,Schweine_Werte!$E135))</f>
        <v>0</v>
      </c>
      <c r="BC135" s="1710">
        <f>IF(OR($C$12=$AR135,$D$12=$AR135),Schweine_Werte!$G135*0.5,IF(OR($C$12&gt;$AR135,$D$12&lt;$AR135),0,Schweine_Werte!$G135))</f>
        <v>0</v>
      </c>
      <c r="BD135" s="1713">
        <f>IF(OR($C$24=$AR135,$D$24=$AR135),Schweine_Werte!$G135*0.5,IF(OR($C$24&gt;$AR135,$D$24&lt;$AR135),0,Schweine_Werte!$G135))</f>
        <v>0</v>
      </c>
      <c r="BE135" s="1713">
        <f>IF(OR($C$36=$AR135,$D$36=$AR135),Schweine_Werte!$G135*0.5,IF(OR($C$36&gt;$AR135,$D$36&lt;$AR135),0,Schweine_Werte!$G135))</f>
        <v>0</v>
      </c>
      <c r="BF135" s="1713">
        <f>IF(OR($C$48=$AR135,$D$48=$AR135),Schweine_Werte!$G135*0.5,IF(OR($C$48&gt;$AR135,$D$48&lt;$AR135),0,Schweine_Werte!$G135))</f>
        <v>0</v>
      </c>
      <c r="BG135" s="1713">
        <f>IF(OR($C$60=$AR135,$D$60=$AR135),Schweine_Werte!$G135*0.5,IF(OR($C$60&gt;$AR135,$D$60&lt;$AR135),0,Schweine_Werte!$G135))</f>
        <v>0</v>
      </c>
      <c r="BH135" s="1710">
        <f>IF(OR($C$12=$AR135,$D$12=$AR135),Schweine_Werte!$I135*0.5,IF(OR($C$12&gt;$AR135,$D$12&lt;$AR135),0,Schweine_Werte!$I135))</f>
        <v>0</v>
      </c>
      <c r="BI135" s="1713">
        <f>IF(OR($C$24=$AR135,$D$24=$AR135),Schweine_Werte!$I135*0.5,IF(OR($C$24&gt;$AR135,$D$24&lt;$AR135),0,Schweine_Werte!$I135))</f>
        <v>0</v>
      </c>
      <c r="BJ135" s="1713">
        <f>IF(OR($C$36=$AR135,$D$36=$AR135),Schweine_Werte!$I135*0.5,IF(OR($C$36&gt;$AR135,$D$36&lt;$AR135),0,Schweine_Werte!$I135))</f>
        <v>0</v>
      </c>
      <c r="BK135" s="1713">
        <f>IF(OR($C$48=$AR135,$D$48=$AR135),Schweine_Werte!$I135*0.5,IF(OR($C$48&gt;$AR135,$D$48&lt;$AR135),0,Schweine_Werte!$I135))</f>
        <v>0</v>
      </c>
      <c r="BL135" s="1713">
        <f>IF(OR($C$60=$AR135,$D$60=$AR135),Schweine_Werte!$I135*0.5,IF(OR($C$60&gt;$AR135,$D$60&lt;$AR135),0,Schweine_Werte!$I135))</f>
        <v>0</v>
      </c>
      <c r="BM135" s="1710">
        <f>IF(OR($C$12=$AR135,$D$12=$AR135),Schweine_Werte!$K135*0.5,IF(OR($C$12&gt;$AR135,$D$12&lt;$AR135),0,Schweine_Werte!$K135))</f>
        <v>0</v>
      </c>
      <c r="BN135" s="1713">
        <f>IF(OR($C$24=$AR135,$D$24=$AR135),Schweine_Werte!$K135*0.5,IF(OR($C$24&gt;$AR135,$D$24&lt;$AR135),0,Schweine_Werte!$K135))</f>
        <v>0</v>
      </c>
      <c r="BO135" s="1713">
        <f>IF(OR($C$36=$AR135,$D$36=$AR135),Schweine_Werte!$K135*0.5,IF(OR($C$36&gt;$AR135,$D$36&lt;$AR135),0,Schweine_Werte!$K135))</f>
        <v>0</v>
      </c>
      <c r="BP135" s="1713">
        <f>IF(OR($C$48=$AR135,$D$48=$AR135),Schweine_Werte!$K135*0.5,IF(OR($C$48&gt;$AR135,$D$48&lt;$AR135),0,Schweine_Werte!$K135))</f>
        <v>0</v>
      </c>
      <c r="BQ135" s="1713">
        <f>IF(OR($C$60=$AR135,$D$60=$AR135),Schweine_Werte!$K135*0.5,IF(OR($C$60&gt;$AR135,$D$60&lt;$AR135),0,Schweine_Werte!$K135))</f>
        <v>0</v>
      </c>
      <c r="BR135" s="1710">
        <f>IF(OR($C$74=$AR135,$D$74=$AR135),Schweine_Werte!$M135*0.5,IF(OR($C$74&gt;$AR135,$D$74&lt;$AR135),0,Schweine_Werte!$M135))</f>
        <v>0</v>
      </c>
      <c r="BS135" s="1710">
        <f>IF(OR($C$83=$AR135,$D$83=$AR135),Schweine_Werte!$M135*0.5,IF(OR($C$83&gt;$AR135,$D$83&lt;$AR135),0,Schweine_Werte!$M135))</f>
        <v>0</v>
      </c>
      <c r="BT135" s="1714">
        <f>IF(OR($C$92=$AR135,$D$92=$AR135),Schweine_Werte!$M135*0.5,IF(OR($C$92&gt;$AR135,$D$92&lt;$AR135),0,Schweine_Werte!$M135))</f>
        <v>0</v>
      </c>
      <c r="BU135" s="1714">
        <f>IF(OR($C$101=$AR135,$D$101=$AR135),Schweine_Werte!$M135*0.5,IF(OR($C$101&gt;$AR135,$D$101&lt;$AR135),0,Schweine_Werte!$M135))</f>
        <v>0</v>
      </c>
      <c r="BV135" s="1714">
        <f>IF(OR($C$110=$AR135,$D$110=$AR135),Schweine_Werte!$M135*0.5,IF(OR($C$110&gt;$AR135,$D$110&lt;$AR135),0,Schweine_Werte!$M135))</f>
        <v>0</v>
      </c>
      <c r="BW135" s="1714">
        <f>IF(OR(8=$AR135,$E$127=$AR135),Schweine_Werte!$M135*0.5,IF(OR(8&gt;$AR135,$E$127&lt;$AR135),0,Schweine_Werte!$M135))</f>
        <v>1.4477278921508818</v>
      </c>
      <c r="BX135" s="1714">
        <f>IF(OR(8=$AR135,$E$145=$AR135),Schweine_Werte!$M135*0.5,IF(OR(8&gt;$AR135,$E$145&lt;$AR135),0,Schweine_Werte!$M135))</f>
        <v>1.4477278921508818</v>
      </c>
      <c r="BY135" s="1710">
        <f>IF(OR($C$74=$AR135,$D$74=$AR135),Schweine_Werte!$O135*0.5,IF(OR($C$74&gt;$AR135,$D$74&lt;$AR135),0,Schweine_Werte!$O135))</f>
        <v>0</v>
      </c>
      <c r="BZ135" s="1710">
        <f>IF(OR($C$83=$AR135,$D$83=$AR135),Schweine_Werte!$O135*0.5,IF(OR($C$83&gt;$AR135,$D$83&lt;$AR135),0,Schweine_Werte!$O135))</f>
        <v>0</v>
      </c>
      <c r="CA135" s="1714">
        <f>IF(OR($C$92=$AR135,$D$92=$AR135),Schweine_Werte!$O135*0.5,IF(OR($C$92&gt;$AR135,$D$92&lt;$AR135),0,Schweine_Werte!$O135))</f>
        <v>0</v>
      </c>
      <c r="CB135" s="1714">
        <f>IF(OR($C$101=$AR135,$D$101=$AR135),Schweine_Werte!$O135*0.5,IF(OR($C$101&gt;$AR135,$D$101&lt;$AR135),0,Schweine_Werte!$O135))</f>
        <v>0</v>
      </c>
      <c r="CC135" s="1714">
        <f>IF(OR($C$110=$AR135,$D$110=$AR135),Schweine_Werte!$O135*0.5,IF(OR($C$110&gt;$AR135,$D$110&lt;$AR135),0,Schweine_Werte!$O135))</f>
        <v>0</v>
      </c>
    </row>
    <row r="136" spans="2:81" ht="18.75" x14ac:dyDescent="0.3">
      <c r="B136" t="s">
        <v>8616</v>
      </c>
      <c r="C136"/>
      <c r="D136" t="s">
        <v>8617</v>
      </c>
      <c r="E136"/>
      <c r="F136"/>
      <c r="G136" t="s">
        <v>8516</v>
      </c>
      <c r="H136" s="1917"/>
      <c r="I136" s="1917"/>
      <c r="J136" s="1917"/>
      <c r="K136" s="1917"/>
      <c r="L136" s="1917"/>
      <c r="M136" s="1917"/>
      <c r="N136" s="1917"/>
      <c r="O136" t="s">
        <v>8618</v>
      </c>
      <c r="P136" s="885" t="s">
        <v>8619</v>
      </c>
      <c r="Q136" s="885"/>
      <c r="R136" s="885"/>
      <c r="S136" s="885"/>
      <c r="T136" s="1917"/>
      <c r="U136" s="1917"/>
      <c r="V136" s="1917"/>
      <c r="W136"/>
      <c r="X136"/>
      <c r="Y136"/>
      <c r="AR136" s="1733">
        <v>140</v>
      </c>
      <c r="AS136" s="1710">
        <f>IF(OR($C$12=$AR136,$D$12=$AR136),Schweine_Werte!$C136*0.5,IF(OR($C$12&gt;$AR136,$D$12&lt;$AR136),0,Schweine_Werte!$C136))</f>
        <v>0</v>
      </c>
      <c r="AT136" s="1713">
        <f>IF(OR($C$24=$AR136,$D$24=$AR136),Schweine_Werte!$C136*0.5,IF(OR($C$24&gt;$AR136,$D$24&lt;$AR136),0,Schweine_Werte!$C136))</f>
        <v>0</v>
      </c>
      <c r="AU136" s="1710">
        <f>IF(OR($C$36=$AR136,$D$36=$AR136),Schweine_Werte!$C136*0.5,IF(OR($C$36&gt;$AR136,$D$36&lt;$AR136),0,Schweine_Werte!$C136))</f>
        <v>0</v>
      </c>
      <c r="AV136" s="1710">
        <f>IF(OR($C$48=$AR136,$D$48=$AR136),Schweine_Werte!$C136*0.5,IF(OR($C$48&gt;$AR136,$D$48&lt;$AR136),0,Schweine_Werte!$C136))</f>
        <v>0</v>
      </c>
      <c r="AW136" s="1710">
        <f>IF(OR($C$60=$AR136,$D$60=$AR136),Schweine_Werte!$C136*0.5,IF(OR($C$60&gt;$AR136,$D$60&lt;$AR136),0,Schweine_Werte!$C136))</f>
        <v>0</v>
      </c>
      <c r="AX136" s="1710">
        <f>IF(OR($C$12=$AR136,$D$12=$AR136),Schweine_Werte!$E136*0.5,IF(OR($C$12&gt;$AR136,$D$12&lt;$AR136),0,Schweine_Werte!$E136))</f>
        <v>0</v>
      </c>
      <c r="AY136" s="1713">
        <f>IF(OR($C$24=$AR136,$D$24=$AR136),Schweine_Werte!$E136*0.5,IF(OR($C$24&gt;$AR136,$D$24&lt;$AR136),0,Schweine_Werte!$E136))</f>
        <v>0</v>
      </c>
      <c r="AZ136" s="1713">
        <f>IF(OR($C$36=$AR136,$D$36=$AR136),Schweine_Werte!$E136*0.5,IF(OR($C$36&gt;$AR136,$D$36&lt;$AR136),0,Schweine_Werte!$E136))</f>
        <v>0</v>
      </c>
      <c r="BA136" s="1713">
        <f>IF(OR($C$48=$AR136,$D$48=$AR136),Schweine_Werte!$E136*0.5,IF(OR($C$48&gt;$AR136,$D$48&lt;$AR136),0,Schweine_Werte!$E136))</f>
        <v>0</v>
      </c>
      <c r="BB136" s="1713">
        <f>IF(OR($C$60=$AR136,$D$60=$AR136),Schweine_Werte!$E136*0.5,IF(OR($C$60&gt;$AR136,$D$60&lt;$AR136),0,Schweine_Werte!$E136))</f>
        <v>0</v>
      </c>
      <c r="BC136" s="1710">
        <f>IF(OR($C$12=$AR136,$D$12=$AR136),Schweine_Werte!$G136*0.5,IF(OR($C$12&gt;$AR136,$D$12&lt;$AR136),0,Schweine_Werte!$G136))</f>
        <v>0</v>
      </c>
      <c r="BD136" s="1713">
        <f>IF(OR($C$24=$AR136,$D$24=$AR136),Schweine_Werte!$G136*0.5,IF(OR($C$24&gt;$AR136,$D$24&lt;$AR136),0,Schweine_Werte!$G136))</f>
        <v>0</v>
      </c>
      <c r="BE136" s="1713">
        <f>IF(OR($C$36=$AR136,$D$36=$AR136),Schweine_Werte!$G136*0.5,IF(OR($C$36&gt;$AR136,$D$36&lt;$AR136),0,Schweine_Werte!$G136))</f>
        <v>0</v>
      </c>
      <c r="BF136" s="1713">
        <f>IF(OR($C$48=$AR136,$D$48=$AR136),Schweine_Werte!$G136*0.5,IF(OR($C$48&gt;$AR136,$D$48&lt;$AR136),0,Schweine_Werte!$G136))</f>
        <v>0</v>
      </c>
      <c r="BG136" s="1713">
        <f>IF(OR($C$60=$AR136,$D$60=$AR136),Schweine_Werte!$G136*0.5,IF(OR($C$60&gt;$AR136,$D$60&lt;$AR136),0,Schweine_Werte!$G136))</f>
        <v>0</v>
      </c>
      <c r="BH136" s="1710">
        <f>IF(OR($C$12=$AR136,$D$12=$AR136),Schweine_Werte!$I136*0.5,IF(OR($C$12&gt;$AR136,$D$12&lt;$AR136),0,Schweine_Werte!$I136))</f>
        <v>0</v>
      </c>
      <c r="BI136" s="1713">
        <f>IF(OR($C$24=$AR136,$D$24=$AR136),Schweine_Werte!$I136*0.5,IF(OR($C$24&gt;$AR136,$D$24&lt;$AR136),0,Schweine_Werte!$I136))</f>
        <v>0</v>
      </c>
      <c r="BJ136" s="1713">
        <f>IF(OR($C$36=$AR136,$D$36=$AR136),Schweine_Werte!$I136*0.5,IF(OR($C$36&gt;$AR136,$D$36&lt;$AR136),0,Schweine_Werte!$I136))</f>
        <v>0</v>
      </c>
      <c r="BK136" s="1713">
        <f>IF(OR($C$48=$AR136,$D$48=$AR136),Schweine_Werte!$I136*0.5,IF(OR($C$48&gt;$AR136,$D$48&lt;$AR136),0,Schweine_Werte!$I136))</f>
        <v>0</v>
      </c>
      <c r="BL136" s="1713">
        <f>IF(OR($C$60=$AR136,$D$60=$AR136),Schweine_Werte!$I136*0.5,IF(OR($C$60&gt;$AR136,$D$60&lt;$AR136),0,Schweine_Werte!$I136))</f>
        <v>0</v>
      </c>
      <c r="BM136" s="1710">
        <f>IF(OR($C$12=$AR136,$D$12=$AR136),Schweine_Werte!$K136*0.5,IF(OR($C$12&gt;$AR136,$D$12&lt;$AR136),0,Schweine_Werte!$K136))</f>
        <v>0</v>
      </c>
      <c r="BN136" s="1713">
        <f>IF(OR($C$24=$AR136,$D$24=$AR136),Schweine_Werte!$K136*0.5,IF(OR($C$24&gt;$AR136,$D$24&lt;$AR136),0,Schweine_Werte!$K136))</f>
        <v>0</v>
      </c>
      <c r="BO136" s="1713">
        <f>IF(OR($C$36=$AR136,$D$36=$AR136),Schweine_Werte!$K136*0.5,IF(OR($C$36&gt;$AR136,$D$36&lt;$AR136),0,Schweine_Werte!$K136))</f>
        <v>0</v>
      </c>
      <c r="BP136" s="1713">
        <f>IF(OR($C$48=$AR136,$D$48=$AR136),Schweine_Werte!$K136*0.5,IF(OR($C$48&gt;$AR136,$D$48&lt;$AR136),0,Schweine_Werte!$K136))</f>
        <v>0</v>
      </c>
      <c r="BQ136" s="1713">
        <f>IF(OR($C$60=$AR136,$D$60=$AR136),Schweine_Werte!$K136*0.5,IF(OR($C$60&gt;$AR136,$D$60&lt;$AR136),0,Schweine_Werte!$K136))</f>
        <v>0</v>
      </c>
      <c r="BR136" s="1710">
        <f>IF(OR($C$74=$AR136,$D$74=$AR136),Schweine_Werte!$M136*0.5,IF(OR($C$74&gt;$AR136,$D$74&lt;$AR136),0,Schweine_Werte!$M136))</f>
        <v>0</v>
      </c>
      <c r="BS136" s="1710">
        <f>IF(OR($C$83=$AR136,$D$83=$AR136),Schweine_Werte!$M136*0.5,IF(OR($C$83&gt;$AR136,$D$83&lt;$AR136),0,Schweine_Werte!$M136))</f>
        <v>0</v>
      </c>
      <c r="BT136" s="1714">
        <f>IF(OR($C$92=$AR136,$D$92=$AR136),Schweine_Werte!$M136*0.5,IF(OR($C$92&gt;$AR136,$D$92&lt;$AR136),0,Schweine_Werte!$M136))</f>
        <v>0</v>
      </c>
      <c r="BU136" s="1714">
        <f>IF(OR($C$101=$AR136,$D$101=$AR136),Schweine_Werte!$M136*0.5,IF(OR($C$101&gt;$AR136,$D$101&lt;$AR136),0,Schweine_Werte!$M136))</f>
        <v>0</v>
      </c>
      <c r="BV136" s="1714">
        <f>IF(OR($C$110=$AR136,$D$110=$AR136),Schweine_Werte!$M136*0.5,IF(OR($C$110&gt;$AR136,$D$110&lt;$AR136),0,Schweine_Werte!$M136))</f>
        <v>0</v>
      </c>
      <c r="BW136" s="1714">
        <f>IF(OR(8=$AR136,$E$127=$AR136),Schweine_Werte!$M136*0.5,IF(OR(8&gt;$AR136,$E$127&lt;$AR136),0,Schweine_Werte!$M136))</f>
        <v>1.4477278921508818</v>
      </c>
      <c r="BX136" s="1714">
        <f>IF(OR(8=$AR136,$E$145=$AR136),Schweine_Werte!$M136*0.5,IF(OR(8&gt;$AR136,$E$145&lt;$AR136),0,Schweine_Werte!$M136))</f>
        <v>1.4477278921508818</v>
      </c>
      <c r="BY136" s="1710">
        <f>IF(OR($C$74=$AR136,$D$74=$AR136),Schweine_Werte!$O136*0.5,IF(OR($C$74&gt;$AR136,$D$74&lt;$AR136),0,Schweine_Werte!$O136))</f>
        <v>0</v>
      </c>
      <c r="BZ136" s="1710">
        <f>IF(OR($C$83=$AR136,$D$83=$AR136),Schweine_Werte!$O136*0.5,IF(OR($C$83&gt;$AR136,$D$83&lt;$AR136),0,Schweine_Werte!$O136))</f>
        <v>0</v>
      </c>
      <c r="CA136" s="1714">
        <f>IF(OR($C$92=$AR136,$D$92=$AR136),Schweine_Werte!$O136*0.5,IF(OR($C$92&gt;$AR136,$D$92&lt;$AR136),0,Schweine_Werte!$O136))</f>
        <v>0</v>
      </c>
      <c r="CB136" s="1714">
        <f>IF(OR($C$101=$AR136,$D$101=$AR136),Schweine_Werte!$O136*0.5,IF(OR($C$101&gt;$AR136,$D$101&lt;$AR136),0,Schweine_Werte!$O136))</f>
        <v>0</v>
      </c>
      <c r="CC136" s="1714">
        <f>IF(OR($C$110=$AR136,$D$110=$AR136),Schweine_Werte!$O136*0.5,IF(OR($C$110&gt;$AR136,$D$110&lt;$AR136),0,Schweine_Werte!$O136))</f>
        <v>0</v>
      </c>
    </row>
    <row r="137" spans="2:81" x14ac:dyDescent="0.25">
      <c r="B137" t="e">
        <f>+(E145-8)/0.45</f>
        <v>#VALUE!</v>
      </c>
      <c r="C137" t="s">
        <v>8539</v>
      </c>
      <c r="D137"/>
      <c r="E137"/>
      <c r="F137" s="885" t="e">
        <f>IF($E145&lt;=8,0,$B140*SUMPRODUCT($BX$4:$BX$31,Schweine_Werte!$V$4:$V$31)/SUM($BX$4:$BX$31))</f>
        <v>#VALUE!</v>
      </c>
      <c r="G137" s="885" t="e">
        <f>IF($E145&lt;=8,0,IF($B145=$A$8,SUMPRODUCT($BX$4:$BX$31,Schweine_Werte!HE$4:HE$31)/SUM($BX$4:$BX$31),IF($B145=$A$7,SUMPRODUCT($BX$4:$BX$31,Schweine_Werte!GQ$4:GQ$31)/SUM($BX$4:$BX$31),IF($B145=$A$6,SUMPRODUCT($BX$4:$BX$31,Schweine_Werte!GC$4:GC$31)/SUM($BX$4:$BX$31),SUMPRODUCT($BX$4:$BX$31,Schweine_Werte!FO$4:FO$31)/SUM($BX$4:$BX$31))))*$B140)</f>
        <v>#VALUE!</v>
      </c>
      <c r="H137" s="885" t="e">
        <f>IF($E145&lt;=8,0,IF($B145=$A$8,SUMPRODUCT($BX$4:$BX$31,Schweine_Werte!HF$4:HF$31)/SUM($BX$4:$BX$31),IF($B145=$A$7,SUMPRODUCT($BX$4:$BX$31,Schweine_Werte!GR$4:GR$31)/SUM($BX$4:$BX$31),IF($B145=$A$6,SUMPRODUCT($BX$4:$BX$31,Schweine_Werte!GD$4:GD$31)/SUM($BX$4:$BX$31),SUMPRODUCT($BX$4:$BX$31,Schweine_Werte!FP$4:FP$31)/SUM($BX$4:$BX$31))))*$B140)</f>
        <v>#VALUE!</v>
      </c>
      <c r="I137" s="885" t="e">
        <f>IF($E145&lt;=8,0,IF($B145=$A$8,SUMPRODUCT($BX$4:$BX$31,Schweine_Werte!HG$4:HG$31)/SUM($BX$4:$BX$31),IF($B145=$A$7,SUMPRODUCT($BX$4:$BX$31,Schweine_Werte!GS$4:GS$31)/SUM($BX$4:$BX$31),IF($B145=$A$6,SUMPRODUCT($BX$4:$BX$31,Schweine_Werte!GE$4:GE$31)/SUM($BX$4:$BX$31),SUMPRODUCT($BX$4:$BX$31,Schweine_Werte!FQ$4:FQ$31)/SUM($BX$4:$BX$31))))*$B140)</f>
        <v>#VALUE!</v>
      </c>
      <c r="J137" t="e">
        <f>SUMPRODUCT($BX$4:$BX$31,Schweine_Werte!$AD$4:$AD$31)/SUM($BX$4:$BX$31)*$B140</f>
        <v>#VALUE!</v>
      </c>
      <c r="K137" t="e">
        <f>SUMPRODUCT($BX$4:$BX$31,Schweine_Werte!$AL$4:$AL$31)/SUM($BX$4:$BX$31)*$B140</f>
        <v>#VALUE!</v>
      </c>
      <c r="L137"/>
      <c r="M137" s="885"/>
      <c r="N137" s="885"/>
      <c r="O137" s="1919">
        <f>SUM($BX$4:$BX$23)+IF($E145&gt;28,$BX$24*0.5,$BX$24)</f>
        <v>44.44444444444445</v>
      </c>
      <c r="P137" s="1919">
        <f>IF($E145&gt;28,SUM($BX$25:$BX$31)+$BX$24*0.5,0)</f>
        <v>11.390271160403584</v>
      </c>
      <c r="Q137" s="1919" t="e">
        <f t="shared" ref="Q137:S138" si="32">T137*$F137</f>
        <v>#VALUE!</v>
      </c>
      <c r="R137" s="1919" t="e">
        <f t="shared" si="32"/>
        <v>#VALUE!</v>
      </c>
      <c r="S137" s="1919" t="e">
        <f t="shared" si="32"/>
        <v>#VALUE!</v>
      </c>
      <c r="T137" s="885">
        <f>+IF($E145&lt;=8,0,($O137*Schweine_Werte!$HT$15+$P137*Schweine_Werte!$HU$15)/SUM($O137:$P137))</f>
        <v>7.0161806212562894</v>
      </c>
      <c r="U137" s="885">
        <f>IF(E145&lt;=8,0,($O137*Schweine_Werte!$HV$15+$P137*Schweine_Werte!$HW$15)/SUM($O137:$P137))</f>
        <v>7.5920003876794322</v>
      </c>
      <c r="V137" s="885">
        <f>IF(E145&lt;=8,0,($O137*Schweine_Werte!$HX$15+$P137*Schweine_Werte!$HY$15)/SUM($O137:$P137))</f>
        <v>11</v>
      </c>
      <c r="W137"/>
      <c r="X137"/>
      <c r="Y137"/>
      <c r="AR137" s="1733">
        <v>141</v>
      </c>
      <c r="AS137" s="1710">
        <f>IF(OR($C$12=$AR137,$D$12=$AR137),Schweine_Werte!$C137*0.5,IF(OR($C$12&gt;$AR137,$D$12&lt;$AR137),0,Schweine_Werte!$C137))</f>
        <v>0</v>
      </c>
      <c r="AT137" s="1713">
        <f>IF(OR($C$24=$AR137,$D$24=$AR137),Schweine_Werte!$C137*0.5,IF(OR($C$24&gt;$AR137,$D$24&lt;$AR137),0,Schweine_Werte!$C137))</f>
        <v>0</v>
      </c>
      <c r="AU137" s="1710">
        <f>IF(OR($C$36=$AR137,$D$36=$AR137),Schweine_Werte!$C137*0.5,IF(OR($C$36&gt;$AR137,$D$36&lt;$AR137),0,Schweine_Werte!$C137))</f>
        <v>0</v>
      </c>
      <c r="AV137" s="1710">
        <f>IF(OR($C$48=$AR137,$D$48=$AR137),Schweine_Werte!$C137*0.5,IF(OR($C$48&gt;$AR137,$D$48&lt;$AR137),0,Schweine_Werte!$C137))</f>
        <v>0</v>
      </c>
      <c r="AW137" s="1710">
        <f>IF(OR($C$60=$AR137,$D$60=$AR137),Schweine_Werte!$C137*0.5,IF(OR($C$60&gt;$AR137,$D$60&lt;$AR137),0,Schweine_Werte!$C137))</f>
        <v>0</v>
      </c>
      <c r="AX137" s="1710">
        <f>IF(OR($C$12=$AR137,$D$12=$AR137),Schweine_Werte!$E137*0.5,IF(OR($C$12&gt;$AR137,$D$12&lt;$AR137),0,Schweine_Werte!$E137))</f>
        <v>0</v>
      </c>
      <c r="AY137" s="1713">
        <f>IF(OR($C$24=$AR137,$D$24=$AR137),Schweine_Werte!$E137*0.5,IF(OR($C$24&gt;$AR137,$D$24&lt;$AR137),0,Schweine_Werte!$E137))</f>
        <v>0</v>
      </c>
      <c r="AZ137" s="1713">
        <f>IF(OR($C$36=$AR137,$D$36=$AR137),Schweine_Werte!$E137*0.5,IF(OR($C$36&gt;$AR137,$D$36&lt;$AR137),0,Schweine_Werte!$E137))</f>
        <v>0</v>
      </c>
      <c r="BA137" s="1713">
        <f>IF(OR($C$48=$AR137,$D$48=$AR137),Schweine_Werte!$E137*0.5,IF(OR($C$48&gt;$AR137,$D$48&lt;$AR137),0,Schweine_Werte!$E137))</f>
        <v>0</v>
      </c>
      <c r="BB137" s="1713">
        <f>IF(OR($C$60=$AR137,$D$60=$AR137),Schweine_Werte!$E137*0.5,IF(OR($C$60&gt;$AR137,$D$60&lt;$AR137),0,Schweine_Werte!$E137))</f>
        <v>0</v>
      </c>
      <c r="BC137" s="1710">
        <f>IF(OR($C$12=$AR137,$D$12=$AR137),Schweine_Werte!$G137*0.5,IF(OR($C$12&gt;$AR137,$D$12&lt;$AR137),0,Schweine_Werte!$G137))</f>
        <v>0</v>
      </c>
      <c r="BD137" s="1713">
        <f>IF(OR($C$24=$AR137,$D$24=$AR137),Schweine_Werte!$G137*0.5,IF(OR($C$24&gt;$AR137,$D$24&lt;$AR137),0,Schweine_Werte!$G137))</f>
        <v>0</v>
      </c>
      <c r="BE137" s="1713">
        <f>IF(OR($C$36=$AR137,$D$36=$AR137),Schweine_Werte!$G137*0.5,IF(OR($C$36&gt;$AR137,$D$36&lt;$AR137),0,Schweine_Werte!$G137))</f>
        <v>0</v>
      </c>
      <c r="BF137" s="1713">
        <f>IF(OR($C$48=$AR137,$D$48=$AR137),Schweine_Werte!$G137*0.5,IF(OR($C$48&gt;$AR137,$D$48&lt;$AR137),0,Schweine_Werte!$G137))</f>
        <v>0</v>
      </c>
      <c r="BG137" s="1713">
        <f>IF(OR($C$60=$AR137,$D$60=$AR137),Schweine_Werte!$G137*0.5,IF(OR($C$60&gt;$AR137,$D$60&lt;$AR137),0,Schweine_Werte!$G137))</f>
        <v>0</v>
      </c>
      <c r="BH137" s="1710">
        <f>IF(OR($C$12=$AR137,$D$12=$AR137),Schweine_Werte!$I137*0.5,IF(OR($C$12&gt;$AR137,$D$12&lt;$AR137),0,Schweine_Werte!$I137))</f>
        <v>0</v>
      </c>
      <c r="BI137" s="1713">
        <f>IF(OR($C$24=$AR137,$D$24=$AR137),Schweine_Werte!$I137*0.5,IF(OR($C$24&gt;$AR137,$D$24&lt;$AR137),0,Schweine_Werte!$I137))</f>
        <v>0</v>
      </c>
      <c r="BJ137" s="1713">
        <f>IF(OR($C$36=$AR137,$D$36=$AR137),Schweine_Werte!$I137*0.5,IF(OR($C$36&gt;$AR137,$D$36&lt;$AR137),0,Schweine_Werte!$I137))</f>
        <v>0</v>
      </c>
      <c r="BK137" s="1713">
        <f>IF(OR($C$48=$AR137,$D$48=$AR137),Schweine_Werte!$I137*0.5,IF(OR($C$48&gt;$AR137,$D$48&lt;$AR137),0,Schweine_Werte!$I137))</f>
        <v>0</v>
      </c>
      <c r="BL137" s="1713">
        <f>IF(OR($C$60=$AR137,$D$60=$AR137),Schweine_Werte!$I137*0.5,IF(OR($C$60&gt;$AR137,$D$60&lt;$AR137),0,Schweine_Werte!$I137))</f>
        <v>0</v>
      </c>
      <c r="BM137" s="1710">
        <f>IF(OR($C$12=$AR137,$D$12=$AR137),Schweine_Werte!$K137*0.5,IF(OR($C$12&gt;$AR137,$D$12&lt;$AR137),0,Schweine_Werte!$K137))</f>
        <v>0</v>
      </c>
      <c r="BN137" s="1713">
        <f>IF(OR($C$24=$AR137,$D$24=$AR137),Schweine_Werte!$K137*0.5,IF(OR($C$24&gt;$AR137,$D$24&lt;$AR137),0,Schweine_Werte!$K137))</f>
        <v>0</v>
      </c>
      <c r="BO137" s="1713">
        <f>IF(OR($C$36=$AR137,$D$36=$AR137),Schweine_Werte!$K137*0.5,IF(OR($C$36&gt;$AR137,$D$36&lt;$AR137),0,Schweine_Werte!$K137))</f>
        <v>0</v>
      </c>
      <c r="BP137" s="1713">
        <f>IF(OR($C$48=$AR137,$D$48=$AR137),Schweine_Werte!$K137*0.5,IF(OR($C$48&gt;$AR137,$D$48&lt;$AR137),0,Schweine_Werte!$K137))</f>
        <v>0</v>
      </c>
      <c r="BQ137" s="1713">
        <f>IF(OR($C$60=$AR137,$D$60=$AR137),Schweine_Werte!$K137*0.5,IF(OR($C$60&gt;$AR137,$D$60&lt;$AR137),0,Schweine_Werte!$K137))</f>
        <v>0</v>
      </c>
      <c r="BR137" s="1710">
        <f>IF(OR($C$74=$AR137,$D$74=$AR137),Schweine_Werte!$M137*0.5,IF(OR($C$74&gt;$AR137,$D$74&lt;$AR137),0,Schweine_Werte!$M137))</f>
        <v>0</v>
      </c>
      <c r="BS137" s="1710">
        <f>IF(OR($C$83=$AR137,$D$83=$AR137),Schweine_Werte!$M137*0.5,IF(OR($C$83&gt;$AR137,$D$83&lt;$AR137),0,Schweine_Werte!$M137))</f>
        <v>0</v>
      </c>
      <c r="BT137" s="1714">
        <f>IF(OR($C$92=$AR137,$D$92=$AR137),Schweine_Werte!$M137*0.5,IF(OR($C$92&gt;$AR137,$D$92&lt;$AR137),0,Schweine_Werte!$M137))</f>
        <v>0</v>
      </c>
      <c r="BU137" s="1714">
        <f>IF(OR($C$101=$AR137,$D$101=$AR137),Schweine_Werte!$M137*0.5,IF(OR($C$101&gt;$AR137,$D$101&lt;$AR137),0,Schweine_Werte!$M137))</f>
        <v>0</v>
      </c>
      <c r="BV137" s="1714">
        <f>IF(OR($C$110=$AR137,$D$110=$AR137),Schweine_Werte!$M137*0.5,IF(OR($C$110&gt;$AR137,$D$110&lt;$AR137),0,Schweine_Werte!$M137))</f>
        <v>0</v>
      </c>
      <c r="BW137" s="1714">
        <f>IF(OR(8=$AR137,$E$127=$AR137),Schweine_Werte!$M137*0.5,IF(OR(8&gt;$AR137,$E$127&lt;$AR137),0,Schweine_Werte!$M137))</f>
        <v>1.4477278921508818</v>
      </c>
      <c r="BX137" s="1714">
        <f>IF(OR(8=$AR137,$E$145=$AR137),Schweine_Werte!$M137*0.5,IF(OR(8&gt;$AR137,$E$145&lt;$AR137),0,Schweine_Werte!$M137))</f>
        <v>1.4477278921508818</v>
      </c>
      <c r="BY137" s="1710">
        <f>IF(OR($C$74=$AR137,$D$74=$AR137),Schweine_Werte!$O137*0.5,IF(OR($C$74&gt;$AR137,$D$74&lt;$AR137),0,Schweine_Werte!$O137))</f>
        <v>0</v>
      </c>
      <c r="BZ137" s="1710">
        <f>IF(OR($C$83=$AR137,$D$83=$AR137),Schweine_Werte!$O137*0.5,IF(OR($C$83&gt;$AR137,$D$83&lt;$AR137),0,Schweine_Werte!$O137))</f>
        <v>0</v>
      </c>
      <c r="CA137" s="1714">
        <f>IF(OR($C$92=$AR137,$D$92=$AR137),Schweine_Werte!$O137*0.5,IF(OR($C$92&gt;$AR137,$D$92&lt;$AR137),0,Schweine_Werte!$O137))</f>
        <v>0</v>
      </c>
      <c r="CB137" s="1714">
        <f>IF(OR($C$101=$AR137,$D$101=$AR137),Schweine_Werte!$O137*0.5,IF(OR($C$101&gt;$AR137,$D$101&lt;$AR137),0,Schweine_Werte!$O137))</f>
        <v>0</v>
      </c>
      <c r="CC137" s="1714">
        <f>IF(OR($C$110=$AR137,$D$110=$AR137),Schweine_Werte!$O137*0.5,IF(OR($C$110&gt;$AR137,$D$110&lt;$AR137),0,Schweine_Werte!$O137))</f>
        <v>0</v>
      </c>
    </row>
    <row r="138" spans="2:81" x14ac:dyDescent="0.25">
      <c r="B138"/>
      <c r="C138" s="246" t="s">
        <v>8620</v>
      </c>
      <c r="D138">
        <f>IF(D145&lt;22,22,IF(D145&gt;34,34,D145))</f>
        <v>34</v>
      </c>
      <c r="E138"/>
      <c r="F138" s="885">
        <v>0.32</v>
      </c>
      <c r="G138" s="885" t="str">
        <f>IF($B$145=$A$5,VLOOKUP($D$138,Schweine_Werte!$IA$4:$IE$16,COLUMNS(Schweine_Werte!$IA$3:$IB$3),FALSE),IF($B$145=$A$6,VLOOKUP($D$138,Schweine_Werte!$IA$4:$IE$16,COLUMNS(Schweine_Werte!$IA$3:$IC$3),FALSE),IF($B$145=$A$7,VLOOKUP($D$138,Schweine_Werte!$IA$4:$IE$16,COLUMNS(Schweine_Werte!$IA$3:$ID$3),FALSE),IF($B$145=$A$8,VLOOKUP($D$138,Schweine_Werte!$IA$4:$IE$16,COLUMNS(Schweine_Werte!$IA$3:$IE$3),FALSE),"--"))))</f>
        <v>--</v>
      </c>
      <c r="H138" s="885" t="str">
        <f>IF($B$145=$A$5,VLOOKUP($D$138,Schweine_Werte!$IA$4:$II$16,COLUMNS(Schweine_Werte!$IA$3:$IF$3),FALSE),IF($B$145=$A$6,VLOOKUP($D$138,Schweine_Werte!$IA$4:$II$16,COLUMNS(Schweine_Werte!$IA$3:$IG$3),FALSE),IF($B$145=$A$7,VLOOKUP($D$138,Schweine_Werte!$IA$4:$II$16,COLUMNS(Schweine_Werte!$IA$3:$IH$3),FALSE),IF($B$145=$A$8,VLOOKUP($D$138,Schweine_Werte!$IA$4:$II$16,COLUMNS(Schweine_Werte!$IA$3:$II$3),FALSE),"--"))))</f>
        <v>--</v>
      </c>
      <c r="I138" s="885" t="str">
        <f>IF($B$145=$A$5,VLOOKUP($D$138,Schweine_Werte!$IA$4:$IM$16,COLUMNS(Schweine_Werte!$IA$3:$IJ$3),FALSE),IF($B$145=$A$6,VLOOKUP($D$138,Schweine_Werte!$IA$4:$IM$16,COLUMNS(Schweine_Werte!$IA$3:$IK$3),FALSE),IF($B$145=$A$7,VLOOKUP($D$138,Schweine_Werte!$IA$4:$IM$16,COLUMNS(Schweine_Werte!$IA$3:$IL$3),FALSE),IF($B$145=$A$8,VLOOKUP($D$138,Schweine_Werte!$IA$4:$IM$16,COLUMNS(Schweine_Werte!$IA$3:$IM$3),FALSE),"--"))))</f>
        <v>--</v>
      </c>
      <c r="J138" s="885">
        <f>VLOOKUP($D$138,Schweine_Werte!$IA$4:$IR$16,COLUMNS(Schweine_Werte!$IA$3:IN21),FALSE)</f>
        <v>4.8</v>
      </c>
      <c r="K138" s="885">
        <f>VLOOKUP($D$138,Schweine_Werte!$IA$4:$IR$16,COLUMNS(Schweine_Werte!$IA$3:IO21),FALSE)</f>
        <v>1.6</v>
      </c>
      <c r="L138"/>
      <c r="M138" s="885"/>
      <c r="N138" s="885"/>
      <c r="O138" s="885"/>
      <c r="P138" s="885"/>
      <c r="Q138" s="1919">
        <f t="shared" si="32"/>
        <v>2</v>
      </c>
      <c r="R138" s="1919">
        <f t="shared" si="32"/>
        <v>2.56</v>
      </c>
      <c r="S138" s="1919">
        <f t="shared" si="32"/>
        <v>3.52</v>
      </c>
      <c r="T138" s="885">
        <f>VLOOKUP($D$138,Schweine_Werte!$IA$4:$IR$16,COLUMNS(Schweine_Werte!$IA$3:IP$3),FALSE)</f>
        <v>6.25</v>
      </c>
      <c r="U138" s="885">
        <f>VLOOKUP($D$138,Schweine_Werte!$IA$4:$IR$16,COLUMNS(Schweine_Werte!$IA$3:IQ$3),FALSE)</f>
        <v>8</v>
      </c>
      <c r="V138" s="885">
        <f>VLOOKUP($D$138,Schweine_Werte!$IA$4:$IR$16,COLUMNS(Schweine_Werte!$IA$3:IR$3),FALSE)</f>
        <v>11</v>
      </c>
      <c r="W138"/>
      <c r="X138"/>
      <c r="Y138"/>
      <c r="AR138" s="1733">
        <v>142</v>
      </c>
      <c r="AS138" s="1710">
        <f>IF(OR($C$12=$AR138,$D$12=$AR138),Schweine_Werte!$C138*0.5,IF(OR($C$12&gt;$AR138,$D$12&lt;$AR138),0,Schweine_Werte!$C138))</f>
        <v>0</v>
      </c>
      <c r="AT138" s="1713">
        <f>IF(OR($C$24=$AR138,$D$24=$AR138),Schweine_Werte!$C138*0.5,IF(OR($C$24&gt;$AR138,$D$24&lt;$AR138),0,Schweine_Werte!$C138))</f>
        <v>0</v>
      </c>
      <c r="AU138" s="1710">
        <f>IF(OR($C$36=$AR138,$D$36=$AR138),Schweine_Werte!$C138*0.5,IF(OR($C$36&gt;$AR138,$D$36&lt;$AR138),0,Schweine_Werte!$C138))</f>
        <v>0</v>
      </c>
      <c r="AV138" s="1710">
        <f>IF(OR($C$48=$AR138,$D$48=$AR138),Schweine_Werte!$C138*0.5,IF(OR($C$48&gt;$AR138,$D$48&lt;$AR138),0,Schweine_Werte!$C138))</f>
        <v>0</v>
      </c>
      <c r="AW138" s="1710">
        <f>IF(OR($C$60=$AR138,$D$60=$AR138),Schweine_Werte!$C138*0.5,IF(OR($C$60&gt;$AR138,$D$60&lt;$AR138),0,Schweine_Werte!$C138))</f>
        <v>0</v>
      </c>
      <c r="AX138" s="1710">
        <f>IF(OR($C$12=$AR138,$D$12=$AR138),Schweine_Werte!$E138*0.5,IF(OR($C$12&gt;$AR138,$D$12&lt;$AR138),0,Schweine_Werte!$E138))</f>
        <v>0</v>
      </c>
      <c r="AY138" s="1713">
        <f>IF(OR($C$24=$AR138,$D$24=$AR138),Schweine_Werte!$E138*0.5,IF(OR($C$24&gt;$AR138,$D$24&lt;$AR138),0,Schweine_Werte!$E138))</f>
        <v>0</v>
      </c>
      <c r="AZ138" s="1713">
        <f>IF(OR($C$36=$AR138,$D$36=$AR138),Schweine_Werte!$E138*0.5,IF(OR($C$36&gt;$AR138,$D$36&lt;$AR138),0,Schweine_Werte!$E138))</f>
        <v>0</v>
      </c>
      <c r="BA138" s="1713">
        <f>IF(OR($C$48=$AR138,$D$48=$AR138),Schweine_Werte!$E138*0.5,IF(OR($C$48&gt;$AR138,$D$48&lt;$AR138),0,Schweine_Werte!$E138))</f>
        <v>0</v>
      </c>
      <c r="BB138" s="1713">
        <f>IF(OR($C$60=$AR138,$D$60=$AR138),Schweine_Werte!$E138*0.5,IF(OR($C$60&gt;$AR138,$D$60&lt;$AR138),0,Schweine_Werte!$E138))</f>
        <v>0</v>
      </c>
      <c r="BC138" s="1710">
        <f>IF(OR($C$12=$AR138,$D$12=$AR138),Schweine_Werte!$G138*0.5,IF(OR($C$12&gt;$AR138,$D$12&lt;$AR138),0,Schweine_Werte!$G138))</f>
        <v>0</v>
      </c>
      <c r="BD138" s="1713">
        <f>IF(OR($C$24=$AR138,$D$24=$AR138),Schweine_Werte!$G138*0.5,IF(OR($C$24&gt;$AR138,$D$24&lt;$AR138),0,Schweine_Werte!$G138))</f>
        <v>0</v>
      </c>
      <c r="BE138" s="1713">
        <f>IF(OR($C$36=$AR138,$D$36=$AR138),Schweine_Werte!$G138*0.5,IF(OR($C$36&gt;$AR138,$D$36&lt;$AR138),0,Schweine_Werte!$G138))</f>
        <v>0</v>
      </c>
      <c r="BF138" s="1713">
        <f>IF(OR($C$48=$AR138,$D$48=$AR138),Schweine_Werte!$G138*0.5,IF(OR($C$48&gt;$AR138,$D$48&lt;$AR138),0,Schweine_Werte!$G138))</f>
        <v>0</v>
      </c>
      <c r="BG138" s="1713">
        <f>IF(OR($C$60=$AR138,$D$60=$AR138),Schweine_Werte!$G138*0.5,IF(OR($C$60&gt;$AR138,$D$60&lt;$AR138),0,Schweine_Werte!$G138))</f>
        <v>0</v>
      </c>
      <c r="BH138" s="1710">
        <f>IF(OR($C$12=$AR138,$D$12=$AR138),Schweine_Werte!$I138*0.5,IF(OR($C$12&gt;$AR138,$D$12&lt;$AR138),0,Schweine_Werte!$I138))</f>
        <v>0</v>
      </c>
      <c r="BI138" s="1713">
        <f>IF(OR($C$24=$AR138,$D$24=$AR138),Schweine_Werte!$I138*0.5,IF(OR($C$24&gt;$AR138,$D$24&lt;$AR138),0,Schweine_Werte!$I138))</f>
        <v>0</v>
      </c>
      <c r="BJ138" s="1713">
        <f>IF(OR($C$36=$AR138,$D$36=$AR138),Schweine_Werte!$I138*0.5,IF(OR($C$36&gt;$AR138,$D$36&lt;$AR138),0,Schweine_Werte!$I138))</f>
        <v>0</v>
      </c>
      <c r="BK138" s="1713">
        <f>IF(OR($C$48=$AR138,$D$48=$AR138),Schweine_Werte!$I138*0.5,IF(OR($C$48&gt;$AR138,$D$48&lt;$AR138),0,Schweine_Werte!$I138))</f>
        <v>0</v>
      </c>
      <c r="BL138" s="1713">
        <f>IF(OR($C$60=$AR138,$D$60=$AR138),Schweine_Werte!$I138*0.5,IF(OR($C$60&gt;$AR138,$D$60&lt;$AR138),0,Schweine_Werte!$I138))</f>
        <v>0</v>
      </c>
      <c r="BM138" s="1710">
        <f>IF(OR($C$12=$AR138,$D$12=$AR138),Schweine_Werte!$K138*0.5,IF(OR($C$12&gt;$AR138,$D$12&lt;$AR138),0,Schweine_Werte!$K138))</f>
        <v>0</v>
      </c>
      <c r="BN138" s="1713">
        <f>IF(OR($C$24=$AR138,$D$24=$AR138),Schweine_Werte!$K138*0.5,IF(OR($C$24&gt;$AR138,$D$24&lt;$AR138),0,Schweine_Werte!$K138))</f>
        <v>0</v>
      </c>
      <c r="BO138" s="1713">
        <f>IF(OR($C$36=$AR138,$D$36=$AR138),Schweine_Werte!$K138*0.5,IF(OR($C$36&gt;$AR138,$D$36&lt;$AR138),0,Schweine_Werte!$K138))</f>
        <v>0</v>
      </c>
      <c r="BP138" s="1713">
        <f>IF(OR($C$48=$AR138,$D$48=$AR138),Schweine_Werte!$K138*0.5,IF(OR($C$48&gt;$AR138,$D$48&lt;$AR138),0,Schweine_Werte!$K138))</f>
        <v>0</v>
      </c>
      <c r="BQ138" s="1713">
        <f>IF(OR($C$60=$AR138,$D$60=$AR138),Schweine_Werte!$K138*0.5,IF(OR($C$60&gt;$AR138,$D$60&lt;$AR138),0,Schweine_Werte!$K138))</f>
        <v>0</v>
      </c>
      <c r="BR138" s="1710">
        <f>IF(OR($C$74=$AR138,$D$74=$AR138),Schweine_Werte!$M138*0.5,IF(OR($C$74&gt;$AR138,$D$74&lt;$AR138),0,Schweine_Werte!$M138))</f>
        <v>0</v>
      </c>
      <c r="BS138" s="1710">
        <f>IF(OR($C$83=$AR138,$D$83=$AR138),Schweine_Werte!$M138*0.5,IF(OR($C$83&gt;$AR138,$D$83&lt;$AR138),0,Schweine_Werte!$M138))</f>
        <v>0</v>
      </c>
      <c r="BT138" s="1714">
        <f>IF(OR($C$92=$AR138,$D$92=$AR138),Schweine_Werte!$M138*0.5,IF(OR($C$92&gt;$AR138,$D$92&lt;$AR138),0,Schweine_Werte!$M138))</f>
        <v>0</v>
      </c>
      <c r="BU138" s="1714">
        <f>IF(OR($C$101=$AR138,$D$101=$AR138),Schweine_Werte!$M138*0.5,IF(OR($C$101&gt;$AR138,$D$101&lt;$AR138),0,Schweine_Werte!$M138))</f>
        <v>0</v>
      </c>
      <c r="BV138" s="1714">
        <f>IF(OR($C$110=$AR138,$D$110=$AR138),Schweine_Werte!$M138*0.5,IF(OR($C$110&gt;$AR138,$D$110&lt;$AR138),0,Schweine_Werte!$M138))</f>
        <v>0</v>
      </c>
      <c r="BW138" s="1714">
        <f>IF(OR(8=$AR138,$E$127=$AR138),Schweine_Werte!$M138*0.5,IF(OR(8&gt;$AR138,$E$127&lt;$AR138),0,Schweine_Werte!$M138))</f>
        <v>1.4477278921508818</v>
      </c>
      <c r="BX138" s="1714">
        <f>IF(OR(8=$AR138,$E$145=$AR138),Schweine_Werte!$M138*0.5,IF(OR(8&gt;$AR138,$E$145&lt;$AR138),0,Schweine_Werte!$M138))</f>
        <v>1.4477278921508818</v>
      </c>
      <c r="BY138" s="1710">
        <f>IF(OR($C$74=$AR138,$D$74=$AR138),Schweine_Werte!$O138*0.5,IF(OR($C$74&gt;$AR138,$D$74&lt;$AR138),0,Schweine_Werte!$O138))</f>
        <v>0</v>
      </c>
      <c r="BZ138" s="1710">
        <f>IF(OR($C$83=$AR138,$D$83=$AR138),Schweine_Werte!$O138*0.5,IF(OR($C$83&gt;$AR138,$D$83&lt;$AR138),0,Schweine_Werte!$O138))</f>
        <v>0</v>
      </c>
      <c r="CA138" s="1714">
        <f>IF(OR($C$92=$AR138,$D$92=$AR138),Schweine_Werte!$O138*0.5,IF(OR($C$92&gt;$AR138,$D$92&lt;$AR138),0,Schweine_Werte!$O138))</f>
        <v>0</v>
      </c>
      <c r="CB138" s="1714">
        <f>IF(OR($C$101=$AR138,$D$101=$AR138),Schweine_Werte!$O138*0.5,IF(OR($C$101&gt;$AR138,$D$101&lt;$AR138),0,Schweine_Werte!$O138))</f>
        <v>0</v>
      </c>
      <c r="CC138" s="1714">
        <f>IF(OR($C$110=$AR138,$D$110=$AR138),Schweine_Werte!$O138*0.5,IF(OR($C$110&gt;$AR138,$D$110&lt;$AR138),0,Schweine_Werte!$O138))</f>
        <v>0</v>
      </c>
    </row>
    <row r="139" spans="2:81" x14ac:dyDescent="0.25">
      <c r="B139" t="s">
        <v>8621</v>
      </c>
      <c r="C139" s="1712"/>
      <c r="D139"/>
      <c r="E139"/>
      <c r="F139"/>
      <c r="G139"/>
      <c r="H139"/>
      <c r="I139"/>
      <c r="J139"/>
      <c r="K139"/>
      <c r="L139"/>
      <c r="M139"/>
      <c r="N139"/>
      <c r="O139"/>
      <c r="P139"/>
      <c r="Q139"/>
      <c r="R139"/>
      <c r="S139"/>
      <c r="T139"/>
      <c r="U139"/>
      <c r="V139"/>
      <c r="W139"/>
      <c r="X139"/>
      <c r="Y139"/>
      <c r="AR139" s="1733">
        <v>143</v>
      </c>
      <c r="AS139" s="1710">
        <f>IF(OR($C$12=$AR139,$D$12=$AR139),Schweine_Werte!$C139*0.5,IF(OR($C$12&gt;$AR139,$D$12&lt;$AR139),0,Schweine_Werte!$C139))</f>
        <v>0</v>
      </c>
      <c r="AT139" s="1713">
        <f>IF(OR($C$24=$AR139,$D$24=$AR139),Schweine_Werte!$C139*0.5,IF(OR($C$24&gt;$AR139,$D$24&lt;$AR139),0,Schweine_Werte!$C139))</f>
        <v>0</v>
      </c>
      <c r="AU139" s="1710">
        <f>IF(OR($C$36=$AR139,$D$36=$AR139),Schweine_Werte!$C139*0.5,IF(OR($C$36&gt;$AR139,$D$36&lt;$AR139),0,Schweine_Werte!$C139))</f>
        <v>0</v>
      </c>
      <c r="AV139" s="1710">
        <f>IF(OR($C$48=$AR139,$D$48=$AR139),Schweine_Werte!$C139*0.5,IF(OR($C$48&gt;$AR139,$D$48&lt;$AR139),0,Schweine_Werte!$C139))</f>
        <v>0</v>
      </c>
      <c r="AW139" s="1710">
        <f>IF(OR($C$60=$AR139,$D$60=$AR139),Schweine_Werte!$C139*0.5,IF(OR($C$60&gt;$AR139,$D$60&lt;$AR139),0,Schweine_Werte!$C139))</f>
        <v>0</v>
      </c>
      <c r="AX139" s="1710">
        <f>IF(OR($C$12=$AR139,$D$12=$AR139),Schweine_Werte!$E139*0.5,IF(OR($C$12&gt;$AR139,$D$12&lt;$AR139),0,Schweine_Werte!$E139))</f>
        <v>0</v>
      </c>
      <c r="AY139" s="1713">
        <f>IF(OR($C$24=$AR139,$D$24=$AR139),Schweine_Werte!$E139*0.5,IF(OR($C$24&gt;$AR139,$D$24&lt;$AR139),0,Schweine_Werte!$E139))</f>
        <v>0</v>
      </c>
      <c r="AZ139" s="1713">
        <f>IF(OR($C$36=$AR139,$D$36=$AR139),Schweine_Werte!$E139*0.5,IF(OR($C$36&gt;$AR139,$D$36&lt;$AR139),0,Schweine_Werte!$E139))</f>
        <v>0</v>
      </c>
      <c r="BA139" s="1713">
        <f>IF(OR($C$48=$AR139,$D$48=$AR139),Schweine_Werte!$E139*0.5,IF(OR($C$48&gt;$AR139,$D$48&lt;$AR139),0,Schweine_Werte!$E139))</f>
        <v>0</v>
      </c>
      <c r="BB139" s="1713">
        <f>IF(OR($C$60=$AR139,$D$60=$AR139),Schweine_Werte!$E139*0.5,IF(OR($C$60&gt;$AR139,$D$60&lt;$AR139),0,Schweine_Werte!$E139))</f>
        <v>0</v>
      </c>
      <c r="BC139" s="1710">
        <f>IF(OR($C$12=$AR139,$D$12=$AR139),Schweine_Werte!$G139*0.5,IF(OR($C$12&gt;$AR139,$D$12&lt;$AR139),0,Schweine_Werte!$G139))</f>
        <v>0</v>
      </c>
      <c r="BD139" s="1713">
        <f>IF(OR($C$24=$AR139,$D$24=$AR139),Schweine_Werte!$G139*0.5,IF(OR($C$24&gt;$AR139,$D$24&lt;$AR139),0,Schweine_Werte!$G139))</f>
        <v>0</v>
      </c>
      <c r="BE139" s="1713">
        <f>IF(OR($C$36=$AR139,$D$36=$AR139),Schweine_Werte!$G139*0.5,IF(OR($C$36&gt;$AR139,$D$36&lt;$AR139),0,Schweine_Werte!$G139))</f>
        <v>0</v>
      </c>
      <c r="BF139" s="1713">
        <f>IF(OR($C$48=$AR139,$D$48=$AR139),Schweine_Werte!$G139*0.5,IF(OR($C$48&gt;$AR139,$D$48&lt;$AR139),0,Schweine_Werte!$G139))</f>
        <v>0</v>
      </c>
      <c r="BG139" s="1713">
        <f>IF(OR($C$60=$AR139,$D$60=$AR139),Schweine_Werte!$G139*0.5,IF(OR($C$60&gt;$AR139,$D$60&lt;$AR139),0,Schweine_Werte!$G139))</f>
        <v>0</v>
      </c>
      <c r="BH139" s="1710">
        <f>IF(OR($C$12=$AR139,$D$12=$AR139),Schweine_Werte!$I139*0.5,IF(OR($C$12&gt;$AR139,$D$12&lt;$AR139),0,Schweine_Werte!$I139))</f>
        <v>0</v>
      </c>
      <c r="BI139" s="1713">
        <f>IF(OR($C$24=$AR139,$D$24=$AR139),Schweine_Werte!$I139*0.5,IF(OR($C$24&gt;$AR139,$D$24&lt;$AR139),0,Schweine_Werte!$I139))</f>
        <v>0</v>
      </c>
      <c r="BJ139" s="1713">
        <f>IF(OR($C$36=$AR139,$D$36=$AR139),Schweine_Werte!$I139*0.5,IF(OR($C$36&gt;$AR139,$D$36&lt;$AR139),0,Schweine_Werte!$I139))</f>
        <v>0</v>
      </c>
      <c r="BK139" s="1713">
        <f>IF(OR($C$48=$AR139,$D$48=$AR139),Schweine_Werte!$I139*0.5,IF(OR($C$48&gt;$AR139,$D$48&lt;$AR139),0,Schweine_Werte!$I139))</f>
        <v>0</v>
      </c>
      <c r="BL139" s="1713">
        <f>IF(OR($C$60=$AR139,$D$60=$AR139),Schweine_Werte!$I139*0.5,IF(OR($C$60&gt;$AR139,$D$60&lt;$AR139),0,Schweine_Werte!$I139))</f>
        <v>0</v>
      </c>
      <c r="BM139" s="1710">
        <f>IF(OR($C$12=$AR139,$D$12=$AR139),Schweine_Werte!$K139*0.5,IF(OR($C$12&gt;$AR139,$D$12&lt;$AR139),0,Schweine_Werte!$K139))</f>
        <v>0</v>
      </c>
      <c r="BN139" s="1713">
        <f>IF(OR($C$24=$AR139,$D$24=$AR139),Schweine_Werte!$K139*0.5,IF(OR($C$24&gt;$AR139,$D$24&lt;$AR139),0,Schweine_Werte!$K139))</f>
        <v>0</v>
      </c>
      <c r="BO139" s="1713">
        <f>IF(OR($C$36=$AR139,$D$36=$AR139),Schweine_Werte!$K139*0.5,IF(OR($C$36&gt;$AR139,$D$36&lt;$AR139),0,Schweine_Werte!$K139))</f>
        <v>0</v>
      </c>
      <c r="BP139" s="1713">
        <f>IF(OR($C$48=$AR139,$D$48=$AR139),Schweine_Werte!$K139*0.5,IF(OR($C$48&gt;$AR139,$D$48&lt;$AR139),0,Schweine_Werte!$K139))</f>
        <v>0</v>
      </c>
      <c r="BQ139" s="1713">
        <f>IF(OR($C$60=$AR139,$D$60=$AR139),Schweine_Werte!$K139*0.5,IF(OR($C$60&gt;$AR139,$D$60&lt;$AR139),0,Schweine_Werte!$K139))</f>
        <v>0</v>
      </c>
      <c r="BR139" s="1710">
        <f>IF(OR($C$74=$AR139,$D$74=$AR139),Schweine_Werte!$M139*0.5,IF(OR($C$74&gt;$AR139,$D$74&lt;$AR139),0,Schweine_Werte!$M139))</f>
        <v>0</v>
      </c>
      <c r="BS139" s="1710">
        <f>IF(OR($C$83=$AR139,$D$83=$AR139),Schweine_Werte!$M139*0.5,IF(OR($C$83&gt;$AR139,$D$83&lt;$AR139),0,Schweine_Werte!$M139))</f>
        <v>0</v>
      </c>
      <c r="BT139" s="1714">
        <f>IF(OR($C$92=$AR139,$D$92=$AR139),Schweine_Werte!$M139*0.5,IF(OR($C$92&gt;$AR139,$D$92&lt;$AR139),0,Schweine_Werte!$M139))</f>
        <v>0</v>
      </c>
      <c r="BU139" s="1714">
        <f>IF(OR($C$101=$AR139,$D$101=$AR139),Schweine_Werte!$M139*0.5,IF(OR($C$101&gt;$AR139,$D$101&lt;$AR139),0,Schweine_Werte!$M139))</f>
        <v>0</v>
      </c>
      <c r="BV139" s="1714">
        <f>IF(OR($C$110=$AR139,$D$110=$AR139),Schweine_Werte!$M139*0.5,IF(OR($C$110&gt;$AR139,$D$110&lt;$AR139),0,Schweine_Werte!$M139))</f>
        <v>0</v>
      </c>
      <c r="BW139" s="1714">
        <f>IF(OR(8=$AR139,$E$127=$AR139),Schweine_Werte!$M139*0.5,IF(OR(8&gt;$AR139,$E$127&lt;$AR139),0,Schweine_Werte!$M139))</f>
        <v>1.4477278921508818</v>
      </c>
      <c r="BX139" s="1714">
        <f>IF(OR(8=$AR139,$E$145=$AR139),Schweine_Werte!$M139*0.5,IF(OR(8&gt;$AR139,$E$145&lt;$AR139),0,Schweine_Werte!$M139))</f>
        <v>1.4477278921508818</v>
      </c>
      <c r="BY139" s="1710">
        <f>IF(OR($C$74=$AR139,$D$74=$AR139),Schweine_Werte!$O139*0.5,IF(OR($C$74&gt;$AR139,$D$74&lt;$AR139),0,Schweine_Werte!$O139))</f>
        <v>0</v>
      </c>
      <c r="BZ139" s="1710">
        <f>IF(OR($C$83=$AR139,$D$83=$AR139),Schweine_Werte!$O139*0.5,IF(OR($C$83&gt;$AR139,$D$83&lt;$AR139),0,Schweine_Werte!$O139))</f>
        <v>0</v>
      </c>
      <c r="CA139" s="1714">
        <f>IF(OR($C$92=$AR139,$D$92=$AR139),Schweine_Werte!$O139*0.5,IF(OR($C$92&gt;$AR139,$D$92&lt;$AR139),0,Schweine_Werte!$O139))</f>
        <v>0</v>
      </c>
      <c r="CB139" s="1714">
        <f>IF(OR($C$101=$AR139,$D$101=$AR139),Schweine_Werte!$O139*0.5,IF(OR($C$101&gt;$AR139,$D$101&lt;$AR139),0,Schweine_Werte!$O139))</f>
        <v>0</v>
      </c>
      <c r="CC139" s="1714">
        <f>IF(OR($C$110=$AR139,$D$110=$AR139),Schweine_Werte!$O139*0.5,IF(OR($C$110&gt;$AR139,$D$110&lt;$AR139),0,Schweine_Werte!$O139))</f>
        <v>0</v>
      </c>
    </row>
    <row r="140" spans="2:81" x14ac:dyDescent="0.25">
      <c r="B140" s="1918" t="e">
        <f>+B137*D145/365</f>
        <v>#VALUE!</v>
      </c>
      <c r="C140" s="1712"/>
      <c r="D140" s="246"/>
      <c r="E140" s="885"/>
      <c r="F140" s="885"/>
      <c r="G140" s="885"/>
      <c r="H140" s="885"/>
      <c r="I140" s="885"/>
      <c r="J140" s="885"/>
      <c r="K140" s="885"/>
      <c r="L140" s="885"/>
      <c r="M140" s="885"/>
      <c r="N140" s="885"/>
      <c r="O140" s="885"/>
      <c r="P140" s="885"/>
      <c r="Q140" s="885"/>
      <c r="R140" s="885"/>
      <c r="S140" s="885"/>
      <c r="T140"/>
      <c r="U140" s="885"/>
      <c r="V140" s="885"/>
      <c r="W140"/>
      <c r="X140"/>
      <c r="Y140"/>
      <c r="AR140" s="1733">
        <v>144</v>
      </c>
      <c r="AS140" s="1710">
        <f>IF(OR($C$12=$AR140,$D$12=$AR140),Schweine_Werte!$C140*0.5,IF(OR($C$12&gt;$AR140,$D$12&lt;$AR140),0,Schweine_Werte!$C140))</f>
        <v>0</v>
      </c>
      <c r="AT140" s="1713">
        <f>IF(OR($C$24=$AR140,$D$24=$AR140),Schweine_Werte!$C140*0.5,IF(OR($C$24&gt;$AR140,$D$24&lt;$AR140),0,Schweine_Werte!$C140))</f>
        <v>0</v>
      </c>
      <c r="AU140" s="1710">
        <f>IF(OR($C$36=$AR140,$D$36=$AR140),Schweine_Werte!$C140*0.5,IF(OR($C$36&gt;$AR140,$D$36&lt;$AR140),0,Schweine_Werte!$C140))</f>
        <v>0</v>
      </c>
      <c r="AV140" s="1710">
        <f>IF(OR($C$48=$AR140,$D$48=$AR140),Schweine_Werte!$C140*0.5,IF(OR($C$48&gt;$AR140,$D$48&lt;$AR140),0,Schweine_Werte!$C140))</f>
        <v>0</v>
      </c>
      <c r="AW140" s="1710">
        <f>IF(OR($C$60=$AR140,$D$60=$AR140),Schweine_Werte!$C140*0.5,IF(OR($C$60&gt;$AR140,$D$60&lt;$AR140),0,Schweine_Werte!$C140))</f>
        <v>0</v>
      </c>
      <c r="AX140" s="1710">
        <f>IF(OR($C$12=$AR140,$D$12=$AR140),Schweine_Werte!$E140*0.5,IF(OR($C$12&gt;$AR140,$D$12&lt;$AR140),0,Schweine_Werte!$E140))</f>
        <v>0</v>
      </c>
      <c r="AY140" s="1713">
        <f>IF(OR($C$24=$AR140,$D$24=$AR140),Schweine_Werte!$E140*0.5,IF(OR($C$24&gt;$AR140,$D$24&lt;$AR140),0,Schweine_Werte!$E140))</f>
        <v>0</v>
      </c>
      <c r="AZ140" s="1713">
        <f>IF(OR($C$36=$AR140,$D$36=$AR140),Schweine_Werte!$E140*0.5,IF(OR($C$36&gt;$AR140,$D$36&lt;$AR140),0,Schweine_Werte!$E140))</f>
        <v>0</v>
      </c>
      <c r="BA140" s="1713">
        <f>IF(OR($C$48=$AR140,$D$48=$AR140),Schweine_Werte!$E140*0.5,IF(OR($C$48&gt;$AR140,$D$48&lt;$AR140),0,Schweine_Werte!$E140))</f>
        <v>0</v>
      </c>
      <c r="BB140" s="1713">
        <f>IF(OR($C$60=$AR140,$D$60=$AR140),Schweine_Werte!$E140*0.5,IF(OR($C$60&gt;$AR140,$D$60&lt;$AR140),0,Schweine_Werte!$E140))</f>
        <v>0</v>
      </c>
      <c r="BC140" s="1710">
        <f>IF(OR($C$12=$AR140,$D$12=$AR140),Schweine_Werte!$G140*0.5,IF(OR($C$12&gt;$AR140,$D$12&lt;$AR140),0,Schweine_Werte!$G140))</f>
        <v>0</v>
      </c>
      <c r="BD140" s="1713">
        <f>IF(OR($C$24=$AR140,$D$24=$AR140),Schweine_Werte!$G140*0.5,IF(OR($C$24&gt;$AR140,$D$24&lt;$AR140),0,Schweine_Werte!$G140))</f>
        <v>0</v>
      </c>
      <c r="BE140" s="1713">
        <f>IF(OR($C$36=$AR140,$D$36=$AR140),Schweine_Werte!$G140*0.5,IF(OR($C$36&gt;$AR140,$D$36&lt;$AR140),0,Schweine_Werte!$G140))</f>
        <v>0</v>
      </c>
      <c r="BF140" s="1713">
        <f>IF(OR($C$48=$AR140,$D$48=$AR140),Schweine_Werte!$G140*0.5,IF(OR($C$48&gt;$AR140,$D$48&lt;$AR140),0,Schweine_Werte!$G140))</f>
        <v>0</v>
      </c>
      <c r="BG140" s="1713">
        <f>IF(OR($C$60=$AR140,$D$60=$AR140),Schweine_Werte!$G140*0.5,IF(OR($C$60&gt;$AR140,$D$60&lt;$AR140),0,Schweine_Werte!$G140))</f>
        <v>0</v>
      </c>
      <c r="BH140" s="1710">
        <f>IF(OR($C$12=$AR140,$D$12=$AR140),Schweine_Werte!$I140*0.5,IF(OR($C$12&gt;$AR140,$D$12&lt;$AR140),0,Schweine_Werte!$I140))</f>
        <v>0</v>
      </c>
      <c r="BI140" s="1713">
        <f>IF(OR($C$24=$AR140,$D$24=$AR140),Schweine_Werte!$I140*0.5,IF(OR($C$24&gt;$AR140,$D$24&lt;$AR140),0,Schweine_Werte!$I140))</f>
        <v>0</v>
      </c>
      <c r="BJ140" s="1713">
        <f>IF(OR($C$36=$AR140,$D$36=$AR140),Schweine_Werte!$I140*0.5,IF(OR($C$36&gt;$AR140,$D$36&lt;$AR140),0,Schweine_Werte!$I140))</f>
        <v>0</v>
      </c>
      <c r="BK140" s="1713">
        <f>IF(OR($C$48=$AR140,$D$48=$AR140),Schweine_Werte!$I140*0.5,IF(OR($C$48&gt;$AR140,$D$48&lt;$AR140),0,Schweine_Werte!$I140))</f>
        <v>0</v>
      </c>
      <c r="BL140" s="1713">
        <f>IF(OR($C$60=$AR140,$D$60=$AR140),Schweine_Werte!$I140*0.5,IF(OR($C$60&gt;$AR140,$D$60&lt;$AR140),0,Schweine_Werte!$I140))</f>
        <v>0</v>
      </c>
      <c r="BM140" s="1710">
        <f>IF(OR($C$12=$AR140,$D$12=$AR140),Schweine_Werte!$K140*0.5,IF(OR($C$12&gt;$AR140,$D$12&lt;$AR140),0,Schweine_Werte!$K140))</f>
        <v>0</v>
      </c>
      <c r="BN140" s="1713">
        <f>IF(OR($C$24=$AR140,$D$24=$AR140),Schweine_Werte!$K140*0.5,IF(OR($C$24&gt;$AR140,$D$24&lt;$AR140),0,Schweine_Werte!$K140))</f>
        <v>0</v>
      </c>
      <c r="BO140" s="1713">
        <f>IF(OR($C$36=$AR140,$D$36=$AR140),Schweine_Werte!$K140*0.5,IF(OR($C$36&gt;$AR140,$D$36&lt;$AR140),0,Schweine_Werte!$K140))</f>
        <v>0</v>
      </c>
      <c r="BP140" s="1713">
        <f>IF(OR($C$48=$AR140,$D$48=$AR140),Schweine_Werte!$K140*0.5,IF(OR($C$48&gt;$AR140,$D$48&lt;$AR140),0,Schweine_Werte!$K140))</f>
        <v>0</v>
      </c>
      <c r="BQ140" s="1713">
        <f>IF(OR($C$60=$AR140,$D$60=$AR140),Schweine_Werte!$K140*0.5,IF(OR($C$60&gt;$AR140,$D$60&lt;$AR140),0,Schweine_Werte!$K140))</f>
        <v>0</v>
      </c>
      <c r="BR140" s="1710">
        <f>IF(OR($C$74=$AR140,$D$74=$AR140),Schweine_Werte!$M140*0.5,IF(OR($C$74&gt;$AR140,$D$74&lt;$AR140),0,Schweine_Werte!$M140))</f>
        <v>0</v>
      </c>
      <c r="BS140" s="1710">
        <f>IF(OR($C$83=$AR140,$D$83=$AR140),Schweine_Werte!$M140*0.5,IF(OR($C$83&gt;$AR140,$D$83&lt;$AR140),0,Schweine_Werte!$M140))</f>
        <v>0</v>
      </c>
      <c r="BT140" s="1714">
        <f>IF(OR($C$92=$AR140,$D$92=$AR140),Schweine_Werte!$M140*0.5,IF(OR($C$92&gt;$AR140,$D$92&lt;$AR140),0,Schweine_Werte!$M140))</f>
        <v>0</v>
      </c>
      <c r="BU140" s="1714">
        <f>IF(OR($C$101=$AR140,$D$101=$AR140),Schweine_Werte!$M140*0.5,IF(OR($C$101&gt;$AR140,$D$101&lt;$AR140),0,Schweine_Werte!$M140))</f>
        <v>0</v>
      </c>
      <c r="BV140" s="1714">
        <f>IF(OR($C$110=$AR140,$D$110=$AR140),Schweine_Werte!$M140*0.5,IF(OR($C$110&gt;$AR140,$D$110&lt;$AR140),0,Schweine_Werte!$M140))</f>
        <v>0</v>
      </c>
      <c r="BW140" s="1714">
        <f>IF(OR(8=$AR140,$E$127=$AR140),Schweine_Werte!$M140*0.5,IF(OR(8&gt;$AR140,$E$127&lt;$AR140),0,Schweine_Werte!$M140))</f>
        <v>1.4477278921508818</v>
      </c>
      <c r="BX140" s="1714">
        <f>IF(OR(8=$AR140,$E$145=$AR140),Schweine_Werte!$M140*0.5,IF(OR(8&gt;$AR140,$E$145&lt;$AR140),0,Schweine_Werte!$M140))</f>
        <v>1.4477278921508818</v>
      </c>
      <c r="BY140" s="1710">
        <f>IF(OR($C$74=$AR140,$D$74=$AR140),Schweine_Werte!$O140*0.5,IF(OR($C$74&gt;$AR140,$D$74&lt;$AR140),0,Schweine_Werte!$O140))</f>
        <v>0</v>
      </c>
      <c r="BZ140" s="1710">
        <f>IF(OR($C$83=$AR140,$D$83=$AR140),Schweine_Werte!$O140*0.5,IF(OR($C$83&gt;$AR140,$D$83&lt;$AR140),0,Schweine_Werte!$O140))</f>
        <v>0</v>
      </c>
      <c r="CA140" s="1714">
        <f>IF(OR($C$92=$AR140,$D$92=$AR140),Schweine_Werte!$O140*0.5,IF(OR($C$92&gt;$AR140,$D$92&lt;$AR140),0,Schweine_Werte!$O140))</f>
        <v>0</v>
      </c>
      <c r="CB140" s="1714">
        <f>IF(OR($C$101=$AR140,$D$101=$AR140),Schweine_Werte!$O140*0.5,IF(OR($C$101&gt;$AR140,$D$101&lt;$AR140),0,Schweine_Werte!$O140))</f>
        <v>0</v>
      </c>
      <c r="CC140" s="1714">
        <f>IF(OR($C$110=$AR140,$D$110=$AR140),Schweine_Werte!$O140*0.5,IF(OR($C$110&gt;$AR140,$D$110&lt;$AR140),0,Schweine_Werte!$O140))</f>
        <v>0</v>
      </c>
    </row>
    <row r="141" spans="2:81" x14ac:dyDescent="0.25">
      <c r="C141" s="1712"/>
      <c r="D141" s="1735"/>
      <c r="F141" s="1713"/>
      <c r="G141" s="1713"/>
      <c r="H141" s="1713"/>
      <c r="I141" s="1713"/>
      <c r="J141" s="1713"/>
      <c r="K141" s="1713"/>
      <c r="L141" s="1713"/>
      <c r="M141" s="1713"/>
      <c r="N141" s="1713"/>
      <c r="O141" s="1713"/>
      <c r="P141" s="1713"/>
      <c r="Q141" s="1713"/>
      <c r="R141" s="1713"/>
      <c r="S141" s="1713"/>
      <c r="T141" s="1713"/>
      <c r="U141" s="1713"/>
      <c r="V141" s="1713"/>
      <c r="AR141" s="1733">
        <v>145</v>
      </c>
      <c r="AS141" s="1710">
        <f>IF(OR($C$12=$AR141,$D$12=$AR141),Schweine_Werte!$C141*0.5,IF(OR($C$12&gt;$AR141,$D$12&lt;$AR141),0,Schweine_Werte!$C141))</f>
        <v>0</v>
      </c>
      <c r="AT141" s="1713">
        <f>IF(OR($C$24=$AR141,$D$24=$AR141),Schweine_Werte!$C141*0.5,IF(OR($C$24&gt;$AR141,$D$24&lt;$AR141),0,Schweine_Werte!$C141))</f>
        <v>0</v>
      </c>
      <c r="AU141" s="1710">
        <f>IF(OR($C$36=$AR141,$D$36=$AR141),Schweine_Werte!$C141*0.5,IF(OR($C$36&gt;$AR141,$D$36&lt;$AR141),0,Schweine_Werte!$C141))</f>
        <v>0</v>
      </c>
      <c r="AV141" s="1710">
        <f>IF(OR($C$48=$AR141,$D$48=$AR141),Schweine_Werte!$C141*0.5,IF(OR($C$48&gt;$AR141,$D$48&lt;$AR141),0,Schweine_Werte!$C141))</f>
        <v>0</v>
      </c>
      <c r="AW141" s="1710">
        <f>IF(OR($C$60=$AR141,$D$60=$AR141),Schweine_Werte!$C141*0.5,IF(OR($C$60&gt;$AR141,$D$60&lt;$AR141),0,Schweine_Werte!$C141))</f>
        <v>0</v>
      </c>
      <c r="AX141" s="1710">
        <f>IF(OR($C$12=$AR141,$D$12=$AR141),Schweine_Werte!$E141*0.5,IF(OR($C$12&gt;$AR141,$D$12&lt;$AR141),0,Schweine_Werte!$E141))</f>
        <v>0</v>
      </c>
      <c r="AY141" s="1713">
        <f>IF(OR($C$24=$AR141,$D$24=$AR141),Schweine_Werte!$E141*0.5,IF(OR($C$24&gt;$AR141,$D$24&lt;$AR141),0,Schweine_Werte!$E141))</f>
        <v>0</v>
      </c>
      <c r="AZ141" s="1713">
        <f>IF(OR($C$36=$AR141,$D$36=$AR141),Schweine_Werte!$E141*0.5,IF(OR($C$36&gt;$AR141,$D$36&lt;$AR141),0,Schweine_Werte!$E141))</f>
        <v>0</v>
      </c>
      <c r="BA141" s="1713">
        <f>IF(OR($C$48=$AR141,$D$48=$AR141),Schweine_Werte!$E141*0.5,IF(OR($C$48&gt;$AR141,$D$48&lt;$AR141),0,Schweine_Werte!$E141))</f>
        <v>0</v>
      </c>
      <c r="BB141" s="1713">
        <f>IF(OR($C$60=$AR141,$D$60=$AR141),Schweine_Werte!$E141*0.5,IF(OR($C$60&gt;$AR141,$D$60&lt;$AR141),0,Schweine_Werte!$E141))</f>
        <v>0</v>
      </c>
      <c r="BC141" s="1710">
        <f>IF(OR($C$12=$AR141,$D$12=$AR141),Schweine_Werte!$G141*0.5,IF(OR($C$12&gt;$AR141,$D$12&lt;$AR141),0,Schweine_Werte!$G141))</f>
        <v>0</v>
      </c>
      <c r="BD141" s="1713">
        <f>IF(OR($C$24=$AR141,$D$24=$AR141),Schweine_Werte!$G141*0.5,IF(OR($C$24&gt;$AR141,$D$24&lt;$AR141),0,Schweine_Werte!$G141))</f>
        <v>0</v>
      </c>
      <c r="BE141" s="1713">
        <f>IF(OR($C$36=$AR141,$D$36=$AR141),Schweine_Werte!$G141*0.5,IF(OR($C$36&gt;$AR141,$D$36&lt;$AR141),0,Schweine_Werte!$G141))</f>
        <v>0</v>
      </c>
      <c r="BF141" s="1713">
        <f>IF(OR($C$48=$AR141,$D$48=$AR141),Schweine_Werte!$G141*0.5,IF(OR($C$48&gt;$AR141,$D$48&lt;$AR141),0,Schweine_Werte!$G141))</f>
        <v>0</v>
      </c>
      <c r="BG141" s="1713">
        <f>IF(OR($C$60=$AR141,$D$60=$AR141),Schweine_Werte!$G141*0.5,IF(OR($C$60&gt;$AR141,$D$60&lt;$AR141),0,Schweine_Werte!$G141))</f>
        <v>0</v>
      </c>
      <c r="BH141" s="1710">
        <f>IF(OR($C$12=$AR141,$D$12=$AR141),Schweine_Werte!$I141*0.5,IF(OR($C$12&gt;$AR141,$D$12&lt;$AR141),0,Schweine_Werte!$I141))</f>
        <v>0</v>
      </c>
      <c r="BI141" s="1713">
        <f>IF(OR($C$24=$AR141,$D$24=$AR141),Schweine_Werte!$I141*0.5,IF(OR($C$24&gt;$AR141,$D$24&lt;$AR141),0,Schweine_Werte!$I141))</f>
        <v>0</v>
      </c>
      <c r="BJ141" s="1713">
        <f>IF(OR($C$36=$AR141,$D$36=$AR141),Schweine_Werte!$I141*0.5,IF(OR($C$36&gt;$AR141,$D$36&lt;$AR141),0,Schweine_Werte!$I141))</f>
        <v>0</v>
      </c>
      <c r="BK141" s="1713">
        <f>IF(OR($C$48=$AR141,$D$48=$AR141),Schweine_Werte!$I141*0.5,IF(OR($C$48&gt;$AR141,$D$48&lt;$AR141),0,Schweine_Werte!$I141))</f>
        <v>0</v>
      </c>
      <c r="BL141" s="1713">
        <f>IF(OR($C$60=$AR141,$D$60=$AR141),Schweine_Werte!$I141*0.5,IF(OR($C$60&gt;$AR141,$D$60&lt;$AR141),0,Schweine_Werte!$I141))</f>
        <v>0</v>
      </c>
      <c r="BM141" s="1710">
        <f>IF(OR($C$12=$AR141,$D$12=$AR141),Schweine_Werte!$K141*0.5,IF(OR($C$12&gt;$AR141,$D$12&lt;$AR141),0,Schweine_Werte!$K141))</f>
        <v>0</v>
      </c>
      <c r="BN141" s="1713">
        <f>IF(OR($C$24=$AR141,$D$24=$AR141),Schweine_Werte!$K141*0.5,IF(OR($C$24&gt;$AR141,$D$24&lt;$AR141),0,Schweine_Werte!$K141))</f>
        <v>0</v>
      </c>
      <c r="BO141" s="1713">
        <f>IF(OR($C$36=$AR141,$D$36=$AR141),Schweine_Werte!$K141*0.5,IF(OR($C$36&gt;$AR141,$D$36&lt;$AR141),0,Schweine_Werte!$K141))</f>
        <v>0</v>
      </c>
      <c r="BP141" s="1713">
        <f>IF(OR($C$48=$AR141,$D$48=$AR141),Schweine_Werte!$K141*0.5,IF(OR($C$48&gt;$AR141,$D$48&lt;$AR141),0,Schweine_Werte!$K141))</f>
        <v>0</v>
      </c>
      <c r="BQ141" s="1713">
        <f>IF(OR($C$60=$AR141,$D$60=$AR141),Schweine_Werte!$K141*0.5,IF(OR($C$60&gt;$AR141,$D$60&lt;$AR141),0,Schweine_Werte!$K141))</f>
        <v>0</v>
      </c>
      <c r="BR141" s="1710">
        <f>IF(OR($C$74=$AR141,$D$74=$AR141),Schweine_Werte!$M141*0.5,IF(OR($C$74&gt;$AR141,$D$74&lt;$AR141),0,Schweine_Werte!$M141))</f>
        <v>0</v>
      </c>
      <c r="BS141" s="1710">
        <f>IF(OR($C$83=$AR141,$D$83=$AR141),Schweine_Werte!$M141*0.5,IF(OR($C$83&gt;$AR141,$D$83&lt;$AR141),0,Schweine_Werte!$M141))</f>
        <v>0</v>
      </c>
      <c r="BT141" s="1714">
        <f>IF(OR($C$92=$AR141,$D$92=$AR141),Schweine_Werte!$M141*0.5,IF(OR($C$92&gt;$AR141,$D$92&lt;$AR141),0,Schweine_Werte!$M141))</f>
        <v>0</v>
      </c>
      <c r="BU141" s="1714">
        <f>IF(OR($C$101=$AR141,$D$101=$AR141),Schweine_Werte!$M141*0.5,IF(OR($C$101&gt;$AR141,$D$101&lt;$AR141),0,Schweine_Werte!$M141))</f>
        <v>0</v>
      </c>
      <c r="BV141" s="1714">
        <f>IF(OR($C$110=$AR141,$D$110=$AR141),Schweine_Werte!$M141*0.5,IF(OR($C$110&gt;$AR141,$D$110&lt;$AR141),0,Schweine_Werte!$M141))</f>
        <v>0</v>
      </c>
      <c r="BW141" s="1714">
        <f>IF(OR(8=$AR141,$E$127=$AR141),Schweine_Werte!$M141*0.5,IF(OR(8&gt;$AR141,$E$127&lt;$AR141),0,Schweine_Werte!$M141))</f>
        <v>1.4477278921508818</v>
      </c>
      <c r="BX141" s="1714">
        <f>IF(OR(8=$AR141,$E$145=$AR141),Schweine_Werte!$M141*0.5,IF(OR(8&gt;$AR141,$E$145&lt;$AR141),0,Schweine_Werte!$M141))</f>
        <v>1.4477278921508818</v>
      </c>
      <c r="BY141" s="1710">
        <f>IF(OR($C$74=$AR141,$D$74=$AR141),Schweine_Werte!$O141*0.5,IF(OR($C$74&gt;$AR141,$D$74&lt;$AR141),0,Schweine_Werte!$O141))</f>
        <v>0</v>
      </c>
      <c r="BZ141" s="1710">
        <f>IF(OR($C$83=$AR141,$D$83=$AR141),Schweine_Werte!$O141*0.5,IF(OR($C$83&gt;$AR141,$D$83&lt;$AR141),0,Schweine_Werte!$O141))</f>
        <v>0</v>
      </c>
      <c r="CA141" s="1714">
        <f>IF(OR($C$92=$AR141,$D$92=$AR141),Schweine_Werte!$O141*0.5,IF(OR($C$92&gt;$AR141,$D$92&lt;$AR141),0,Schweine_Werte!$O141))</f>
        <v>0</v>
      </c>
      <c r="CB141" s="1714">
        <f>IF(OR($C$101=$AR141,$D$101=$AR141),Schweine_Werte!$O141*0.5,IF(OR($C$101&gt;$AR141,$D$101&lt;$AR141),0,Schweine_Werte!$O141))</f>
        <v>0</v>
      </c>
      <c r="CC141" s="1714">
        <f>IF(OR($C$110=$AR141,$D$110=$AR141),Schweine_Werte!$O141*0.5,IF(OR($C$110&gt;$AR141,$D$110&lt;$AR141),0,Schweine_Werte!$O141))</f>
        <v>0</v>
      </c>
    </row>
    <row r="142" spans="2:81" x14ac:dyDescent="0.25">
      <c r="C142" s="1712"/>
      <c r="D142" s="1735"/>
      <c r="E142" s="1713"/>
      <c r="F142" s="1713"/>
      <c r="G142" s="1713"/>
      <c r="H142" s="1713"/>
      <c r="I142" s="1713"/>
      <c r="J142" s="1713"/>
      <c r="K142" s="1713"/>
      <c r="L142" s="1713"/>
      <c r="M142" s="1713"/>
      <c r="N142" s="1713"/>
      <c r="O142" s="1713"/>
      <c r="P142" s="1713"/>
      <c r="Q142" s="1713"/>
      <c r="R142" s="1713"/>
      <c r="S142" s="1713"/>
      <c r="T142" s="1713"/>
      <c r="U142" s="1713"/>
      <c r="V142" s="1713"/>
      <c r="AR142" s="1733">
        <v>146</v>
      </c>
      <c r="AS142" s="1710">
        <f>IF(OR($C$12=$AR142,$D$12=$AR142),Schweine_Werte!$C142*0.5,IF(OR($C$12&gt;$AR142,$D$12&lt;$AR142),0,Schweine_Werte!$C142))</f>
        <v>0</v>
      </c>
      <c r="AT142" s="1713">
        <f>IF(OR($C$24=$AR142,$D$24=$AR142),Schweine_Werte!$C142*0.5,IF(OR($C$24&gt;$AR142,$D$24&lt;$AR142),0,Schweine_Werte!$C142))</f>
        <v>0</v>
      </c>
      <c r="AU142" s="1710">
        <f>IF(OR($C$36=$AR142,$D$36=$AR142),Schweine_Werte!$C142*0.5,IF(OR($C$36&gt;$AR142,$D$36&lt;$AR142),0,Schweine_Werte!$C142))</f>
        <v>0</v>
      </c>
      <c r="AV142" s="1710">
        <f>IF(OR($C$48=$AR142,$D$48=$AR142),Schweine_Werte!$C142*0.5,IF(OR($C$48&gt;$AR142,$D$48&lt;$AR142),0,Schweine_Werte!$C142))</f>
        <v>0</v>
      </c>
      <c r="AW142" s="1710">
        <f>IF(OR($C$60=$AR142,$D$60=$AR142),Schweine_Werte!$C142*0.5,IF(OR($C$60&gt;$AR142,$D$60&lt;$AR142),0,Schweine_Werte!$C142))</f>
        <v>0</v>
      </c>
      <c r="AX142" s="1710">
        <f>IF(OR($C$12=$AR142,$D$12=$AR142),Schweine_Werte!$E142*0.5,IF(OR($C$12&gt;$AR142,$D$12&lt;$AR142),0,Schweine_Werte!$E142))</f>
        <v>0</v>
      </c>
      <c r="AY142" s="1713">
        <f>IF(OR($C$24=$AR142,$D$24=$AR142),Schweine_Werte!$E142*0.5,IF(OR($C$24&gt;$AR142,$D$24&lt;$AR142),0,Schweine_Werte!$E142))</f>
        <v>0</v>
      </c>
      <c r="AZ142" s="1713">
        <f>IF(OR($C$36=$AR142,$D$36=$AR142),Schweine_Werte!$E142*0.5,IF(OR($C$36&gt;$AR142,$D$36&lt;$AR142),0,Schweine_Werte!$E142))</f>
        <v>0</v>
      </c>
      <c r="BA142" s="1713">
        <f>IF(OR($C$48=$AR142,$D$48=$AR142),Schweine_Werte!$E142*0.5,IF(OR($C$48&gt;$AR142,$D$48&lt;$AR142),0,Schweine_Werte!$E142))</f>
        <v>0</v>
      </c>
      <c r="BB142" s="1713">
        <f>IF(OR($C$60=$AR142,$D$60=$AR142),Schweine_Werte!$E142*0.5,IF(OR($C$60&gt;$AR142,$D$60&lt;$AR142),0,Schweine_Werte!$E142))</f>
        <v>0</v>
      </c>
      <c r="BC142" s="1710">
        <f>IF(OR($C$12=$AR142,$D$12=$AR142),Schweine_Werte!$G142*0.5,IF(OR($C$12&gt;$AR142,$D$12&lt;$AR142),0,Schweine_Werte!$G142))</f>
        <v>0</v>
      </c>
      <c r="BD142" s="1713">
        <f>IF(OR($C$24=$AR142,$D$24=$AR142),Schweine_Werte!$G142*0.5,IF(OR($C$24&gt;$AR142,$D$24&lt;$AR142),0,Schweine_Werte!$G142))</f>
        <v>0</v>
      </c>
      <c r="BE142" s="1713">
        <f>IF(OR($C$36=$AR142,$D$36=$AR142),Schweine_Werte!$G142*0.5,IF(OR($C$36&gt;$AR142,$D$36&lt;$AR142),0,Schweine_Werte!$G142))</f>
        <v>0</v>
      </c>
      <c r="BF142" s="1713">
        <f>IF(OR($C$48=$AR142,$D$48=$AR142),Schweine_Werte!$G142*0.5,IF(OR($C$48&gt;$AR142,$D$48&lt;$AR142),0,Schweine_Werte!$G142))</f>
        <v>0</v>
      </c>
      <c r="BG142" s="1713">
        <f>IF(OR($C$60=$AR142,$D$60=$AR142),Schweine_Werte!$G142*0.5,IF(OR($C$60&gt;$AR142,$D$60&lt;$AR142),0,Schweine_Werte!$G142))</f>
        <v>0</v>
      </c>
      <c r="BH142" s="1710">
        <f>IF(OR($C$12=$AR142,$D$12=$AR142),Schweine_Werte!$I142*0.5,IF(OR($C$12&gt;$AR142,$D$12&lt;$AR142),0,Schweine_Werte!$I142))</f>
        <v>0</v>
      </c>
      <c r="BI142" s="1713">
        <f>IF(OR($C$24=$AR142,$D$24=$AR142),Schweine_Werte!$I142*0.5,IF(OR($C$24&gt;$AR142,$D$24&lt;$AR142),0,Schweine_Werte!$I142))</f>
        <v>0</v>
      </c>
      <c r="BJ142" s="1713">
        <f>IF(OR($C$36=$AR142,$D$36=$AR142),Schweine_Werte!$I142*0.5,IF(OR($C$36&gt;$AR142,$D$36&lt;$AR142),0,Schweine_Werte!$I142))</f>
        <v>0</v>
      </c>
      <c r="BK142" s="1713">
        <f>IF(OR($C$48=$AR142,$D$48=$AR142),Schweine_Werte!$I142*0.5,IF(OR($C$48&gt;$AR142,$D$48&lt;$AR142),0,Schweine_Werte!$I142))</f>
        <v>0</v>
      </c>
      <c r="BL142" s="1713">
        <f>IF(OR($C$60=$AR142,$D$60=$AR142),Schweine_Werte!$I142*0.5,IF(OR($C$60&gt;$AR142,$D$60&lt;$AR142),0,Schweine_Werte!$I142))</f>
        <v>0</v>
      </c>
      <c r="BM142" s="1710">
        <f>IF(OR($C$12=$AR142,$D$12=$AR142),Schweine_Werte!$K142*0.5,IF(OR($C$12&gt;$AR142,$D$12&lt;$AR142),0,Schweine_Werte!$K142))</f>
        <v>0</v>
      </c>
      <c r="BN142" s="1713">
        <f>IF(OR($C$24=$AR142,$D$24=$AR142),Schweine_Werte!$K142*0.5,IF(OR($C$24&gt;$AR142,$D$24&lt;$AR142),0,Schweine_Werte!$K142))</f>
        <v>0</v>
      </c>
      <c r="BO142" s="1713">
        <f>IF(OR($C$36=$AR142,$D$36=$AR142),Schweine_Werte!$K142*0.5,IF(OR($C$36&gt;$AR142,$D$36&lt;$AR142),0,Schweine_Werte!$K142))</f>
        <v>0</v>
      </c>
      <c r="BP142" s="1713">
        <f>IF(OR($C$48=$AR142,$D$48=$AR142),Schweine_Werte!$K142*0.5,IF(OR($C$48&gt;$AR142,$D$48&lt;$AR142),0,Schweine_Werte!$K142))</f>
        <v>0</v>
      </c>
      <c r="BQ142" s="1713">
        <f>IF(OR($C$60=$AR142,$D$60=$AR142),Schweine_Werte!$K142*0.5,IF(OR($C$60&gt;$AR142,$D$60&lt;$AR142),0,Schweine_Werte!$K142))</f>
        <v>0</v>
      </c>
      <c r="BR142" s="1710">
        <f>IF(OR($C$74=$AR142,$D$74=$AR142),Schweine_Werte!$M142*0.5,IF(OR($C$74&gt;$AR142,$D$74&lt;$AR142),0,Schweine_Werte!$M142))</f>
        <v>0</v>
      </c>
      <c r="BS142" s="1710">
        <f>IF(OR($C$83=$AR142,$D$83=$AR142),Schweine_Werte!$M142*0.5,IF(OR($C$83&gt;$AR142,$D$83&lt;$AR142),0,Schweine_Werte!$M142))</f>
        <v>0</v>
      </c>
      <c r="BT142" s="1714">
        <f>IF(OR($C$92=$AR142,$D$92=$AR142),Schweine_Werte!$M142*0.5,IF(OR($C$92&gt;$AR142,$D$92&lt;$AR142),0,Schweine_Werte!$M142))</f>
        <v>0</v>
      </c>
      <c r="BU142" s="1714">
        <f>IF(OR($C$101=$AR142,$D$101=$AR142),Schweine_Werte!$M142*0.5,IF(OR($C$101&gt;$AR142,$D$101&lt;$AR142),0,Schweine_Werte!$M142))</f>
        <v>0</v>
      </c>
      <c r="BV142" s="1714">
        <f>IF(OR($C$110=$AR142,$D$110=$AR142),Schweine_Werte!$M142*0.5,IF(OR($C$110&gt;$AR142,$D$110&lt;$AR142),0,Schweine_Werte!$M142))</f>
        <v>0</v>
      </c>
      <c r="BW142" s="1714">
        <f>IF(OR(8=$AR142,$E$127=$AR142),Schweine_Werte!$M142*0.5,IF(OR(8&gt;$AR142,$E$127&lt;$AR142),0,Schweine_Werte!$M142))</f>
        <v>1.4477278921508818</v>
      </c>
      <c r="BX142" s="1714">
        <f>IF(OR(8=$AR142,$E$145=$AR142),Schweine_Werte!$M142*0.5,IF(OR(8&gt;$AR142,$E$145&lt;$AR142),0,Schweine_Werte!$M142))</f>
        <v>1.4477278921508818</v>
      </c>
      <c r="BY142" s="1710">
        <f>IF(OR($C$74=$AR142,$D$74=$AR142),Schweine_Werte!$O142*0.5,IF(OR($C$74&gt;$AR142,$D$74&lt;$AR142),0,Schweine_Werte!$O142))</f>
        <v>0</v>
      </c>
      <c r="BZ142" s="1710">
        <f>IF(OR($C$83=$AR142,$D$83=$AR142),Schweine_Werte!$O142*0.5,IF(OR($C$83&gt;$AR142,$D$83&lt;$AR142),0,Schweine_Werte!$O142))</f>
        <v>0</v>
      </c>
      <c r="CA142" s="1714">
        <f>IF(OR($C$92=$AR142,$D$92=$AR142),Schweine_Werte!$O142*0.5,IF(OR($C$92&gt;$AR142,$D$92&lt;$AR142),0,Schweine_Werte!$O142))</f>
        <v>0</v>
      </c>
      <c r="CB142" s="1714">
        <f>IF(OR($C$101=$AR142,$D$101=$AR142),Schweine_Werte!$O142*0.5,IF(OR($C$101&gt;$AR142,$D$101&lt;$AR142),0,Schweine_Werte!$O142))</f>
        <v>0</v>
      </c>
      <c r="CC142" s="1714">
        <f>IF(OR($C$110=$AR142,$D$110=$AR142),Schweine_Werte!$O142*0.5,IF(OR($C$110&gt;$AR142,$D$110&lt;$AR142),0,Schweine_Werte!$O142))</f>
        <v>0</v>
      </c>
    </row>
    <row r="143" spans="2:81" ht="15.75" x14ac:dyDescent="0.25">
      <c r="F143" s="1716"/>
      <c r="G143" s="3257" t="s">
        <v>8582</v>
      </c>
      <c r="H143" s="3258"/>
      <c r="I143" s="3259"/>
      <c r="J143" s="1717" t="s">
        <v>8096</v>
      </c>
      <c r="K143" s="1717" t="s">
        <v>204</v>
      </c>
      <c r="L143" s="3260" t="s">
        <v>8583</v>
      </c>
      <c r="M143" s="3260"/>
      <c r="N143" s="3260"/>
      <c r="O143" s="3247" t="s">
        <v>8584</v>
      </c>
      <c r="P143" s="3249"/>
      <c r="Q143" s="3247" t="s">
        <v>8585</v>
      </c>
      <c r="R143" s="3248"/>
      <c r="S143" s="3249"/>
      <c r="T143" s="3247" t="s">
        <v>8586</v>
      </c>
      <c r="U143" s="3248"/>
      <c r="V143" s="3249"/>
      <c r="W143" s="3247" t="s">
        <v>8587</v>
      </c>
      <c r="X143" s="3248"/>
      <c r="Y143" s="3249"/>
      <c r="AR143" s="1733">
        <v>147</v>
      </c>
      <c r="AS143" s="1710">
        <f>IF(OR($C$12=$AR143,$D$12=$AR143),Schweine_Werte!$C143*0.5,IF(OR($C$12&gt;$AR143,$D$12&lt;$AR143),0,Schweine_Werte!$C143))</f>
        <v>0</v>
      </c>
      <c r="AT143" s="1713">
        <f>IF(OR($C$24=$AR143,$D$24=$AR143),Schweine_Werte!$C143*0.5,IF(OR($C$24&gt;$AR143,$D$24&lt;$AR143),0,Schweine_Werte!$C143))</f>
        <v>0</v>
      </c>
      <c r="AU143" s="1710">
        <f>IF(OR($C$36=$AR143,$D$36=$AR143),Schweine_Werte!$C143*0.5,IF(OR($C$36&gt;$AR143,$D$36&lt;$AR143),0,Schweine_Werte!$C143))</f>
        <v>0</v>
      </c>
      <c r="AV143" s="1710">
        <f>IF(OR($C$48=$AR143,$D$48=$AR143),Schweine_Werte!$C143*0.5,IF(OR($C$48&gt;$AR143,$D$48&lt;$AR143),0,Schweine_Werte!$C143))</f>
        <v>0</v>
      </c>
      <c r="AW143" s="1710">
        <f>IF(OR($C$60=$AR143,$D$60=$AR143),Schweine_Werte!$C143*0.5,IF(OR($C$60&gt;$AR143,$D$60&lt;$AR143),0,Schweine_Werte!$C143))</f>
        <v>0</v>
      </c>
      <c r="AX143" s="1710">
        <f>IF(OR($C$12=$AR143,$D$12=$AR143),Schweine_Werte!$E143*0.5,IF(OR($C$12&gt;$AR143,$D$12&lt;$AR143),0,Schweine_Werte!$E143))</f>
        <v>0</v>
      </c>
      <c r="AY143" s="1713">
        <f>IF(OR($C$24=$AR143,$D$24=$AR143),Schweine_Werte!$E143*0.5,IF(OR($C$24&gt;$AR143,$D$24&lt;$AR143),0,Schweine_Werte!$E143))</f>
        <v>0</v>
      </c>
      <c r="AZ143" s="1713">
        <f>IF(OR($C$36=$AR143,$D$36=$AR143),Schweine_Werte!$E143*0.5,IF(OR($C$36&gt;$AR143,$D$36&lt;$AR143),0,Schweine_Werte!$E143))</f>
        <v>0</v>
      </c>
      <c r="BA143" s="1713">
        <f>IF(OR($C$48=$AR143,$D$48=$AR143),Schweine_Werte!$E143*0.5,IF(OR($C$48&gt;$AR143,$D$48&lt;$AR143),0,Schweine_Werte!$E143))</f>
        <v>0</v>
      </c>
      <c r="BB143" s="1713">
        <f>IF(OR($C$60=$AR143,$D$60=$AR143),Schweine_Werte!$E143*0.5,IF(OR($C$60&gt;$AR143,$D$60&lt;$AR143),0,Schweine_Werte!$E143))</f>
        <v>0</v>
      </c>
      <c r="BC143" s="1710">
        <f>IF(OR($C$12=$AR143,$D$12=$AR143),Schweine_Werte!$G143*0.5,IF(OR($C$12&gt;$AR143,$D$12&lt;$AR143),0,Schweine_Werte!$G143))</f>
        <v>0</v>
      </c>
      <c r="BD143" s="1713">
        <f>IF(OR($C$24=$AR143,$D$24=$AR143),Schweine_Werte!$G143*0.5,IF(OR($C$24&gt;$AR143,$D$24&lt;$AR143),0,Schweine_Werte!$G143))</f>
        <v>0</v>
      </c>
      <c r="BE143" s="1713">
        <f>IF(OR($C$36=$AR143,$D$36=$AR143),Schweine_Werte!$G143*0.5,IF(OR($C$36&gt;$AR143,$D$36&lt;$AR143),0,Schweine_Werte!$G143))</f>
        <v>0</v>
      </c>
      <c r="BF143" s="1713">
        <f>IF(OR($C$48=$AR143,$D$48=$AR143),Schweine_Werte!$G143*0.5,IF(OR($C$48&gt;$AR143,$D$48&lt;$AR143),0,Schweine_Werte!$G143))</f>
        <v>0</v>
      </c>
      <c r="BG143" s="1713">
        <f>IF(OR($C$60=$AR143,$D$60=$AR143),Schweine_Werte!$G143*0.5,IF(OR($C$60&gt;$AR143,$D$60&lt;$AR143),0,Schweine_Werte!$G143))</f>
        <v>0</v>
      </c>
      <c r="BH143" s="1710">
        <f>IF(OR($C$12=$AR143,$D$12=$AR143),Schweine_Werte!$I143*0.5,IF(OR($C$12&gt;$AR143,$D$12&lt;$AR143),0,Schweine_Werte!$I143))</f>
        <v>0</v>
      </c>
      <c r="BI143" s="1713">
        <f>IF(OR($C$24=$AR143,$D$24=$AR143),Schweine_Werte!$I143*0.5,IF(OR($C$24&gt;$AR143,$D$24&lt;$AR143),0,Schweine_Werte!$I143))</f>
        <v>0</v>
      </c>
      <c r="BJ143" s="1713">
        <f>IF(OR($C$36=$AR143,$D$36=$AR143),Schweine_Werte!$I143*0.5,IF(OR($C$36&gt;$AR143,$D$36&lt;$AR143),0,Schweine_Werte!$I143))</f>
        <v>0</v>
      </c>
      <c r="BK143" s="1713">
        <f>IF(OR($C$48=$AR143,$D$48=$AR143),Schweine_Werte!$I143*0.5,IF(OR($C$48&gt;$AR143,$D$48&lt;$AR143),0,Schweine_Werte!$I143))</f>
        <v>0</v>
      </c>
      <c r="BL143" s="1713">
        <f>IF(OR($C$60=$AR143,$D$60=$AR143),Schweine_Werte!$I143*0.5,IF(OR($C$60&gt;$AR143,$D$60&lt;$AR143),0,Schweine_Werte!$I143))</f>
        <v>0</v>
      </c>
      <c r="BM143" s="1710">
        <f>IF(OR($C$12=$AR143,$D$12=$AR143),Schweine_Werte!$K143*0.5,IF(OR($C$12&gt;$AR143,$D$12&lt;$AR143),0,Schweine_Werte!$K143))</f>
        <v>0</v>
      </c>
      <c r="BN143" s="1713">
        <f>IF(OR($C$24=$AR143,$D$24=$AR143),Schweine_Werte!$K143*0.5,IF(OR($C$24&gt;$AR143,$D$24&lt;$AR143),0,Schweine_Werte!$K143))</f>
        <v>0</v>
      </c>
      <c r="BO143" s="1713">
        <f>IF(OR($C$36=$AR143,$D$36=$AR143),Schweine_Werte!$K143*0.5,IF(OR($C$36&gt;$AR143,$D$36&lt;$AR143),0,Schweine_Werte!$K143))</f>
        <v>0</v>
      </c>
      <c r="BP143" s="1713">
        <f>IF(OR($C$48=$AR143,$D$48=$AR143),Schweine_Werte!$K143*0.5,IF(OR($C$48&gt;$AR143,$D$48&lt;$AR143),0,Schweine_Werte!$K143))</f>
        <v>0</v>
      </c>
      <c r="BQ143" s="1713">
        <f>IF(OR($C$60=$AR143,$D$60=$AR143),Schweine_Werte!$K143*0.5,IF(OR($C$60&gt;$AR143,$D$60&lt;$AR143),0,Schweine_Werte!$K143))</f>
        <v>0</v>
      </c>
      <c r="BR143" s="1710">
        <f>IF(OR($C$74=$AR143,$D$74=$AR143),Schweine_Werte!$M143*0.5,IF(OR($C$74&gt;$AR143,$D$74&lt;$AR143),0,Schweine_Werte!$M143))</f>
        <v>0</v>
      </c>
      <c r="BS143" s="1710">
        <f>IF(OR($C$83=$AR143,$D$83=$AR143),Schweine_Werte!$M143*0.5,IF(OR($C$83&gt;$AR143,$D$83&lt;$AR143),0,Schweine_Werte!$M143))</f>
        <v>0</v>
      </c>
      <c r="BT143" s="1714">
        <f>IF(OR($C$92=$AR143,$D$92=$AR143),Schweine_Werte!$M143*0.5,IF(OR($C$92&gt;$AR143,$D$92&lt;$AR143),0,Schweine_Werte!$M143))</f>
        <v>0</v>
      </c>
      <c r="BU143" s="1714">
        <f>IF(OR($C$101=$AR143,$D$101=$AR143),Schweine_Werte!$M143*0.5,IF(OR($C$101&gt;$AR143,$D$101&lt;$AR143),0,Schweine_Werte!$M143))</f>
        <v>0</v>
      </c>
      <c r="BV143" s="1714">
        <f>IF(OR($C$110=$AR143,$D$110=$AR143),Schweine_Werte!$M143*0.5,IF(OR($C$110&gt;$AR143,$D$110&lt;$AR143),0,Schweine_Werte!$M143))</f>
        <v>0</v>
      </c>
      <c r="BW143" s="1714">
        <f>IF(OR(8=$AR143,$E$127=$AR143),Schweine_Werte!$M143*0.5,IF(OR(8&gt;$AR143,$E$127&lt;$AR143),0,Schweine_Werte!$M143))</f>
        <v>1.4477278921508818</v>
      </c>
      <c r="BX143" s="1714">
        <f>IF(OR(8=$AR143,$E$145=$AR143),Schweine_Werte!$M143*0.5,IF(OR(8&gt;$AR143,$E$145&lt;$AR143),0,Schweine_Werte!$M143))</f>
        <v>1.4477278921508818</v>
      </c>
      <c r="BY143" s="1710">
        <f>IF(OR($C$74=$AR143,$D$74=$AR143),Schweine_Werte!$O143*0.5,IF(OR($C$74&gt;$AR143,$D$74&lt;$AR143),0,Schweine_Werte!$O143))</f>
        <v>0</v>
      </c>
      <c r="BZ143" s="1710">
        <f>IF(OR($C$83=$AR143,$D$83=$AR143),Schweine_Werte!$O143*0.5,IF(OR($C$83&gt;$AR143,$D$83&lt;$AR143),0,Schweine_Werte!$O143))</f>
        <v>0</v>
      </c>
      <c r="CA143" s="1714">
        <f>IF(OR($C$92=$AR143,$D$92=$AR143),Schweine_Werte!$O143*0.5,IF(OR($C$92&gt;$AR143,$D$92&lt;$AR143),0,Schweine_Werte!$O143))</f>
        <v>0</v>
      </c>
      <c r="CB143" s="1714">
        <f>IF(OR($C$101=$AR143,$D$101=$AR143),Schweine_Werte!$O143*0.5,IF(OR($C$101&gt;$AR143,$D$101&lt;$AR143),0,Schweine_Werte!$O143))</f>
        <v>0</v>
      </c>
      <c r="CC143" s="1714">
        <f>IF(OR($C$110=$AR143,$D$110=$AR143),Schweine_Werte!$O143*0.5,IF(OR($C$110&gt;$AR143,$D$110&lt;$AR143),0,Schweine_Werte!$O143))</f>
        <v>0</v>
      </c>
    </row>
    <row r="144" spans="2:81" ht="18.75" x14ac:dyDescent="0.25">
      <c r="B144" s="1736" t="s">
        <v>8594</v>
      </c>
      <c r="C144" s="1737"/>
      <c r="D144" s="1738" t="s">
        <v>8622</v>
      </c>
      <c r="E144" s="1739" t="s">
        <v>8623</v>
      </c>
      <c r="F144" s="1722" t="s">
        <v>195</v>
      </c>
      <c r="G144" s="1723" t="s">
        <v>4</v>
      </c>
      <c r="H144" s="1723" t="s">
        <v>8598</v>
      </c>
      <c r="I144" s="1723" t="s">
        <v>8599</v>
      </c>
      <c r="J144" s="1724" t="s">
        <v>8600</v>
      </c>
      <c r="K144" s="1724" t="s">
        <v>8600</v>
      </c>
      <c r="L144" s="1725" t="s">
        <v>35</v>
      </c>
      <c r="M144" s="1725" t="s">
        <v>8601</v>
      </c>
      <c r="N144" s="1725" t="s">
        <v>37</v>
      </c>
      <c r="O144" s="1726" t="s">
        <v>0</v>
      </c>
      <c r="P144" s="1726" t="s">
        <v>9</v>
      </c>
      <c r="Q144" s="1725" t="s">
        <v>35</v>
      </c>
      <c r="R144" s="1725" t="s">
        <v>36</v>
      </c>
      <c r="S144" s="1725" t="s">
        <v>37</v>
      </c>
      <c r="T144" s="1725" t="s">
        <v>35</v>
      </c>
      <c r="U144" s="1725" t="s">
        <v>36</v>
      </c>
      <c r="V144" s="1725" t="s">
        <v>37</v>
      </c>
      <c r="W144" s="1724" t="s">
        <v>8528</v>
      </c>
      <c r="X144" s="1724" t="s">
        <v>8529</v>
      </c>
      <c r="Y144" s="1724" t="s">
        <v>8530</v>
      </c>
      <c r="AR144" s="1733">
        <v>148</v>
      </c>
      <c r="AS144" s="1710">
        <f>IF(OR($C$12=$AR144,$D$12=$AR144),Schweine_Werte!$C144*0.5,IF(OR($C$12&gt;$AR144,$D$12&lt;$AR144),0,Schweine_Werte!$C144))</f>
        <v>0</v>
      </c>
      <c r="AT144" s="1713">
        <f>IF(OR($C$24=$AR144,$D$24=$AR144),Schweine_Werte!$C144*0.5,IF(OR($C$24&gt;$AR144,$D$24&lt;$AR144),0,Schweine_Werte!$C144))</f>
        <v>0</v>
      </c>
      <c r="AU144" s="1710">
        <f>IF(OR($C$36=$AR144,$D$36=$AR144),Schweine_Werte!$C144*0.5,IF(OR($C$36&gt;$AR144,$D$36&lt;$AR144),0,Schweine_Werte!$C144))</f>
        <v>0</v>
      </c>
      <c r="AV144" s="1710">
        <f>IF(OR($C$48=$AR144,$D$48=$AR144),Schweine_Werte!$C144*0.5,IF(OR($C$48&gt;$AR144,$D$48&lt;$AR144),0,Schweine_Werte!$C144))</f>
        <v>0</v>
      </c>
      <c r="AW144" s="1710">
        <f>IF(OR($C$60=$AR144,$D$60=$AR144),Schweine_Werte!$C144*0.5,IF(OR($C$60&gt;$AR144,$D$60&lt;$AR144),0,Schweine_Werte!$C144))</f>
        <v>0</v>
      </c>
      <c r="AX144" s="1710">
        <f>IF(OR($C$12=$AR144,$D$12=$AR144),Schweine_Werte!$E144*0.5,IF(OR($C$12&gt;$AR144,$D$12&lt;$AR144),0,Schweine_Werte!$E144))</f>
        <v>0</v>
      </c>
      <c r="AY144" s="1713">
        <f>IF(OR($C$24=$AR144,$D$24=$AR144),Schweine_Werte!$E144*0.5,IF(OR($C$24&gt;$AR144,$D$24&lt;$AR144),0,Schweine_Werte!$E144))</f>
        <v>0</v>
      </c>
      <c r="AZ144" s="1713">
        <f>IF(OR($C$36=$AR144,$D$36=$AR144),Schweine_Werte!$E144*0.5,IF(OR($C$36&gt;$AR144,$D$36&lt;$AR144),0,Schweine_Werte!$E144))</f>
        <v>0</v>
      </c>
      <c r="BA144" s="1713">
        <f>IF(OR($C$48=$AR144,$D$48=$AR144),Schweine_Werte!$E144*0.5,IF(OR($C$48&gt;$AR144,$D$48&lt;$AR144),0,Schweine_Werte!$E144))</f>
        <v>0</v>
      </c>
      <c r="BB144" s="1713">
        <f>IF(OR($C$60=$AR144,$D$60=$AR144),Schweine_Werte!$E144*0.5,IF(OR($C$60&gt;$AR144,$D$60&lt;$AR144),0,Schweine_Werte!$E144))</f>
        <v>0</v>
      </c>
      <c r="BC144" s="1710">
        <f>IF(OR($C$12=$AR144,$D$12=$AR144),Schweine_Werte!$G144*0.5,IF(OR($C$12&gt;$AR144,$D$12&lt;$AR144),0,Schweine_Werte!$G144))</f>
        <v>0</v>
      </c>
      <c r="BD144" s="1713">
        <f>IF(OR($C$24=$AR144,$D$24=$AR144),Schweine_Werte!$G144*0.5,IF(OR($C$24&gt;$AR144,$D$24&lt;$AR144),0,Schweine_Werte!$G144))</f>
        <v>0</v>
      </c>
      <c r="BE144" s="1713">
        <f>IF(OR($C$36=$AR144,$D$36=$AR144),Schweine_Werte!$G144*0.5,IF(OR($C$36&gt;$AR144,$D$36&lt;$AR144),0,Schweine_Werte!$G144))</f>
        <v>0</v>
      </c>
      <c r="BF144" s="1713">
        <f>IF(OR($C$48=$AR144,$D$48=$AR144),Schweine_Werte!$G144*0.5,IF(OR($C$48&gt;$AR144,$D$48&lt;$AR144),0,Schweine_Werte!$G144))</f>
        <v>0</v>
      </c>
      <c r="BG144" s="1713">
        <f>IF(OR($C$60=$AR144,$D$60=$AR144),Schweine_Werte!$G144*0.5,IF(OR($C$60&gt;$AR144,$D$60&lt;$AR144),0,Schweine_Werte!$G144))</f>
        <v>0</v>
      </c>
      <c r="BH144" s="1710">
        <f>IF(OR($C$12=$AR144,$D$12=$AR144),Schweine_Werte!$I144*0.5,IF(OR($C$12&gt;$AR144,$D$12&lt;$AR144),0,Schweine_Werte!$I144))</f>
        <v>0</v>
      </c>
      <c r="BI144" s="1713">
        <f>IF(OR($C$24=$AR144,$D$24=$AR144),Schweine_Werte!$I144*0.5,IF(OR($C$24&gt;$AR144,$D$24&lt;$AR144),0,Schweine_Werte!$I144))</f>
        <v>0</v>
      </c>
      <c r="BJ144" s="1713">
        <f>IF(OR($C$36=$AR144,$D$36=$AR144),Schweine_Werte!$I144*0.5,IF(OR($C$36&gt;$AR144,$D$36&lt;$AR144),0,Schweine_Werte!$I144))</f>
        <v>0</v>
      </c>
      <c r="BK144" s="1713">
        <f>IF(OR($C$48=$AR144,$D$48=$AR144),Schweine_Werte!$I144*0.5,IF(OR($C$48&gt;$AR144,$D$48&lt;$AR144),0,Schweine_Werte!$I144))</f>
        <v>0</v>
      </c>
      <c r="BL144" s="1713">
        <f>IF(OR($C$60=$AR144,$D$60=$AR144),Schweine_Werte!$I144*0.5,IF(OR($C$60&gt;$AR144,$D$60&lt;$AR144),0,Schweine_Werte!$I144))</f>
        <v>0</v>
      </c>
      <c r="BM144" s="1710">
        <f>IF(OR($C$12=$AR144,$D$12=$AR144),Schweine_Werte!$K144*0.5,IF(OR($C$12&gt;$AR144,$D$12&lt;$AR144),0,Schweine_Werte!$K144))</f>
        <v>0</v>
      </c>
      <c r="BN144" s="1713">
        <f>IF(OR($C$24=$AR144,$D$24=$AR144),Schweine_Werte!$K144*0.5,IF(OR($C$24&gt;$AR144,$D$24&lt;$AR144),0,Schweine_Werte!$K144))</f>
        <v>0</v>
      </c>
      <c r="BO144" s="1713">
        <f>IF(OR($C$36=$AR144,$D$36=$AR144),Schweine_Werte!$K144*0.5,IF(OR($C$36&gt;$AR144,$D$36&lt;$AR144),0,Schweine_Werte!$K144))</f>
        <v>0</v>
      </c>
      <c r="BP144" s="1713">
        <f>IF(OR($C$48=$AR144,$D$48=$AR144),Schweine_Werte!$K144*0.5,IF(OR($C$48&gt;$AR144,$D$48&lt;$AR144),0,Schweine_Werte!$K144))</f>
        <v>0</v>
      </c>
      <c r="BQ144" s="1713">
        <f>IF(OR($C$60=$AR144,$D$60=$AR144),Schweine_Werte!$K144*0.5,IF(OR($C$60&gt;$AR144,$D$60&lt;$AR144),0,Schweine_Werte!$K144))</f>
        <v>0</v>
      </c>
      <c r="BR144" s="1710">
        <f>IF(OR($C$74=$AR144,$D$74=$AR144),Schweine_Werte!$M144*0.5,IF(OR($C$74&gt;$AR144,$D$74&lt;$AR144),0,Schweine_Werte!$M144))</f>
        <v>0</v>
      </c>
      <c r="BS144" s="1710">
        <f>IF(OR($C$83=$AR144,$D$83=$AR144),Schweine_Werte!$M144*0.5,IF(OR($C$83&gt;$AR144,$D$83&lt;$AR144),0,Schweine_Werte!$M144))</f>
        <v>0</v>
      </c>
      <c r="BT144" s="1714">
        <f>IF(OR($C$92=$AR144,$D$92=$AR144),Schweine_Werte!$M144*0.5,IF(OR($C$92&gt;$AR144,$D$92&lt;$AR144),0,Schweine_Werte!$M144))</f>
        <v>0</v>
      </c>
      <c r="BU144" s="1714">
        <f>IF(OR($C$101=$AR144,$D$101=$AR144),Schweine_Werte!$M144*0.5,IF(OR($C$101&gt;$AR144,$D$101&lt;$AR144),0,Schweine_Werte!$M144))</f>
        <v>0</v>
      </c>
      <c r="BV144" s="1714">
        <f>IF(OR($C$110=$AR144,$D$110=$AR144),Schweine_Werte!$M144*0.5,IF(OR($C$110&gt;$AR144,$D$110&lt;$AR144),0,Schweine_Werte!$M144))</f>
        <v>0</v>
      </c>
      <c r="BW144" s="1714">
        <f>IF(OR(8=$AR144,$E$127=$AR144),Schweine_Werte!$M144*0.5,IF(OR(8&gt;$AR144,$E$127&lt;$AR144),0,Schweine_Werte!$M144))</f>
        <v>1.4477278921508818</v>
      </c>
      <c r="BX144" s="1714">
        <f>IF(OR(8=$AR144,$E$145=$AR144),Schweine_Werte!$M144*0.5,IF(OR(8&gt;$AR144,$E$145&lt;$AR144),0,Schweine_Werte!$M144))</f>
        <v>1.4477278921508818</v>
      </c>
      <c r="BY144" s="1710">
        <f>IF(OR($C$74=$AR144,$D$74=$AR144),Schweine_Werte!$O144*0.5,IF(OR($C$74&gt;$AR144,$D$74&lt;$AR144),0,Schweine_Werte!$O144))</f>
        <v>0</v>
      </c>
      <c r="BZ144" s="1710">
        <f>IF(OR($C$83=$AR144,$D$83=$AR144),Schweine_Werte!$O144*0.5,IF(OR($C$83&gt;$AR144,$D$83&lt;$AR144),0,Schweine_Werte!$O144))</f>
        <v>0</v>
      </c>
      <c r="CA144" s="1714">
        <f>IF(OR($C$92=$AR144,$D$92=$AR144),Schweine_Werte!$O144*0.5,IF(OR($C$92&gt;$AR144,$D$92&lt;$AR144),0,Schweine_Werte!$O144))</f>
        <v>0</v>
      </c>
      <c r="CB144" s="1714">
        <f>IF(OR($C$101=$AR144,$D$101=$AR144),Schweine_Werte!$O144*0.5,IF(OR($C$101&gt;$AR144,$D$101&lt;$AR144),0,Schweine_Werte!$O144))</f>
        <v>0</v>
      </c>
      <c r="CC144" s="1714">
        <f>IF(OR($C$110=$AR144,$D$110=$AR144),Schweine_Werte!$O144*0.5,IF(OR($C$110&gt;$AR144,$D$110&lt;$AR144),0,Schweine_Werte!$O144))</f>
        <v>0</v>
      </c>
    </row>
    <row r="145" spans="1:218" ht="15.75" x14ac:dyDescent="0.25">
      <c r="A145" s="1685" t="s">
        <v>8565</v>
      </c>
      <c r="B145" s="1758" t="str">
        <f>IF('Eigene, abweichende Tierdaten'!AD12=1,'Eigene, abweichende Tierdaten'!F12,"")</f>
        <v/>
      </c>
      <c r="C145" s="1758"/>
      <c r="D145" s="1759" t="str">
        <f>IF('Eigene, abweichende Tierdaten'!AD12=1,'Eigene, abweichende Tierdaten'!J12,"")</f>
        <v/>
      </c>
      <c r="E145" s="1760" t="str">
        <f>IF('Eigene, abweichende Tierdaten'!AD12=1,'Eigene, abweichende Tierdaten'!L12,"")</f>
        <v/>
      </c>
      <c r="F145" s="1740" t="e">
        <f t="shared" ref="F145:K145" si="33">SUM(F137:F138)</f>
        <v>#VALUE!</v>
      </c>
      <c r="G145" s="1740" t="e">
        <f t="shared" si="33"/>
        <v>#VALUE!</v>
      </c>
      <c r="H145" s="1740" t="e">
        <f t="shared" si="33"/>
        <v>#VALUE!</v>
      </c>
      <c r="I145" s="1740" t="e">
        <f t="shared" si="33"/>
        <v>#VALUE!</v>
      </c>
      <c r="J145" s="1740" t="e">
        <f t="shared" si="33"/>
        <v>#VALUE!</v>
      </c>
      <c r="K145" s="1740" t="e">
        <f t="shared" si="33"/>
        <v>#VALUE!</v>
      </c>
      <c r="L145" s="1740" t="e">
        <f>Q145*365/1000+$J145-$K145</f>
        <v>#VALUE!</v>
      </c>
      <c r="M145" s="1740" t="e">
        <f>R145*365/1000+$J145-$K145/2</f>
        <v>#VALUE!</v>
      </c>
      <c r="N145" s="1740" t="e">
        <f>S145*365/1000+$J145</f>
        <v>#VALUE!</v>
      </c>
      <c r="O145" s="1740">
        <v>5.5</v>
      </c>
      <c r="P145" s="1740">
        <v>1.8</v>
      </c>
      <c r="Q145" s="1740" t="e">
        <f>SUM(Q137:Q138)</f>
        <v>#VALUE!</v>
      </c>
      <c r="R145" s="1740" t="e">
        <f>SUM(R137:R138)</f>
        <v>#VALUE!</v>
      </c>
      <c r="S145" s="1740" t="e">
        <f>SUM(S137:S138)</f>
        <v>#VALUE!</v>
      </c>
      <c r="T145" s="1740" t="e">
        <f>Q145/$F145</f>
        <v>#VALUE!</v>
      </c>
      <c r="U145" s="1740" t="e">
        <f>R145/$F145</f>
        <v>#VALUE!</v>
      </c>
      <c r="V145" s="1740" t="e">
        <f>S145/$F145</f>
        <v>#VALUE!</v>
      </c>
      <c r="W145" s="1740" t="e">
        <f>($J145*0.055+Q145*0.365*0.86-$K145*0.018)/L145*100</f>
        <v>#VALUE!</v>
      </c>
      <c r="X145" s="1740" t="e">
        <f>($J145*0.055+R145*0.365*0.86-$K145*0.018/2)/M145*100</f>
        <v>#VALUE!</v>
      </c>
      <c r="Y145" s="1740" t="e">
        <f>($J145*0.055+S145*0.365*0.86)/N145*100</f>
        <v>#VALUE!</v>
      </c>
      <c r="AR145" s="1733">
        <v>149</v>
      </c>
      <c r="AS145" s="1710">
        <f>IF(OR($C$12=$AR145,$D$12=$AR145),Schweine_Werte!$C145*0.5,IF(OR($C$12&gt;$AR145,$D$12&lt;$AR145),0,Schweine_Werte!$C145))</f>
        <v>0</v>
      </c>
      <c r="AT145" s="1713">
        <f>IF(OR($C$24=$AR145,$D$24=$AR145),Schweine_Werte!$C145*0.5,IF(OR($C$24&gt;$AR145,$D$24&lt;$AR145),0,Schweine_Werte!$C145))</f>
        <v>0</v>
      </c>
      <c r="AU145" s="1710">
        <f>IF(OR($C$36=$AR145,$D$36=$AR145),Schweine_Werte!$C145*0.5,IF(OR($C$36&gt;$AR145,$D$36&lt;$AR145),0,Schweine_Werte!$C145))</f>
        <v>0</v>
      </c>
      <c r="AV145" s="1710">
        <f>IF(OR($C$48=$AR145,$D$48=$AR145),Schweine_Werte!$C145*0.5,IF(OR($C$48&gt;$AR145,$D$48&lt;$AR145),0,Schweine_Werte!$C145))</f>
        <v>0</v>
      </c>
      <c r="AW145" s="1710">
        <f>IF(OR($C$60=$AR145,$D$60=$AR145),Schweine_Werte!$C145*0.5,IF(OR($C$60&gt;$AR145,$D$60&lt;$AR145),0,Schweine_Werte!$C145))</f>
        <v>0</v>
      </c>
      <c r="AX145" s="1710">
        <f>IF(OR($C$12=$AR145,$D$12=$AR145),Schweine_Werte!$E145*0.5,IF(OR($C$12&gt;$AR145,$D$12&lt;$AR145),0,Schweine_Werte!$E145))</f>
        <v>0</v>
      </c>
      <c r="AY145" s="1713">
        <f>IF(OR($C$24=$AR145,$D$24=$AR145),Schweine_Werte!$E145*0.5,IF(OR($C$24&gt;$AR145,$D$24&lt;$AR145),0,Schweine_Werte!$E145))</f>
        <v>0</v>
      </c>
      <c r="AZ145" s="1713">
        <f>IF(OR($C$36=$AR145,$D$36=$AR145),Schweine_Werte!$E145*0.5,IF(OR($C$36&gt;$AR145,$D$36&lt;$AR145),0,Schweine_Werte!$E145))</f>
        <v>0</v>
      </c>
      <c r="BA145" s="1713">
        <f>IF(OR($C$48=$AR145,$D$48=$AR145),Schweine_Werte!$E145*0.5,IF(OR($C$48&gt;$AR145,$D$48&lt;$AR145),0,Schweine_Werte!$E145))</f>
        <v>0</v>
      </c>
      <c r="BB145" s="1713">
        <f>IF(OR($C$60=$AR145,$D$60=$AR145),Schweine_Werte!$E145*0.5,IF(OR($C$60&gt;$AR145,$D$60&lt;$AR145),0,Schweine_Werte!$E145))</f>
        <v>0</v>
      </c>
      <c r="BC145" s="1710">
        <f>IF(OR($C$12=$AR145,$D$12=$AR145),Schweine_Werte!$G145*0.5,IF(OR($C$12&gt;$AR145,$D$12&lt;$AR145),0,Schweine_Werte!$G145))</f>
        <v>0</v>
      </c>
      <c r="BD145" s="1713">
        <f>IF(OR($C$24=$AR145,$D$24=$AR145),Schweine_Werte!$G145*0.5,IF(OR($C$24&gt;$AR145,$D$24&lt;$AR145),0,Schweine_Werte!$G145))</f>
        <v>0</v>
      </c>
      <c r="BE145" s="1713">
        <f>IF(OR($C$36=$AR145,$D$36=$AR145),Schweine_Werte!$G145*0.5,IF(OR($C$36&gt;$AR145,$D$36&lt;$AR145),0,Schweine_Werte!$G145))</f>
        <v>0</v>
      </c>
      <c r="BF145" s="1713">
        <f>IF(OR($C$48=$AR145,$D$48=$AR145),Schweine_Werte!$G145*0.5,IF(OR($C$48&gt;$AR145,$D$48&lt;$AR145),0,Schweine_Werte!$G145))</f>
        <v>0</v>
      </c>
      <c r="BG145" s="1713">
        <f>IF(OR($C$60=$AR145,$D$60=$AR145),Schweine_Werte!$G145*0.5,IF(OR($C$60&gt;$AR145,$D$60&lt;$AR145),0,Schweine_Werte!$G145))</f>
        <v>0</v>
      </c>
      <c r="BH145" s="1710">
        <f>IF(OR($C$12=$AR145,$D$12=$AR145),Schweine_Werte!$I145*0.5,IF(OR($C$12&gt;$AR145,$D$12&lt;$AR145),0,Schweine_Werte!$I145))</f>
        <v>0</v>
      </c>
      <c r="BI145" s="1713">
        <f>IF(OR($C$24=$AR145,$D$24=$AR145),Schweine_Werte!$I145*0.5,IF(OR($C$24&gt;$AR145,$D$24&lt;$AR145),0,Schweine_Werte!$I145))</f>
        <v>0</v>
      </c>
      <c r="BJ145" s="1713">
        <f>IF(OR($C$36=$AR145,$D$36=$AR145),Schweine_Werte!$I145*0.5,IF(OR($C$36&gt;$AR145,$D$36&lt;$AR145),0,Schweine_Werte!$I145))</f>
        <v>0</v>
      </c>
      <c r="BK145" s="1713">
        <f>IF(OR($C$48=$AR145,$D$48=$AR145),Schweine_Werte!$I145*0.5,IF(OR($C$48&gt;$AR145,$D$48&lt;$AR145),0,Schweine_Werte!$I145))</f>
        <v>0</v>
      </c>
      <c r="BL145" s="1713">
        <f>IF(OR($C$60=$AR145,$D$60=$AR145),Schweine_Werte!$I145*0.5,IF(OR($C$60&gt;$AR145,$D$60&lt;$AR145),0,Schweine_Werte!$I145))</f>
        <v>0</v>
      </c>
      <c r="BM145" s="1710">
        <f>IF(OR($C$12=$AR145,$D$12=$AR145),Schweine_Werte!$K145*0.5,IF(OR($C$12&gt;$AR145,$D$12&lt;$AR145),0,Schweine_Werte!$K145))</f>
        <v>0</v>
      </c>
      <c r="BN145" s="1713">
        <f>IF(OR($C$24=$AR145,$D$24=$AR145),Schweine_Werte!$K145*0.5,IF(OR($C$24&gt;$AR145,$D$24&lt;$AR145),0,Schweine_Werte!$K145))</f>
        <v>0</v>
      </c>
      <c r="BO145" s="1713">
        <f>IF(OR($C$36=$AR145,$D$36=$AR145),Schweine_Werte!$K145*0.5,IF(OR($C$36&gt;$AR145,$D$36&lt;$AR145),0,Schweine_Werte!$K145))</f>
        <v>0</v>
      </c>
      <c r="BP145" s="1713">
        <f>IF(OR($C$48=$AR145,$D$48=$AR145),Schweine_Werte!$K145*0.5,IF(OR($C$48&gt;$AR145,$D$48&lt;$AR145),0,Schweine_Werte!$K145))</f>
        <v>0</v>
      </c>
      <c r="BQ145" s="1713">
        <f>IF(OR($C$60=$AR145,$D$60=$AR145),Schweine_Werte!$K145*0.5,IF(OR($C$60&gt;$AR145,$D$60&lt;$AR145),0,Schweine_Werte!$K145))</f>
        <v>0</v>
      </c>
      <c r="BR145" s="1710">
        <f>IF(OR($C$74=$AR145,$D$74=$AR145),Schweine_Werte!$M145*0.5,IF(OR($C$74&gt;$AR145,$D$74&lt;$AR145),0,Schweine_Werte!$M145))</f>
        <v>0</v>
      </c>
      <c r="BS145" s="1710">
        <f>IF(OR($C$83=$AR145,$D$83=$AR145),Schweine_Werte!$M145*0.5,IF(OR($C$83&gt;$AR145,$D$83&lt;$AR145),0,Schweine_Werte!$M145))</f>
        <v>0</v>
      </c>
      <c r="BT145" s="1714">
        <f>IF(OR($C$92=$AR145,$D$92=$AR145),Schweine_Werte!$M145*0.5,IF(OR($C$92&gt;$AR145,$D$92&lt;$AR145),0,Schweine_Werte!$M145))</f>
        <v>0</v>
      </c>
      <c r="BU145" s="1714">
        <f>IF(OR($C$101=$AR145,$D$101=$AR145),Schweine_Werte!$M145*0.5,IF(OR($C$101&gt;$AR145,$D$101&lt;$AR145),0,Schweine_Werte!$M145))</f>
        <v>0</v>
      </c>
      <c r="BV145" s="1714">
        <f>IF(OR($C$110=$AR145,$D$110=$AR145),Schweine_Werte!$M145*0.5,IF(OR($C$110&gt;$AR145,$D$110&lt;$AR145),0,Schweine_Werte!$M145))</f>
        <v>0</v>
      </c>
      <c r="BW145" s="1714">
        <f>IF(OR(8=$AR145,$E$127=$AR145),Schweine_Werte!$M145*0.5,IF(OR(8&gt;$AR145,$E$127&lt;$AR145),0,Schweine_Werte!$M145))</f>
        <v>1.4477278921508818</v>
      </c>
      <c r="BX145" s="1714">
        <f>IF(OR(8=$AR145,$E$145=$AR145),Schweine_Werte!$M145*0.5,IF(OR(8&gt;$AR145,$E$145&lt;$AR145),0,Schweine_Werte!$M145))</f>
        <v>1.4477278921508818</v>
      </c>
      <c r="BY145" s="1710">
        <f>IF(OR($C$74=$AR145,$D$74=$AR145),Schweine_Werte!$O145*0.5,IF(OR($C$74&gt;$AR145,$D$74&lt;$AR145),0,Schweine_Werte!$O145))</f>
        <v>0</v>
      </c>
      <c r="BZ145" s="1710">
        <f>IF(OR($C$83=$AR145,$D$83=$AR145),Schweine_Werte!$O145*0.5,IF(OR($C$83&gt;$AR145,$D$83&lt;$AR145),0,Schweine_Werte!$O145))</f>
        <v>0</v>
      </c>
      <c r="CA145" s="1714">
        <f>IF(OR($C$92=$AR145,$D$92=$AR145),Schweine_Werte!$O145*0.5,IF(OR($C$92&gt;$AR145,$D$92&lt;$AR145),0,Schweine_Werte!$O145))</f>
        <v>0</v>
      </c>
      <c r="CB145" s="1714">
        <f>IF(OR($C$101=$AR145,$D$101=$AR145),Schweine_Werte!$O145*0.5,IF(OR($C$101&gt;$AR145,$D$101&lt;$AR145),0,Schweine_Werte!$O145))</f>
        <v>0</v>
      </c>
      <c r="CC145" s="1714">
        <f>IF(OR($C$110=$AR145,$D$110=$AR145),Schweine_Werte!$O145*0.5,IF(OR($C$110&gt;$AR145,$D$110&lt;$AR145),0,Schweine_Werte!$O145))</f>
        <v>0</v>
      </c>
    </row>
    <row r="146" spans="1:218" x14ac:dyDescent="0.25">
      <c r="AR146" s="1733">
        <v>150</v>
      </c>
      <c r="AS146" s="1710">
        <f>IF(OR($C$12=$AR146,$D$12=$AR146),Schweine_Werte!$C146*0.5,IF(OR($C$12&gt;$AR146,$D$12&lt;$AR146),0,Schweine_Werte!$C146))</f>
        <v>0</v>
      </c>
      <c r="AT146" s="1713">
        <f>IF(OR($C$24=$AR146,$D$24=$AR146),Schweine_Werte!$C146*0.5,IF(OR($C$24&gt;$AR146,$D$24&lt;$AR146),0,Schweine_Werte!$C146))</f>
        <v>0</v>
      </c>
      <c r="AU146" s="1710">
        <f>IF(OR($C$36=$AR146,$D$36=$AR146),Schweine_Werte!$C146*0.5,IF(OR($C$36&gt;$AR146,$D$36&lt;$AR146),0,Schweine_Werte!$C146))</f>
        <v>0</v>
      </c>
      <c r="AV146" s="1710">
        <f>IF(OR($C$48=$AR146,$D$48=$AR146),Schweine_Werte!$C146*0.5,IF(OR($C$48&gt;$AR146,$D$48&lt;$AR146),0,Schweine_Werte!$C146))</f>
        <v>0</v>
      </c>
      <c r="AW146" s="1710">
        <f>IF(OR($C$60=$AR146,$D$60=$AR146),Schweine_Werte!$C146*0.5,IF(OR($C$60&gt;$AR146,$D$60&lt;$AR146),0,Schweine_Werte!$C146))</f>
        <v>0</v>
      </c>
      <c r="AX146" s="1710">
        <f>IF(OR($C$12=$AR146,$D$12=$AR146),Schweine_Werte!$E146*0.5,IF(OR($C$12&gt;$AR146,$D$12&lt;$AR146),0,Schweine_Werte!$E146))</f>
        <v>0</v>
      </c>
      <c r="AY146" s="1713">
        <f>IF(OR($C$24=$AR146,$D$24=$AR146),Schweine_Werte!$E146*0.5,IF(OR($C$24&gt;$AR146,$D$24&lt;$AR146),0,Schweine_Werte!$E146))</f>
        <v>0</v>
      </c>
      <c r="AZ146" s="1713">
        <f>IF(OR($C$36=$AR146,$D$36=$AR146),Schweine_Werte!$E146*0.5,IF(OR($C$36&gt;$AR146,$D$36&lt;$AR146),0,Schweine_Werte!$E146))</f>
        <v>0</v>
      </c>
      <c r="BA146" s="1713">
        <f>IF(OR($C$48=$AR146,$D$48=$AR146),Schweine_Werte!$E146*0.5,IF(OR($C$48&gt;$AR146,$D$48&lt;$AR146),0,Schweine_Werte!$E146))</f>
        <v>0</v>
      </c>
      <c r="BB146" s="1713">
        <f>IF(OR($C$60=$AR146,$D$60=$AR146),Schweine_Werte!$E146*0.5,IF(OR($C$60&gt;$AR146,$D$60&lt;$AR146),0,Schweine_Werte!$E146))</f>
        <v>0</v>
      </c>
      <c r="BC146" s="1710">
        <f>IF(OR($C$12=$AR146,$D$12=$AR146),Schweine_Werte!$G146*0.5,IF(OR($C$12&gt;$AR146,$D$12&lt;$AR146),0,Schweine_Werte!$G146))</f>
        <v>0</v>
      </c>
      <c r="BD146" s="1713">
        <f>IF(OR($C$24=$AR146,$D$24=$AR146),Schweine_Werte!$G146*0.5,IF(OR($C$24&gt;$AR146,$D$24&lt;$AR146),0,Schweine_Werte!$G146))</f>
        <v>0</v>
      </c>
      <c r="BE146" s="1713">
        <f>IF(OR($C$36=$AR146,$D$36=$AR146),Schweine_Werte!$G146*0.5,IF(OR($C$36&gt;$AR146,$D$36&lt;$AR146),0,Schweine_Werte!$G146))</f>
        <v>0</v>
      </c>
      <c r="BF146" s="1713">
        <f>IF(OR($C$48=$AR146,$D$48=$AR146),Schweine_Werte!$G146*0.5,IF(OR($C$48&gt;$AR146,$D$48&lt;$AR146),0,Schweine_Werte!$G146))</f>
        <v>0</v>
      </c>
      <c r="BG146" s="1713">
        <f>IF(OR($C$60=$AR146,$D$60=$AR146),Schweine_Werte!$G146*0.5,IF(OR($C$60&gt;$AR146,$D$60&lt;$AR146),0,Schweine_Werte!$G146))</f>
        <v>0</v>
      </c>
      <c r="BH146" s="1710">
        <f>IF(OR($C$12=$AR146,$D$12=$AR146),Schweine_Werte!$I146*0.5,IF(OR($C$12&gt;$AR146,$D$12&lt;$AR146),0,Schweine_Werte!$I146))</f>
        <v>0</v>
      </c>
      <c r="BI146" s="1713">
        <f>IF(OR($C$24=$AR146,$D$24=$AR146),Schweine_Werte!$I146*0.5,IF(OR($C$24&gt;$AR146,$D$24&lt;$AR146),0,Schweine_Werte!$I146))</f>
        <v>0</v>
      </c>
      <c r="BJ146" s="1713">
        <f>IF(OR($C$36=$AR146,$D$36=$AR146),Schweine_Werte!$I146*0.5,IF(OR($C$36&gt;$AR146,$D$36&lt;$AR146),0,Schweine_Werte!$I146))</f>
        <v>0</v>
      </c>
      <c r="BK146" s="1713">
        <f>IF(OR($C$48=$AR146,$D$48=$AR146),Schweine_Werte!$I146*0.5,IF(OR($C$48&gt;$AR146,$D$48&lt;$AR146),0,Schweine_Werte!$I146))</f>
        <v>0</v>
      </c>
      <c r="BL146" s="1713">
        <f>IF(OR($C$60=$AR146,$D$60=$AR146),Schweine_Werte!$I146*0.5,IF(OR($C$60&gt;$AR146,$D$60&lt;$AR146),0,Schweine_Werte!$I146))</f>
        <v>0</v>
      </c>
      <c r="BM146" s="1710">
        <f>IF(OR($C$12=$AR146,$D$12=$AR146),Schweine_Werte!$K146*0.5,IF(OR($C$12&gt;$AR146,$D$12&lt;$AR146),0,Schweine_Werte!$K146))</f>
        <v>0</v>
      </c>
      <c r="BN146" s="1713">
        <f>IF(OR($C$24=$AR146,$D$24=$AR146),Schweine_Werte!$K146*0.5,IF(OR($C$24&gt;$AR146,$D$24&lt;$AR146),0,Schweine_Werte!$K146))</f>
        <v>0</v>
      </c>
      <c r="BO146" s="1713">
        <f>IF(OR($C$36=$AR146,$D$36=$AR146),Schweine_Werte!$K146*0.5,IF(OR($C$36&gt;$AR146,$D$36&lt;$AR146),0,Schweine_Werte!$K146))</f>
        <v>0</v>
      </c>
      <c r="BP146" s="1713">
        <f>IF(OR($C$48=$AR146,$D$48=$AR146),Schweine_Werte!$K146*0.5,IF(OR($C$48&gt;$AR146,$D$48&lt;$AR146),0,Schweine_Werte!$K146))</f>
        <v>0</v>
      </c>
      <c r="BQ146" s="1713">
        <f>IF(OR($C$60=$AR146,$D$60=$AR146),Schweine_Werte!$K146*0.5,IF(OR($C$60&gt;$AR146,$D$60&lt;$AR146),0,Schweine_Werte!$K146))</f>
        <v>0</v>
      </c>
      <c r="BR146" s="1710">
        <f>IF(OR($C$74=$AR146,$D$74=$AR146),Schweine_Werte!$M146*0.5,IF(OR($C$74&gt;$AR146,$D$74&lt;$AR146),0,Schweine_Werte!$M146))</f>
        <v>0</v>
      </c>
      <c r="BS146" s="1710">
        <f>IF(OR($C$83=$AR146,$D$83=$AR146),Schweine_Werte!$M146*0.5,IF(OR($C$83&gt;$AR146,$D$83&lt;$AR146),0,Schweine_Werte!$M146))</f>
        <v>0</v>
      </c>
      <c r="BT146" s="1714">
        <f>IF(OR($C$92=$AR146,$D$92=$AR146),Schweine_Werte!$M146*0.5,IF(OR($C$92&gt;$AR146,$D$92&lt;$AR146),0,Schweine_Werte!$M146))</f>
        <v>0</v>
      </c>
      <c r="BU146" s="1714">
        <f>IF(OR($C$101=$AR146,$D$101=$AR146),Schweine_Werte!$M146*0.5,IF(OR($C$101&gt;$AR146,$D$101&lt;$AR146),0,Schweine_Werte!$M146))</f>
        <v>0</v>
      </c>
      <c r="BV146" s="1714">
        <f>IF(OR($C$110=$AR146,$D$110=$AR146),Schweine_Werte!$M146*0.5,IF(OR($C$110&gt;$AR146,$D$110&lt;$AR146),0,Schweine_Werte!$M146))</f>
        <v>0</v>
      </c>
      <c r="BW146" s="1714">
        <f>IF(OR(8=$AR146,$E$127=$AR146),Schweine_Werte!$M146*0.5,IF(OR(8&gt;$AR146,$E$127&lt;$AR146),0,Schweine_Werte!$M146))</f>
        <v>1.4477278921508818</v>
      </c>
      <c r="BX146" s="1714">
        <f>IF(OR(8=$AR146,$E$145=$AR146),Schweine_Werte!$M146*0.5,IF(OR(8&gt;$AR146,$E$145&lt;$AR146),0,Schweine_Werte!$M146))</f>
        <v>1.4477278921508818</v>
      </c>
      <c r="BY146" s="1710">
        <f>IF(OR($C$74=$AR146,$D$74=$AR146),Schweine_Werte!$O146*0.5,IF(OR($C$74&gt;$AR146,$D$74&lt;$AR146),0,Schweine_Werte!$O146))</f>
        <v>0</v>
      </c>
      <c r="BZ146" s="1710">
        <f>IF(OR($C$83=$AR146,$D$83=$AR146),Schweine_Werte!$O146*0.5,IF(OR($C$83&gt;$AR146,$D$83&lt;$AR146),0,Schweine_Werte!$O146))</f>
        <v>0</v>
      </c>
      <c r="CA146" s="1714">
        <f>IF(OR($C$92=$AR146,$D$92=$AR146),Schweine_Werte!$O146*0.5,IF(OR($C$92&gt;$AR146,$D$92&lt;$AR146),0,Schweine_Werte!$O146))</f>
        <v>0</v>
      </c>
      <c r="CB146" s="1714">
        <f>IF(OR($C$101=$AR146,$D$101=$AR146),Schweine_Werte!$O146*0.5,IF(OR($C$101&gt;$AR146,$D$101&lt;$AR146),0,Schweine_Werte!$O146))</f>
        <v>0</v>
      </c>
      <c r="CC146" s="1714">
        <f>IF(OR($C$110=$AR146,$D$110=$AR146),Schweine_Werte!$O146*0.5,IF(OR($C$110&gt;$AR146,$D$110&lt;$AR146),0,Schweine_Werte!$O146))</f>
        <v>0</v>
      </c>
    </row>
    <row r="147" spans="1:218" x14ac:dyDescent="0.25">
      <c r="AS147" s="1710"/>
      <c r="AT147" s="1710"/>
      <c r="AU147" s="1710"/>
      <c r="AV147" s="1710"/>
      <c r="AW147" s="1710"/>
      <c r="CN147" s="1710"/>
      <c r="CO147" s="1710"/>
      <c r="CP147" s="1710"/>
      <c r="CQ147" s="1710"/>
      <c r="CR147" s="1710"/>
      <c r="CS147" s="1710"/>
      <c r="CT147" s="1710"/>
      <c r="CU147" s="1710"/>
      <c r="CV147" s="1710"/>
      <c r="CW147" s="1710"/>
      <c r="CX147" s="1710"/>
      <c r="CY147" s="1710"/>
      <c r="CZ147" s="1710"/>
      <c r="DA147" s="1710"/>
      <c r="DB147" s="1710"/>
      <c r="DC147" s="1710"/>
      <c r="DD147" s="1710"/>
      <c r="DE147" s="1710"/>
      <c r="DF147" s="1710"/>
      <c r="DG147" s="1710"/>
      <c r="DH147" s="1710"/>
      <c r="DI147" s="1710"/>
      <c r="DJ147" s="1710"/>
      <c r="DK147" s="1710"/>
      <c r="DL147" s="1710"/>
      <c r="DM147" s="1710"/>
      <c r="DN147" s="1710"/>
      <c r="DO147" s="1710"/>
      <c r="DP147" s="1710"/>
      <c r="DQ147" s="1710"/>
      <c r="DR147" s="1710"/>
      <c r="DS147" s="1710"/>
      <c r="DT147" s="1710"/>
      <c r="DU147" s="1710"/>
      <c r="DV147" s="1710"/>
      <c r="DW147" s="1710"/>
      <c r="DX147" s="1710"/>
      <c r="DY147" s="1710"/>
      <c r="DZ147" s="1710"/>
      <c r="EA147" s="1710"/>
      <c r="EB147" s="1710"/>
      <c r="EC147" s="1710"/>
      <c r="ED147" s="1710"/>
      <c r="EE147" s="1710"/>
      <c r="EF147" s="1710"/>
      <c r="EG147" s="1710"/>
      <c r="EH147" s="1710"/>
      <c r="EI147" s="1710"/>
      <c r="EJ147" s="1710"/>
      <c r="EK147" s="1710"/>
      <c r="EL147" s="1710"/>
      <c r="EM147" s="1710"/>
      <c r="EN147" s="1710"/>
      <c r="EO147" s="1710"/>
      <c r="EP147" s="1710"/>
      <c r="EQ147" s="1710"/>
      <c r="ER147" s="1710"/>
      <c r="ES147" s="1710"/>
      <c r="ET147" s="1710"/>
      <c r="EU147" s="1710"/>
      <c r="EV147" s="1710"/>
      <c r="EW147" s="1710"/>
      <c r="EX147" s="1710"/>
      <c r="EY147" s="1710"/>
      <c r="EZ147" s="1710"/>
      <c r="FA147" s="1710"/>
      <c r="FB147" s="1710"/>
      <c r="FC147" s="1710"/>
      <c r="FD147" s="1710"/>
      <c r="FE147" s="1710"/>
      <c r="FF147" s="1710"/>
      <c r="FG147" s="1710"/>
      <c r="FH147" s="1710"/>
      <c r="FI147" s="1710"/>
      <c r="FJ147" s="1710"/>
      <c r="FK147" s="1710"/>
      <c r="FL147" s="1710"/>
      <c r="FM147" s="1710"/>
      <c r="FN147" s="1710"/>
      <c r="FO147" s="1710"/>
      <c r="FP147" s="1710"/>
      <c r="FQ147" s="1710"/>
      <c r="FR147" s="1710"/>
      <c r="FS147" s="1710"/>
      <c r="FT147" s="1710"/>
      <c r="FU147" s="1710"/>
      <c r="FV147" s="1710"/>
      <c r="FW147" s="1710"/>
      <c r="FX147" s="1710"/>
      <c r="FY147" s="1710"/>
      <c r="FZ147" s="1710"/>
      <c r="GA147" s="1710"/>
      <c r="GB147" s="1710"/>
      <c r="GC147" s="1710"/>
      <c r="GD147" s="1710"/>
      <c r="GE147" s="1710"/>
      <c r="GF147" s="1710"/>
      <c r="GG147" s="1710"/>
      <c r="GH147" s="1710"/>
      <c r="GI147" s="1710"/>
      <c r="GJ147" s="1710"/>
      <c r="GK147" s="1710"/>
      <c r="GL147" s="1710"/>
      <c r="GM147" s="1710"/>
      <c r="GN147" s="1710"/>
      <c r="GO147" s="1710"/>
      <c r="GP147" s="1710"/>
      <c r="GQ147" s="1710"/>
      <c r="GR147" s="1710"/>
      <c r="GS147" s="1710"/>
      <c r="GT147" s="1710"/>
      <c r="GU147" s="1710"/>
      <c r="GV147" s="1710"/>
      <c r="GW147" s="1710"/>
      <c r="GX147" s="1710"/>
      <c r="GY147" s="1710"/>
      <c r="GZ147" s="1710"/>
      <c r="HA147" s="1710"/>
      <c r="HB147" s="1710"/>
      <c r="HC147" s="1710"/>
      <c r="HD147" s="1710"/>
      <c r="HE147" s="1710"/>
      <c r="HF147" s="1710"/>
      <c r="HG147" s="1710"/>
      <c r="HH147" s="1710"/>
      <c r="HI147" s="1710"/>
      <c r="HJ147" s="1710"/>
    </row>
    <row r="148" spans="1:218" x14ac:dyDescent="0.25">
      <c r="AS148" s="1710"/>
      <c r="AT148" s="1710"/>
      <c r="AU148" s="1710"/>
      <c r="AV148" s="1710"/>
      <c r="AW148" s="1710"/>
      <c r="CN148" s="1710"/>
      <c r="CO148" s="1710"/>
      <c r="CP148" s="1710"/>
      <c r="CQ148" s="1710"/>
      <c r="CR148" s="1710"/>
      <c r="CS148" s="1710"/>
      <c r="CT148" s="1710"/>
      <c r="CU148" s="1710"/>
      <c r="CV148" s="1710"/>
      <c r="CW148" s="1710"/>
      <c r="CX148" s="1710"/>
      <c r="CY148" s="1710"/>
      <c r="CZ148" s="1710"/>
      <c r="DA148" s="1710"/>
      <c r="DB148" s="1710"/>
      <c r="DC148" s="1710"/>
      <c r="DD148" s="1710"/>
      <c r="DE148" s="1710"/>
      <c r="DF148" s="1710"/>
      <c r="DG148" s="1710"/>
      <c r="DH148" s="1710"/>
      <c r="DI148" s="1710"/>
      <c r="DJ148" s="1710"/>
      <c r="DK148" s="1710"/>
      <c r="DL148" s="1710"/>
      <c r="DM148" s="1710"/>
      <c r="DN148" s="1710"/>
      <c r="DO148" s="1710"/>
      <c r="DP148" s="1710"/>
      <c r="DQ148" s="1710"/>
      <c r="DR148" s="1710"/>
      <c r="DS148" s="1710"/>
      <c r="DT148" s="1710"/>
      <c r="DU148" s="1710"/>
      <c r="DV148" s="1710"/>
      <c r="DW148" s="1710"/>
      <c r="DX148" s="1710"/>
      <c r="DY148" s="1710"/>
      <c r="DZ148" s="1710"/>
      <c r="EA148" s="1710"/>
      <c r="EB148" s="1710"/>
      <c r="EC148" s="1710"/>
      <c r="ED148" s="1710"/>
      <c r="EE148" s="1710"/>
      <c r="EF148" s="1710"/>
      <c r="EG148" s="1710"/>
      <c r="EH148" s="1710"/>
      <c r="EI148" s="1710"/>
      <c r="EJ148" s="1710"/>
      <c r="EK148" s="1710"/>
      <c r="EL148" s="1710"/>
      <c r="EM148" s="1710"/>
      <c r="EN148" s="1710"/>
      <c r="EO148" s="1710"/>
      <c r="EP148" s="1710"/>
      <c r="EQ148" s="1710"/>
      <c r="ER148" s="1710"/>
      <c r="ES148" s="1710"/>
      <c r="ET148" s="1710"/>
      <c r="EU148" s="1710"/>
      <c r="EV148" s="1710"/>
      <c r="EW148" s="1710"/>
      <c r="EX148" s="1710"/>
      <c r="EY148" s="1710"/>
      <c r="EZ148" s="1710"/>
      <c r="FA148" s="1710"/>
      <c r="FB148" s="1710"/>
      <c r="FC148" s="1710"/>
      <c r="FD148" s="1710"/>
      <c r="FE148" s="1710"/>
      <c r="FF148" s="1710"/>
      <c r="FG148" s="1710"/>
      <c r="FH148" s="1710"/>
      <c r="FI148" s="1710"/>
      <c r="FJ148" s="1710"/>
      <c r="FK148" s="1710"/>
      <c r="FL148" s="1710"/>
      <c r="FM148" s="1710"/>
      <c r="FN148" s="1710"/>
      <c r="FO148" s="1710"/>
      <c r="FP148" s="1710"/>
      <c r="FQ148" s="1710"/>
      <c r="FR148" s="1710"/>
      <c r="FS148" s="1710"/>
      <c r="FT148" s="1710"/>
      <c r="FU148" s="1710"/>
      <c r="FV148" s="1710"/>
      <c r="FW148" s="1710"/>
      <c r="FX148" s="1710"/>
      <c r="FY148" s="1710"/>
      <c r="FZ148" s="1710"/>
      <c r="GA148" s="1710"/>
      <c r="GB148" s="1710"/>
      <c r="GC148" s="1710"/>
      <c r="GD148" s="1710"/>
      <c r="GE148" s="1710"/>
      <c r="GF148" s="1710"/>
      <c r="GG148" s="1710"/>
      <c r="GH148" s="1710"/>
      <c r="GI148" s="1710"/>
      <c r="GJ148" s="1710"/>
      <c r="GK148" s="1710"/>
      <c r="GL148" s="1710"/>
      <c r="GM148" s="1710"/>
      <c r="GN148" s="1710"/>
      <c r="GO148" s="1710"/>
      <c r="GP148" s="1710"/>
      <c r="GQ148" s="1710"/>
      <c r="GR148" s="1710"/>
      <c r="GS148" s="1710"/>
      <c r="GT148" s="1710"/>
      <c r="GU148" s="1710"/>
      <c r="GV148" s="1710"/>
      <c r="GW148" s="1710"/>
      <c r="GX148" s="1710"/>
      <c r="GY148" s="1710"/>
      <c r="GZ148" s="1710"/>
      <c r="HA148" s="1710"/>
      <c r="HB148" s="1710"/>
      <c r="HC148" s="1710"/>
      <c r="HD148" s="1710"/>
      <c r="HE148" s="1710"/>
      <c r="HF148" s="1710"/>
      <c r="HG148" s="1710"/>
      <c r="HH148" s="1710"/>
      <c r="HI148" s="1710"/>
      <c r="HJ148" s="1710"/>
    </row>
    <row r="149" spans="1:218" x14ac:dyDescent="0.25">
      <c r="CN149" s="1710"/>
      <c r="CO149" s="1710"/>
      <c r="CP149" s="1710"/>
      <c r="CQ149" s="1710"/>
      <c r="CR149" s="1710"/>
      <c r="CS149" s="1710"/>
      <c r="CT149" s="1710"/>
      <c r="CU149" s="1710"/>
      <c r="CV149" s="1710"/>
      <c r="CW149" s="1710"/>
      <c r="CX149" s="1710"/>
      <c r="CY149" s="1710"/>
      <c r="CZ149" s="1710"/>
      <c r="DA149" s="1710"/>
      <c r="DB149" s="1710"/>
      <c r="DC149" s="1710"/>
      <c r="DD149" s="1710"/>
      <c r="DE149" s="1710"/>
      <c r="DF149" s="1710"/>
      <c r="DG149" s="1710"/>
      <c r="DH149" s="1710"/>
      <c r="DI149" s="1710"/>
      <c r="DJ149" s="1710"/>
      <c r="DK149" s="1710"/>
      <c r="DL149" s="1710"/>
      <c r="DM149" s="1710"/>
      <c r="DN149" s="1710"/>
      <c r="DO149" s="1710"/>
      <c r="DP149" s="1710"/>
      <c r="DQ149" s="1710"/>
      <c r="DR149" s="1710"/>
      <c r="DS149" s="1710"/>
      <c r="DT149" s="1710"/>
      <c r="DU149" s="1710"/>
      <c r="DV149" s="1710"/>
      <c r="DW149" s="1710"/>
      <c r="DX149" s="1710"/>
      <c r="DY149" s="1710"/>
      <c r="DZ149" s="1710"/>
      <c r="EA149" s="1710"/>
      <c r="EB149" s="1710"/>
      <c r="EC149" s="1710"/>
      <c r="ED149" s="1710"/>
      <c r="EE149" s="1710"/>
      <c r="EF149" s="1710"/>
      <c r="EG149" s="1710"/>
      <c r="EH149" s="1710"/>
      <c r="EI149" s="1710"/>
      <c r="EJ149" s="1710"/>
      <c r="EK149" s="1710"/>
      <c r="EL149" s="1710"/>
      <c r="EM149" s="1710"/>
      <c r="EN149" s="1710"/>
      <c r="EO149" s="1710"/>
      <c r="EP149" s="1710"/>
      <c r="EQ149" s="1710"/>
      <c r="ER149" s="1710"/>
      <c r="ES149" s="1710"/>
      <c r="ET149" s="1710"/>
      <c r="EU149" s="1710"/>
      <c r="EV149" s="1710"/>
      <c r="EW149" s="1710"/>
      <c r="EX149" s="1710"/>
      <c r="EY149" s="1710"/>
      <c r="EZ149" s="1710"/>
      <c r="FA149" s="1710"/>
      <c r="FB149" s="1710"/>
      <c r="FC149" s="1710"/>
      <c r="FD149" s="1710"/>
      <c r="FE149" s="1710"/>
      <c r="FF149" s="1710"/>
      <c r="FG149" s="1710"/>
      <c r="FH149" s="1710"/>
      <c r="FI149" s="1710"/>
      <c r="FJ149" s="1710"/>
      <c r="FK149" s="1710"/>
      <c r="FL149" s="1710"/>
      <c r="FM149" s="1710"/>
      <c r="FN149" s="1710"/>
      <c r="FO149" s="1710"/>
      <c r="FP149" s="1710"/>
      <c r="FQ149" s="1710"/>
      <c r="FR149" s="1710"/>
      <c r="FS149" s="1710"/>
      <c r="FT149" s="1710"/>
      <c r="FU149" s="1710"/>
      <c r="FV149" s="1710"/>
      <c r="FW149" s="1710"/>
      <c r="FX149" s="1710"/>
      <c r="FY149" s="1710"/>
      <c r="FZ149" s="1710"/>
      <c r="GA149" s="1710"/>
      <c r="GB149" s="1710"/>
      <c r="GC149" s="1710"/>
      <c r="GD149" s="1710"/>
      <c r="GE149" s="1710"/>
      <c r="GF149" s="1710"/>
      <c r="GG149" s="1710"/>
      <c r="GH149" s="1710"/>
      <c r="GI149" s="1710"/>
      <c r="GJ149" s="1710"/>
      <c r="GK149" s="1710"/>
      <c r="GL149" s="1710"/>
      <c r="GM149" s="1710"/>
      <c r="GN149" s="1710"/>
      <c r="GO149" s="1710"/>
      <c r="GP149" s="1710"/>
      <c r="GQ149" s="1710"/>
      <c r="GR149" s="1710"/>
      <c r="GS149" s="1710"/>
      <c r="GT149" s="1710"/>
      <c r="GU149" s="1710"/>
      <c r="GV149" s="1710"/>
      <c r="GW149" s="1710"/>
      <c r="GX149" s="1710"/>
      <c r="GY149" s="1710"/>
      <c r="GZ149" s="1710"/>
      <c r="HA149" s="1710"/>
      <c r="HB149" s="1710"/>
      <c r="HC149" s="1710"/>
      <c r="HD149" s="1710"/>
      <c r="HE149" s="1710"/>
      <c r="HF149" s="1710"/>
      <c r="HG149" s="1710"/>
      <c r="HH149" s="1710"/>
      <c r="HI149" s="1710"/>
      <c r="HJ149" s="1710"/>
    </row>
    <row r="150" spans="1:218" x14ac:dyDescent="0.25">
      <c r="CN150" s="1710"/>
      <c r="CO150" s="1710"/>
      <c r="CP150" s="1710"/>
      <c r="CQ150" s="1710"/>
      <c r="CR150" s="1710"/>
      <c r="CS150" s="1710"/>
      <c r="CT150" s="1710"/>
      <c r="CU150" s="1710"/>
      <c r="CV150" s="1710"/>
      <c r="CW150" s="1710"/>
      <c r="CX150" s="1710"/>
      <c r="CY150" s="1710"/>
      <c r="CZ150" s="1710"/>
      <c r="DA150" s="1710"/>
      <c r="DB150" s="1710"/>
      <c r="DC150" s="1710"/>
      <c r="DD150" s="1710"/>
      <c r="DE150" s="1710"/>
      <c r="DF150" s="1710"/>
      <c r="DG150" s="1710"/>
      <c r="DH150" s="1710"/>
      <c r="DI150" s="1710"/>
      <c r="DJ150" s="1710"/>
      <c r="DK150" s="1710"/>
      <c r="DL150" s="1710"/>
      <c r="DM150" s="1710"/>
      <c r="DN150" s="1710"/>
      <c r="DO150" s="1710"/>
      <c r="DP150" s="1710"/>
      <c r="DQ150" s="1710"/>
      <c r="DR150" s="1710"/>
      <c r="DS150" s="1710"/>
      <c r="DT150" s="1710"/>
      <c r="DU150" s="1710"/>
      <c r="DV150" s="1710"/>
      <c r="DW150" s="1710"/>
      <c r="DX150" s="1710"/>
      <c r="DY150" s="1710"/>
      <c r="DZ150" s="1710"/>
      <c r="EA150" s="1710"/>
      <c r="EB150" s="1710"/>
      <c r="EC150" s="1710"/>
      <c r="ED150" s="1710"/>
      <c r="EE150" s="1710"/>
      <c r="EF150" s="1710"/>
      <c r="EG150" s="1710"/>
      <c r="EH150" s="1710"/>
      <c r="EI150" s="1710"/>
      <c r="EJ150" s="1710"/>
      <c r="EK150" s="1710"/>
      <c r="EL150" s="1710"/>
      <c r="EM150" s="1710"/>
      <c r="EN150" s="1710"/>
      <c r="EO150" s="1710"/>
      <c r="EP150" s="1710"/>
      <c r="EQ150" s="1710"/>
      <c r="ER150" s="1710"/>
      <c r="ES150" s="1710"/>
      <c r="ET150" s="1710"/>
      <c r="EU150" s="1710"/>
      <c r="EV150" s="1710"/>
      <c r="EW150" s="1710"/>
      <c r="EX150" s="1710"/>
      <c r="EY150" s="1710"/>
      <c r="EZ150" s="1710"/>
      <c r="FA150" s="1710"/>
      <c r="FB150" s="1710"/>
      <c r="FC150" s="1710"/>
      <c r="FD150" s="1710"/>
      <c r="FE150" s="1710"/>
      <c r="FF150" s="1710"/>
      <c r="FG150" s="1710"/>
      <c r="FH150" s="1710"/>
      <c r="FI150" s="1710"/>
      <c r="FJ150" s="1710"/>
      <c r="FK150" s="1710"/>
      <c r="FL150" s="1710"/>
      <c r="FM150" s="1710"/>
      <c r="FN150" s="1710"/>
      <c r="FO150" s="1710"/>
      <c r="FP150" s="1710"/>
      <c r="FQ150" s="1710"/>
      <c r="FR150" s="1710"/>
      <c r="FS150" s="1710"/>
      <c r="FT150" s="1710"/>
      <c r="FU150" s="1710"/>
      <c r="FV150" s="1710"/>
      <c r="FW150" s="1710"/>
      <c r="FX150" s="1710"/>
      <c r="FY150" s="1710"/>
      <c r="FZ150" s="1710"/>
      <c r="GA150" s="1710"/>
      <c r="GB150" s="1710"/>
      <c r="GC150" s="1710"/>
      <c r="GD150" s="1710"/>
      <c r="GE150" s="1710"/>
      <c r="GF150" s="1710"/>
      <c r="GG150" s="1710"/>
      <c r="GH150" s="1710"/>
      <c r="GI150" s="1710"/>
      <c r="GJ150" s="1710"/>
      <c r="GK150" s="1710"/>
      <c r="GL150" s="1710"/>
      <c r="GM150" s="1710"/>
      <c r="GN150" s="1710"/>
      <c r="GO150" s="1710"/>
      <c r="GP150" s="1710"/>
      <c r="GQ150" s="1710"/>
      <c r="GR150" s="1710"/>
      <c r="GS150" s="1710"/>
      <c r="GT150" s="1710"/>
      <c r="GU150" s="1710"/>
      <c r="GV150" s="1710"/>
      <c r="GW150" s="1710"/>
      <c r="GX150" s="1710"/>
      <c r="GY150" s="1710"/>
      <c r="GZ150" s="1710"/>
      <c r="HA150" s="1710"/>
      <c r="HB150" s="1710"/>
      <c r="HC150" s="1710"/>
      <c r="HD150" s="1710"/>
      <c r="HE150" s="1710"/>
      <c r="HF150" s="1710"/>
      <c r="HG150" s="1710"/>
      <c r="HH150" s="1710"/>
      <c r="HI150" s="1710"/>
      <c r="HJ150" s="1710"/>
    </row>
  </sheetData>
  <mergeCells count="179">
    <mergeCell ref="W143:Y143"/>
    <mergeCell ref="C129:C133"/>
    <mergeCell ref="G143:I143"/>
    <mergeCell ref="L143:N143"/>
    <mergeCell ref="O143:P143"/>
    <mergeCell ref="Q143:S143"/>
    <mergeCell ref="T143:V143"/>
    <mergeCell ref="AL108:AM108"/>
    <mergeCell ref="AN108:AO108"/>
    <mergeCell ref="B117:G117"/>
    <mergeCell ref="G125:I125"/>
    <mergeCell ref="L125:N125"/>
    <mergeCell ref="O125:P125"/>
    <mergeCell ref="Q125:S125"/>
    <mergeCell ref="T125:V125"/>
    <mergeCell ref="W125:Y125"/>
    <mergeCell ref="W108:Y108"/>
    <mergeCell ref="Z108:AA108"/>
    <mergeCell ref="AB108:AC108"/>
    <mergeCell ref="AD108:AE108"/>
    <mergeCell ref="AG108:AH108"/>
    <mergeCell ref="AJ108:AK108"/>
    <mergeCell ref="Q104:S104"/>
    <mergeCell ref="T104:V104"/>
    <mergeCell ref="G108:I108"/>
    <mergeCell ref="L108:N108"/>
    <mergeCell ref="O108:P108"/>
    <mergeCell ref="Q108:S108"/>
    <mergeCell ref="T108:V108"/>
    <mergeCell ref="AB99:AC99"/>
    <mergeCell ref="AD99:AE99"/>
    <mergeCell ref="AG99:AH99"/>
    <mergeCell ref="AJ99:AK99"/>
    <mergeCell ref="AL99:AM99"/>
    <mergeCell ref="AN99:AO99"/>
    <mergeCell ref="AN90:AO90"/>
    <mergeCell ref="Q95:S95"/>
    <mergeCell ref="T95:V95"/>
    <mergeCell ref="G99:I99"/>
    <mergeCell ref="L99:N99"/>
    <mergeCell ref="O99:P99"/>
    <mergeCell ref="Q99:S99"/>
    <mergeCell ref="T99:V99"/>
    <mergeCell ref="W99:Y99"/>
    <mergeCell ref="Z99:AA99"/>
    <mergeCell ref="Z90:AA90"/>
    <mergeCell ref="AB90:AC90"/>
    <mergeCell ref="AD90:AE90"/>
    <mergeCell ref="AG90:AH90"/>
    <mergeCell ref="AJ90:AK90"/>
    <mergeCell ref="AL90:AM90"/>
    <mergeCell ref="AL81:AM81"/>
    <mergeCell ref="AN81:AO81"/>
    <mergeCell ref="Q86:S86"/>
    <mergeCell ref="T86:V86"/>
    <mergeCell ref="G90:I90"/>
    <mergeCell ref="L90:N90"/>
    <mergeCell ref="O90:P90"/>
    <mergeCell ref="Q90:S90"/>
    <mergeCell ref="T90:V90"/>
    <mergeCell ref="W90:Y90"/>
    <mergeCell ref="W81:Y81"/>
    <mergeCell ref="Z81:AA81"/>
    <mergeCell ref="AB81:AC81"/>
    <mergeCell ref="AD81:AE81"/>
    <mergeCell ref="AG81:AH81"/>
    <mergeCell ref="AJ81:AK81"/>
    <mergeCell ref="C75:D75"/>
    <mergeCell ref="Q77:S77"/>
    <mergeCell ref="T77:V77"/>
    <mergeCell ref="G81:I81"/>
    <mergeCell ref="L81:N81"/>
    <mergeCell ref="O81:P81"/>
    <mergeCell ref="Q81:S81"/>
    <mergeCell ref="T81:V81"/>
    <mergeCell ref="AB72:AC72"/>
    <mergeCell ref="AD72:AE72"/>
    <mergeCell ref="AG72:AH72"/>
    <mergeCell ref="AJ72:AK72"/>
    <mergeCell ref="AL72:AM72"/>
    <mergeCell ref="AN72:AO72"/>
    <mergeCell ref="AN58:AO58"/>
    <mergeCell ref="Q68:S68"/>
    <mergeCell ref="T68:V68"/>
    <mergeCell ref="G72:I72"/>
    <mergeCell ref="L72:N72"/>
    <mergeCell ref="O72:P72"/>
    <mergeCell ref="Q72:S72"/>
    <mergeCell ref="T72:V72"/>
    <mergeCell ref="W72:Y72"/>
    <mergeCell ref="Z72:AA72"/>
    <mergeCell ref="Z58:AA58"/>
    <mergeCell ref="AB58:AC58"/>
    <mergeCell ref="AD58:AE58"/>
    <mergeCell ref="AG58:AH58"/>
    <mergeCell ref="AJ58:AK58"/>
    <mergeCell ref="AL58:AM58"/>
    <mergeCell ref="W50:Y50"/>
    <mergeCell ref="Q51:S51"/>
    <mergeCell ref="T51:V51"/>
    <mergeCell ref="G58:I58"/>
    <mergeCell ref="L58:N58"/>
    <mergeCell ref="O58:P58"/>
    <mergeCell ref="Q58:S58"/>
    <mergeCell ref="T58:V58"/>
    <mergeCell ref="W58:Y58"/>
    <mergeCell ref="AN34:AO34"/>
    <mergeCell ref="W38:Y38"/>
    <mergeCell ref="Q39:S39"/>
    <mergeCell ref="T39:V39"/>
    <mergeCell ref="G46:I46"/>
    <mergeCell ref="L46:N46"/>
    <mergeCell ref="O46:P46"/>
    <mergeCell ref="Q46:S46"/>
    <mergeCell ref="T46:V46"/>
    <mergeCell ref="W46:Y46"/>
    <mergeCell ref="Z34:AA34"/>
    <mergeCell ref="AB34:AC34"/>
    <mergeCell ref="AD34:AE34"/>
    <mergeCell ref="AG34:AH34"/>
    <mergeCell ref="AJ34:AK34"/>
    <mergeCell ref="AL34:AM34"/>
    <mergeCell ref="AN46:AO46"/>
    <mergeCell ref="Z46:AA46"/>
    <mergeCell ref="AB46:AC46"/>
    <mergeCell ref="AD46:AE46"/>
    <mergeCell ref="AG46:AH46"/>
    <mergeCell ref="AJ46:AK46"/>
    <mergeCell ref="AL46:AM46"/>
    <mergeCell ref="W26:Y26"/>
    <mergeCell ref="Q27:S27"/>
    <mergeCell ref="T27:V27"/>
    <mergeCell ref="G34:I34"/>
    <mergeCell ref="L34:N34"/>
    <mergeCell ref="O34:P34"/>
    <mergeCell ref="Q34:S34"/>
    <mergeCell ref="T34:V34"/>
    <mergeCell ref="W34:Y34"/>
    <mergeCell ref="BY2:CC2"/>
    <mergeCell ref="Q3:S3"/>
    <mergeCell ref="T3:V3"/>
    <mergeCell ref="C13:D13"/>
    <mergeCell ref="W14:Y14"/>
    <mergeCell ref="Q15:S15"/>
    <mergeCell ref="T15:V15"/>
    <mergeCell ref="G22:I22"/>
    <mergeCell ref="L22:N22"/>
    <mergeCell ref="O22:P22"/>
    <mergeCell ref="Q22:S22"/>
    <mergeCell ref="T22:V22"/>
    <mergeCell ref="W22:Y22"/>
    <mergeCell ref="AN22:AO22"/>
    <mergeCell ref="Z22:AA22"/>
    <mergeCell ref="AB22:AC22"/>
    <mergeCell ref="AD22:AE22"/>
    <mergeCell ref="AG22:AH22"/>
    <mergeCell ref="AJ22:AK22"/>
    <mergeCell ref="AL22:AM22"/>
    <mergeCell ref="G10:I10"/>
    <mergeCell ref="L10:N10"/>
    <mergeCell ref="O10:P10"/>
    <mergeCell ref="Q10:S10"/>
    <mergeCell ref="T10:V10"/>
    <mergeCell ref="W10:Y10"/>
    <mergeCell ref="Z10:AA10"/>
    <mergeCell ref="AS1:BX1"/>
    <mergeCell ref="W2:Y2"/>
    <mergeCell ref="AS2:AW2"/>
    <mergeCell ref="AX2:BB2"/>
    <mergeCell ref="BC2:BG2"/>
    <mergeCell ref="BH2:BL2"/>
    <mergeCell ref="BM2:BQ2"/>
    <mergeCell ref="BR2:BX2"/>
    <mergeCell ref="AB10:AC10"/>
    <mergeCell ref="AD10:AE10"/>
    <mergeCell ref="AG10:AH10"/>
    <mergeCell ref="AJ10:AK10"/>
    <mergeCell ref="AL10:AM10"/>
    <mergeCell ref="AN10:AO10"/>
  </mergeCells>
  <conditionalFormatting sqref="F129:Y133">
    <cfRule type="expression" dxfId="0" priority="1">
      <formula>AND(#REF!=$C129,$C$11=28)</formula>
    </cfRule>
  </conditionalFormatting>
  <pageMargins left="0.7" right="0.7" top="0.78740157499999996" bottom="0.78740157499999996" header="0.3" footer="0.3"/>
  <pageSetup paperSize="9" orientation="portrait" horizontalDpi="300"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R146"/>
  <sheetViews>
    <sheetView workbookViewId="0"/>
  </sheetViews>
  <sheetFormatPr baseColWidth="10" defaultRowHeight="12.75" x14ac:dyDescent="0.2"/>
  <sheetData>
    <row r="1" spans="1:252" x14ac:dyDescent="0.2">
      <c r="A1" t="s">
        <v>8625</v>
      </c>
      <c r="B1" t="s">
        <v>8490</v>
      </c>
      <c r="Q1" t="s">
        <v>8491</v>
      </c>
      <c r="Y1" t="s">
        <v>8492</v>
      </c>
      <c r="AG1" t="s">
        <v>8493</v>
      </c>
      <c r="AP1" t="s">
        <v>8494</v>
      </c>
      <c r="BV1" t="s">
        <v>8495</v>
      </c>
      <c r="DB1" t="s">
        <v>8496</v>
      </c>
      <c r="EH1" t="s">
        <v>8497</v>
      </c>
      <c r="FO1" t="s">
        <v>8498</v>
      </c>
      <c r="GC1" t="s">
        <v>8499</v>
      </c>
      <c r="GQ1" t="s">
        <v>8500</v>
      </c>
      <c r="HE1" t="s">
        <v>8501</v>
      </c>
      <c r="HS1" t="s">
        <v>8108</v>
      </c>
      <c r="IA1" t="s">
        <v>8502</v>
      </c>
    </row>
    <row r="2" spans="1:252" x14ac:dyDescent="0.2">
      <c r="B2" t="s">
        <v>8504</v>
      </c>
      <c r="D2" t="s">
        <v>8505</v>
      </c>
      <c r="F2" t="s">
        <v>8506</v>
      </c>
      <c r="H2" t="s">
        <v>8507</v>
      </c>
      <c r="J2" t="s">
        <v>8508</v>
      </c>
      <c r="L2" t="s">
        <v>8509</v>
      </c>
      <c r="N2" t="s">
        <v>8510</v>
      </c>
      <c r="AE2" t="s">
        <v>8511</v>
      </c>
      <c r="AM2" t="s">
        <v>8511</v>
      </c>
      <c r="AP2" t="s">
        <v>8504</v>
      </c>
      <c r="AV2" t="s">
        <v>8505</v>
      </c>
      <c r="BB2" t="s">
        <v>8506</v>
      </c>
      <c r="BH2" t="s">
        <v>8507</v>
      </c>
      <c r="BN2" t="s">
        <v>8512</v>
      </c>
      <c r="BV2" t="s">
        <v>8504</v>
      </c>
      <c r="CB2" t="s">
        <v>8505</v>
      </c>
      <c r="CH2" t="s">
        <v>8506</v>
      </c>
      <c r="CN2" t="s">
        <v>8507</v>
      </c>
      <c r="CT2" t="s">
        <v>8508</v>
      </c>
      <c r="DB2" t="s">
        <v>8504</v>
      </c>
      <c r="DH2" t="s">
        <v>8505</v>
      </c>
      <c r="DN2" t="s">
        <v>8506</v>
      </c>
      <c r="DT2" t="s">
        <v>8507</v>
      </c>
      <c r="DZ2" t="s">
        <v>8508</v>
      </c>
      <c r="EH2" t="s">
        <v>8504</v>
      </c>
      <c r="EN2" t="s">
        <v>8505</v>
      </c>
      <c r="ET2" t="s">
        <v>8506</v>
      </c>
      <c r="EZ2" t="s">
        <v>8507</v>
      </c>
      <c r="FF2" t="s">
        <v>8508</v>
      </c>
      <c r="FO2" t="s">
        <v>8513</v>
      </c>
      <c r="FU2" t="s">
        <v>8514</v>
      </c>
      <c r="GC2" t="s">
        <v>8513</v>
      </c>
      <c r="GI2" t="s">
        <v>8514</v>
      </c>
      <c r="GQ2" t="s">
        <v>8513</v>
      </c>
      <c r="GW2" t="s">
        <v>8514</v>
      </c>
      <c r="HE2" t="s">
        <v>8513</v>
      </c>
      <c r="HK2" t="s">
        <v>8514</v>
      </c>
      <c r="HS2" t="s">
        <v>8515</v>
      </c>
      <c r="IB2" t="s">
        <v>8516</v>
      </c>
      <c r="IF2" t="s">
        <v>8517</v>
      </c>
      <c r="IJ2" t="s">
        <v>8518</v>
      </c>
      <c r="IN2" t="s">
        <v>8096</v>
      </c>
      <c r="IO2" t="s">
        <v>204</v>
      </c>
      <c r="IP2" t="s">
        <v>256</v>
      </c>
    </row>
    <row r="3" spans="1:252" x14ac:dyDescent="0.2">
      <c r="B3" t="s">
        <v>8520</v>
      </c>
      <c r="C3" t="s">
        <v>614</v>
      </c>
      <c r="D3" t="s">
        <v>8520</v>
      </c>
      <c r="E3" t="s">
        <v>614</v>
      </c>
      <c r="F3" t="s">
        <v>8520</v>
      </c>
      <c r="G3" t="s">
        <v>614</v>
      </c>
      <c r="H3" t="s">
        <v>8520</v>
      </c>
      <c r="I3" t="s">
        <v>614</v>
      </c>
      <c r="J3" t="s">
        <v>8520</v>
      </c>
      <c r="K3" t="s">
        <v>614</v>
      </c>
      <c r="L3" t="s">
        <v>8520</v>
      </c>
      <c r="M3" t="s">
        <v>614</v>
      </c>
      <c r="N3" t="s">
        <v>8520</v>
      </c>
      <c r="O3" t="s">
        <v>614</v>
      </c>
      <c r="Q3" t="s">
        <v>8504</v>
      </c>
      <c r="R3" t="s">
        <v>8505</v>
      </c>
      <c r="S3" t="s">
        <v>8506</v>
      </c>
      <c r="T3" t="s">
        <v>8507</v>
      </c>
      <c r="U3" t="s">
        <v>8508</v>
      </c>
      <c r="V3" t="s">
        <v>8509</v>
      </c>
      <c r="W3" t="s">
        <v>8510</v>
      </c>
      <c r="Y3" t="s">
        <v>8504</v>
      </c>
      <c r="Z3" t="s">
        <v>8505</v>
      </c>
      <c r="AA3" t="s">
        <v>8506</v>
      </c>
      <c r="AB3" t="s">
        <v>8507</v>
      </c>
      <c r="AC3" t="s">
        <v>8508</v>
      </c>
      <c r="AD3" t="s">
        <v>8509</v>
      </c>
      <c r="AE3" t="s">
        <v>8510</v>
      </c>
      <c r="AG3" t="s">
        <v>8504</v>
      </c>
      <c r="AH3" t="s">
        <v>8505</v>
      </c>
      <c r="AI3" t="s">
        <v>8506</v>
      </c>
      <c r="AJ3" t="s">
        <v>8507</v>
      </c>
      <c r="AK3" t="s">
        <v>8508</v>
      </c>
      <c r="AL3" t="s">
        <v>8509</v>
      </c>
      <c r="AM3" t="s">
        <v>8510</v>
      </c>
      <c r="AO3" t="s">
        <v>8521</v>
      </c>
      <c r="AP3" t="s">
        <v>8522</v>
      </c>
      <c r="AQ3" t="s">
        <v>8523</v>
      </c>
      <c r="AR3" t="s">
        <v>8524</v>
      </c>
      <c r="AS3" t="s">
        <v>8525</v>
      </c>
      <c r="AT3" t="s">
        <v>8526</v>
      </c>
      <c r="AU3" t="s">
        <v>8527</v>
      </c>
      <c r="AV3" t="s">
        <v>8522</v>
      </c>
      <c r="AW3" t="s">
        <v>8523</v>
      </c>
      <c r="AX3" t="s">
        <v>8524</v>
      </c>
      <c r="AY3" t="s">
        <v>8525</v>
      </c>
      <c r="AZ3" t="s">
        <v>8526</v>
      </c>
      <c r="BA3" t="s">
        <v>8527</v>
      </c>
      <c r="BB3" t="s">
        <v>8522</v>
      </c>
      <c r="BC3" t="s">
        <v>8523</v>
      </c>
      <c r="BD3" t="s">
        <v>8524</v>
      </c>
      <c r="BE3" t="s">
        <v>8525</v>
      </c>
      <c r="BF3" t="s">
        <v>8526</v>
      </c>
      <c r="BG3" t="s">
        <v>8527</v>
      </c>
      <c r="BH3" t="s">
        <v>8522</v>
      </c>
      <c r="BI3" t="s">
        <v>8523</v>
      </c>
      <c r="BJ3" t="s">
        <v>8524</v>
      </c>
      <c r="BK3" t="s">
        <v>8525</v>
      </c>
      <c r="BL3" t="s">
        <v>8526</v>
      </c>
      <c r="BM3" t="s">
        <v>8527</v>
      </c>
      <c r="BN3" t="s">
        <v>8522</v>
      </c>
      <c r="BO3" t="s">
        <v>8523</v>
      </c>
      <c r="BP3" t="s">
        <v>8524</v>
      </c>
      <c r="BQ3" t="s">
        <v>8525</v>
      </c>
      <c r="BR3" t="s">
        <v>8526</v>
      </c>
      <c r="BS3" t="s">
        <v>8527</v>
      </c>
      <c r="BU3" t="s">
        <v>242</v>
      </c>
      <c r="BV3" t="s">
        <v>8522</v>
      </c>
      <c r="BW3" t="s">
        <v>8523</v>
      </c>
      <c r="BX3" t="s">
        <v>8524</v>
      </c>
      <c r="BY3" t="s">
        <v>8525</v>
      </c>
      <c r="BZ3" t="s">
        <v>8526</v>
      </c>
      <c r="CA3" t="s">
        <v>8527</v>
      </c>
      <c r="CB3" t="s">
        <v>8522</v>
      </c>
      <c r="CC3" t="s">
        <v>8523</v>
      </c>
      <c r="CD3" t="s">
        <v>8524</v>
      </c>
      <c r="CE3" t="s">
        <v>8525</v>
      </c>
      <c r="CF3" t="s">
        <v>8526</v>
      </c>
      <c r="CG3" t="s">
        <v>8527</v>
      </c>
      <c r="CH3" t="s">
        <v>8522</v>
      </c>
      <c r="CI3" t="s">
        <v>8523</v>
      </c>
      <c r="CJ3" t="s">
        <v>8524</v>
      </c>
      <c r="CK3" t="s">
        <v>8525</v>
      </c>
      <c r="CL3" t="s">
        <v>8526</v>
      </c>
      <c r="CM3" t="s">
        <v>8527</v>
      </c>
      <c r="CN3" t="s">
        <v>8522</v>
      </c>
      <c r="CO3" t="s">
        <v>8523</v>
      </c>
      <c r="CP3" t="s">
        <v>8524</v>
      </c>
      <c r="CQ3" t="s">
        <v>8525</v>
      </c>
      <c r="CR3" t="s">
        <v>8526</v>
      </c>
      <c r="CS3" t="s">
        <v>8527</v>
      </c>
      <c r="CT3" t="s">
        <v>8522</v>
      </c>
      <c r="CU3" t="s">
        <v>8523</v>
      </c>
      <c r="CV3" t="s">
        <v>8524</v>
      </c>
      <c r="CW3" t="s">
        <v>8525</v>
      </c>
      <c r="CX3" t="s">
        <v>8526</v>
      </c>
      <c r="CY3" t="s">
        <v>8527</v>
      </c>
      <c r="DA3" t="s">
        <v>242</v>
      </c>
      <c r="DB3" t="s">
        <v>8522</v>
      </c>
      <c r="DC3" t="s">
        <v>8523</v>
      </c>
      <c r="DD3" t="s">
        <v>8524</v>
      </c>
      <c r="DE3" t="s">
        <v>8525</v>
      </c>
      <c r="DF3" t="s">
        <v>8526</v>
      </c>
      <c r="DG3" t="s">
        <v>8527</v>
      </c>
      <c r="DH3" t="s">
        <v>8522</v>
      </c>
      <c r="DI3" t="s">
        <v>8523</v>
      </c>
      <c r="DJ3" t="s">
        <v>8524</v>
      </c>
      <c r="DK3" t="s">
        <v>8525</v>
      </c>
      <c r="DL3" t="s">
        <v>8526</v>
      </c>
      <c r="DM3" t="s">
        <v>8527</v>
      </c>
      <c r="DN3" t="s">
        <v>8522</v>
      </c>
      <c r="DO3" t="s">
        <v>8523</v>
      </c>
      <c r="DP3" t="s">
        <v>8524</v>
      </c>
      <c r="DQ3" t="s">
        <v>8525</v>
      </c>
      <c r="DR3" t="s">
        <v>8526</v>
      </c>
      <c r="DS3" t="s">
        <v>8527</v>
      </c>
      <c r="DT3" t="s">
        <v>8522</v>
      </c>
      <c r="DU3" t="s">
        <v>8523</v>
      </c>
      <c r="DV3" t="s">
        <v>8524</v>
      </c>
      <c r="DW3" t="s">
        <v>8525</v>
      </c>
      <c r="DX3" t="s">
        <v>8526</v>
      </c>
      <c r="DY3" t="s">
        <v>8527</v>
      </c>
      <c r="DZ3" t="s">
        <v>8522</v>
      </c>
      <c r="EA3" t="s">
        <v>8523</v>
      </c>
      <c r="EB3" t="s">
        <v>8524</v>
      </c>
      <c r="EC3" t="s">
        <v>8525</v>
      </c>
      <c r="ED3" t="s">
        <v>8526</v>
      </c>
      <c r="EE3" t="s">
        <v>8527</v>
      </c>
      <c r="EG3" t="s">
        <v>242</v>
      </c>
      <c r="EH3" t="s">
        <v>8522</v>
      </c>
      <c r="EI3" t="s">
        <v>8523</v>
      </c>
      <c r="EJ3" t="s">
        <v>8524</v>
      </c>
      <c r="EK3" t="s">
        <v>8525</v>
      </c>
      <c r="EL3" t="s">
        <v>8526</v>
      </c>
      <c r="EM3" t="s">
        <v>8527</v>
      </c>
      <c r="EN3" t="s">
        <v>8522</v>
      </c>
      <c r="EO3" t="s">
        <v>8523</v>
      </c>
      <c r="EP3" t="s">
        <v>8524</v>
      </c>
      <c r="EQ3" t="s">
        <v>8525</v>
      </c>
      <c r="ER3" t="s">
        <v>8526</v>
      </c>
      <c r="ES3" t="s">
        <v>8527</v>
      </c>
      <c r="ET3" t="s">
        <v>8522</v>
      </c>
      <c r="EU3" t="s">
        <v>8523</v>
      </c>
      <c r="EV3" t="s">
        <v>8524</v>
      </c>
      <c r="EW3" t="s">
        <v>8525</v>
      </c>
      <c r="EX3" t="s">
        <v>8526</v>
      </c>
      <c r="EY3" t="s">
        <v>8527</v>
      </c>
      <c r="EZ3" t="s">
        <v>8522</v>
      </c>
      <c r="FA3" t="s">
        <v>8523</v>
      </c>
      <c r="FB3" t="s">
        <v>8524</v>
      </c>
      <c r="FC3" t="s">
        <v>8525</v>
      </c>
      <c r="FD3" t="s">
        <v>8526</v>
      </c>
      <c r="FE3" t="s">
        <v>8527</v>
      </c>
      <c r="FF3" t="s">
        <v>8522</v>
      </c>
      <c r="FG3" t="s">
        <v>8523</v>
      </c>
      <c r="FH3" t="s">
        <v>8524</v>
      </c>
      <c r="FI3" t="s">
        <v>8525</v>
      </c>
      <c r="FJ3" t="s">
        <v>8526</v>
      </c>
      <c r="FK3" t="s">
        <v>8527</v>
      </c>
      <c r="FN3" t="s">
        <v>242</v>
      </c>
      <c r="FO3" t="s">
        <v>8522</v>
      </c>
      <c r="FP3" t="s">
        <v>8523</v>
      </c>
      <c r="FQ3" t="s">
        <v>8524</v>
      </c>
      <c r="FR3" t="s">
        <v>8525</v>
      </c>
      <c r="FS3" t="s">
        <v>8526</v>
      </c>
      <c r="FT3" t="s">
        <v>8527</v>
      </c>
      <c r="FU3" t="s">
        <v>8522</v>
      </c>
      <c r="FV3" t="s">
        <v>8523</v>
      </c>
      <c r="FW3" t="s">
        <v>8524</v>
      </c>
      <c r="FX3" t="s">
        <v>8525</v>
      </c>
      <c r="FY3" t="s">
        <v>8526</v>
      </c>
      <c r="FZ3" t="s">
        <v>8527</v>
      </c>
      <c r="GB3" t="s">
        <v>242</v>
      </c>
      <c r="GC3" t="s">
        <v>8522</v>
      </c>
      <c r="GD3" t="s">
        <v>8523</v>
      </c>
      <c r="GE3" t="s">
        <v>8524</v>
      </c>
      <c r="GF3" t="s">
        <v>8525</v>
      </c>
      <c r="GG3" t="s">
        <v>8526</v>
      </c>
      <c r="GH3" t="s">
        <v>8527</v>
      </c>
      <c r="GI3" t="s">
        <v>8522</v>
      </c>
      <c r="GJ3" t="s">
        <v>8523</v>
      </c>
      <c r="GK3" t="s">
        <v>8524</v>
      </c>
      <c r="GL3" t="s">
        <v>8525</v>
      </c>
      <c r="GM3" t="s">
        <v>8526</v>
      </c>
      <c r="GN3" t="s">
        <v>8527</v>
      </c>
      <c r="GP3" t="s">
        <v>242</v>
      </c>
      <c r="GQ3" t="s">
        <v>8522</v>
      </c>
      <c r="GR3" t="s">
        <v>8523</v>
      </c>
      <c r="GS3" t="s">
        <v>8524</v>
      </c>
      <c r="GT3" t="s">
        <v>8525</v>
      </c>
      <c r="GU3" t="s">
        <v>8526</v>
      </c>
      <c r="GV3" t="s">
        <v>8527</v>
      </c>
      <c r="GW3" t="s">
        <v>8522</v>
      </c>
      <c r="GX3" t="s">
        <v>8523</v>
      </c>
      <c r="GY3" t="s">
        <v>8524</v>
      </c>
      <c r="GZ3" t="s">
        <v>8525</v>
      </c>
      <c r="HA3" t="s">
        <v>8526</v>
      </c>
      <c r="HB3" t="s">
        <v>8527</v>
      </c>
      <c r="HD3" t="s">
        <v>242</v>
      </c>
      <c r="HE3" t="s">
        <v>8522</v>
      </c>
      <c r="HF3" t="s">
        <v>8523</v>
      </c>
      <c r="HG3" t="s">
        <v>8524</v>
      </c>
      <c r="HH3" t="s">
        <v>8525</v>
      </c>
      <c r="HI3" t="s">
        <v>8526</v>
      </c>
      <c r="HJ3" t="s">
        <v>8527</v>
      </c>
      <c r="HK3" t="s">
        <v>8522</v>
      </c>
      <c r="HL3" t="s">
        <v>8523</v>
      </c>
      <c r="HM3" t="s">
        <v>8524</v>
      </c>
      <c r="HN3" t="s">
        <v>8525</v>
      </c>
      <c r="HO3" t="s">
        <v>8526</v>
      </c>
      <c r="HP3" t="s">
        <v>8527</v>
      </c>
      <c r="HT3" t="s">
        <v>8528</v>
      </c>
      <c r="HV3" t="s">
        <v>8529</v>
      </c>
      <c r="HX3" t="s">
        <v>8530</v>
      </c>
      <c r="IA3" t="s">
        <v>8531</v>
      </c>
      <c r="IB3" t="s">
        <v>8532</v>
      </c>
      <c r="IC3" t="s">
        <v>8533</v>
      </c>
      <c r="ID3" t="s">
        <v>8534</v>
      </c>
      <c r="IE3" t="s">
        <v>8535</v>
      </c>
      <c r="IF3" t="s">
        <v>8532</v>
      </c>
      <c r="IG3" t="s">
        <v>8533</v>
      </c>
      <c r="IH3" t="s">
        <v>8534</v>
      </c>
      <c r="II3" t="s">
        <v>8535</v>
      </c>
      <c r="IJ3" t="s">
        <v>8532</v>
      </c>
      <c r="IK3" t="s">
        <v>8533</v>
      </c>
      <c r="IL3" t="s">
        <v>8534</v>
      </c>
      <c r="IM3" t="s">
        <v>8535</v>
      </c>
      <c r="IP3" t="s">
        <v>35</v>
      </c>
      <c r="IQ3" t="s">
        <v>36</v>
      </c>
      <c r="IR3" t="s">
        <v>37</v>
      </c>
    </row>
    <row r="4" spans="1:252" x14ac:dyDescent="0.2">
      <c r="B4">
        <v>364.41813161735752</v>
      </c>
      <c r="C4">
        <v>2.7441005626196708</v>
      </c>
      <c r="D4">
        <v>350.73896411621951</v>
      </c>
      <c r="E4">
        <v>2.8511232064557386</v>
      </c>
      <c r="F4">
        <v>309.18563827721761</v>
      </c>
      <c r="G4">
        <v>3.2343028789176627</v>
      </c>
      <c r="H4">
        <v>279.25353724857291</v>
      </c>
      <c r="I4">
        <v>3.5809752307984786</v>
      </c>
      <c r="J4">
        <v>257.4224071759466</v>
      </c>
      <c r="K4">
        <v>3.884665717217485</v>
      </c>
      <c r="L4">
        <v>299.3948399251949</v>
      </c>
      <c r="M4">
        <v>3.3400709252365681</v>
      </c>
      <c r="N4">
        <v>362.02306454224652</v>
      </c>
      <c r="O4">
        <v>2.7622549443484541</v>
      </c>
      <c r="Q4">
        <v>1.4014887299834012E-2</v>
      </c>
      <c r="R4">
        <v>1.4114607408484676E-2</v>
      </c>
      <c r="S4">
        <v>1.4393882907391988E-2</v>
      </c>
      <c r="T4">
        <v>1.4623064918327065E-2</v>
      </c>
      <c r="U4">
        <v>1.4830286543905327E-2</v>
      </c>
      <c r="V4">
        <v>1.4279658493342715E-2</v>
      </c>
      <c r="W4">
        <v>1.4072588260749083E-2</v>
      </c>
      <c r="Y4">
        <v>0.35737113808323462</v>
      </c>
      <c r="Z4">
        <v>0.36632575373339243</v>
      </c>
      <c r="AA4">
        <v>0.34519025297063727</v>
      </c>
      <c r="AB4">
        <v>0.35077023119204886</v>
      </c>
      <c r="AC4">
        <v>0.35120959197978574</v>
      </c>
      <c r="AD4">
        <v>0.37222594757256094</v>
      </c>
      <c r="AE4">
        <v>0.34159759334948225</v>
      </c>
      <c r="AG4">
        <v>0.23732358336245213</v>
      </c>
      <c r="AH4">
        <v>0.23979677100415148</v>
      </c>
      <c r="AI4">
        <v>0.22804461490810846</v>
      </c>
      <c r="AJ4">
        <v>0.23043413191331658</v>
      </c>
      <c r="AK4">
        <v>0.22857313470904145</v>
      </c>
      <c r="AL4">
        <v>0.24120624574555541</v>
      </c>
      <c r="AM4">
        <v>0.22752471019997564</v>
      </c>
      <c r="AO4">
        <v>8</v>
      </c>
      <c r="AP4">
        <v>2.2784175951353114</v>
      </c>
      <c r="AQ4">
        <v>0.67172512364324122</v>
      </c>
      <c r="AR4">
        <v>1.6961344552877675</v>
      </c>
      <c r="AS4">
        <v>180.73122445367625</v>
      </c>
      <c r="AT4">
        <v>31.447474746814795</v>
      </c>
      <c r="AU4">
        <v>12.327547502928716</v>
      </c>
      <c r="AV4">
        <v>2.1605580248146787</v>
      </c>
      <c r="AW4">
        <v>0.66507168744232215</v>
      </c>
      <c r="AX4">
        <v>1.5975142358752124</v>
      </c>
      <c r="AY4">
        <v>172.93913211048547</v>
      </c>
      <c r="AZ4">
        <v>31.44379666507492</v>
      </c>
      <c r="BA4">
        <v>12.506726541907389</v>
      </c>
      <c r="BB4">
        <v>1.7318686265177632</v>
      </c>
      <c r="BC4">
        <v>0.59501263516130765</v>
      </c>
      <c r="BD4">
        <v>1.4011936354725056</v>
      </c>
      <c r="BE4">
        <v>149.29777920304119</v>
      </c>
      <c r="BF4">
        <v>30.950890597614176</v>
      </c>
      <c r="BG4">
        <v>12.829326153735238</v>
      </c>
      <c r="BH4">
        <v>1.4802616720666726</v>
      </c>
      <c r="BI4">
        <v>0.5365297031172328</v>
      </c>
      <c r="BJ4">
        <v>1.2163637991958254</v>
      </c>
      <c r="BK4">
        <v>132.31548991556264</v>
      </c>
      <c r="BL4">
        <v>30.907996688272309</v>
      </c>
      <c r="BM4">
        <v>13.067872363550784</v>
      </c>
      <c r="BN4">
        <v>1.4471337953290488</v>
      </c>
      <c r="BO4">
        <v>0.54489055710104717</v>
      </c>
      <c r="BP4">
        <v>1.0997369840694899</v>
      </c>
      <c r="BQ4">
        <v>124.55824972507124</v>
      </c>
      <c r="BR4">
        <v>30.929214054343447</v>
      </c>
      <c r="BS4">
        <v>13.200353654415375</v>
      </c>
      <c r="BU4">
        <v>8</v>
      </c>
      <c r="BV4">
        <v>1.9713514789423323</v>
      </c>
      <c r="BW4">
        <v>0.83087080318340945</v>
      </c>
      <c r="BX4">
        <v>1.5941327415056041</v>
      </c>
      <c r="BY4">
        <v>177.34699903426306</v>
      </c>
      <c r="BZ4">
        <v>30.316129001631413</v>
      </c>
      <c r="CA4">
        <v>13.46015690851441</v>
      </c>
      <c r="CB4">
        <v>1.894775404009714</v>
      </c>
      <c r="CC4">
        <v>0.83744371849530908</v>
      </c>
      <c r="CD4">
        <v>1.5060485090910465</v>
      </c>
      <c r="CE4">
        <v>170.28917144457586</v>
      </c>
      <c r="CF4">
        <v>30.372338069628992</v>
      </c>
      <c r="CG4">
        <v>13.713581697199624</v>
      </c>
      <c r="CH4">
        <v>1.4721586462328891</v>
      </c>
      <c r="CI4">
        <v>0.70775494295413854</v>
      </c>
      <c r="CJ4">
        <v>1.3212807231214401</v>
      </c>
      <c r="CK4">
        <v>145.9844892151753</v>
      </c>
      <c r="CL4">
        <v>29.874333045526441</v>
      </c>
      <c r="CM4">
        <v>13.892792461174491</v>
      </c>
      <c r="CN4">
        <v>1.2285022585527816</v>
      </c>
      <c r="CO4">
        <v>0.67686362912548292</v>
      </c>
      <c r="CP4">
        <v>1.1338292850627467</v>
      </c>
      <c r="CQ4">
        <v>128.65712080638738</v>
      </c>
      <c r="CR4">
        <v>29.830041948310967</v>
      </c>
      <c r="CS4">
        <v>14.530216813717967</v>
      </c>
      <c r="CT4">
        <v>1.2394562569337684</v>
      </c>
      <c r="CU4">
        <v>0.70739920078018692</v>
      </c>
      <c r="CV4">
        <v>1.063116083194116</v>
      </c>
      <c r="CW4">
        <v>122.10170285937974</v>
      </c>
      <c r="CX4">
        <v>29.850617511726391</v>
      </c>
      <c r="CY4">
        <v>14.796858260902427</v>
      </c>
      <c r="DA4">
        <v>8</v>
      </c>
      <c r="DB4">
        <v>1.5938918302279894</v>
      </c>
      <c r="DC4">
        <v>0.75349843694884799</v>
      </c>
      <c r="DD4">
        <v>1.5323459325241549</v>
      </c>
      <c r="DE4">
        <v>172.19527308997831</v>
      </c>
      <c r="DF4">
        <v>29.031080600269501</v>
      </c>
      <c r="DG4">
        <v>13.413527715211126</v>
      </c>
      <c r="DH4">
        <v>1.5638503496213656</v>
      </c>
      <c r="DI4">
        <v>0.71623511523844152</v>
      </c>
      <c r="DJ4">
        <v>1.4936229065429791</v>
      </c>
      <c r="DK4">
        <v>166.80271717398983</v>
      </c>
      <c r="DL4">
        <v>29.023239623090628</v>
      </c>
      <c r="DM4">
        <v>13.273559921612621</v>
      </c>
      <c r="DN4">
        <v>1.1397489670072609</v>
      </c>
      <c r="DO4">
        <v>0.68064137374285971</v>
      </c>
      <c r="DP4">
        <v>1.302114487585238</v>
      </c>
      <c r="DQ4">
        <v>140.8942366699707</v>
      </c>
      <c r="DR4">
        <v>28.594353227567119</v>
      </c>
      <c r="DS4">
        <v>14.202274623147886</v>
      </c>
      <c r="DT4">
        <v>1.1292760935702808</v>
      </c>
      <c r="DU4">
        <v>0.73937069167036151</v>
      </c>
      <c r="DV4">
        <v>1.2304620891746927</v>
      </c>
      <c r="DW4">
        <v>130.78174104178774</v>
      </c>
      <c r="DX4">
        <v>28.58672101961368</v>
      </c>
      <c r="DY4">
        <v>14.772115029980361</v>
      </c>
      <c r="DZ4">
        <v>1.1673833324628804</v>
      </c>
      <c r="EA4">
        <v>0.74907274138687086</v>
      </c>
      <c r="EB4">
        <v>1.183188401250999</v>
      </c>
      <c r="EC4">
        <v>124.77711872575233</v>
      </c>
      <c r="ED4">
        <v>28.63296044659797</v>
      </c>
      <c r="EE4">
        <v>14.813574396555342</v>
      </c>
      <c r="EG4">
        <v>8</v>
      </c>
      <c r="EH4">
        <v>1.4418818475192441</v>
      </c>
      <c r="EI4">
        <v>0.66043173044007664</v>
      </c>
      <c r="EJ4">
        <v>1.552914793218257</v>
      </c>
      <c r="EK4">
        <v>172.01708317506905</v>
      </c>
      <c r="EL4">
        <v>28.177462260645541</v>
      </c>
      <c r="EM4">
        <v>12.886390820009391</v>
      </c>
      <c r="EN4">
        <v>1.3995368467072882</v>
      </c>
      <c r="EO4">
        <v>0.65441498572044543</v>
      </c>
      <c r="EP4">
        <v>1.5054857151447101</v>
      </c>
      <c r="EQ4">
        <v>166.24452701092338</v>
      </c>
      <c r="ER4">
        <v>28.132304933575011</v>
      </c>
      <c r="ES4">
        <v>12.946265183438753</v>
      </c>
      <c r="ET4">
        <v>1.6128595113195958</v>
      </c>
      <c r="EU4">
        <v>0.61608176434403639</v>
      </c>
      <c r="EV4">
        <v>1.3273258511647792</v>
      </c>
      <c r="EW4">
        <v>157.43891984305986</v>
      </c>
      <c r="EX4">
        <v>28.594518559131021</v>
      </c>
      <c r="EY4">
        <v>12.299747956459674</v>
      </c>
      <c r="EZ4">
        <v>1.3409149862908045</v>
      </c>
      <c r="FA4">
        <v>0.65719371812293537</v>
      </c>
      <c r="FB4">
        <v>1.2601133290528455</v>
      </c>
      <c r="FC4">
        <v>139.69489067664719</v>
      </c>
      <c r="FD4">
        <v>28.277770355146107</v>
      </c>
      <c r="FE4">
        <v>13.241328583910681</v>
      </c>
      <c r="FF4">
        <v>1.3030612539193211</v>
      </c>
      <c r="FG4">
        <v>0.67354126811632553</v>
      </c>
      <c r="FH4">
        <v>1.2142027176436951</v>
      </c>
      <c r="FI4">
        <v>134.30043814991956</v>
      </c>
      <c r="FJ4">
        <v>27.612837885395891</v>
      </c>
      <c r="FK4">
        <v>13.200728771876069</v>
      </c>
      <c r="FN4">
        <v>8</v>
      </c>
      <c r="FO4">
        <v>1.7484346678782907</v>
      </c>
      <c r="FP4">
        <v>0.69349345966717624</v>
      </c>
      <c r="FQ4">
        <v>1.3632149559788334</v>
      </c>
      <c r="FR4">
        <v>146.15106880281482</v>
      </c>
      <c r="FS4">
        <v>31.104665120668336</v>
      </c>
      <c r="FT4">
        <v>13.493292520688975</v>
      </c>
      <c r="FU4">
        <v>2.1402466283627728</v>
      </c>
      <c r="FV4">
        <v>0.87507674759862464</v>
      </c>
      <c r="FW4">
        <v>1.6360086057366547</v>
      </c>
      <c r="FX4">
        <v>175.55715424481363</v>
      </c>
      <c r="FY4">
        <v>31.459783950153017</v>
      </c>
      <c r="FZ4">
        <v>13.790928972054768</v>
      </c>
      <c r="GB4">
        <v>8</v>
      </c>
      <c r="GC4">
        <v>1.5580674085836819</v>
      </c>
      <c r="GD4">
        <v>0.86878070992758116</v>
      </c>
      <c r="GE4">
        <v>1.2776004775787941</v>
      </c>
      <c r="GF4">
        <v>144.03504539194421</v>
      </c>
      <c r="GG4">
        <v>30.239951540906794</v>
      </c>
      <c r="GH4">
        <v>14.908499302963568</v>
      </c>
      <c r="GI4">
        <v>1.8043256007515169</v>
      </c>
      <c r="GJ4">
        <v>0.94084180331143696</v>
      </c>
      <c r="GK4">
        <v>1.5503636659557452</v>
      </c>
      <c r="GL4">
        <v>171.81558873671918</v>
      </c>
      <c r="GM4">
        <v>30.189746774273495</v>
      </c>
      <c r="GN4">
        <v>14.474014370429629</v>
      </c>
      <c r="GP4">
        <v>8</v>
      </c>
      <c r="GQ4">
        <v>1.2618733103092152</v>
      </c>
      <c r="GR4">
        <v>0.68610163370134281</v>
      </c>
      <c r="GS4">
        <v>1.2768888935526532</v>
      </c>
      <c r="GT4">
        <v>140.35746622777509</v>
      </c>
      <c r="GU4">
        <v>28.922000401336156</v>
      </c>
      <c r="GV4">
        <v>13.997597351989693</v>
      </c>
      <c r="GW4">
        <v>1.4524925749730278</v>
      </c>
      <c r="GX4">
        <v>0.71340394820845776</v>
      </c>
      <c r="GY4">
        <v>1.5296112920535485</v>
      </c>
      <c r="GZ4">
        <v>167.43684351544982</v>
      </c>
      <c r="HA4">
        <v>28.877969678218523</v>
      </c>
      <c r="HB4">
        <v>13.494183226929016</v>
      </c>
      <c r="HD4">
        <v>8</v>
      </c>
      <c r="HE4">
        <v>1.3578095829079044</v>
      </c>
      <c r="HF4">
        <v>0.60572477840462213</v>
      </c>
      <c r="HG4">
        <v>1.2365249252278177</v>
      </c>
      <c r="HH4">
        <v>146.79769371477289</v>
      </c>
      <c r="HI4">
        <v>28.306677455319956</v>
      </c>
      <c r="HJ4">
        <v>12.835967613812331</v>
      </c>
      <c r="HK4">
        <v>1.6118154035554766</v>
      </c>
      <c r="HL4">
        <v>0.66140898282160232</v>
      </c>
      <c r="HM4">
        <v>1.5979879271088628</v>
      </c>
      <c r="HN4">
        <v>174.68377331518303</v>
      </c>
      <c r="HO4">
        <v>28.592002702085637</v>
      </c>
      <c r="HP4">
        <v>12.636711687961931</v>
      </c>
      <c r="HS4" t="s">
        <v>8536</v>
      </c>
      <c r="HT4" t="s">
        <v>8537</v>
      </c>
      <c r="HU4" t="s">
        <v>8538</v>
      </c>
      <c r="HV4" t="s">
        <v>8537</v>
      </c>
      <c r="HW4" t="s">
        <v>8538</v>
      </c>
      <c r="HX4" t="s">
        <v>8537</v>
      </c>
      <c r="HY4" t="s">
        <v>8538</v>
      </c>
      <c r="IA4">
        <v>22</v>
      </c>
      <c r="IB4">
        <v>27.1</v>
      </c>
      <c r="IC4">
        <v>24</v>
      </c>
      <c r="ID4">
        <v>23</v>
      </c>
      <c r="IE4">
        <v>22</v>
      </c>
      <c r="IF4">
        <v>12.6</v>
      </c>
      <c r="IG4">
        <v>11</v>
      </c>
      <c r="IH4">
        <v>10.3</v>
      </c>
      <c r="II4">
        <v>9.65</v>
      </c>
      <c r="IJ4">
        <v>12.77</v>
      </c>
      <c r="IK4">
        <v>11.57</v>
      </c>
      <c r="IL4">
        <v>11.3</v>
      </c>
      <c r="IM4">
        <v>10.6</v>
      </c>
      <c r="IN4">
        <v>4</v>
      </c>
      <c r="IO4">
        <v>1.2</v>
      </c>
      <c r="IP4">
        <v>6.25</v>
      </c>
      <c r="IQ4">
        <v>8</v>
      </c>
      <c r="IR4">
        <v>11</v>
      </c>
    </row>
    <row r="5" spans="1:252" x14ac:dyDescent="0.2">
      <c r="B5">
        <v>377.97957262371165</v>
      </c>
      <c r="C5">
        <v>2.6456456179856196</v>
      </c>
      <c r="D5">
        <v>365.91648379088667</v>
      </c>
      <c r="E5">
        <v>2.7328640394661159</v>
      </c>
      <c r="F5">
        <v>330.23041724644162</v>
      </c>
      <c r="G5">
        <v>3.0281886457894891</v>
      </c>
      <c r="H5">
        <v>304.70326439702842</v>
      </c>
      <c r="I5">
        <v>3.2818814789493023</v>
      </c>
      <c r="J5">
        <v>286.17145793884873</v>
      </c>
      <c r="K5">
        <v>3.4944085870844868</v>
      </c>
      <c r="L5">
        <v>318.27510407328242</v>
      </c>
      <c r="M5">
        <v>3.141935976776089</v>
      </c>
      <c r="N5">
        <v>379.06226080906708</v>
      </c>
      <c r="O5">
        <v>2.6380890512962409</v>
      </c>
      <c r="Q5">
        <v>1.5759531691241956E-2</v>
      </c>
      <c r="R5">
        <v>1.5872347633486592E-2</v>
      </c>
      <c r="S5">
        <v>1.6188781171772887E-2</v>
      </c>
      <c r="T5">
        <v>1.6448503912191371E-2</v>
      </c>
      <c r="U5">
        <v>1.6683168008396712E-2</v>
      </c>
      <c r="V5">
        <v>1.6064615805010556E-2</v>
      </c>
      <c r="W5">
        <v>1.5831661793342718E-2</v>
      </c>
      <c r="Y5">
        <v>0.39706437957476509</v>
      </c>
      <c r="Z5">
        <v>0.40516484970769617</v>
      </c>
      <c r="AA5">
        <v>0.38931277216903942</v>
      </c>
      <c r="AB5">
        <v>0.39555663285488979</v>
      </c>
      <c r="AC5">
        <v>0.39689060356339806</v>
      </c>
      <c r="AD5">
        <v>0.41345286144976279</v>
      </c>
      <c r="AE5">
        <v>0.38265326810254074</v>
      </c>
      <c r="AG5">
        <v>0.25065240039528985</v>
      </c>
      <c r="AH5">
        <v>0.25289847866585946</v>
      </c>
      <c r="AI5">
        <v>0.24351206786504093</v>
      </c>
      <c r="AJ5">
        <v>0.24611636176382906</v>
      </c>
      <c r="AK5">
        <v>0.24478787795207366</v>
      </c>
      <c r="AL5">
        <v>0.25539424882847517</v>
      </c>
      <c r="AM5">
        <v>0.24163622035896587</v>
      </c>
      <c r="AO5">
        <v>9</v>
      </c>
      <c r="AP5">
        <v>2.5523332801779808</v>
      </c>
      <c r="AQ5">
        <v>0.79055910089249348</v>
      </c>
      <c r="AR5">
        <v>1.831202804463945</v>
      </c>
      <c r="AS5">
        <v>194.22974341591967</v>
      </c>
      <c r="AT5">
        <v>31.324627730910471</v>
      </c>
      <c r="AU5">
        <v>12.380806479431078</v>
      </c>
      <c r="AV5">
        <v>2.4529289210975462</v>
      </c>
      <c r="AW5">
        <v>0.78603814694374297</v>
      </c>
      <c r="AX5">
        <v>1.7465928594107674</v>
      </c>
      <c r="AY5">
        <v>187.48456177992387</v>
      </c>
      <c r="AZ5">
        <v>31.320192392867089</v>
      </c>
      <c r="BA5">
        <v>12.527348751678524</v>
      </c>
      <c r="BB5">
        <v>2.0929752091684239</v>
      </c>
      <c r="BC5">
        <v>0.73090875687500556</v>
      </c>
      <c r="BD5">
        <v>1.5835103643596089</v>
      </c>
      <c r="BE5">
        <v>167.72201716482542</v>
      </c>
      <c r="BF5">
        <v>30.876376968623997</v>
      </c>
      <c r="BG5">
        <v>12.766110197814728</v>
      </c>
      <c r="BH5">
        <v>1.8918443018216877</v>
      </c>
      <c r="BI5">
        <v>0.68671282243528164</v>
      </c>
      <c r="BJ5">
        <v>1.4321047176762758</v>
      </c>
      <c r="BK5">
        <v>153.69218269017915</v>
      </c>
      <c r="BL5">
        <v>30.834304786344482</v>
      </c>
      <c r="BM5">
        <v>12.934607852178161</v>
      </c>
      <c r="BN5">
        <v>1.8722640376319801</v>
      </c>
      <c r="BO5">
        <v>0.69728633061861633</v>
      </c>
      <c r="BP5">
        <v>1.3360177508672049</v>
      </c>
      <c r="BQ5">
        <v>147.346017558906</v>
      </c>
      <c r="BR5">
        <v>30.854245102315591</v>
      </c>
      <c r="BS5">
        <v>13.026355062356126</v>
      </c>
      <c r="BU5">
        <v>9</v>
      </c>
      <c r="BV5">
        <v>2.2430219327847829</v>
      </c>
      <c r="BW5">
        <v>0.92321140103522725</v>
      </c>
      <c r="BX5">
        <v>1.7269494192071959</v>
      </c>
      <c r="BY5">
        <v>191.24944328650116</v>
      </c>
      <c r="BZ5">
        <v>30.195450298538717</v>
      </c>
      <c r="CA5">
        <v>13.267349291697945</v>
      </c>
      <c r="CB5">
        <v>2.1801114512515802</v>
      </c>
      <c r="CC5">
        <v>0.93064302615763717</v>
      </c>
      <c r="CD5">
        <v>1.6516000594413232</v>
      </c>
      <c r="CE5">
        <v>185.10741593007396</v>
      </c>
      <c r="CF5">
        <v>30.248572417589084</v>
      </c>
      <c r="CG5">
        <v>13.469419135149517</v>
      </c>
      <c r="CH5">
        <v>1.8250476313930042</v>
      </c>
      <c r="CI5">
        <v>0.8218217130077019</v>
      </c>
      <c r="CJ5">
        <v>1.4984383382923294</v>
      </c>
      <c r="CK5">
        <v>164.78856306863136</v>
      </c>
      <c r="CL5">
        <v>29.800130292407076</v>
      </c>
      <c r="CM5">
        <v>13.545058396613452</v>
      </c>
      <c r="CN5">
        <v>1.6303570813560064</v>
      </c>
      <c r="CO5">
        <v>0.80074177198284791</v>
      </c>
      <c r="CP5">
        <v>1.3444923135486735</v>
      </c>
      <c r="CQ5">
        <v>150.47042180211446</v>
      </c>
      <c r="CR5">
        <v>29.756707864953434</v>
      </c>
      <c r="CS5">
        <v>13.969370441153508</v>
      </c>
      <c r="CT5">
        <v>1.6489859211880453</v>
      </c>
      <c r="CU5">
        <v>0.82998912585563012</v>
      </c>
      <c r="CV5">
        <v>1.2880222579210574</v>
      </c>
      <c r="CW5">
        <v>145.18239517540906</v>
      </c>
      <c r="CX5">
        <v>29.776144820765921</v>
      </c>
      <c r="CY5">
        <v>14.134525983705943</v>
      </c>
      <c r="DA5">
        <v>9</v>
      </c>
      <c r="DB5">
        <v>1.8877643750770179</v>
      </c>
      <c r="DC5">
        <v>0.83621057563706924</v>
      </c>
      <c r="DD5">
        <v>1.6776826744776223</v>
      </c>
      <c r="DE5">
        <v>187.14128755844024</v>
      </c>
      <c r="DF5">
        <v>28.959966944656998</v>
      </c>
      <c r="DG5">
        <v>13.093702477393881</v>
      </c>
      <c r="DH5">
        <v>1.8629055969024455</v>
      </c>
      <c r="DI5">
        <v>0.8033475386271639</v>
      </c>
      <c r="DJ5">
        <v>1.6443114581609848</v>
      </c>
      <c r="DK5">
        <v>182.4380049142037</v>
      </c>
      <c r="DL5">
        <v>28.952460995879147</v>
      </c>
      <c r="DM5">
        <v>12.968755516531855</v>
      </c>
      <c r="DN5">
        <v>1.5112441022275027</v>
      </c>
      <c r="DO5">
        <v>0.77812365377436032</v>
      </c>
      <c r="DP5">
        <v>1.4868788495105596</v>
      </c>
      <c r="DQ5">
        <v>160.88315560559565</v>
      </c>
      <c r="DR5">
        <v>28.573016880944177</v>
      </c>
      <c r="DS5">
        <v>13.602248429226954</v>
      </c>
      <c r="DT5">
        <v>1.5121451739552612</v>
      </c>
      <c r="DU5">
        <v>0.83270762488915462</v>
      </c>
      <c r="DV5">
        <v>1.4294140620018541</v>
      </c>
      <c r="DW5">
        <v>152.604563881156</v>
      </c>
      <c r="DX5">
        <v>28.565937778086276</v>
      </c>
      <c r="DY5">
        <v>13.983480318180506</v>
      </c>
      <c r="DZ5">
        <v>1.55405743599542</v>
      </c>
      <c r="EA5">
        <v>0.84299643622762488</v>
      </c>
      <c r="EB5">
        <v>1.3925403930355524</v>
      </c>
      <c r="EC5">
        <v>147.7892137688381</v>
      </c>
      <c r="ED5">
        <v>28.608607023170464</v>
      </c>
      <c r="EE5">
        <v>13.973223043094032</v>
      </c>
      <c r="EG5">
        <v>9</v>
      </c>
      <c r="EH5">
        <v>1.7259615133515869</v>
      </c>
      <c r="EI5">
        <v>0.73761405680678838</v>
      </c>
      <c r="EJ5">
        <v>1.6829217719620062</v>
      </c>
      <c r="EK5">
        <v>186.95731040280171</v>
      </c>
      <c r="EL5">
        <v>28.123011764661953</v>
      </c>
      <c r="EM5">
        <v>12.579212958452496</v>
      </c>
      <c r="EN5">
        <v>1.6929244237576191</v>
      </c>
      <c r="EO5">
        <v>0.73257756458253531</v>
      </c>
      <c r="EP5">
        <v>1.6416321863728183</v>
      </c>
      <c r="EQ5">
        <v>182.03782344238246</v>
      </c>
      <c r="ER5">
        <v>28.08233998643529</v>
      </c>
      <c r="ES5">
        <v>12.608500064482408</v>
      </c>
      <c r="ET5">
        <v>1.8809191933531697</v>
      </c>
      <c r="EU5">
        <v>0.70430646456939694</v>
      </c>
      <c r="EV5">
        <v>1.4950383980555859</v>
      </c>
      <c r="EW5">
        <v>174.31308924865732</v>
      </c>
      <c r="EX5">
        <v>28.492365280837202</v>
      </c>
      <c r="EY5">
        <v>12.130789893832446</v>
      </c>
      <c r="EZ5">
        <v>1.6647263591701136</v>
      </c>
      <c r="FA5">
        <v>0.74309612578116568</v>
      </c>
      <c r="FB5">
        <v>1.4408924413997848</v>
      </c>
      <c r="FC5">
        <v>159.93825152604245</v>
      </c>
      <c r="FD5">
        <v>28.210097451023387</v>
      </c>
      <c r="FE5">
        <v>12.782004285296322</v>
      </c>
      <c r="FF5">
        <v>1.6435151669730312</v>
      </c>
      <c r="FG5">
        <v>0.75908939106328288</v>
      </c>
      <c r="FH5">
        <v>1.4047683005419851</v>
      </c>
      <c r="FI5">
        <v>156.30226246338094</v>
      </c>
      <c r="FJ5">
        <v>27.622768870445199</v>
      </c>
      <c r="FK5">
        <v>12.675341808665728</v>
      </c>
      <c r="FN5">
        <v>9</v>
      </c>
      <c r="FO5">
        <v>2.0856939829115291</v>
      </c>
      <c r="FP5">
        <v>0.80529635957342993</v>
      </c>
      <c r="FQ5">
        <v>1.5356028502635506</v>
      </c>
      <c r="FR5">
        <v>163.17646609374918</v>
      </c>
      <c r="FS5">
        <v>31.007268857418286</v>
      </c>
      <c r="FT5">
        <v>13.264720356640312</v>
      </c>
      <c r="FU5">
        <v>2.4557485079750054</v>
      </c>
      <c r="FV5">
        <v>0.9786001977991885</v>
      </c>
      <c r="FW5">
        <v>1.794425440304477</v>
      </c>
      <c r="FX5">
        <v>191.31121790729406</v>
      </c>
      <c r="FY5">
        <v>31.350520573661846</v>
      </c>
      <c r="FZ5">
        <v>13.576755252496246</v>
      </c>
      <c r="GB5">
        <v>9</v>
      </c>
      <c r="GC5">
        <v>1.8850418522016938</v>
      </c>
      <c r="GD5">
        <v>0.95636362136286068</v>
      </c>
      <c r="GE5">
        <v>1.4455973171361762</v>
      </c>
      <c r="GF5">
        <v>161.24616006688998</v>
      </c>
      <c r="GG5">
        <v>30.134078372140934</v>
      </c>
      <c r="GH5">
        <v>14.360388193723479</v>
      </c>
      <c r="GI5">
        <v>2.1148622204749943</v>
      </c>
      <c r="GJ5">
        <v>1.024339204533028</v>
      </c>
      <c r="GK5">
        <v>1.7045130766548853</v>
      </c>
      <c r="GL5">
        <v>188.00875245262759</v>
      </c>
      <c r="GM5">
        <v>30.088067239849703</v>
      </c>
      <c r="GN5">
        <v>14.058518844669926</v>
      </c>
      <c r="GP5">
        <v>9</v>
      </c>
      <c r="GQ5">
        <v>1.6011222636705467</v>
      </c>
      <c r="GR5">
        <v>0.77910503495702355</v>
      </c>
      <c r="GS5">
        <v>1.4488458585243142</v>
      </c>
      <c r="GT5">
        <v>158.47376108765388</v>
      </c>
      <c r="GU5">
        <v>28.869667790624085</v>
      </c>
      <c r="GV5">
        <v>13.493078300320361</v>
      </c>
      <c r="GW5">
        <v>1.7791095343908045</v>
      </c>
      <c r="GX5">
        <v>0.80388692210155999</v>
      </c>
      <c r="GY5">
        <v>1.6905941050838751</v>
      </c>
      <c r="GZ5">
        <v>184.58503909768527</v>
      </c>
      <c r="HA5">
        <v>28.827186241105572</v>
      </c>
      <c r="HB5">
        <v>13.12496569998051</v>
      </c>
      <c r="HD5">
        <v>9</v>
      </c>
      <c r="HE5">
        <v>1.6480309470648888</v>
      </c>
      <c r="HF5">
        <v>0.69066770796927701</v>
      </c>
      <c r="HG5">
        <v>1.395155861412015</v>
      </c>
      <c r="HH5">
        <v>163.70335909166673</v>
      </c>
      <c r="HI5">
        <v>28.233956500168855</v>
      </c>
      <c r="HJ5">
        <v>12.521804997088646</v>
      </c>
      <c r="HK5">
        <v>1.8896215447056997</v>
      </c>
      <c r="HL5">
        <v>0.74323338436083408</v>
      </c>
      <c r="HM5">
        <v>1.7429505373984007</v>
      </c>
      <c r="HN5">
        <v>190.52809335252772</v>
      </c>
      <c r="HO5">
        <v>28.50802322183403</v>
      </c>
      <c r="HP5">
        <v>12.397220418175239</v>
      </c>
      <c r="HS5">
        <v>700</v>
      </c>
      <c r="HT5">
        <v>7.67</v>
      </c>
      <c r="HU5">
        <v>4.3600000000000003</v>
      </c>
      <c r="HV5">
        <v>8</v>
      </c>
      <c r="HW5">
        <v>6</v>
      </c>
      <c r="HX5">
        <v>11</v>
      </c>
      <c r="HY5">
        <v>11</v>
      </c>
      <c r="IA5">
        <v>23</v>
      </c>
      <c r="IB5">
        <v>27.166666666666668</v>
      </c>
      <c r="IC5">
        <v>24.033333333333335</v>
      </c>
      <c r="ID5">
        <v>23.033333333333335</v>
      </c>
      <c r="IE5">
        <v>22.033333333333335</v>
      </c>
      <c r="IF5">
        <v>12.6</v>
      </c>
      <c r="IG5">
        <v>11.066666666666666</v>
      </c>
      <c r="IH5">
        <v>10.3</v>
      </c>
      <c r="II5">
        <v>9.6566666666666663</v>
      </c>
      <c r="IJ5">
        <v>12.77</v>
      </c>
      <c r="IK5">
        <v>11.573333333333334</v>
      </c>
      <c r="IL5">
        <v>11.393333333333334</v>
      </c>
      <c r="IM5">
        <v>10.666666666666666</v>
      </c>
      <c r="IN5">
        <v>4.0666666666666664</v>
      </c>
      <c r="IO5">
        <v>1.2333333333333334</v>
      </c>
      <c r="IP5">
        <v>6.25</v>
      </c>
      <c r="IQ5">
        <v>8</v>
      </c>
      <c r="IR5">
        <v>11</v>
      </c>
    </row>
    <row r="6" spans="1:252" x14ac:dyDescent="0.2">
      <c r="B6">
        <v>391.35140728562391</v>
      </c>
      <c r="C6">
        <v>2.5552482535731884</v>
      </c>
      <c r="D6">
        <v>380.87993961560312</v>
      </c>
      <c r="E6">
        <v>2.625499261024967</v>
      </c>
      <c r="F6">
        <v>351.01544739510115</v>
      </c>
      <c r="G6">
        <v>2.8488774708379294</v>
      </c>
      <c r="H6">
        <v>329.89837019060235</v>
      </c>
      <c r="I6">
        <v>3.0312365575563138</v>
      </c>
      <c r="J6">
        <v>314.58930076282024</v>
      </c>
      <c r="K6">
        <v>3.1787476483630783</v>
      </c>
      <c r="L6">
        <v>336.89898762365948</v>
      </c>
      <c r="M6">
        <v>2.9682487532941839</v>
      </c>
      <c r="N6">
        <v>395.87076598508281</v>
      </c>
      <c r="O6">
        <v>2.5260769067188003</v>
      </c>
      <c r="Q6">
        <v>1.750413331106896E-2</v>
      </c>
      <c r="R6">
        <v>1.7630038677680586E-2</v>
      </c>
      <c r="S6">
        <v>1.7983615439726451E-2</v>
      </c>
      <c r="T6">
        <v>1.8273877100019455E-2</v>
      </c>
      <c r="U6">
        <v>1.8535962114799579E-2</v>
      </c>
      <c r="V6">
        <v>1.7849573116678393E-2</v>
      </c>
      <c r="W6">
        <v>1.7590735325936354E-2</v>
      </c>
      <c r="Y6">
        <v>0.43633036817317122</v>
      </c>
      <c r="Z6">
        <v>0.44360407635569882</v>
      </c>
      <c r="AA6">
        <v>0.43295978689270187</v>
      </c>
      <c r="AB6">
        <v>0.43990439612082816</v>
      </c>
      <c r="AC6">
        <v>0.44212216483069638</v>
      </c>
      <c r="AD6">
        <v>0.45424461473193989</v>
      </c>
      <c r="AE6">
        <v>0.42327485844616614</v>
      </c>
      <c r="AG6">
        <v>0.26384924147649363</v>
      </c>
      <c r="AH6">
        <v>0.26587761058893283</v>
      </c>
      <c r="AI6">
        <v>0.25882432745962869</v>
      </c>
      <c r="AJ6">
        <v>0.2616602991183295</v>
      </c>
      <c r="AK6">
        <v>0.26085696148651533</v>
      </c>
      <c r="AL6">
        <v>0.26944415983163811</v>
      </c>
      <c r="AM6">
        <v>0.25561006376418066</v>
      </c>
      <c r="AO6">
        <v>10</v>
      </c>
      <c r="AP6">
        <v>2.823738746082654</v>
      </c>
      <c r="AQ6">
        <v>0.90833735579975683</v>
      </c>
      <c r="AR6">
        <v>1.964810213214069</v>
      </c>
      <c r="AS6">
        <v>207.67907802721666</v>
      </c>
      <c r="AT6">
        <v>31.204521694333799</v>
      </c>
      <c r="AU6">
        <v>12.421104548022658</v>
      </c>
      <c r="AV6">
        <v>2.742636843020994</v>
      </c>
      <c r="AW6">
        <v>0.90596556002986028</v>
      </c>
      <c r="AX6">
        <v>1.8940372195977462</v>
      </c>
      <c r="AY6">
        <v>201.97615603415849</v>
      </c>
      <c r="AZ6">
        <v>31.199618422896698</v>
      </c>
      <c r="BA6">
        <v>12.538674821249648</v>
      </c>
      <c r="BB6">
        <v>2.4505671635516664</v>
      </c>
      <c r="BC6">
        <v>0.86560368505712648</v>
      </c>
      <c r="BD6">
        <v>1.7637350503002966</v>
      </c>
      <c r="BE6">
        <v>186.03057207104004</v>
      </c>
      <c r="BF6">
        <v>30.803837456475627</v>
      </c>
      <c r="BG6">
        <v>12.710895455693827</v>
      </c>
      <c r="BH6">
        <v>2.2994907972546819</v>
      </c>
      <c r="BI6">
        <v>0.83560183394217868</v>
      </c>
      <c r="BJ6">
        <v>1.645388284631234</v>
      </c>
      <c r="BK6">
        <v>174.9538360722259</v>
      </c>
      <c r="BL6">
        <v>30.762750272556492</v>
      </c>
      <c r="BM6">
        <v>12.828714558248272</v>
      </c>
      <c r="BN6">
        <v>2.2932523344306412</v>
      </c>
      <c r="BO6">
        <v>0.84835613617304384</v>
      </c>
      <c r="BP6">
        <v>1.5695377676582432</v>
      </c>
      <c r="BQ6">
        <v>169.99520266431711</v>
      </c>
      <c r="BR6">
        <v>30.781896657939161</v>
      </c>
      <c r="BS6">
        <v>12.893362346281904</v>
      </c>
      <c r="BU6">
        <v>10</v>
      </c>
      <c r="BV6">
        <v>2.5121435724726555</v>
      </c>
      <c r="BW6">
        <v>1.0148044027832297</v>
      </c>
      <c r="BX6">
        <v>1.8583187366758291</v>
      </c>
      <c r="BY6">
        <v>205.10116480913243</v>
      </c>
      <c r="BZ6">
        <v>30.077504083852205</v>
      </c>
      <c r="CA6">
        <v>13.096320491871165</v>
      </c>
      <c r="CB6">
        <v>2.4628031896565159</v>
      </c>
      <c r="CC6">
        <v>1.0231201719289642</v>
      </c>
      <c r="CD6">
        <v>1.7955479740414384</v>
      </c>
      <c r="CE6">
        <v>199.87135119984063</v>
      </c>
      <c r="CF6">
        <v>30.128106450853441</v>
      </c>
      <c r="CG6">
        <v>13.256867170563808</v>
      </c>
      <c r="CH6">
        <v>2.1744542437832184</v>
      </c>
      <c r="CI6">
        <v>0.93493145598105643</v>
      </c>
      <c r="CJ6">
        <v>1.6735569404992567</v>
      </c>
      <c r="CK6">
        <v>183.47378578211749</v>
      </c>
      <c r="CL6">
        <v>29.728184661324292</v>
      </c>
      <c r="CM6">
        <v>13.26588925881892</v>
      </c>
      <c r="CN6">
        <v>2.0283172319432312</v>
      </c>
      <c r="CO6">
        <v>0.92361510041960093</v>
      </c>
      <c r="CP6">
        <v>1.5527466783730759</v>
      </c>
      <c r="CQ6">
        <v>172.16568648880215</v>
      </c>
      <c r="CR6">
        <v>29.685866604647952</v>
      </c>
      <c r="CS6">
        <v>13.547682688038263</v>
      </c>
      <c r="CT6">
        <v>2.0544898171917323</v>
      </c>
      <c r="CU6">
        <v>0.95158318667135533</v>
      </c>
      <c r="CV6">
        <v>1.5103032678587052</v>
      </c>
      <c r="CW6">
        <v>168.12239134540997</v>
      </c>
      <c r="CX6">
        <v>29.704622944954735</v>
      </c>
      <c r="CY6">
        <v>13.650988290214073</v>
      </c>
      <c r="DA6">
        <v>10</v>
      </c>
      <c r="DB6">
        <v>2.1781303805989922</v>
      </c>
      <c r="DC6">
        <v>0.91827454353495608</v>
      </c>
      <c r="DD6">
        <v>1.8212553602376085</v>
      </c>
      <c r="DE6">
        <v>201.97530750243956</v>
      </c>
      <c r="DF6">
        <v>28.889263754211072</v>
      </c>
      <c r="DG6">
        <v>12.821075805600319</v>
      </c>
      <c r="DH6">
        <v>2.1584951868927758</v>
      </c>
      <c r="DI6">
        <v>0.8898284553265382</v>
      </c>
      <c r="DJ6">
        <v>1.7932166856402707</v>
      </c>
      <c r="DK6">
        <v>197.95797525008965</v>
      </c>
      <c r="DL6">
        <v>28.882076286332307</v>
      </c>
      <c r="DM6">
        <v>12.711668899805195</v>
      </c>
      <c r="DN6">
        <v>1.8783459207554047</v>
      </c>
      <c r="DO6">
        <v>0.87485583326306438</v>
      </c>
      <c r="DP6">
        <v>1.6693930295515484</v>
      </c>
      <c r="DQ6">
        <v>180.68486264879311</v>
      </c>
      <c r="DR6">
        <v>28.548236889337911</v>
      </c>
      <c r="DS6">
        <v>13.138163687669049</v>
      </c>
      <c r="DT6">
        <v>1.8908436142452072</v>
      </c>
      <c r="DU6">
        <v>0.92549809310245634</v>
      </c>
      <c r="DV6">
        <v>1.6261060376672138</v>
      </c>
      <c r="DW6">
        <v>174.25366361557326</v>
      </c>
      <c r="DX6">
        <v>28.541230537787765</v>
      </c>
      <c r="DY6">
        <v>13.39615497640993</v>
      </c>
      <c r="DZ6">
        <v>1.9365101733459724</v>
      </c>
      <c r="EA6">
        <v>0.93638063381216075</v>
      </c>
      <c r="EB6">
        <v>1.5994916549449458</v>
      </c>
      <c r="EC6">
        <v>170.60360279504567</v>
      </c>
      <c r="ED6">
        <v>28.581064642178617</v>
      </c>
      <c r="EE6">
        <v>13.363341719451604</v>
      </c>
      <c r="EG6">
        <v>10</v>
      </c>
      <c r="EH6">
        <v>2.0065316667306297</v>
      </c>
      <c r="EI6">
        <v>0.81418475127676271</v>
      </c>
      <c r="EJ6">
        <v>1.81136293206688</v>
      </c>
      <c r="EK6">
        <v>201.77756492804738</v>
      </c>
      <c r="EL6">
        <v>28.067140261242638</v>
      </c>
      <c r="EM6">
        <v>12.317776443462954</v>
      </c>
      <c r="EN6">
        <v>1.9827762791706212</v>
      </c>
      <c r="EO6">
        <v>0.81017559413617002</v>
      </c>
      <c r="EP6">
        <v>1.7761789926170521</v>
      </c>
      <c r="EQ6">
        <v>197.69857172817862</v>
      </c>
      <c r="ER6">
        <v>28.031150586956606</v>
      </c>
      <c r="ES6">
        <v>12.325447548578767</v>
      </c>
      <c r="ET6">
        <v>2.1462052357820167</v>
      </c>
      <c r="EU6">
        <v>0.79185231267061129</v>
      </c>
      <c r="EV6">
        <v>1.6607199326218027</v>
      </c>
      <c r="EW6">
        <v>191.13039743575513</v>
      </c>
      <c r="EX6">
        <v>28.389485131823264</v>
      </c>
      <c r="EY6">
        <v>11.985868346982437</v>
      </c>
      <c r="EZ6">
        <v>1.9851111902225225</v>
      </c>
      <c r="FA6">
        <v>0.82849039454045315</v>
      </c>
      <c r="FB6">
        <v>1.6196340501798066</v>
      </c>
      <c r="FC6">
        <v>180.08033058589911</v>
      </c>
      <c r="FD6">
        <v>28.14122755547811</v>
      </c>
      <c r="FE6">
        <v>12.424018643014476</v>
      </c>
      <c r="FF6">
        <v>1.980286380033079</v>
      </c>
      <c r="FG6">
        <v>0.84414423184844556</v>
      </c>
      <c r="FH6">
        <v>1.5931629259223274</v>
      </c>
      <c r="FI6">
        <v>178.07248036986923</v>
      </c>
      <c r="FJ6">
        <v>27.628125334931472</v>
      </c>
      <c r="FK6">
        <v>12.284873194399678</v>
      </c>
      <c r="FN6">
        <v>10</v>
      </c>
      <c r="FO6">
        <v>2.4196805545857227</v>
      </c>
      <c r="FP6">
        <v>0.91635644967672458</v>
      </c>
      <c r="FQ6">
        <v>1.7060126244126195</v>
      </c>
      <c r="FR6">
        <v>180.10809204638096</v>
      </c>
      <c r="FS6">
        <v>30.912906975370248</v>
      </c>
      <c r="FT6">
        <v>13.075945392376303</v>
      </c>
      <c r="FU6">
        <v>2.7683219874648795</v>
      </c>
      <c r="FV6">
        <v>1.0815165491417638</v>
      </c>
      <c r="FW6">
        <v>1.9510874872080965</v>
      </c>
      <c r="FX6">
        <v>206.99471280635461</v>
      </c>
      <c r="FY6">
        <v>31.2439788299315</v>
      </c>
      <c r="FZ6">
        <v>13.392045708309313</v>
      </c>
      <c r="GB6">
        <v>10</v>
      </c>
      <c r="GC6">
        <v>2.2088143400007265</v>
      </c>
      <c r="GD6">
        <v>1.0434610836384122</v>
      </c>
      <c r="GE6">
        <v>1.6116587857606686</v>
      </c>
      <c r="GF6">
        <v>178.37017909416727</v>
      </c>
      <c r="GG6">
        <v>30.031917372960514</v>
      </c>
      <c r="GH6">
        <v>13.915937198083004</v>
      </c>
      <c r="GI6">
        <v>2.4224523129056319</v>
      </c>
      <c r="GJ6">
        <v>1.1074166335767681</v>
      </c>
      <c r="GK6">
        <v>1.8569487551316204</v>
      </c>
      <c r="GL6">
        <v>204.12270183780052</v>
      </c>
      <c r="GM6">
        <v>29.989161887218565</v>
      </c>
      <c r="GN6">
        <v>13.707356969727893</v>
      </c>
      <c r="GP6">
        <v>10</v>
      </c>
      <c r="GQ6">
        <v>1.9363672000179326</v>
      </c>
      <c r="GR6">
        <v>0.87140195638132523</v>
      </c>
      <c r="GS6">
        <v>1.6187142215321633</v>
      </c>
      <c r="GT6">
        <v>176.43728577841605</v>
      </c>
      <c r="GU6">
        <v>28.816762386374155</v>
      </c>
      <c r="GV6">
        <v>13.093202340062101</v>
      </c>
      <c r="GW6">
        <v>2.1019057811089752</v>
      </c>
      <c r="GX6">
        <v>0.89369970608658666</v>
      </c>
      <c r="GY6">
        <v>1.84965093638082</v>
      </c>
      <c r="GZ6">
        <v>201.59038776856994</v>
      </c>
      <c r="HA6">
        <v>28.775787787725136</v>
      </c>
      <c r="HB6">
        <v>12.819390055406187</v>
      </c>
      <c r="HD6">
        <v>10</v>
      </c>
      <c r="HE6">
        <v>1.9349408938769563</v>
      </c>
      <c r="HF6">
        <v>0.77495772068055091</v>
      </c>
      <c r="HG6">
        <v>1.5518618739009304</v>
      </c>
      <c r="HH6">
        <v>180.50152671433568</v>
      </c>
      <c r="HI6">
        <v>28.160011312684027</v>
      </c>
      <c r="HJ6">
        <v>12.264078246998974</v>
      </c>
      <c r="HK6">
        <v>2.1642996782345474</v>
      </c>
      <c r="HL6">
        <v>0.82445060457094022</v>
      </c>
      <c r="HM6">
        <v>1.8861927244551528</v>
      </c>
      <c r="HN6">
        <v>206.28301108647244</v>
      </c>
      <c r="HO6">
        <v>28.423650036508818</v>
      </c>
      <c r="HP6">
        <v>12.192069029164783</v>
      </c>
      <c r="HS6">
        <v>750</v>
      </c>
      <c r="HT6">
        <v>7.67</v>
      </c>
      <c r="HU6">
        <v>4.43</v>
      </c>
      <c r="HV6">
        <v>8</v>
      </c>
      <c r="HW6">
        <v>6</v>
      </c>
      <c r="HX6">
        <v>11</v>
      </c>
      <c r="HY6">
        <v>11</v>
      </c>
      <c r="IA6">
        <v>24</v>
      </c>
      <c r="IB6">
        <v>27.233333333333334</v>
      </c>
      <c r="IC6">
        <v>24.06666666666667</v>
      </c>
      <c r="ID6">
        <v>23.06666666666667</v>
      </c>
      <c r="IE6">
        <v>22.06666666666667</v>
      </c>
      <c r="IF6">
        <v>12.6</v>
      </c>
      <c r="IG6">
        <v>11.133333333333333</v>
      </c>
      <c r="IH6">
        <v>10.3</v>
      </c>
      <c r="II6">
        <v>9.6633333333333322</v>
      </c>
      <c r="IJ6">
        <v>12.77</v>
      </c>
      <c r="IK6">
        <v>11.576666666666668</v>
      </c>
      <c r="IL6">
        <v>11.486666666666668</v>
      </c>
      <c r="IM6">
        <v>10.733333333333333</v>
      </c>
      <c r="IN6">
        <v>4.1333333333333329</v>
      </c>
      <c r="IO6">
        <v>1.2666666666666668</v>
      </c>
      <c r="IP6">
        <v>6.25</v>
      </c>
      <c r="IQ6">
        <v>8</v>
      </c>
      <c r="IR6">
        <v>11</v>
      </c>
    </row>
    <row r="7" spans="1:252" x14ac:dyDescent="0.2">
      <c r="B7">
        <v>404.5324464554713</v>
      </c>
      <c r="C7">
        <v>2.4719895987628138</v>
      </c>
      <c r="D7">
        <v>395.62830771062676</v>
      </c>
      <c r="E7">
        <v>2.5276249967720386</v>
      </c>
      <c r="F7">
        <v>371.53772019407796</v>
      </c>
      <c r="G7">
        <v>2.6915167576461307</v>
      </c>
      <c r="H7">
        <v>354.83366113047947</v>
      </c>
      <c r="I7">
        <v>2.8182219150631256</v>
      </c>
      <c r="J7">
        <v>342.67162666160982</v>
      </c>
      <c r="K7">
        <v>2.9182456970314199</v>
      </c>
      <c r="L7">
        <v>355.2647762051165</v>
      </c>
      <c r="M7">
        <v>2.8148019927048371</v>
      </c>
      <c r="N7">
        <v>412.44695738358848</v>
      </c>
      <c r="O7">
        <v>2.424554193207368</v>
      </c>
      <c r="Q7">
        <v>1.9248691891065966E-2</v>
      </c>
      <c r="R7">
        <v>1.9387680305832017E-2</v>
      </c>
      <c r="S7">
        <v>1.977838497001691E-2</v>
      </c>
      <c r="T7">
        <v>2.0099183139568953E-2</v>
      </c>
      <c r="U7">
        <v>2.0388667726592851E-2</v>
      </c>
      <c r="V7">
        <v>1.9634530428346231E-2</v>
      </c>
      <c r="W7">
        <v>1.934980885852999E-2</v>
      </c>
      <c r="Y7">
        <v>0.47516898656219492</v>
      </c>
      <c r="Z7">
        <v>0.4816433401026044</v>
      </c>
      <c r="AA7">
        <v>0.47613080110041101</v>
      </c>
      <c r="AB7">
        <v>0.48381255897621467</v>
      </c>
      <c r="AC7">
        <v>0.48690350977575791</v>
      </c>
      <c r="AD7">
        <v>0.49460095813256166</v>
      </c>
      <c r="AE7">
        <v>0.46346219859803017</v>
      </c>
      <c r="AG7">
        <v>0.27691402462070203</v>
      </c>
      <c r="AH7">
        <v>0.2787340995912343</v>
      </c>
      <c r="AI7">
        <v>0.27398111714488749</v>
      </c>
      <c r="AJ7">
        <v>0.27706542802991474</v>
      </c>
      <c r="AK7">
        <v>0.27677997729461817</v>
      </c>
      <c r="AL7">
        <v>0.28335582986945729</v>
      </c>
      <c r="AM7">
        <v>0.26944613123018391</v>
      </c>
      <c r="AO7">
        <v>11</v>
      </c>
      <c r="AP7">
        <v>3.0926331240578637</v>
      </c>
      <c r="AQ7">
        <v>1.0250598382409364</v>
      </c>
      <c r="AR7">
        <v>2.0969562011806544</v>
      </c>
      <c r="AS7">
        <v>221.07683729458535</v>
      </c>
      <c r="AT7">
        <v>31.086858251821543</v>
      </c>
      <c r="AU7">
        <v>12.450945492589804</v>
      </c>
      <c r="AV7">
        <v>3.0296808784617335</v>
      </c>
      <c r="AW7">
        <v>1.0248538279868538</v>
      </c>
      <c r="AX7">
        <v>2.0398468244385293</v>
      </c>
      <c r="AY7">
        <v>216.41140992001851</v>
      </c>
      <c r="AZ7">
        <v>31.08168736664943</v>
      </c>
      <c r="BA7">
        <v>12.542705197790955</v>
      </c>
      <c r="BB7">
        <v>2.8046405020695526</v>
      </c>
      <c r="BC7">
        <v>0.99909664034396739</v>
      </c>
      <c r="BD7">
        <v>1.9418655735892718</v>
      </c>
      <c r="BE7">
        <v>204.22091814185941</v>
      </c>
      <c r="BF7">
        <v>30.732840771988272</v>
      </c>
      <c r="BG7">
        <v>12.661526047182987</v>
      </c>
      <c r="BH7">
        <v>2.7031911771971076</v>
      </c>
      <c r="BI7">
        <v>0.98319425997253984</v>
      </c>
      <c r="BJ7">
        <v>1.8562092293852008</v>
      </c>
      <c r="BK7">
        <v>196.09694613605609</v>
      </c>
      <c r="BL7">
        <v>30.692762051604671</v>
      </c>
      <c r="BM7">
        <v>12.741205098098435</v>
      </c>
      <c r="BN7">
        <v>2.7100904035173938</v>
      </c>
      <c r="BO7">
        <v>0.9980979656301765</v>
      </c>
      <c r="BP7">
        <v>1.8002925514510686</v>
      </c>
      <c r="BQ7">
        <v>192.50241651598034</v>
      </c>
      <c r="BR7">
        <v>30.711375940325908</v>
      </c>
      <c r="BS7">
        <v>12.786733755543503</v>
      </c>
      <c r="BU7">
        <v>11</v>
      </c>
      <c r="BV7">
        <v>2.778715606532566</v>
      </c>
      <c r="BW7">
        <v>1.1056497300571628</v>
      </c>
      <c r="BX7">
        <v>1.9882402367901744</v>
      </c>
      <c r="BY7">
        <v>218.89962958559684</v>
      </c>
      <c r="BZ7">
        <v>29.961982113121113</v>
      </c>
      <c r="CA7">
        <v>12.942943521690053</v>
      </c>
      <c r="CB7">
        <v>2.7428497756093395</v>
      </c>
      <c r="CC7">
        <v>1.1148750313005451</v>
      </c>
      <c r="CD7">
        <v>1.937891782382323</v>
      </c>
      <c r="CE7">
        <v>214.57834542416438</v>
      </c>
      <c r="CF7">
        <v>30.010487172543236</v>
      </c>
      <c r="CG7">
        <v>13.069378989921894</v>
      </c>
      <c r="CH7">
        <v>2.520374734058342</v>
      </c>
      <c r="CI7">
        <v>1.047083407880421</v>
      </c>
      <c r="CJ7">
        <v>1.8466344918331388</v>
      </c>
      <c r="CK7">
        <v>202.03752384404228</v>
      </c>
      <c r="CL7">
        <v>29.657971833871791</v>
      </c>
      <c r="CM7">
        <v>13.035871712634311</v>
      </c>
      <c r="CN7">
        <v>2.422373238433666</v>
      </c>
      <c r="CO7">
        <v>1.0454813282861857</v>
      </c>
      <c r="CP7">
        <v>1.7585872878889748</v>
      </c>
      <c r="CQ7">
        <v>193.73927962204451</v>
      </c>
      <c r="CR7">
        <v>29.616807594364456</v>
      </c>
      <c r="CS7">
        <v>13.217755754742257</v>
      </c>
      <c r="CT7">
        <v>2.4559601156840318</v>
      </c>
      <c r="CU7">
        <v>1.0721795607765392</v>
      </c>
      <c r="CV7">
        <v>1.7299548335355595</v>
      </c>
      <c r="CW7">
        <v>190.91818901960985</v>
      </c>
      <c r="CX7">
        <v>29.63512185121855</v>
      </c>
      <c r="CY7">
        <v>13.280865251526706</v>
      </c>
      <c r="DA7">
        <v>11</v>
      </c>
      <c r="DB7">
        <v>2.4649889968300074</v>
      </c>
      <c r="DC7">
        <v>0.9996902131052966</v>
      </c>
      <c r="DD7">
        <v>1.963063346593267</v>
      </c>
      <c r="DE7">
        <v>216.6964241348465</v>
      </c>
      <c r="DF7">
        <v>28.818842772522224</v>
      </c>
      <c r="DG7">
        <v>12.585560821235646</v>
      </c>
      <c r="DH7">
        <v>2.4506184224252565</v>
      </c>
      <c r="DI7">
        <v>0.97567779608958416</v>
      </c>
      <c r="DJ7">
        <v>1.9403380698102861</v>
      </c>
      <c r="DK7">
        <v>213.36176825747742</v>
      </c>
      <c r="DL7">
        <v>28.811953424827852</v>
      </c>
      <c r="DM7">
        <v>12.491499793681578</v>
      </c>
      <c r="DN7">
        <v>2.2410507412557106</v>
      </c>
      <c r="DO7">
        <v>0.97083714845618152</v>
      </c>
      <c r="DP7">
        <v>1.8496546853610092</v>
      </c>
      <c r="DQ7">
        <v>200.29900392036379</v>
      </c>
      <c r="DR7">
        <v>28.520856753838217</v>
      </c>
      <c r="DS7">
        <v>12.768355970266406</v>
      </c>
      <c r="DT7">
        <v>2.2653640663906227</v>
      </c>
      <c r="DU7">
        <v>1.0177405204363241</v>
      </c>
      <c r="DV7">
        <v>1.8205335393198738</v>
      </c>
      <c r="DW7">
        <v>195.72802055368021</v>
      </c>
      <c r="DX7">
        <v>28.513698652887573</v>
      </c>
      <c r="DY7">
        <v>12.941722207829319</v>
      </c>
      <c r="DZ7">
        <v>2.3147355255463014</v>
      </c>
      <c r="EA7">
        <v>1.0292241271600546</v>
      </c>
      <c r="EB7">
        <v>1.8040385664164524</v>
      </c>
      <c r="EC7">
        <v>193.2196054670637</v>
      </c>
      <c r="ED7">
        <v>28.551239361746628</v>
      </c>
      <c r="EE7">
        <v>12.90036434342761</v>
      </c>
      <c r="EG7">
        <v>11</v>
      </c>
      <c r="EH7">
        <v>2.2835917239864427</v>
      </c>
      <c r="EI7">
        <v>0.89014370937414466</v>
      </c>
      <c r="EJ7">
        <v>1.9382376302363977</v>
      </c>
      <c r="EK7">
        <v>216.47728060421667</v>
      </c>
      <c r="EL7">
        <v>28.010065937368658</v>
      </c>
      <c r="EM7">
        <v>12.092259818932915</v>
      </c>
      <c r="EN7">
        <v>2.2690918222151883</v>
      </c>
      <c r="EO7">
        <v>0.88720900914346368</v>
      </c>
      <c r="EP7">
        <v>1.9091256173635922</v>
      </c>
      <c r="EQ7">
        <v>213.22646936118556</v>
      </c>
      <c r="ER7">
        <v>27.97890312275306</v>
      </c>
      <c r="ES7">
        <v>12.08452076771454</v>
      </c>
      <c r="ET7">
        <v>2.4087165327922766</v>
      </c>
      <c r="EU7">
        <v>0.87871861735310275</v>
      </c>
      <c r="EV7">
        <v>1.8243681865771653</v>
      </c>
      <c r="EW7">
        <v>207.88787600855181</v>
      </c>
      <c r="EX7">
        <v>28.286233440779601</v>
      </c>
      <c r="EY7">
        <v>11.859135312636006</v>
      </c>
      <c r="EZ7">
        <v>2.3020636698058765</v>
      </c>
      <c r="FA7">
        <v>0.91337511059918475</v>
      </c>
      <c r="FB7">
        <v>1.7963338555585768</v>
      </c>
      <c r="FC7">
        <v>200.11853692914485</v>
      </c>
      <c r="FD7">
        <v>28.071509444415376</v>
      </c>
      <c r="FE7">
        <v>12.136268322393411</v>
      </c>
      <c r="FF7">
        <v>2.3133692200080089</v>
      </c>
      <c r="FG7">
        <v>0.92870470180618603</v>
      </c>
      <c r="FH7">
        <v>1.7793831219619587</v>
      </c>
      <c r="FI7">
        <v>199.61196794451934</v>
      </c>
      <c r="FJ7">
        <v>27.630071264399461</v>
      </c>
      <c r="FK7">
        <v>11.983669657169317</v>
      </c>
      <c r="FN7">
        <v>11</v>
      </c>
      <c r="FO7">
        <v>2.7503922851501876</v>
      </c>
      <c r="FP7">
        <v>1.0266736410162114</v>
      </c>
      <c r="FQ7">
        <v>1.8744431584491117</v>
      </c>
      <c r="FR7">
        <v>196.94340254724273</v>
      </c>
      <c r="FS7">
        <v>30.820968235047783</v>
      </c>
      <c r="FT7">
        <v>12.916563006927575</v>
      </c>
      <c r="FU7">
        <v>3.0779654562413143</v>
      </c>
      <c r="FV7">
        <v>1.1838257811055286</v>
      </c>
      <c r="FW7">
        <v>2.1059938799079458</v>
      </c>
      <c r="FX7">
        <v>222.60504598004209</v>
      </c>
      <c r="FY7">
        <v>31.139769521015481</v>
      </c>
      <c r="FZ7">
        <v>13.230519998527779</v>
      </c>
      <c r="GB7">
        <v>11</v>
      </c>
      <c r="GC7">
        <v>2.5293828921146537</v>
      </c>
      <c r="GD7">
        <v>1.1300729633804498</v>
      </c>
      <c r="GE7">
        <v>1.7757838082482786</v>
      </c>
      <c r="GF7">
        <v>195.40426581705722</v>
      </c>
      <c r="GG7">
        <v>29.932698431728372</v>
      </c>
      <c r="GH7">
        <v>13.547458542398505</v>
      </c>
      <c r="GI7">
        <v>2.7270943956974354</v>
      </c>
      <c r="GJ7">
        <v>1.1900740329096493</v>
      </c>
      <c r="GK7">
        <v>2.0076698700301301</v>
      </c>
      <c r="GL7">
        <v>220.15485552799095</v>
      </c>
      <c r="GM7">
        <v>29.892589694225318</v>
      </c>
      <c r="GN7">
        <v>13.406148855258897</v>
      </c>
      <c r="GP7">
        <v>11</v>
      </c>
      <c r="GQ7">
        <v>2.2676063697685875</v>
      </c>
      <c r="GR7">
        <v>0.96299209172313682</v>
      </c>
      <c r="GS7">
        <v>1.7864928361706773</v>
      </c>
      <c r="GT7">
        <v>194.24731523401763</v>
      </c>
      <c r="GU7">
        <v>28.763334164480312</v>
      </c>
      <c r="GV7">
        <v>12.768003076486021</v>
      </c>
      <c r="GW7">
        <v>2.4208800086033841</v>
      </c>
      <c r="GX7">
        <v>0.982842099957838</v>
      </c>
      <c r="GY7">
        <v>2.0067808351070391</v>
      </c>
      <c r="GZ7">
        <v>218.45227584142256</v>
      </c>
      <c r="HA7">
        <v>28.723822419458724</v>
      </c>
      <c r="HB7">
        <v>12.561996989477471</v>
      </c>
      <c r="HD7">
        <v>11</v>
      </c>
      <c r="HE7">
        <v>2.2185384434759374</v>
      </c>
      <c r="HF7">
        <v>0.85859452200375275</v>
      </c>
      <c r="HG7">
        <v>1.7066418357801747</v>
      </c>
      <c r="HH7">
        <v>197.19057236049863</v>
      </c>
      <c r="HI7">
        <v>28.085178951719243</v>
      </c>
      <c r="HJ7">
        <v>12.048003717157501</v>
      </c>
      <c r="HK7">
        <v>2.4358490858449131</v>
      </c>
      <c r="HL7">
        <v>0.90506043313347484</v>
      </c>
      <c r="HM7">
        <v>2.0277134970190818</v>
      </c>
      <c r="HN7">
        <v>221.94683544534934</v>
      </c>
      <c r="HO7">
        <v>28.339009398428253</v>
      </c>
      <c r="HP7">
        <v>12.013756174039473</v>
      </c>
      <c r="HS7">
        <v>850</v>
      </c>
      <c r="HT7">
        <v>7.67</v>
      </c>
      <c r="HU7">
        <v>4.5</v>
      </c>
      <c r="HV7">
        <v>8</v>
      </c>
      <c r="HW7">
        <v>6</v>
      </c>
      <c r="HX7">
        <v>11</v>
      </c>
      <c r="HY7">
        <v>11</v>
      </c>
      <c r="IA7">
        <v>25</v>
      </c>
      <c r="IB7">
        <v>27.3</v>
      </c>
      <c r="IC7">
        <v>24.1</v>
      </c>
      <c r="ID7">
        <v>23.1</v>
      </c>
      <c r="IE7">
        <v>22.1</v>
      </c>
      <c r="IF7">
        <v>12.6</v>
      </c>
      <c r="IG7">
        <v>11.2</v>
      </c>
      <c r="IH7">
        <v>10.3</v>
      </c>
      <c r="II7">
        <v>9.67</v>
      </c>
      <c r="IJ7">
        <v>12.77</v>
      </c>
      <c r="IK7">
        <v>11.58</v>
      </c>
      <c r="IL7">
        <v>11.58</v>
      </c>
      <c r="IM7">
        <v>10.8</v>
      </c>
      <c r="IN7">
        <v>4.2</v>
      </c>
      <c r="IO7">
        <v>1.3</v>
      </c>
      <c r="IP7">
        <v>6.25</v>
      </c>
      <c r="IQ7">
        <v>8</v>
      </c>
      <c r="IR7">
        <v>11</v>
      </c>
    </row>
    <row r="8" spans="1:252" x14ac:dyDescent="0.2">
      <c r="B8">
        <v>417.52151447320483</v>
      </c>
      <c r="C8">
        <v>2.3950861580431844</v>
      </c>
      <c r="D8">
        <v>410.160576603908</v>
      </c>
      <c r="E8">
        <v>2.4380695196986224</v>
      </c>
      <c r="F8">
        <v>391.79424955776136</v>
      </c>
      <c r="G8">
        <v>2.5523600745257293</v>
      </c>
      <c r="H8">
        <v>379.50395344148245</v>
      </c>
      <c r="I8">
        <v>2.6350186629984469</v>
      </c>
      <c r="J8">
        <v>370.41415280170389</v>
      </c>
      <c r="K8">
        <v>2.6996808638014871</v>
      </c>
      <c r="L8">
        <v>373.37077387521555</v>
      </c>
      <c r="M8">
        <v>2.6783028291716549</v>
      </c>
      <c r="N8">
        <v>428.78922945254374</v>
      </c>
      <c r="O8">
        <v>2.332148130858485</v>
      </c>
      <c r="Q8">
        <v>2.0993207166026446E-2</v>
      </c>
      <c r="R8">
        <v>2.1145272285556894E-2</v>
      </c>
      <c r="S8">
        <v>2.1573089026938098E-2</v>
      </c>
      <c r="T8">
        <v>2.1924420691110526E-2</v>
      </c>
      <c r="U8">
        <v>2.2241283714153397E-2</v>
      </c>
      <c r="V8">
        <v>2.1419487740014072E-2</v>
      </c>
      <c r="W8">
        <v>2.1108882391123622E-2</v>
      </c>
      <c r="Y8">
        <v>0.51358011875620468</v>
      </c>
      <c r="Z8">
        <v>0.51928254850758548</v>
      </c>
      <c r="AA8">
        <v>0.51882532245140134</v>
      </c>
      <c r="AB8">
        <v>0.52728016120855015</v>
      </c>
      <c r="AC8">
        <v>0.53123387704181613</v>
      </c>
      <c r="AD8">
        <v>0.53452164504482336</v>
      </c>
      <c r="AE8">
        <v>0.50321512452637329</v>
      </c>
      <c r="AG8">
        <v>0.28984666877244963</v>
      </c>
      <c r="AH8">
        <v>0.29146787930476059</v>
      </c>
      <c r="AI8">
        <v>0.28898216243686259</v>
      </c>
      <c r="AJ8">
        <v>0.29233123351767398</v>
      </c>
      <c r="AK8">
        <v>0.29255651983503572</v>
      </c>
      <c r="AL8">
        <v>0.29712911165680322</v>
      </c>
      <c r="AM8">
        <v>0.28314431472447682</v>
      </c>
      <c r="AO8">
        <v>12</v>
      </c>
      <c r="AP8">
        <v>3.3590155551661676</v>
      </c>
      <c r="AQ8">
        <v>1.1407264986604559</v>
      </c>
      <c r="AR8">
        <v>2.2276402934545354</v>
      </c>
      <c r="AS8">
        <v>234.42061249384142</v>
      </c>
      <c r="AT8">
        <v>30.971408653727213</v>
      </c>
      <c r="AU8">
        <v>12.47224847300955</v>
      </c>
      <c r="AV8">
        <v>3.3140601263498701</v>
      </c>
      <c r="AW8">
        <v>1.1427028532971477</v>
      </c>
      <c r="AX8">
        <v>2.1840211878976752</v>
      </c>
      <c r="AY8">
        <v>230.7877999720977</v>
      </c>
      <c r="AZ8">
        <v>30.96611066529865</v>
      </c>
      <c r="BA8">
        <v>12.540929789330535</v>
      </c>
      <c r="BB8">
        <v>3.155191266871467</v>
      </c>
      <c r="BC8">
        <v>1.1313868491858481</v>
      </c>
      <c r="BD8">
        <v>2.1178998303341556</v>
      </c>
      <c r="BE8">
        <v>222.2905250703472</v>
      </c>
      <c r="BF8">
        <v>30.663100609358523</v>
      </c>
      <c r="BG8">
        <v>12.616570998852641</v>
      </c>
      <c r="BH8">
        <v>3.1029354791678689</v>
      </c>
      <c r="BI8">
        <v>1.1294876274998427</v>
      </c>
      <c r="BJ8">
        <v>2.0645622911308115</v>
      </c>
      <c r="BK8">
        <v>217.11799178123013</v>
      </c>
      <c r="BL8">
        <v>30.623995577596762</v>
      </c>
      <c r="BM8">
        <v>12.666657599904372</v>
      </c>
      <c r="BN8">
        <v>3.1227700129522002</v>
      </c>
      <c r="BO8">
        <v>1.1465098230439261</v>
      </c>
      <c r="BP8">
        <v>2.0282776464629801</v>
      </c>
      <c r="BQ8">
        <v>214.86426233348109</v>
      </c>
      <c r="BR8">
        <v>30.64222865742428</v>
      </c>
      <c r="BS8">
        <v>12.698079396512357</v>
      </c>
      <c r="BU8">
        <v>12</v>
      </c>
      <c r="BV8">
        <v>3.0427372524681937</v>
      </c>
      <c r="BW8">
        <v>1.1957473053756651</v>
      </c>
      <c r="BX8">
        <v>2.1167134676136725</v>
      </c>
      <c r="BY8">
        <v>232.64228399252471</v>
      </c>
      <c r="BZ8">
        <v>29.848650746263079</v>
      </c>
      <c r="CA8">
        <v>12.804090820519972</v>
      </c>
      <c r="CB8">
        <v>3.0202503757180619</v>
      </c>
      <c r="CC8">
        <v>1.2059074812724706</v>
      </c>
      <c r="CD8">
        <v>2.0786310196566826</v>
      </c>
      <c r="CE8">
        <v>229.22574636810478</v>
      </c>
      <c r="CF8">
        <v>29.895380043829572</v>
      </c>
      <c r="CG8">
        <v>12.902120597352653</v>
      </c>
      <c r="CH8">
        <v>2.8628053808431528</v>
      </c>
      <c r="CI8">
        <v>1.1582768104113772</v>
      </c>
      <c r="CJ8">
        <v>2.0176689695876142</v>
      </c>
      <c r="CK8">
        <v>220.47713884666098</v>
      </c>
      <c r="CL8">
        <v>29.589148711005574</v>
      </c>
      <c r="CM8">
        <v>12.842302689336982</v>
      </c>
      <c r="CN8">
        <v>2.8125156466804526</v>
      </c>
      <c r="CO8">
        <v>1.1663381737133383</v>
      </c>
      <c r="CP8">
        <v>1.9620090599823332</v>
      </c>
      <c r="CQ8">
        <v>215.1875479508023</v>
      </c>
      <c r="CR8">
        <v>29.549110290951468</v>
      </c>
      <c r="CS8">
        <v>12.951538476205766</v>
      </c>
      <c r="CT8">
        <v>2.8533890349226541</v>
      </c>
      <c r="CU8">
        <v>1.1917764367814472</v>
      </c>
      <c r="CV8">
        <v>1.946972701453723</v>
      </c>
      <c r="CW8">
        <v>213.5662770824934</v>
      </c>
      <c r="CX8">
        <v>29.56711595559014</v>
      </c>
      <c r="CY8">
        <v>12.987209938813347</v>
      </c>
      <c r="DA8">
        <v>12</v>
      </c>
      <c r="DB8">
        <v>2.7483393834466363</v>
      </c>
      <c r="DC8">
        <v>1.080457458257434</v>
      </c>
      <c r="DD8">
        <v>2.1031059976291888</v>
      </c>
      <c r="DE8">
        <v>231.30372035872693</v>
      </c>
      <c r="DF8">
        <v>28.748609855351059</v>
      </c>
      <c r="DG8">
        <v>12.379753690836896</v>
      </c>
      <c r="DH8">
        <v>2.7392746147812739</v>
      </c>
      <c r="DI8">
        <v>1.0608954925084781</v>
      </c>
      <c r="DJ8">
        <v>2.0856750977919507</v>
      </c>
      <c r="DK8">
        <v>228.6485156441135</v>
      </c>
      <c r="DL8">
        <v>28.741997401798482</v>
      </c>
      <c r="DM8">
        <v>12.30047886806771</v>
      </c>
      <c r="DN8">
        <v>2.599354909855776</v>
      </c>
      <c r="DO8">
        <v>1.0660668412984871</v>
      </c>
      <c r="DP8">
        <v>2.0276614920655631</v>
      </c>
      <c r="DQ8">
        <v>219.72520504464308</v>
      </c>
      <c r="DR8">
        <v>28.491407603654551</v>
      </c>
      <c r="DS8">
        <v>12.466590637511796</v>
      </c>
      <c r="DT8">
        <v>2.6356991960995528</v>
      </c>
      <c r="DU8">
        <v>1.1094333339672784</v>
      </c>
      <c r="DV8">
        <v>2.0126920984908141</v>
      </c>
      <c r="DW8">
        <v>217.02658852437904</v>
      </c>
      <c r="DX8">
        <v>28.483994422473042</v>
      </c>
      <c r="DY8">
        <v>12.579587532116836</v>
      </c>
      <c r="DZ8">
        <v>2.6887275101593833</v>
      </c>
      <c r="EA8">
        <v>1.1215257166164667</v>
      </c>
      <c r="EB8">
        <v>2.0061775288618007</v>
      </c>
      <c r="EC8">
        <v>215.63651933798059</v>
      </c>
      <c r="ED8">
        <v>28.519646731541879</v>
      </c>
      <c r="EE8">
        <v>12.53674175624662</v>
      </c>
      <c r="EG8">
        <v>12</v>
      </c>
      <c r="EH8">
        <v>2.5571411080692092</v>
      </c>
      <c r="EI8">
        <v>0.96549082780806716</v>
      </c>
      <c r="EJ8">
        <v>2.0635452304704898</v>
      </c>
      <c r="EK8">
        <v>231.05588066092159</v>
      </c>
      <c r="EL8">
        <v>27.951948770283575</v>
      </c>
      <c r="EM8">
        <v>11.895462030673796</v>
      </c>
      <c r="EN8">
        <v>2.5518704693188785</v>
      </c>
      <c r="EO8">
        <v>0.9636777451571038</v>
      </c>
      <c r="EP8">
        <v>2.040471550357895</v>
      </c>
      <c r="EQ8">
        <v>228.62120162653301</v>
      </c>
      <c r="ER8">
        <v>27.925716651315341</v>
      </c>
      <c r="ES8">
        <v>11.876713394148164</v>
      </c>
      <c r="ET8">
        <v>2.6684519868194148</v>
      </c>
      <c r="EU8">
        <v>0.9649046924793252</v>
      </c>
      <c r="EV8">
        <v>1.9859809085567348</v>
      </c>
      <c r="EW8">
        <v>224.58252738915814</v>
      </c>
      <c r="EX8">
        <v>28.182857893123398</v>
      </c>
      <c r="EY8">
        <v>11.746515037852847</v>
      </c>
      <c r="EZ8">
        <v>2.615577999155247</v>
      </c>
      <c r="FA8">
        <v>0.9977488628027672</v>
      </c>
      <c r="FB8">
        <v>1.97098756575222</v>
      </c>
      <c r="FC8">
        <v>220.05025504393765</v>
      </c>
      <c r="FD8">
        <v>28.001162456649521</v>
      </c>
      <c r="FE8">
        <v>11.899193188627732</v>
      </c>
      <c r="FF8">
        <v>2.6427580482383335</v>
      </c>
      <c r="FG8">
        <v>1.0127697188783678</v>
      </c>
      <c r="FH8">
        <v>1.9634254379098171</v>
      </c>
      <c r="FI8">
        <v>220.92155559719774</v>
      </c>
      <c r="FJ8">
        <v>27.629299800634211</v>
      </c>
      <c r="FK8">
        <v>11.744545938055831</v>
      </c>
      <c r="FN8">
        <v>12</v>
      </c>
      <c r="FO8">
        <v>3.0778270994041814</v>
      </c>
      <c r="FP8">
        <v>1.1362478455873328</v>
      </c>
      <c r="FQ8">
        <v>2.0408933444353812</v>
      </c>
      <c r="FR8">
        <v>213.67984546286925</v>
      </c>
      <c r="FS8">
        <v>30.731038747569958</v>
      </c>
      <c r="FT8">
        <v>12.77952878291441</v>
      </c>
      <c r="FU8">
        <v>3.3846773207201708</v>
      </c>
      <c r="FV8">
        <v>1.2855278733863498</v>
      </c>
      <c r="FW8">
        <v>2.2591437610146325</v>
      </c>
      <c r="FX8">
        <v>238.13961114876997</v>
      </c>
      <c r="FY8">
        <v>31.037607918605683</v>
      </c>
      <c r="FZ8">
        <v>13.087584475043078</v>
      </c>
      <c r="GB8">
        <v>12</v>
      </c>
      <c r="GC8">
        <v>2.8467455499600818</v>
      </c>
      <c r="GD8">
        <v>1.2161991286488993</v>
      </c>
      <c r="GE8">
        <v>1.9379713209530056</v>
      </c>
      <c r="GF8">
        <v>212.34557116277938</v>
      </c>
      <c r="GG8">
        <v>29.83590392941808</v>
      </c>
      <c r="GH8">
        <v>13.236343960893837</v>
      </c>
      <c r="GI8">
        <v>3.0287870021571526</v>
      </c>
      <c r="GJ8">
        <v>1.2723113456061799</v>
      </c>
      <c r="GK8">
        <v>2.1566755987732469</v>
      </c>
      <c r="GL8">
        <v>236.10262091757315</v>
      </c>
      <c r="GM8">
        <v>29.798032460714953</v>
      </c>
      <c r="GN8">
        <v>13.144520539086811</v>
      </c>
      <c r="GP8">
        <v>12</v>
      </c>
      <c r="GQ8">
        <v>2.5948380421470087</v>
      </c>
      <c r="GR8">
        <v>1.0538751380234175</v>
      </c>
      <c r="GS8">
        <v>1.9521805683577111</v>
      </c>
      <c r="GT8">
        <v>211.90311284349437</v>
      </c>
      <c r="GU8">
        <v>28.709415692870017</v>
      </c>
      <c r="GV8">
        <v>12.497952447794033</v>
      </c>
      <c r="GW8">
        <v>2.7360309241460432</v>
      </c>
      <c r="GX8">
        <v>1.0713139056236745</v>
      </c>
      <c r="GY8">
        <v>2.1619828604654994</v>
      </c>
      <c r="GZ8">
        <v>235.17007869361876</v>
      </c>
      <c r="HA8">
        <v>28.671323841903241</v>
      </c>
      <c r="HB8">
        <v>12.341954070535076</v>
      </c>
      <c r="HD8">
        <v>12</v>
      </c>
      <c r="HE8">
        <v>2.4988226265268323</v>
      </c>
      <c r="HF8">
        <v>0.94157782057031558</v>
      </c>
      <c r="HG8">
        <v>1.8594946322492136</v>
      </c>
      <c r="HH8">
        <v>213.76886138878163</v>
      </c>
      <c r="HI8">
        <v>28.009688121635239</v>
      </c>
      <c r="HJ8">
        <v>11.86355063094102</v>
      </c>
      <c r="HK8">
        <v>2.7042690568245091</v>
      </c>
      <c r="HL8">
        <v>0.98506266195083658</v>
      </c>
      <c r="HM8">
        <v>2.1675118742973032</v>
      </c>
      <c r="HN8">
        <v>237.51786392584054</v>
      </c>
      <c r="HO8">
        <v>28.254193204282075</v>
      </c>
      <c r="HP8">
        <v>11.856822134469937</v>
      </c>
      <c r="HS8">
        <v>950</v>
      </c>
      <c r="HT8">
        <v>7.67</v>
      </c>
      <c r="HU8">
        <v>4.6399999999999997</v>
      </c>
      <c r="HV8">
        <v>8</v>
      </c>
      <c r="HW8">
        <v>6</v>
      </c>
      <c r="HX8">
        <v>11</v>
      </c>
      <c r="HY8">
        <v>11</v>
      </c>
      <c r="IA8">
        <v>26</v>
      </c>
      <c r="IB8">
        <v>27.366666666666667</v>
      </c>
      <c r="IC8">
        <v>24.133333333333333</v>
      </c>
      <c r="ID8">
        <v>23.133333333333333</v>
      </c>
      <c r="IE8">
        <v>22.133333333333333</v>
      </c>
      <c r="IF8">
        <v>12.666666666666666</v>
      </c>
      <c r="IG8">
        <v>11.2</v>
      </c>
      <c r="IH8">
        <v>10.3</v>
      </c>
      <c r="II8">
        <v>9.6833333333333336</v>
      </c>
      <c r="IJ8">
        <v>12.89</v>
      </c>
      <c r="IK8">
        <v>11.66</v>
      </c>
      <c r="IL8">
        <v>11.66</v>
      </c>
      <c r="IM8">
        <v>10.9</v>
      </c>
      <c r="IN8">
        <v>4.2666666666666666</v>
      </c>
      <c r="IO8">
        <v>1.3333333333333333</v>
      </c>
      <c r="IP8">
        <v>6.25</v>
      </c>
      <c r="IQ8">
        <v>8</v>
      </c>
      <c r="IR8">
        <v>11</v>
      </c>
    </row>
    <row r="9" spans="1:252" x14ac:dyDescent="0.2">
      <c r="B9">
        <v>430.31744941731546</v>
      </c>
      <c r="C9">
        <v>2.3238657910667593</v>
      </c>
      <c r="D9">
        <v>424.47574739877291</v>
      </c>
      <c r="E9">
        <v>2.3558471976976154</v>
      </c>
      <c r="F9">
        <v>411.78207284244849</v>
      </c>
      <c r="G9">
        <v>2.4284690032696226</v>
      </c>
      <c r="H9">
        <v>403.90407537063925</v>
      </c>
      <c r="I9">
        <v>2.4758353801762416</v>
      </c>
      <c r="J9">
        <v>397.81262398158458</v>
      </c>
      <c r="K9">
        <v>2.5137462707726734</v>
      </c>
      <c r="L9">
        <v>391.21530349362712</v>
      </c>
      <c r="M9">
        <v>2.5561372243616485</v>
      </c>
      <c r="N9">
        <v>444.89599414442057</v>
      </c>
      <c r="O9">
        <v>2.2477163498023844</v>
      </c>
      <c r="Q9">
        <v>2.2737678873843037E-2</v>
      </c>
      <c r="R9">
        <v>2.2902814387360391E-2</v>
      </c>
      <c r="S9">
        <v>2.3367726880559405E-2</v>
      </c>
      <c r="T9">
        <v>2.3749588418021952E-2</v>
      </c>
      <c r="U9">
        <v>2.4093808955146186E-2</v>
      </c>
      <c r="V9">
        <v>2.3204445051681913E-2</v>
      </c>
      <c r="W9">
        <v>2.2867955923717258E-2</v>
      </c>
      <c r="Y9">
        <v>0.55156365012495479</v>
      </c>
      <c r="Z9">
        <v>0.55652161027910785</v>
      </c>
      <c r="AA9">
        <v>0.56104286246996893</v>
      </c>
      <c r="AB9">
        <v>0.57030624483225956</v>
      </c>
      <c r="AC9">
        <v>0.57511251018422793</v>
      </c>
      <c r="AD9">
        <v>0.57400643159593245</v>
      </c>
      <c r="AE9">
        <v>0.54253347398779006</v>
      </c>
      <c r="AG9">
        <v>0.30264709382346966</v>
      </c>
      <c r="AH9">
        <v>0.30407888418664492</v>
      </c>
      <c r="AI9">
        <v>0.30382719100640276</v>
      </c>
      <c r="AJ9">
        <v>0.30745720179503983</v>
      </c>
      <c r="AK9">
        <v>0.30818618618289395</v>
      </c>
      <c r="AL9">
        <v>0.31076385954142677</v>
      </c>
      <c r="AM9">
        <v>0.29670450739238369</v>
      </c>
      <c r="AO9">
        <v>13</v>
      </c>
      <c r="AP9">
        <v>3.6228851905075032</v>
      </c>
      <c r="AQ9">
        <v>1.2553372880818363</v>
      </c>
      <c r="AR9">
        <v>2.3568620206762465</v>
      </c>
      <c r="AS9">
        <v>247.70797782810195</v>
      </c>
      <c r="AT9">
        <v>30.857994582505249</v>
      </c>
      <c r="AU9">
        <v>12.486509247453016</v>
      </c>
      <c r="AV9">
        <v>3.5957736968182812</v>
      </c>
      <c r="AW9">
        <v>1.2595125396555777</v>
      </c>
      <c r="AX9">
        <v>2.3265598299824992</v>
      </c>
      <c r="AY9">
        <v>245.10278487179912</v>
      </c>
      <c r="AZ9">
        <v>30.852668950570084</v>
      </c>
      <c r="BA9">
        <v>12.534481077107992</v>
      </c>
      <c r="BB9">
        <v>3.5022155311774257</v>
      </c>
      <c r="BC9">
        <v>1.262473544105748</v>
      </c>
      <c r="BD9">
        <v>2.2918357331589227</v>
      </c>
      <c r="BE9">
        <v>240.23685866028183</v>
      </c>
      <c r="BF9">
        <v>30.594419444231683</v>
      </c>
      <c r="BG9">
        <v>12.575043242849736</v>
      </c>
      <c r="BH9">
        <v>3.4987137637908474</v>
      </c>
      <c r="BI9">
        <v>1.2744794692330044</v>
      </c>
      <c r="BJ9">
        <v>2.2704422212615603</v>
      </c>
      <c r="BK9">
        <v>238.01343586685127</v>
      </c>
      <c r="BL9">
        <v>30.55623064961183</v>
      </c>
      <c r="BM9">
        <v>12.601607183139054</v>
      </c>
      <c r="BN9">
        <v>3.531282983905875</v>
      </c>
      <c r="BO9">
        <v>1.2935897253456536</v>
      </c>
      <c r="BP9">
        <v>2.2534886256591062</v>
      </c>
      <c r="BQ9">
        <v>237.07733599339389</v>
      </c>
      <c r="BR9">
        <v>30.574175772718217</v>
      </c>
      <c r="BS9">
        <v>12.622246337972999</v>
      </c>
      <c r="BU9">
        <v>13</v>
      </c>
      <c r="BV9">
        <v>3.3042077369273244</v>
      </c>
      <c r="BW9">
        <v>1.2850970521628076</v>
      </c>
      <c r="BX9">
        <v>2.2437379824910102</v>
      </c>
      <c r="BY9">
        <v>246.32655551002381</v>
      </c>
      <c r="BZ9">
        <v>29.73732965621987</v>
      </c>
      <c r="CA9">
        <v>12.6773490313852</v>
      </c>
      <c r="CB9">
        <v>3.2950041669520416</v>
      </c>
      <c r="CC9">
        <v>1.2962174003740585</v>
      </c>
      <c r="CD9">
        <v>2.2177652268360544</v>
      </c>
      <c r="CE9">
        <v>243.81088209811838</v>
      </c>
      <c r="CF9">
        <v>29.782532625938991</v>
      </c>
      <c r="CG9">
        <v>12.751445107316279</v>
      </c>
      <c r="CH9">
        <v>3.2017424919766393</v>
      </c>
      <c r="CI9">
        <v>1.2685109112324073</v>
      </c>
      <c r="CJ9">
        <v>2.1866583669353341</v>
      </c>
      <c r="CK9">
        <v>238.78998815826145</v>
      </c>
      <c r="CL9">
        <v>29.521481344286364</v>
      </c>
      <c r="CM9">
        <v>12.676520806642355</v>
      </c>
      <c r="CN9">
        <v>3.1987350244627741</v>
      </c>
      <c r="CO9">
        <v>1.2861833601239032</v>
      </c>
      <c r="CP9">
        <v>2.163006924325547</v>
      </c>
      <c r="CQ9">
        <v>236.50682139944729</v>
      </c>
      <c r="CR9">
        <v>29.482509905916491</v>
      </c>
      <c r="CS9">
        <v>12.731369421724658</v>
      </c>
      <c r="CT9">
        <v>3.2467688433715738</v>
      </c>
      <c r="CU9">
        <v>1.3103720149830731</v>
      </c>
      <c r="CV9">
        <v>2.1613526455580274</v>
      </c>
      <c r="CW9">
        <v>236.06313660561636</v>
      </c>
      <c r="CX9">
        <v>29.500285821796609</v>
      </c>
      <c r="CY9">
        <v>12.74756774381026</v>
      </c>
      <c r="DA9">
        <v>13</v>
      </c>
      <c r="DB9">
        <v>3.0281807099453104</v>
      </c>
      <c r="DC9">
        <v>1.1605761543741817</v>
      </c>
      <c r="DD9">
        <v>2.2413826848611529</v>
      </c>
      <c r="DE9">
        <v>245.79627069687987</v>
      </c>
      <c r="DF9">
        <v>28.678494337262489</v>
      </c>
      <c r="DG9">
        <v>12.198097284430796</v>
      </c>
      <c r="DH9">
        <v>3.0244630838048794</v>
      </c>
      <c r="DI9">
        <v>1.1454814770258936</v>
      </c>
      <c r="DJ9">
        <v>2.2292272630826786</v>
      </c>
      <c r="DK9">
        <v>243.81734065238112</v>
      </c>
      <c r="DL9">
        <v>28.672138121078067</v>
      </c>
      <c r="DM9">
        <v>12.132874341000912</v>
      </c>
      <c r="DN9">
        <v>2.9532548013672493</v>
      </c>
      <c r="DO9">
        <v>1.1605441596857786</v>
      </c>
      <c r="DP9">
        <v>2.2034111430429704</v>
      </c>
      <c r="DQ9">
        <v>238.96307130653418</v>
      </c>
      <c r="DR9">
        <v>28.460240541866206</v>
      </c>
      <c r="DS9">
        <v>12.215525544593367</v>
      </c>
      <c r="DT9">
        <v>3.0018416860897235</v>
      </c>
      <c r="DU9">
        <v>1.2005749644197619</v>
      </c>
      <c r="DV9">
        <v>2.2025772570742843</v>
      </c>
      <c r="DW9">
        <v>238.14829533617785</v>
      </c>
      <c r="DX9">
        <v>28.452529365317801</v>
      </c>
      <c r="DY9">
        <v>12.284141333703106</v>
      </c>
      <c r="DZ9">
        <v>3.0584801833456976</v>
      </c>
      <c r="EA9">
        <v>1.2132842102664936</v>
      </c>
      <c r="EB9">
        <v>2.2059049669101003</v>
      </c>
      <c r="EC9">
        <v>237.85362010658949</v>
      </c>
      <c r="ED9">
        <v>28.486601712402994</v>
      </c>
      <c r="EE9">
        <v>12.243425261616071</v>
      </c>
      <c r="EG9">
        <v>13</v>
      </c>
      <c r="EH9">
        <v>2.8271792486724059</v>
      </c>
      <c r="EI9">
        <v>1.0402260044947007</v>
      </c>
      <c r="EJ9">
        <v>2.187285104201262</v>
      </c>
      <c r="EK9">
        <v>245.51277759133876</v>
      </c>
      <c r="EL9">
        <v>27.892908724394591</v>
      </c>
      <c r="EM9">
        <v>11.72198327299146</v>
      </c>
      <c r="EN9">
        <v>2.8311116441646575</v>
      </c>
      <c r="EO9">
        <v>1.0395817385310349</v>
      </c>
      <c r="EP9">
        <v>2.1702162876892812</v>
      </c>
      <c r="EQ9">
        <v>243.88244148370086</v>
      </c>
      <c r="ER9">
        <v>27.871678610832159</v>
      </c>
      <c r="ES9">
        <v>11.695411118754606</v>
      </c>
      <c r="ET9">
        <v>2.9254105089151974</v>
      </c>
      <c r="EU9">
        <v>1.0504098572981724</v>
      </c>
      <c r="EV9">
        <v>2.1455558648696424</v>
      </c>
      <c r="EW9">
        <v>241.21132536242879</v>
      </c>
      <c r="EX9">
        <v>28.079536428806588</v>
      </c>
      <c r="EY9">
        <v>11.645080077195114</v>
      </c>
      <c r="EZ9">
        <v>2.9256483929541921</v>
      </c>
      <c r="FA9">
        <v>1.0816102432693555</v>
      </c>
      <c r="FB9">
        <v>2.1435908989303591</v>
      </c>
      <c r="FC9">
        <v>239.8728453177842</v>
      </c>
      <c r="FD9">
        <v>27.93033144014958</v>
      </c>
      <c r="FE9">
        <v>11.699876213256379</v>
      </c>
      <c r="FF9">
        <v>2.9684472624440801</v>
      </c>
      <c r="FG9">
        <v>1.0963382079880795</v>
      </c>
      <c r="FH9">
        <v>2.1452864452784053</v>
      </c>
      <c r="FI9">
        <v>242.00202894873118</v>
      </c>
      <c r="FJ9">
        <v>27.626249457372818</v>
      </c>
      <c r="FK9">
        <v>11.550304064986193</v>
      </c>
      <c r="FN9">
        <v>13</v>
      </c>
      <c r="FO9">
        <v>3.4019829451537258</v>
      </c>
      <c r="FP9">
        <v>1.2450789763611967</v>
      </c>
      <c r="FQ9">
        <v>2.2053620867169599</v>
      </c>
      <c r="FR9">
        <v>230.31486125486859</v>
      </c>
      <c r="FS9">
        <v>30.642828267986939</v>
      </c>
      <c r="FT9">
        <v>12.659903551356678</v>
      </c>
      <c r="FU9">
        <v>3.6884560046913433</v>
      </c>
      <c r="FV9">
        <v>1.3866228059014598</v>
      </c>
      <c r="FW9">
        <v>2.41053628248644</v>
      </c>
      <c r="FX9">
        <v>253.59578940800867</v>
      </c>
      <c r="FY9">
        <v>30.937280907902341</v>
      </c>
      <c r="FZ9">
        <v>12.959801724497467</v>
      </c>
      <c r="GB9">
        <v>13</v>
      </c>
      <c r="GC9">
        <v>3.1609003766674983</v>
      </c>
      <c r="GD9">
        <v>1.3018394489664435</v>
      </c>
      <c r="GE9">
        <v>2.0982202720209875</v>
      </c>
      <c r="GF9">
        <v>229.19123439087878</v>
      </c>
      <c r="GG9">
        <v>29.741173089049109</v>
      </c>
      <c r="GH9">
        <v>12.969625171032618</v>
      </c>
      <c r="GI9">
        <v>3.3275286815821392</v>
      </c>
      <c r="GJ9">
        <v>1.354128515361499</v>
      </c>
      <c r="GK9">
        <v>2.3039651277519426</v>
      </c>
      <c r="GL9">
        <v>251.96339482958564</v>
      </c>
      <c r="GM9">
        <v>29.70525482850319</v>
      </c>
      <c r="GN9">
        <v>12.914800027028187</v>
      </c>
      <c r="GP9">
        <v>13</v>
      </c>
      <c r="GQ9">
        <v>2.9180605055659798</v>
      </c>
      <c r="GR9">
        <v>1.1440507956818902</v>
      </c>
      <c r="GS9">
        <v>2.1157762965841505</v>
      </c>
      <c r="GT9">
        <v>229.40393037495386</v>
      </c>
      <c r="GU9">
        <v>28.655029103756494</v>
      </c>
      <c r="GV9">
        <v>12.269779966937897</v>
      </c>
      <c r="GW9">
        <v>3.0473572491029151</v>
      </c>
      <c r="GX9">
        <v>1.1591149271521488</v>
      </c>
      <c r="GY9">
        <v>2.3152560819161967</v>
      </c>
      <c r="GZ9">
        <v>251.74316070603993</v>
      </c>
      <c r="HA9">
        <v>28.618316375240173</v>
      </c>
      <c r="HB9">
        <v>12.151445392067419</v>
      </c>
      <c r="HD9">
        <v>13</v>
      </c>
      <c r="HE9">
        <v>2.7757924844412001</v>
      </c>
      <c r="HF9">
        <v>1.0239073282419375</v>
      </c>
      <c r="HG9">
        <v>2.0104191608667787</v>
      </c>
      <c r="HH9">
        <v>230.23474875861521</v>
      </c>
      <c r="HI9">
        <v>27.933699473959173</v>
      </c>
      <c r="HJ9">
        <v>11.703673300143588</v>
      </c>
      <c r="HK9">
        <v>2.9695588882095758</v>
      </c>
      <c r="HL9">
        <v>1.0644570851942063</v>
      </c>
      <c r="HM9">
        <v>2.3055868861900142</v>
      </c>
      <c r="HN9">
        <v>252.99438265448958</v>
      </c>
      <c r="HO9">
        <v>28.169269936826293</v>
      </c>
      <c r="HP9">
        <v>11.71719860767173</v>
      </c>
      <c r="HS9">
        <v>1050</v>
      </c>
      <c r="HT9">
        <v>7.67</v>
      </c>
      <c r="HU9">
        <v>4.71</v>
      </c>
      <c r="HV9">
        <v>8</v>
      </c>
      <c r="HW9">
        <v>6</v>
      </c>
      <c r="HX9">
        <v>11</v>
      </c>
      <c r="HY9">
        <v>11</v>
      </c>
      <c r="IA9">
        <v>27</v>
      </c>
      <c r="IB9">
        <v>27.433333333333334</v>
      </c>
      <c r="IC9">
        <v>24.166666666666664</v>
      </c>
      <c r="ID9">
        <v>23.166666666666664</v>
      </c>
      <c r="IE9">
        <v>22.166666666666664</v>
      </c>
      <c r="IF9">
        <v>12.733333333333333</v>
      </c>
      <c r="IG9">
        <v>11.2</v>
      </c>
      <c r="IH9">
        <v>10.3</v>
      </c>
      <c r="II9">
        <v>9.6966666666666672</v>
      </c>
      <c r="IJ9">
        <v>13.010000000000002</v>
      </c>
      <c r="IK9">
        <v>11.74</v>
      </c>
      <c r="IL9">
        <v>11.74</v>
      </c>
      <c r="IM9">
        <v>11</v>
      </c>
      <c r="IN9">
        <v>4.333333333333333</v>
      </c>
      <c r="IO9">
        <v>1.3666666666666665</v>
      </c>
      <c r="IP9">
        <v>6.25</v>
      </c>
      <c r="IQ9">
        <v>8</v>
      </c>
      <c r="IR9">
        <v>11</v>
      </c>
    </row>
    <row r="10" spans="1:252" x14ac:dyDescent="0.2">
      <c r="B10">
        <v>442.91910335397586</v>
      </c>
      <c r="C10">
        <v>2.2577486327132101</v>
      </c>
      <c r="D10">
        <v>438.57283394008346</v>
      </c>
      <c r="E10">
        <v>2.2801229866796016</v>
      </c>
      <c r="F10">
        <v>431.49825184514896</v>
      </c>
      <c r="G10">
        <v>2.3175064921441866</v>
      </c>
      <c r="H10">
        <v>428.02886951454235</v>
      </c>
      <c r="I10">
        <v>2.3362910103100529</v>
      </c>
      <c r="J10">
        <v>424.86281411523709</v>
      </c>
      <c r="K10">
        <v>2.3537009283395802</v>
      </c>
      <c r="L10">
        <v>408.79670709309022</v>
      </c>
      <c r="M10">
        <v>2.446203657340817</v>
      </c>
      <c r="N10">
        <v>460.76568128385321</v>
      </c>
      <c r="O10">
        <v>2.1703005250166476</v>
      </c>
      <c r="Q10">
        <v>2.4482106755563723E-2</v>
      </c>
      <c r="R10">
        <v>2.4660306384675028E-2</v>
      </c>
      <c r="S10">
        <v>2.5162297806971899E-2</v>
      </c>
      <c r="T10">
        <v>2.5574684987389587E-2</v>
      </c>
      <c r="U10">
        <v>2.5946242334915583E-2</v>
      </c>
      <c r="V10">
        <v>2.498940236334975E-2</v>
      </c>
      <c r="W10">
        <v>2.4627029456310894E-2</v>
      </c>
      <c r="Y10">
        <v>0.58911946741816579</v>
      </c>
      <c r="Z10">
        <v>0.59336043529011662</v>
      </c>
      <c r="AA10">
        <v>0.60278293671015426</v>
      </c>
      <c r="AB10">
        <v>0.61288985451979761</v>
      </c>
      <c r="AC10">
        <v>0.61853865793419649</v>
      </c>
      <c r="AD10">
        <v>0.61305507670105053</v>
      </c>
      <c r="AE10">
        <v>0.58141708656479085</v>
      </c>
      <c r="AG10">
        <v>0.31531522062987144</v>
      </c>
      <c r="AH10">
        <v>0.31656704953005971</v>
      </c>
      <c r="AI10">
        <v>0.3185159327709714</v>
      </c>
      <c r="AJ10">
        <v>0.32244282050099854</v>
      </c>
      <c r="AK10">
        <v>0.3236685761702649</v>
      </c>
      <c r="AL10">
        <v>0.32425992953617522</v>
      </c>
      <c r="AM10">
        <v>0.31012660358178978</v>
      </c>
      <c r="AO10">
        <v>14</v>
      </c>
      <c r="AP10">
        <v>3.8842411914012098</v>
      </c>
      <c r="AQ10">
        <v>1.3688921581181963</v>
      </c>
      <c r="AR10">
        <v>2.4846209191366588</v>
      </c>
      <c r="AS10">
        <v>260.93649110891727</v>
      </c>
      <c r="AT10">
        <v>30.746474971919266</v>
      </c>
      <c r="AU10">
        <v>12.494910831120352</v>
      </c>
      <c r="AV10">
        <v>3.874820711350643</v>
      </c>
      <c r="AW10">
        <v>1.3752827919854107</v>
      </c>
      <c r="AX10">
        <v>2.4674622768229142</v>
      </c>
      <c r="AY10">
        <v>259.35380612950365</v>
      </c>
      <c r="AZ10">
        <v>30.741192468583574</v>
      </c>
      <c r="BA10">
        <v>12.524235243744997</v>
      </c>
      <c r="BB10">
        <v>3.8457094006019252</v>
      </c>
      <c r="BC10">
        <v>1.3923559639580454</v>
      </c>
      <c r="BD10">
        <v>2.4636712119076298</v>
      </c>
      <c r="BE10">
        <v>258.05738147314634</v>
      </c>
      <c r="BF10">
        <v>30.526656594253438</v>
      </c>
      <c r="BG10">
        <v>12.536239924605287</v>
      </c>
      <c r="BH10">
        <v>3.8905161192677502</v>
      </c>
      <c r="BI10">
        <v>1.4181673247266986</v>
      </c>
      <c r="BJ10">
        <v>2.4738437857337408</v>
      </c>
      <c r="BK10">
        <v>258.77972637444481</v>
      </c>
      <c r="BL10">
        <v>30.489319957758465</v>
      </c>
      <c r="BM10">
        <v>12.543736163054811</v>
      </c>
      <c r="BN10">
        <v>3.9356211935114995</v>
      </c>
      <c r="BO10">
        <v>1.4393357030355358</v>
      </c>
      <c r="BP10">
        <v>2.4759210922958217</v>
      </c>
      <c r="BQ10">
        <v>259.13822695621189</v>
      </c>
      <c r="BR10">
        <v>30.507036424001313</v>
      </c>
      <c r="BS10">
        <v>12.55589493272428</v>
      </c>
      <c r="BU10">
        <v>14</v>
      </c>
      <c r="BV10">
        <v>3.563126295867669</v>
      </c>
      <c r="BW10">
        <v>1.3736988947645132</v>
      </c>
      <c r="BX10">
        <v>2.3693133401438904</v>
      </c>
      <c r="BY10">
        <v>259.94985345743186</v>
      </c>
      <c r="BZ10">
        <v>29.627877435477849</v>
      </c>
      <c r="CA10">
        <v>12.5608261832406</v>
      </c>
      <c r="CB10">
        <v>3.567110336778899</v>
      </c>
      <c r="CC10">
        <v>1.3858046686840588</v>
      </c>
      <c r="CD10">
        <v>2.3552939507471624</v>
      </c>
      <c r="CE10">
        <v>258.33106171461895</v>
      </c>
      <c r="CF10">
        <v>29.671750838785286</v>
      </c>
      <c r="CG10">
        <v>12.614549463761886</v>
      </c>
      <c r="CH10">
        <v>3.5371824057567487</v>
      </c>
      <c r="CI10">
        <v>1.3777849642085307</v>
      </c>
      <c r="CJ10">
        <v>2.3536006936045335</v>
      </c>
      <c r="CK10">
        <v>256.97342560518837</v>
      </c>
      <c r="CL10">
        <v>29.454804726100047</v>
      </c>
      <c r="CM10">
        <v>12.532417471295975</v>
      </c>
      <c r="CN10">
        <v>3.5810219657304936</v>
      </c>
      <c r="CO10">
        <v>1.4050146172573241</v>
      </c>
      <c r="CP10">
        <v>2.3615758246591629</v>
      </c>
      <c r="CQ10">
        <v>257.69341427974149</v>
      </c>
      <c r="CR10">
        <v>29.41683140666245</v>
      </c>
      <c r="CS10">
        <v>12.545574412738619</v>
      </c>
      <c r="CT10">
        <v>3.6360918623965053</v>
      </c>
      <c r="CU10">
        <v>1.4279645079925778</v>
      </c>
      <c r="CV10">
        <v>2.3730904687093766</v>
      </c>
      <c r="CW10">
        <v>258.40524181614938</v>
      </c>
      <c r="CX10">
        <v>29.43442611315454</v>
      </c>
      <c r="CY10">
        <v>12.547505355864894</v>
      </c>
      <c r="DA10">
        <v>14</v>
      </c>
      <c r="DB10">
        <v>3.3045121558204031</v>
      </c>
      <c r="DC10">
        <v>1.2400461783385475</v>
      </c>
      <c r="DD10">
        <v>2.3778927873708851</v>
      </c>
      <c r="DE10">
        <v>260.17314121890985</v>
      </c>
      <c r="DF10">
        <v>28.608442142370425</v>
      </c>
      <c r="DG10">
        <v>12.036339318272782</v>
      </c>
      <c r="DH10">
        <v>3.30618315801593</v>
      </c>
      <c r="DI10">
        <v>1.2294356829462394</v>
      </c>
      <c r="DJ10">
        <v>2.3709940656406334</v>
      </c>
      <c r="DK10">
        <v>258.86735795927018</v>
      </c>
      <c r="DL10">
        <v>28.602322736716143</v>
      </c>
      <c r="DM10">
        <v>11.984365254639354</v>
      </c>
      <c r="DN10">
        <v>3.3027468205082378</v>
      </c>
      <c r="DO10">
        <v>1.2542683577184341</v>
      </c>
      <c r="DP10">
        <v>2.3769013506997725</v>
      </c>
      <c r="DQ10">
        <v>258.01218780239492</v>
      </c>
      <c r="DR10">
        <v>28.427596960523225</v>
      </c>
      <c r="DS10">
        <v>12.003237787336788</v>
      </c>
      <c r="DT10">
        <v>3.3637842393814186</v>
      </c>
      <c r="DU10">
        <v>1.291163846872335</v>
      </c>
      <c r="DV10">
        <v>2.3901845693340076</v>
      </c>
      <c r="DW10">
        <v>259.09204324133003</v>
      </c>
      <c r="DX10">
        <v>28.419575931426056</v>
      </c>
      <c r="DY10">
        <v>12.038428873050933</v>
      </c>
      <c r="DZ10">
        <v>3.4239876419354509</v>
      </c>
      <c r="EA10">
        <v>1.3044984243507096</v>
      </c>
      <c r="EB10">
        <v>2.4032173296543373</v>
      </c>
      <c r="EC10">
        <v>259.87016186818005</v>
      </c>
      <c r="ED10">
        <v>28.452307582656637</v>
      </c>
      <c r="EE10">
        <v>12.001666715441877</v>
      </c>
      <c r="EG10">
        <v>14</v>
      </c>
      <c r="EH10">
        <v>3.0937055823550903</v>
      </c>
      <c r="EI10">
        <v>1.114349138579142</v>
      </c>
      <c r="EJ10">
        <v>2.3094566304277753</v>
      </c>
      <c r="EK10">
        <v>259.84737303506586</v>
      </c>
      <c r="EL10">
        <v>27.833037523602947</v>
      </c>
      <c r="EM10">
        <v>11.567695044762546</v>
      </c>
      <c r="EN10">
        <v>3.1068147777867634</v>
      </c>
      <c r="EO10">
        <v>1.1149209264310451</v>
      </c>
      <c r="EP10">
        <v>2.2983593318747597</v>
      </c>
      <c r="EQ10">
        <v>259.00984944331981</v>
      </c>
      <c r="ER10">
        <v>27.816854662507993</v>
      </c>
      <c r="ES10">
        <v>11.535647081351684</v>
      </c>
      <c r="ET10">
        <v>3.1795910191148113</v>
      </c>
      <c r="EU10">
        <v>1.1352334366744841</v>
      </c>
      <c r="EV10">
        <v>2.3030908402521426</v>
      </c>
      <c r="EW10">
        <v>257.77121564468473</v>
      </c>
      <c r="EX10">
        <v>27.976400182308662</v>
      </c>
      <c r="EY10">
        <v>11.552673613038445</v>
      </c>
      <c r="EZ10">
        <v>3.2322690819382323</v>
      </c>
      <c r="FA10">
        <v>1.1649578480234182</v>
      </c>
      <c r="FB10">
        <v>2.3141395851429998</v>
      </c>
      <c r="FC10">
        <v>259.58364453922582</v>
      </c>
      <c r="FD10">
        <v>27.859115898919129</v>
      </c>
      <c r="FE10">
        <v>11.529444162777443</v>
      </c>
      <c r="FF10">
        <v>3.2904312986779409</v>
      </c>
      <c r="FG10">
        <v>1.179409101414443</v>
      </c>
      <c r="FH10">
        <v>2.3249627390390768</v>
      </c>
      <c r="FI10">
        <v>262.8541296822516</v>
      </c>
      <c r="FJ10">
        <v>27.621211211508498</v>
      </c>
      <c r="FK10">
        <v>11.389532866432681</v>
      </c>
      <c r="FN10">
        <v>14</v>
      </c>
      <c r="FO10">
        <v>3.7228577936655243</v>
      </c>
      <c r="FP10">
        <v>1.3531669473038248</v>
      </c>
      <c r="FQ10">
        <v>2.3678483021649015</v>
      </c>
      <c r="FR10">
        <v>246.84588360681443</v>
      </c>
      <c r="FS10">
        <v>30.556127226158598</v>
      </c>
      <c r="FT10">
        <v>12.554121785076903</v>
      </c>
      <c r="FU10">
        <v>3.9892999496836667</v>
      </c>
      <c r="FV10">
        <v>1.487110558794106</v>
      </c>
      <c r="FW10">
        <v>2.5601706058256628</v>
      </c>
      <c r="FX10">
        <v>268.97094993866193</v>
      </c>
      <c r="FY10">
        <v>30.838625797661692</v>
      </c>
      <c r="FZ10">
        <v>12.844548459618636</v>
      </c>
      <c r="GB10">
        <v>14</v>
      </c>
      <c r="GC10">
        <v>3.471845457509688</v>
      </c>
      <c r="GD10">
        <v>1.3869937953473817</v>
      </c>
      <c r="GE10">
        <v>2.2565296216231561</v>
      </c>
      <c r="GF10">
        <v>245.93838385913807</v>
      </c>
      <c r="GG10">
        <v>29.648246744452187</v>
      </c>
      <c r="GH10">
        <v>12.737987799345387</v>
      </c>
      <c r="GI10">
        <v>3.6233179995962113</v>
      </c>
      <c r="GJ10">
        <v>1.4355254865044076</v>
      </c>
      <c r="GK10">
        <v>2.4495376525136847</v>
      </c>
      <c r="GL10">
        <v>267.7345642011835</v>
      </c>
      <c r="GM10">
        <v>29.614078963501598</v>
      </c>
      <c r="GN10">
        <v>12.7111915436881</v>
      </c>
      <c r="GP10">
        <v>14</v>
      </c>
      <c r="GQ10">
        <v>3.2372720680051468</v>
      </c>
      <c r="GR10">
        <v>1.2335187685233073</v>
      </c>
      <c r="GS10">
        <v>2.2772789121619739</v>
      </c>
      <c r="GT10">
        <v>246.749007895413</v>
      </c>
      <c r="GU10">
        <v>28.600189963374401</v>
      </c>
      <c r="GV10">
        <v>12.074152320106382</v>
      </c>
      <c r="GW10">
        <v>3.354857719229932</v>
      </c>
      <c r="GX10">
        <v>1.2462449708163652</v>
      </c>
      <c r="GY10">
        <v>2.4665995793915849</v>
      </c>
      <c r="GZ10">
        <v>268.17087519865731</v>
      </c>
      <c r="HA10">
        <v>28.564818008188425</v>
      </c>
      <c r="HB10">
        <v>11.984690024068474</v>
      </c>
      <c r="HD10">
        <v>14</v>
      </c>
      <c r="HE10">
        <v>3.0494470695891822</v>
      </c>
      <c r="HF10">
        <v>1.105582760174314</v>
      </c>
      <c r="HG10">
        <v>2.1594143317947094</v>
      </c>
      <c r="HH10">
        <v>246.58657904995195</v>
      </c>
      <c r="HI10">
        <v>27.857329166627068</v>
      </c>
      <c r="HJ10">
        <v>11.56327772906792</v>
      </c>
      <c r="HK10">
        <v>3.2317178849476318</v>
      </c>
      <c r="HL10">
        <v>1.1432434993511977</v>
      </c>
      <c r="HM10">
        <v>2.4419375735150859</v>
      </c>
      <c r="HN10">
        <v>268.37466645069753</v>
      </c>
      <c r="HO10">
        <v>28.084291675304538</v>
      </c>
      <c r="HP10">
        <v>11.591792110696097</v>
      </c>
      <c r="IA10">
        <v>28</v>
      </c>
      <c r="IB10">
        <v>27.5</v>
      </c>
      <c r="IC10">
        <v>24.2</v>
      </c>
      <c r="ID10">
        <v>23.2</v>
      </c>
      <c r="IE10">
        <v>22.2</v>
      </c>
      <c r="IF10">
        <v>12.8</v>
      </c>
      <c r="IG10">
        <v>11.2</v>
      </c>
      <c r="IH10">
        <v>10.3</v>
      </c>
      <c r="II10">
        <v>9.7100000000000009</v>
      </c>
      <c r="IJ10">
        <v>13.13</v>
      </c>
      <c r="IK10">
        <v>11.82</v>
      </c>
      <c r="IL10">
        <v>11.82</v>
      </c>
      <c r="IM10">
        <v>11.1</v>
      </c>
      <c r="IN10">
        <v>4.4000000000000004</v>
      </c>
      <c r="IO10">
        <v>1.4</v>
      </c>
      <c r="IP10">
        <v>6.25</v>
      </c>
      <c r="IQ10">
        <v>8</v>
      </c>
      <c r="IR10">
        <v>11</v>
      </c>
    </row>
    <row r="11" spans="1:252" x14ac:dyDescent="0.2">
      <c r="B11">
        <v>455.32534258426136</v>
      </c>
      <c r="C11">
        <v>2.1962318071828881</v>
      </c>
      <c r="D11">
        <v>452.45086297882671</v>
      </c>
      <c r="E11">
        <v>2.210184755569351</v>
      </c>
      <c r="F11">
        <v>450.93987380222887</v>
      </c>
      <c r="G11">
        <v>2.217590543874981</v>
      </c>
      <c r="H11">
        <v>451.87319517397316</v>
      </c>
      <c r="I11">
        <v>2.2130102220712509</v>
      </c>
      <c r="J11">
        <v>451.56052771905473</v>
      </c>
      <c r="K11">
        <v>2.2145425443876823</v>
      </c>
      <c r="L11">
        <v>426.11334624784615</v>
      </c>
      <c r="M11">
        <v>2.3467934266915833</v>
      </c>
      <c r="N11">
        <v>476.39673893294031</v>
      </c>
      <c r="O11">
        <v>2.0990907751380816</v>
      </c>
      <c r="Q11">
        <v>2.6226490555447617E-2</v>
      </c>
      <c r="R11">
        <v>2.6417748053898491E-2</v>
      </c>
      <c r="S11">
        <v>2.6956801088534328E-2</v>
      </c>
      <c r="T11">
        <v>2.7399709070616948E-2</v>
      </c>
      <c r="U11">
        <v>2.7798582746877527E-2</v>
      </c>
      <c r="V11">
        <v>2.6774359675017588E-2</v>
      </c>
      <c r="W11">
        <v>2.6386102988904529E-2</v>
      </c>
      <c r="Y11">
        <v>0.62624745878991206</v>
      </c>
      <c r="Z11">
        <v>0.62979893459307812</v>
      </c>
      <c r="AA11">
        <v>0.64404506492039537</v>
      </c>
      <c r="AB11">
        <v>0.65503003803780657</v>
      </c>
      <c r="AC11">
        <v>0.66151157446309583</v>
      </c>
      <c r="AD11">
        <v>0.65166734211686661</v>
      </c>
      <c r="AE11">
        <v>0.61986580370312239</v>
      </c>
      <c r="AG11">
        <v>0.32785097102918431</v>
      </c>
      <c r="AH11">
        <v>0.32893231147501634</v>
      </c>
      <c r="AI11">
        <v>0.33304811998644268</v>
      </c>
      <c r="AJ11">
        <v>0.3372875789340104</v>
      </c>
      <c r="AK11">
        <v>0.33900329252696154</v>
      </c>
      <c r="AL11">
        <v>0.33761717935098945</v>
      </c>
      <c r="AM11">
        <v>0.3234104988677215</v>
      </c>
      <c r="AO11">
        <v>15</v>
      </c>
      <c r="AP11">
        <v>4.1430827295666495</v>
      </c>
      <c r="AQ11">
        <v>1.481391060982675</v>
      </c>
      <c r="AR11">
        <v>2.6109165308768501</v>
      </c>
      <c r="AS11">
        <v>274.10369446002466</v>
      </c>
      <c r="AT11">
        <v>30.636736754741925</v>
      </c>
      <c r="AU11">
        <v>12.498401173459524</v>
      </c>
      <c r="AV11">
        <v>4.1512003029280526</v>
      </c>
      <c r="AW11">
        <v>1.4900135164542125</v>
      </c>
      <c r="AX11">
        <v>2.6067280607505237</v>
      </c>
      <c r="AY11">
        <v>273.53828878988037</v>
      </c>
      <c r="AZ11">
        <v>30.631547794168217</v>
      </c>
      <c r="BA11">
        <v>12.510880805553599</v>
      </c>
      <c r="BB11">
        <v>4.1856690144775754</v>
      </c>
      <c r="BC11">
        <v>1.5210333541872223</v>
      </c>
      <c r="BD11">
        <v>2.6334042143480172</v>
      </c>
      <c r="BE11">
        <v>275.74955348403898</v>
      </c>
      <c r="BF11">
        <v>30.45970914245477</v>
      </c>
      <c r="BG11">
        <v>12.499647022852377</v>
      </c>
      <c r="BH11">
        <v>4.2783326659033722</v>
      </c>
      <c r="BI11">
        <v>1.5605487415046735</v>
      </c>
      <c r="BJ11">
        <v>2.6747617674560673</v>
      </c>
      <c r="BK11">
        <v>279.41329759891522</v>
      </c>
      <c r="BL11">
        <v>30.423161226246449</v>
      </c>
      <c r="BM11">
        <v>12.491435631332228</v>
      </c>
      <c r="BN11">
        <v>4.3357765777223705</v>
      </c>
      <c r="BO11">
        <v>1.5837458008755123</v>
      </c>
      <c r="BP11">
        <v>2.6955706814676916</v>
      </c>
      <c r="BQ11">
        <v>281.04351920776963</v>
      </c>
      <c r="BR11">
        <v>30.440688235207329</v>
      </c>
      <c r="BS11">
        <v>12.496765783463189</v>
      </c>
      <c r="BU11">
        <v>15</v>
      </c>
      <c r="BV11">
        <v>3.8194921747214123</v>
      </c>
      <c r="BW11">
        <v>1.4615527584648504</v>
      </c>
      <c r="BX11">
        <v>2.4934391047660682</v>
      </c>
      <c r="BY11">
        <v>273.5095697545446</v>
      </c>
      <c r="BZ11">
        <v>29.520181626824385</v>
      </c>
      <c r="CA11">
        <v>12.453018141294285</v>
      </c>
      <c r="CB11">
        <v>3.8365680833001199</v>
      </c>
      <c r="CC11">
        <v>1.4746691678506691</v>
      </c>
      <c r="CD11">
        <v>2.4912167441475543</v>
      </c>
      <c r="CE11">
        <v>272.78357611051007</v>
      </c>
      <c r="CF11">
        <v>29.562883007689877</v>
      </c>
      <c r="CG11">
        <v>12.489243768919433</v>
      </c>
      <c r="CH11">
        <v>3.8691214921849379</v>
      </c>
      <c r="CI11">
        <v>1.4860982296649055</v>
      </c>
      <c r="CJ11">
        <v>2.5184939765554866</v>
      </c>
      <c r="CK11">
        <v>275.02480216345185</v>
      </c>
      <c r="CL11">
        <v>29.388999135391717</v>
      </c>
      <c r="CM11">
        <v>12.405561003584001</v>
      </c>
      <c r="CN11">
        <v>3.959367094898496</v>
      </c>
      <c r="CO11">
        <v>1.5228296822061367</v>
      </c>
      <c r="CP11">
        <v>2.5577107211003227</v>
      </c>
      <c r="CQ11">
        <v>278.74362653226984</v>
      </c>
      <c r="CR11">
        <v>29.351954455026501</v>
      </c>
      <c r="CS11">
        <v>12.386127730159563</v>
      </c>
      <c r="CT11">
        <v>4.0213504689665509</v>
      </c>
      <c r="CU11">
        <v>1.5445521413641614</v>
      </c>
      <c r="CV11">
        <v>2.5821820041614707</v>
      </c>
      <c r="CW11">
        <v>280.58906108078315</v>
      </c>
      <c r="CX11">
        <v>29.369398822004843</v>
      </c>
      <c r="CY11">
        <v>12.377322770927643</v>
      </c>
      <c r="DA11">
        <v>15</v>
      </c>
      <c r="DB11">
        <v>3.5773329107409255</v>
      </c>
      <c r="DC11">
        <v>1.3188674085602441</v>
      </c>
      <c r="DD11">
        <v>2.5126356919397805</v>
      </c>
      <c r="DE11">
        <v>274.43338946574818</v>
      </c>
      <c r="DF11">
        <v>28.538411186390118</v>
      </c>
      <c r="DG11">
        <v>11.891170715120385</v>
      </c>
      <c r="DH11">
        <v>3.5844341747221513</v>
      </c>
      <c r="DI11">
        <v>1.3127580444467895</v>
      </c>
      <c r="DJ11">
        <v>2.5109750119681862</v>
      </c>
      <c r="DK11">
        <v>273.7976735735221</v>
      </c>
      <c r="DL11">
        <v>28.532510654435995</v>
      </c>
      <c r="DM11">
        <v>11.851632676223277</v>
      </c>
      <c r="DN11">
        <v>3.6478274031252829</v>
      </c>
      <c r="DO11">
        <v>1.347238695954931</v>
      </c>
      <c r="DP11">
        <v>2.5481298472488012</v>
      </c>
      <c r="DQ11">
        <v>276.87211958459181</v>
      </c>
      <c r="DR11">
        <v>28.393648286899612</v>
      </c>
      <c r="DS11">
        <v>11.821260414150753</v>
      </c>
      <c r="DT11">
        <v>3.7215195826289333</v>
      </c>
      <c r="DU11">
        <v>1.3811984214721442</v>
      </c>
      <c r="DV11">
        <v>2.5755096039328977</v>
      </c>
      <c r="DW11">
        <v>279.85670940446266</v>
      </c>
      <c r="DX11">
        <v>28.385321671361954</v>
      </c>
      <c r="DY11">
        <v>11.830779074435155</v>
      </c>
      <c r="DZ11">
        <v>3.78524402550554</v>
      </c>
      <c r="EA11">
        <v>1.3951671836816606</v>
      </c>
      <c r="EB11">
        <v>2.5981110919007229</v>
      </c>
      <c r="EC11">
        <v>281.68537736057863</v>
      </c>
      <c r="ED11">
        <v>28.416901407934496</v>
      </c>
      <c r="EE11">
        <v>11.798824803928248</v>
      </c>
      <c r="EG11">
        <v>15</v>
      </c>
      <c r="EH11">
        <v>3.3567195526632476</v>
      </c>
      <c r="EI11">
        <v>1.1878601304571352</v>
      </c>
      <c r="EJ11">
        <v>2.4300591958497857</v>
      </c>
      <c r="EK11">
        <v>274.05905765633042</v>
      </c>
      <c r="EL11">
        <v>27.772406498292487</v>
      </c>
      <c r="EM11">
        <v>11.429386909339648</v>
      </c>
      <c r="EN11">
        <v>3.3789793086656759</v>
      </c>
      <c r="EO11">
        <v>1.1896952468452549</v>
      </c>
      <c r="EP11">
        <v>2.4249001919420579</v>
      </c>
      <c r="EQ11">
        <v>274.00307343854053</v>
      </c>
      <c r="ER11">
        <v>27.761295071918333</v>
      </c>
      <c r="ES11">
        <v>11.393619122657686</v>
      </c>
      <c r="ET11">
        <v>3.4309924468039195</v>
      </c>
      <c r="EU11">
        <v>1.2193747613185091</v>
      </c>
      <c r="EV11">
        <v>2.45858363862054</v>
      </c>
      <c r="EW11">
        <v>274.25911647647462</v>
      </c>
      <c r="EX11">
        <v>27.873547927321798</v>
      </c>
      <c r="EY11">
        <v>11.467671641320658</v>
      </c>
      <c r="EZ11">
        <v>3.5354343155288186</v>
      </c>
      <c r="FA11">
        <v>1.2477902776367269</v>
      </c>
      <c r="FB11">
        <v>2.4826293682699854</v>
      </c>
      <c r="FC11">
        <v>279.17996641685954</v>
      </c>
      <c r="FD11">
        <v>27.787586447556567</v>
      </c>
      <c r="FE11">
        <v>11.381600185747748</v>
      </c>
      <c r="FF11">
        <v>3.608704633282886</v>
      </c>
      <c r="FG11">
        <v>1.2619813391682813</v>
      </c>
      <c r="FH11">
        <v>2.5024509388200595</v>
      </c>
      <c r="FI11">
        <v>283.47855637000828</v>
      </c>
      <c r="FJ11">
        <v>27.61438573883586</v>
      </c>
      <c r="FK11">
        <v>11.254362988318229</v>
      </c>
      <c r="FN11">
        <v>15</v>
      </c>
      <c r="FO11">
        <v>4.0404496401177905</v>
      </c>
      <c r="FP11">
        <v>1.4605116733952717</v>
      </c>
      <c r="FQ11">
        <v>2.5283509204164765</v>
      </c>
      <c r="FR11">
        <v>263.27034006282656</v>
      </c>
      <c r="FS11">
        <v>30.470780512317834</v>
      </c>
      <c r="FT11">
        <v>12.459545263488124</v>
      </c>
      <c r="FU11">
        <v>4.2872076153274978</v>
      </c>
      <c r="FV11">
        <v>1.5869911124381699</v>
      </c>
      <c r="FW11">
        <v>2.7080459022736774</v>
      </c>
      <c r="FX11">
        <v>284.26245073501173</v>
      </c>
      <c r="FY11">
        <v>30.741516233753416</v>
      </c>
      <c r="FZ11">
        <v>12.739788096132282</v>
      </c>
      <c r="GB11">
        <v>15</v>
      </c>
      <c r="GC11">
        <v>3.7795789003272149</v>
      </c>
      <c r="GD11">
        <v>1.4716620403262941</v>
      </c>
      <c r="GE11">
        <v>2.4128983421863053</v>
      </c>
      <c r="GF11">
        <v>262.58413780687215</v>
      </c>
      <c r="GG11">
        <v>29.556933912646912</v>
      </c>
      <c r="GH11">
        <v>12.534569349723993</v>
      </c>
      <c r="GI11">
        <v>3.9161535384833495</v>
      </c>
      <c r="GJ11">
        <v>1.5165022040103266</v>
      </c>
      <c r="GK11">
        <v>2.593392377949594</v>
      </c>
      <c r="GL11">
        <v>283.41350678436851</v>
      </c>
      <c r="GM11">
        <v>29.524367988005341</v>
      </c>
      <c r="GN11">
        <v>12.529235172708779</v>
      </c>
      <c r="GP11">
        <v>15</v>
      </c>
      <c r="GQ11">
        <v>3.5524710573870264</v>
      </c>
      <c r="GR11">
        <v>1.3222787638632689</v>
      </c>
      <c r="GS11">
        <v>2.4366873194706229</v>
      </c>
      <c r="GT11">
        <v>263.93757368634778</v>
      </c>
      <c r="GU11">
        <v>28.544909538647481</v>
      </c>
      <c r="GV11">
        <v>11.904314210103751</v>
      </c>
      <c r="GW11">
        <v>3.6585310849671213</v>
      </c>
      <c r="GX11">
        <v>1.332703845139551</v>
      </c>
      <c r="GY11">
        <v>2.6160124435106313</v>
      </c>
      <c r="GZ11">
        <v>284.45256436212662</v>
      </c>
      <c r="HA11">
        <v>28.510842332333421</v>
      </c>
      <c r="HB11">
        <v>11.837320314912203</v>
      </c>
      <c r="HD11">
        <v>15</v>
      </c>
      <c r="HE11">
        <v>3.3197854455100853</v>
      </c>
      <c r="HF11">
        <v>1.1866038348804353</v>
      </c>
      <c r="HG11">
        <v>2.3064790680401384</v>
      </c>
      <c r="HH11">
        <v>262.82268648274891</v>
      </c>
      <c r="HI11">
        <v>27.780663269832328</v>
      </c>
      <c r="HJ11">
        <v>11.43858972094173</v>
      </c>
      <c r="HK11">
        <v>3.490745360059178</v>
      </c>
      <c r="HL11">
        <v>1.2214217032732058</v>
      </c>
      <c r="HM11">
        <v>2.5765629882312124</v>
      </c>
      <c r="HN11">
        <v>283.65697889117274</v>
      </c>
      <c r="HO11">
        <v>27.999298729384197</v>
      </c>
      <c r="HP11">
        <v>11.478208608205861</v>
      </c>
      <c r="IA11">
        <v>29</v>
      </c>
      <c r="IB11">
        <v>27.666666666666668</v>
      </c>
      <c r="IC11">
        <v>24.266666666666666</v>
      </c>
      <c r="ID11">
        <v>23.233333333333334</v>
      </c>
      <c r="IE11">
        <v>22.233333333333334</v>
      </c>
      <c r="IF11">
        <v>12.866666666666667</v>
      </c>
      <c r="IG11">
        <v>11.233333333333333</v>
      </c>
      <c r="IH11">
        <v>10.303333333333335</v>
      </c>
      <c r="II11">
        <v>9.7200000000000006</v>
      </c>
      <c r="IJ11">
        <v>12.92</v>
      </c>
      <c r="IK11">
        <v>11.913333333333334</v>
      </c>
      <c r="IL11">
        <v>11.913333333333334</v>
      </c>
      <c r="IM11">
        <v>11.166666666666666</v>
      </c>
      <c r="IN11">
        <v>4.4666666666666668</v>
      </c>
      <c r="IO11">
        <v>1.4333333333333333</v>
      </c>
      <c r="IP11">
        <v>6.25</v>
      </c>
      <c r="IQ11">
        <v>8</v>
      </c>
      <c r="IR11">
        <v>11</v>
      </c>
    </row>
    <row r="12" spans="1:252" x14ac:dyDescent="0.2">
      <c r="B12">
        <v>467.53504788935589</v>
      </c>
      <c r="C12">
        <v>2.1388770842194789</v>
      </c>
      <c r="D12">
        <v>466.10887433508316</v>
      </c>
      <c r="E12">
        <v>2.1454214992720892</v>
      </c>
      <c r="F12">
        <v>470.1040523873184</v>
      </c>
      <c r="G12">
        <v>2.1271886403057438</v>
      </c>
      <c r="H12">
        <v>475.43193073419997</v>
      </c>
      <c r="I12">
        <v>2.1033505226620353</v>
      </c>
      <c r="J12">
        <v>477.9016014012787</v>
      </c>
      <c r="K12">
        <v>2.0924809564727362</v>
      </c>
      <c r="L12">
        <v>443.16360243940312</v>
      </c>
      <c r="M12">
        <v>2.2565030036209643</v>
      </c>
      <c r="N12">
        <v>491.78763375404998</v>
      </c>
      <c r="O12">
        <v>2.0333980185034792</v>
      </c>
      <c r="Q12">
        <v>2.7970830021020261E-2</v>
      </c>
      <c r="R12">
        <v>2.8175139174431065E-2</v>
      </c>
      <c r="S12">
        <v>2.8751236014119021E-2</v>
      </c>
      <c r="T12">
        <v>2.9224659344039859E-2</v>
      </c>
      <c r="U12">
        <v>2.9650829092912362E-2</v>
      </c>
      <c r="V12">
        <v>2.8559316986685429E-2</v>
      </c>
      <c r="W12">
        <v>2.8145176521498165E-2</v>
      </c>
      <c r="Y12">
        <v>0.66294751382281525</v>
      </c>
      <c r="Z12">
        <v>0.66583702043487447</v>
      </c>
      <c r="AA12">
        <v>0.6848287712080624</v>
      </c>
      <c r="AB12">
        <v>0.69672584668802851</v>
      </c>
      <c r="AC12">
        <v>0.70403051964724961</v>
      </c>
      <c r="AD12">
        <v>0.6898429924947832</v>
      </c>
      <c r="AE12">
        <v>0.65787946874883396</v>
      </c>
      <c r="AG12">
        <v>0.34025426785726365</v>
      </c>
      <c r="AH12">
        <v>0.341174607019058</v>
      </c>
      <c r="AI12">
        <v>0.34742348733883038</v>
      </c>
      <c r="AJ12">
        <v>0.35199096828847942</v>
      </c>
      <c r="AK12">
        <v>0.35418994102157253</v>
      </c>
      <c r="AL12">
        <v>0.35083546842466851</v>
      </c>
      <c r="AM12">
        <v>0.33655609007675807</v>
      </c>
      <c r="AO12">
        <v>16</v>
      </c>
      <c r="AP12">
        <v>4.3994089873023539</v>
      </c>
      <c r="AQ12">
        <v>1.5928339494987664</v>
      </c>
      <c r="AR12">
        <v>2.7357484037871527</v>
      </c>
      <c r="AS12">
        <v>287.20711504368882</v>
      </c>
      <c r="AT12">
        <v>30.528688237569369</v>
      </c>
      <c r="AU12">
        <v>12.497748779532321</v>
      </c>
      <c r="AV12">
        <v>4.4249116161742101</v>
      </c>
      <c r="AW12">
        <v>1.6037046204895604</v>
      </c>
      <c r="AX12">
        <v>2.7443567203769268</v>
      </c>
      <c r="AY12">
        <v>287.65364216033538</v>
      </c>
      <c r="AZ12">
        <v>30.523628597294827</v>
      </c>
      <c r="BA12">
        <v>12.494966312069664</v>
      </c>
      <c r="BB12">
        <v>4.5220905471777559</v>
      </c>
      <c r="BC12">
        <v>1.648504967086369</v>
      </c>
      <c r="BD12">
        <v>2.8010327068746097</v>
      </c>
      <c r="BE12">
        <v>293.31083274625155</v>
      </c>
      <c r="BF12">
        <v>30.393500060044371</v>
      </c>
      <c r="BG12">
        <v>12.464879965648441</v>
      </c>
      <c r="BH12">
        <v>4.6621535606801796</v>
      </c>
      <c r="BI12">
        <v>1.7016212761953251</v>
      </c>
      <c r="BJ12">
        <v>2.8731909687053401</v>
      </c>
      <c r="BK12">
        <v>299.9105713670757</v>
      </c>
      <c r="BL12">
        <v>30.357681224637378</v>
      </c>
      <c r="BM12">
        <v>12.443553821342293</v>
      </c>
      <c r="BN12">
        <v>4.7317411341748201</v>
      </c>
      <c r="BO12">
        <v>1.7268180785834144</v>
      </c>
      <c r="BP12">
        <v>2.9124330616570617</v>
      </c>
      <c r="BQ12">
        <v>302.78979221479182</v>
      </c>
      <c r="BR12">
        <v>30.375045441241486</v>
      </c>
      <c r="BS12">
        <v>12.443275712197263</v>
      </c>
      <c r="BU12">
        <v>16</v>
      </c>
      <c r="BV12">
        <v>4.0733046285584145</v>
      </c>
      <c r="BW12">
        <v>1.5486585695021922</v>
      </c>
      <c r="BX12">
        <v>2.6161148461176125</v>
      </c>
      <c r="BY12">
        <v>287.00307970830096</v>
      </c>
      <c r="BZ12">
        <v>29.41415166909232</v>
      </c>
      <c r="CA12">
        <v>12.35271410716903</v>
      </c>
      <c r="CB12">
        <v>4.103376615385339</v>
      </c>
      <c r="CC12">
        <v>1.5628107811113523</v>
      </c>
      <c r="CD12">
        <v>2.6255331658004892</v>
      </c>
      <c r="CE12">
        <v>287.16569875570337</v>
      </c>
      <c r="CF12">
        <v>29.455808872104573</v>
      </c>
      <c r="CG12">
        <v>12.373792358753127</v>
      </c>
      <c r="CH12">
        <v>4.1975561542098037</v>
      </c>
      <c r="CI12">
        <v>1.5934499746402362</v>
      </c>
      <c r="CJ12">
        <v>2.6813362606564692</v>
      </c>
      <c r="CK12">
        <v>292.94146665965565</v>
      </c>
      <c r="CL12">
        <v>29.323975597135782</v>
      </c>
      <c r="CM12">
        <v>12.292658227672547</v>
      </c>
      <c r="CN12">
        <v>4.3337610711878769</v>
      </c>
      <c r="CO12">
        <v>1.6396263004637623</v>
      </c>
      <c r="CP12">
        <v>2.7514065924763811</v>
      </c>
      <c r="CQ12">
        <v>299.65374499680473</v>
      </c>
      <c r="CR12">
        <v>29.287793590104553</v>
      </c>
      <c r="CS12">
        <v>12.247330200072406</v>
      </c>
      <c r="CT12">
        <v>4.4025370983604546</v>
      </c>
      <c r="CU12">
        <v>1.6601331542250115</v>
      </c>
      <c r="CV12">
        <v>2.7886231170400411</v>
      </c>
      <c r="CW12">
        <v>302.61105790461062</v>
      </c>
      <c r="CX12">
        <v>29.305107761955608</v>
      </c>
      <c r="CY12">
        <v>12.230260085789096</v>
      </c>
      <c r="DA12">
        <v>16</v>
      </c>
      <c r="DB12">
        <v>3.8466421747258042</v>
      </c>
      <c r="DC12">
        <v>1.3970397250019901</v>
      </c>
      <c r="DD12">
        <v>2.6456107931815369</v>
      </c>
      <c r="DE12">
        <v>288.5760643715372</v>
      </c>
      <c r="DF12">
        <v>28.468368227611865</v>
      </c>
      <c r="DG12">
        <v>11.759977926111763</v>
      </c>
      <c r="DH12">
        <v>3.8592154801301137</v>
      </c>
      <c r="DI12">
        <v>1.3954484965887073</v>
      </c>
      <c r="DJ12">
        <v>2.6491696151945479</v>
      </c>
      <c r="DK12">
        <v>288.60738472986935</v>
      </c>
      <c r="DL12">
        <v>28.462670175975468</v>
      </c>
      <c r="DM12">
        <v>11.732085260416588</v>
      </c>
      <c r="DN12">
        <v>3.9884930174144326</v>
      </c>
      <c r="DO12">
        <v>1.4394544416651769</v>
      </c>
      <c r="DP12">
        <v>2.717094385486118</v>
      </c>
      <c r="DQ12">
        <v>295.5424117995197</v>
      </c>
      <c r="DR12">
        <v>28.358519617843754</v>
      </c>
      <c r="DS12">
        <v>11.663414994811319</v>
      </c>
      <c r="DT12">
        <v>4.07504046948835</v>
      </c>
      <c r="DU12">
        <v>1.4706771341571812</v>
      </c>
      <c r="DV12">
        <v>2.7585479459848963</v>
      </c>
      <c r="DW12">
        <v>300.44114637536336</v>
      </c>
      <c r="DX12">
        <v>28.349899915596783</v>
      </c>
      <c r="DY12">
        <v>11.65289520624952</v>
      </c>
      <c r="DZ12">
        <v>4.1422435184600719</v>
      </c>
      <c r="EA12">
        <v>1.4852893220610677</v>
      </c>
      <c r="EB12">
        <v>2.7905827554201745</v>
      </c>
      <c r="EC12">
        <v>303.29847820519336</v>
      </c>
      <c r="ED12">
        <v>28.380478968740935</v>
      </c>
      <c r="EE12">
        <v>11.626065952298108</v>
      </c>
      <c r="EG12">
        <v>16</v>
      </c>
      <c r="EH12">
        <v>3.6162206102501373</v>
      </c>
      <c r="EI12">
        <v>1.2607588817966136</v>
      </c>
      <c r="EJ12">
        <v>2.5490921950003922</v>
      </c>
      <c r="EK12">
        <v>288.14721101740508</v>
      </c>
      <c r="EL12">
        <v>27.711071953585439</v>
      </c>
      <c r="EM12">
        <v>11.304524837519082</v>
      </c>
      <c r="EN12">
        <v>3.647604682822128</v>
      </c>
      <c r="EO12">
        <v>1.2639046385944988</v>
      </c>
      <c r="EP12">
        <v>2.5498383835118306</v>
      </c>
      <c r="EQ12">
        <v>288.86174869082521</v>
      </c>
      <c r="ER12">
        <v>27.705038970649053</v>
      </c>
      <c r="ES12">
        <v>11.266367392678731</v>
      </c>
      <c r="ET12">
        <v>3.6796137310854613</v>
      </c>
      <c r="EU12">
        <v>1.3028331680152057</v>
      </c>
      <c r="EV12">
        <v>2.6120320838235651</v>
      </c>
      <c r="EW12">
        <v>290.67191923950395</v>
      </c>
      <c r="EX12">
        <v>27.771055483145201</v>
      </c>
      <c r="EY12">
        <v>11.388828106947541</v>
      </c>
      <c r="EZ12">
        <v>3.8351383644960233</v>
      </c>
      <c r="FA12">
        <v>1.3301061378763326</v>
      </c>
      <c r="FB12">
        <v>2.6490560079917067</v>
      </c>
      <c r="FC12">
        <v>298.65910211543667</v>
      </c>
      <c r="FD12">
        <v>27.715794585349581</v>
      </c>
      <c r="FE12">
        <v>11.251752162496853</v>
      </c>
      <c r="FF12">
        <v>3.9232617848531173</v>
      </c>
      <c r="FG12">
        <v>1.3440538693684232</v>
      </c>
      <c r="FH12">
        <v>2.6777476901065249</v>
      </c>
      <c r="FI12">
        <v>303.87596527597162</v>
      </c>
      <c r="FJ12">
        <v>27.605915922729249</v>
      </c>
      <c r="FK12">
        <v>11.139191791882858</v>
      </c>
      <c r="FN12">
        <v>16</v>
      </c>
      <c r="FO12">
        <v>4.3547565040477991</v>
      </c>
      <c r="FP12">
        <v>1.5671130706486052</v>
      </c>
      <c r="FQ12">
        <v>2.6868688841141188</v>
      </c>
      <c r="FR12">
        <v>279.58565267769319</v>
      </c>
      <c r="FS12">
        <v>30.386670860523061</v>
      </c>
      <c r="FT12">
        <v>12.374180154567368</v>
      </c>
      <c r="FU12">
        <v>4.5821774797148151</v>
      </c>
      <c r="FV12">
        <v>1.6862644474427566</v>
      </c>
      <c r="FW12">
        <v>2.8541613530046925</v>
      </c>
      <c r="FX12">
        <v>299.46763935010034</v>
      </c>
      <c r="FY12">
        <v>30.645852585038529</v>
      </c>
      <c r="FZ12">
        <v>12.643915534936273</v>
      </c>
      <c r="GB12">
        <v>16</v>
      </c>
      <c r="GC12">
        <v>4.0840988359508366</v>
      </c>
      <c r="GD12">
        <v>1.5558440579864954</v>
      </c>
      <c r="GE12">
        <v>2.5673254186224934</v>
      </c>
      <c r="GF12">
        <v>279.12560515544845</v>
      </c>
      <c r="GG12">
        <v>29.467090747780034</v>
      </c>
      <c r="GH12">
        <v>12.354202403908893</v>
      </c>
      <c r="GI12">
        <v>4.2060338975191316</v>
      </c>
      <c r="GJ12">
        <v>1.5970586135141542</v>
      </c>
      <c r="GK12">
        <v>2.7355285184803231</v>
      </c>
      <c r="GL12">
        <v>298.99759186185355</v>
      </c>
      <c r="GM12">
        <v>29.436014827114242</v>
      </c>
      <c r="GN12">
        <v>12.365443080789314</v>
      </c>
      <c r="GP12">
        <v>16</v>
      </c>
      <c r="GQ12">
        <v>3.8636558219502732</v>
      </c>
      <c r="GR12">
        <v>1.4103304925735605</v>
      </c>
      <c r="GS12">
        <v>2.5940004362015952</v>
      </c>
      <c r="GT12">
        <v>280.96884415482089</v>
      </c>
      <c r="GU12">
        <v>28.48919618551491</v>
      </c>
      <c r="GV12">
        <v>11.755255878018533</v>
      </c>
      <c r="GW12">
        <v>3.9583761117307232</v>
      </c>
      <c r="GX12">
        <v>1.4184913609398189</v>
      </c>
      <c r="GY12">
        <v>2.7634937757914071</v>
      </c>
      <c r="GZ12">
        <v>300.58755918526725</v>
      </c>
      <c r="HA12">
        <v>28.456399808138858</v>
      </c>
      <c r="HB12">
        <v>11.705974992523743</v>
      </c>
      <c r="HD12">
        <v>16</v>
      </c>
      <c r="HE12">
        <v>3.5868066871214404</v>
      </c>
      <c r="HF12">
        <v>1.266970274293427</v>
      </c>
      <c r="HG12">
        <v>2.45161230569592</v>
      </c>
      <c r="HH12">
        <v>278.94139493615654</v>
      </c>
      <c r="HI12">
        <v>27.703766915211446</v>
      </c>
      <c r="HJ12">
        <v>11.32675356138531</v>
      </c>
      <c r="HK12">
        <v>3.7466406347982915</v>
      </c>
      <c r="HL12">
        <v>1.298991498222428</v>
      </c>
      <c r="HM12">
        <v>2.7094621936595433</v>
      </c>
      <c r="HN12">
        <v>298.83957237580626</v>
      </c>
      <c r="HO12">
        <v>27.914322786226442</v>
      </c>
      <c r="HP12">
        <v>11.374566497821329</v>
      </c>
      <c r="HS12" t="s">
        <v>8539</v>
      </c>
      <c r="IA12">
        <v>30</v>
      </c>
      <c r="IB12">
        <v>27.833333333333336</v>
      </c>
      <c r="IC12">
        <v>24.333333333333332</v>
      </c>
      <c r="ID12">
        <v>23.266666666666669</v>
      </c>
      <c r="IE12">
        <v>22.266666666666669</v>
      </c>
      <c r="IF12">
        <v>12.933333333333334</v>
      </c>
      <c r="IG12">
        <v>11.266666666666666</v>
      </c>
      <c r="IH12">
        <v>10.306666666666668</v>
      </c>
      <c r="II12">
        <v>9.73</v>
      </c>
      <c r="IJ12">
        <v>12.709999999999999</v>
      </c>
      <c r="IK12">
        <v>12.006666666666668</v>
      </c>
      <c r="IL12">
        <v>12.006666666666668</v>
      </c>
      <c r="IM12">
        <v>11.233333333333333</v>
      </c>
      <c r="IN12">
        <v>4.5333333333333332</v>
      </c>
      <c r="IO12">
        <v>1.4666666666666668</v>
      </c>
      <c r="IP12">
        <v>6.25</v>
      </c>
      <c r="IQ12">
        <v>8</v>
      </c>
      <c r="IR12">
        <v>11</v>
      </c>
    </row>
    <row r="13" spans="1:252" x14ac:dyDescent="0.2">
      <c r="B13">
        <v>479.54711477364731</v>
      </c>
      <c r="C13">
        <v>2.0853008373786452</v>
      </c>
      <c r="D13">
        <v>479.5459210593234</v>
      </c>
      <c r="E13">
        <v>2.0853060282339313</v>
      </c>
      <c r="F13">
        <v>488.98792870790493</v>
      </c>
      <c r="G13">
        <v>2.0450402582378393</v>
      </c>
      <c r="H13">
        <v>498.69997606929365</v>
      </c>
      <c r="I13">
        <v>2.0052136514661703</v>
      </c>
      <c r="J13">
        <v>503.88190535309116</v>
      </c>
      <c r="K13">
        <v>1.9845920033569335</v>
      </c>
      <c r="L13">
        <v>459.94587741948641</v>
      </c>
      <c r="M13">
        <v>2.174168851366757</v>
      </c>
      <c r="N13">
        <v>506.9368513699763</v>
      </c>
      <c r="O13">
        <v>1.9726322860481351</v>
      </c>
      <c r="Q13">
        <v>2.9715124903128481E-2</v>
      </c>
      <c r="R13">
        <v>2.9932479528712697E-2</v>
      </c>
      <c r="S13">
        <v>3.0545601879357398E-2</v>
      </c>
      <c r="T13">
        <v>3.1049534489547861E-2</v>
      </c>
      <c r="U13">
        <v>3.1502980283758142E-2</v>
      </c>
      <c r="V13">
        <v>3.034427429835327E-2</v>
      </c>
      <c r="W13">
        <v>2.9904250054091801E-2</v>
      </c>
      <c r="Y13">
        <v>0.69921952355202499</v>
      </c>
      <c r="Z13">
        <v>0.7014746062715439</v>
      </c>
      <c r="AA13">
        <v>0.72513358420377316</v>
      </c>
      <c r="AB13">
        <v>0.73797633575266675</v>
      </c>
      <c r="AC13">
        <v>0.74609475933300051</v>
      </c>
      <c r="AD13">
        <v>0.72758179543369328</v>
      </c>
      <c r="AE13">
        <v>0.69545792698507369</v>
      </c>
      <c r="AG13">
        <v>0.35252503496505105</v>
      </c>
      <c r="AH13">
        <v>0.35329387402784351</v>
      </c>
      <c r="AI13">
        <v>0.36164177203589565</v>
      </c>
      <c r="AJ13">
        <v>0.36655248189360945</v>
      </c>
      <c r="AK13">
        <v>0.36922813060265414</v>
      </c>
      <c r="AL13">
        <v>0.36391465795639083</v>
      </c>
      <c r="AM13">
        <v>0.34956327531126608</v>
      </c>
      <c r="AO13">
        <v>17</v>
      </c>
      <c r="AP13">
        <v>4.6532191576636324</v>
      </c>
      <c r="AQ13">
        <v>1.7032207771105661</v>
      </c>
      <c r="AR13">
        <v>2.8591160917053537</v>
      </c>
      <c r="AS13">
        <v>300.24426580957589</v>
      </c>
      <c r="AT13">
        <v>30.422254271799229</v>
      </c>
      <c r="AU13">
        <v>12.493583251746449</v>
      </c>
      <c r="AV13">
        <v>4.6959538074991096</v>
      </c>
      <c r="AW13">
        <v>1.716356012794594</v>
      </c>
      <c r="AX13">
        <v>2.8803478006712289</v>
      </c>
      <c r="AY13">
        <v>301.69726056256616</v>
      </c>
      <c r="AZ13">
        <v>30.417349089500039</v>
      </c>
      <c r="BA13">
        <v>12.476934201057489</v>
      </c>
      <c r="BB13">
        <v>4.8549702094375329</v>
      </c>
      <c r="BC13">
        <v>1.7747700620553566</v>
      </c>
      <c r="BD13">
        <v>2.9665546752108729</v>
      </c>
      <c r="BE13">
        <v>310.7386760642533</v>
      </c>
      <c r="BF13">
        <v>30.327970546336253</v>
      </c>
      <c r="BG13">
        <v>12.431645331473607</v>
      </c>
      <c r="BH13">
        <v>5.0419690018790799</v>
      </c>
      <c r="BI13">
        <v>1.841382495678725</v>
      </c>
      <c r="BJ13">
        <v>3.0691262135664901</v>
      </c>
      <c r="BK13">
        <v>320.26795828320115</v>
      </c>
      <c r="BL13">
        <v>30.292826139327982</v>
      </c>
      <c r="BM13">
        <v>12.399244572481281</v>
      </c>
      <c r="BN13">
        <v>5.1235069250542082</v>
      </c>
      <c r="BO13">
        <v>1.8685506115278674</v>
      </c>
      <c r="BP13">
        <v>3.1265039362853635</v>
      </c>
      <c r="BQ13">
        <v>324.37362189417973</v>
      </c>
      <c r="BR13">
        <v>30.310046147589983</v>
      </c>
      <c r="BS13">
        <v>12.394282447694867</v>
      </c>
      <c r="BU13">
        <v>17</v>
      </c>
      <c r="BV13">
        <v>4.3245629222480133</v>
      </c>
      <c r="BW13">
        <v>1.6350162550852383</v>
      </c>
      <c r="BX13">
        <v>2.7373401396183499</v>
      </c>
      <c r="BY13">
        <v>300.42774282488011</v>
      </c>
      <c r="BZ13">
        <v>29.309713809705276</v>
      </c>
      <c r="CA13">
        <v>12.258928466779054</v>
      </c>
      <c r="CB13">
        <v>4.3675351528052309</v>
      </c>
      <c r="CC13">
        <v>1.6502293933124506</v>
      </c>
      <c r="CD13">
        <v>2.7582427805490597</v>
      </c>
      <c r="CE13">
        <v>301.47468650760578</v>
      </c>
      <c r="CF13">
        <v>29.350431844500207</v>
      </c>
      <c r="CG13">
        <v>12.266801873274332</v>
      </c>
      <c r="CH13">
        <v>4.5224828289690722</v>
      </c>
      <c r="CI13">
        <v>1.6998394731398543</v>
      </c>
      <c r="CJ13">
        <v>2.8421256093588245</v>
      </c>
      <c r="CK13">
        <v>310.72076648096822</v>
      </c>
      <c r="CL13">
        <v>29.259666606070244</v>
      </c>
      <c r="CM13">
        <v>12.191210988529093</v>
      </c>
      <c r="CN13">
        <v>4.7041945930109126</v>
      </c>
      <c r="CO13">
        <v>1.7554022269828751</v>
      </c>
      <c r="CP13">
        <v>2.94265843868207</v>
      </c>
      <c r="CQ13">
        <v>320.42004471103041</v>
      </c>
      <c r="CR13">
        <v>29.224286445148344</v>
      </c>
      <c r="CS13">
        <v>12.125023196631023</v>
      </c>
      <c r="CT13">
        <v>4.7796442468758604</v>
      </c>
      <c r="CU13">
        <v>1.774705799905949</v>
      </c>
      <c r="CV13">
        <v>2.9924097058237304</v>
      </c>
      <c r="CW13">
        <v>324.4676919445821</v>
      </c>
      <c r="CX13">
        <v>29.241483839678082</v>
      </c>
      <c r="CY13">
        <v>12.101462099921376</v>
      </c>
      <c r="DA13">
        <v>17</v>
      </c>
      <c r="DB13">
        <v>4.1124391583176276</v>
      </c>
      <c r="DC13">
        <v>1.4745630092055828</v>
      </c>
      <c r="DD13">
        <v>2.7768174936736436</v>
      </c>
      <c r="DE13">
        <v>302.60020618278855</v>
      </c>
      <c r="DF13">
        <v>28.398286660689536</v>
      </c>
      <c r="DG13">
        <v>11.640669407603319</v>
      </c>
      <c r="DH13">
        <v>4.1305264294550534</v>
      </c>
      <c r="DI13">
        <v>1.4775069753279528</v>
      </c>
      <c r="DJ13">
        <v>2.7855773951575578</v>
      </c>
      <c r="DK13">
        <v>303.29557978028816</v>
      </c>
      <c r="DL13">
        <v>28.392776189061511</v>
      </c>
      <c r="DM13">
        <v>11.623670327690403</v>
      </c>
      <c r="DN13">
        <v>4.3247401651407076</v>
      </c>
      <c r="DO13">
        <v>1.5309148690835082</v>
      </c>
      <c r="DP13">
        <v>2.8837927395669363</v>
      </c>
      <c r="DQ13">
        <v>314.02258981888127</v>
      </c>
      <c r="DR13">
        <v>28.322304379812518</v>
      </c>
      <c r="DS13">
        <v>11.525087480865707</v>
      </c>
      <c r="DT13">
        <v>4.4243396840193006</v>
      </c>
      <c r="DU13">
        <v>1.5595984373858287</v>
      </c>
      <c r="DV13">
        <v>2.9392951991275194</v>
      </c>
      <c r="DW13">
        <v>320.84418256556955</v>
      </c>
      <c r="DX13">
        <v>28.313408046768259</v>
      </c>
      <c r="DY13">
        <v>11.498717713031251</v>
      </c>
      <c r="DZ13">
        <v>4.4949803521131777</v>
      </c>
      <c r="EA13">
        <v>1.574863682697494</v>
      </c>
      <c r="EB13">
        <v>2.9806288502011857</v>
      </c>
      <c r="EC13">
        <v>324.70865514280274</v>
      </c>
      <c r="ED13">
        <v>28.343109214889846</v>
      </c>
      <c r="EE13">
        <v>11.477031180055604</v>
      </c>
      <c r="EG13">
        <v>17</v>
      </c>
      <c r="EH13">
        <v>3.8722082129956199</v>
      </c>
      <c r="EI13">
        <v>1.3330452955590588</v>
      </c>
      <c r="EJ13">
        <v>2.6665550303775483</v>
      </c>
      <c r="EK13">
        <v>302.11120144708207</v>
      </c>
      <c r="EL13">
        <v>27.649078926667048</v>
      </c>
      <c r="EM13">
        <v>11.191082068475135</v>
      </c>
      <c r="EN13">
        <v>3.9126903539101794</v>
      </c>
      <c r="EO13">
        <v>1.3375490413426039</v>
      </c>
      <c r="EP13">
        <v>2.6731734288790348</v>
      </c>
      <c r="EQ13">
        <v>303.58549757001367</v>
      </c>
      <c r="ER13">
        <v>27.648117276592739</v>
      </c>
      <c r="ES13">
        <v>11.151553431651269</v>
      </c>
      <c r="ET13">
        <v>3.9254538211459513</v>
      </c>
      <c r="EU13">
        <v>1.3856079998532356</v>
      </c>
      <c r="EV13">
        <v>2.7634340203937584</v>
      </c>
      <c r="EW13">
        <v>307.00648909784763</v>
      </c>
      <c r="EX13">
        <v>27.668982020393941</v>
      </c>
      <c r="EY13">
        <v>11.315171088429928</v>
      </c>
      <c r="EZ13">
        <v>4.1313755236480949</v>
      </c>
      <c r="FA13">
        <v>1.411904040359081</v>
      </c>
      <c r="FB13">
        <v>2.8134152817797018</v>
      </c>
      <c r="FC13">
        <v>318.01832080874942</v>
      </c>
      <c r="FD13">
        <v>27.643778753634965</v>
      </c>
      <c r="FE13">
        <v>11.13647251251558</v>
      </c>
      <c r="FF13">
        <v>4.2340973161972064</v>
      </c>
      <c r="FG13">
        <v>1.4256256486184307</v>
      </c>
      <c r="FH13">
        <v>2.8508496654419853</v>
      </c>
      <c r="FI13">
        <v>324.04697113451516</v>
      </c>
      <c r="FJ13">
        <v>27.595906261701863</v>
      </c>
      <c r="FK13">
        <v>11.039922122721428</v>
      </c>
      <c r="FN13">
        <v>17</v>
      </c>
      <c r="FO13">
        <v>4.6657764297960131</v>
      </c>
      <c r="FP13">
        <v>1.672971056128739</v>
      </c>
      <c r="FQ13">
        <v>2.8434011491425375</v>
      </c>
      <c r="FR13">
        <v>295.7892386783825</v>
      </c>
      <c r="FS13">
        <v>30.303707966028803</v>
      </c>
      <c r="FT13">
        <v>12.296491724647977</v>
      </c>
      <c r="FU13">
        <v>4.8742080397566916</v>
      </c>
      <c r="FV13">
        <v>1.7849305446567476</v>
      </c>
      <c r="FW13">
        <v>2.9985161493180739</v>
      </c>
      <c r="FX13">
        <v>314.58385365839888</v>
      </c>
      <c r="FY13">
        <v>30.551555228241931</v>
      </c>
      <c r="FZ13">
        <v>12.555648748334219</v>
      </c>
      <c r="GB13">
        <v>17</v>
      </c>
      <c r="GC13">
        <v>4.3854034186206627</v>
      </c>
      <c r="GD13">
        <v>1.6395397239882727</v>
      </c>
      <c r="GE13">
        <v>2.7198098485566713</v>
      </c>
      <c r="GF13">
        <v>295.55988632586042</v>
      </c>
      <c r="GG13">
        <v>29.378606837245218</v>
      </c>
      <c r="GH13">
        <v>12.192921841683884</v>
      </c>
      <c r="GI13">
        <v>4.4929576932997364</v>
      </c>
      <c r="GJ13">
        <v>1.6771946613230397</v>
      </c>
      <c r="GK13">
        <v>2.8759452982405733</v>
      </c>
      <c r="GL13">
        <v>314.48418097790164</v>
      </c>
      <c r="GM13">
        <v>29.348934511746897</v>
      </c>
      <c r="GN13">
        <v>12.217048479676949</v>
      </c>
      <c r="GP13">
        <v>17</v>
      </c>
      <c r="GQ13">
        <v>4.1708247306200947</v>
      </c>
      <c r="GR13">
        <v>1.4976736691469894</v>
      </c>
      <c r="GS13">
        <v>2.749217193601146</v>
      </c>
      <c r="GT13">
        <v>297.84202374004769</v>
      </c>
      <c r="GU13">
        <v>28.433056231913778</v>
      </c>
      <c r="GV13">
        <v>11.623183643448444</v>
      </c>
      <c r="GW13">
        <v>4.254391580203178</v>
      </c>
      <c r="GX13">
        <v>1.5036073313746026</v>
      </c>
      <c r="GY13">
        <v>2.9090426888621255</v>
      </c>
      <c r="GZ13">
        <v>316.57517937829465</v>
      </c>
      <c r="HA13">
        <v>28.401498617363497</v>
      </c>
      <c r="HB13">
        <v>11.588025196272252</v>
      </c>
      <c r="HD13">
        <v>17</v>
      </c>
      <c r="HE13">
        <v>3.8505098809264457</v>
      </c>
      <c r="HF13">
        <v>1.346681803828905</v>
      </c>
      <c r="HG13">
        <v>2.5948129941792111</v>
      </c>
      <c r="HH13">
        <v>294.94101796735555</v>
      </c>
      <c r="HI13">
        <v>27.626690297908937</v>
      </c>
      <c r="HJ13">
        <v>11.225568746478231</v>
      </c>
      <c r="HK13">
        <v>3.9994030388120558</v>
      </c>
      <c r="HL13">
        <v>1.3759526879185477</v>
      </c>
      <c r="HM13">
        <v>2.8406342647036937</v>
      </c>
      <c r="HN13">
        <v>313.92068819494108</v>
      </c>
      <c r="HO13">
        <v>27.829389099032632</v>
      </c>
      <c r="HP13">
        <v>11.279366556100371</v>
      </c>
      <c r="HT13" t="s">
        <v>8528</v>
      </c>
      <c r="HV13" t="s">
        <v>8529</v>
      </c>
      <c r="HX13" t="s">
        <v>8530</v>
      </c>
      <c r="IA13">
        <v>31</v>
      </c>
      <c r="IB13">
        <v>28</v>
      </c>
      <c r="IC13">
        <v>24.4</v>
      </c>
      <c r="ID13">
        <v>23.3</v>
      </c>
      <c r="IE13">
        <v>22.3</v>
      </c>
      <c r="IF13">
        <v>13</v>
      </c>
      <c r="IG13">
        <v>11.3</v>
      </c>
      <c r="IH13">
        <v>10.31</v>
      </c>
      <c r="II13">
        <v>9.74</v>
      </c>
      <c r="IJ13">
        <v>12.5</v>
      </c>
      <c r="IK13">
        <v>12.1</v>
      </c>
      <c r="IL13">
        <v>12.1</v>
      </c>
      <c r="IM13">
        <v>11.3</v>
      </c>
      <c r="IN13">
        <v>4.5999999999999996</v>
      </c>
      <c r="IO13">
        <v>1.5</v>
      </c>
      <c r="IP13">
        <v>6.25</v>
      </c>
      <c r="IQ13">
        <v>8</v>
      </c>
      <c r="IR13">
        <v>11</v>
      </c>
    </row>
    <row r="14" spans="1:252" x14ac:dyDescent="0.2">
      <c r="B14">
        <v>491.360453705618</v>
      </c>
      <c r="C14">
        <v>2.035165818613307</v>
      </c>
      <c r="D14">
        <v>492.76106959198688</v>
      </c>
      <c r="E14">
        <v>2.029381097065996</v>
      </c>
      <c r="F14">
        <v>507.58867230002215</v>
      </c>
      <c r="G14">
        <v>1.9700991266584582</v>
      </c>
      <c r="H14">
        <v>521.67225496874698</v>
      </c>
      <c r="I14">
        <v>1.9169123726158472</v>
      </c>
      <c r="J14">
        <v>529.49734484047121</v>
      </c>
      <c r="K14">
        <v>1.8885835967719222</v>
      </c>
      <c r="L14">
        <v>476.4585935700282</v>
      </c>
      <c r="M14">
        <v>2.0988182677263927</v>
      </c>
      <c r="N14">
        <v>521.8428967212966</v>
      </c>
      <c r="O14">
        <v>1.9162855454830026</v>
      </c>
      <c r="Q14">
        <v>3.1459374955994712E-2</v>
      </c>
      <c r="R14">
        <v>3.1689768902259649E-2</v>
      </c>
      <c r="S14">
        <v>3.2339897986885052E-2</v>
      </c>
      <c r="T14">
        <v>3.2874333195211353E-2</v>
      </c>
      <c r="U14">
        <v>3.3355035239404106E-2</v>
      </c>
      <c r="V14">
        <v>3.2129231610021111E-2</v>
      </c>
      <c r="W14">
        <v>3.1663323586685437E-2</v>
      </c>
      <c r="Y14">
        <v>0.73506338048898523</v>
      </c>
      <c r="Z14">
        <v>0.73671160678286607</v>
      </c>
      <c r="AA14">
        <v>0.76495903722539638</v>
      </c>
      <c r="AB14">
        <v>0.77878056494387904</v>
      </c>
      <c r="AC14">
        <v>0.78770356560191712</v>
      </c>
      <c r="AD14">
        <v>0.76488352153232553</v>
      </c>
      <c r="AE14">
        <v>0.73260102566859686</v>
      </c>
      <c r="AG14">
        <v>0.36466319723518198</v>
      </c>
      <c r="AH14">
        <v>0.36529005124561775</v>
      </c>
      <c r="AI14">
        <v>0.37570271389857995</v>
      </c>
      <c r="AJ14">
        <v>0.38097161545447639</v>
      </c>
      <c r="AK14">
        <v>0.38411747353999393</v>
      </c>
      <c r="AL14">
        <v>0.37685461093697714</v>
      </c>
      <c r="AM14">
        <v>0.36243195397344397</v>
      </c>
      <c r="AO14">
        <v>18</v>
      </c>
      <c r="AP14">
        <v>4.9045124446385602</v>
      </c>
      <c r="AQ14">
        <v>1.8125514978929256</v>
      </c>
      <c r="AR14">
        <v>2.9810191545140037</v>
      </c>
      <c r="AS14">
        <v>313.21264626607706</v>
      </c>
      <c r="AT14">
        <v>30.317372677210155</v>
      </c>
      <c r="AU14">
        <v>12.48642531540829</v>
      </c>
      <c r="AV14">
        <v>4.9643260452411955</v>
      </c>
      <c r="AW14">
        <v>1.8279676033634011</v>
      </c>
      <c r="AX14">
        <v>3.0147008530367216</v>
      </c>
      <c r="AY14">
        <v>315.66652410717245</v>
      </c>
      <c r="AZ14">
        <v>30.312639284677651</v>
      </c>
      <c r="BA14">
        <v>12.457145280697924</v>
      </c>
      <c r="BB14">
        <v>5.1843042496720519</v>
      </c>
      <c r="BC14">
        <v>1.899827905858511</v>
      </c>
      <c r="BD14">
        <v>3.1299681251100422</v>
      </c>
      <c r="BE14">
        <v>328.03053967480662</v>
      </c>
      <c r="BF14">
        <v>30.263074936512957</v>
      </c>
      <c r="BG14">
        <v>12.399715389146571</v>
      </c>
      <c r="BH14">
        <v>5.4177692337430265</v>
      </c>
      <c r="BI14">
        <v>1.9798299782442883</v>
      </c>
      <c r="BJ14">
        <v>3.2625623503952612</v>
      </c>
      <c r="BK14">
        <v>340.48185900101055</v>
      </c>
      <c r="BL14">
        <v>30.228555537052717</v>
      </c>
      <c r="BM14">
        <v>12.357872326689316</v>
      </c>
      <c r="BN14">
        <v>5.5110660799623963</v>
      </c>
      <c r="BO14">
        <v>2.0089414914235437</v>
      </c>
      <c r="BP14">
        <v>3.3377790452652145</v>
      </c>
      <c r="BQ14">
        <v>345.7915815956307</v>
      </c>
      <c r="BR14">
        <v>30.245644563962145</v>
      </c>
      <c r="BS14">
        <v>12.348941182606085</v>
      </c>
      <c r="BU14">
        <v>18</v>
      </c>
      <c r="BV14">
        <v>4.5732663306193544</v>
      </c>
      <c r="BW14">
        <v>1.7206257434088905</v>
      </c>
      <c r="BX14">
        <v>2.8571145664404689</v>
      </c>
      <c r="BY14">
        <v>313.78090364713626</v>
      </c>
      <c r="BZ14">
        <v>29.206807372671321</v>
      </c>
      <c r="CA14">
        <v>12.170850796112767</v>
      </c>
      <c r="CB14">
        <v>4.629042926362998</v>
      </c>
      <c r="CC14">
        <v>1.7369248909285915</v>
      </c>
      <c r="CD14">
        <v>2.8893451593895247</v>
      </c>
      <c r="CE14">
        <v>315.7077804475332</v>
      </c>
      <c r="CF14">
        <v>29.246673450814761</v>
      </c>
      <c r="CG14">
        <v>12.167140870509977</v>
      </c>
      <c r="CH14">
        <v>4.8438979890292266</v>
      </c>
      <c r="CI14">
        <v>1.8052660063883113</v>
      </c>
      <c r="CJ14">
        <v>3.0008601053707484</v>
      </c>
      <c r="CK14">
        <v>328.36004829385166</v>
      </c>
      <c r="CL14">
        <v>29.196020017701226</v>
      </c>
      <c r="CM14">
        <v>12.099289947387749</v>
      </c>
      <c r="CN14">
        <v>5.0706584023967247</v>
      </c>
      <c r="CO14">
        <v>1.8701552272435853</v>
      </c>
      <c r="CP14">
        <v>3.1314612830585293</v>
      </c>
      <c r="CQ14">
        <v>341.03879023701768</v>
      </c>
      <c r="CR14">
        <v>29.161386439099587</v>
      </c>
      <c r="CS14">
        <v>12.016101128084555</v>
      </c>
      <c r="CT14">
        <v>5.1526644745399599</v>
      </c>
      <c r="CU14">
        <v>1.8882683465723955</v>
      </c>
      <c r="CV14">
        <v>3.193537703825732</v>
      </c>
      <c r="CW14">
        <v>346.15542003711283</v>
      </c>
      <c r="CX14">
        <v>29.178476141284825</v>
      </c>
      <c r="CY14">
        <v>11.987351685172928</v>
      </c>
      <c r="DA14">
        <v>18</v>
      </c>
      <c r="DB14">
        <v>4.3747230827548309</v>
      </c>
      <c r="DC14">
        <v>1.5514371443177313</v>
      </c>
      <c r="DD14">
        <v>2.9062552040876803</v>
      </c>
      <c r="DE14">
        <v>316.50484637472454</v>
      </c>
      <c r="DF14">
        <v>28.328144939571867</v>
      </c>
      <c r="DG14">
        <v>11.531551581824493</v>
      </c>
      <c r="DH14">
        <v>4.3983663870295331</v>
      </c>
      <c r="DI14">
        <v>1.5589334175260756</v>
      </c>
      <c r="DJ14">
        <v>2.920197878484601</v>
      </c>
      <c r="DK14">
        <v>317.86133808218301</v>
      </c>
      <c r="DL14">
        <v>28.322808541658517</v>
      </c>
      <c r="DM14">
        <v>11.524740905329976</v>
      </c>
      <c r="DN14">
        <v>4.656565382855228</v>
      </c>
      <c r="DO14">
        <v>1.6216192596612031</v>
      </c>
      <c r="DP14">
        <v>3.0482227057800477</v>
      </c>
      <c r="DQ14">
        <v>332.31215936400895</v>
      </c>
      <c r="DR14">
        <v>28.285073753592673</v>
      </c>
      <c r="DS14">
        <v>11.402762667398335</v>
      </c>
      <c r="DT14">
        <v>4.7694100441182741</v>
      </c>
      <c r="DU14">
        <v>1.6479607908731739</v>
      </c>
      <c r="DV14">
        <v>3.1177469876136321</v>
      </c>
      <c r="DW14">
        <v>341.06462272838161</v>
      </c>
      <c r="DX14">
        <v>28.275918849040249</v>
      </c>
      <c r="DY14">
        <v>11.363717892265251</v>
      </c>
      <c r="DZ14">
        <v>4.8434488067728987</v>
      </c>
      <c r="EA14">
        <v>1.6638891186242244</v>
      </c>
      <c r="EB14">
        <v>3.168245935703335</v>
      </c>
      <c r="EC14">
        <v>345.91507826382087</v>
      </c>
      <c r="ED14">
        <v>28.304843044438943</v>
      </c>
      <c r="EE14">
        <v>11.3470264131472</v>
      </c>
      <c r="EG14">
        <v>18</v>
      </c>
      <c r="EH14">
        <v>4.1246818261243892</v>
      </c>
      <c r="EI14">
        <v>1.4047192760206646</v>
      </c>
      <c r="EJ14">
        <v>2.7824471125743733</v>
      </c>
      <c r="EK14">
        <v>315.95038590405039</v>
      </c>
      <c r="EL14">
        <v>27.586463870300808</v>
      </c>
      <c r="EM14">
        <v>11.087418309513758</v>
      </c>
      <c r="EN14">
        <v>4.1742357833092791</v>
      </c>
      <c r="EO14">
        <v>1.4106283956065573</v>
      </c>
      <c r="EP14">
        <v>2.7949048570934267</v>
      </c>
      <c r="EQ14">
        <v>318.17392944851048</v>
      </c>
      <c r="ER14">
        <v>27.590554740901322</v>
      </c>
      <c r="ES14">
        <v>11.047305319425796</v>
      </c>
      <c r="ET14">
        <v>4.1685116766210895</v>
      </c>
      <c r="EU14">
        <v>1.4676986064535233</v>
      </c>
      <c r="EV14">
        <v>2.9127873142974154</v>
      </c>
      <c r="EW14">
        <v>323.25966566354276</v>
      </c>
      <c r="EX14">
        <v>27.567374396370688</v>
      </c>
      <c r="EY14">
        <v>11.245931421876005</v>
      </c>
      <c r="EZ14">
        <v>4.4241401145459722</v>
      </c>
      <c r="FA14">
        <v>1.4931826032122002</v>
      </c>
      <c r="FB14">
        <v>2.9757029869057146</v>
      </c>
      <c r="FC14">
        <v>337.25487024899149</v>
      </c>
      <c r="FD14">
        <v>27.571568227046978</v>
      </c>
      <c r="FE14">
        <v>11.03315117527902</v>
      </c>
      <c r="FF14">
        <v>4.5412058363022263</v>
      </c>
      <c r="FG14">
        <v>1.5066956423835154</v>
      </c>
      <c r="FH14">
        <v>3.0217535656303047</v>
      </c>
      <c r="FI14">
        <v>343.99214790543135</v>
      </c>
      <c r="FJ14">
        <v>27.584434947916929</v>
      </c>
      <c r="FK14">
        <v>10.953488550443902</v>
      </c>
      <c r="FN14">
        <v>18</v>
      </c>
      <c r="FO14">
        <v>4.9735074869465681</v>
      </c>
      <c r="FP14">
        <v>1.7780855479711146</v>
      </c>
      <c r="FQ14">
        <v>2.9979466848638934</v>
      </c>
      <c r="FR14">
        <v>311.87851113677476</v>
      </c>
      <c r="FS14">
        <v>30.221821153722672</v>
      </c>
      <c r="FT14">
        <v>12.225279510007056</v>
      </c>
      <c r="FU14">
        <v>5.1632978115379835</v>
      </c>
      <c r="FV14">
        <v>1.8829893851733219</v>
      </c>
      <c r="FW14">
        <v>3.1411094928291772</v>
      </c>
      <c r="FX14">
        <v>329.60842263559061</v>
      </c>
      <c r="FY14">
        <v>30.458559760777607</v>
      </c>
      <c r="FZ14">
        <v>12.473951492942412</v>
      </c>
      <c r="GB14">
        <v>18</v>
      </c>
      <c r="GC14">
        <v>4.6834908264018891</v>
      </c>
      <c r="GD14">
        <v>1.7227489155968918</v>
      </c>
      <c r="GE14">
        <v>2.8703506425524572</v>
      </c>
      <c r="GF14">
        <v>311.88407407315685</v>
      </c>
      <c r="GG14">
        <v>29.291396015871481</v>
      </c>
      <c r="GH14">
        <v>12.047634527681366</v>
      </c>
      <c r="GI14">
        <v>4.7769235600683961</v>
      </c>
      <c r="GJ14">
        <v>1.7569102944290516</v>
      </c>
      <c r="GK14">
        <v>3.0146419512621834</v>
      </c>
      <c r="GL14">
        <v>329.87062868396174</v>
      </c>
      <c r="GM14">
        <v>29.263058749860502</v>
      </c>
      <c r="GN14">
        <v>12.081828566482251</v>
      </c>
      <c r="GP14">
        <v>18</v>
      </c>
      <c r="GQ14">
        <v>4.4739761733756316</v>
      </c>
      <c r="GR14">
        <v>1.5843080117616937</v>
      </c>
      <c r="GS14">
        <v>2.9023365367110152</v>
      </c>
      <c r="GT14">
        <v>314.55630481525827</v>
      </c>
      <c r="GU14">
        <v>28.376494557743161</v>
      </c>
      <c r="GV14">
        <v>11.505172143117537</v>
      </c>
      <c r="GW14">
        <v>4.546576286620847</v>
      </c>
      <c r="GX14">
        <v>1.5880515719847474</v>
      </c>
      <c r="GY14">
        <v>3.0526583066705419</v>
      </c>
      <c r="GZ14">
        <v>332.4147332916699</v>
      </c>
      <c r="HA14">
        <v>28.346145251380673</v>
      </c>
      <c r="HB14">
        <v>11.481385390593594</v>
      </c>
      <c r="HD14">
        <v>18</v>
      </c>
      <c r="HE14">
        <v>4.1108941252197315</v>
      </c>
      <c r="HF14">
        <v>1.4257381524468242</v>
      </c>
      <c r="HG14">
        <v>2.7360800964681031</v>
      </c>
      <c r="HH14">
        <v>310.81985882998174</v>
      </c>
      <c r="HI14">
        <v>27.549472726007473</v>
      </c>
      <c r="HJ14">
        <v>11.133312360779676</v>
      </c>
      <c r="HK14">
        <v>4.2490319102987497</v>
      </c>
      <c r="HL14">
        <v>1.45230507858505</v>
      </c>
      <c r="HM14">
        <v>2.9700782880680445</v>
      </c>
      <c r="HN14">
        <v>328.8985565980027</v>
      </c>
      <c r="HO14">
        <v>27.744518041214047</v>
      </c>
      <c r="HP14">
        <v>11.191399582614341</v>
      </c>
      <c r="HS14" t="s">
        <v>8536</v>
      </c>
      <c r="HT14" t="s">
        <v>8537</v>
      </c>
      <c r="HU14" t="s">
        <v>8538</v>
      </c>
      <c r="HV14" t="s">
        <v>8537</v>
      </c>
      <c r="HW14" t="s">
        <v>8538</v>
      </c>
      <c r="HX14" t="s">
        <v>8537</v>
      </c>
      <c r="HY14" t="s">
        <v>8538</v>
      </c>
      <c r="IA14">
        <v>32</v>
      </c>
      <c r="IB14">
        <v>28.066666666666666</v>
      </c>
      <c r="IC14">
        <v>24.433333333333334</v>
      </c>
      <c r="ID14">
        <v>23.333333333333332</v>
      </c>
      <c r="IE14">
        <v>22.333333333333332</v>
      </c>
      <c r="IF14">
        <v>13.033333333333333</v>
      </c>
      <c r="IG14">
        <v>11.3</v>
      </c>
      <c r="IH14">
        <v>10.326666666666666</v>
      </c>
      <c r="II14">
        <v>9.7466666666666661</v>
      </c>
      <c r="IJ14">
        <v>12.6</v>
      </c>
      <c r="IK14">
        <v>12.166666666666666</v>
      </c>
      <c r="IL14">
        <v>12.166666666666666</v>
      </c>
      <c r="IM14">
        <v>11.4</v>
      </c>
      <c r="IN14">
        <v>4.6666666666666661</v>
      </c>
      <c r="IO14">
        <v>1.5333333333333334</v>
      </c>
      <c r="IP14">
        <v>6.25</v>
      </c>
      <c r="IQ14">
        <v>8</v>
      </c>
      <c r="IR14">
        <v>11</v>
      </c>
    </row>
    <row r="15" spans="1:252" x14ac:dyDescent="0.2">
      <c r="B15">
        <v>501.51895369232471</v>
      </c>
      <c r="C15">
        <v>1.993942587090112</v>
      </c>
      <c r="D15">
        <v>504.94762092126638</v>
      </c>
      <c r="E15">
        <v>1.9804034291230463</v>
      </c>
      <c r="F15">
        <v>524.13809828124761</v>
      </c>
      <c r="G15">
        <v>1.9078941280536517</v>
      </c>
      <c r="H15">
        <v>541.7484728193665</v>
      </c>
      <c r="I15">
        <v>1.8458750696532684</v>
      </c>
      <c r="J15">
        <v>553.42210237931113</v>
      </c>
      <c r="K15">
        <v>1.8069390356849315</v>
      </c>
      <c r="L15">
        <v>491.88450263477893</v>
      </c>
      <c r="M15">
        <v>2.0329975728926217</v>
      </c>
      <c r="N15">
        <v>535.1418344928677</v>
      </c>
      <c r="O15">
        <v>1.8686634748854192</v>
      </c>
      <c r="Q15">
        <v>3.3203251708705299E-2</v>
      </c>
      <c r="R15">
        <v>3.3446821957336677E-2</v>
      </c>
      <c r="S15">
        <v>3.4133688694626296E-2</v>
      </c>
      <c r="T15">
        <v>3.4698383423598211E-2</v>
      </c>
      <c r="U15">
        <v>3.5206644267504382E-2</v>
      </c>
      <c r="V15">
        <v>3.3914188921688945E-2</v>
      </c>
      <c r="W15">
        <v>3.3422397119279072E-2</v>
      </c>
      <c r="Y15">
        <v>0.76622278864563798</v>
      </c>
      <c r="Z15">
        <v>0.76802042477182653</v>
      </c>
      <c r="AA15">
        <v>0.79662608773133192</v>
      </c>
      <c r="AB15">
        <v>0.81029111959885569</v>
      </c>
      <c r="AC15">
        <v>0.82085642245195123</v>
      </c>
      <c r="AD15">
        <v>0.79608947575551758</v>
      </c>
      <c r="AE15">
        <v>0.76498334648577504</v>
      </c>
      <c r="AG15">
        <v>0.37328652009623969</v>
      </c>
      <c r="AH15">
        <v>0.37400559944053252</v>
      </c>
      <c r="AI15">
        <v>0.38494662716008216</v>
      </c>
      <c r="AJ15">
        <v>0.38992308515131607</v>
      </c>
      <c r="AK15">
        <v>0.39395403330930268</v>
      </c>
      <c r="AL15">
        <v>0.38570548766366441</v>
      </c>
      <c r="AM15">
        <v>0.37177971980284824</v>
      </c>
      <c r="AO15">
        <v>19</v>
      </c>
      <c r="AP15">
        <v>5.1269516717271513</v>
      </c>
      <c r="AQ15">
        <v>1.9207647349030892</v>
      </c>
      <c r="AR15">
        <v>3.0880004299905881</v>
      </c>
      <c r="AS15">
        <v>325.06965016104039</v>
      </c>
      <c r="AT15">
        <v>30.187822118019252</v>
      </c>
      <c r="AU15">
        <v>12.497326110369231</v>
      </c>
      <c r="AV15">
        <v>5.1989497882311282</v>
      </c>
      <c r="AW15">
        <v>1.9384616171037385</v>
      </c>
      <c r="AX15">
        <v>3.1319651430528697</v>
      </c>
      <c r="AY15">
        <v>328.55720765055889</v>
      </c>
      <c r="AZ15">
        <v>30.184029225945281</v>
      </c>
      <c r="BA15">
        <v>12.463097253380376</v>
      </c>
      <c r="BB15">
        <v>5.4613424173738467</v>
      </c>
      <c r="BC15">
        <v>2.0173496096804202</v>
      </c>
      <c r="BD15">
        <v>3.2641936976857502</v>
      </c>
      <c r="BE15">
        <v>343.15074917170352</v>
      </c>
      <c r="BF15">
        <v>30.187574506883887</v>
      </c>
      <c r="BG15">
        <v>12.401783672810978</v>
      </c>
      <c r="BH15">
        <v>5.7096797337628571</v>
      </c>
      <c r="BI15">
        <v>2.0996053947715847</v>
      </c>
      <c r="BJ15">
        <v>3.4093205022378776</v>
      </c>
      <c r="BK15">
        <v>357.09247102484971</v>
      </c>
      <c r="BL15">
        <v>30.16523264372443</v>
      </c>
      <c r="BM15">
        <v>12.358541851305466</v>
      </c>
      <c r="BN15">
        <v>5.8215508079395093</v>
      </c>
      <c r="BO15">
        <v>2.133690202387549</v>
      </c>
      <c r="BP15">
        <v>3.5041507503385865</v>
      </c>
      <c r="BQ15">
        <v>364.3299303439361</v>
      </c>
      <c r="BR15">
        <v>30.172450894150799</v>
      </c>
      <c r="BS15">
        <v>12.343425329763733</v>
      </c>
      <c r="BU15">
        <v>19</v>
      </c>
      <c r="BV15">
        <v>4.7972380238153933</v>
      </c>
      <c r="BW15">
        <v>1.804749304660821</v>
      </c>
      <c r="BX15">
        <v>2.9628327970695905</v>
      </c>
      <c r="BY15">
        <v>325.92782454091753</v>
      </c>
      <c r="BZ15">
        <v>29.096721461183222</v>
      </c>
      <c r="CA15">
        <v>12.108466044476804</v>
      </c>
      <c r="CB15">
        <v>4.8605523929330134</v>
      </c>
      <c r="CC15">
        <v>1.8199881395159885</v>
      </c>
      <c r="CD15">
        <v>3.0042025554091749</v>
      </c>
      <c r="CE15">
        <v>328.95664208201305</v>
      </c>
      <c r="CF15">
        <v>29.118679295228258</v>
      </c>
      <c r="CG15">
        <v>12.087814763347742</v>
      </c>
      <c r="CH15">
        <v>5.1174506244177111</v>
      </c>
      <c r="CI15">
        <v>1.9016833207613133</v>
      </c>
      <c r="CJ15">
        <v>3.1315129097475878</v>
      </c>
      <c r="CK15">
        <v>343.90271496421764</v>
      </c>
      <c r="CL15">
        <v>29.121599158644994</v>
      </c>
      <c r="CM15">
        <v>12.038332032075235</v>
      </c>
      <c r="CN15">
        <v>5.3588160792428976</v>
      </c>
      <c r="CO15">
        <v>1.9660372167203588</v>
      </c>
      <c r="CP15">
        <v>3.2751028897485028</v>
      </c>
      <c r="CQ15">
        <v>358.11386781241407</v>
      </c>
      <c r="CR15">
        <v>29.09944223306567</v>
      </c>
      <c r="CS15">
        <v>11.950316518144934</v>
      </c>
      <c r="CT15">
        <v>5.4538174790082792</v>
      </c>
      <c r="CU15">
        <v>1.9856511520714664</v>
      </c>
      <c r="CV15">
        <v>3.3518310400799556</v>
      </c>
      <c r="CW15">
        <v>365.03808433027137</v>
      </c>
      <c r="CX15">
        <v>29.106534522648623</v>
      </c>
      <c r="CY15">
        <v>11.913935632939282</v>
      </c>
      <c r="DA15">
        <v>19</v>
      </c>
      <c r="DB15">
        <v>4.5966062296700443</v>
      </c>
      <c r="DC15">
        <v>1.6251419188264808</v>
      </c>
      <c r="DD15">
        <v>3.0060091148130228</v>
      </c>
      <c r="DE15">
        <v>328.51146492142078</v>
      </c>
      <c r="DF15">
        <v>28.257154846000738</v>
      </c>
      <c r="DG15">
        <v>11.466505777722499</v>
      </c>
      <c r="DH15">
        <v>4.6311770676655373</v>
      </c>
      <c r="DI15">
        <v>1.6396732645585974</v>
      </c>
      <c r="DJ15">
        <v>3.0279090663903276</v>
      </c>
      <c r="DK15">
        <v>330.91859388373416</v>
      </c>
      <c r="DL15">
        <v>28.25289303881998</v>
      </c>
      <c r="DM15">
        <v>11.47125652611887</v>
      </c>
      <c r="DN15">
        <v>4.9200564364872665</v>
      </c>
      <c r="DO15">
        <v>1.702156754125755</v>
      </c>
      <c r="DP15">
        <v>3.1681998682924961</v>
      </c>
      <c r="DQ15">
        <v>347.41577506283284</v>
      </c>
      <c r="DR15">
        <v>28.258943696646057</v>
      </c>
      <c r="DS15">
        <v>11.342284333873884</v>
      </c>
      <c r="DT15">
        <v>5.0418335365633098</v>
      </c>
      <c r="DU15">
        <v>1.7221464259140147</v>
      </c>
      <c r="DV15">
        <v>3.2490588435711238</v>
      </c>
      <c r="DW15">
        <v>357.65502556956483</v>
      </c>
      <c r="DX15">
        <v>28.250494315009224</v>
      </c>
      <c r="DY15">
        <v>11.283731502618485</v>
      </c>
      <c r="DZ15">
        <v>5.1242042035773689</v>
      </c>
      <c r="EA15">
        <v>1.7411636353212592</v>
      </c>
      <c r="EB15">
        <v>3.3121657084818965</v>
      </c>
      <c r="EC15">
        <v>364.24243553543897</v>
      </c>
      <c r="ED15">
        <v>28.265186380810821</v>
      </c>
      <c r="EE15">
        <v>11.268738409071929</v>
      </c>
      <c r="EG15">
        <v>19</v>
      </c>
      <c r="EH15">
        <v>4.3483106657419857</v>
      </c>
      <c r="EI15">
        <v>1.4741333814069419</v>
      </c>
      <c r="EJ15">
        <v>2.8688499155799558</v>
      </c>
      <c r="EK15">
        <v>328.13051654416296</v>
      </c>
      <c r="EL15">
        <v>27.533262874156108</v>
      </c>
      <c r="EM15">
        <v>11.019609243394939</v>
      </c>
      <c r="EN15">
        <v>4.4026424082251765</v>
      </c>
      <c r="EO15">
        <v>1.4829512231339113</v>
      </c>
      <c r="EP15">
        <v>2.8901767535774554</v>
      </c>
      <c r="EQ15">
        <v>331.20130656145585</v>
      </c>
      <c r="ER15">
        <v>27.538759049010793</v>
      </c>
      <c r="ES15">
        <v>10.988271984980488</v>
      </c>
      <c r="ET15">
        <v>4.4043175561872241</v>
      </c>
      <c r="EU15">
        <v>1.5405863627384184</v>
      </c>
      <c r="EV15">
        <v>3.0192413473249289</v>
      </c>
      <c r="EW15">
        <v>338.51036776775118</v>
      </c>
      <c r="EX15">
        <v>27.478815517133953</v>
      </c>
      <c r="EY15">
        <v>11.163374807004926</v>
      </c>
      <c r="EZ15">
        <v>4.6623835451831273</v>
      </c>
      <c r="FA15">
        <v>1.5618688787627781</v>
      </c>
      <c r="FB15">
        <v>3.0928059221547164</v>
      </c>
      <c r="FC15">
        <v>353.52824332068849</v>
      </c>
      <c r="FD15">
        <v>27.506943105493637</v>
      </c>
      <c r="FE15">
        <v>10.962082394142605</v>
      </c>
      <c r="FF15">
        <v>4.7838051365367766</v>
      </c>
      <c r="FG15">
        <v>1.5772239805444697</v>
      </c>
      <c r="FH15">
        <v>3.1507448125781545</v>
      </c>
      <c r="FI15">
        <v>361.07524584126196</v>
      </c>
      <c r="FJ15">
        <v>27.570378683742636</v>
      </c>
      <c r="FK15">
        <v>10.913550884869338</v>
      </c>
      <c r="FN15">
        <v>19</v>
      </c>
      <c r="FO15">
        <v>5.2384423736320143</v>
      </c>
      <c r="FP15">
        <v>1.8824141381497994</v>
      </c>
      <c r="FQ15">
        <v>3.1287514803738663</v>
      </c>
      <c r="FR15">
        <v>326.48100055969917</v>
      </c>
      <c r="FS15">
        <v>30.12307346948683</v>
      </c>
      <c r="FT15">
        <v>12.199812239681323</v>
      </c>
      <c r="FU15">
        <v>5.4109266882381633</v>
      </c>
      <c r="FV15">
        <v>1.9804237203928019</v>
      </c>
      <c r="FW15">
        <v>3.2620867438121381</v>
      </c>
      <c r="FX15">
        <v>343.09804136264194</v>
      </c>
      <c r="FY15">
        <v>30.344947317070716</v>
      </c>
      <c r="FZ15">
        <v>12.433026162588485</v>
      </c>
      <c r="GB15">
        <v>19</v>
      </c>
      <c r="GC15">
        <v>4.9420354676286387</v>
      </c>
      <c r="GD15">
        <v>1.8031840741641514</v>
      </c>
      <c r="GE15">
        <v>2.9981036472352676</v>
      </c>
      <c r="GF15">
        <v>326.81750848696078</v>
      </c>
      <c r="GG15">
        <v>29.185107935025343</v>
      </c>
      <c r="GH15">
        <v>11.944821624578678</v>
      </c>
      <c r="GI15">
        <v>5.0244548722592661</v>
      </c>
      <c r="GJ15">
        <v>1.8343045454989761</v>
      </c>
      <c r="GK15">
        <v>3.1326530940393615</v>
      </c>
      <c r="GL15">
        <v>343.80846584746172</v>
      </c>
      <c r="GM15">
        <v>29.158153942050852</v>
      </c>
      <c r="GN15">
        <v>11.982333650645273</v>
      </c>
      <c r="GP15">
        <v>19</v>
      </c>
      <c r="GQ15">
        <v>4.7276268993638713</v>
      </c>
      <c r="GR15">
        <v>1.6663383399371969</v>
      </c>
      <c r="GS15">
        <v>3.0210178780448387</v>
      </c>
      <c r="GT15">
        <v>329.22482251176461</v>
      </c>
      <c r="GU15">
        <v>28.320451723077678</v>
      </c>
      <c r="GV15">
        <v>11.441819847300279</v>
      </c>
      <c r="GW15">
        <v>4.7940730151190998</v>
      </c>
      <c r="GX15">
        <v>1.6688962986929035</v>
      </c>
      <c r="GY15">
        <v>3.1626421365120869</v>
      </c>
      <c r="GZ15">
        <v>346.19262156635591</v>
      </c>
      <c r="HA15">
        <v>28.291874830564876</v>
      </c>
      <c r="HB15">
        <v>11.422021315774275</v>
      </c>
      <c r="HD15">
        <v>19</v>
      </c>
      <c r="HE15">
        <v>4.3487521076805269</v>
      </c>
      <c r="HF15">
        <v>1.4996407500112463</v>
      </c>
      <c r="HG15">
        <v>2.8427852411553394</v>
      </c>
      <c r="HH15">
        <v>325.60130269363304</v>
      </c>
      <c r="HI15">
        <v>27.472005874363521</v>
      </c>
      <c r="HJ15">
        <v>11.057184012253863</v>
      </c>
      <c r="HK15">
        <v>4.4783869022820841</v>
      </c>
      <c r="HL15">
        <v>1.5238531210594506</v>
      </c>
      <c r="HM15">
        <v>3.0642705491269608</v>
      </c>
      <c r="HN15">
        <v>342.6919727986288</v>
      </c>
      <c r="HO15">
        <v>27.659685537347865</v>
      </c>
      <c r="HP15">
        <v>11.115452440140972</v>
      </c>
      <c r="HS15">
        <v>450</v>
      </c>
      <c r="HT15">
        <v>7.67</v>
      </c>
      <c r="HU15">
        <v>4.4649999999999999</v>
      </c>
      <c r="HV15">
        <v>8</v>
      </c>
      <c r="HW15">
        <v>6</v>
      </c>
      <c r="HX15">
        <v>11</v>
      </c>
      <c r="HY15">
        <v>11</v>
      </c>
      <c r="IA15">
        <v>33</v>
      </c>
      <c r="IB15">
        <v>28.133333333333333</v>
      </c>
      <c r="IC15">
        <v>24.466666666666669</v>
      </c>
      <c r="ID15">
        <v>23.366666666666664</v>
      </c>
      <c r="IE15">
        <v>22.366666666666664</v>
      </c>
      <c r="IF15">
        <v>13.066666666666666</v>
      </c>
      <c r="IG15">
        <v>11.3</v>
      </c>
      <c r="IH15">
        <v>10.343333333333332</v>
      </c>
      <c r="II15">
        <v>9.7533333333333321</v>
      </c>
      <c r="IJ15">
        <v>12.7</v>
      </c>
      <c r="IK15">
        <v>12.233333333333333</v>
      </c>
      <c r="IL15">
        <v>12.233333333333333</v>
      </c>
      <c r="IM15">
        <v>11.5</v>
      </c>
      <c r="IN15">
        <v>4.7333333333333325</v>
      </c>
      <c r="IO15">
        <v>1.5666666666666669</v>
      </c>
      <c r="IP15">
        <v>6.25</v>
      </c>
      <c r="IQ15">
        <v>8</v>
      </c>
      <c r="IR15">
        <v>11</v>
      </c>
    </row>
    <row r="16" spans="1:252" x14ac:dyDescent="0.2">
      <c r="B16">
        <v>511.3522094967999</v>
      </c>
      <c r="C16">
        <v>1.9555992551280021</v>
      </c>
      <c r="D16">
        <v>516.83087788063062</v>
      </c>
      <c r="E16">
        <v>1.9348689151482241</v>
      </c>
      <c r="F16">
        <v>540.16612673311806</v>
      </c>
      <c r="G16">
        <v>1.8512823194744195</v>
      </c>
      <c r="H16">
        <v>561.11244119637217</v>
      </c>
      <c r="I16">
        <v>1.7821739932692573</v>
      </c>
      <c r="J16">
        <v>576.73901593887206</v>
      </c>
      <c r="K16">
        <v>1.7338865108199804</v>
      </c>
      <c r="L16">
        <v>506.9333573663713</v>
      </c>
      <c r="M16">
        <v>1.9726458822816806</v>
      </c>
      <c r="N16">
        <v>548.05393910390421</v>
      </c>
      <c r="O16">
        <v>1.8246379209226202</v>
      </c>
      <c r="Q16">
        <v>3.4947055092521467E-2</v>
      </c>
      <c r="R16">
        <v>3.5203805331044544E-2</v>
      </c>
      <c r="S16">
        <v>3.5927350941421965E-2</v>
      </c>
      <c r="T16">
        <v>3.6522249573494557E-2</v>
      </c>
      <c r="U16">
        <v>3.7058092973094509E-2</v>
      </c>
      <c r="V16">
        <v>3.5699146233356786E-2</v>
      </c>
      <c r="W16">
        <v>3.5181470651872708E-2</v>
      </c>
      <c r="Y16">
        <v>0.79678028973390491</v>
      </c>
      <c r="Z16">
        <v>0.79875865410986668</v>
      </c>
      <c r="AA16">
        <v>0.8273226768543005</v>
      </c>
      <c r="AB16">
        <v>0.84068022558276212</v>
      </c>
      <c r="AC16">
        <v>0.85285635249766711</v>
      </c>
      <c r="AD16">
        <v>0.82650374617377986</v>
      </c>
      <c r="AE16">
        <v>0.79671362435813076</v>
      </c>
      <c r="AG16">
        <v>0.38163982163588223</v>
      </c>
      <c r="AH16">
        <v>0.38244659156646016</v>
      </c>
      <c r="AI16">
        <v>0.39373625217230196</v>
      </c>
      <c r="AJ16">
        <v>0.39832857809663602</v>
      </c>
      <c r="AK16">
        <v>0.40321608973835094</v>
      </c>
      <c r="AL16">
        <v>0.39417045010672769</v>
      </c>
      <c r="AM16">
        <v>0.38082051737683192</v>
      </c>
      <c r="AO16">
        <v>20</v>
      </c>
      <c r="AP16">
        <v>5.3457905164864581</v>
      </c>
      <c r="AQ16">
        <v>2.0279165322627311</v>
      </c>
      <c r="AR16">
        <v>3.1929613317611962</v>
      </c>
      <c r="AS16">
        <v>336.78089936957326</v>
      </c>
      <c r="AT16">
        <v>30.060688064482328</v>
      </c>
      <c r="AU16">
        <v>12.505596816216944</v>
      </c>
      <c r="AV16">
        <v>5.4294021080786958</v>
      </c>
      <c r="AW16">
        <v>2.0479079815771275</v>
      </c>
      <c r="AX16">
        <v>3.2468433133214827</v>
      </c>
      <c r="AY16">
        <v>341.29851710139047</v>
      </c>
      <c r="AZ16">
        <v>30.057762682712561</v>
      </c>
      <c r="BA16">
        <v>12.46719230339435</v>
      </c>
      <c r="BB16">
        <v>5.7316809494678349</v>
      </c>
      <c r="BC16">
        <v>2.1332432816174811</v>
      </c>
      <c r="BD16">
        <v>3.3945629096494963</v>
      </c>
      <c r="BE16">
        <v>357.95232488621139</v>
      </c>
      <c r="BF16">
        <v>30.112929818485181</v>
      </c>
      <c r="BG16">
        <v>12.403949959656469</v>
      </c>
      <c r="BH16">
        <v>5.9914218670808461</v>
      </c>
      <c r="BI16">
        <v>2.2167161701315989</v>
      </c>
      <c r="BJ16">
        <v>3.5501873109689037</v>
      </c>
      <c r="BK16">
        <v>373.20801614663492</v>
      </c>
      <c r="BL16">
        <v>30.102398746991774</v>
      </c>
      <c r="BM16">
        <v>12.360256614767517</v>
      </c>
      <c r="BN16">
        <v>6.1214364409182878</v>
      </c>
      <c r="BO16">
        <v>2.2558310630176202</v>
      </c>
      <c r="BP16">
        <v>3.6640419506784525</v>
      </c>
      <c r="BQ16">
        <v>382.40890208156173</v>
      </c>
      <c r="BR16">
        <v>30.099942086066044</v>
      </c>
      <c r="BS16">
        <v>12.339657902571863</v>
      </c>
      <c r="BU16">
        <v>20</v>
      </c>
      <c r="BV16">
        <v>5.0177389895868716</v>
      </c>
      <c r="BW16">
        <v>1.8880911645333931</v>
      </c>
      <c r="BX16">
        <v>3.0665791725117741</v>
      </c>
      <c r="BY16">
        <v>337.92204686000241</v>
      </c>
      <c r="BZ16">
        <v>28.98838393691215</v>
      </c>
      <c r="CA16">
        <v>12.049586030343825</v>
      </c>
      <c r="CB16">
        <v>5.0880881397490105</v>
      </c>
      <c r="CC16">
        <v>1.9021860675170776</v>
      </c>
      <c r="CD16">
        <v>3.1167438002370895</v>
      </c>
      <c r="CE16">
        <v>342.05876249854015</v>
      </c>
      <c r="CF16">
        <v>28.993134952091598</v>
      </c>
      <c r="CG16">
        <v>12.01346897676345</v>
      </c>
      <c r="CH16">
        <v>5.3846170919399601</v>
      </c>
      <c r="CI16">
        <v>1.9966125206554757</v>
      </c>
      <c r="CJ16">
        <v>3.2584309287271931</v>
      </c>
      <c r="CK16">
        <v>359.12624839766966</v>
      </c>
      <c r="CL16">
        <v>29.04808386097881</v>
      </c>
      <c r="CM16">
        <v>11.982950241231046</v>
      </c>
      <c r="CN16">
        <v>5.6372694010683668</v>
      </c>
      <c r="CO16">
        <v>2.0595188680500129</v>
      </c>
      <c r="CP16">
        <v>3.4130160542286974</v>
      </c>
      <c r="CQ16">
        <v>374.69192167261747</v>
      </c>
      <c r="CR16">
        <v>29.03800008027342</v>
      </c>
      <c r="CS16">
        <v>11.891768384780599</v>
      </c>
      <c r="CT16">
        <v>5.744933595845108</v>
      </c>
      <c r="CU16">
        <v>2.0806900810746325</v>
      </c>
      <c r="CV16">
        <v>3.5039500086062612</v>
      </c>
      <c r="CW16">
        <v>383.46357319868906</v>
      </c>
      <c r="CX16">
        <v>29.035308016099176</v>
      </c>
      <c r="CY16">
        <v>11.848984795975186</v>
      </c>
      <c r="DA16">
        <v>20</v>
      </c>
      <c r="DB16">
        <v>4.8134801897045252</v>
      </c>
      <c r="DC16">
        <v>1.6980912719542838</v>
      </c>
      <c r="DD16">
        <v>3.1028618396380527</v>
      </c>
      <c r="DE16">
        <v>340.29396565147482</v>
      </c>
      <c r="DF16">
        <v>28.186086746734102</v>
      </c>
      <c r="DG16">
        <v>11.407257472752496</v>
      </c>
      <c r="DH16">
        <v>4.859001823938649</v>
      </c>
      <c r="DI16">
        <v>1.7197755700680109</v>
      </c>
      <c r="DJ16">
        <v>3.1326285131605482</v>
      </c>
      <c r="DK16">
        <v>343.76459172820461</v>
      </c>
      <c r="DL16">
        <v>28.182860538805095</v>
      </c>
      <c r="DM16">
        <v>11.423229525517929</v>
      </c>
      <c r="DN16">
        <v>5.1750574925593442</v>
      </c>
      <c r="DO16">
        <v>1.7813296142604726</v>
      </c>
      <c r="DP16">
        <v>3.2832273524891065</v>
      </c>
      <c r="DQ16">
        <v>362.08916393106665</v>
      </c>
      <c r="DR16">
        <v>28.231636842630564</v>
      </c>
      <c r="DS16">
        <v>11.290338031912308</v>
      </c>
      <c r="DT16">
        <v>5.3048109207408869</v>
      </c>
      <c r="DU16">
        <v>1.7947296484951198</v>
      </c>
      <c r="DV16">
        <v>3.3746706652555059</v>
      </c>
      <c r="DW16">
        <v>373.71956646697083</v>
      </c>
      <c r="DX16">
        <v>28.223958598143145</v>
      </c>
      <c r="DY16">
        <v>11.214184925462344</v>
      </c>
      <c r="DZ16">
        <v>5.3951617387473725</v>
      </c>
      <c r="EA16">
        <v>1.8169085300401948</v>
      </c>
      <c r="EB16">
        <v>3.4500687302869752</v>
      </c>
      <c r="EC16">
        <v>382.08369874774394</v>
      </c>
      <c r="ED16">
        <v>28.224734891922346</v>
      </c>
      <c r="EE16">
        <v>11.201400404241713</v>
      </c>
      <c r="EG16">
        <v>20</v>
      </c>
      <c r="EH16">
        <v>4.5673981253325655</v>
      </c>
      <c r="EI16">
        <v>1.5428643521095731</v>
      </c>
      <c r="EJ16">
        <v>2.952549618849611</v>
      </c>
      <c r="EK16">
        <v>340.09333101643546</v>
      </c>
      <c r="EL16">
        <v>27.479142689860719</v>
      </c>
      <c r="EM16">
        <v>10.957562595032375</v>
      </c>
      <c r="EN16">
        <v>4.6260906120515255</v>
      </c>
      <c r="EO16">
        <v>1.5546972228024358</v>
      </c>
      <c r="EP16">
        <v>2.982653224953713</v>
      </c>
      <c r="EQ16">
        <v>344.0043865320435</v>
      </c>
      <c r="ER16">
        <v>27.486156296694158</v>
      </c>
      <c r="ES16">
        <v>10.935393948650303</v>
      </c>
      <c r="ET16">
        <v>4.637020005638786</v>
      </c>
      <c r="EU16">
        <v>1.6122389988757617</v>
      </c>
      <c r="EV16">
        <v>3.1210502249633061</v>
      </c>
      <c r="EW16">
        <v>353.56676783287077</v>
      </c>
      <c r="EX16">
        <v>27.390391787077615</v>
      </c>
      <c r="EY16">
        <v>11.084238677493701</v>
      </c>
      <c r="EZ16">
        <v>4.8932471470301975</v>
      </c>
      <c r="FA16">
        <v>1.629109982637962</v>
      </c>
      <c r="FB16">
        <v>3.2045643417610212</v>
      </c>
      <c r="FC16">
        <v>369.37093182950684</v>
      </c>
      <c r="FD16">
        <v>27.442012687256547</v>
      </c>
      <c r="FE16">
        <v>10.897827403010355</v>
      </c>
      <c r="FF16">
        <v>5.0173828306541681</v>
      </c>
      <c r="FG16">
        <v>1.6463713658647037</v>
      </c>
      <c r="FH16">
        <v>3.2740856974587396</v>
      </c>
      <c r="FI16">
        <v>377.66005053294646</v>
      </c>
      <c r="FJ16">
        <v>27.555025163243076</v>
      </c>
      <c r="FK16">
        <v>10.881043222953139</v>
      </c>
      <c r="FN16">
        <v>20</v>
      </c>
      <c r="FO16">
        <v>5.4976006510098197</v>
      </c>
      <c r="FP16">
        <v>1.9859936566156795</v>
      </c>
      <c r="FQ16">
        <v>3.2562008927541175</v>
      </c>
      <c r="FR16">
        <v>340.8528046738499</v>
      </c>
      <c r="FS16">
        <v>30.025822882795751</v>
      </c>
      <c r="FT16">
        <v>12.177844812574076</v>
      </c>
      <c r="FU16">
        <v>5.6536786596979445</v>
      </c>
      <c r="FV16">
        <v>2.0772489821503481</v>
      </c>
      <c r="FW16">
        <v>3.3803028527625023</v>
      </c>
      <c r="FX16">
        <v>356.38568126132213</v>
      </c>
      <c r="FY16">
        <v>30.233242336086477</v>
      </c>
      <c r="FZ16">
        <v>12.395877728472076</v>
      </c>
      <c r="GB16">
        <v>20</v>
      </c>
      <c r="GC16">
        <v>5.1950738306633664</v>
      </c>
      <c r="GD16">
        <v>1.882988313375358</v>
      </c>
      <c r="GE16">
        <v>3.1226015364417257</v>
      </c>
      <c r="GF16">
        <v>341.52855692877381</v>
      </c>
      <c r="GG16">
        <v>29.080611036476345</v>
      </c>
      <c r="GH16">
        <v>11.852148623848841</v>
      </c>
      <c r="GI16">
        <v>5.2673416725422584</v>
      </c>
      <c r="GJ16">
        <v>1.9111838874359453</v>
      </c>
      <c r="GK16">
        <v>3.2479890212657967</v>
      </c>
      <c r="GL16">
        <v>357.54061683590146</v>
      </c>
      <c r="GM16">
        <v>29.055042113710481</v>
      </c>
      <c r="GN16">
        <v>11.891371313292009</v>
      </c>
      <c r="GP16">
        <v>20</v>
      </c>
      <c r="GQ16">
        <v>4.9744184343195705</v>
      </c>
      <c r="GR16">
        <v>1.7474112238890656</v>
      </c>
      <c r="GS16">
        <v>3.1355844875318137</v>
      </c>
      <c r="GT16">
        <v>343.5895275318702</v>
      </c>
      <c r="GU16">
        <v>28.263968914623472</v>
      </c>
      <c r="GV16">
        <v>11.386464991018288</v>
      </c>
      <c r="GW16">
        <v>5.0357046696559333</v>
      </c>
      <c r="GX16">
        <v>1.7489184061580139</v>
      </c>
      <c r="GY16">
        <v>3.2691173920879697</v>
      </c>
      <c r="GZ16">
        <v>359.69398887855596</v>
      </c>
      <c r="HA16">
        <v>28.237115411100302</v>
      </c>
      <c r="HB16">
        <v>11.369060589116325</v>
      </c>
      <c r="HD16">
        <v>20</v>
      </c>
      <c r="HE16">
        <v>4.5820830140206716</v>
      </c>
      <c r="HF16">
        <v>1.5726030287380597</v>
      </c>
      <c r="HG16">
        <v>2.9455225266146159</v>
      </c>
      <c r="HH16">
        <v>340.17332049872761</v>
      </c>
      <c r="HI16">
        <v>27.394471417069592</v>
      </c>
      <c r="HJ16">
        <v>10.986934324807308</v>
      </c>
      <c r="HK16">
        <v>4.7037467668021655</v>
      </c>
      <c r="HL16">
        <v>1.5945798117368353</v>
      </c>
      <c r="HM16">
        <v>3.155069465098387</v>
      </c>
      <c r="HN16">
        <v>356.29295348357857</v>
      </c>
      <c r="HO16">
        <v>27.574956725159783</v>
      </c>
      <c r="HP16">
        <v>11.044406352149267</v>
      </c>
      <c r="HS16">
        <v>500</v>
      </c>
      <c r="HT16">
        <v>7.67</v>
      </c>
      <c r="HU16">
        <v>4.4649999999999999</v>
      </c>
      <c r="HV16">
        <v>8</v>
      </c>
      <c r="HW16">
        <v>6</v>
      </c>
      <c r="HX16">
        <v>11</v>
      </c>
      <c r="HY16">
        <v>11</v>
      </c>
      <c r="IA16">
        <v>34</v>
      </c>
      <c r="IB16">
        <v>28.2</v>
      </c>
      <c r="IC16">
        <v>24.5</v>
      </c>
      <c r="ID16">
        <v>23.4</v>
      </c>
      <c r="IE16">
        <v>22.4</v>
      </c>
      <c r="IF16">
        <v>13.1</v>
      </c>
      <c r="IG16">
        <v>11.3</v>
      </c>
      <c r="IH16">
        <v>10.36</v>
      </c>
      <c r="II16">
        <v>9.76</v>
      </c>
      <c r="IJ16">
        <v>12.8</v>
      </c>
      <c r="IK16">
        <v>12.3</v>
      </c>
      <c r="IL16">
        <v>12.3</v>
      </c>
      <c r="IM16">
        <v>11.6</v>
      </c>
      <c r="IN16">
        <v>4.8</v>
      </c>
      <c r="IO16">
        <v>1.6</v>
      </c>
      <c r="IP16">
        <v>6.25</v>
      </c>
      <c r="IQ16">
        <v>8</v>
      </c>
      <c r="IR16">
        <v>11</v>
      </c>
    </row>
    <row r="17" spans="2:224" x14ac:dyDescent="0.2">
      <c r="B17">
        <v>520.86007439820025</v>
      </c>
      <c r="C17">
        <v>1.9199014267995029</v>
      </c>
      <c r="D17">
        <v>528.4097298553346</v>
      </c>
      <c r="E17">
        <v>1.8924708299254349</v>
      </c>
      <c r="F17">
        <v>555.66771159361861</v>
      </c>
      <c r="G17">
        <v>1.7996366877824619</v>
      </c>
      <c r="H17">
        <v>579.75232106421254</v>
      </c>
      <c r="I17">
        <v>1.7248745087632715</v>
      </c>
      <c r="J17">
        <v>599.4368746969858</v>
      </c>
      <c r="K17">
        <v>1.6682323731010011</v>
      </c>
      <c r="L17">
        <v>521.60224791938617</v>
      </c>
      <c r="M17">
        <v>1.9171696517583841</v>
      </c>
      <c r="N17">
        <v>560.57757787382309</v>
      </c>
      <c r="O17">
        <v>1.7838744171553071</v>
      </c>
      <c r="Q17">
        <v>3.669078507434579E-2</v>
      </c>
      <c r="R17">
        <v>3.6960718768221407E-2</v>
      </c>
      <c r="S17">
        <v>3.7720883484032748E-2</v>
      </c>
      <c r="T17">
        <v>3.8345928585141326E-2</v>
      </c>
      <c r="U17">
        <v>3.8909378399252625E-2</v>
      </c>
      <c r="V17">
        <v>3.7484103545024627E-2</v>
      </c>
      <c r="W17">
        <v>3.6940544184466344E-2</v>
      </c>
      <c r="Y17">
        <v>0.82674387425881035</v>
      </c>
      <c r="Z17">
        <v>0.82893243973861297</v>
      </c>
      <c r="AA17">
        <v>0.85707023261456783</v>
      </c>
      <c r="AB17">
        <v>0.8699792343110816</v>
      </c>
      <c r="AC17">
        <v>0.88372741986858772</v>
      </c>
      <c r="AD17">
        <v>0.85613874772930454</v>
      </c>
      <c r="AE17">
        <v>0.82780080863981298</v>
      </c>
      <c r="AG17">
        <v>0.38972947962483662</v>
      </c>
      <c r="AH17">
        <v>0.39061856953836266</v>
      </c>
      <c r="AI17">
        <v>0.40208467589759722</v>
      </c>
      <c r="AJ17">
        <v>0.40620723528241504</v>
      </c>
      <c r="AK17">
        <v>0.41191861653055056</v>
      </c>
      <c r="AL17">
        <v>0.40225823443652331</v>
      </c>
      <c r="AM17">
        <v>0.38956140296322472</v>
      </c>
      <c r="AO17">
        <v>21</v>
      </c>
      <c r="AP17">
        <v>5.5610780645714692</v>
      </c>
      <c r="AQ17">
        <v>2.1340068837873782</v>
      </c>
      <c r="AR17">
        <v>3.2959268491266087</v>
      </c>
      <c r="AS17">
        <v>348.34459631505996</v>
      </c>
      <c r="AT17">
        <v>29.935858658524051</v>
      </c>
      <c r="AU17">
        <v>12.511575829248679</v>
      </c>
      <c r="AV17">
        <v>5.6557369222928697</v>
      </c>
      <c r="AW17">
        <v>2.156306589707492</v>
      </c>
      <c r="AX17">
        <v>3.359362072290446</v>
      </c>
      <c r="AY17">
        <v>353.88839454279457</v>
      </c>
      <c r="AZ17">
        <v>29.933723742896341</v>
      </c>
      <c r="BA17">
        <v>12.469694991710341</v>
      </c>
      <c r="BB17">
        <v>5.9954529900546243</v>
      </c>
      <c r="BC17">
        <v>2.247525304465376</v>
      </c>
      <c r="BD17">
        <v>3.5211500472896433</v>
      </c>
      <c r="BE17">
        <v>372.4351246950298</v>
      </c>
      <c r="BF17">
        <v>30.039089616873337</v>
      </c>
      <c r="BG17">
        <v>12.406198987298646</v>
      </c>
      <c r="BH17">
        <v>6.2632731178612167</v>
      </c>
      <c r="BI17">
        <v>2.3312212843283273</v>
      </c>
      <c r="BJ17">
        <v>3.6853173256031475</v>
      </c>
      <c r="BK17">
        <v>388.8303463556004</v>
      </c>
      <c r="BL17">
        <v>30.040039095104394</v>
      </c>
      <c r="BM17">
        <v>12.362855976875863</v>
      </c>
      <c r="BN17">
        <v>6.4109374076839423</v>
      </c>
      <c r="BO17">
        <v>2.3754047646575431</v>
      </c>
      <c r="BP17">
        <v>3.8175776580172043</v>
      </c>
      <c r="BQ17">
        <v>400.02812601048845</v>
      </c>
      <c r="BR17">
        <v>30.028077487075567</v>
      </c>
      <c r="BS17">
        <v>12.337382341764691</v>
      </c>
      <c r="BU17">
        <v>21</v>
      </c>
      <c r="BV17">
        <v>5.2348104095756636</v>
      </c>
      <c r="BW17">
        <v>1.9706525625100666</v>
      </c>
      <c r="BX17">
        <v>3.1683770822812169</v>
      </c>
      <c r="BY17">
        <v>349.761782155785</v>
      </c>
      <c r="BZ17">
        <v>28.881734540834156</v>
      </c>
      <c r="CA17">
        <v>11.993836160061425</v>
      </c>
      <c r="CB17">
        <v>5.3116975086129203</v>
      </c>
      <c r="CC17">
        <v>1.9835236237298453</v>
      </c>
      <c r="CD17">
        <v>3.2269941859338545</v>
      </c>
      <c r="CE17">
        <v>355.01176421816911</v>
      </c>
      <c r="CF17">
        <v>28.869910964648046</v>
      </c>
      <c r="CG17">
        <v>11.943540475101946</v>
      </c>
      <c r="CH17">
        <v>5.6455181014613185</v>
      </c>
      <c r="CI17">
        <v>2.0900752166213534</v>
      </c>
      <c r="CJ17">
        <v>3.3816855591971988</v>
      </c>
      <c r="CK17">
        <v>374.03008579260933</v>
      </c>
      <c r="CL17">
        <v>28.975415642369796</v>
      </c>
      <c r="CM17">
        <v>11.93234006704091</v>
      </c>
      <c r="CN17">
        <v>5.9062758291511237</v>
      </c>
      <c r="CO17">
        <v>2.150661946088638</v>
      </c>
      <c r="CP17">
        <v>3.5453502122072735</v>
      </c>
      <c r="CQ17">
        <v>390.77422415289129</v>
      </c>
      <c r="CR17">
        <v>28.977043052729055</v>
      </c>
      <c r="CS17">
        <v>11.839302459681248</v>
      </c>
      <c r="CT17">
        <v>6.0262118274552989</v>
      </c>
      <c r="CU17">
        <v>2.1734294163462784</v>
      </c>
      <c r="CV17">
        <v>3.6500138788614285</v>
      </c>
      <c r="CW17">
        <v>401.43103051035843</v>
      </c>
      <c r="CX17">
        <v>28.964751354277542</v>
      </c>
      <c r="CY17">
        <v>11.791127815211629</v>
      </c>
      <c r="DA17">
        <v>21</v>
      </c>
      <c r="DB17">
        <v>5.0254146316258534</v>
      </c>
      <c r="DC17">
        <v>1.7702897894134235</v>
      </c>
      <c r="DD17">
        <v>3.1968661004569086</v>
      </c>
      <c r="DE17">
        <v>351.85333814603507</v>
      </c>
      <c r="DF17">
        <v>28.114927710865921</v>
      </c>
      <c r="DG17">
        <v>11.353090347754462</v>
      </c>
      <c r="DH17">
        <v>5.0818959804513115</v>
      </c>
      <c r="DI17">
        <v>1.7992402589412786</v>
      </c>
      <c r="DJ17">
        <v>3.2344003498598806</v>
      </c>
      <c r="DK17">
        <v>356.39963145315568</v>
      </c>
      <c r="DL17">
        <v>28.112701619155516</v>
      </c>
      <c r="DM17">
        <v>11.379961291631055</v>
      </c>
      <c r="DN17">
        <v>5.4217484372477323</v>
      </c>
      <c r="DO17">
        <v>1.8591635632710497</v>
      </c>
      <c r="DP17">
        <v>3.3934241914447467</v>
      </c>
      <c r="DQ17">
        <v>376.3367251941666</v>
      </c>
      <c r="DR17">
        <v>28.203220211639938</v>
      </c>
      <c r="DS17">
        <v>11.24562723302668</v>
      </c>
      <c r="DT17">
        <v>5.5585850319793195</v>
      </c>
      <c r="DU17">
        <v>1.8657583061316201</v>
      </c>
      <c r="DV17">
        <v>3.4947430737989786</v>
      </c>
      <c r="DW17">
        <v>389.26252374658537</v>
      </c>
      <c r="DX17">
        <v>28.196371472812764</v>
      </c>
      <c r="DY17">
        <v>11.153374209901511</v>
      </c>
      <c r="DZ17">
        <v>5.6565124443512236</v>
      </c>
      <c r="EA17">
        <v>1.8911570077611535</v>
      </c>
      <c r="EB17">
        <v>3.5820803305163889</v>
      </c>
      <c r="EC17">
        <v>399.44107605758626</v>
      </c>
      <c r="ED17">
        <v>28.183507596742196</v>
      </c>
      <c r="EE17">
        <v>11.143200957412139</v>
      </c>
      <c r="EG17">
        <v>21</v>
      </c>
      <c r="EH17">
        <v>4.7819920464155761</v>
      </c>
      <c r="EI17">
        <v>1.6109151328635603</v>
      </c>
      <c r="EJ17">
        <v>3.0335989512965349</v>
      </c>
      <c r="EK17">
        <v>351.8397675141685</v>
      </c>
      <c r="EL17">
        <v>27.424155744997755</v>
      </c>
      <c r="EM17">
        <v>10.900553134394139</v>
      </c>
      <c r="EN17">
        <v>4.8446324422808953</v>
      </c>
      <c r="EO17">
        <v>1.6258665771842358</v>
      </c>
      <c r="EP17">
        <v>3.0723779277318828</v>
      </c>
      <c r="EQ17">
        <v>356.58408854568546</v>
      </c>
      <c r="ER17">
        <v>27.432780295792316</v>
      </c>
      <c r="ES17">
        <v>10.887867555632743</v>
      </c>
      <c r="ET17">
        <v>4.8666286801369845</v>
      </c>
      <c r="EU17">
        <v>1.6826797994437714</v>
      </c>
      <c r="EV17">
        <v>3.2183292166692832</v>
      </c>
      <c r="EW17">
        <v>368.42466388619505</v>
      </c>
      <c r="EX17">
        <v>27.302156351766062</v>
      </c>
      <c r="EY17">
        <v>11.008108737956523</v>
      </c>
      <c r="EZ17">
        <v>5.1169107041573705</v>
      </c>
      <c r="FA17">
        <v>1.6949482628713299</v>
      </c>
      <c r="FB17">
        <v>3.3111326838472994</v>
      </c>
      <c r="FC17">
        <v>384.7825542085518</v>
      </c>
      <c r="FD17">
        <v>27.376803539985577</v>
      </c>
      <c r="FE17">
        <v>10.839318218454078</v>
      </c>
      <c r="FF17">
        <v>5.2421222730570181</v>
      </c>
      <c r="FG17">
        <v>1.7141675334739672</v>
      </c>
      <c r="FH17">
        <v>3.3918968762647275</v>
      </c>
      <c r="FI17">
        <v>393.75049274609819</v>
      </c>
      <c r="FJ17">
        <v>27.53840472580108</v>
      </c>
      <c r="FK17">
        <v>10.854748846304263</v>
      </c>
      <c r="FN17">
        <v>21</v>
      </c>
      <c r="FO17">
        <v>5.7510679952724146</v>
      </c>
      <c r="FP17">
        <v>2.0888239523732661</v>
      </c>
      <c r="FQ17">
        <v>3.3803421965031348</v>
      </c>
      <c r="FR17">
        <v>354.99253503017661</v>
      </c>
      <c r="FS17">
        <v>29.92997979218908</v>
      </c>
      <c r="FT17">
        <v>12.158921459421927</v>
      </c>
      <c r="FU17">
        <v>5.8916330438719733</v>
      </c>
      <c r="FV17">
        <v>2.1734651497987554</v>
      </c>
      <c r="FW17">
        <v>3.4957985997824852</v>
      </c>
      <c r="FX17">
        <v>369.46987695955517</v>
      </c>
      <c r="FY17">
        <v>30.123348683019454</v>
      </c>
      <c r="FZ17">
        <v>12.362067873286724</v>
      </c>
      <c r="GB17">
        <v>21</v>
      </c>
      <c r="GC17">
        <v>5.4426845487244009</v>
      </c>
      <c r="GD17">
        <v>1.9621665606974914</v>
      </c>
      <c r="GE17">
        <v>3.243889601623136</v>
      </c>
      <c r="GF17">
        <v>356.01521325652232</v>
      </c>
      <c r="GG17">
        <v>28.977795243400724</v>
      </c>
      <c r="GH17">
        <v>11.768230132958998</v>
      </c>
      <c r="GI17">
        <v>5.5056526592870156</v>
      </c>
      <c r="GJ17">
        <v>1.9875522968443535</v>
      </c>
      <c r="GK17">
        <v>3.3606886762820909</v>
      </c>
      <c r="GL17">
        <v>371.0654656710733</v>
      </c>
      <c r="GM17">
        <v>28.953622853342107</v>
      </c>
      <c r="GN17">
        <v>11.807886339491491</v>
      </c>
      <c r="GP17">
        <v>21</v>
      </c>
      <c r="GQ17">
        <v>5.2144512786720556</v>
      </c>
      <c r="GR17">
        <v>1.8275348321760576</v>
      </c>
      <c r="GS17">
        <v>3.2461080989358946</v>
      </c>
      <c r="GT17">
        <v>357.65179775832422</v>
      </c>
      <c r="GU17">
        <v>28.207051513404558</v>
      </c>
      <c r="GV17">
        <v>11.337947292119873</v>
      </c>
      <c r="GW17">
        <v>5.2715565203191481</v>
      </c>
      <c r="GX17">
        <v>1.8281237024095656</v>
      </c>
      <c r="GY17">
        <v>3.3721504071607775</v>
      </c>
      <c r="GZ17">
        <v>372.92030284007507</v>
      </c>
      <c r="HA17">
        <v>28.181875129708708</v>
      </c>
      <c r="HB17">
        <v>11.321642229091344</v>
      </c>
      <c r="HD17">
        <v>21</v>
      </c>
      <c r="HE17">
        <v>4.8109286096127661</v>
      </c>
      <c r="HF17">
        <v>1.6446345883103304</v>
      </c>
      <c r="HG17">
        <v>3.0443644081349079</v>
      </c>
      <c r="HH17">
        <v>354.53453061560919</v>
      </c>
      <c r="HI17">
        <v>27.316887856748355</v>
      </c>
      <c r="HJ17">
        <v>10.921748528490413</v>
      </c>
      <c r="HK17">
        <v>4.9251467934586399</v>
      </c>
      <c r="HL17">
        <v>1.6644936908179047</v>
      </c>
      <c r="HM17">
        <v>3.2425452299315443</v>
      </c>
      <c r="HN17">
        <v>369.70015675575382</v>
      </c>
      <c r="HO17">
        <v>27.490341822673486</v>
      </c>
      <c r="HP17">
        <v>10.977653546977844</v>
      </c>
    </row>
    <row r="18" spans="2:224" x14ac:dyDescent="0.2">
      <c r="B18">
        <v>530.04281225464649</v>
      </c>
      <c r="C18">
        <v>1.8866400541237294</v>
      </c>
      <c r="D18">
        <v>539.68333504788245</v>
      </c>
      <c r="E18">
        <v>1.8529384456744005</v>
      </c>
      <c r="F18">
        <v>570.63900064909365</v>
      </c>
      <c r="G18">
        <v>1.7524214062875381</v>
      </c>
      <c r="H18">
        <v>597.65890762959839</v>
      </c>
      <c r="I18">
        <v>1.6731951740937729</v>
      </c>
      <c r="J18">
        <v>621.50588247909002</v>
      </c>
      <c r="K18">
        <v>1.608995229475795</v>
      </c>
      <c r="L18">
        <v>535.88871838283785</v>
      </c>
      <c r="M18">
        <v>1.8660590635640175</v>
      </c>
      <c r="N18">
        <v>572.71165619336625</v>
      </c>
      <c r="O18">
        <v>1.7460793563146324</v>
      </c>
      <c r="Q18">
        <v>3.8434441713699641E-2</v>
      </c>
      <c r="R18">
        <v>3.87175620754657E-2</v>
      </c>
      <c r="S18">
        <v>3.9514285373357494E-2</v>
      </c>
      <c r="T18">
        <v>4.0169418079590506E-2</v>
      </c>
      <c r="U18">
        <v>4.0760497962178704E-2</v>
      </c>
      <c r="V18">
        <v>3.9269060856692461E-2</v>
      </c>
      <c r="W18">
        <v>3.8699617717059979E-2</v>
      </c>
      <c r="Y18">
        <v>0.85612156457641686</v>
      </c>
      <c r="Z18">
        <v>0.85854797419931206</v>
      </c>
      <c r="AA18">
        <v>0.88589059705346451</v>
      </c>
      <c r="AB18">
        <v>0.89822055371759346</v>
      </c>
      <c r="AC18">
        <v>0.91349448995885651</v>
      </c>
      <c r="AD18">
        <v>0.88500707200982687</v>
      </c>
      <c r="AE18">
        <v>0.85825393790691185</v>
      </c>
      <c r="AG18">
        <v>0.39756189323450408</v>
      </c>
      <c r="AH18">
        <v>0.39852711361246362</v>
      </c>
      <c r="AI18">
        <v>0.41000522724742383</v>
      </c>
      <c r="AJ18">
        <v>0.41357880376748968</v>
      </c>
      <c r="AK18">
        <v>0.42007705967344044</v>
      </c>
      <c r="AL18">
        <v>0.40997769371215564</v>
      </c>
      <c r="AM18">
        <v>0.3980094959583384</v>
      </c>
      <c r="AO18">
        <v>22</v>
      </c>
      <c r="AP18">
        <v>5.7728636484191957</v>
      </c>
      <c r="AQ18">
        <v>2.2390358005989901</v>
      </c>
      <c r="AR18">
        <v>3.3969221101590588</v>
      </c>
      <c r="AS18">
        <v>359.75909946504527</v>
      </c>
      <c r="AT18">
        <v>29.81323808647327</v>
      </c>
      <c r="AU18">
        <v>12.515551759573869</v>
      </c>
      <c r="AV18">
        <v>5.8780085903102242</v>
      </c>
      <c r="AW18">
        <v>2.263657360335841</v>
      </c>
      <c r="AX18">
        <v>3.4695483580271533</v>
      </c>
      <c r="AY18">
        <v>366.32489565159977</v>
      </c>
      <c r="AZ18">
        <v>29.811814055313569</v>
      </c>
      <c r="BA18">
        <v>12.47082875580114</v>
      </c>
      <c r="BB18">
        <v>6.2527946298825166</v>
      </c>
      <c r="BC18">
        <v>2.3602125428815013</v>
      </c>
      <c r="BD18">
        <v>3.6440309975055936</v>
      </c>
      <c r="BE18">
        <v>386.59949999738649</v>
      </c>
      <c r="BF18">
        <v>29.966012506549966</v>
      </c>
      <c r="BG18">
        <v>12.408516811806237</v>
      </c>
      <c r="BH18">
        <v>6.5255211218269169</v>
      </c>
      <c r="BI18">
        <v>2.4431820695091568</v>
      </c>
      <c r="BJ18">
        <v>3.8148705917468768</v>
      </c>
      <c r="BK18">
        <v>403.9625273500871</v>
      </c>
      <c r="BL18">
        <v>29.978141869141549</v>
      </c>
      <c r="BM18">
        <v>12.366207497786316</v>
      </c>
      <c r="BN18">
        <v>6.6902758350095874</v>
      </c>
      <c r="BO18">
        <v>2.4924536267155744</v>
      </c>
      <c r="BP18">
        <v>3.9648872396010306</v>
      </c>
      <c r="BQ18">
        <v>417.18795801756892</v>
      </c>
      <c r="BR18">
        <v>29.956825360639719</v>
      </c>
      <c r="BS18">
        <v>12.336392743209982</v>
      </c>
      <c r="BU18">
        <v>22</v>
      </c>
      <c r="BV18">
        <v>5.4484936940660234</v>
      </c>
      <c r="BW18">
        <v>2.0524347637827511</v>
      </c>
      <c r="BX18">
        <v>3.2682500483735608</v>
      </c>
      <c r="BY18">
        <v>361.44539878036971</v>
      </c>
      <c r="BZ18">
        <v>28.776721925000018</v>
      </c>
      <c r="CA18">
        <v>11.940897873038915</v>
      </c>
      <c r="CB18">
        <v>5.531428240747795</v>
      </c>
      <c r="CC18">
        <v>2.0640058083868564</v>
      </c>
      <c r="CD18">
        <v>3.3349792232293729</v>
      </c>
      <c r="CE18">
        <v>367.81338224422274</v>
      </c>
      <c r="CF18">
        <v>28.748897766895482</v>
      </c>
      <c r="CG18">
        <v>11.877554492587953</v>
      </c>
      <c r="CH18">
        <v>5.9002770897367336</v>
      </c>
      <c r="CI18">
        <v>2.1820935457255519</v>
      </c>
      <c r="CJ18">
        <v>3.5013497366686233</v>
      </c>
      <c r="CK18">
        <v>388.61416518251133</v>
      </c>
      <c r="CL18">
        <v>28.903547318010499</v>
      </c>
      <c r="CM18">
        <v>11.885844140107977</v>
      </c>
      <c r="CN18">
        <v>6.1661023589481569</v>
      </c>
      <c r="CO18">
        <v>2.2395305104976821</v>
      </c>
      <c r="CP18">
        <v>3.6722601115909597</v>
      </c>
      <c r="CQ18">
        <v>406.36327952067757</v>
      </c>
      <c r="CR18">
        <v>28.916557632125322</v>
      </c>
      <c r="CS18">
        <v>11.791992822732528</v>
      </c>
      <c r="CT18">
        <v>6.2978583751796942</v>
      </c>
      <c r="CU18">
        <v>2.2639150733382456</v>
      </c>
      <c r="CV18">
        <v>3.7901460766704673</v>
      </c>
      <c r="CW18">
        <v>418.94033212912433</v>
      </c>
      <c r="CX18">
        <v>28.894829198095181</v>
      </c>
      <c r="CY18">
        <v>11.739275422518578</v>
      </c>
      <c r="DA18">
        <v>22</v>
      </c>
      <c r="DB18">
        <v>5.2324794422311784</v>
      </c>
      <c r="DC18">
        <v>1.8417420959761068</v>
      </c>
      <c r="DD18">
        <v>3.288074784157776</v>
      </c>
      <c r="DE18">
        <v>363.19071720105183</v>
      </c>
      <c r="DF18">
        <v>28.043666860296888</v>
      </c>
      <c r="DG18">
        <v>11.303399925381367</v>
      </c>
      <c r="DH18">
        <v>5.2999152516258077</v>
      </c>
      <c r="DI18">
        <v>1.8780672742459978</v>
      </c>
      <c r="DJ18">
        <v>3.3332690086556838</v>
      </c>
      <c r="DK18">
        <v>368.82411060589749</v>
      </c>
      <c r="DL18">
        <v>28.042408391692174</v>
      </c>
      <c r="DM18">
        <v>11.340866381258472</v>
      </c>
      <c r="DN18">
        <v>5.6603124328755321</v>
      </c>
      <c r="DO18">
        <v>1.9356848909050755</v>
      </c>
      <c r="DP18">
        <v>3.4989115474129782</v>
      </c>
      <c r="DQ18">
        <v>390.16333912875336</v>
      </c>
      <c r="DR18">
        <v>28.173747127259436</v>
      </c>
      <c r="DS18">
        <v>11.207097911713529</v>
      </c>
      <c r="DT18">
        <v>5.80340683257187</v>
      </c>
      <c r="DU18">
        <v>1.935281917540514</v>
      </c>
      <c r="DV18">
        <v>3.6094418565304967</v>
      </c>
      <c r="DW18">
        <v>404.28930140893181</v>
      </c>
      <c r="DX18">
        <v>28.167778929040065</v>
      </c>
      <c r="DY18">
        <v>11.09993330749457</v>
      </c>
      <c r="DZ18">
        <v>5.908453689528252</v>
      </c>
      <c r="EA18">
        <v>1.9639434365733317</v>
      </c>
      <c r="EB18">
        <v>3.7083298703048149</v>
      </c>
      <c r="EC18">
        <v>416.31741351589847</v>
      </c>
      <c r="ED18">
        <v>28.141519607527691</v>
      </c>
      <c r="EE18">
        <v>11.092700323773336</v>
      </c>
      <c r="EG18">
        <v>22</v>
      </c>
      <c r="EH18">
        <v>4.9921404202313013</v>
      </c>
      <c r="EI18">
        <v>1.6782887012786898</v>
      </c>
      <c r="EJ18">
        <v>3.1120508068499384</v>
      </c>
      <c r="EK18">
        <v>363.37089834977706</v>
      </c>
      <c r="EL18">
        <v>27.368345960291787</v>
      </c>
      <c r="EM18">
        <v>10.847969798665018</v>
      </c>
      <c r="EN18">
        <v>5.0583202957721776</v>
      </c>
      <c r="EO18">
        <v>1.6964594869135696</v>
      </c>
      <c r="EP18">
        <v>3.1593948170664738</v>
      </c>
      <c r="EQ18">
        <v>368.94141985504837</v>
      </c>
      <c r="ER18">
        <v>27.378659144392554</v>
      </c>
      <c r="ES18">
        <v>10.845020249576626</v>
      </c>
      <c r="ET18">
        <v>5.0931537859505642</v>
      </c>
      <c r="EU18">
        <v>1.7519325618312336</v>
      </c>
      <c r="EV18">
        <v>3.3111956537573746</v>
      </c>
      <c r="EW18">
        <v>383.0802515720037</v>
      </c>
      <c r="EX18">
        <v>27.214153079504737</v>
      </c>
      <c r="EY18">
        <v>10.934644625803301</v>
      </c>
      <c r="EZ18">
        <v>5.333560219150983</v>
      </c>
      <c r="FA18">
        <v>1.7594275570155709</v>
      </c>
      <c r="FB18">
        <v>3.4126703513072232</v>
      </c>
      <c r="FC18">
        <v>399.76385384404875</v>
      </c>
      <c r="FD18">
        <v>27.311336297806424</v>
      </c>
      <c r="FE18">
        <v>10.785692304561913</v>
      </c>
      <c r="FF18">
        <v>5.4582128606876292</v>
      </c>
      <c r="FG18">
        <v>1.7806432630622113</v>
      </c>
      <c r="FH18">
        <v>3.5043028811239094</v>
      </c>
      <c r="FI18">
        <v>409.35109306420827</v>
      </c>
      <c r="FJ18">
        <v>27.520541699897699</v>
      </c>
      <c r="FK18">
        <v>10.833693153211033</v>
      </c>
      <c r="FN18">
        <v>22</v>
      </c>
      <c r="FO18">
        <v>5.9989314071049007</v>
      </c>
      <c r="FP18">
        <v>2.1909048979822909</v>
      </c>
      <c r="FQ18">
        <v>3.501223386465306</v>
      </c>
      <c r="FR18">
        <v>368.89901000403268</v>
      </c>
      <c r="FS18">
        <v>29.83547066595224</v>
      </c>
      <c r="FT18">
        <v>12.142666551984602</v>
      </c>
      <c r="FU18">
        <v>6.1248699968638851</v>
      </c>
      <c r="FV18">
        <v>2.2690722094953744</v>
      </c>
      <c r="FW18">
        <v>3.6086152088004981</v>
      </c>
      <c r="FX18">
        <v>382.3493836855572</v>
      </c>
      <c r="FY18">
        <v>30.015185592067692</v>
      </c>
      <c r="FZ18">
        <v>12.331227768230457</v>
      </c>
      <c r="GB18">
        <v>22</v>
      </c>
      <c r="GC18">
        <v>5.6849474858880074</v>
      </c>
      <c r="GD18">
        <v>2.0407238233285616</v>
      </c>
      <c r="GE18">
        <v>3.3620138249767324</v>
      </c>
      <c r="GF18">
        <v>370.27567969199561</v>
      </c>
      <c r="GG18">
        <v>28.876570233700885</v>
      </c>
      <c r="GH18">
        <v>11.691928021801582</v>
      </c>
      <c r="GI18">
        <v>5.7394572861040931</v>
      </c>
      <c r="GJ18">
        <v>2.0634137845638487</v>
      </c>
      <c r="GK18">
        <v>3.4707914275545866</v>
      </c>
      <c r="GL18">
        <v>384.38161798304867</v>
      </c>
      <c r="GM18">
        <v>28.853812156189058</v>
      </c>
      <c r="GN18">
        <v>11.730995191701584</v>
      </c>
      <c r="GP18">
        <v>22</v>
      </c>
      <c r="GQ18">
        <v>5.4478272878178258</v>
      </c>
      <c r="GR18">
        <v>1.9067174893233996</v>
      </c>
      <c r="GS18">
        <v>3.3526613845423623</v>
      </c>
      <c r="GT18">
        <v>371.41319566283642</v>
      </c>
      <c r="GU18">
        <v>28.149703872875104</v>
      </c>
      <c r="GV18">
        <v>11.295318287467843</v>
      </c>
      <c r="GW18">
        <v>5.5017145957320457</v>
      </c>
      <c r="GX18">
        <v>1.9065180844415974</v>
      </c>
      <c r="GY18">
        <v>3.4718080835964393</v>
      </c>
      <c r="GZ18">
        <v>385.87322420155112</v>
      </c>
      <c r="HA18">
        <v>28.12616069347688</v>
      </c>
      <c r="HB18">
        <v>11.279049540742589</v>
      </c>
      <c r="HD18">
        <v>22</v>
      </c>
      <c r="HE18">
        <v>5.0353312935497021</v>
      </c>
      <c r="HF18">
        <v>1.7157451934374075</v>
      </c>
      <c r="HG18">
        <v>3.139384280298644</v>
      </c>
      <c r="HH18">
        <v>368.68371779453844</v>
      </c>
      <c r="HI18">
        <v>27.239270391961178</v>
      </c>
      <c r="HJ18">
        <v>10.860956890759208</v>
      </c>
      <c r="HK18">
        <v>5.1426226453328221</v>
      </c>
      <c r="HL18">
        <v>1.7336034011243102</v>
      </c>
      <c r="HM18">
        <v>3.3267686337385269</v>
      </c>
      <c r="HN18">
        <v>382.91242918104359</v>
      </c>
      <c r="HO18">
        <v>27.405849382449752</v>
      </c>
      <c r="HP18">
        <v>10.914684952475247</v>
      </c>
    </row>
    <row r="19" spans="2:224" x14ac:dyDescent="0.2">
      <c r="B19">
        <v>538.90108061744286</v>
      </c>
      <c r="C19">
        <v>1.855628121684699</v>
      </c>
      <c r="D19">
        <v>550.65111299347848</v>
      </c>
      <c r="E19">
        <v>1.8160319236689588</v>
      </c>
      <c r="F19">
        <v>585.0772978010898</v>
      </c>
      <c r="G19">
        <v>1.7091758708777869</v>
      </c>
      <c r="H19">
        <v>614.82555110030989</v>
      </c>
      <c r="I19">
        <v>1.6264776215145427</v>
      </c>
      <c r="J19">
        <v>642.93763625898953</v>
      </c>
      <c r="K19">
        <v>1.5553608057830011</v>
      </c>
      <c r="L19">
        <v>549.79075615743807</v>
      </c>
      <c r="M19">
        <v>1.8188737966224373</v>
      </c>
      <c r="N19">
        <v>584.45559956645377</v>
      </c>
      <c r="O19">
        <v>1.7109939587229466</v>
      </c>
      <c r="Q19">
        <v>4.0178025158914075E-2</v>
      </c>
      <c r="R19">
        <v>4.0474335119416623E-2</v>
      </c>
      <c r="S19">
        <v>4.13075559451365E-2</v>
      </c>
      <c r="T19">
        <v>4.1992716338225586E-2</v>
      </c>
      <c r="U19">
        <v>4.2611449445523981E-2</v>
      </c>
      <c r="V19">
        <v>4.1054018168360303E-2</v>
      </c>
      <c r="W19">
        <v>4.0458691249653615E-2</v>
      </c>
      <c r="Y19">
        <v>0.88492139708579287</v>
      </c>
      <c r="Z19">
        <v>0.88761148801114653</v>
      </c>
      <c r="AA19">
        <v>0.9138059385372076</v>
      </c>
      <c r="AB19">
        <v>0.92543743630288255</v>
      </c>
      <c r="AC19">
        <v>0.94218312787201985</v>
      </c>
      <c r="AD19">
        <v>0.91312146073993972</v>
      </c>
      <c r="AE19">
        <v>0.88808211778019963</v>
      </c>
      <c r="AG19">
        <v>0.40514346899151366</v>
      </c>
      <c r="AH19">
        <v>0.40617783386129042</v>
      </c>
      <c r="AI19">
        <v>0.41751142401599955</v>
      </c>
      <c r="AJ19">
        <v>0.42046350932109161</v>
      </c>
      <c r="AK19">
        <v>0.427707275258841</v>
      </c>
      <c r="AL19">
        <v>0.41733777947977113</v>
      </c>
      <c r="AM19">
        <v>0.4061719616875259</v>
      </c>
      <c r="AO19">
        <v>23</v>
      </c>
      <c r="AP19">
        <v>5.981196735713862</v>
      </c>
      <c r="AQ19">
        <v>2.3430033104141956</v>
      </c>
      <c r="AR19">
        <v>3.4959723243704093</v>
      </c>
      <c r="AS19">
        <v>371.02291840447901</v>
      </c>
      <c r="AT19">
        <v>29.692743726933752</v>
      </c>
      <c r="AU19">
        <v>12.517772204378515</v>
      </c>
      <c r="AV19">
        <v>6.0962718282643911</v>
      </c>
      <c r="AW19">
        <v>2.3699602374986717</v>
      </c>
      <c r="AX19">
        <v>3.5774292956429186</v>
      </c>
      <c r="AY19">
        <v>378.60618766088675</v>
      </c>
      <c r="AZ19">
        <v>29.691949562494706</v>
      </c>
      <c r="BA19">
        <v>12.470783546111321</v>
      </c>
      <c r="BB19">
        <v>6.5038443445286074</v>
      </c>
      <c r="BC19">
        <v>2.4713222688622709</v>
      </c>
      <c r="BD19">
        <v>3.7632829363110618</v>
      </c>
      <c r="BE19">
        <v>400.44627166244203</v>
      </c>
      <c r="BF19">
        <v>29.893664799238877</v>
      </c>
      <c r="BG19">
        <v>12.410890600852492</v>
      </c>
      <c r="BH19">
        <v>6.7784617482870173</v>
      </c>
      <c r="BI19">
        <v>2.5526617920862278</v>
      </c>
      <c r="BJ19">
        <v>3.9390115916230659</v>
      </c>
      <c r="BK19">
        <v>418.60876173069767</v>
      </c>
      <c r="BL19">
        <v>29.916697505306761</v>
      </c>
      <c r="BM19">
        <v>12.370200486609559</v>
      </c>
      <c r="BN19">
        <v>6.9596806212450391</v>
      </c>
      <c r="BO19">
        <v>2.6070214144261774</v>
      </c>
      <c r="BP19">
        <v>4.1061038831890162</v>
      </c>
      <c r="BQ19">
        <v>433.88945195115161</v>
      </c>
      <c r="BR19">
        <v>29.886160717059628</v>
      </c>
      <c r="BS19">
        <v>12.33652158631598</v>
      </c>
      <c r="BU19">
        <v>23</v>
      </c>
      <c r="BV19">
        <v>5.6588303875054589</v>
      </c>
      <c r="BW19">
        <v>2.1334390556200216</v>
      </c>
      <c r="BX19">
        <v>3.3662216714957949</v>
      </c>
      <c r="BY19">
        <v>372.97141670437361</v>
      </c>
      <c r="BZ19">
        <v>28.673302043602526</v>
      </c>
      <c r="CA19">
        <v>11.890498632799938</v>
      </c>
      <c r="CB19">
        <v>5.747328401583176</v>
      </c>
      <c r="CC19">
        <v>2.1436376649709197</v>
      </c>
      <c r="CD19">
        <v>3.440724601164332</v>
      </c>
      <c r="CE19">
        <v>380.46146238734042</v>
      </c>
      <c r="CF19">
        <v>28.630001927250866</v>
      </c>
      <c r="CG19">
        <v>11.815107934461704</v>
      </c>
      <c r="CH19">
        <v>6.1490197085537348</v>
      </c>
      <c r="CI19">
        <v>2.2726900781808324</v>
      </c>
      <c r="CJ19">
        <v>3.6174976358827973</v>
      </c>
      <c r="CK19">
        <v>402.87890227063826</v>
      </c>
      <c r="CL19">
        <v>28.832440501945065</v>
      </c>
      <c r="CM19">
        <v>11.842920171667961</v>
      </c>
      <c r="CN19">
        <v>6.4170237344748156</v>
      </c>
      <c r="CO19">
        <v>2.326190486977318</v>
      </c>
      <c r="CP19">
        <v>3.7939047877131236</v>
      </c>
      <c r="CQ19">
        <v>421.46274889349291</v>
      </c>
      <c r="CR19">
        <v>28.856532910408024</v>
      </c>
      <c r="CS19">
        <v>11.749088183835086</v>
      </c>
      <c r="CT19">
        <v>6.5600857774242671</v>
      </c>
      <c r="CU19">
        <v>2.3521944072195078</v>
      </c>
      <c r="CV19">
        <v>3.924473673764973</v>
      </c>
      <c r="CW19">
        <v>435.99205833543334</v>
      </c>
      <c r="CX19">
        <v>28.825513699974845</v>
      </c>
      <c r="CY19">
        <v>11.692551470608327</v>
      </c>
      <c r="DA19">
        <v>23</v>
      </c>
      <c r="DB19">
        <v>5.4347445735783033</v>
      </c>
      <c r="DC19">
        <v>1.9124528443845636</v>
      </c>
      <c r="DD19">
        <v>3.3765408270148911</v>
      </c>
      <c r="DE19">
        <v>374.30737365702328</v>
      </c>
      <c r="DF19">
        <v>27.972294984660213</v>
      </c>
      <c r="DG19">
        <v>11.257672719593476</v>
      </c>
      <c r="DH19">
        <v>5.5131156563653381</v>
      </c>
      <c r="DI19">
        <v>1.9562565767242037</v>
      </c>
      <c r="DJ19">
        <v>3.429279155072706</v>
      </c>
      <c r="DK19">
        <v>381.03852013505264</v>
      </c>
      <c r="DL19">
        <v>27.971974204599348</v>
      </c>
      <c r="DM19">
        <v>11.305450570288858</v>
      </c>
      <c r="DN19">
        <v>5.8909351907324083</v>
      </c>
      <c r="DO19">
        <v>2.0109203450337305</v>
      </c>
      <c r="DP19">
        <v>3.5998122323905299</v>
      </c>
      <c r="DQ19">
        <v>403.57433155824179</v>
      </c>
      <c r="DR19">
        <v>28.143260294904753</v>
      </c>
      <c r="DS19">
        <v>11.173884443744653</v>
      </c>
      <c r="DT19">
        <v>6.0395337730480723</v>
      </c>
      <c r="DU19">
        <v>2.0033513460806347</v>
      </c>
      <c r="DV19">
        <v>3.7189368940452705</v>
      </c>
      <c r="DW19">
        <v>418.8063498596203</v>
      </c>
      <c r="DX19">
        <v>28.13821644891345</v>
      </c>
      <c r="DY19">
        <v>11.052754724483263</v>
      </c>
      <c r="DZ19">
        <v>6.1511883752104399</v>
      </c>
      <c r="EA19">
        <v>2.0353032053314144</v>
      </c>
      <c r="EB19">
        <v>3.8289502190503448</v>
      </c>
      <c r="EC19">
        <v>432.71616477013373</v>
      </c>
      <c r="ED19">
        <v>28.098783078449127</v>
      </c>
      <c r="EE19">
        <v>11.048739959865289</v>
      </c>
      <c r="EG19">
        <v>23</v>
      </c>
      <c r="EH19">
        <v>5.1978912828344939</v>
      </c>
      <c r="EI19">
        <v>1.7449880603918893</v>
      </c>
      <c r="EJ19">
        <v>3.1879581288316547</v>
      </c>
      <c r="EK19">
        <v>374.68792157612808</v>
      </c>
      <c r="EL19">
        <v>27.311750368352051</v>
      </c>
      <c r="EM19">
        <v>10.799294271743824</v>
      </c>
      <c r="EN19">
        <v>5.2672068390439257</v>
      </c>
      <c r="EO19">
        <v>1.766476169847476</v>
      </c>
      <c r="EP19">
        <v>3.2437480797140243</v>
      </c>
      <c r="EQ19">
        <v>381.07747121701567</v>
      </c>
      <c r="ER19">
        <v>27.323816350521788</v>
      </c>
      <c r="ES19">
        <v>10.806284965455207</v>
      </c>
      <c r="ET19">
        <v>5.3166060244587827</v>
      </c>
      <c r="EU19">
        <v>1.8200214980985161</v>
      </c>
      <c r="EV19">
        <v>3.3997684651232567</v>
      </c>
      <c r="EW19">
        <v>397.53011577057299</v>
      </c>
      <c r="EX19">
        <v>27.126418521045331</v>
      </c>
      <c r="EY19">
        <v>10.863564613178804</v>
      </c>
      <c r="EZ19">
        <v>5.5433866892835413</v>
      </c>
      <c r="FA19">
        <v>1.8225929025703096</v>
      </c>
      <c r="FB19">
        <v>3.5093406803109928</v>
      </c>
      <c r="FC19">
        <v>414.31663955581973</v>
      </c>
      <c r="FD19">
        <v>27.245627042319146</v>
      </c>
      <c r="FE19">
        <v>10.736246131251237</v>
      </c>
      <c r="FF19">
        <v>5.6658492616474891</v>
      </c>
      <c r="FG19">
        <v>1.8458302512953944</v>
      </c>
      <c r="FH19">
        <v>3.611431616548078</v>
      </c>
      <c r="FI19">
        <v>424.46693044951678</v>
      </c>
      <c r="FJ19">
        <v>27.501455820101512</v>
      </c>
      <c r="FK19">
        <v>10.817086320663302</v>
      </c>
      <c r="FN19">
        <v>23</v>
      </c>
      <c r="FO19">
        <v>6.2412790251629708</v>
      </c>
      <c r="FP19">
        <v>2.2922363890064799</v>
      </c>
      <c r="FQ19">
        <v>3.6188930752679198</v>
      </c>
      <c r="FR19">
        <v>382.5712489983527</v>
      </c>
      <c r="FS19">
        <v>29.742234630776103</v>
      </c>
      <c r="FT19">
        <v>12.128767714054742</v>
      </c>
      <c r="FU19">
        <v>6.353470314489134</v>
      </c>
      <c r="FV19">
        <v>2.3640701539750135</v>
      </c>
      <c r="FW19">
        <v>3.7187942450354954</v>
      </c>
      <c r="FX19">
        <v>395.02316973947717</v>
      </c>
      <c r="FY19">
        <v>29.9086847098867</v>
      </c>
      <c r="FZ19">
        <v>12.303044895135592</v>
      </c>
      <c r="GB19">
        <v>23</v>
      </c>
      <c r="GC19">
        <v>5.9219435653811443</v>
      </c>
      <c r="GD19">
        <v>2.1186651773493645</v>
      </c>
      <c r="GE19">
        <v>3.4770207811639779</v>
      </c>
      <c r="GF19">
        <v>384.30836184949669</v>
      </c>
      <c r="GG19">
        <v>28.776861210340407</v>
      </c>
      <c r="GH19">
        <v>11.622298770769131</v>
      </c>
      <c r="GI19">
        <v>5.9688255888124431</v>
      </c>
      <c r="GJ19">
        <v>2.1387723860297156</v>
      </c>
      <c r="GK19">
        <v>3.5783369707067916</v>
      </c>
      <c r="GL19">
        <v>397.4878937342454</v>
      </c>
      <c r="GM19">
        <v>28.755539203423648</v>
      </c>
      <c r="GN19">
        <v>11.659952660286411</v>
      </c>
      <c r="GP19">
        <v>23</v>
      </c>
      <c r="GQ19">
        <v>5.6746494600787472</v>
      </c>
      <c r="GR19">
        <v>1.9849676570303547</v>
      </c>
      <c r="GS19">
        <v>3.455317804781989</v>
      </c>
      <c r="GT19">
        <v>384.87545929158267</v>
      </c>
      <c r="GU19">
        <v>28.091929543948215</v>
      </c>
      <c r="GV19">
        <v>11.257795155804194</v>
      </c>
      <c r="GW19">
        <v>5.7262654753819557</v>
      </c>
      <c r="GX19">
        <v>1.9841075225870044</v>
      </c>
      <c r="GY19">
        <v>3.5681577306838128</v>
      </c>
      <c r="GZ19">
        <v>398.55459557554036</v>
      </c>
      <c r="HA19">
        <v>28.069977669120828</v>
      </c>
      <c r="HB19">
        <v>11.240681227288523</v>
      </c>
      <c r="HD19">
        <v>23</v>
      </c>
      <c r="HE19">
        <v>5.2553340081249251</v>
      </c>
      <c r="HF19">
        <v>1.7859447523908878</v>
      </c>
      <c r="HG19">
        <v>3.2306563253879457</v>
      </c>
      <c r="HH19">
        <v>382.61982860464423</v>
      </c>
      <c r="HI19">
        <v>27.161631616323092</v>
      </c>
      <c r="HJ19">
        <v>10.804004046618955</v>
      </c>
      <c r="HK19">
        <v>5.3562102706774475</v>
      </c>
      <c r="HL19">
        <v>1.8019176662415448</v>
      </c>
      <c r="HM19">
        <v>3.4078108929618249</v>
      </c>
      <c r="HN19">
        <v>395.92879942310145</v>
      </c>
      <c r="HO19">
        <v>27.321486612714502</v>
      </c>
      <c r="HP19">
        <v>10.855071190709946</v>
      </c>
    </row>
    <row r="20" spans="2:224" x14ac:dyDescent="0.2">
      <c r="B20">
        <v>547.43591333141262</v>
      </c>
      <c r="C20">
        <v>1.8266978392311088</v>
      </c>
      <c r="D20">
        <v>561.31273676103774</v>
      </c>
      <c r="E20">
        <v>1.7815380526911513</v>
      </c>
      <c r="F20">
        <v>598.98102146372889</v>
      </c>
      <c r="G20">
        <v>1.6695019778027385</v>
      </c>
      <c r="H20">
        <v>631.2480627463583</v>
      </c>
      <c r="I20">
        <v>1.584163277506659</v>
      </c>
      <c r="J20">
        <v>663.72509917221964</v>
      </c>
      <c r="K20">
        <v>1.5066478595538628</v>
      </c>
      <c r="L20">
        <v>563.30678050839583</v>
      </c>
      <c r="M20">
        <v>1.7752316048769723</v>
      </c>
      <c r="N20">
        <v>595.80933470646175</v>
      </c>
      <c r="O20">
        <v>1.6783892795044433</v>
      </c>
      <c r="Q20">
        <v>4.1921535643204784E-2</v>
      </c>
      <c r="R20">
        <v>4.2231037824962306E-2</v>
      </c>
      <c r="S20">
        <v>4.3100694809701613E-2</v>
      </c>
      <c r="T20">
        <v>4.3815822278483324E-2</v>
      </c>
      <c r="U20">
        <v>4.4462230993273059E-2</v>
      </c>
      <c r="V20">
        <v>4.2838975480028144E-2</v>
      </c>
      <c r="W20">
        <v>4.2217764782247244E-2</v>
      </c>
      <c r="Y20">
        <v>0.91315140522638361</v>
      </c>
      <c r="Z20">
        <v>0.91612924034088516</v>
      </c>
      <c r="AA20">
        <v>0.94083866694095752</v>
      </c>
      <c r="AB20">
        <v>0.9516637731640345</v>
      </c>
      <c r="AC20">
        <v>0.96981949816214363</v>
      </c>
      <c r="AD20">
        <v>0.940494779926069</v>
      </c>
      <c r="AE20">
        <v>0.91729449953849651</v>
      </c>
      <c r="AG20">
        <v>0.41248060738000653</v>
      </c>
      <c r="AH20">
        <v>0.41357636191579</v>
      </c>
      <c r="AI20">
        <v>0.42461692160000836</v>
      </c>
      <c r="AJ20">
        <v>0.42688193287789633</v>
      </c>
      <c r="AK20">
        <v>0.43482546818146534</v>
      </c>
      <c r="AL20">
        <v>0.42434752384086871</v>
      </c>
      <c r="AM20">
        <v>0.41405599483955813</v>
      </c>
      <c r="AO20">
        <v>24</v>
      </c>
      <c r="AP20">
        <v>6.1861268227376254</v>
      </c>
      <c r="AQ20">
        <v>2.4459094568108775</v>
      </c>
      <c r="AR20">
        <v>3.5931027278516003</v>
      </c>
      <c r="AS20">
        <v>382.13470864991513</v>
      </c>
      <c r="AT20">
        <v>29.57430388051943</v>
      </c>
      <c r="AU20">
        <v>12.518450735850834</v>
      </c>
      <c r="AV20">
        <v>6.310581626288883</v>
      </c>
      <c r="AW20">
        <v>2.4752151896760548</v>
      </c>
      <c r="AX20">
        <v>3.6830321559622039</v>
      </c>
      <c r="AY20">
        <v>390.73054716491208</v>
      </c>
      <c r="AZ20">
        <v>29.574057934372103</v>
      </c>
      <c r="BA20">
        <v>12.469721825863946</v>
      </c>
      <c r="BB20">
        <v>6.7487424495518926</v>
      </c>
      <c r="BC20">
        <v>2.5808720890139538</v>
      </c>
      <c r="BD20">
        <v>3.8789840269140421</v>
      </c>
      <c r="BE20">
        <v>413.97670486664293</v>
      </c>
      <c r="BF20">
        <v>29.822018893758656</v>
      </c>
      <c r="BG20">
        <v>12.413308480317051</v>
      </c>
      <c r="BH20">
        <v>7.022397231819185</v>
      </c>
      <c r="BI20">
        <v>2.6597252446148971</v>
      </c>
      <c r="BJ20">
        <v>4.0579082123985915</v>
      </c>
      <c r="BK20">
        <v>432.77430808969541</v>
      </c>
      <c r="BL20">
        <v>29.855698197877398</v>
      </c>
      <c r="BM20">
        <v>12.374741283078341</v>
      </c>
      <c r="BN20">
        <v>7.2193865199324492</v>
      </c>
      <c r="BO20">
        <v>2.7191531580577091</v>
      </c>
      <c r="BP20">
        <v>4.2413640682595108</v>
      </c>
      <c r="BQ20">
        <v>450.1343289698487</v>
      </c>
      <c r="BR20">
        <v>29.816063745488432</v>
      </c>
      <c r="BS20">
        <v>12.337630872949191</v>
      </c>
      <c r="BU20">
        <v>24</v>
      </c>
      <c r="BV20">
        <v>5.8658620780982398</v>
      </c>
      <c r="BW20">
        <v>2.2136667438350575</v>
      </c>
      <c r="BX20">
        <v>3.4623155796060732</v>
      </c>
      <c r="BY20">
        <v>384.33850208815517</v>
      </c>
      <c r="BZ20">
        <v>28.571436878182556</v>
      </c>
      <c r="CA20">
        <v>11.842403992803419</v>
      </c>
      <c r="CB20">
        <v>5.9594463077540842</v>
      </c>
      <c r="CC20">
        <v>2.2224242722530207</v>
      </c>
      <c r="CD20">
        <v>3.5442561479093095</v>
      </c>
      <c r="CE20">
        <v>392.95395942265498</v>
      </c>
      <c r="CF20">
        <v>28.513143210240564</v>
      </c>
      <c r="CG20">
        <v>11.755856389329217</v>
      </c>
      <c r="CH20">
        <v>6.3918733281254472</v>
      </c>
      <c r="CI20">
        <v>2.3618877266116929</v>
      </c>
      <c r="CJ20">
        <v>3.7302043806218377</v>
      </c>
      <c r="CK20">
        <v>416.82516606822276</v>
      </c>
      <c r="CL20">
        <v>28.762063734703347</v>
      </c>
      <c r="CM20">
        <v>11.803116940322424</v>
      </c>
      <c r="CN20">
        <v>6.65932070828402</v>
      </c>
      <c r="CO20">
        <v>2.4107092494081814</v>
      </c>
      <c r="CP20">
        <v>3.9104465659377907</v>
      </c>
      <c r="CQ20">
        <v>436.07737080215873</v>
      </c>
      <c r="CR20">
        <v>28.796960006171055</v>
      </c>
      <c r="CS20">
        <v>11.709972686666239</v>
      </c>
      <c r="CT20">
        <v>6.81311205694516</v>
      </c>
      <c r="CU20">
        <v>2.438316021859257</v>
      </c>
      <c r="CV20">
        <v>4.0531268832411254</v>
      </c>
      <c r="CW20">
        <v>452.58746423858622</v>
      </c>
      <c r="CX20">
        <v>28.756782748073217</v>
      </c>
      <c r="CY20">
        <v>11.650243266779109</v>
      </c>
      <c r="DA20">
        <v>24</v>
      </c>
      <c r="DB20">
        <v>5.6322798973114727</v>
      </c>
      <c r="DC20">
        <v>1.9824267046981396</v>
      </c>
      <c r="DD20">
        <v>3.4623171044494683</v>
      </c>
      <c r="DE20">
        <v>385.20470518542419</v>
      </c>
      <c r="DF20">
        <v>27.900804239415272</v>
      </c>
      <c r="DG20">
        <v>11.215469890224517</v>
      </c>
      <c r="DH20">
        <v>5.7215534353746431</v>
      </c>
      <c r="DI20">
        <v>2.0338081442649112</v>
      </c>
      <c r="DJ20">
        <v>3.5224756223784555</v>
      </c>
      <c r="DK20">
        <v>393.04344001753071</v>
      </c>
      <c r="DL20">
        <v>27.901393411325344</v>
      </c>
      <c r="DM20">
        <v>11.273293828298707</v>
      </c>
      <c r="DN20">
        <v>6.1138042685667182</v>
      </c>
      <c r="DO20">
        <v>2.0848970265192297</v>
      </c>
      <c r="DP20">
        <v>3.6962502451034132</v>
      </c>
      <c r="DQ20">
        <v>416.5754378619298</v>
      </c>
      <c r="DR20">
        <v>28.111794092394867</v>
      </c>
      <c r="DS20">
        <v>11.145269395885299</v>
      </c>
      <c r="DT20">
        <v>6.2672282000042054</v>
      </c>
      <c r="DU20">
        <v>2.0700184820798704</v>
      </c>
      <c r="DV20">
        <v>3.8234011189287389</v>
      </c>
      <c r="DW20">
        <v>432.82108325354272</v>
      </c>
      <c r="DX20">
        <v>28.107711405499334</v>
      </c>
      <c r="DY20">
        <v>11.010931579888984</v>
      </c>
      <c r="DZ20">
        <v>6.3849241391998239</v>
      </c>
      <c r="EA20">
        <v>2.1052725829437389</v>
      </c>
      <c r="EB20">
        <v>3.9440772380786671</v>
      </c>
      <c r="EC20">
        <v>448.6413592503676</v>
      </c>
      <c r="ED20">
        <v>28.055307889794673</v>
      </c>
      <c r="EE20">
        <v>11.010377258156577</v>
      </c>
      <c r="EG20">
        <v>24</v>
      </c>
      <c r="EH20">
        <v>5.3992926150599434</v>
      </c>
      <c r="EI20">
        <v>1.8110162314907474</v>
      </c>
      <c r="EJ20">
        <v>3.2613737997023966</v>
      </c>
      <c r="EK20">
        <v>385.79215254753831</v>
      </c>
      <c r="EL20">
        <v>27.254400380611777</v>
      </c>
      <c r="EM20">
        <v>10.75408421860347</v>
      </c>
      <c r="EN20">
        <v>5.471344931086068</v>
      </c>
      <c r="EO20">
        <v>1.8359168602193492</v>
      </c>
      <c r="EP20">
        <v>3.3254820690973808</v>
      </c>
      <c r="EQ20">
        <v>392.99341228580175</v>
      </c>
      <c r="ER20">
        <v>27.268271702193026</v>
      </c>
      <c r="ES20">
        <v>10.771180305381145</v>
      </c>
      <c r="ET20">
        <v>5.5369965365512792</v>
      </c>
      <c r="EU20">
        <v>1.8869711398128888</v>
      </c>
      <c r="EV20">
        <v>3.4841677288695871</v>
      </c>
      <c r="EW20">
        <v>411.77122065403967</v>
      </c>
      <c r="EX20">
        <v>27.038983403026069</v>
      </c>
      <c r="EY20">
        <v>10.79463393510995</v>
      </c>
      <c r="EZ20">
        <v>5.746584916326861</v>
      </c>
      <c r="FA20">
        <v>1.8844902552330496</v>
      </c>
      <c r="FB20">
        <v>3.6013099392572872</v>
      </c>
      <c r="FC20">
        <v>428.44372145574783</v>
      </c>
      <c r="FD20">
        <v>27.17968832653694</v>
      </c>
      <c r="FE20">
        <v>10.690400810703549</v>
      </c>
      <c r="FF20">
        <v>5.8652306538651482</v>
      </c>
      <c r="FG20">
        <v>1.9097609856843496</v>
      </c>
      <c r="FH20">
        <v>3.7134138625677462</v>
      </c>
      <c r="FI20">
        <v>439.10360950476934</v>
      </c>
      <c r="FJ20">
        <v>27.48116325925875</v>
      </c>
      <c r="FK20">
        <v>10.804281538587041</v>
      </c>
      <c r="FN20">
        <v>24</v>
      </c>
      <c r="FO20">
        <v>6.4781999439188862</v>
      </c>
      <c r="FP20">
        <v>2.392818343419544</v>
      </c>
      <c r="FQ20">
        <v>3.7334003931825754</v>
      </c>
      <c r="FR20">
        <v>396.00846633223432</v>
      </c>
      <c r="FS20">
        <v>29.650220889819355</v>
      </c>
      <c r="FT20">
        <v>12.11696303875225</v>
      </c>
      <c r="FU20">
        <v>6.5775152407766324</v>
      </c>
      <c r="FV20">
        <v>2.4584589823108742</v>
      </c>
      <c r="FW20">
        <v>3.8263775160101581</v>
      </c>
      <c r="FX20">
        <v>407.49040860092146</v>
      </c>
      <c r="FY20">
        <v>29.803787789684794</v>
      </c>
      <c r="FZ20">
        <v>12.277252766148925</v>
      </c>
      <c r="GB20">
        <v>24</v>
      </c>
      <c r="GC20">
        <v>6.1537546018625138</v>
      </c>
      <c r="GD20">
        <v>2.195995757121636</v>
      </c>
      <c r="GE20">
        <v>3.5889575413507355</v>
      </c>
      <c r="GF20">
        <v>398.11186341336662</v>
      </c>
      <c r="GG20">
        <v>28.678605709064708</v>
      </c>
      <c r="GH20">
        <v>11.558553728666007</v>
      </c>
      <c r="GI20">
        <v>6.1938280183743259</v>
      </c>
      <c r="GJ20">
        <v>2.2136321519923881</v>
      </c>
      <c r="GK20">
        <v>3.6833652339379306</v>
      </c>
      <c r="GL20">
        <v>410.3833195637319</v>
      </c>
      <c r="GM20">
        <v>28.658743865063521</v>
      </c>
      <c r="GN20">
        <v>11.594126001306487</v>
      </c>
      <c r="GP20">
        <v>24</v>
      </c>
      <c r="GQ20">
        <v>5.895021730053327</v>
      </c>
      <c r="GR20">
        <v>2.062293915754017</v>
      </c>
      <c r="GS20">
        <v>3.5541514617433809</v>
      </c>
      <c r="GT20">
        <v>398.04049309550805</v>
      </c>
      <c r="GU20">
        <v>28.03373144361554</v>
      </c>
      <c r="GV20">
        <v>11.224726125648401</v>
      </c>
      <c r="GW20">
        <v>5.9452960896142741</v>
      </c>
      <c r="GX20">
        <v>2.0608980453600578</v>
      </c>
      <c r="GY20">
        <v>3.6612669104492337</v>
      </c>
      <c r="GZ20">
        <v>410.9664300253317</v>
      </c>
      <c r="HA20">
        <v>28.013330705385904</v>
      </c>
      <c r="HB20">
        <v>11.206029185741848</v>
      </c>
      <c r="HD20">
        <v>24</v>
      </c>
      <c r="HE20">
        <v>5.470980150458205</v>
      </c>
      <c r="HF20">
        <v>1.8552432960074809</v>
      </c>
      <c r="HG20">
        <v>3.3182553657298968</v>
      </c>
      <c r="HH20">
        <v>396.34196658160732</v>
      </c>
      <c r="HI20">
        <v>27.083982047403012</v>
      </c>
      <c r="HJ20">
        <v>10.750425797494428</v>
      </c>
      <c r="HK20">
        <v>5.5659458176927439</v>
      </c>
      <c r="HL20">
        <v>1.8694452693910419</v>
      </c>
      <c r="HM20">
        <v>3.4857434868929218</v>
      </c>
      <c r="HN20">
        <v>408.74847152844268</v>
      </c>
      <c r="HO20">
        <v>27.23725962707416</v>
      </c>
      <c r="HP20">
        <v>10.798447800306574</v>
      </c>
    </row>
    <row r="21" spans="2:224" x14ac:dyDescent="0.2">
      <c r="B21">
        <v>555.64870272655378</v>
      </c>
      <c r="C21">
        <v>1.7996982537582216</v>
      </c>
      <c r="D21">
        <v>571.66812487596815</v>
      </c>
      <c r="E21">
        <v>1.7492666749907821</v>
      </c>
      <c r="F21">
        <v>612.34965960516809</v>
      </c>
      <c r="G21">
        <v>1.6330539003561817</v>
      </c>
      <c r="H21">
        <v>646.92460824463421</v>
      </c>
      <c r="I21">
        <v>1.5457751757401854</v>
      </c>
      <c r="J21">
        <v>683.8625684903476</v>
      </c>
      <c r="K21">
        <v>1.462282110581864</v>
      </c>
      <c r="L21">
        <v>576.4356303721321</v>
      </c>
      <c r="M21">
        <v>1.7347990778335918</v>
      </c>
      <c r="N21">
        <v>606.7732698210807</v>
      </c>
      <c r="O21">
        <v>1.6480620517361784</v>
      </c>
      <c r="Q21">
        <v>4.3664973480654908E-2</v>
      </c>
      <c r="R21">
        <v>4.3987670173384112E-2</v>
      </c>
      <c r="S21">
        <v>4.4893701840899393E-2</v>
      </c>
      <c r="T21">
        <v>4.5638735426289066E-2</v>
      </c>
      <c r="U21">
        <v>4.6312841101296992E-2</v>
      </c>
      <c r="V21">
        <v>4.4623932791695985E-2</v>
      </c>
      <c r="W21">
        <v>4.397683831484088E-2</v>
      </c>
      <c r="Y21">
        <v>0.94081960331462511</v>
      </c>
      <c r="Z21">
        <v>0.94410750998050108</v>
      </c>
      <c r="AA21">
        <v>0.96701135212889155</v>
      </c>
      <c r="AB21">
        <v>0.97693389574708622</v>
      </c>
      <c r="AC21">
        <v>0.9964302664458714</v>
      </c>
      <c r="AD21">
        <v>0.96713999472532741</v>
      </c>
      <c r="AE21">
        <v>0.94590025958079826</v>
      </c>
      <c r="AG21">
        <v>0.41957969011762541</v>
      </c>
      <c r="AH21">
        <v>0.42072834298887152</v>
      </c>
      <c r="AI21">
        <v>0.43133546375310977</v>
      </c>
      <c r="AJ21">
        <v>0.43285489183395587</v>
      </c>
      <c r="AK21">
        <v>0.44144813206300199</v>
      </c>
      <c r="AL21">
        <v>0.43101602203861566</v>
      </c>
      <c r="AM21">
        <v>0.42166880357877307</v>
      </c>
      <c r="AO21">
        <v>25</v>
      </c>
      <c r="AP21">
        <v>6.3877033328278641</v>
      </c>
      <c r="AQ21">
        <v>2.5477542984775274</v>
      </c>
      <c r="AR21">
        <v>3.688338530999268</v>
      </c>
      <c r="AS21">
        <v>393.09326624392816</v>
      </c>
      <c r="AT21">
        <v>29.457855947904186</v>
      </c>
      <c r="AU21">
        <v>12.517772513604539</v>
      </c>
      <c r="AV21">
        <v>6.5209931685026215</v>
      </c>
      <c r="AW21">
        <v>2.5794222090128991</v>
      </c>
      <c r="AX21">
        <v>3.7863843155121581</v>
      </c>
      <c r="AY21">
        <v>402.69635778106277</v>
      </c>
      <c r="AZ21">
        <v>29.45807653366743</v>
      </c>
      <c r="BA21">
        <v>12.467783329258175</v>
      </c>
      <c r="BB21">
        <v>6.9876305753789723</v>
      </c>
      <c r="BC21">
        <v>2.6888798740132227</v>
      </c>
      <c r="BD21">
        <v>3.9912131288931381</v>
      </c>
      <c r="BE21">
        <v>427.19248306067533</v>
      </c>
      <c r="BF21">
        <v>29.751052040221666</v>
      </c>
      <c r="BG21">
        <v>12.415759419165067</v>
      </c>
      <c r="BH21">
        <v>7.2576343697178869</v>
      </c>
      <c r="BI21">
        <v>2.7644383510227604</v>
      </c>
      <c r="BJ21">
        <v>4.1717307516494353</v>
      </c>
      <c r="BK21">
        <v>446.46539712206436</v>
      </c>
      <c r="BL21">
        <v>29.795137528919906</v>
      </c>
      <c r="BM21">
        <v>12.37974975476172</v>
      </c>
      <c r="BN21">
        <v>7.4696332387924151</v>
      </c>
      <c r="BO21">
        <v>2.8288949746470693</v>
      </c>
      <c r="BP21">
        <v>4.3708070464860906</v>
      </c>
      <c r="BQ21">
        <v>465.92494525751522</v>
      </c>
      <c r="BR21">
        <v>29.746518661081868</v>
      </c>
      <c r="BS21">
        <v>12.339605620831186</v>
      </c>
      <c r="BU21">
        <v>25</v>
      </c>
      <c r="BV21">
        <v>6.0696303116625439</v>
      </c>
      <c r="BW21">
        <v>2.2931191493639056</v>
      </c>
      <c r="BX21">
        <v>3.5565553788725932</v>
      </c>
      <c r="BY21">
        <v>395.54546164646769</v>
      </c>
      <c r="BZ21">
        <v>28.471093418851844</v>
      </c>
      <c r="CA21">
        <v>11.79641125178189</v>
      </c>
      <c r="CB21">
        <v>6.167830456446433</v>
      </c>
      <c r="CC21">
        <v>2.300370736567757</v>
      </c>
      <c r="CD21">
        <v>3.6455997928331993</v>
      </c>
      <c r="CE21">
        <v>405.28893509328839</v>
      </c>
      <c r="CF21">
        <v>28.398252255858534</v>
      </c>
      <c r="CG21">
        <v>11.699503868170373</v>
      </c>
      <c r="CH21">
        <v>6.6289665582626647</v>
      </c>
      <c r="CI21">
        <v>2.449709658426364</v>
      </c>
      <c r="CJ21">
        <v>3.8395457641833408</v>
      </c>
      <c r="CK21">
        <v>430.45425357538835</v>
      </c>
      <c r="CL21">
        <v>28.692391061365793</v>
      </c>
      <c r="CM21">
        <v>11.766056062176212</v>
      </c>
      <c r="CN21">
        <v>6.8932783620935965</v>
      </c>
      <c r="CO21">
        <v>2.4931552165181574</v>
      </c>
      <c r="CP21">
        <v>4.0220501001811488</v>
      </c>
      <c r="CQ21">
        <v>450.21287852660106</v>
      </c>
      <c r="CR21">
        <v>28.737831631724418</v>
      </c>
      <c r="CS21">
        <v>11.674136851054836</v>
      </c>
      <c r="CT21">
        <v>7.057159882270823</v>
      </c>
      <c r="CU21">
        <v>2.5223295818841462</v>
      </c>
      <c r="CV21">
        <v>4.1762385638593349</v>
      </c>
      <c r="CW21">
        <v>468.72844847187434</v>
      </c>
      <c r="CX21">
        <v>28.688618679076221</v>
      </c>
      <c r="CY21">
        <v>11.61176518806659</v>
      </c>
      <c r="DA21">
        <v>25</v>
      </c>
      <c r="DB21">
        <v>5.8251550663615719</v>
      </c>
      <c r="DC21">
        <v>2.0516683541021483</v>
      </c>
      <c r="DD21">
        <v>3.5454563263712138</v>
      </c>
      <c r="DE21">
        <v>395.8842270750053</v>
      </c>
      <c r="DF21">
        <v>27.829187906875493</v>
      </c>
      <c r="DG21">
        <v>11.176414306240106</v>
      </c>
      <c r="DH21">
        <v>5.9252849712843911</v>
      </c>
      <c r="DI21">
        <v>2.1107219713578349</v>
      </c>
      <c r="DJ21">
        <v>3.6129033482129933</v>
      </c>
      <c r="DK21">
        <v>404.8395348364711</v>
      </c>
      <c r="DL21">
        <v>27.830661189442761</v>
      </c>
      <c r="DM21">
        <v>11.24403697499401</v>
      </c>
      <c r="DN21">
        <v>6.3291083961459256</v>
      </c>
      <c r="DO21">
        <v>2.1576422879000536</v>
      </c>
      <c r="DP21">
        <v>3.7883503266435237</v>
      </c>
      <c r="DQ21">
        <v>429.17276677392755</v>
      </c>
      <c r="DR21">
        <v>28.0793762989267</v>
      </c>
      <c r="DS21">
        <v>11.120653216465614</v>
      </c>
      <c r="DT21">
        <v>6.4867558239332688</v>
      </c>
      <c r="DU21">
        <v>2.1353359367586915</v>
      </c>
      <c r="DV21">
        <v>3.9230095148429198</v>
      </c>
      <c r="DW21">
        <v>446.34179454565924</v>
      </c>
      <c r="DX21">
        <v>28.076284848313009</v>
      </c>
      <c r="DY21">
        <v>10.973714619876025</v>
      </c>
      <c r="DZ21">
        <v>6.6098725761535952</v>
      </c>
      <c r="EA21">
        <v>2.1738885801081085</v>
      </c>
      <c r="EB21">
        <v>4.053849274380867</v>
      </c>
      <c r="EC21">
        <v>464.0975691186498</v>
      </c>
      <c r="ED21">
        <v>28.011102149953071</v>
      </c>
      <c r="EE21">
        <v>10.976837669114655</v>
      </c>
      <c r="EG21">
        <v>25</v>
      </c>
      <c r="EH21">
        <v>5.5963922475520471</v>
      </c>
      <c r="EI21">
        <v>1.8763762472261007</v>
      </c>
      <c r="EJ21">
        <v>3.3323505363893338</v>
      </c>
      <c r="EK21">
        <v>396.68501546061128</v>
      </c>
      <c r="EL21">
        <v>27.196322788502691</v>
      </c>
      <c r="EM21">
        <v>10.711960035308616</v>
      </c>
      <c r="EN21">
        <v>5.6707875488232613</v>
      </c>
      <c r="EO21">
        <v>1.9047818077883076</v>
      </c>
      <c r="EP21">
        <v>3.4046412425896393</v>
      </c>
      <c r="EQ21">
        <v>404.6904869774005</v>
      </c>
      <c r="ER21">
        <v>27.212041948194564</v>
      </c>
      <c r="ES21">
        <v>10.739295028978113</v>
      </c>
      <c r="ET21">
        <v>5.7543368477848063</v>
      </c>
      <c r="EU21">
        <v>1.9528062463397364</v>
      </c>
      <c r="EV21">
        <v>3.5645142419925877</v>
      </c>
      <c r="EW21">
        <v>425.8008983407363</v>
      </c>
      <c r="EX21">
        <v>26.951873779167126</v>
      </c>
      <c r="EY21">
        <v>10.727655778753912</v>
      </c>
      <c r="EZ21">
        <v>5.943352360134452</v>
      </c>
      <c r="FA21">
        <v>1.9451662173799609</v>
      </c>
      <c r="FB21">
        <v>3.6887463665421287</v>
      </c>
      <c r="FC21">
        <v>442.14884316776642</v>
      </c>
      <c r="FD21">
        <v>27.113529945443226</v>
      </c>
      <c r="FE21">
        <v>10.64767629642389</v>
      </c>
      <c r="FF21">
        <v>6.0565599781655113</v>
      </c>
      <c r="FG21">
        <v>1.9724686206385473</v>
      </c>
      <c r="FH21">
        <v>3.810382787577117</v>
      </c>
      <c r="FI21">
        <v>453.26722671246995</v>
      </c>
      <c r="FJ21">
        <v>27.459677392547952</v>
      </c>
      <c r="FK21">
        <v>10.794744095805518</v>
      </c>
      <c r="FN21">
        <v>25</v>
      </c>
      <c r="FO21">
        <v>6.7097840363802508</v>
      </c>
      <c r="FP21">
        <v>2.4926507009724532</v>
      </c>
      <c r="FQ21">
        <v>3.8447948906875027</v>
      </c>
      <c r="FR21">
        <v>409.21006485277422</v>
      </c>
      <c r="FS21">
        <v>29.559386744139239</v>
      </c>
      <c r="FT21">
        <v>12.107031292739856</v>
      </c>
      <c r="FU21">
        <v>6.7970862839368316</v>
      </c>
      <c r="FV21">
        <v>2.5522386996652324</v>
      </c>
      <c r="FW21">
        <v>3.9314069763875463</v>
      </c>
      <c r="FX21">
        <v>419.75047072873525</v>
      </c>
      <c r="FY21">
        <v>29.700444875025987</v>
      </c>
      <c r="FZ21">
        <v>12.253622823832716</v>
      </c>
      <c r="GB21">
        <v>25</v>
      </c>
      <c r="GC21">
        <v>6.3804631381581256</v>
      </c>
      <c r="GD21">
        <v>2.2727207449623186</v>
      </c>
      <c r="GE21">
        <v>3.6978715798343527</v>
      </c>
      <c r="GF21">
        <v>411.68498050117336</v>
      </c>
      <c r="GG21">
        <v>28.581751158448668</v>
      </c>
      <c r="GH21">
        <v>11.500028732413314</v>
      </c>
      <c r="GI21">
        <v>6.4145352802622924</v>
      </c>
      <c r="GJ21">
        <v>2.2879971396205194</v>
      </c>
      <c r="GK21">
        <v>3.7859162870912293</v>
      </c>
      <c r="GL21">
        <v>423.06712080771916</v>
      </c>
      <c r="GM21">
        <v>28.563374743939651</v>
      </c>
      <c r="GN21">
        <v>11.532974670960105</v>
      </c>
      <c r="GP21">
        <v>25</v>
      </c>
      <c r="GQ21">
        <v>6.1090487679151666</v>
      </c>
      <c r="GR21">
        <v>2.1387049467231436</v>
      </c>
      <c r="GS21">
        <v>3.6492369569634766</v>
      </c>
      <c r="GT21">
        <v>410.91035864653071</v>
      </c>
      <c r="GU21">
        <v>27.975111983002389</v>
      </c>
      <c r="GV21">
        <v>11.195564213518944</v>
      </c>
      <c r="GW21">
        <v>6.1588935278220163</v>
      </c>
      <c r="GX21">
        <v>2.1368957248129625</v>
      </c>
      <c r="GY21">
        <v>3.7512032893726164</v>
      </c>
      <c r="GZ21">
        <v>423.11089957800505</v>
      </c>
      <c r="HA21">
        <v>27.956223705954113</v>
      </c>
      <c r="HB21">
        <v>11.174661249094596</v>
      </c>
      <c r="HD21">
        <v>25</v>
      </c>
      <c r="HE21">
        <v>5.6823134865106946</v>
      </c>
      <c r="HF21">
        <v>1.9236509572185059</v>
      </c>
      <c r="HG21">
        <v>3.4022567203730936</v>
      </c>
      <c r="HH21">
        <v>409.84938711461052</v>
      </c>
      <c r="HI21">
        <v>27.006330531885578</v>
      </c>
      <c r="HJ21">
        <v>10.699831339497363</v>
      </c>
      <c r="HK21">
        <v>5.7718655526237477</v>
      </c>
      <c r="HL21">
        <v>1.9361950330915352</v>
      </c>
      <c r="HM21">
        <v>3.560638000970878</v>
      </c>
      <c r="HN21">
        <v>421.37081791004601</v>
      </c>
      <c r="HO21">
        <v>27.153173640692085</v>
      </c>
      <c r="HP21">
        <v>10.744503628224606</v>
      </c>
    </row>
    <row r="22" spans="2:224" x14ac:dyDescent="0.2">
      <c r="B22">
        <v>563.54118150205511</v>
      </c>
      <c r="C22">
        <v>1.7744932097679418</v>
      </c>
      <c r="D22">
        <v>581.71743300026901</v>
      </c>
      <c r="E22">
        <v>1.7190476737862135</v>
      </c>
      <c r="F22">
        <v>625.18372194195058</v>
      </c>
      <c r="G22">
        <v>1.5995298100433457</v>
      </c>
      <c r="H22">
        <v>661.8555903058251</v>
      </c>
      <c r="I22">
        <v>1.5109036089548291</v>
      </c>
      <c r="J22">
        <v>703.345639020269</v>
      </c>
      <c r="K22">
        <v>1.4217760721356829</v>
      </c>
      <c r="L22">
        <v>589.17655149493964</v>
      </c>
      <c r="M22">
        <v>1.6972841119740132</v>
      </c>
      <c r="N22">
        <v>617.3482742167896</v>
      </c>
      <c r="O22">
        <v>1.6198312067344298</v>
      </c>
      <c r="Q22">
        <v>4.5408339062128406E-2</v>
      </c>
      <c r="R22">
        <v>4.5744232200445101E-2</v>
      </c>
      <c r="S22">
        <v>4.6686577164312827E-2</v>
      </c>
      <c r="T22">
        <v>4.7461455885722044E-2</v>
      </c>
      <c r="U22">
        <v>4.8163278607699554E-2</v>
      </c>
      <c r="V22">
        <v>4.6408890103363826E-2</v>
      </c>
      <c r="W22">
        <v>4.5735911847434516E-2</v>
      </c>
      <c r="Y22">
        <v>0.96793397124660252</v>
      </c>
      <c r="Z22">
        <v>0.97155258664738176</v>
      </c>
      <c r="AA22">
        <v>0.99234664608790968</v>
      </c>
      <c r="AB22">
        <v>1.0012823868201366</v>
      </c>
      <c r="AC22">
        <v>1.0220425034107412</v>
      </c>
      <c r="AD22">
        <v>0.99307014510137837</v>
      </c>
      <c r="AE22">
        <v>0.97390857978678302</v>
      </c>
      <c r="AG22">
        <v>0.4264470681256039</v>
      </c>
      <c r="AH22">
        <v>0.42763942819293066</v>
      </c>
      <c r="AI22">
        <v>0.43768083558865734</v>
      </c>
      <c r="AJ22">
        <v>0.43840332706508967</v>
      </c>
      <c r="AK22">
        <v>0.44759199071811584</v>
      </c>
      <c r="AL22">
        <v>0.43735241560520904</v>
      </c>
      <c r="AM22">
        <v>0.42901759437229442</v>
      </c>
      <c r="AO22">
        <v>26</v>
      </c>
      <c r="AP22">
        <v>6.5859755201183035</v>
      </c>
      <c r="AQ22">
        <v>2.6485379084496361</v>
      </c>
      <c r="AR22">
        <v>3.7817048689230122</v>
      </c>
      <c r="AS22">
        <v>403.89752216791231</v>
      </c>
      <c r="AT22">
        <v>29.34334495656152</v>
      </c>
      <c r="AU22">
        <v>12.515898827308449</v>
      </c>
      <c r="AV22">
        <v>6.727561755809865</v>
      </c>
      <c r="AW22">
        <v>2.6825813105168184</v>
      </c>
      <c r="AX22">
        <v>3.8875132178991714</v>
      </c>
      <c r="AY22">
        <v>414.50210768338025</v>
      </c>
      <c r="AZ22">
        <v>29.343950788919159</v>
      </c>
      <c r="BA22">
        <v>12.465088867753503</v>
      </c>
      <c r="BB22">
        <v>7.2206511643162168</v>
      </c>
      <c r="BC22">
        <v>2.7953636906067367</v>
      </c>
      <c r="BD22">
        <v>4.1000495197859523</v>
      </c>
      <c r="BE22">
        <v>440.09568129719992</v>
      </c>
      <c r="BF22">
        <v>29.680745386184984</v>
      </c>
      <c r="BG22">
        <v>12.418233142054257</v>
      </c>
      <c r="BH22">
        <v>7.4844827991427909</v>
      </c>
      <c r="BI22">
        <v>2.866867788315425</v>
      </c>
      <c r="BJ22">
        <v>4.2806509675917717</v>
      </c>
      <c r="BK22">
        <v>459.68914583551179</v>
      </c>
      <c r="BL22">
        <v>29.73501018849699</v>
      </c>
      <c r="BM22">
        <v>12.385156661396707</v>
      </c>
      <c r="BN22">
        <v>7.7106645589827671</v>
      </c>
      <c r="BO22">
        <v>2.9362938932578997</v>
      </c>
      <c r="BP22">
        <v>4.4945743342885951</v>
      </c>
      <c r="BQ22">
        <v>481.26425839493305</v>
      </c>
      <c r="BR22">
        <v>29.677512844237707</v>
      </c>
      <c r="BS22">
        <v>12.342349013210027</v>
      </c>
      <c r="BU22">
        <v>26</v>
      </c>
      <c r="BV22">
        <v>6.2701765099052587</v>
      </c>
      <c r="BW22">
        <v>2.3717976049633389</v>
      </c>
      <c r="BX22">
        <v>3.6489646071396655</v>
      </c>
      <c r="BY22">
        <v>406.59123684531079</v>
      </c>
      <c r="BZ22">
        <v>28.372242843613819</v>
      </c>
      <c r="CA22">
        <v>11.752344338857027</v>
      </c>
      <c r="CB22">
        <v>6.3725294572060029</v>
      </c>
      <c r="CC22">
        <v>2.3774821843398715</v>
      </c>
      <c r="CD22">
        <v>3.7447815298842686</v>
      </c>
      <c r="CE22">
        <v>417.46455597430082</v>
      </c>
      <c r="CF22">
        <v>28.285268730424686</v>
      </c>
      <c r="CG22">
        <v>11.645794624698167</v>
      </c>
      <c r="CH22">
        <v>6.8604287895207428</v>
      </c>
      <c r="CI22">
        <v>2.5361792117059094</v>
      </c>
      <c r="CJ22">
        <v>3.945597981783953</v>
      </c>
      <c r="CK22">
        <v>443.76786373642062</v>
      </c>
      <c r="CL22">
        <v>28.623400938493521</v>
      </c>
      <c r="CM22">
        <v>11.731417981521908</v>
      </c>
      <c r="CN22">
        <v>7.1191845010880854</v>
      </c>
      <c r="CO22">
        <v>2.5735974662055963</v>
      </c>
      <c r="CP22">
        <v>4.1288814547239046</v>
      </c>
      <c r="CQ22">
        <v>463.87591528659794</v>
      </c>
      <c r="CR22">
        <v>28.679141767225257</v>
      </c>
      <c r="CS22">
        <v>11.641155719995272</v>
      </c>
      <c r="CT22">
        <v>7.2924557478324532</v>
      </c>
      <c r="CU22">
        <v>2.6042856288390852</v>
      </c>
      <c r="CV22">
        <v>4.293943735862543</v>
      </c>
      <c r="CW22">
        <v>484.41752045926523</v>
      </c>
      <c r="CX22">
        <v>28.621007319663445</v>
      </c>
      <c r="CY22">
        <v>11.576631611008617</v>
      </c>
      <c r="DA22">
        <v>26</v>
      </c>
      <c r="DB22">
        <v>6.0134393842396276</v>
      </c>
      <c r="DC22">
        <v>2.1201824671989993</v>
      </c>
      <c r="DD22">
        <v>3.6260109382660879</v>
      </c>
      <c r="DE22">
        <v>406.34756305844883</v>
      </c>
      <c r="DF22">
        <v>27.757440205375222</v>
      </c>
      <c r="DG22">
        <v>11.140180215999953</v>
      </c>
      <c r="DH22">
        <v>6.1243667117057106</v>
      </c>
      <c r="DI22">
        <v>2.1869980685306993</v>
      </c>
      <c r="DJ22">
        <v>3.7006073135625539</v>
      </c>
      <c r="DK22">
        <v>416.42754932515453</v>
      </c>
      <c r="DL22">
        <v>27.759773397302325</v>
      </c>
      <c r="DM22">
        <v>11.217371121887444</v>
      </c>
      <c r="DN22">
        <v>6.5370368317959127</v>
      </c>
      <c r="DO22">
        <v>2.2291836363551973</v>
      </c>
      <c r="DP22">
        <v>3.8762375366638868</v>
      </c>
      <c r="DQ22">
        <v>441.37276423130675</v>
      </c>
      <c r="DR22">
        <v>28.04602941728924</v>
      </c>
      <c r="DS22">
        <v>11.099531094630253</v>
      </c>
      <c r="DT22">
        <v>6.6983842586090079</v>
      </c>
      <c r="DU22">
        <v>2.1993567500857338</v>
      </c>
      <c r="DV22">
        <v>4.0179381634408013</v>
      </c>
      <c r="DW22">
        <v>459.37756928627175</v>
      </c>
      <c r="DX22">
        <v>28.043952852209131</v>
      </c>
      <c r="DY22">
        <v>10.940479867781287</v>
      </c>
      <c r="DZ22">
        <v>6.8262484766376863</v>
      </c>
      <c r="EA22">
        <v>2.2411888142428911</v>
      </c>
      <c r="EB22">
        <v>4.1584066671047264</v>
      </c>
      <c r="EC22">
        <v>479.08987525510605</v>
      </c>
      <c r="ED22">
        <v>27.966172569413494</v>
      </c>
      <c r="EE22">
        <v>10.947479035924484</v>
      </c>
      <c r="EG22">
        <v>26</v>
      </c>
      <c r="EH22">
        <v>5.7892377710087004</v>
      </c>
      <c r="EI22">
        <v>1.9410711450287828</v>
      </c>
      <c r="EJ22">
        <v>3.4009407913606839</v>
      </c>
      <c r="EK22">
        <v>407.36803491267108</v>
      </c>
      <c r="EL22">
        <v>27.137540561654021</v>
      </c>
      <c r="EM22">
        <v>10.672594283361812</v>
      </c>
      <c r="EN22">
        <v>5.8655877153463498</v>
      </c>
      <c r="EO22">
        <v>1.9730712769870811</v>
      </c>
      <c r="EP22">
        <v>3.4812701011161864</v>
      </c>
      <c r="EQ22">
        <v>416.17000881990816</v>
      </c>
      <c r="ER22">
        <v>27.155141335980517</v>
      </c>
      <c r="ES22">
        <v>10.710275801117525</v>
      </c>
      <c r="ET22">
        <v>5.9686388146253702</v>
      </c>
      <c r="EU22">
        <v>2.0175517170071608</v>
      </c>
      <c r="EV22">
        <v>3.6409291099772649</v>
      </c>
      <c r="EW22">
        <v>439.61683631131206</v>
      </c>
      <c r="EX22">
        <v>26.865111926895185</v>
      </c>
      <c r="EY22">
        <v>10.662464251575903</v>
      </c>
      <c r="EZ22">
        <v>6.1338880447180788</v>
      </c>
      <c r="FA22">
        <v>2.0046677788526011</v>
      </c>
      <c r="FB22">
        <v>3.7718192543207913</v>
      </c>
      <c r="FC22">
        <v>455.43661136500305</v>
      </c>
      <c r="FD22">
        <v>27.047159523728787</v>
      </c>
      <c r="FE22">
        <v>10.607671752110841</v>
      </c>
      <c r="FF22">
        <v>6.2400432097183254</v>
      </c>
      <c r="FG22">
        <v>2.0339868563754533</v>
      </c>
      <c r="FH22">
        <v>3.9024734734671656</v>
      </c>
      <c r="FI22">
        <v>466.96433592045139</v>
      </c>
      <c r="FJ22">
        <v>27.437009371324439</v>
      </c>
      <c r="FK22">
        <v>10.788028164681263</v>
      </c>
      <c r="FN22">
        <v>26</v>
      </c>
      <c r="FO22">
        <v>6.9361217821370538</v>
      </c>
      <c r="FP22">
        <v>2.5917334225260471</v>
      </c>
      <c r="FQ22">
        <v>3.9531264439801754</v>
      </c>
      <c r="FR22">
        <v>422.17562930746618</v>
      </c>
      <c r="FS22">
        <v>29.469696059231392</v>
      </c>
      <c r="FT22">
        <v>12.098784323633279</v>
      </c>
      <c r="FU22">
        <v>7.0122650402479874</v>
      </c>
      <c r="FV22">
        <v>2.6454093170315147</v>
      </c>
      <c r="FW22">
        <v>4.033924636866737</v>
      </c>
      <c r="FX22">
        <v>431.80291510794939</v>
      </c>
      <c r="FY22">
        <v>29.598612856364149</v>
      </c>
      <c r="FZ22">
        <v>12.231958000454632</v>
      </c>
      <c r="GB22">
        <v>26</v>
      </c>
      <c r="GC22">
        <v>6.602152286872224</v>
      </c>
      <c r="GD22">
        <v>2.348845361120794</v>
      </c>
      <c r="GE22">
        <v>3.803810683496649</v>
      </c>
      <c r="GF22">
        <v>425.02669574905053</v>
      </c>
      <c r="GG22">
        <v>28.486252993363856</v>
      </c>
      <c r="GH22">
        <v>11.446160612820286</v>
      </c>
      <c r="GI22">
        <v>6.6310181806569188</v>
      </c>
      <c r="GJ22">
        <v>2.3618714040082738</v>
      </c>
      <c r="GK22">
        <v>3.8860302545971601</v>
      </c>
      <c r="GL22">
        <v>435.5387132508381</v>
      </c>
      <c r="GM22">
        <v>28.469387628918746</v>
      </c>
      <c r="GN22">
        <v>11.47603429266791</v>
      </c>
      <c r="GP22">
        <v>26</v>
      </c>
      <c r="GQ22">
        <v>6.3168357851555665</v>
      </c>
      <c r="GR22">
        <v>2.2142095144310181</v>
      </c>
      <c r="GS22">
        <v>3.7406492538456226</v>
      </c>
      <c r="GT22">
        <v>423.48726527922031</v>
      </c>
      <c r="GU22">
        <v>27.916073165811838</v>
      </c>
      <c r="GV22">
        <v>11.169847042440129</v>
      </c>
      <c r="GW22">
        <v>6.3671448552805359</v>
      </c>
      <c r="GX22">
        <v>2.2121066624465224</v>
      </c>
      <c r="GY22">
        <v>3.8380344968493105</v>
      </c>
      <c r="GZ22">
        <v>434.99032371720921</v>
      </c>
      <c r="HA22">
        <v>27.89865996525408</v>
      </c>
      <c r="HB22">
        <v>11.146207635279186</v>
      </c>
      <c r="HD22">
        <v>26</v>
      </c>
      <c r="HE22">
        <v>5.8893780677090719</v>
      </c>
      <c r="HF22">
        <v>1.9911779511601755</v>
      </c>
      <c r="HG22">
        <v>3.4827360664467695</v>
      </c>
      <c r="HH22">
        <v>423.14149210280976</v>
      </c>
      <c r="HI22">
        <v>26.928684559511964</v>
      </c>
      <c r="HJ22">
        <v>10.651889494269206</v>
      </c>
      <c r="HK22">
        <v>5.9740057813799785</v>
      </c>
      <c r="HL22">
        <v>2.0021757996614378</v>
      </c>
      <c r="HM22">
        <v>3.6325659772238916</v>
      </c>
      <c r="HN22">
        <v>433.79537207658836</v>
      </c>
      <c r="HO22">
        <v>27.069233125863018</v>
      </c>
      <c r="HP22">
        <v>10.692971625075984</v>
      </c>
    </row>
    <row r="23" spans="2:224" x14ac:dyDescent="0.2">
      <c r="B23">
        <v>571.11540439909288</v>
      </c>
      <c r="C23">
        <v>1.7509595999291319</v>
      </c>
      <c r="D23">
        <v>591.46104540464728</v>
      </c>
      <c r="E23">
        <v>1.690728422048237</v>
      </c>
      <c r="F23">
        <v>637.48468978477115</v>
      </c>
      <c r="G23">
        <v>1.5686651240794849</v>
      </c>
      <c r="H23">
        <v>676.04352256356503</v>
      </c>
      <c r="I23">
        <v>1.4791947065892861</v>
      </c>
      <c r="J23">
        <v>722.17116240226278</v>
      </c>
      <c r="K23">
        <v>1.3847132813688583</v>
      </c>
      <c r="L23">
        <v>601.5291829808034</v>
      </c>
      <c r="M23">
        <v>1.6624297345718522</v>
      </c>
      <c r="N23">
        <v>627.53565735005543</v>
      </c>
      <c r="O23">
        <v>1.5935349462415878</v>
      </c>
      <c r="Q23">
        <v>4.7151632851135751E-2</v>
      </c>
      <c r="R23">
        <v>4.7500723994430845E-2</v>
      </c>
      <c r="S23">
        <v>4.8479321144904483E-2</v>
      </c>
      <c r="T23">
        <v>4.9283984306422439E-2</v>
      </c>
      <c r="U23">
        <v>5.0013542682081913E-2</v>
      </c>
      <c r="V23">
        <v>4.819384741503166E-2</v>
      </c>
      <c r="W23">
        <v>4.7494985380028151E-2</v>
      </c>
      <c r="Y23">
        <v>0.99450244008680178</v>
      </c>
      <c r="Z23">
        <v>0.99847076261978596</v>
      </c>
      <c r="AA23">
        <v>1.0168672090148365</v>
      </c>
      <c r="AB23">
        <v>1.024743901917236</v>
      </c>
      <c r="AC23">
        <v>1.0466835916934807</v>
      </c>
      <c r="AD23">
        <v>1.0182983223233852</v>
      </c>
      <c r="AE23">
        <v>1.0013286288169907</v>
      </c>
      <c r="AG23">
        <v>0.43308905020801913</v>
      </c>
      <c r="AH23">
        <v>0.43431526716216085</v>
      </c>
      <c r="AI23">
        <v>0.44366681900895305</v>
      </c>
      <c r="AJ23">
        <v>0.44354819639946325</v>
      </c>
      <c r="AK23">
        <v>0.45327394144692496</v>
      </c>
      <c r="AL23">
        <v>0.44336587610838318</v>
      </c>
      <c r="AM23">
        <v>0.43610955756312325</v>
      </c>
      <c r="AO23">
        <v>27</v>
      </c>
      <c r="AP23">
        <v>6.7809923786991835</v>
      </c>
      <c r="AQ23">
        <v>2.7482603733371738</v>
      </c>
      <c r="AR23">
        <v>3.873226754605255</v>
      </c>
      <c r="AS23">
        <v>414.54653661011253</v>
      </c>
      <c r="AT23">
        <v>29.230722361096454</v>
      </c>
      <c r="AU23">
        <v>12.512970799951827</v>
      </c>
      <c r="AV23">
        <v>6.9303427316287785</v>
      </c>
      <c r="AW23">
        <v>2.7846925312359421</v>
      </c>
      <c r="AX23">
        <v>3.9864463366304674</v>
      </c>
      <c r="AY23">
        <v>426.14638702199341</v>
      </c>
      <c r="AZ23">
        <v>29.231632883108073</v>
      </c>
      <c r="BA23">
        <v>12.461743399369501</v>
      </c>
      <c r="BB23">
        <v>7.4479469917165382</v>
      </c>
      <c r="BC23">
        <v>2.9003417364518862</v>
      </c>
      <c r="BD23">
        <v>4.2055726302019272</v>
      </c>
      <c r="BE23">
        <v>452.68873914006679</v>
      </c>
      <c r="BF23">
        <v>29.611083232441334</v>
      </c>
      <c r="BG23">
        <v>12.420720062219221</v>
      </c>
      <c r="BH23">
        <v>7.7032533656790374</v>
      </c>
      <c r="BI23">
        <v>2.9670806274055224</v>
      </c>
      <c r="BJ23">
        <v>4.3848411804746616</v>
      </c>
      <c r="BK23">
        <v>472.45347087410829</v>
      </c>
      <c r="BL23">
        <v>29.675311760486284</v>
      </c>
      <c r="BM23">
        <v>12.390901647271713</v>
      </c>
      <c r="BN23">
        <v>7.9427274790680746</v>
      </c>
      <c r="BO23">
        <v>3.0413976846694681</v>
      </c>
      <c r="BP23">
        <v>4.6128092199951807</v>
      </c>
      <c r="BQ23">
        <v>496.1557926722549</v>
      </c>
      <c r="BR23">
        <v>29.609036188879152</v>
      </c>
      <c r="BS23">
        <v>12.345778733565243</v>
      </c>
      <c r="BU23">
        <v>27</v>
      </c>
      <c r="BV23">
        <v>6.4675418932330064</v>
      </c>
      <c r="BW23">
        <v>2.4497034520363306</v>
      </c>
      <c r="BX23">
        <v>3.7395666899689357</v>
      </c>
      <c r="BY23">
        <v>417.47489796833383</v>
      </c>
      <c r="BZ23">
        <v>28.274859852372458</v>
      </c>
      <c r="CA23">
        <v>11.710049658826359</v>
      </c>
      <c r="CB23">
        <v>6.5735919663128479</v>
      </c>
      <c r="CC23">
        <v>2.45376375487381</v>
      </c>
      <c r="CD23">
        <v>3.8418273823389768</v>
      </c>
      <c r="CE23">
        <v>429.47909121109694</v>
      </c>
      <c r="CF23">
        <v>28.174139841015911</v>
      </c>
      <c r="CG23">
        <v>11.594506580593444</v>
      </c>
      <c r="CH23">
        <v>7.0863897561844409</v>
      </c>
      <c r="CI23">
        <v>2.621319814960875</v>
      </c>
      <c r="CJ23">
        <v>4.0484373759610621</v>
      </c>
      <c r="CK23">
        <v>456.76807089126487</v>
      </c>
      <c r="CL23">
        <v>28.555075384501386</v>
      </c>
      <c r="CM23">
        <v>11.698931083908501</v>
      </c>
      <c r="CN23">
        <v>7.3373281328546662</v>
      </c>
      <c r="CO23">
        <v>2.652105370154306</v>
      </c>
      <c r="CP23">
        <v>4.2311072354965171</v>
      </c>
      <c r="CQ23">
        <v>477.07394831014915</v>
      </c>
      <c r="CR23">
        <v>28.620885412111992</v>
      </c>
      <c r="CS23">
        <v>11.610672208956945</v>
      </c>
      <c r="CT23">
        <v>7.5192291769427513</v>
      </c>
      <c r="CU23">
        <v>2.6842354023847856</v>
      </c>
      <c r="CV23">
        <v>4.4063791107329626</v>
      </c>
      <c r="CW23">
        <v>499.65776653667467</v>
      </c>
      <c r="CX23">
        <v>28.55393726254086</v>
      </c>
      <c r="CY23">
        <v>11.544436487810021</v>
      </c>
      <c r="DA23">
        <v>27</v>
      </c>
      <c r="DB23">
        <v>6.1972016820844527</v>
      </c>
      <c r="DC23">
        <v>2.1879737067979956</v>
      </c>
      <c r="DD23">
        <v>3.7040330281520051</v>
      </c>
      <c r="DE23">
        <v>416.59643621705283</v>
      </c>
      <c r="DF23">
        <v>27.6855561356275</v>
      </c>
      <c r="DG23">
        <v>11.106484931315224</v>
      </c>
      <c r="DH23">
        <v>6.3188550953236113</v>
      </c>
      <c r="DI23">
        <v>2.262636461772479</v>
      </c>
      <c r="DJ23">
        <v>3.7856324841624551</v>
      </c>
      <c r="DK23">
        <v>427.80830389125242</v>
      </c>
      <c r="DL23">
        <v>27.688726459586718</v>
      </c>
      <c r="DM23">
        <v>11.193029243748013</v>
      </c>
      <c r="DN23">
        <v>6.7377787523484898</v>
      </c>
      <c r="DO23">
        <v>2.299548641338053</v>
      </c>
      <c r="DP23">
        <v>3.960036851723046</v>
      </c>
      <c r="DQ23">
        <v>453.18217751216145</v>
      </c>
      <c r="DR23">
        <v>28.011771697170786</v>
      </c>
      <c r="DS23">
        <v>11.081475084993057</v>
      </c>
      <c r="DT23">
        <v>6.9023816416612824</v>
      </c>
      <c r="DU23">
        <v>2.2621341145208462</v>
      </c>
      <c r="DV23">
        <v>4.1083633453140971</v>
      </c>
      <c r="DW23">
        <v>471.93819913048338</v>
      </c>
      <c r="DX23">
        <v>28.010727550452639</v>
      </c>
      <c r="DY23">
        <v>10.910703958941211</v>
      </c>
      <c r="DZ23">
        <v>7.0342690890002766</v>
      </c>
      <c r="EA23">
        <v>2.3072113782894088</v>
      </c>
      <c r="EB23">
        <v>4.25789126921185</v>
      </c>
      <c r="EC23">
        <v>493.62383254567862</v>
      </c>
      <c r="ED23">
        <v>27.920524743325984</v>
      </c>
      <c r="EE23">
        <v>10.92176465533475</v>
      </c>
      <c r="EG23">
        <v>27</v>
      </c>
      <c r="EH23">
        <v>5.9778764517499603</v>
      </c>
      <c r="EI23">
        <v>2.0051039608429075</v>
      </c>
      <c r="EJ23">
        <v>3.4671966595690287</v>
      </c>
      <c r="EK23">
        <v>417.84282751301544</v>
      </c>
      <c r="EL23">
        <v>27.078073489493249</v>
      </c>
      <c r="EM23">
        <v>10.635703194380678</v>
      </c>
      <c r="EN23">
        <v>6.0557984310119393</v>
      </c>
      <c r="EO23">
        <v>2.040785546071016</v>
      </c>
      <c r="EP23">
        <v>3.555413131159499</v>
      </c>
      <c r="EQ23">
        <v>427.43335630356518</v>
      </c>
      <c r="ER23">
        <v>27.097582040478567</v>
      </c>
      <c r="ES23">
        <v>10.683817425863992</v>
      </c>
      <c r="ET23">
        <v>6.1799145720715734</v>
      </c>
      <c r="EU23">
        <v>2.081232507497552</v>
      </c>
      <c r="EV23">
        <v>3.7135333578414467</v>
      </c>
      <c r="EW23">
        <v>453.21706374963441</v>
      </c>
      <c r="EX23">
        <v>26.778717052288531</v>
      </c>
      <c r="EY23">
        <v>10.598918839201122</v>
      </c>
      <c r="EZ23">
        <v>6.3183915241165511</v>
      </c>
      <c r="FA23">
        <v>2.0630420717896203</v>
      </c>
      <c r="FB23">
        <v>3.8506980842270981</v>
      </c>
      <c r="FC23">
        <v>468.31242353765117</v>
      </c>
      <c r="FD23">
        <v>26.980582969596689</v>
      </c>
      <c r="FE23">
        <v>10.57005043236772</v>
      </c>
      <c r="FF23">
        <v>6.4158886514510352</v>
      </c>
      <c r="FG23">
        <v>2.0943498212920062</v>
      </c>
      <c r="FH23">
        <v>3.9898224553671722</v>
      </c>
      <c r="FI23">
        <v>480.20191333244571</v>
      </c>
      <c r="FJ23">
        <v>27.413168559835349</v>
      </c>
      <c r="FK23">
        <v>10.783759136640205</v>
      </c>
      <c r="FN23">
        <v>27</v>
      </c>
      <c r="FO23">
        <v>7.1573041011431426</v>
      </c>
      <c r="FP23">
        <v>2.6900664893529838</v>
      </c>
      <c r="FQ23">
        <v>4.0584451636623804</v>
      </c>
      <c r="FR23">
        <v>434.90491951372326</v>
      </c>
      <c r="FS23">
        <v>29.381118064157846</v>
      </c>
      <c r="FT23">
        <v>12.092061113386789</v>
      </c>
      <c r="FU23">
        <v>7.2231330262380826</v>
      </c>
      <c r="FV23">
        <v>2.7379708509693681</v>
      </c>
      <c r="FW23">
        <v>4.1339724773346598</v>
      </c>
      <c r="FX23">
        <v>443.64748059701242</v>
      </c>
      <c r="FY23">
        <v>29.498254314227538</v>
      </c>
      <c r="FZ23">
        <v>12.212087552919295</v>
      </c>
      <c r="GB23">
        <v>27</v>
      </c>
      <c r="GC23">
        <v>6.8189055772491605</v>
      </c>
      <c r="GD23">
        <v>2.4243748540831001</v>
      </c>
      <c r="GE23">
        <v>3.9068228642958269</v>
      </c>
      <c r="GF23">
        <v>438.13617215516666</v>
      </c>
      <c r="GG23">
        <v>28.392073180883781</v>
      </c>
      <c r="GH23">
        <v>11.396468831690683</v>
      </c>
      <c r="GI23">
        <v>6.8433474798093235</v>
      </c>
      <c r="GJ23">
        <v>2.4352589901038906</v>
      </c>
      <c r="GK23">
        <v>3.9837472324803</v>
      </c>
      <c r="GL23">
        <v>447.79769466112356</v>
      </c>
      <c r="GM23">
        <v>28.376744261053982</v>
      </c>
      <c r="GN23">
        <v>11.422903859941162</v>
      </c>
      <c r="GP23">
        <v>27</v>
      </c>
      <c r="GQ23">
        <v>6.518488347210539</v>
      </c>
      <c r="GR23">
        <v>2.2888164496514736</v>
      </c>
      <c r="GS23">
        <v>3.8284635450141886</v>
      </c>
      <c r="GT23">
        <v>435.77356069583459</v>
      </c>
      <c r="GU23">
        <v>27.856616664855871</v>
      </c>
      <c r="GV23">
        <v>11.147181159440695</v>
      </c>
      <c r="GW23">
        <v>6.5701369389985773</v>
      </c>
      <c r="GX23">
        <v>2.2865369757092413</v>
      </c>
      <c r="GY23">
        <v>3.9218279906811375</v>
      </c>
      <c r="GZ23">
        <v>446.60715790787782</v>
      </c>
      <c r="HA23">
        <v>27.840642276141566</v>
      </c>
      <c r="HB23">
        <v>11.120350205956806</v>
      </c>
      <c r="HD23">
        <v>27</v>
      </c>
      <c r="HE23">
        <v>6.0922181503745794</v>
      </c>
      <c r="HF23">
        <v>2.0578345559132027</v>
      </c>
      <c r="HG23">
        <v>3.5597693055130035</v>
      </c>
      <c r="HH23">
        <v>436.21782441112231</v>
      </c>
      <c r="HI23">
        <v>26.851050508903871</v>
      </c>
      <c r="HJ23">
        <v>10.606317928614098</v>
      </c>
      <c r="HK23">
        <v>6.1724027748455716</v>
      </c>
      <c r="HL23">
        <v>2.0673964126058961</v>
      </c>
      <c r="HM23">
        <v>3.701598772152543</v>
      </c>
      <c r="HN23">
        <v>446.02182115308511</v>
      </c>
      <c r="HO23">
        <v>26.98544193646844</v>
      </c>
      <c r="HP23">
        <v>10.643621482568514</v>
      </c>
    </row>
    <row r="24" spans="2:224" x14ac:dyDescent="0.2">
      <c r="B24">
        <v>578.3737297537981</v>
      </c>
      <c r="C24">
        <v>1.7289858590667311</v>
      </c>
      <c r="D24">
        <v>600.89956626639616</v>
      </c>
      <c r="E24">
        <v>1.6641716122601944</v>
      </c>
      <c r="F24">
        <v>649.25496401902933</v>
      </c>
      <c r="G24">
        <v>1.5402269607763683</v>
      </c>
      <c r="H24">
        <v>689.49289665461345</v>
      </c>
      <c r="I24">
        <v>1.4503412650832983</v>
      </c>
      <c r="J24">
        <v>740.33720278457292</v>
      </c>
      <c r="K24">
        <v>1.3507358487980579</v>
      </c>
      <c r="L24">
        <v>613.49354332433234</v>
      </c>
      <c r="M24">
        <v>1.6300090047913274</v>
      </c>
      <c r="N24">
        <v>637.33714744773636</v>
      </c>
      <c r="O24">
        <v>1.5690282670711628</v>
      </c>
      <c r="Q24">
        <v>4.8501830897007409E-2</v>
      </c>
      <c r="R24">
        <v>4.8761978760620474E-2</v>
      </c>
      <c r="S24">
        <v>4.8946862892636882E-2</v>
      </c>
      <c r="T24">
        <v>4.9323809931109144E-2</v>
      </c>
      <c r="U24">
        <v>4.9484023518631258E-2</v>
      </c>
      <c r="V24">
        <v>4.9978804726699501E-2</v>
      </c>
      <c r="W24">
        <v>4.9254058912621787E-2</v>
      </c>
      <c r="Y24">
        <v>1.0174371687127193</v>
      </c>
      <c r="Z24">
        <v>1.0198025475652985</v>
      </c>
      <c r="AA24">
        <v>1.0337405098231538</v>
      </c>
      <c r="AB24">
        <v>1.0367303661164069</v>
      </c>
      <c r="AC24">
        <v>1.0551924877569714</v>
      </c>
      <c r="AD24">
        <v>1.042837646357109</v>
      </c>
      <c r="AE24">
        <v>1.0281695443859025</v>
      </c>
      <c r="AG24">
        <v>0.43886000058445618</v>
      </c>
      <c r="AH24">
        <v>0.43985120625323537</v>
      </c>
      <c r="AI24">
        <v>0.44755413783685039</v>
      </c>
      <c r="AJ24">
        <v>0.44630565928109256</v>
      </c>
      <c r="AK24">
        <v>0.45512682320300224</v>
      </c>
      <c r="AL24">
        <v>0.44906558953028547</v>
      </c>
      <c r="AM24">
        <v>0.4429518537136285</v>
      </c>
      <c r="AO24">
        <v>28</v>
      </c>
      <c r="AP24">
        <v>6.9306643474106879</v>
      </c>
      <c r="AQ24">
        <v>2.8390856232854311</v>
      </c>
      <c r="AR24">
        <v>3.9355355617714194</v>
      </c>
      <c r="AS24">
        <v>423.5924364833694</v>
      </c>
      <c r="AT24">
        <v>29.119945060006895</v>
      </c>
      <c r="AU24">
        <v>12.533346157627776</v>
      </c>
      <c r="AV24">
        <v>7.0655835249278267</v>
      </c>
      <c r="AW24">
        <v>2.8645135906368795</v>
      </c>
      <c r="AX24">
        <v>4.0430642294313799</v>
      </c>
      <c r="AY24">
        <v>435.43676169188223</v>
      </c>
      <c r="AZ24">
        <v>29.121080688850419</v>
      </c>
      <c r="BA24">
        <v>12.471742549427395</v>
      </c>
      <c r="BB24">
        <v>7.5436169980953789</v>
      </c>
      <c r="BC24">
        <v>2.9617141441699566</v>
      </c>
      <c r="BD24">
        <v>4.2472266103365106</v>
      </c>
      <c r="BE24">
        <v>460.70784710987607</v>
      </c>
      <c r="BF24">
        <v>29.542052446619657</v>
      </c>
      <c r="BG24">
        <v>12.446841320342457</v>
      </c>
      <c r="BH24">
        <v>7.7281900155063372</v>
      </c>
      <c r="BI24">
        <v>3.0032426975505842</v>
      </c>
      <c r="BJ24">
        <v>4.3989470670031086</v>
      </c>
      <c r="BK24">
        <v>479.08345875659182</v>
      </c>
      <c r="BL24">
        <v>29.579004206544347</v>
      </c>
      <c r="BM24">
        <v>12.414793297499283</v>
      </c>
      <c r="BN24">
        <v>7.9019595032704553</v>
      </c>
      <c r="BO24">
        <v>3.0555493927961876</v>
      </c>
      <c r="BP24">
        <v>4.6022266545034141</v>
      </c>
      <c r="BQ24">
        <v>501.66310858457706</v>
      </c>
      <c r="BR24">
        <v>29.541080602683</v>
      </c>
      <c r="BS24">
        <v>12.393096703541104</v>
      </c>
      <c r="BU24">
        <v>28</v>
      </c>
      <c r="BV24">
        <v>6.6166458951619882</v>
      </c>
      <c r="BW24">
        <v>2.5169649263471823</v>
      </c>
      <c r="BX24">
        <v>3.8015719083677806</v>
      </c>
      <c r="BY24">
        <v>427.14745650767946</v>
      </c>
      <c r="BZ24">
        <v>28.142436160720436</v>
      </c>
      <c r="CA24">
        <v>11.674914279095372</v>
      </c>
      <c r="CB24">
        <v>6.7059566868688059</v>
      </c>
      <c r="CC24">
        <v>2.514693145283101</v>
      </c>
      <c r="CD24">
        <v>3.8977670737840442</v>
      </c>
      <c r="CE24">
        <v>439.01092594698781</v>
      </c>
      <c r="CF24">
        <v>28.064819132883699</v>
      </c>
      <c r="CG24">
        <v>11.573367410079618</v>
      </c>
      <c r="CH24">
        <v>7.1803428141347316</v>
      </c>
      <c r="CI24">
        <v>2.673934702275258</v>
      </c>
      <c r="CJ24">
        <v>4.0898034713496738</v>
      </c>
      <c r="CK24">
        <v>465.01195327079364</v>
      </c>
      <c r="CL24">
        <v>28.487399312538393</v>
      </c>
      <c r="CM24">
        <v>11.712769935930615</v>
      </c>
      <c r="CN24">
        <v>7.362118634927322</v>
      </c>
      <c r="CO24">
        <v>2.6832866454014783</v>
      </c>
      <c r="CP24">
        <v>4.2464887032853467</v>
      </c>
      <c r="CQ24">
        <v>483.94065835266321</v>
      </c>
      <c r="CR24">
        <v>28.525688063200654</v>
      </c>
      <c r="CS24">
        <v>11.629041626140596</v>
      </c>
      <c r="CT24">
        <v>7.4799681369649988</v>
      </c>
      <c r="CU24">
        <v>2.6977814188781326</v>
      </c>
      <c r="CV24">
        <v>4.3957103201064633</v>
      </c>
      <c r="CW24">
        <v>505.405172365</v>
      </c>
      <c r="CX24">
        <v>28.48739931253839</v>
      </c>
      <c r="CY24">
        <v>11.593453656105522</v>
      </c>
      <c r="DA24">
        <v>28</v>
      </c>
      <c r="DB24">
        <v>6.3765102035700831</v>
      </c>
      <c r="DC24">
        <v>2.2438713006111173</v>
      </c>
      <c r="DD24">
        <v>3.7795742394824572</v>
      </c>
      <c r="DE24">
        <v>426.8533043820425</v>
      </c>
      <c r="DF24">
        <v>27.599257668731749</v>
      </c>
      <c r="DG24">
        <v>11.043176344503003</v>
      </c>
      <c r="DH24">
        <v>6.4940875771336826</v>
      </c>
      <c r="DI24">
        <v>2.3227358559092526</v>
      </c>
      <c r="DJ24">
        <v>3.8641358394854266</v>
      </c>
      <c r="DK24">
        <v>438.73105576631457</v>
      </c>
      <c r="DL24">
        <v>27.599808504954709</v>
      </c>
      <c r="DM24">
        <v>11.143221774238624</v>
      </c>
      <c r="DN24">
        <v>6.9184799497183178</v>
      </c>
      <c r="DO24">
        <v>2.3450257845363254</v>
      </c>
      <c r="DP24">
        <v>4.039872787058572</v>
      </c>
      <c r="DQ24">
        <v>464.14181883145756</v>
      </c>
      <c r="DR24">
        <v>27.976617935880018</v>
      </c>
      <c r="DS24">
        <v>11.026089226917849</v>
      </c>
      <c r="DT24">
        <v>7.0232211898803847</v>
      </c>
      <c r="DU24">
        <v>2.3007509252581282</v>
      </c>
      <c r="DV24">
        <v>4.1683935006902324</v>
      </c>
      <c r="DW24">
        <v>481.32489949584465</v>
      </c>
      <c r="DX24">
        <v>27.976617935880018</v>
      </c>
      <c r="DY24">
        <v>10.897483894798876</v>
      </c>
      <c r="DZ24">
        <v>7.1190547187684983</v>
      </c>
      <c r="EA24">
        <v>2.3377750085790918</v>
      </c>
      <c r="EB24">
        <v>4.3059555185166429</v>
      </c>
      <c r="EC24">
        <v>502.57314721452815</v>
      </c>
      <c r="ED24">
        <v>27.929796128951995</v>
      </c>
      <c r="EE24">
        <v>10.942456960843442</v>
      </c>
      <c r="EG24">
        <v>28</v>
      </c>
      <c r="EH24">
        <v>6.1623551526840163</v>
      </c>
      <c r="EI24">
        <v>2.0577770595140086</v>
      </c>
      <c r="EJ24">
        <v>3.5311697913433422</v>
      </c>
      <c r="EK24">
        <v>428.11109357959441</v>
      </c>
      <c r="EL24">
        <v>27.017938700887765</v>
      </c>
      <c r="EM24">
        <v>10.576044723741337</v>
      </c>
      <c r="EN24">
        <v>6.2414726074940869</v>
      </c>
      <c r="EO24">
        <v>2.0944975123435574</v>
      </c>
      <c r="EP24">
        <v>3.6226466358391822</v>
      </c>
      <c r="EQ24">
        <v>438.48196824364305</v>
      </c>
      <c r="ER24">
        <v>27.039374508781023</v>
      </c>
      <c r="ES24">
        <v>10.629032543236789</v>
      </c>
      <c r="ET24">
        <v>6.3037691286723865</v>
      </c>
      <c r="EU24">
        <v>2.1223898470357532</v>
      </c>
      <c r="EV24">
        <v>3.7824475638681516</v>
      </c>
      <c r="EW24">
        <v>463.06421759776663</v>
      </c>
      <c r="EX24">
        <v>26.71423755573262</v>
      </c>
      <c r="EY24">
        <v>10.570959674390151</v>
      </c>
      <c r="EZ24">
        <v>6.4177575558581905</v>
      </c>
      <c r="FA24">
        <v>2.0988101526289702</v>
      </c>
      <c r="FB24">
        <v>3.900781878532162</v>
      </c>
      <c r="FC24">
        <v>477.83578962095095</v>
      </c>
      <c r="FD24">
        <v>26.913804829061785</v>
      </c>
      <c r="FE24">
        <v>10.554440829543447</v>
      </c>
      <c r="FF24">
        <v>6.4830253743498174</v>
      </c>
      <c r="FG24">
        <v>2.1222574859977859</v>
      </c>
      <c r="FH24">
        <v>4.0290244900634136</v>
      </c>
      <c r="FI24">
        <v>487.01481850094098</v>
      </c>
      <c r="FJ24">
        <v>27.516074846381652</v>
      </c>
      <c r="FK24">
        <v>10.84950048697357</v>
      </c>
      <c r="FM24" t="s">
        <v>8540</v>
      </c>
      <c r="FN24">
        <v>28</v>
      </c>
      <c r="FO24">
        <v>7.3734221935894038</v>
      </c>
      <c r="FP24">
        <v>2.7876499024129719</v>
      </c>
      <c r="FQ24">
        <v>4.1608013067930472</v>
      </c>
      <c r="FR24">
        <v>447.39786336115594</v>
      </c>
      <c r="FS24">
        <v>29.293626402127892</v>
      </c>
      <c r="FT24">
        <v>12.086723075864001</v>
      </c>
      <c r="FU24">
        <v>7.4297715194679093</v>
      </c>
      <c r="FV24">
        <v>2.8299233233342971</v>
      </c>
      <c r="FW24">
        <v>4.2315923644341922</v>
      </c>
      <c r="FX24">
        <v>455.28407712635078</v>
      </c>
      <c r="FY24">
        <v>29.399336584979949</v>
      </c>
      <c r="FZ24">
        <v>12.193862887871544</v>
      </c>
      <c r="GB24">
        <v>28</v>
      </c>
      <c r="GC24">
        <v>7.0308068076167762</v>
      </c>
      <c r="GD24">
        <v>2.4993144912243026</v>
      </c>
      <c r="GE24">
        <v>4.0069562749844696</v>
      </c>
      <c r="GF24">
        <v>451.0127467165932</v>
      </c>
      <c r="GG24">
        <v>28.299179057259586</v>
      </c>
      <c r="GH24">
        <v>11.35054098860688</v>
      </c>
      <c r="GI24">
        <v>7.0515937528398807</v>
      </c>
      <c r="GJ24">
        <v>2.508163925073025</v>
      </c>
      <c r="GK24">
        <v>4.0791072095829364</v>
      </c>
      <c r="GL24">
        <v>459.84383615965345</v>
      </c>
      <c r="GM24">
        <v>28.285411341418232</v>
      </c>
      <c r="GN24">
        <v>11.373235437764585</v>
      </c>
      <c r="GP24">
        <v>28</v>
      </c>
      <c r="GQ24">
        <v>6.7141121933561889</v>
      </c>
      <c r="GR24">
        <v>2.3625346330173902</v>
      </c>
      <c r="GS24">
        <v>3.9127551248747672</v>
      </c>
      <c r="GT24">
        <v>447.7717215707624</v>
      </c>
      <c r="GU24">
        <v>27.79674388216538</v>
      </c>
      <c r="GV24">
        <v>11.127229723899752</v>
      </c>
      <c r="GW24">
        <v>6.7679562828810367</v>
      </c>
      <c r="GX24">
        <v>2.3601927851136377</v>
      </c>
      <c r="GY24">
        <v>4.0026509298212956</v>
      </c>
      <c r="GZ24">
        <v>457.9639822016585</v>
      </c>
      <c r="HA24">
        <v>27.782173016021538</v>
      </c>
      <c r="HB24">
        <v>11.096813877933808</v>
      </c>
      <c r="HD24">
        <v>28</v>
      </c>
      <c r="HE24">
        <v>6.2908781181290045</v>
      </c>
      <c r="HF24">
        <v>2.1236310939146983</v>
      </c>
      <c r="HG24">
        <v>3.6334324351822254</v>
      </c>
      <c r="HH24">
        <v>449.58210519492854</v>
      </c>
      <c r="HI24">
        <v>26.743417160116973</v>
      </c>
      <c r="HJ24">
        <v>10.551032204950777</v>
      </c>
      <c r="HK24">
        <v>6.3670926980158971</v>
      </c>
      <c r="HL24">
        <v>2.1318656989242757</v>
      </c>
      <c r="HM24">
        <v>3.7678074222913067</v>
      </c>
      <c r="HN24">
        <v>459.0345981749964</v>
      </c>
      <c r="HO24">
        <v>26.844100755712375</v>
      </c>
      <c r="HP24">
        <v>10.573525408316836</v>
      </c>
    </row>
    <row r="25" spans="2:224" x14ac:dyDescent="0.2">
      <c r="B25">
        <v>587.30167343183086</v>
      </c>
      <c r="C25">
        <v>1.7027024529942392</v>
      </c>
      <c r="D25">
        <v>611.21026590656504</v>
      </c>
      <c r="E25">
        <v>1.6360981740330729</v>
      </c>
      <c r="F25">
        <v>663.30370515135735</v>
      </c>
      <c r="G25">
        <v>1.5076050265267444</v>
      </c>
      <c r="H25">
        <v>706.5765463855206</v>
      </c>
      <c r="I25">
        <v>1.4152748277811962</v>
      </c>
      <c r="J25">
        <v>760.32372882296875</v>
      </c>
      <c r="K25">
        <v>1.3152292399818508</v>
      </c>
      <c r="L25">
        <v>626.3878238943181</v>
      </c>
      <c r="M25">
        <v>1.5964550424733612</v>
      </c>
      <c r="N25">
        <v>648.74598333522647</v>
      </c>
      <c r="O25">
        <v>1.5414353625111696</v>
      </c>
      <c r="Q25">
        <v>5.0133536326416261E-2</v>
      </c>
      <c r="R25">
        <v>5.040763664577802E-2</v>
      </c>
      <c r="S25">
        <v>5.0621299900432376E-2</v>
      </c>
      <c r="T25">
        <v>5.1024962378781395E-2</v>
      </c>
      <c r="U25">
        <v>5.1202260464364664E-2</v>
      </c>
      <c r="V25">
        <v>5.0594095341597083E-2</v>
      </c>
      <c r="W25">
        <v>5.0375995214365296E-2</v>
      </c>
      <c r="Y25">
        <v>1.0477224353929162</v>
      </c>
      <c r="Z25">
        <v>1.0497985624789903</v>
      </c>
      <c r="AA25">
        <v>1.065927539258851</v>
      </c>
      <c r="AB25">
        <v>1.0692363298049972</v>
      </c>
      <c r="AC25">
        <v>1.0882900933210133</v>
      </c>
      <c r="AD25">
        <v>1.0647998418155586</v>
      </c>
      <c r="AE25">
        <v>1.053722694034716</v>
      </c>
      <c r="AG25">
        <v>0.44889700035466867</v>
      </c>
      <c r="AH25">
        <v>0.44981341853456702</v>
      </c>
      <c r="AI25">
        <v>0.45850884132118641</v>
      </c>
      <c r="AJ25">
        <v>0.45724931917443884</v>
      </c>
      <c r="AK25">
        <v>0.46640883920171866</v>
      </c>
      <c r="AL25">
        <v>0.45721123109996009</v>
      </c>
      <c r="AM25">
        <v>0.45213004148186203</v>
      </c>
      <c r="AO25">
        <v>29</v>
      </c>
      <c r="AP25">
        <v>7.148611375226559</v>
      </c>
      <c r="AQ25">
        <v>2.937277420037578</v>
      </c>
      <c r="AR25">
        <v>4.0383314681111635</v>
      </c>
      <c r="AS25">
        <v>435.29056593320917</v>
      </c>
      <c r="AT25">
        <v>29.029708430925435</v>
      </c>
      <c r="AU25">
        <v>12.509688108571929</v>
      </c>
      <c r="AV25">
        <v>7.2968791465904239</v>
      </c>
      <c r="AW25">
        <v>2.9644693411263616</v>
      </c>
      <c r="AX25">
        <v>4.1554115616867815</v>
      </c>
      <c r="AY25">
        <v>448.04545229469448</v>
      </c>
      <c r="AZ25">
        <v>29.032830942931994</v>
      </c>
      <c r="BA25">
        <v>12.4421367366401</v>
      </c>
      <c r="BB25">
        <v>7.8168778576276168</v>
      </c>
      <c r="BC25">
        <v>3.0706348743491798</v>
      </c>
      <c r="BD25">
        <v>4.3781971753727982</v>
      </c>
      <c r="BE25">
        <v>475.4059304313397</v>
      </c>
      <c r="BF25">
        <v>29.47962316298025</v>
      </c>
      <c r="BG25">
        <v>12.41733215621009</v>
      </c>
      <c r="BH25">
        <v>8.0265363080716234</v>
      </c>
      <c r="BI25">
        <v>3.1193655281417314</v>
      </c>
      <c r="BJ25">
        <v>4.5470002375350145</v>
      </c>
      <c r="BK25">
        <v>495.50573479171572</v>
      </c>
      <c r="BL25">
        <v>29.52294298601225</v>
      </c>
      <c r="BM25">
        <v>12.384923601460802</v>
      </c>
      <c r="BN25">
        <v>8.2076151510068502</v>
      </c>
      <c r="BO25">
        <v>3.1730931135886928</v>
      </c>
      <c r="BP25">
        <v>4.7630267451647077</v>
      </c>
      <c r="BQ25">
        <v>520.36367541162508</v>
      </c>
      <c r="BR25">
        <v>29.425728190993159</v>
      </c>
      <c r="BS25">
        <v>12.337632123242848</v>
      </c>
      <c r="BU25">
        <v>29</v>
      </c>
      <c r="BV25">
        <v>6.8323082088653138</v>
      </c>
      <c r="BW25">
        <v>2.594031501931243</v>
      </c>
      <c r="BX25">
        <v>3.9025597246393842</v>
      </c>
      <c r="BY25">
        <v>439.12576018484111</v>
      </c>
      <c r="BZ25">
        <v>28.055869553693377</v>
      </c>
      <c r="CA25">
        <v>11.618774758680178</v>
      </c>
      <c r="CB25">
        <v>6.9313584309184195</v>
      </c>
      <c r="CC25">
        <v>2.5925547419345247</v>
      </c>
      <c r="CD25">
        <v>4.0073944666015322</v>
      </c>
      <c r="CE25">
        <v>451.90076229459942</v>
      </c>
      <c r="CF25">
        <v>27.976290837295743</v>
      </c>
      <c r="CG25">
        <v>11.512988285460759</v>
      </c>
      <c r="CH25">
        <v>7.4473026126708834</v>
      </c>
      <c r="CI25">
        <v>2.7656916877850084</v>
      </c>
      <c r="CJ25">
        <v>4.2170434512735433</v>
      </c>
      <c r="CK25">
        <v>479.97664650950833</v>
      </c>
      <c r="CL25">
        <v>28.428909058046962</v>
      </c>
      <c r="CM25">
        <v>11.663755312568062</v>
      </c>
      <c r="CN25">
        <v>7.6535580139077819</v>
      </c>
      <c r="CO25">
        <v>2.7792337363107866</v>
      </c>
      <c r="CP25">
        <v>4.3910621543991182</v>
      </c>
      <c r="CQ25">
        <v>500.65845596351124</v>
      </c>
      <c r="CR25">
        <v>28.474120617615355</v>
      </c>
      <c r="CS25">
        <v>11.578090429920996</v>
      </c>
      <c r="CT25">
        <v>7.7745304322137772</v>
      </c>
      <c r="CU25">
        <v>2.7925338279816878</v>
      </c>
      <c r="CV25">
        <v>4.5487708094838482</v>
      </c>
      <c r="CW25">
        <v>524.3974772965804</v>
      </c>
      <c r="CX25">
        <v>28.373506735846806</v>
      </c>
      <c r="CY25">
        <v>11.517020148638991</v>
      </c>
      <c r="DA25">
        <v>29</v>
      </c>
      <c r="DB25">
        <v>6.5929130261434805</v>
      </c>
      <c r="DC25">
        <v>2.3129364365543208</v>
      </c>
      <c r="DD25">
        <v>3.8839557974427632</v>
      </c>
      <c r="DE25">
        <v>438.84955721081599</v>
      </c>
      <c r="DF25">
        <v>27.528021081919789</v>
      </c>
      <c r="DG25">
        <v>10.985560207889247</v>
      </c>
      <c r="DH25">
        <v>6.7168465855206589</v>
      </c>
      <c r="DI25">
        <v>2.3969315673179268</v>
      </c>
      <c r="DJ25">
        <v>3.9737480668520044</v>
      </c>
      <c r="DK25">
        <v>451.39502469094282</v>
      </c>
      <c r="DL25">
        <v>27.532415357614305</v>
      </c>
      <c r="DM25">
        <v>11.092512619739512</v>
      </c>
      <c r="DN25">
        <v>7.1830718919487007</v>
      </c>
      <c r="DO25">
        <v>2.424133033766136</v>
      </c>
      <c r="DP25">
        <v>4.1670390514447959</v>
      </c>
      <c r="DQ25">
        <v>479.03608904815479</v>
      </c>
      <c r="DR25">
        <v>27.933139107475199</v>
      </c>
      <c r="DS25">
        <v>10.973644004693295</v>
      </c>
      <c r="DT25">
        <v>7.295752794838462</v>
      </c>
      <c r="DU25">
        <v>2.3775506365015331</v>
      </c>
      <c r="DV25">
        <v>4.3052431925458681</v>
      </c>
      <c r="DW25">
        <v>497.49062177229143</v>
      </c>
      <c r="DX25">
        <v>27.936213138558582</v>
      </c>
      <c r="DY25">
        <v>10.844396942843801</v>
      </c>
      <c r="DZ25">
        <v>7.3929634146506471</v>
      </c>
      <c r="EA25">
        <v>2.4154745544426128</v>
      </c>
      <c r="EB25">
        <v>4.4497396014480213</v>
      </c>
      <c r="EC25">
        <v>520.93448286362741</v>
      </c>
      <c r="ED25">
        <v>27.829657689540337</v>
      </c>
      <c r="EE25">
        <v>10.869768127565935</v>
      </c>
      <c r="EG25">
        <v>29</v>
      </c>
      <c r="EH25">
        <v>6.3702161204838026</v>
      </c>
      <c r="EI25">
        <v>2.1222171480499599</v>
      </c>
      <c r="EJ25">
        <v>3.6242944001733561</v>
      </c>
      <c r="EK25">
        <v>439.978484103131</v>
      </c>
      <c r="EL25">
        <v>26.951233720445572</v>
      </c>
      <c r="EM25">
        <v>10.523898580811633</v>
      </c>
      <c r="EN25">
        <v>6.4577254708159391</v>
      </c>
      <c r="EO25">
        <v>2.1610727956776414</v>
      </c>
      <c r="EP25">
        <v>3.7214354350022987</v>
      </c>
      <c r="EQ25">
        <v>451.08053974009169</v>
      </c>
      <c r="ER25">
        <v>26.97716510328393</v>
      </c>
      <c r="ES25">
        <v>10.577371036624132</v>
      </c>
      <c r="ET25">
        <v>6.5128437457225363</v>
      </c>
      <c r="EU25">
        <v>2.1939843997907413</v>
      </c>
      <c r="EV25">
        <v>3.8974173404584849</v>
      </c>
      <c r="EW25">
        <v>477.53128754953866</v>
      </c>
      <c r="EX25">
        <v>26.617635112208681</v>
      </c>
      <c r="EY25">
        <v>10.526269175856159</v>
      </c>
      <c r="EZ25">
        <v>6.6522305882077459</v>
      </c>
      <c r="FA25">
        <v>2.1695413628627809</v>
      </c>
      <c r="FB25">
        <v>4.0245703005240374</v>
      </c>
      <c r="FC25">
        <v>493.82003798489916</v>
      </c>
      <c r="FD25">
        <v>26.840712846973151</v>
      </c>
      <c r="FE25">
        <v>10.503778917859066</v>
      </c>
      <c r="FF25">
        <v>6.7229549826327393</v>
      </c>
      <c r="FG25">
        <v>2.1930489152782404</v>
      </c>
      <c r="FH25">
        <v>4.1593155928790768</v>
      </c>
      <c r="FI25">
        <v>505.22752465715877</v>
      </c>
      <c r="FJ25">
        <v>27.368698714777423</v>
      </c>
      <c r="FK25">
        <v>10.767448592410425</v>
      </c>
      <c r="FN25">
        <v>29</v>
      </c>
      <c r="FO25">
        <v>7.5132900924722783</v>
      </c>
      <c r="FP25">
        <v>2.8705774038349832</v>
      </c>
      <c r="FQ25">
        <v>4.226697555940512</v>
      </c>
      <c r="FR25">
        <v>457.46496644877305</v>
      </c>
      <c r="FS25">
        <v>29.218101711046632</v>
      </c>
      <c r="FT25">
        <v>12.122385346412448</v>
      </c>
      <c r="FU25">
        <v>7.6052676596380913</v>
      </c>
      <c r="FV25">
        <v>2.9183422926484273</v>
      </c>
      <c r="FW25">
        <v>4.3073274851922569</v>
      </c>
      <c r="FX25">
        <v>466.21491094271289</v>
      </c>
      <c r="FY25">
        <v>29.315128725262557</v>
      </c>
      <c r="FZ25">
        <v>12.202123700802302</v>
      </c>
      <c r="GB25">
        <v>29</v>
      </c>
      <c r="GC25">
        <v>7.164114703179437</v>
      </c>
      <c r="GD25">
        <v>2.5676091573087261</v>
      </c>
      <c r="GE25">
        <v>4.0717786061615486</v>
      </c>
      <c r="GF25">
        <v>461.26191457293845</v>
      </c>
      <c r="GG25">
        <v>28.220588169955182</v>
      </c>
      <c r="GH25">
        <v>11.365773313635261</v>
      </c>
      <c r="GI25">
        <v>7.2196836809965257</v>
      </c>
      <c r="GJ25">
        <v>2.5826274031172725</v>
      </c>
      <c r="GK25">
        <v>4.1529680372229327</v>
      </c>
      <c r="GL25">
        <v>470.84497264524003</v>
      </c>
      <c r="GM25">
        <v>28.207938750336684</v>
      </c>
      <c r="GN25">
        <v>11.369128770508649</v>
      </c>
      <c r="GP25">
        <v>29</v>
      </c>
      <c r="GQ25">
        <v>6.9297822926087429</v>
      </c>
      <c r="GR25">
        <v>2.4122055498300559</v>
      </c>
      <c r="GS25">
        <v>4.0279120914821256</v>
      </c>
      <c r="GT25">
        <v>460.85825618356199</v>
      </c>
      <c r="GU25">
        <v>27.736836538273543</v>
      </c>
      <c r="GV25">
        <v>11.038523631753032</v>
      </c>
      <c r="GW25">
        <v>6.9937325089491731</v>
      </c>
      <c r="GX25">
        <v>2.4190875083486376</v>
      </c>
      <c r="GY25">
        <v>4.1158481419625712</v>
      </c>
      <c r="GZ25">
        <v>470.91918081530213</v>
      </c>
      <c r="HA25">
        <v>27.723684889263485</v>
      </c>
      <c r="HB25">
        <v>11.020059155791962</v>
      </c>
      <c r="HD25">
        <v>29</v>
      </c>
      <c r="HE25">
        <v>6.4572423468242963</v>
      </c>
      <c r="HF25">
        <v>2.1714247095113546</v>
      </c>
      <c r="HG25">
        <v>3.7432396099812522</v>
      </c>
      <c r="HH25">
        <v>461.64839194904209</v>
      </c>
      <c r="HI25">
        <v>26.66577072069957</v>
      </c>
      <c r="HJ25">
        <v>10.498063019327054</v>
      </c>
      <c r="HK25">
        <v>6.5458498727392245</v>
      </c>
      <c r="HL25">
        <v>2.1872957948934095</v>
      </c>
      <c r="HM25">
        <v>3.8707490955441433</v>
      </c>
      <c r="HN25">
        <v>471.12122848644032</v>
      </c>
      <c r="HO25">
        <v>26.761121296801115</v>
      </c>
      <c r="HP25">
        <v>10.523332885368349</v>
      </c>
    </row>
    <row r="26" spans="2:224" x14ac:dyDescent="0.2">
      <c r="B26">
        <v>596.02378934832541</v>
      </c>
      <c r="C26">
        <v>1.6777853801664027</v>
      </c>
      <c r="D26">
        <v>621.2911368689621</v>
      </c>
      <c r="E26">
        <v>1.609551369168996</v>
      </c>
      <c r="F26">
        <v>677.03825970215905</v>
      </c>
      <c r="G26">
        <v>1.4770214026603421</v>
      </c>
      <c r="H26">
        <v>723.29531678206706</v>
      </c>
      <c r="I26">
        <v>1.3825611431427332</v>
      </c>
      <c r="J26">
        <v>779.89115764781764</v>
      </c>
      <c r="K26">
        <v>1.2822302063483311</v>
      </c>
      <c r="L26">
        <v>638.99613130103455</v>
      </c>
      <c r="M26">
        <v>1.5649547016254071</v>
      </c>
      <c r="N26">
        <v>659.89860679035303</v>
      </c>
      <c r="O26">
        <v>1.515384317696697</v>
      </c>
      <c r="Q26">
        <v>5.1763477958966304E-2</v>
      </c>
      <c r="R26">
        <v>5.2051319006822395E-2</v>
      </c>
      <c r="S26">
        <v>5.2293204378288868E-2</v>
      </c>
      <c r="T26">
        <v>5.2723191755459926E-2</v>
      </c>
      <c r="U26">
        <v>5.2917312366270834E-2</v>
      </c>
      <c r="V26">
        <v>5.2262146856469155E-2</v>
      </c>
      <c r="W26">
        <v>5.202313556049367E-2</v>
      </c>
      <c r="Y26">
        <v>1.0775968291674969</v>
      </c>
      <c r="Z26">
        <v>1.0794109252263708</v>
      </c>
      <c r="AA26">
        <v>1.0976776892226918</v>
      </c>
      <c r="AB26">
        <v>1.1013451981878446</v>
      </c>
      <c r="AC26">
        <v>1.1209900243988045</v>
      </c>
      <c r="AD26">
        <v>1.0951584065126363</v>
      </c>
      <c r="AE26">
        <v>1.084583605596757</v>
      </c>
      <c r="AG26">
        <v>0.45881460675689423</v>
      </c>
      <c r="AH26">
        <v>0.45966649955794436</v>
      </c>
      <c r="AI26">
        <v>0.46933115327960501</v>
      </c>
      <c r="AJ26">
        <v>0.46807892097491227</v>
      </c>
      <c r="AK26">
        <v>0.47757497498517476</v>
      </c>
      <c r="AL26">
        <v>0.46738386358797546</v>
      </c>
      <c r="AM26">
        <v>0.4625704086537244</v>
      </c>
      <c r="AO26">
        <v>30</v>
      </c>
      <c r="AP26">
        <v>7.3641550523999699</v>
      </c>
      <c r="AQ26">
        <v>3.0344342730152047</v>
      </c>
      <c r="AR26">
        <v>4.1397224453263552</v>
      </c>
      <c r="AS26">
        <v>446.89329910754611</v>
      </c>
      <c r="AT26">
        <v>28.940692030735203</v>
      </c>
      <c r="AU26">
        <v>12.485651220481703</v>
      </c>
      <c r="AV26">
        <v>7.5256603387943608</v>
      </c>
      <c r="AW26">
        <v>3.0633989558166088</v>
      </c>
      <c r="AX26">
        <v>4.266200970611151</v>
      </c>
      <c r="AY26">
        <v>460.55147542881349</v>
      </c>
      <c r="AZ26">
        <v>28.945743164291503</v>
      </c>
      <c r="BA26">
        <v>12.412559856621538</v>
      </c>
      <c r="BB26">
        <v>8.0868911078358519</v>
      </c>
      <c r="BC26">
        <v>3.1783958824107907</v>
      </c>
      <c r="BD26">
        <v>4.5072215403139069</v>
      </c>
      <c r="BE26">
        <v>489.94780490088067</v>
      </c>
      <c r="BF26">
        <v>29.417698094205544</v>
      </c>
      <c r="BG26">
        <v>12.388437522843466</v>
      </c>
      <c r="BH26">
        <v>8.3213373461166036</v>
      </c>
      <c r="BI26">
        <v>3.2342829651346658</v>
      </c>
      <c r="BJ26">
        <v>4.6928092011195082</v>
      </c>
      <c r="BK26">
        <v>511.74805052678943</v>
      </c>
      <c r="BL26">
        <v>29.467252040540657</v>
      </c>
      <c r="BM26">
        <v>12.355915394193525</v>
      </c>
      <c r="BN26">
        <v>8.5096419516427826</v>
      </c>
      <c r="BO26">
        <v>3.2894237385004037</v>
      </c>
      <c r="BP26">
        <v>4.9213529480396838</v>
      </c>
      <c r="BQ26">
        <v>538.92230749522037</v>
      </c>
      <c r="BR26">
        <v>29.312100666465902</v>
      </c>
      <c r="BS26">
        <v>12.283679549290358</v>
      </c>
      <c r="BU26">
        <v>30</v>
      </c>
      <c r="BV26">
        <v>7.045514007432268</v>
      </c>
      <c r="BW26">
        <v>2.6703555597841691</v>
      </c>
      <c r="BX26">
        <v>4.0021529231471664</v>
      </c>
      <c r="BY26">
        <v>451.0026789330239</v>
      </c>
      <c r="BZ26">
        <v>27.970477525647638</v>
      </c>
      <c r="CA26">
        <v>11.564621222506632</v>
      </c>
      <c r="CB26">
        <v>7.1542492277701228</v>
      </c>
      <c r="CC26">
        <v>2.669710610520299</v>
      </c>
      <c r="CD26">
        <v>4.1154908311867811</v>
      </c>
      <c r="CE26">
        <v>464.68513764566933</v>
      </c>
      <c r="CF26">
        <v>27.888978064445059</v>
      </c>
      <c r="CG26">
        <v>11.454927173887866</v>
      </c>
      <c r="CH26">
        <v>7.7110261240004245</v>
      </c>
      <c r="CI26">
        <v>2.8565384706598138</v>
      </c>
      <c r="CJ26">
        <v>4.3423846078772126</v>
      </c>
      <c r="CK26">
        <v>494.77765715846743</v>
      </c>
      <c r="CL26">
        <v>28.370868044596325</v>
      </c>
      <c r="CM26">
        <v>11.61699659545655</v>
      </c>
      <c r="CN26">
        <v>7.9414687307050809</v>
      </c>
      <c r="CO26">
        <v>2.8742640374552169</v>
      </c>
      <c r="CP26">
        <v>4.5334329609946806</v>
      </c>
      <c r="CQ26">
        <v>517.18727137883195</v>
      </c>
      <c r="CR26">
        <v>28.422857607315763</v>
      </c>
      <c r="CS26">
        <v>11.529859719623985</v>
      </c>
      <c r="CT26">
        <v>8.0655482200571171</v>
      </c>
      <c r="CU26">
        <v>2.8864003155409539</v>
      </c>
      <c r="CV26">
        <v>4.6994799048881815</v>
      </c>
      <c r="CW26">
        <v>543.24506592781711</v>
      </c>
      <c r="CX26">
        <v>28.261372555491032</v>
      </c>
      <c r="CY26">
        <v>11.444053327309968</v>
      </c>
      <c r="DA26">
        <v>30</v>
      </c>
      <c r="DB26">
        <v>6.8059342553615618</v>
      </c>
      <c r="DC26">
        <v>2.3813653412122426</v>
      </c>
      <c r="DD26">
        <v>3.9866642785407005</v>
      </c>
      <c r="DE26">
        <v>450.71763343031415</v>
      </c>
      <c r="DF26">
        <v>27.456615018248783</v>
      </c>
      <c r="DG26">
        <v>10.930757015491794</v>
      </c>
      <c r="DH26">
        <v>6.9362759703755978</v>
      </c>
      <c r="DI26">
        <v>2.4705006925852571</v>
      </c>
      <c r="DJ26">
        <v>4.0816829452297911</v>
      </c>
      <c r="DK26">
        <v>463.92635468429933</v>
      </c>
      <c r="DL26">
        <v>27.464747851951245</v>
      </c>
      <c r="DM26">
        <v>11.044262609462747</v>
      </c>
      <c r="DN26">
        <v>7.4435803599752726</v>
      </c>
      <c r="DO26">
        <v>2.502541571762201</v>
      </c>
      <c r="DP26">
        <v>4.2921468352257639</v>
      </c>
      <c r="DQ26">
        <v>493.73906299066005</v>
      </c>
      <c r="DR26">
        <v>27.888872667327782</v>
      </c>
      <c r="DS26">
        <v>10.924461652170926</v>
      </c>
      <c r="DT26">
        <v>7.5644339018506708</v>
      </c>
      <c r="DU26">
        <v>2.4538689872018633</v>
      </c>
      <c r="DV26">
        <v>4.4400385787898973</v>
      </c>
      <c r="DW26">
        <v>513.45830986641477</v>
      </c>
      <c r="DX26">
        <v>27.894972321294524</v>
      </c>
      <c r="DY26">
        <v>10.794842601654869</v>
      </c>
      <c r="DZ26">
        <v>7.6630595644809745</v>
      </c>
      <c r="EA26">
        <v>2.4927113744812477</v>
      </c>
      <c r="EB26">
        <v>4.5913795063666933</v>
      </c>
      <c r="EC26">
        <v>539.14165818565618</v>
      </c>
      <c r="ED26">
        <v>27.72993389502458</v>
      </c>
      <c r="EE26">
        <v>10.800939743392988</v>
      </c>
      <c r="EG26">
        <v>30</v>
      </c>
      <c r="EH26">
        <v>6.5746240063910966</v>
      </c>
      <c r="EI26">
        <v>2.1860542237984677</v>
      </c>
      <c r="EJ26">
        <v>3.7159474139686028</v>
      </c>
      <c r="EK26">
        <v>451.71290870974588</v>
      </c>
      <c r="EL26">
        <v>26.884045286084692</v>
      </c>
      <c r="EM26">
        <v>10.474294015030457</v>
      </c>
      <c r="EN26">
        <v>6.6705617086031959</v>
      </c>
      <c r="EO26">
        <v>2.2270882984312412</v>
      </c>
      <c r="EP26">
        <v>3.8187296055842799</v>
      </c>
      <c r="EQ26">
        <v>463.54033205538531</v>
      </c>
      <c r="ER26">
        <v>26.914391755701889</v>
      </c>
      <c r="ES26">
        <v>10.528344053235539</v>
      </c>
      <c r="ET26">
        <v>6.719188457712284</v>
      </c>
      <c r="EU26">
        <v>2.2649466163240839</v>
      </c>
      <c r="EV26">
        <v>4.0105447977274249</v>
      </c>
      <c r="EW26">
        <v>491.87685460182757</v>
      </c>
      <c r="EX26">
        <v>26.521747942235432</v>
      </c>
      <c r="EY26">
        <v>10.482783355513057</v>
      </c>
      <c r="EZ26">
        <v>6.8835199398767779</v>
      </c>
      <c r="FA26">
        <v>2.2398223570211027</v>
      </c>
      <c r="FB26">
        <v>4.1465189184798872</v>
      </c>
      <c r="FC26">
        <v>509.64691902623275</v>
      </c>
      <c r="FD26">
        <v>26.767534288157304</v>
      </c>
      <c r="FE26">
        <v>10.4555817143371</v>
      </c>
      <c r="FF26">
        <v>6.9595905871677584</v>
      </c>
      <c r="FG26">
        <v>2.2634160888725083</v>
      </c>
      <c r="FH26">
        <v>4.2876822356717987</v>
      </c>
      <c r="FI26">
        <v>523.34485060656584</v>
      </c>
      <c r="FJ26">
        <v>27.222764392764287</v>
      </c>
      <c r="FK26">
        <v>10.68882453151882</v>
      </c>
      <c r="FN26">
        <v>30</v>
      </c>
      <c r="FO26">
        <v>7.7684334453335229</v>
      </c>
      <c r="FP26">
        <v>2.9667047364059971</v>
      </c>
      <c r="FQ26">
        <v>4.3503016166025903</v>
      </c>
      <c r="FR26">
        <v>471.43455726463384</v>
      </c>
      <c r="FS26">
        <v>29.143415739245555</v>
      </c>
      <c r="FT26">
        <v>12.081290239251484</v>
      </c>
      <c r="FU26">
        <v>7.8492467535037376</v>
      </c>
      <c r="FV26">
        <v>3.009181879084712</v>
      </c>
      <c r="FW26">
        <v>4.4236126685091817</v>
      </c>
      <c r="FX26">
        <v>479.45212554349928</v>
      </c>
      <c r="FY26">
        <v>29.231989157343353</v>
      </c>
      <c r="FZ26">
        <v>12.154037012094175</v>
      </c>
      <c r="GB26">
        <v>30</v>
      </c>
      <c r="GC26">
        <v>7.4113507334050244</v>
      </c>
      <c r="GD26">
        <v>2.6441787520554314</v>
      </c>
      <c r="GE26">
        <v>4.1921847056049701</v>
      </c>
      <c r="GF26">
        <v>475.50550053705575</v>
      </c>
      <c r="GG26">
        <v>28.142956430929939</v>
      </c>
      <c r="GH26">
        <v>11.299578500580951</v>
      </c>
      <c r="GI26">
        <v>7.4593726222219923</v>
      </c>
      <c r="GJ26">
        <v>2.656878851133218</v>
      </c>
      <c r="GK26">
        <v>4.2660732125648231</v>
      </c>
      <c r="GL26">
        <v>484.3506945743319</v>
      </c>
      <c r="GM26">
        <v>28.131404283513401</v>
      </c>
      <c r="GN26">
        <v>11.303743161229619</v>
      </c>
      <c r="GP26">
        <v>30</v>
      </c>
      <c r="GQ26">
        <v>7.1719735663559012</v>
      </c>
      <c r="GR26">
        <v>2.4886882899955247</v>
      </c>
      <c r="GS26">
        <v>4.1471417841219811</v>
      </c>
      <c r="GT26">
        <v>474.87049534756778</v>
      </c>
      <c r="GU26">
        <v>27.676500321657823</v>
      </c>
      <c r="GV26">
        <v>10.987250881733088</v>
      </c>
      <c r="GW26">
        <v>7.2307293660989007</v>
      </c>
      <c r="GX26">
        <v>2.494492491399273</v>
      </c>
      <c r="GY26">
        <v>4.2292993591139778</v>
      </c>
      <c r="GZ26">
        <v>484.25633244110259</v>
      </c>
      <c r="HA26">
        <v>27.664732602288357</v>
      </c>
      <c r="HB26">
        <v>10.97061439530812</v>
      </c>
      <c r="HD26">
        <v>30</v>
      </c>
      <c r="HE26">
        <v>6.6715615798816481</v>
      </c>
      <c r="HF26">
        <v>2.2409277633962037</v>
      </c>
      <c r="HG26">
        <v>3.8526104939037982</v>
      </c>
      <c r="HH26">
        <v>475.47894182088771</v>
      </c>
      <c r="HI26">
        <v>26.588646349601891</v>
      </c>
      <c r="HJ26">
        <v>10.452115340976286</v>
      </c>
      <c r="HK26">
        <v>6.7535013301252036</v>
      </c>
      <c r="HL26">
        <v>2.2551688042352969</v>
      </c>
      <c r="HM26">
        <v>3.9721105089170861</v>
      </c>
      <c r="HN26">
        <v>484.26871061700683</v>
      </c>
      <c r="HO26">
        <v>26.678564253125923</v>
      </c>
      <c r="HP26">
        <v>10.476137923653276</v>
      </c>
    </row>
    <row r="27" spans="2:224" x14ac:dyDescent="0.2">
      <c r="B27">
        <v>604.53989126332829</v>
      </c>
      <c r="C27">
        <v>1.6541505605366502</v>
      </c>
      <c r="D27">
        <v>631.1419032470842</v>
      </c>
      <c r="E27">
        <v>1.5844297373621103</v>
      </c>
      <c r="F27">
        <v>690.45811891375786</v>
      </c>
      <c r="G27">
        <v>1.4483137682169911</v>
      </c>
      <c r="H27">
        <v>739.64841676084745</v>
      </c>
      <c r="I27">
        <v>1.3519937004385325</v>
      </c>
      <c r="J27">
        <v>799.03831828670593</v>
      </c>
      <c r="K27">
        <v>1.2515044361629555</v>
      </c>
      <c r="L27">
        <v>651.31797151271792</v>
      </c>
      <c r="M27">
        <v>1.5353483916272892</v>
      </c>
      <c r="N27">
        <v>670.7946992238036</v>
      </c>
      <c r="O27">
        <v>1.4907690850227791</v>
      </c>
      <c r="Q27">
        <v>5.3391654198714215E-2</v>
      </c>
      <c r="R27">
        <v>5.3693023472161171E-2</v>
      </c>
      <c r="S27">
        <v>5.3962572225318146E-2</v>
      </c>
      <c r="T27">
        <v>5.441849172372646E-2</v>
      </c>
      <c r="U27">
        <v>5.4629170325224831E-2</v>
      </c>
      <c r="V27">
        <v>5.39277587280124E-2</v>
      </c>
      <c r="W27">
        <v>5.3668218638577299E-2</v>
      </c>
      <c r="Y27">
        <v>1.1070603479320273</v>
      </c>
      <c r="Z27">
        <v>1.1086396317898373</v>
      </c>
      <c r="AA27">
        <v>1.1289909529105291</v>
      </c>
      <c r="AB27">
        <v>1.1330569590771638</v>
      </c>
      <c r="AC27">
        <v>1.1532922611448484</v>
      </c>
      <c r="AD27">
        <v>1.1251138080365823</v>
      </c>
      <c r="AE27">
        <v>1.1150301627562265</v>
      </c>
      <c r="AG27">
        <v>0.46861281934798255</v>
      </c>
      <c r="AH27">
        <v>0.46941044860142439</v>
      </c>
      <c r="AI27">
        <v>0.48002107197213045</v>
      </c>
      <c r="AJ27">
        <v>0.47879446238242046</v>
      </c>
      <c r="AK27">
        <v>0.48862522613160242</v>
      </c>
      <c r="AL27">
        <v>0.47743938229537913</v>
      </c>
      <c r="AM27">
        <v>0.47288770225950838</v>
      </c>
      <c r="AO27">
        <v>31</v>
      </c>
      <c r="AP27">
        <v>7.5772953502857483</v>
      </c>
      <c r="AQ27">
        <v>3.1305555152920079</v>
      </c>
      <c r="AR27">
        <v>4.2397084747951608</v>
      </c>
      <c r="AS27">
        <v>458.39831142148694</v>
      </c>
      <c r="AT27">
        <v>28.852890084250703</v>
      </c>
      <c r="AU27">
        <v>12.461309255739758</v>
      </c>
      <c r="AV27">
        <v>7.751927050934416</v>
      </c>
      <c r="AW27">
        <v>3.1613022019549479</v>
      </c>
      <c r="AX27">
        <v>4.3754324243644884</v>
      </c>
      <c r="AY27">
        <v>472.95234118079088</v>
      </c>
      <c r="AZ27">
        <v>28.859814840535019</v>
      </c>
      <c r="BA27">
        <v>12.383052561173129</v>
      </c>
      <c r="BB27">
        <v>8.3536566236137713</v>
      </c>
      <c r="BC27">
        <v>3.2849971265498921</v>
      </c>
      <c r="BD27">
        <v>4.6342996449756031</v>
      </c>
      <c r="BE27">
        <v>504.33166738371779</v>
      </c>
      <c r="BF27">
        <v>29.356271367110885</v>
      </c>
      <c r="BG27">
        <v>12.360117213556407</v>
      </c>
      <c r="BH27">
        <v>8.6125929161594819</v>
      </c>
      <c r="BI27">
        <v>3.3479949375074978</v>
      </c>
      <c r="BJ27">
        <v>4.8363738596286918</v>
      </c>
      <c r="BK27">
        <v>527.80848297644752</v>
      </c>
      <c r="BL27">
        <v>29.411932970136753</v>
      </c>
      <c r="BM27">
        <v>12.327697850917348</v>
      </c>
      <c r="BN27">
        <v>8.8080395600895027</v>
      </c>
      <c r="BO27">
        <v>3.4045411516289148</v>
      </c>
      <c r="BP27">
        <v>5.0772051018551121</v>
      </c>
      <c r="BQ27">
        <v>557.3350743754761</v>
      </c>
      <c r="BR27">
        <v>29.200124582858276</v>
      </c>
      <c r="BS27">
        <v>12.231123794803191</v>
      </c>
      <c r="BU27">
        <v>31</v>
      </c>
      <c r="BV27">
        <v>7.2562632601896482</v>
      </c>
      <c r="BW27">
        <v>2.7459370931943092</v>
      </c>
      <c r="BX27">
        <v>4.1003514856638992</v>
      </c>
      <c r="BY27">
        <v>462.77578129568229</v>
      </c>
      <c r="BZ27">
        <v>27.886256208184573</v>
      </c>
      <c r="CA27">
        <v>11.512323924813089</v>
      </c>
      <c r="CB27">
        <v>7.3746290257860583</v>
      </c>
      <c r="CC27">
        <v>2.7461607395188894</v>
      </c>
      <c r="CD27">
        <v>4.2220561366123279</v>
      </c>
      <c r="CE27">
        <v>477.36138187221451</v>
      </c>
      <c r="CF27">
        <v>27.802875292663739</v>
      </c>
      <c r="CG27">
        <v>11.399020624571996</v>
      </c>
      <c r="CH27">
        <v>7.9715132224288539</v>
      </c>
      <c r="CI27">
        <v>2.9464750199116514</v>
      </c>
      <c r="CJ27">
        <v>4.4658268832578107</v>
      </c>
      <c r="CK27">
        <v>509.41314783311225</v>
      </c>
      <c r="CL27">
        <v>28.313273708993755</v>
      </c>
      <c r="CM27">
        <v>11.572289489991977</v>
      </c>
      <c r="CN27">
        <v>8.2258505720521757</v>
      </c>
      <c r="CO27">
        <v>2.9683774966748082</v>
      </c>
      <c r="CP27">
        <v>4.6736010285253267</v>
      </c>
      <c r="CQ27">
        <v>533.52516809113899</v>
      </c>
      <c r="CR27">
        <v>28.37190498889407</v>
      </c>
      <c r="CS27">
        <v>11.484080652415182</v>
      </c>
      <c r="CT27">
        <v>8.3530211637267922</v>
      </c>
      <c r="CU27">
        <v>2.9793807973465016</v>
      </c>
      <c r="CV27">
        <v>4.8478374521767611</v>
      </c>
      <c r="CW27">
        <v>561.94383720703934</v>
      </c>
      <c r="CX27">
        <v>28.1509185836474</v>
      </c>
      <c r="CY27">
        <v>11.374221963813381</v>
      </c>
      <c r="DA27">
        <v>31</v>
      </c>
      <c r="DB27">
        <v>7.0155742660146387</v>
      </c>
      <c r="DC27">
        <v>2.4491580069879357</v>
      </c>
      <c r="DD27">
        <v>4.0877000930113878</v>
      </c>
      <c r="DE27">
        <v>462.45673044592706</v>
      </c>
      <c r="DF27">
        <v>27.385037726161858</v>
      </c>
      <c r="DG27">
        <v>10.878521776030704</v>
      </c>
      <c r="DH27">
        <v>7.1523757200251215</v>
      </c>
      <c r="DI27">
        <v>2.5434432100538102</v>
      </c>
      <c r="DJ27">
        <v>4.1879404715353328</v>
      </c>
      <c r="DK27">
        <v>476.32426567900785</v>
      </c>
      <c r="DL27">
        <v>27.396810543261378</v>
      </c>
      <c r="DM27">
        <v>10.998252840221321</v>
      </c>
      <c r="DN27">
        <v>7.7000053408523055</v>
      </c>
      <c r="DO27">
        <v>2.5802513749620082</v>
      </c>
      <c r="DP27">
        <v>4.4151965003440248</v>
      </c>
      <c r="DQ27">
        <v>508.25079517920375</v>
      </c>
      <c r="DR27">
        <v>27.843824620073132</v>
      </c>
      <c r="DS27">
        <v>10.878197976716979</v>
      </c>
      <c r="DT27">
        <v>7.8292644239552782</v>
      </c>
      <c r="DU27">
        <v>2.5297059510044804</v>
      </c>
      <c r="DV27">
        <v>4.5727796295143568</v>
      </c>
      <c r="DW27">
        <v>529.2280995726951</v>
      </c>
      <c r="DX27">
        <v>27.852903581783202</v>
      </c>
      <c r="DY27">
        <v>10.748436296890771</v>
      </c>
      <c r="DZ27">
        <v>7.9293430178714646</v>
      </c>
      <c r="EA27">
        <v>2.5694854239835094</v>
      </c>
      <c r="EB27">
        <v>4.7308751725281821</v>
      </c>
      <c r="EC27">
        <v>557.19285020888299</v>
      </c>
      <c r="ED27">
        <v>27.630571817586834</v>
      </c>
      <c r="EE27">
        <v>10.735562310220617</v>
      </c>
      <c r="EG27">
        <v>31</v>
      </c>
      <c r="EH27">
        <v>6.7755801083341574</v>
      </c>
      <c r="EI27">
        <v>2.2492882794853171</v>
      </c>
      <c r="EJ27">
        <v>3.8061291285046877</v>
      </c>
      <c r="EK27">
        <v>463.31390385323982</v>
      </c>
      <c r="EL27">
        <v>26.816378159534519</v>
      </c>
      <c r="EM27">
        <v>10.427003905878095</v>
      </c>
      <c r="EN27">
        <v>6.8799814718080894</v>
      </c>
      <c r="EO27">
        <v>2.2925440099552628</v>
      </c>
      <c r="EP27">
        <v>3.9145291440415204</v>
      </c>
      <c r="EQ27">
        <v>475.86100053553582</v>
      </c>
      <c r="ER27">
        <v>26.851058190036884</v>
      </c>
      <c r="ES27">
        <v>10.481706847500858</v>
      </c>
      <c r="ET27">
        <v>6.9228031808620267</v>
      </c>
      <c r="EU27">
        <v>2.3352764753118547</v>
      </c>
      <c r="EV27">
        <v>4.1218301812454943</v>
      </c>
      <c r="EW27">
        <v>506.09822991977785</v>
      </c>
      <c r="EX27">
        <v>26.426577002871909</v>
      </c>
      <c r="EY27">
        <v>10.440419586076423</v>
      </c>
      <c r="EZ27">
        <v>7.1116255198761538</v>
      </c>
      <c r="FA27">
        <v>2.3096531104062885</v>
      </c>
      <c r="FB27">
        <v>4.2666277039802623</v>
      </c>
      <c r="FC27">
        <v>525.31498929488862</v>
      </c>
      <c r="FD27">
        <v>26.694270317532624</v>
      </c>
      <c r="FE27">
        <v>10.40960525707332</v>
      </c>
      <c r="FF27">
        <v>7.1929320556212177</v>
      </c>
      <c r="FG27">
        <v>2.3333589658389498</v>
      </c>
      <c r="FH27">
        <v>4.4141243615485459</v>
      </c>
      <c r="FI27">
        <v>541.36402394473839</v>
      </c>
      <c r="FJ27">
        <v>27.078168207181385</v>
      </c>
      <c r="FK27">
        <v>10.613287640016569</v>
      </c>
      <c r="FN27">
        <v>31</v>
      </c>
      <c r="FO27">
        <v>8.0205467435926074</v>
      </c>
      <c r="FP27">
        <v>3.0621037616626681</v>
      </c>
      <c r="FQ27">
        <v>4.4720592935923156</v>
      </c>
      <c r="FR27">
        <v>485.26574080652085</v>
      </c>
      <c r="FS27">
        <v>29.069560620459701</v>
      </c>
      <c r="FT27">
        <v>12.041973433557514</v>
      </c>
      <c r="FU27">
        <v>8.0904786346942839</v>
      </c>
      <c r="FV27">
        <v>3.0994194695227093</v>
      </c>
      <c r="FW27">
        <v>4.5382379405944659</v>
      </c>
      <c r="FX27">
        <v>492.57047717286093</v>
      </c>
      <c r="FY27">
        <v>29.149908428642231</v>
      </c>
      <c r="FZ27">
        <v>12.108009937560592</v>
      </c>
      <c r="GB27">
        <v>31</v>
      </c>
      <c r="GC27">
        <v>7.6556107084717961</v>
      </c>
      <c r="GD27">
        <v>2.720277592887006</v>
      </c>
      <c r="GE27">
        <v>4.3107817724869228</v>
      </c>
      <c r="GF27">
        <v>489.60987751565398</v>
      </c>
      <c r="GG27">
        <v>28.066275754102371</v>
      </c>
      <c r="GH27">
        <v>11.236968947907231</v>
      </c>
      <c r="GI27">
        <v>7.696275875305755</v>
      </c>
      <c r="GJ27">
        <v>2.7307183721175208</v>
      </c>
      <c r="GK27">
        <v>4.377555430896015</v>
      </c>
      <c r="GL27">
        <v>497.72887544509763</v>
      </c>
      <c r="GM27">
        <v>28.055799520100994</v>
      </c>
      <c r="GN27">
        <v>11.241757131629333</v>
      </c>
      <c r="GP27">
        <v>31</v>
      </c>
      <c r="GQ27">
        <v>7.4104042896857081</v>
      </c>
      <c r="GR27">
        <v>2.5644938463444511</v>
      </c>
      <c r="GS27">
        <v>4.2644507191011325</v>
      </c>
      <c r="GT27">
        <v>488.71842043324347</v>
      </c>
      <c r="GU27">
        <v>27.615737101818684</v>
      </c>
      <c r="GV27">
        <v>10.938706257379025</v>
      </c>
      <c r="GW27">
        <v>7.4640812816101274</v>
      </c>
      <c r="GX27">
        <v>2.5692442330458727</v>
      </c>
      <c r="GY27">
        <v>4.3409583987370661</v>
      </c>
      <c r="GZ27">
        <v>497.43989240391551</v>
      </c>
      <c r="HA27">
        <v>27.605319076434533</v>
      </c>
      <c r="HB27">
        <v>10.923677572020869</v>
      </c>
      <c r="HD27">
        <v>31</v>
      </c>
      <c r="HE27">
        <v>6.8826852242418761</v>
      </c>
      <c r="HF27">
        <v>2.3098085404882811</v>
      </c>
      <c r="HG27">
        <v>3.9602241887915235</v>
      </c>
      <c r="HH27">
        <v>489.16832099599992</v>
      </c>
      <c r="HI27">
        <v>26.511529454015395</v>
      </c>
      <c r="HJ27">
        <v>10.407996019584791</v>
      </c>
      <c r="HK27">
        <v>6.9581054697023097</v>
      </c>
      <c r="HL27">
        <v>2.3224557920752531</v>
      </c>
      <c r="HM27">
        <v>4.0718916886409238</v>
      </c>
      <c r="HN27">
        <v>497.29073748629253</v>
      </c>
      <c r="HO27">
        <v>26.596134096734705</v>
      </c>
      <c r="HP27">
        <v>10.430688054497464</v>
      </c>
    </row>
    <row r="28" spans="2:224" x14ac:dyDescent="0.2">
      <c r="B28">
        <v>612.84979725489904</v>
      </c>
      <c r="C28">
        <v>1.6317211892363177</v>
      </c>
      <c r="D28">
        <v>640.76229527324688</v>
      </c>
      <c r="E28">
        <v>1.5606411416164236</v>
      </c>
      <c r="F28">
        <v>703.56278529093561</v>
      </c>
      <c r="G28">
        <v>1.4213372578916073</v>
      </c>
      <c r="H28">
        <v>755.63507172090397</v>
      </c>
      <c r="I28">
        <v>1.3233901355618296</v>
      </c>
      <c r="J28">
        <v>817.76406335766296</v>
      </c>
      <c r="K28">
        <v>1.2228465945227445</v>
      </c>
      <c r="L28">
        <v>663.35286131365842</v>
      </c>
      <c r="M28">
        <v>1.5074933090959595</v>
      </c>
      <c r="N28">
        <v>681.43394918434399</v>
      </c>
      <c r="O28">
        <v>1.467493659799266</v>
      </c>
      <c r="Q28">
        <v>5.5018063486718928E-2</v>
      </c>
      <c r="R28">
        <v>5.5332747722968999E-2</v>
      </c>
      <c r="S28">
        <v>5.5629399431414095E-2</v>
      </c>
      <c r="T28">
        <v>5.6110856078204666E-2</v>
      </c>
      <c r="U28">
        <v>5.6337825621383758E-2</v>
      </c>
      <c r="V28">
        <v>5.5590926841012217E-2</v>
      </c>
      <c r="W28">
        <v>5.5311241950911742E-2</v>
      </c>
      <c r="Y28">
        <v>1.1361129896308628</v>
      </c>
      <c r="Z28">
        <v>1.1374846782411761</v>
      </c>
      <c r="AA28">
        <v>1.1598673236688408</v>
      </c>
      <c r="AB28">
        <v>1.1643716005391054</v>
      </c>
      <c r="AC28">
        <v>1.1851967841134559</v>
      </c>
      <c r="AD28">
        <v>1.1546660374762274</v>
      </c>
      <c r="AE28">
        <v>1.1450623608526949</v>
      </c>
      <c r="AG28">
        <v>0.47829163769505795</v>
      </c>
      <c r="AH28">
        <v>0.47904526495912686</v>
      </c>
      <c r="AI28">
        <v>0.49057859569730555</v>
      </c>
      <c r="AJ28">
        <v>0.48939594114479379</v>
      </c>
      <c r="AK28">
        <v>0.49955958830831487</v>
      </c>
      <c r="AL28">
        <v>0.48737778505086499</v>
      </c>
      <c r="AM28">
        <v>0.48308192117098242</v>
      </c>
      <c r="AO28">
        <v>32</v>
      </c>
      <c r="AP28">
        <v>7.7880322409028651</v>
      </c>
      <c r="AQ28">
        <v>3.2256404792862123</v>
      </c>
      <c r="AR28">
        <v>4.3382895383274951</v>
      </c>
      <c r="AS28">
        <v>469.80327597832803</v>
      </c>
      <c r="AT28">
        <v>28.766297379067371</v>
      </c>
      <c r="AU28">
        <v>12.436727960859912</v>
      </c>
      <c r="AV28">
        <v>7.97567923353132</v>
      </c>
      <c r="AW28">
        <v>3.2581788468260511</v>
      </c>
      <c r="AX28">
        <v>4.4831058918152182</v>
      </c>
      <c r="AY28">
        <v>485.24555722192849</v>
      </c>
      <c r="AZ28">
        <v>28.775043712926848</v>
      </c>
      <c r="BA28">
        <v>12.353650929046681</v>
      </c>
      <c r="BB28">
        <v>8.6171742826245552</v>
      </c>
      <c r="BC28">
        <v>3.3904385658870289</v>
      </c>
      <c r="BD28">
        <v>4.7594314305059608</v>
      </c>
      <c r="BE28">
        <v>518.55571819720967</v>
      </c>
      <c r="BF28">
        <v>29.295337830226632</v>
      </c>
      <c r="BG28">
        <v>12.332336171519978</v>
      </c>
      <c r="BH28">
        <v>8.900302809166412</v>
      </c>
      <c r="BI28">
        <v>3.4605013757180969</v>
      </c>
      <c r="BJ28">
        <v>4.9776941169791984</v>
      </c>
      <c r="BK28">
        <v>543.6851141280963</v>
      </c>
      <c r="BL28">
        <v>29.356987168800831</v>
      </c>
      <c r="BM28">
        <v>12.300209764298616</v>
      </c>
      <c r="BN28">
        <v>9.1028076382104324</v>
      </c>
      <c r="BO28">
        <v>3.5184452394067969</v>
      </c>
      <c r="BP28">
        <v>5.2305830485867713</v>
      </c>
      <c r="BQ28">
        <v>575.598045878025</v>
      </c>
      <c r="BR28">
        <v>29.089735738562002</v>
      </c>
      <c r="BS28">
        <v>12.179865310837652</v>
      </c>
      <c r="BU28">
        <v>32</v>
      </c>
      <c r="BV28">
        <v>7.4645559371754286</v>
      </c>
      <c r="BW28">
        <v>2.8207760956056229</v>
      </c>
      <c r="BX28">
        <v>4.1971553943849536</v>
      </c>
      <c r="BY28">
        <v>474.44263329300782</v>
      </c>
      <c r="BZ28">
        <v>27.803202151478342</v>
      </c>
      <c r="CA28">
        <v>11.461767499769104</v>
      </c>
      <c r="CB28">
        <v>7.5924977744772884</v>
      </c>
      <c r="CC28">
        <v>2.8219051176651115</v>
      </c>
      <c r="CD28">
        <v>4.3270903526388294</v>
      </c>
      <c r="CE28">
        <v>489.92682202903876</v>
      </c>
      <c r="CF28">
        <v>27.717977565036463</v>
      </c>
      <c r="CG28">
        <v>11.3451239036267</v>
      </c>
      <c r="CH28">
        <v>8.2287637850441904</v>
      </c>
      <c r="CI28">
        <v>3.0355013052384878</v>
      </c>
      <c r="CJ28">
        <v>4.5873702207942788</v>
      </c>
      <c r="CK28">
        <v>523.88128506638793</v>
      </c>
      <c r="CL28">
        <v>28.256123806611697</v>
      </c>
      <c r="CM28">
        <v>11.529455913009016</v>
      </c>
      <c r="CN28">
        <v>8.5067033291255001</v>
      </c>
      <c r="CO28">
        <v>3.0615740628963684</v>
      </c>
      <c r="CP28">
        <v>4.8115662644142496</v>
      </c>
      <c r="CQ28">
        <v>549.67021519222396</v>
      </c>
      <c r="CR28">
        <v>28.321267933067105</v>
      </c>
      <c r="CS28">
        <v>11.440520993995184</v>
      </c>
      <c r="CT28">
        <v>8.6369489332391236</v>
      </c>
      <c r="CU28">
        <v>3.0714751908853914</v>
      </c>
      <c r="CV28">
        <v>4.9938433003122524</v>
      </c>
      <c r="CW28">
        <v>580.4896905137407</v>
      </c>
      <c r="CX28">
        <v>28.042076555824394</v>
      </c>
      <c r="CY28">
        <v>11.30724064650537</v>
      </c>
      <c r="DA28">
        <v>32</v>
      </c>
      <c r="DB28">
        <v>7.2218334333342984</v>
      </c>
      <c r="DC28">
        <v>2.5163144264605926</v>
      </c>
      <c r="DD28">
        <v>4.1870636515729602</v>
      </c>
      <c r="DE28">
        <v>474.06603342219586</v>
      </c>
      <c r="DF28">
        <v>27.313287656178726</v>
      </c>
      <c r="DG28">
        <v>10.828638045590228</v>
      </c>
      <c r="DH28">
        <v>7.3651458230555855</v>
      </c>
      <c r="DI28">
        <v>2.61575909831372</v>
      </c>
      <c r="DJ28">
        <v>4.2925206427537788</v>
      </c>
      <c r="DK28">
        <v>488.58796548620046</v>
      </c>
      <c r="DL28">
        <v>27.32860744288211</v>
      </c>
      <c r="DM28">
        <v>10.954290441747045</v>
      </c>
      <c r="DN28">
        <v>7.9523468219206537</v>
      </c>
      <c r="DO28">
        <v>2.6572624203246513</v>
      </c>
      <c r="DP28">
        <v>4.5361884095050371</v>
      </c>
      <c r="DQ28">
        <v>522.57131556463867</v>
      </c>
      <c r="DR28">
        <v>27.798000110249703</v>
      </c>
      <c r="DS28">
        <v>10.834554301534869</v>
      </c>
      <c r="DT28">
        <v>8.0902442760024282</v>
      </c>
      <c r="DU28">
        <v>2.6050615021038497</v>
      </c>
      <c r="DV28">
        <v>4.7034663154344249</v>
      </c>
      <c r="DW28">
        <v>544.80010361374161</v>
      </c>
      <c r="DX28">
        <v>27.810013775078883</v>
      </c>
      <c r="DY28">
        <v>10.704845753889222</v>
      </c>
      <c r="DZ28">
        <v>8.1918136274638229</v>
      </c>
      <c r="EA28">
        <v>2.6457966591386683</v>
      </c>
      <c r="EB28">
        <v>4.8682265404117748</v>
      </c>
      <c r="EC28">
        <v>575.08620607779972</v>
      </c>
      <c r="ED28">
        <v>27.531526348826876</v>
      </c>
      <c r="EE28">
        <v>10.673283460527289</v>
      </c>
      <c r="EG28">
        <v>32</v>
      </c>
      <c r="EH28">
        <v>6.973085725769435</v>
      </c>
      <c r="EI28">
        <v>2.3119193080049487</v>
      </c>
      <c r="EJ28">
        <v>3.894839839905468</v>
      </c>
      <c r="EK28">
        <v>474.78099022577999</v>
      </c>
      <c r="EL28">
        <v>26.748236540136109</v>
      </c>
      <c r="EM28">
        <v>10.38182755555985</v>
      </c>
      <c r="EN28">
        <v>7.0859849116188069</v>
      </c>
      <c r="EO28">
        <v>2.3574399198375486</v>
      </c>
      <c r="EP28">
        <v>4.0088340469092625</v>
      </c>
      <c r="EQ28">
        <v>488.04218344973469</v>
      </c>
      <c r="ER28">
        <v>26.787167671129172</v>
      </c>
      <c r="ES28">
        <v>10.437243899279826</v>
      </c>
      <c r="ET28">
        <v>7.1236878332467928</v>
      </c>
      <c r="EU28">
        <v>2.404973955902177</v>
      </c>
      <c r="EV28">
        <v>4.2312737371008362</v>
      </c>
      <c r="EW28">
        <v>520.1927101430756</v>
      </c>
      <c r="EX28">
        <v>26.33212313805361</v>
      </c>
      <c r="EY28">
        <v>10.399105418065659</v>
      </c>
      <c r="EZ28">
        <v>7.336547239112523</v>
      </c>
      <c r="FA28">
        <v>2.3790335988352744</v>
      </c>
      <c r="FB28">
        <v>4.3848966291978373</v>
      </c>
      <c r="FC28">
        <v>540.82279260392124</v>
      </c>
      <c r="FD28">
        <v>26.620921947379227</v>
      </c>
      <c r="FE28">
        <v>10.365637782439032</v>
      </c>
      <c r="FF28">
        <v>7.4229792583254586</v>
      </c>
      <c r="FG28">
        <v>2.4028775060607361</v>
      </c>
      <c r="FH28">
        <v>4.5386419147624544</v>
      </c>
      <c r="FI28">
        <v>559.28221867679804</v>
      </c>
      <c r="FJ28">
        <v>26.934821389422446</v>
      </c>
      <c r="FK28">
        <v>10.540544186398245</v>
      </c>
      <c r="FN28">
        <v>32</v>
      </c>
      <c r="FO28">
        <v>8.2696298674431361</v>
      </c>
      <c r="FP28">
        <v>3.1567741274261829</v>
      </c>
      <c r="FQ28">
        <v>4.5919705265999529</v>
      </c>
      <c r="FR28">
        <v>498.95623035063289</v>
      </c>
      <c r="FS28">
        <v>28.996529401769013</v>
      </c>
      <c r="FT28">
        <v>12.004304500731571</v>
      </c>
      <c r="FU28">
        <v>8.3289632451956788</v>
      </c>
      <c r="FV28">
        <v>3.1890549106992765</v>
      </c>
      <c r="FW28">
        <v>4.6512032670698176</v>
      </c>
      <c r="FX28">
        <v>505.56757035138548</v>
      </c>
      <c r="FY28">
        <v>29.068878085198001</v>
      </c>
      <c r="FZ28">
        <v>12.063903913876313</v>
      </c>
      <c r="GB28">
        <v>32</v>
      </c>
      <c r="GC28">
        <v>7.8968945099924408</v>
      </c>
      <c r="GD28">
        <v>2.7959056709468144</v>
      </c>
      <c r="GE28">
        <v>4.4275697486864845</v>
      </c>
      <c r="GF28">
        <v>503.57242688751211</v>
      </c>
      <c r="GG28">
        <v>27.990538984089099</v>
      </c>
      <c r="GH28">
        <v>11.177645487814093</v>
      </c>
      <c r="GI28">
        <v>7.9303933796645261</v>
      </c>
      <c r="GJ28">
        <v>2.8041459659073729</v>
      </c>
      <c r="GK28">
        <v>4.4874146589317672</v>
      </c>
      <c r="GL28">
        <v>510.97717874587823</v>
      </c>
      <c r="GM28">
        <v>27.981116956993588</v>
      </c>
      <c r="GN28">
        <v>11.182905780496577</v>
      </c>
      <c r="GP28">
        <v>32</v>
      </c>
      <c r="GQ28">
        <v>7.6450744319322652</v>
      </c>
      <c r="GR28">
        <v>2.6396221910390847</v>
      </c>
      <c r="GS28">
        <v>4.3798388903500562</v>
      </c>
      <c r="GT28">
        <v>502.40139370237807</v>
      </c>
      <c r="GU28">
        <v>27.554548497626037</v>
      </c>
      <c r="GV28">
        <v>10.892626202627428</v>
      </c>
      <c r="GW28">
        <v>7.6937882433754607</v>
      </c>
      <c r="GX28">
        <v>2.6433427193094676</v>
      </c>
      <c r="GY28">
        <v>4.4508252591653035</v>
      </c>
      <c r="GZ28">
        <v>510.46937568528909</v>
      </c>
      <c r="HA28">
        <v>27.545446865793618</v>
      </c>
      <c r="HB28">
        <v>10.879019709744458</v>
      </c>
      <c r="HD28">
        <v>32</v>
      </c>
      <c r="HE28">
        <v>7.0906132281054575</v>
      </c>
      <c r="HF28">
        <v>2.3780670181725578</v>
      </c>
      <c r="HG28">
        <v>4.0660806933067732</v>
      </c>
      <c r="HH28">
        <v>502.71501589422826</v>
      </c>
      <c r="HI28">
        <v>26.434424960594963</v>
      </c>
      <c r="HJ28">
        <v>10.365545582805742</v>
      </c>
      <c r="HK28">
        <v>7.1596622654554141</v>
      </c>
      <c r="HL28">
        <v>2.3891567478017457</v>
      </c>
      <c r="HM28">
        <v>4.1700926609889084</v>
      </c>
      <c r="HN28">
        <v>510.18575033305893</v>
      </c>
      <c r="HO28">
        <v>26.513835554605858</v>
      </c>
      <c r="HP28">
        <v>10.386845231043898</v>
      </c>
    </row>
    <row r="29" spans="2:224" x14ac:dyDescent="0.2">
      <c r="B29">
        <v>620.95332972878566</v>
      </c>
      <c r="C29">
        <v>1.6104269872210379</v>
      </c>
      <c r="D29">
        <v>650.15204933695145</v>
      </c>
      <c r="E29">
        <v>1.5381017425382819</v>
      </c>
      <c r="F29">
        <v>716.35177264669937</v>
      </c>
      <c r="G29">
        <v>1.3959622048610387</v>
      </c>
      <c r="H29">
        <v>771.25452363450995</v>
      </c>
      <c r="I29">
        <v>1.2965888294405523</v>
      </c>
      <c r="J29">
        <v>836.06726923874908</v>
      </c>
      <c r="K29">
        <v>1.1960760058344515</v>
      </c>
      <c r="L29">
        <v>675.10032835120103</v>
      </c>
      <c r="M29">
        <v>1.4812613148067963</v>
      </c>
      <c r="N29">
        <v>691.81605238094801</v>
      </c>
      <c r="O29">
        <v>1.4454709406617681</v>
      </c>
      <c r="Q29">
        <v>5.66427043011246E-2</v>
      </c>
      <c r="R29">
        <v>5.6970489493345454E-2</v>
      </c>
      <c r="S29">
        <v>5.7293682077621567E-2</v>
      </c>
      <c r="T29">
        <v>5.7800278746287376E-2</v>
      </c>
      <c r="U29">
        <v>5.8043269715475569E-2</v>
      </c>
      <c r="V29">
        <v>5.7251647172767157E-2</v>
      </c>
      <c r="W29">
        <v>5.6952203057214351E-2</v>
      </c>
      <c r="Y29">
        <v>1.164754752257261</v>
      </c>
      <c r="Z29">
        <v>1.1659460607418324</v>
      </c>
      <c r="AA29">
        <v>1.1903067949953396</v>
      </c>
      <c r="AB29">
        <v>1.1952891108951547</v>
      </c>
      <c r="AC29">
        <v>1.2167035742616192</v>
      </c>
      <c r="AD29">
        <v>1.1838150861207324</v>
      </c>
      <c r="AE29">
        <v>1.1746801953328763</v>
      </c>
      <c r="AG29">
        <v>0.48785106137554235</v>
      </c>
      <c r="AH29">
        <v>0.48857094794128275</v>
      </c>
      <c r="AI29">
        <v>0.50100372279234762</v>
      </c>
      <c r="AJ29">
        <v>0.49988335505805004</v>
      </c>
      <c r="AK29">
        <v>0.51037805727234653</v>
      </c>
      <c r="AL29">
        <v>0.49719906973193945</v>
      </c>
      <c r="AM29">
        <v>0.4931530642858527</v>
      </c>
      <c r="AO29">
        <v>33</v>
      </c>
      <c r="AP29">
        <v>7.9963656969359214</v>
      </c>
      <c r="AQ29">
        <v>3.3196884967840208</v>
      </c>
      <c r="AR29">
        <v>4.4354656181659937</v>
      </c>
      <c r="AS29">
        <v>481.10586442940428</v>
      </c>
      <c r="AT29">
        <v>28.680909193004535</v>
      </c>
      <c r="AU29">
        <v>12.411966124073366</v>
      </c>
      <c r="AV29">
        <v>8.196916838235115</v>
      </c>
      <c r="AW29">
        <v>3.3540286577626865</v>
      </c>
      <c r="AX29">
        <v>4.5892213425423174</v>
      </c>
      <c r="AY29">
        <v>497.42862974217326</v>
      </c>
      <c r="AZ29">
        <v>28.691427742381869</v>
      </c>
      <c r="BA29">
        <v>12.324387093749898</v>
      </c>
      <c r="BB29">
        <v>8.8774439653121462</v>
      </c>
      <c r="BC29">
        <v>3.4947201604719491</v>
      </c>
      <c r="BD29">
        <v>4.8826168393907823</v>
      </c>
      <c r="BE29">
        <v>532.61816140414521</v>
      </c>
      <c r="BF29">
        <v>29.234892944455503</v>
      </c>
      <c r="BG29">
        <v>12.305063703200773</v>
      </c>
      <c r="BH29">
        <v>9.1844668205760076</v>
      </c>
      <c r="BI29">
        <v>3.5718022117122441</v>
      </c>
      <c r="BJ29">
        <v>5.1167698791434333</v>
      </c>
      <c r="BK29">
        <v>559.376031290946</v>
      </c>
      <c r="BL29">
        <v>29.302415857163258</v>
      </c>
      <c r="BM29">
        <v>12.273397984266726</v>
      </c>
      <c r="BN29">
        <v>9.3939458548711361</v>
      </c>
      <c r="BO29">
        <v>3.6311358906183795</v>
      </c>
      <c r="BP29">
        <v>5.3814866334828162</v>
      </c>
      <c r="BQ29">
        <v>593.70729270434549</v>
      </c>
      <c r="BR29">
        <v>28.980877664924247</v>
      </c>
      <c r="BS29">
        <v>12.129817592603992</v>
      </c>
      <c r="BU29">
        <v>33</v>
      </c>
      <c r="BV29">
        <v>7.6703920091403308</v>
      </c>
      <c r="BW29">
        <v>2.8948725606180288</v>
      </c>
      <c r="BX29">
        <v>4.2925646319292552</v>
      </c>
      <c r="BY29">
        <v>486.00079937757027</v>
      </c>
      <c r="BZ29">
        <v>27.72131226817049</v>
      </c>
      <c r="CA29">
        <v>11.412849037138425</v>
      </c>
      <c r="CB29">
        <v>7.8078554245072382</v>
      </c>
      <c r="CC29">
        <v>2.8969437339508999</v>
      </c>
      <c r="CD29">
        <v>4.4305934497171329</v>
      </c>
      <c r="CE29">
        <v>502.37878338541697</v>
      </c>
      <c r="CF29">
        <v>27.634280412795604</v>
      </c>
      <c r="CG29">
        <v>11.293108404006373</v>
      </c>
      <c r="CH29">
        <v>8.4827776917282822</v>
      </c>
      <c r="CI29">
        <v>3.1236172970270646</v>
      </c>
      <c r="CJ29">
        <v>4.7070145651525666</v>
      </c>
      <c r="CK29">
        <v>538.18023962596601</v>
      </c>
      <c r="CL29">
        <v>28.199416362604804</v>
      </c>
      <c r="CM29">
        <v>11.488339940559364</v>
      </c>
      <c r="CN29">
        <v>8.7840267975694424</v>
      </c>
      <c r="CO29">
        <v>3.1538536861394593</v>
      </c>
      <c r="CP29">
        <v>4.9473285780654068</v>
      </c>
      <c r="CQ29">
        <v>565.62048774580524</v>
      </c>
      <c r="CR29">
        <v>28.270950951827313</v>
      </c>
      <c r="CS29">
        <v>11.398979119402398</v>
      </c>
      <c r="CT29">
        <v>8.9173312054437464</v>
      </c>
      <c r="CU29">
        <v>3.1626834153533618</v>
      </c>
      <c r="CV29">
        <v>5.1374973013850012</v>
      </c>
      <c r="CW29">
        <v>598.8785262883124</v>
      </c>
      <c r="CX29">
        <v>27.934786496513443</v>
      </c>
      <c r="CY29">
        <v>11.242862104886997</v>
      </c>
      <c r="DA29">
        <v>33</v>
      </c>
      <c r="DB29">
        <v>7.4247121329802876</v>
      </c>
      <c r="DC29">
        <v>2.5828345923859346</v>
      </c>
      <c r="DD29">
        <v>4.2847553654122033</v>
      </c>
      <c r="DE29">
        <v>485.54471506902132</v>
      </c>
      <c r="DF29">
        <v>27.241363432584837</v>
      </c>
      <c r="DG29">
        <v>10.780913939612338</v>
      </c>
      <c r="DH29">
        <v>7.5745862683138467</v>
      </c>
      <c r="DI29">
        <v>2.6874483362039108</v>
      </c>
      <c r="DJ29">
        <v>4.3954234559390919</v>
      </c>
      <c r="DK29">
        <v>500.71664957882069</v>
      </c>
      <c r="DL29">
        <v>27.260142095933357</v>
      </c>
      <c r="DM29">
        <v>10.912204871744041</v>
      </c>
      <c r="DN29">
        <v>8.2006047908089155</v>
      </c>
      <c r="DO29">
        <v>2.7335746853329534</v>
      </c>
      <c r="DP29">
        <v>4.6551229261555056</v>
      </c>
      <c r="DQ29">
        <v>536.70062930168297</v>
      </c>
      <c r="DR29">
        <v>27.751403559557872</v>
      </c>
      <c r="DS29">
        <v>10.793270240725835</v>
      </c>
      <c r="DT29">
        <v>8.3473733746641052</v>
      </c>
      <c r="DU29">
        <v>2.6799356152465692</v>
      </c>
      <c r="DV29">
        <v>4.83209860789185</v>
      </c>
      <c r="DW29">
        <v>560.17441142620612</v>
      </c>
      <c r="DX29">
        <v>27.766308717858937</v>
      </c>
      <c r="DY29">
        <v>10.663782451645714</v>
      </c>
      <c r="DZ29">
        <v>8.4504712489512563</v>
      </c>
      <c r="EA29">
        <v>2.7216450370432308</v>
      </c>
      <c r="EB29">
        <v>5.0034335517293149</v>
      </c>
      <c r="EC29">
        <v>592.81984300367913</v>
      </c>
      <c r="ED29">
        <v>27.432758880537673</v>
      </c>
      <c r="EE29">
        <v>10.613798415462719</v>
      </c>
      <c r="EG29">
        <v>33</v>
      </c>
      <c r="EH29">
        <v>7.1671421596361302</v>
      </c>
      <c r="EI29">
        <v>2.373947302420834</v>
      </c>
      <c r="EJ29">
        <v>3.9820798446326933</v>
      </c>
      <c r="EK29">
        <v>486.11367246933969</v>
      </c>
      <c r="EL29">
        <v>26.679624143753969</v>
      </c>
      <c r="EM29">
        <v>10.338587004759873</v>
      </c>
      <c r="EN29">
        <v>7.2885721794527694</v>
      </c>
      <c r="EO29">
        <v>2.4217760179035905</v>
      </c>
      <c r="EP29">
        <v>4.1016443108018237</v>
      </c>
      <c r="EQ29">
        <v>500.08350170780488</v>
      </c>
      <c r="ER29">
        <v>26.722723070887255</v>
      </c>
      <c r="ES29">
        <v>10.394764727980048</v>
      </c>
      <c r="ET29">
        <v>7.3218423348038009</v>
      </c>
      <c r="EU29">
        <v>2.4740390377171448</v>
      </c>
      <c r="EV29">
        <v>4.3388757118845094</v>
      </c>
      <c r="EW29">
        <v>534.15757788660187</v>
      </c>
      <c r="EX29">
        <v>26.238387095184006</v>
      </c>
      <c r="EY29">
        <v>10.358777094761239</v>
      </c>
      <c r="EZ29">
        <v>7.5582850103987633</v>
      </c>
      <c r="FA29">
        <v>2.4479637986424132</v>
      </c>
      <c r="FB29">
        <v>4.5013256669006756</v>
      </c>
      <c r="FC29">
        <v>556.1688598450213</v>
      </c>
      <c r="FD29">
        <v>26.547490061478666</v>
      </c>
      <c r="FE29">
        <v>10.323494636904895</v>
      </c>
      <c r="FF29">
        <v>7.6497320682979844</v>
      </c>
      <c r="FG29">
        <v>2.471971670251778</v>
      </c>
      <c r="FH29">
        <v>4.6612348407210655</v>
      </c>
      <c r="FI29">
        <v>577.09655578437969</v>
      </c>
      <c r="FJ29">
        <v>26.7926475683939</v>
      </c>
      <c r="FK29">
        <v>10.470339638958915</v>
      </c>
      <c r="FN29">
        <v>33</v>
      </c>
      <c r="FO29">
        <v>8.5156826997720341</v>
      </c>
      <c r="FP29">
        <v>3.2507154810974801</v>
      </c>
      <c r="FQ29">
        <v>4.7100352566715742</v>
      </c>
      <c r="FR29">
        <v>512.50374304662273</v>
      </c>
      <c r="FS29">
        <v>28.924315907946699</v>
      </c>
      <c r="FT29">
        <v>11.968169045671329</v>
      </c>
      <c r="FU29">
        <v>8.5647005283276041</v>
      </c>
      <c r="FV29">
        <v>3.2780880491711537</v>
      </c>
      <c r="FW29">
        <v>4.7625086143472934</v>
      </c>
      <c r="FX29">
        <v>518.44101118927847</v>
      </c>
      <c r="FY29">
        <v>28.988890534140648</v>
      </c>
      <c r="FZ29">
        <v>12.021596220883387</v>
      </c>
      <c r="GB29">
        <v>33</v>
      </c>
      <c r="GC29">
        <v>8.1352020222410868</v>
      </c>
      <c r="GD29">
        <v>2.8710629775773251</v>
      </c>
      <c r="GE29">
        <v>4.5425485773893373</v>
      </c>
      <c r="GF29">
        <v>517.39053365154086</v>
      </c>
      <c r="GG29">
        <v>27.915739757392245</v>
      </c>
      <c r="GH29">
        <v>11.121345590131078</v>
      </c>
      <c r="GI29">
        <v>8.1617250761078175</v>
      </c>
      <c r="GJ29">
        <v>2.8771616323437086</v>
      </c>
      <c r="GK29">
        <v>4.5956508641525469</v>
      </c>
      <c r="GL29">
        <v>524.09327049703279</v>
      </c>
      <c r="GM29">
        <v>27.907349880078652</v>
      </c>
      <c r="GN29">
        <v>11.126954708855706</v>
      </c>
      <c r="GP29">
        <v>33</v>
      </c>
      <c r="GQ29">
        <v>7.8759839631190669</v>
      </c>
      <c r="GR29">
        <v>2.7140732968674897</v>
      </c>
      <c r="GS29">
        <v>4.4933062919356814</v>
      </c>
      <c r="GT29">
        <v>515.91876089200616</v>
      </c>
      <c r="GU29">
        <v>27.492935916322992</v>
      </c>
      <c r="GV29">
        <v>10.848780221549058</v>
      </c>
      <c r="GW29">
        <v>7.9198502395658439</v>
      </c>
      <c r="GX29">
        <v>2.7167879365324659</v>
      </c>
      <c r="GY29">
        <v>4.5588999387704758</v>
      </c>
      <c r="GZ29">
        <v>523.34428116532513</v>
      </c>
      <c r="HA29">
        <v>27.485118211255358</v>
      </c>
      <c r="HB29">
        <v>10.836439017920153</v>
      </c>
      <c r="HD29">
        <v>33</v>
      </c>
      <c r="HE29">
        <v>7.2953455408373671</v>
      </c>
      <c r="HF29">
        <v>2.445703174342408</v>
      </c>
      <c r="HG29">
        <v>4.1701800061419609</v>
      </c>
      <c r="HH29">
        <v>516.11750088877159</v>
      </c>
      <c r="HI29">
        <v>26.357337206208541</v>
      </c>
      <c r="HJ29">
        <v>10.324623980760153</v>
      </c>
      <c r="HK29">
        <v>7.3581716919674811</v>
      </c>
      <c r="HL29">
        <v>2.4552716610471985</v>
      </c>
      <c r="HM29">
        <v>4.2667134522755301</v>
      </c>
      <c r="HN29">
        <v>522.95217851615666</v>
      </c>
      <c r="HO29">
        <v>26.431672824531528</v>
      </c>
      <c r="HP29">
        <v>10.344487192097821</v>
      </c>
    </row>
    <row r="30" spans="2:224" x14ac:dyDescent="0.2">
      <c r="B30">
        <v>628.85031542787726</v>
      </c>
      <c r="C30">
        <v>1.5902035436200554</v>
      </c>
      <c r="D30">
        <v>659.31090800284892</v>
      </c>
      <c r="E30">
        <v>1.5167351060960741</v>
      </c>
      <c r="F30">
        <v>728.82460614705963</v>
      </c>
      <c r="G30">
        <v>1.3720722263844967</v>
      </c>
      <c r="H30">
        <v>786.50603113614602</v>
      </c>
      <c r="I30">
        <v>1.271446067051071</v>
      </c>
      <c r="J30">
        <v>853.94683623445565</v>
      </c>
      <c r="K30">
        <v>1.171033087269902</v>
      </c>
      <c r="L30">
        <v>686.55991118174325</v>
      </c>
      <c r="M30">
        <v>1.4565371262046849</v>
      </c>
      <c r="N30">
        <v>701.94071170443794</v>
      </c>
      <c r="O30">
        <v>1.4246217427278447</v>
      </c>
      <c r="Q30">
        <v>5.8265575157241567E-2</v>
      </c>
      <c r="R30">
        <v>5.8606246570469478E-2</v>
      </c>
      <c r="S30">
        <v>5.8955416336497382E-2</v>
      </c>
      <c r="T30">
        <v>5.9486753788849392E-2</v>
      </c>
      <c r="U30">
        <v>5.974549425006366E-2</v>
      </c>
      <c r="V30">
        <v>5.8909915793480615E-2</v>
      </c>
      <c r="W30">
        <v>5.8591099574797786E-2</v>
      </c>
      <c r="Y30">
        <v>1.192985633853487</v>
      </c>
      <c r="Z30">
        <v>1.19402377554317</v>
      </c>
      <c r="AA30">
        <v>1.2203093605395752</v>
      </c>
      <c r="AB30">
        <v>1.2258094787235037</v>
      </c>
      <c r="AC30">
        <v>1.2478126129518345</v>
      </c>
      <c r="AD30">
        <v>1.2125609454604376</v>
      </c>
      <c r="AE30">
        <v>1.2038836617509501</v>
      </c>
      <c r="AG30">
        <v>0.4972910899771778</v>
      </c>
      <c r="AH30">
        <v>0.4979874968742809</v>
      </c>
      <c r="AI30">
        <v>0.51129645163330151</v>
      </c>
      <c r="AJ30">
        <v>0.5102567019666524</v>
      </c>
      <c r="AK30">
        <v>0.52108062887108175</v>
      </c>
      <c r="AL30">
        <v>0.50690323426512851</v>
      </c>
      <c r="AM30">
        <v>0.50310113052784156</v>
      </c>
      <c r="AO30">
        <v>34</v>
      </c>
      <c r="AP30">
        <v>8.2022956917366088</v>
      </c>
      <c r="AQ30">
        <v>3.4126988989631015</v>
      </c>
      <c r="AR30">
        <v>4.5312366969869524</v>
      </c>
      <c r="AS30">
        <v>492.30374784979767</v>
      </c>
      <c r="AT30">
        <v>28.596721232741839</v>
      </c>
      <c r="AU30">
        <v>12.387076469826955</v>
      </c>
      <c r="AV30">
        <v>8.4156398178284544</v>
      </c>
      <c r="AW30">
        <v>3.4488514021564765</v>
      </c>
      <c r="AX30">
        <v>4.6937787468373804</v>
      </c>
      <c r="AY30">
        <v>509.4990644011383</v>
      </c>
      <c r="AZ30">
        <v>28.608965080907243</v>
      </c>
      <c r="BA30">
        <v>12.295289770837599</v>
      </c>
      <c r="BB30">
        <v>9.1344655549122553</v>
      </c>
      <c r="BC30">
        <v>3.5978418712872848</v>
      </c>
      <c r="BD30">
        <v>5.0038558154588832</v>
      </c>
      <c r="BE30">
        <v>546.51720510829057</v>
      </c>
      <c r="BF30">
        <v>29.174932693273604</v>
      </c>
      <c r="BG30">
        <v>12.278272832249959</v>
      </c>
      <c r="BH30">
        <v>9.465084750323344</v>
      </c>
      <c r="BI30">
        <v>3.6818973789316227</v>
      </c>
      <c r="BJ30">
        <v>5.2536010541606322</v>
      </c>
      <c r="BK30">
        <v>574.87932744750788</v>
      </c>
      <c r="BL30">
        <v>29.248220108931982</v>
      </c>
      <c r="BM30">
        <v>12.247216152578416</v>
      </c>
      <c r="BN30">
        <v>9.6814538859883612</v>
      </c>
      <c r="BO30">
        <v>3.7426129964162183</v>
      </c>
      <c r="BP30">
        <v>5.5299157050866903</v>
      </c>
      <c r="BQ30">
        <v>611.65888702602274</v>
      </c>
      <c r="BR30">
        <v>28.873500407444823</v>
      </c>
      <c r="BS30">
        <v>12.080905088265451</v>
      </c>
      <c r="BU30">
        <v>34</v>
      </c>
      <c r="BV30">
        <v>7.8737714475493963</v>
      </c>
      <c r="BW30">
        <v>2.9682264819877466</v>
      </c>
      <c r="BX30">
        <v>4.3865791813401973</v>
      </c>
      <c r="BY30">
        <v>497.44784340801192</v>
      </c>
      <c r="BZ30">
        <v>27.640583786046879</v>
      </c>
      <c r="CA30">
        <v>11.365476459378771</v>
      </c>
      <c r="CB30">
        <v>8.020701927695054</v>
      </c>
      <c r="CC30">
        <v>2.9712765776260532</v>
      </c>
      <c r="CD30">
        <v>4.5325653989902799</v>
      </c>
      <c r="CE30">
        <v>514.71459047618305</v>
      </c>
      <c r="CF30">
        <v>27.551779791114889</v>
      </c>
      <c r="CG30">
        <v>11.242859474604286</v>
      </c>
      <c r="CH30">
        <v>8.7335548251678681</v>
      </c>
      <c r="CI30">
        <v>3.210822966355626</v>
      </c>
      <c r="CJ30">
        <v>4.8247598622907377</v>
      </c>
      <c r="CK30">
        <v>552.30818683393966</v>
      </c>
      <c r="CL30">
        <v>28.143149631927248</v>
      </c>
      <c r="CM30">
        <v>11.448804485688054</v>
      </c>
      <c r="CN30">
        <v>9.0578207775203339</v>
      </c>
      <c r="CO30">
        <v>3.2452163175222632</v>
      </c>
      <c r="CP30">
        <v>5.0808878808741449</v>
      </c>
      <c r="CQ30">
        <v>581.37406716284158</v>
      </c>
      <c r="CR30">
        <v>28.22095800131542</v>
      </c>
      <c r="CS30">
        <v>11.3592791569071</v>
      </c>
      <c r="CT30">
        <v>9.1941676640714576</v>
      </c>
      <c r="CU30">
        <v>3.2530053916668003</v>
      </c>
      <c r="CV30">
        <v>5.2787993106349527</v>
      </c>
      <c r="CW30">
        <v>617.10624666601461</v>
      </c>
      <c r="CX30">
        <v>27.828995403348575</v>
      </c>
      <c r="CY30">
        <v>11.180871030042077</v>
      </c>
      <c r="DA30">
        <v>34</v>
      </c>
      <c r="DB30">
        <v>7.6242107410273601</v>
      </c>
      <c r="DC30">
        <v>2.6487184976966014</v>
      </c>
      <c r="DD30">
        <v>4.3807756461701519</v>
      </c>
      <c r="DE30">
        <v>496.89193542312722</v>
      </c>
      <c r="DF30">
        <v>27.1692638297488</v>
      </c>
      <c r="DG30">
        <v>10.735178797355614</v>
      </c>
      <c r="DH30">
        <v>7.780697044908031</v>
      </c>
      <c r="DI30">
        <v>2.7585109028133115</v>
      </c>
      <c r="DJ30">
        <v>4.4966489082142411</v>
      </c>
      <c r="DK30">
        <v>512.70950087011738</v>
      </c>
      <c r="DL30">
        <v>27.191417646107446</v>
      </c>
      <c r="DM30">
        <v>10.871844828269607</v>
      </c>
      <c r="DN30">
        <v>8.4447792354345772</v>
      </c>
      <c r="DO30">
        <v>2.8091881479955356</v>
      </c>
      <c r="DP30">
        <v>4.7720004144615888</v>
      </c>
      <c r="DQ30">
        <v>550.63871651003296</v>
      </c>
      <c r="DR30">
        <v>27.70403877874568</v>
      </c>
      <c r="DS30">
        <v>10.75411781081808</v>
      </c>
      <c r="DT30">
        <v>8.6006516384439315</v>
      </c>
      <c r="DU30">
        <v>2.7543282657343315</v>
      </c>
      <c r="DV30">
        <v>4.958676478858318</v>
      </c>
      <c r="DW30">
        <v>575.35108893488973</v>
      </c>
      <c r="DX30">
        <v>27.721793353875196</v>
      </c>
      <c r="DY30">
        <v>10.624994701961951</v>
      </c>
      <c r="DZ30">
        <v>8.7053157410998416</v>
      </c>
      <c r="EA30">
        <v>2.7970305157072892</v>
      </c>
      <c r="EB30">
        <v>5.1364961494338361</v>
      </c>
      <c r="EC30">
        <v>610.3918482040724</v>
      </c>
      <c r="ED30">
        <v>27.33423624179272</v>
      </c>
      <c r="EE30">
        <v>10.556842295331853</v>
      </c>
      <c r="EG30">
        <v>34</v>
      </c>
      <c r="EH30">
        <v>7.3577507123106276</v>
      </c>
      <c r="EI30">
        <v>2.4353722559658451</v>
      </c>
      <c r="EJ30">
        <v>4.0678494394756211</v>
      </c>
      <c r="EK30">
        <v>497.31143887880609</v>
      </c>
      <c r="EL30">
        <v>26.610544268807278</v>
      </c>
      <c r="EM30">
        <v>10.297123950226576</v>
      </c>
      <c r="EN30">
        <v>7.4877434269498755</v>
      </c>
      <c r="EO30">
        <v>2.4855522942172206</v>
      </c>
      <c r="EP30">
        <v>4.1929599324128377</v>
      </c>
      <c r="EQ30">
        <v>511.98455856842571</v>
      </c>
      <c r="ER30">
        <v>26.657726923427166</v>
      </c>
      <c r="ES30">
        <v>10.354100408156937</v>
      </c>
      <c r="ET30">
        <v>7.517266607339824</v>
      </c>
      <c r="EU30">
        <v>2.5424717008546991</v>
      </c>
      <c r="EV30">
        <v>4.4446363526757136</v>
      </c>
      <c r="EW30">
        <v>547.9901022574943</v>
      </c>
      <c r="EX30">
        <v>26.145369538892993</v>
      </c>
      <c r="EY30">
        <v>10.319378321086054</v>
      </c>
      <c r="EZ30">
        <v>7.7768387484642094</v>
      </c>
      <c r="FA30">
        <v>2.5164436866822504</v>
      </c>
      <c r="FB30">
        <v>4.6159147904554247</v>
      </c>
      <c r="FC30">
        <v>571.35170879984673</v>
      </c>
      <c r="FD30">
        <v>26.473975434803869</v>
      </c>
      <c r="FE30">
        <v>10.283014126255708</v>
      </c>
      <c r="FF30">
        <v>7.8731903612602672</v>
      </c>
      <c r="FG30">
        <v>2.5406414199625478</v>
      </c>
      <c r="FH30">
        <v>4.7819030859944203</v>
      </c>
      <c r="FI30">
        <v>594.80410377074884</v>
      </c>
      <c r="FJ30">
        <v>26.651580744884917</v>
      </c>
      <c r="FK30">
        <v>10.402452412276169</v>
      </c>
      <c r="FN30">
        <v>34</v>
      </c>
      <c r="FO30">
        <v>8.7587051261709785</v>
      </c>
      <c r="FP30">
        <v>3.3439274696800156</v>
      </c>
      <c r="FQ30">
        <v>4.8262534262148007</v>
      </c>
      <c r="FR30">
        <v>525.90600052046295</v>
      </c>
      <c r="FS30">
        <v>28.85291462967967</v>
      </c>
      <c r="FT30">
        <v>11.93346636883915</v>
      </c>
      <c r="FU30">
        <v>8.7976904287475186</v>
      </c>
      <c r="FV30">
        <v>3.3665187313221523</v>
      </c>
      <c r="FW30">
        <v>4.872153949631695</v>
      </c>
      <c r="FX30">
        <v>531.1884081380681</v>
      </c>
      <c r="FY30">
        <v>28.909938928716699</v>
      </c>
      <c r="FZ30">
        <v>11.980977828495391</v>
      </c>
      <c r="GB30">
        <v>34</v>
      </c>
      <c r="GC30">
        <v>8.3705331321645691</v>
      </c>
      <c r="GD30">
        <v>2.9457495043209527</v>
      </c>
      <c r="GE30">
        <v>4.6557182030932953</v>
      </c>
      <c r="GF30">
        <v>531.06158724246893</v>
      </c>
      <c r="GG30">
        <v>27.841872388137897</v>
      </c>
      <c r="GH30">
        <v>11.067837980040119</v>
      </c>
      <c r="GI30">
        <v>8.3902709068421473</v>
      </c>
      <c r="GJ30">
        <v>2.9497653712712175</v>
      </c>
      <c r="GK30">
        <v>4.7022640148063459</v>
      </c>
      <c r="GL30">
        <v>537.07481994024965</v>
      </c>
      <c r="GM30">
        <v>27.83449225691038</v>
      </c>
      <c r="GN30">
        <v>11.073695805114596</v>
      </c>
      <c r="GP30">
        <v>34</v>
      </c>
      <c r="GQ30">
        <v>8.1031328539619203</v>
      </c>
      <c r="GR30">
        <v>2.7878471372461946</v>
      </c>
      <c r="GS30">
        <v>4.6048529180619582</v>
      </c>
      <c r="GT30">
        <v>529.26985094058955</v>
      </c>
      <c r="GU30">
        <v>27.43090058548189</v>
      </c>
      <c r="GV30">
        <v>10.806965913102569</v>
      </c>
      <c r="GW30">
        <v>8.1422672586314153</v>
      </c>
      <c r="GX30">
        <v>2.7895798713796189</v>
      </c>
      <c r="GY30">
        <v>4.6651824359627909</v>
      </c>
      <c r="GZ30">
        <v>536.06409136517175</v>
      </c>
      <c r="HA30">
        <v>27.42433508530436</v>
      </c>
      <c r="HB30">
        <v>10.795757025946951</v>
      </c>
      <c r="HD30">
        <v>34</v>
      </c>
      <c r="HE30">
        <v>7.4968821129719982</v>
      </c>
      <c r="HF30">
        <v>2.512716987401761</v>
      </c>
      <c r="HG30">
        <v>4.2725221260197026</v>
      </c>
      <c r="HH30">
        <v>529.37423817872912</v>
      </c>
      <c r="HI30">
        <v>26.280270023939394</v>
      </c>
      <c r="HJ30">
        <v>10.285107765794123</v>
      </c>
      <c r="HK30">
        <v>7.5536337244213572</v>
      </c>
      <c r="HL30">
        <v>2.5208005216887304</v>
      </c>
      <c r="HM30">
        <v>4.3617540888553021</v>
      </c>
      <c r="HN30">
        <v>535.58843944283547</v>
      </c>
      <c r="HO30">
        <v>26.349649647532935</v>
      </c>
      <c r="HP30">
        <v>10.303505312331385</v>
      </c>
    </row>
    <row r="31" spans="2:224" x14ac:dyDescent="0.2">
      <c r="B31">
        <v>636.54058544143106</v>
      </c>
      <c r="C31">
        <v>1.5709917370100062</v>
      </c>
      <c r="D31">
        <v>668.2386200282964</v>
      </c>
      <c r="E31">
        <v>1.4964714250691695</v>
      </c>
      <c r="F31">
        <v>740.9808223548107</v>
      </c>
      <c r="G31">
        <v>1.3495625930264099</v>
      </c>
      <c r="H31">
        <v>801.38886960964965</v>
      </c>
      <c r="I31">
        <v>1.2478336522031961</v>
      </c>
      <c r="J31">
        <v>871.40168873887569</v>
      </c>
      <c r="K31">
        <v>1.1475763851768941</v>
      </c>
      <c r="L31">
        <v>697.73115931572329</v>
      </c>
      <c r="M31">
        <v>1.4332167721744244</v>
      </c>
      <c r="N31">
        <v>711.80763724863095</v>
      </c>
      <c r="O31">
        <v>1.4048739401916601</v>
      </c>
      <c r="Q31">
        <v>5.9886674607625451E-2</v>
      </c>
      <c r="R31">
        <v>6.0240016794750266E-2</v>
      </c>
      <c r="S31">
        <v>6.0614598472463144E-2</v>
      </c>
      <c r="T31">
        <v>6.1170275400945676E-2</v>
      </c>
      <c r="U31">
        <v>6.1444491050786941E-2</v>
      </c>
      <c r="V31">
        <v>6.0565728866644006E-2</v>
      </c>
      <c r="W31">
        <v>6.0227929178739613E-2</v>
      </c>
      <c r="Y31">
        <v>1.2208056325109178</v>
      </c>
      <c r="Z31">
        <v>1.2217178189867273</v>
      </c>
      <c r="AA31">
        <v>1.2498750141035184</v>
      </c>
      <c r="AB31">
        <v>1.2559326928603907</v>
      </c>
      <c r="AC31">
        <v>1.2785238819548643</v>
      </c>
      <c r="AD31">
        <v>1.2409036071876889</v>
      </c>
      <c r="AE31">
        <v>1.2326727557688786</v>
      </c>
      <c r="AG31">
        <v>0.50661172309804803</v>
      </c>
      <c r="AH31">
        <v>0.50729491110071401</v>
      </c>
      <c r="AI31">
        <v>0.52145678063518996</v>
      </c>
      <c r="AJ31">
        <v>0.52051597976376351</v>
      </c>
      <c r="AK31">
        <v>0.5316672990428708</v>
      </c>
      <c r="AL31">
        <v>0.51649027662617897</v>
      </c>
      <c r="AM31">
        <v>0.5129261188467642</v>
      </c>
      <c r="AO31">
        <v>35</v>
      </c>
      <c r="AP31">
        <v>8.4058221993251205</v>
      </c>
      <c r="AQ31">
        <v>3.5046710164161423</v>
      </c>
      <c r="AR31">
        <v>4.6256027579012589</v>
      </c>
      <c r="AS31">
        <v>503.39459762950423</v>
      </c>
      <c r="AT31">
        <v>28.51372958168707</v>
      </c>
      <c r="AU31">
        <v>12.362106418797689</v>
      </c>
      <c r="AV31">
        <v>8.6318481262298299</v>
      </c>
      <c r="AW31">
        <v>3.542646847468665</v>
      </c>
      <c r="AX31">
        <v>4.7967780757066487</v>
      </c>
      <c r="AY31">
        <v>521.45436729581957</v>
      </c>
      <c r="AZ31">
        <v>28.527654047502097</v>
      </c>
      <c r="BA31">
        <v>12.266384702979902</v>
      </c>
      <c r="BB31">
        <v>9.3882389374631163</v>
      </c>
      <c r="BC31">
        <v>3.6998036602521474</v>
      </c>
      <c r="BD31">
        <v>5.123148303887282</v>
      </c>
      <c r="BE31">
        <v>560.25106175213409</v>
      </c>
      <c r="BF31">
        <v>29.115453508525782</v>
      </c>
      <c r="BG31">
        <v>12.251939765453233</v>
      </c>
      <c r="BH31">
        <v>9.7421564028634844</v>
      </c>
      <c r="BI31">
        <v>3.7907868123216391</v>
      </c>
      <c r="BJ31">
        <v>5.388187552147655</v>
      </c>
      <c r="BK31">
        <v>590.19310160747182</v>
      </c>
      <c r="BL31">
        <v>29.194400872471864</v>
      </c>
      <c r="BM31">
        <v>12.221623669174939</v>
      </c>
      <c r="BN31">
        <v>9.9653314145781291</v>
      </c>
      <c r="BO31">
        <v>3.8528764503372521</v>
      </c>
      <c r="BP31">
        <v>5.6758701152595963</v>
      </c>
      <c r="BQ31">
        <v>629.44890308281128</v>
      </c>
      <c r="BR31">
        <v>28.767559535760931</v>
      </c>
      <c r="BS31">
        <v>12.033061500307591</v>
      </c>
      <c r="BU31">
        <v>35</v>
      </c>
      <c r="BV31">
        <v>8.0746942245835029</v>
      </c>
      <c r="BW31">
        <v>3.0408378536276284</v>
      </c>
      <c r="BX31">
        <v>4.4791990260865564</v>
      </c>
      <c r="BY31">
        <v>508.78132964033136</v>
      </c>
      <c r="BZ31">
        <v>27.561014207933038</v>
      </c>
      <c r="CA31">
        <v>11.31956714651175</v>
      </c>
      <c r="CB31">
        <v>8.2310372370188905</v>
      </c>
      <c r="CC31">
        <v>3.0449036381989734</v>
      </c>
      <c r="CD31">
        <v>4.6330061722954756</v>
      </c>
      <c r="CE31">
        <v>526.93156817172087</v>
      </c>
      <c r="CF31">
        <v>27.470472025024009</v>
      </c>
      <c r="CG31">
        <v>11.19427459147318</v>
      </c>
      <c r="CH31">
        <v>8.9810950708653969</v>
      </c>
      <c r="CI31">
        <v>3.2971182849965834</v>
      </c>
      <c r="CJ31">
        <v>4.94060605946395</v>
      </c>
      <c r="CK31">
        <v>566.2633068889287</v>
      </c>
      <c r="CL31">
        <v>28.087322066355334</v>
      </c>
      <c r="CM31">
        <v>11.410728557289707</v>
      </c>
      <c r="CN31">
        <v>9.3280850736299321</v>
      </c>
      <c r="CO31">
        <v>3.3356619092673254</v>
      </c>
      <c r="CP31">
        <v>5.2122440862376154</v>
      </c>
      <c r="CQ31">
        <v>596.92904157942394</v>
      </c>
      <c r="CR31">
        <v>28.171292565642453</v>
      </c>
      <c r="CS31">
        <v>11.321267028748096</v>
      </c>
      <c r="CT31">
        <v>9.4674579997811694</v>
      </c>
      <c r="CU31">
        <v>3.3424410424744768</v>
      </c>
      <c r="CV31">
        <v>5.4177491864731175</v>
      </c>
      <c r="CW31">
        <v>635.16875611503951</v>
      </c>
      <c r="CX31">
        <v>27.724656179668564</v>
      </c>
      <c r="CY31">
        <v>11.121079061632058</v>
      </c>
      <c r="DA31">
        <v>35</v>
      </c>
      <c r="DB31">
        <v>7.8203296339520767</v>
      </c>
      <c r="DC31">
        <v>2.7139661355025262</v>
      </c>
      <c r="DD31">
        <v>4.4751249059276583</v>
      </c>
      <c r="DE31">
        <v>508.10684162465503</v>
      </c>
      <c r="DF31">
        <v>27.096987752208868</v>
      </c>
      <c r="DG31">
        <v>10.691280377686935</v>
      </c>
      <c r="DH31">
        <v>7.9834781422082699</v>
      </c>
      <c r="DI31">
        <v>2.828946777482046</v>
      </c>
      <c r="DJ31">
        <v>4.5961969967714111</v>
      </c>
      <c r="DK31">
        <v>524.56568948719939</v>
      </c>
      <c r="DL31">
        <v>27.122436889955715</v>
      </c>
      <c r="DM31">
        <v>10.83307566277942</v>
      </c>
      <c r="DN31">
        <v>8.6848701440051244</v>
      </c>
      <c r="DO31">
        <v>2.8841027868488505</v>
      </c>
      <c r="DP31">
        <v>4.8868212392870305</v>
      </c>
      <c r="DQ31">
        <v>564.38553202306946</v>
      </c>
      <c r="DR31">
        <v>27.655909059430797</v>
      </c>
      <c r="DS31">
        <v>10.716896599092545</v>
      </c>
      <c r="DT31">
        <v>8.8500789876867518</v>
      </c>
      <c r="DU31">
        <v>2.8282394294268269</v>
      </c>
      <c r="DV31">
        <v>5.0831999009387507</v>
      </c>
      <c r="DW31">
        <v>590.33017831477639</v>
      </c>
      <c r="DX31">
        <v>27.676471888935719</v>
      </c>
      <c r="DY31">
        <v>10.588262004389518</v>
      </c>
      <c r="DZ31">
        <v>8.9563469657694839</v>
      </c>
      <c r="EA31">
        <v>2.8719530540607558</v>
      </c>
      <c r="EB31">
        <v>5.267414277728026</v>
      </c>
      <c r="EC31">
        <v>627.80027883092851</v>
      </c>
      <c r="ED31">
        <v>27.235929836135604</v>
      </c>
      <c r="EE31">
        <v>10.502183876212875</v>
      </c>
      <c r="EG31">
        <v>35</v>
      </c>
      <c r="EH31">
        <v>7.544912687560827</v>
      </c>
      <c r="EI31">
        <v>2.4961941620426185</v>
      </c>
      <c r="EJ31">
        <v>4.152148921540614</v>
      </c>
      <c r="EK31">
        <v>508.37376109650211</v>
      </c>
      <c r="EL31">
        <v>26.540999851808436</v>
      </c>
      <c r="EM31">
        <v>10.257297152636481</v>
      </c>
      <c r="EN31">
        <v>7.6834988059657139</v>
      </c>
      <c r="EO31">
        <v>2.5487687390812881</v>
      </c>
      <c r="EP31">
        <v>4.2827809085154698</v>
      </c>
      <c r="EQ31">
        <v>523.74493933784811</v>
      </c>
      <c r="ER31">
        <v>26.592181471229445</v>
      </c>
      <c r="ES31">
        <v>10.315100653272737</v>
      </c>
      <c r="ET31">
        <v>7.7099605745383935</v>
      </c>
      <c r="EU31">
        <v>2.6102719258904625</v>
      </c>
      <c r="EV31">
        <v>4.5485559070269401</v>
      </c>
      <c r="EW31">
        <v>561.68753938872851</v>
      </c>
      <c r="EX31">
        <v>26.053071062511457</v>
      </c>
      <c r="EY31">
        <v>10.280859237221245</v>
      </c>
      <c r="EZ31">
        <v>7.9922083699646835</v>
      </c>
      <c r="FA31">
        <v>2.5844732403322483</v>
      </c>
      <c r="FB31">
        <v>4.7286639738304519</v>
      </c>
      <c r="FC31">
        <v>586.36984394706735</v>
      </c>
      <c r="FD31">
        <v>26.400378749686681</v>
      </c>
      <c r="FE31">
        <v>10.244054106818121</v>
      </c>
      <c r="FF31">
        <v>8.0933540156561872</v>
      </c>
      <c r="FG31">
        <v>2.6088867175857779</v>
      </c>
      <c r="FH31">
        <v>4.9006465983229726</v>
      </c>
      <c r="FI31">
        <v>612.40187918396941</v>
      </c>
      <c r="FJ31">
        <v>26.511563643250881</v>
      </c>
      <c r="FK31">
        <v>10.336688773359416</v>
      </c>
      <c r="FN31">
        <v>35</v>
      </c>
      <c r="FO31">
        <v>8.9986970349475506</v>
      </c>
      <c r="FP31">
        <v>3.4364097398026097</v>
      </c>
      <c r="FQ31">
        <v>4.9406249790044168</v>
      </c>
      <c r="FR31">
        <v>539.16072948368151</v>
      </c>
      <c r="FS31">
        <v>28.782320630908178</v>
      </c>
      <c r="FT31">
        <v>11.900107527869567</v>
      </c>
      <c r="FU31">
        <v>9.0279328924545617</v>
      </c>
      <c r="FV31">
        <v>3.454346803370385</v>
      </c>
      <c r="FW31">
        <v>4.9801392409228917</v>
      </c>
      <c r="FX31">
        <v>543.80737275263209</v>
      </c>
      <c r="FY31">
        <v>28.832017071673441</v>
      </c>
      <c r="FZ31">
        <v>11.941951587321929</v>
      </c>
      <c r="GB31">
        <v>35</v>
      </c>
      <c r="GC31">
        <v>8.602887729393446</v>
      </c>
      <c r="GD31">
        <v>3.0199652429208839</v>
      </c>
      <c r="GE31">
        <v>4.7670785716137249</v>
      </c>
      <c r="GF31">
        <v>544.58298235645191</v>
      </c>
      <c r="GG31">
        <v>27.768931773452437</v>
      </c>
      <c r="GH31">
        <v>11.016918179884804</v>
      </c>
      <c r="GI31">
        <v>8.6160308154751597</v>
      </c>
      <c r="GJ31">
        <v>3.0219571825383551</v>
      </c>
      <c r="GK31">
        <v>4.8072540799109342</v>
      </c>
      <c r="GL31">
        <v>549.91950023654636</v>
      </c>
      <c r="GM31">
        <v>27.762538646764192</v>
      </c>
      <c r="GN31">
        <v>11.022943712309159</v>
      </c>
      <c r="GP31">
        <v>35</v>
      </c>
      <c r="GQ31">
        <v>8.3265210758717991</v>
      </c>
      <c r="GR31">
        <v>2.8609436862227811</v>
      </c>
      <c r="GS31">
        <v>4.7144787630704297</v>
      </c>
      <c r="GT31">
        <v>542.4539757064299</v>
      </c>
      <c r="GU31">
        <v>27.368443579354416</v>
      </c>
      <c r="GV31">
        <v>10.76700487718694</v>
      </c>
      <c r="GW31">
        <v>8.3610392893023207</v>
      </c>
      <c r="GX31">
        <v>2.8617185108389722</v>
      </c>
      <c r="GY31">
        <v>4.7696727491910025</v>
      </c>
      <c r="GZ31">
        <v>548.62827218212033</v>
      </c>
      <c r="HA31">
        <v>27.363099229363357</v>
      </c>
      <c r="HB31">
        <v>10.756815361039605</v>
      </c>
      <c r="HD31">
        <v>35</v>
      </c>
      <c r="HE31">
        <v>7.6952228962179916</v>
      </c>
      <c r="HF31">
        <v>2.5791084362672083</v>
      </c>
      <c r="HG31">
        <v>4.3731070516929362</v>
      </c>
      <c r="HH31">
        <v>542.48367765943021</v>
      </c>
      <c r="HI31">
        <v>26.203226814481479</v>
      </c>
      <c r="HJ31">
        <v>10.246887751735795</v>
      </c>
      <c r="HK31">
        <v>7.7460483386015522</v>
      </c>
      <c r="HL31">
        <v>2.5857433198488753</v>
      </c>
      <c r="HM31">
        <v>4.4552145971215227</v>
      </c>
      <c r="HN31">
        <v>548.09293849676192</v>
      </c>
      <c r="HO31">
        <v>26.267769368712301</v>
      </c>
      <c r="HP31">
        <v>10.263802796197469</v>
      </c>
    </row>
    <row r="32" spans="2:224" x14ac:dyDescent="0.2">
      <c r="B32">
        <v>644.02397521407352</v>
      </c>
      <c r="C32">
        <v>1.5527372248332838</v>
      </c>
      <c r="D32">
        <v>676.93494038050494</v>
      </c>
      <c r="E32">
        <v>1.4772468376915222</v>
      </c>
      <c r="F32">
        <v>752.81996927230546</v>
      </c>
      <c r="G32">
        <v>1.3283388337408544</v>
      </c>
      <c r="H32">
        <v>815.90233127351746</v>
      </c>
      <c r="I32">
        <v>1.2256368950915117</v>
      </c>
      <c r="J32">
        <v>888.43077539559283</v>
      </c>
      <c r="K32">
        <v>1.1255800988599574</v>
      </c>
      <c r="L32">
        <v>708.61363326159244</v>
      </c>
      <c r="M32">
        <v>1.4112062668018681</v>
      </c>
      <c r="N32">
        <v>721.41654633099142</v>
      </c>
      <c r="O32">
        <v>1.3861617190315902</v>
      </c>
      <c r="Q32">
        <v>6.1506001242154273E-2</v>
      </c>
      <c r="R32">
        <v>6.1871798059974663E-2</v>
      </c>
      <c r="S32">
        <v>6.2271224842150127E-2</v>
      </c>
      <c r="T32">
        <v>6.285083791249467E-2</v>
      </c>
      <c r="U32">
        <v>6.3140252127574958E-2</v>
      </c>
      <c r="V32">
        <v>6.2219082649411228E-2</v>
      </c>
      <c r="W32">
        <v>6.1862689602047938E-2</v>
      </c>
      <c r="Y32">
        <v>1.2482147463701454</v>
      </c>
      <c r="Z32">
        <v>1.249028187504468</v>
      </c>
      <c r="AA32">
        <v>1.2790037496421329</v>
      </c>
      <c r="AB32">
        <v>1.2856587424014174</v>
      </c>
      <c r="AC32">
        <v>1.3088373634524488</v>
      </c>
      <c r="AD32">
        <v>1.2688430631976522</v>
      </c>
      <c r="AE32">
        <v>1.2610474731567161</v>
      </c>
      <c r="AG32">
        <v>0.5158129603466004</v>
      </c>
      <c r="AH32">
        <v>0.51649318997942417</v>
      </c>
      <c r="AI32">
        <v>0.53148470825215954</v>
      </c>
      <c r="AJ32">
        <v>0.53066118639149307</v>
      </c>
      <c r="AK32">
        <v>0.54213806381763396</v>
      </c>
      <c r="AL32">
        <v>0.52596019484025736</v>
      </c>
      <c r="AM32">
        <v>0.52262802821860344</v>
      </c>
      <c r="AO32">
        <v>36</v>
      </c>
      <c r="AP32">
        <v>8.6069451943915425</v>
      </c>
      <c r="AQ32">
        <v>3.5956041791744449</v>
      </c>
      <c r="AR32">
        <v>4.7185637844552835</v>
      </c>
      <c r="AS32">
        <v>514.37608637963967</v>
      </c>
      <c r="AT32">
        <v>28.431930655496991</v>
      </c>
      <c r="AU32">
        <v>12.337098736434051</v>
      </c>
      <c r="AV32">
        <v>8.8455417184967011</v>
      </c>
      <c r="AW32">
        <v>3.6354147612408938</v>
      </c>
      <c r="AX32">
        <v>4.8982193008729924</v>
      </c>
      <c r="AY32">
        <v>533.29204594454222</v>
      </c>
      <c r="AZ32">
        <v>28.447493107725393</v>
      </c>
      <c r="BA32">
        <v>12.237695037391417</v>
      </c>
      <c r="BB32">
        <v>9.6387640018160177</v>
      </c>
      <c r="BC32">
        <v>3.8006054902256396</v>
      </c>
      <c r="BD32">
        <v>5.2404942512062584</v>
      </c>
      <c r="BE32">
        <v>573.81794841677174</v>
      </c>
      <c r="BF32">
        <v>29.056452208752685</v>
      </c>
      <c r="BG32">
        <v>12.226043448727314</v>
      </c>
      <c r="BH32">
        <v>10.015681587194475</v>
      </c>
      <c r="BI32">
        <v>3.898470448339078</v>
      </c>
      <c r="BJ32">
        <v>5.5205292853095758</v>
      </c>
      <c r="BK32">
        <v>605.31545916389052</v>
      </c>
      <c r="BL32">
        <v>29.140958988523529</v>
      </c>
      <c r="BM32">
        <v>12.196584842290852</v>
      </c>
      <c r="BN32">
        <v>10.245578130802851</v>
      </c>
      <c r="BO32">
        <v>3.9619261483186223</v>
      </c>
      <c r="BP32">
        <v>5.8193497192025214</v>
      </c>
      <c r="BQ32">
        <v>647.07341778435523</v>
      </c>
      <c r="BR32">
        <v>28.663015333880246</v>
      </c>
      <c r="BS32">
        <v>11.986228396157466</v>
      </c>
      <c r="BU32">
        <v>36</v>
      </c>
      <c r="BV32">
        <v>8.2731603131408402</v>
      </c>
      <c r="BW32">
        <v>3.1127066696074834</v>
      </c>
      <c r="BX32">
        <v>4.57042415006336</v>
      </c>
      <c r="BY32">
        <v>519.99882373626576</v>
      </c>
      <c r="BZ32">
        <v>27.482601277554515</v>
      </c>
      <c r="CA32">
        <v>11.275046765745762</v>
      </c>
      <c r="CB32">
        <v>8.4388613066191258</v>
      </c>
      <c r="CC32">
        <v>3.1178249054373746</v>
      </c>
      <c r="CD32">
        <v>4.7319157421660138</v>
      </c>
      <c r="CE32">
        <v>539.02704276633176</v>
      </c>
      <c r="CF32">
        <v>27.390353763632632</v>
      </c>
      <c r="CG32">
        <v>11.147261809899733</v>
      </c>
      <c r="CH32">
        <v>9.2253983171495921</v>
      </c>
      <c r="CI32">
        <v>3.3825032254191241</v>
      </c>
      <c r="CJ32">
        <v>5.0545531052293242</v>
      </c>
      <c r="CK32">
        <v>580.04378519052113</v>
      </c>
      <c r="CL32">
        <v>28.031932287127837</v>
      </c>
      <c r="CM32">
        <v>11.37400498486423</v>
      </c>
      <c r="CN32">
        <v>9.5948194950884389</v>
      </c>
      <c r="CO32">
        <v>3.4251904147071852</v>
      </c>
      <c r="CP32">
        <v>5.3413971095649746</v>
      </c>
      <c r="CQ32">
        <v>612.28350623716142</v>
      </c>
      <c r="CR32">
        <v>28.121957725640161</v>
      </c>
      <c r="CS32">
        <v>11.284807201281069</v>
      </c>
      <c r="CT32">
        <v>9.7372019102058616</v>
      </c>
      <c r="CU32">
        <v>3.4309902921690409</v>
      </c>
      <c r="CV32">
        <v>5.5543467905026214</v>
      </c>
      <c r="CW32">
        <v>653.06196207850542</v>
      </c>
      <c r="CX32">
        <v>27.621726762481114</v>
      </c>
      <c r="CY32">
        <v>11.063320692420591</v>
      </c>
      <c r="DA32">
        <v>36</v>
      </c>
      <c r="DB32">
        <v>8.0130691886195979</v>
      </c>
      <c r="DC32">
        <v>2.7785774990913015</v>
      </c>
      <c r="DD32">
        <v>4.5678035571909117</v>
      </c>
      <c r="DE32">
        <v>519.1885676887706</v>
      </c>
      <c r="DF32">
        <v>27.024534217846512</v>
      </c>
      <c r="DG32">
        <v>10.649082490116211</v>
      </c>
      <c r="DH32">
        <v>8.1829295498474277</v>
      </c>
      <c r="DI32">
        <v>2.8987559398026126</v>
      </c>
      <c r="DJ32">
        <v>4.6940677188721809</v>
      </c>
      <c r="DK32">
        <v>536.28437253953325</v>
      </c>
      <c r="DL32">
        <v>27.05320232260425</v>
      </c>
      <c r="DM32">
        <v>10.795777201713568</v>
      </c>
      <c r="DN32">
        <v>8.9208775050191296</v>
      </c>
      <c r="DO32">
        <v>2.9583185809591575</v>
      </c>
      <c r="DP32">
        <v>4.9995857661711733</v>
      </c>
      <c r="DQ32">
        <v>577.94100512386251</v>
      </c>
      <c r="DR32">
        <v>27.607017249935531</v>
      </c>
      <c r="DS32">
        <v>10.681429773984471</v>
      </c>
      <c r="DT32">
        <v>9.0956553445879873</v>
      </c>
      <c r="DU32">
        <v>2.9016690827445877</v>
      </c>
      <c r="DV32">
        <v>5.2056688473745227</v>
      </c>
      <c r="DW32">
        <v>605.11169774071857</v>
      </c>
      <c r="DX32">
        <v>27.630347901771636</v>
      </c>
      <c r="DY32">
        <v>10.55339041087988</v>
      </c>
      <c r="DZ32">
        <v>9.2035647879344573</v>
      </c>
      <c r="EA32">
        <v>2.9464126119594654</v>
      </c>
      <c r="EB32">
        <v>5.3961878820725167</v>
      </c>
      <c r="EC32">
        <v>645.04316188701227</v>
      </c>
      <c r="ED32">
        <v>27.137814936323778</v>
      </c>
      <c r="EE32">
        <v>10.449620485190142</v>
      </c>
      <c r="EG32">
        <v>36</v>
      </c>
      <c r="EH32">
        <v>7.7286293905003509</v>
      </c>
      <c r="EI32">
        <v>2.5564130142239017</v>
      </c>
      <c r="EJ32">
        <v>4.2349785882407005</v>
      </c>
      <c r="EK32">
        <v>519.30009379786736</v>
      </c>
      <c r="EL32">
        <v>26.470993514303707</v>
      </c>
      <c r="EM32">
        <v>10.218980246210375</v>
      </c>
      <c r="EN32">
        <v>7.8758384685647727</v>
      </c>
      <c r="EO32">
        <v>2.6114253430383241</v>
      </c>
      <c r="EP32">
        <v>4.3711072359626399</v>
      </c>
      <c r="EQ32">
        <v>535.36421105881755</v>
      </c>
      <c r="ER32">
        <v>26.526088703975788</v>
      </c>
      <c r="ES32">
        <v>10.277631362490844</v>
      </c>
      <c r="ET32">
        <v>7.8999241619668545</v>
      </c>
      <c r="EU32">
        <v>2.6774396938795317</v>
      </c>
      <c r="EV32">
        <v>4.6506346229490632</v>
      </c>
      <c r="EW32">
        <v>575.24713298931999</v>
      </c>
      <c r="EX32">
        <v>25.961492197692614</v>
      </c>
      <c r="EY32">
        <v>10.24317555836703</v>
      </c>
      <c r="EZ32">
        <v>8.2043937934923008</v>
      </c>
      <c r="FA32">
        <v>2.6520524374954504</v>
      </c>
      <c r="FB32">
        <v>4.8395731915989026</v>
      </c>
      <c r="FC32">
        <v>601.22175626502553</v>
      </c>
      <c r="FD32">
        <v>26.32670060917556</v>
      </c>
      <c r="FE32">
        <v>10.206489168522413</v>
      </c>
      <c r="FF32">
        <v>8.3102229126701026</v>
      </c>
      <c r="FG32">
        <v>2.6767075263620588</v>
      </c>
      <c r="FH32">
        <v>5.0174653266253699</v>
      </c>
      <c r="FI32">
        <v>629.8868471179818</v>
      </c>
      <c r="FJ32">
        <v>26.37254636125946</v>
      </c>
      <c r="FK32">
        <v>10.27287866431179</v>
      </c>
    </row>
    <row r="33" spans="2:167" x14ac:dyDescent="0.2">
      <c r="B33">
        <v>651.30032455457422</v>
      </c>
      <c r="C33">
        <v>1.5353899918350298</v>
      </c>
      <c r="D33">
        <v>685.39963025327756</v>
      </c>
      <c r="E33">
        <v>1.4590028296783109</v>
      </c>
      <c r="F33">
        <v>764.34160638321964</v>
      </c>
      <c r="G33">
        <v>1.3083155380378806</v>
      </c>
      <c r="H33">
        <v>830.04572526434458</v>
      </c>
      <c r="I33">
        <v>1.2047529064516658</v>
      </c>
      <c r="J33">
        <v>905.03306925425466</v>
      </c>
      <c r="K33">
        <v>1.1049320007985983</v>
      </c>
      <c r="L33">
        <v>719.20690456876025</v>
      </c>
      <c r="M33">
        <v>1.3904204668329827</v>
      </c>
      <c r="N33">
        <v>730.76716351278469</v>
      </c>
      <c r="O33">
        <v>1.3684249237377031</v>
      </c>
      <c r="Q33">
        <v>6.3123553688103629E-2</v>
      </c>
      <c r="R33">
        <v>6.3501588313451054E-2</v>
      </c>
      <c r="S33">
        <v>6.3925291894735836E-2</v>
      </c>
      <c r="T33">
        <v>6.452843578894675E-2</v>
      </c>
      <c r="U33">
        <v>6.4832769675837801E-2</v>
      </c>
      <c r="V33">
        <v>6.3869973492964402E-2</v>
      </c>
      <c r="W33">
        <v>6.349537863582301E-2</v>
      </c>
      <c r="Y33">
        <v>1.2752129736210744</v>
      </c>
      <c r="Z33">
        <v>1.2759548776190233</v>
      </c>
      <c r="AA33">
        <v>1.3076955612639336</v>
      </c>
      <c r="AB33">
        <v>1.3149876167028332</v>
      </c>
      <c r="AC33">
        <v>1.3387530400399585</v>
      </c>
      <c r="AD33">
        <v>1.296379305589104</v>
      </c>
      <c r="AE33">
        <v>1.2890078097929099</v>
      </c>
      <c r="AG33">
        <v>0.52489480134166666</v>
      </c>
      <c r="AH33">
        <v>0.52558233288554534</v>
      </c>
      <c r="AI33">
        <v>0.54138023297762339</v>
      </c>
      <c r="AJ33">
        <v>0.54069231984114019</v>
      </c>
      <c r="AK33">
        <v>0.55249291931745181</v>
      </c>
      <c r="AL33">
        <v>0.53531298698214191</v>
      </c>
      <c r="AM33">
        <v>0.53220685764558284</v>
      </c>
      <c r="AO33">
        <v>37</v>
      </c>
      <c r="AP33">
        <v>8.8056646522972013</v>
      </c>
      <c r="AQ33">
        <v>3.6854977167315668</v>
      </c>
      <c r="AR33">
        <v>4.8101197606317578</v>
      </c>
      <c r="AS33">
        <v>525.24588885323374</v>
      </c>
      <c r="AT33">
        <v>28.351321163974234</v>
      </c>
      <c r="AU33">
        <v>12.31209208864246</v>
      </c>
      <c r="AV33">
        <v>9.0567205508285795</v>
      </c>
      <c r="AW33">
        <v>3.7271549111059805</v>
      </c>
      <c r="AX33">
        <v>4.9981023947778356</v>
      </c>
      <c r="AY33">
        <v>545.00961028665324</v>
      </c>
      <c r="AZ33">
        <v>28.368480856297726</v>
      </c>
      <c r="BA33">
        <v>12.209241647322113</v>
      </c>
      <c r="BB33">
        <v>9.886040639645568</v>
      </c>
      <c r="BC33">
        <v>3.9002473250102949</v>
      </c>
      <c r="BD33">
        <v>5.3558936053042894</v>
      </c>
      <c r="BE33">
        <v>587.21608712387092</v>
      </c>
      <c r="BF33">
        <v>28.997925947656086</v>
      </c>
      <c r="BG33">
        <v>12.200565195957477</v>
      </c>
      <c r="BH33">
        <v>10.285660116879901</v>
      </c>
      <c r="BI33">
        <v>4.0049482249596027</v>
      </c>
      <c r="BJ33">
        <v>5.650626167950028</v>
      </c>
      <c r="BK33">
        <v>620.24451225159169</v>
      </c>
      <c r="BL33">
        <v>29.087895204837643</v>
      </c>
      <c r="BM33">
        <v>12.172068185326555</v>
      </c>
      <c r="BN33">
        <v>10.522193732017474</v>
      </c>
      <c r="BO33">
        <v>4.069761988713176</v>
      </c>
      <c r="BP33">
        <v>5.9603543754778023</v>
      </c>
      <c r="BQ33">
        <v>664.52851131542411</v>
      </c>
      <c r="BR33">
        <v>28.55983213355427</v>
      </c>
      <c r="BS33">
        <v>11.940354064352846</v>
      </c>
      <c r="BU33">
        <v>37</v>
      </c>
      <c r="BV33">
        <v>8.4691696868383648</v>
      </c>
      <c r="BW33">
        <v>3.1838329241543963</v>
      </c>
      <c r="BX33">
        <v>4.6602545375927633</v>
      </c>
      <c r="BY33">
        <v>531.09789378825064</v>
      </c>
      <c r="BZ33">
        <v>27.40534295035139</v>
      </c>
      <c r="CA33">
        <v>11.231848271164568</v>
      </c>
      <c r="CB33">
        <v>8.6441740918014816</v>
      </c>
      <c r="CC33">
        <v>3.1900403693689907</v>
      </c>
      <c r="CD33">
        <v>4.8292940818331553</v>
      </c>
      <c r="CE33">
        <v>550.99834308441007</v>
      </c>
      <c r="CF33">
        <v>27.311421941213982</v>
      </c>
      <c r="CG33">
        <v>11.101738448292419</v>
      </c>
      <c r="CH33">
        <v>9.4664644551857737</v>
      </c>
      <c r="CI33">
        <v>3.4669777607917527</v>
      </c>
      <c r="CJ33">
        <v>5.1666009494506939</v>
      </c>
      <c r="CK33">
        <v>593.64781266598891</v>
      </c>
      <c r="CL33">
        <v>27.976979062121469</v>
      </c>
      <c r="CM33">
        <v>11.33853851936702</v>
      </c>
      <c r="CN33">
        <v>9.8580238556469695</v>
      </c>
      <c r="CO33">
        <v>3.5138017882898742</v>
      </c>
      <c r="CP33">
        <v>5.4683468682873526</v>
      </c>
      <c r="CQ33">
        <v>627.43556386596651</v>
      </c>
      <c r="CR33">
        <v>28.072956215595905</v>
      </c>
      <c r="CS33">
        <v>11.24978000057884</v>
      </c>
      <c r="CT33">
        <v>10.003399099997631</v>
      </c>
      <c r="CU33">
        <v>3.5186530668982825</v>
      </c>
      <c r="CV33">
        <v>5.6885919875393265</v>
      </c>
      <c r="CW33">
        <v>670.78177562023313</v>
      </c>
      <c r="CX33">
        <v>27.520169405378471</v>
      </c>
      <c r="CY33">
        <v>11.00744990026211</v>
      </c>
      <c r="DA33">
        <v>37</v>
      </c>
      <c r="DB33">
        <v>8.202429782270416</v>
      </c>
      <c r="DC33">
        <v>2.8425525819285409</v>
      </c>
      <c r="DD33">
        <v>4.6588120128769361</v>
      </c>
      <c r="DE33">
        <v>530.1362342721518</v>
      </c>
      <c r="DF33">
        <v>26.951902343602775</v>
      </c>
      <c r="DG33">
        <v>10.608462984350052</v>
      </c>
      <c r="DH33">
        <v>8.3790512577218195</v>
      </c>
      <c r="DI33">
        <v>2.9679383696210451</v>
      </c>
      <c r="DJ33">
        <v>4.7902610718477154</v>
      </c>
      <c r="DK33">
        <v>547.8646938822535</v>
      </c>
      <c r="DL33">
        <v>26.983716176435497</v>
      </c>
      <c r="DM33">
        <v>10.759841903381712</v>
      </c>
      <c r="DN33">
        <v>9.1528013072673193</v>
      </c>
      <c r="DO33">
        <v>3.0318355099244645</v>
      </c>
      <c r="DP33">
        <v>5.1102943613068916</v>
      </c>
      <c r="DQ33">
        <v>591.30503926818233</v>
      </c>
      <c r="DR33">
        <v>27.55736581829083</v>
      </c>
      <c r="DS33">
        <v>10.647560771300169</v>
      </c>
      <c r="DT33">
        <v>9.3373806332028302</v>
      </c>
      <c r="DU33">
        <v>2.9746172026717641</v>
      </c>
      <c r="DV33">
        <v>5.3260832920466195</v>
      </c>
      <c r="DW33">
        <v>619.69564112448904</v>
      </c>
      <c r="DX33">
        <v>27.583424435672335</v>
      </c>
      <c r="DY33">
        <v>10.520208695648218</v>
      </c>
      <c r="DZ33">
        <v>9.4469690757034996</v>
      </c>
      <c r="EA33">
        <v>3.0204091501911563</v>
      </c>
      <c r="EB33">
        <v>5.5228169091940149</v>
      </c>
      <c r="EC33">
        <v>662.11849413027255</v>
      </c>
      <c r="ED33">
        <v>27.039870104115689</v>
      </c>
      <c r="EE33">
        <v>10.398973799222635</v>
      </c>
      <c r="EG33">
        <v>37</v>
      </c>
      <c r="EH33">
        <v>7.908902127542639</v>
      </c>
      <c r="EI33">
        <v>2.6160288062528987</v>
      </c>
      <c r="EJ33">
        <v>4.316338737285113</v>
      </c>
      <c r="EK33">
        <v>530.08987436802488</v>
      </c>
      <c r="EL33">
        <v>26.400527602729742</v>
      </c>
      <c r="EM33">
        <v>10.182059879370486</v>
      </c>
      <c r="EN33">
        <v>8.0647625670136112</v>
      </c>
      <c r="EO33">
        <v>2.6735220968711846</v>
      </c>
      <c r="EP33">
        <v>4.4579389116872452</v>
      </c>
      <c r="EQ33">
        <v>546.841922189407</v>
      </c>
      <c r="ER33">
        <v>26.459450391385012</v>
      </c>
      <c r="ES33">
        <v>10.241572547044008</v>
      </c>
      <c r="ET33">
        <v>8.0871572970832357</v>
      </c>
      <c r="EU33">
        <v>2.7439749863582281</v>
      </c>
      <c r="EV33">
        <v>4.7508727488963629</v>
      </c>
      <c r="EW33">
        <v>588.6661149112424</v>
      </c>
      <c r="EX33">
        <v>25.870633422520431</v>
      </c>
      <c r="EY33">
        <v>10.20628785015705</v>
      </c>
      <c r="EZ33">
        <v>8.4133949395850713</v>
      </c>
      <c r="FA33">
        <v>2.7191812566030777</v>
      </c>
      <c r="FB33">
        <v>4.9486424189417004</v>
      </c>
      <c r="FC33">
        <v>615.90592302990626</v>
      </c>
      <c r="FD33">
        <v>26.252941548136366</v>
      </c>
      <c r="FE33">
        <v>10.17020829338624</v>
      </c>
      <c r="FF33">
        <v>8.5237969362445405</v>
      </c>
      <c r="FG33">
        <v>2.7441038103853077</v>
      </c>
      <c r="FH33">
        <v>5.132359221006058</v>
      </c>
      <c r="FI33">
        <v>647.25592169143647</v>
      </c>
      <c r="FJ33">
        <v>26.234485257365172</v>
      </c>
      <c r="FK33">
        <v>10.210872254925933</v>
      </c>
    </row>
    <row r="34" spans="2:167" x14ac:dyDescent="0.2">
      <c r="B34">
        <v>658.36947764439253</v>
      </c>
      <c r="C34">
        <v>1.5189039497668415</v>
      </c>
      <c r="D34">
        <v>693.63245708333329</v>
      </c>
      <c r="E34">
        <v>1.4416857080260008</v>
      </c>
      <c r="F34">
        <v>775.54530469329541</v>
      </c>
      <c r="G34">
        <v>1.28941532357735</v>
      </c>
      <c r="H34">
        <v>843.81837771838002</v>
      </c>
      <c r="I34">
        <v>1.1850891452541281</v>
      </c>
      <c r="J34">
        <v>921.2075679237779</v>
      </c>
      <c r="K34">
        <v>1.0855316812624596</v>
      </c>
      <c r="L34">
        <v>729.51055586950588</v>
      </c>
      <c r="M34">
        <v>1.3707820838974658</v>
      </c>
      <c r="N34">
        <v>739.85922061872725</v>
      </c>
      <c r="O34">
        <v>1.3516084846029532</v>
      </c>
      <c r="Q34">
        <v>6.4739330610219969E-2</v>
      </c>
      <c r="R34">
        <v>6.5129385556149652E-2</v>
      </c>
      <c r="S34">
        <v>6.5576796172272453E-2</v>
      </c>
      <c r="T34">
        <v>6.6203063631937592E-2</v>
      </c>
      <c r="U34">
        <v>6.652203607763045E-2</v>
      </c>
      <c r="V34">
        <v>6.5518397842870793E-2</v>
      </c>
      <c r="W34">
        <v>6.5125994129414846E-2</v>
      </c>
      <c r="Y34">
        <v>1.301800312503018</v>
      </c>
      <c r="Z34">
        <v>1.3024978859439311</v>
      </c>
      <c r="AA34">
        <v>1.3359504432315323</v>
      </c>
      <c r="AB34">
        <v>1.3439193053827909</v>
      </c>
      <c r="AC34">
        <v>1.3682708947289934</v>
      </c>
      <c r="AD34">
        <v>1.3235123266652038</v>
      </c>
      <c r="AE34">
        <v>1.3165537616645946</v>
      </c>
      <c r="AG34">
        <v>0.53385724571248327</v>
      </c>
      <c r="AH34">
        <v>0.53456233921054752</v>
      </c>
      <c r="AI34">
        <v>0.55114335334440068</v>
      </c>
      <c r="AJ34">
        <v>0.55060937815343125</v>
      </c>
      <c r="AK34">
        <v>0.56273186175714507</v>
      </c>
      <c r="AL34">
        <v>0.54454865117641127</v>
      </c>
      <c r="AM34">
        <v>0.54166260615623774</v>
      </c>
      <c r="AO34">
        <v>38</v>
      </c>
      <c r="AP34">
        <v>9.0019805490759719</v>
      </c>
      <c r="AQ34">
        <v>3.7743509580670263</v>
      </c>
      <c r="AR34">
        <v>4.9002706708506398</v>
      </c>
      <c r="AS34">
        <v>536.00168288013344</v>
      </c>
      <c r="AT34">
        <v>28.271898078301426</v>
      </c>
      <c r="AU34">
        <v>12.287121519766233</v>
      </c>
      <c r="AV34">
        <v>9.2653845805700126</v>
      </c>
      <c r="AW34">
        <v>3.8178670647987025</v>
      </c>
      <c r="AX34">
        <v>5.0964273305830465</v>
      </c>
      <c r="AY34">
        <v>556.60457369743403</v>
      </c>
      <c r="AZ34">
        <v>28.290616002225764</v>
      </c>
      <c r="BA34">
        <v>12.181043407053723</v>
      </c>
      <c r="BB34">
        <v>10.130068745459718</v>
      </c>
      <c r="BC34">
        <v>3.9987291293554206</v>
      </c>
      <c r="BD34">
        <v>5.4693463154328708</v>
      </c>
      <c r="BE34">
        <v>600.44370513964964</v>
      </c>
      <c r="BF34">
        <v>28.939872170818131</v>
      </c>
      <c r="BG34">
        <v>12.175488377129103</v>
      </c>
      <c r="BH34">
        <v>10.552091810070866</v>
      </c>
      <c r="BI34">
        <v>4.1102200816850676</v>
      </c>
      <c r="BJ34">
        <v>5.778478116481331</v>
      </c>
      <c r="BK34">
        <v>634.97838010772932</v>
      </c>
      <c r="BL34">
        <v>29.035210188327149</v>
      </c>
      <c r="BM34">
        <v>12.148045831769435</v>
      </c>
      <c r="BN34">
        <v>10.79517792281462</v>
      </c>
      <c r="BO34">
        <v>4.1763838723046236</v>
      </c>
      <c r="BP34">
        <v>6.0988839460302193</v>
      </c>
      <c r="BQ34">
        <v>681.81026774451857</v>
      </c>
      <c r="BR34">
        <v>28.457977762172522</v>
      </c>
      <c r="BS34">
        <v>11.895392567133014</v>
      </c>
      <c r="BU34">
        <v>38</v>
      </c>
      <c r="BV34">
        <v>8.6627223200132022</v>
      </c>
      <c r="BW34">
        <v>3.2542166116530304</v>
      </c>
      <c r="BX34">
        <v>4.7486901734248654</v>
      </c>
      <c r="BY34">
        <v>542.07611136040373</v>
      </c>
      <c r="BZ34">
        <v>27.329237368427119</v>
      </c>
      <c r="CA34">
        <v>11.189911045352305</v>
      </c>
      <c r="CB34">
        <v>8.8469755490400939</v>
      </c>
      <c r="CC34">
        <v>3.2615500202822503</v>
      </c>
      <c r="CD34">
        <v>4.9251411652279478</v>
      </c>
      <c r="CE34">
        <v>562.84280160383491</v>
      </c>
      <c r="CF34">
        <v>27.233673743980457</v>
      </c>
      <c r="CG34">
        <v>11.057629964391499</v>
      </c>
      <c r="CH34">
        <v>9.704293378985918</v>
      </c>
      <c r="CI34">
        <v>3.550541864984774</v>
      </c>
      <c r="CJ34">
        <v>5.2767495433032474</v>
      </c>
      <c r="CK34">
        <v>607.07358609919936</v>
      </c>
      <c r="CL34">
        <v>27.922461286711595</v>
      </c>
      <c r="CM34">
        <v>11.304244239603793</v>
      </c>
      <c r="CN34">
        <v>10.117697973639569</v>
      </c>
      <c r="CO34">
        <v>3.6014959855842896</v>
      </c>
      <c r="CP34">
        <v>5.5930932818676045</v>
      </c>
      <c r="CQ34">
        <v>642.38332506915424</v>
      </c>
      <c r="CR34">
        <v>28.024290470338897</v>
      </c>
      <c r="CS34">
        <v>11.216079381971804</v>
      </c>
      <c r="CT34">
        <v>10.266049280871753</v>
      </c>
      <c r="CU34">
        <v>3.6054292945761484</v>
      </c>
      <c r="CV34">
        <v>5.8204846456319883</v>
      </c>
      <c r="CW34">
        <v>688.32411207413838</v>
      </c>
      <c r="CX34">
        <v>27.419950085256733</v>
      </c>
      <c r="CY34">
        <v>10.953337361197335</v>
      </c>
      <c r="DA34">
        <v>38</v>
      </c>
      <c r="DB34">
        <v>8.3884117925070747</v>
      </c>
      <c r="DC34">
        <v>2.9058913776582229</v>
      </c>
      <c r="DD34">
        <v>4.7481506862990521</v>
      </c>
      <c r="DE34">
        <v>540.94894843422878</v>
      </c>
      <c r="DF34">
        <v>26.879091333300092</v>
      </c>
      <c r="DG34">
        <v>10.569312036723105</v>
      </c>
      <c r="DH34">
        <v>8.5718432559918778</v>
      </c>
      <c r="DI34">
        <v>3.0364940470380581</v>
      </c>
      <c r="DJ34">
        <v>4.8847770530989552</v>
      </c>
      <c r="DK34">
        <v>559.30578387414982</v>
      </c>
      <c r="DL34">
        <v>26.913980453965184</v>
      </c>
      <c r="DM34">
        <v>10.725173291542783</v>
      </c>
      <c r="DN34">
        <v>9.3806415398336025</v>
      </c>
      <c r="DO34">
        <v>3.1046535538764046</v>
      </c>
      <c r="DP34">
        <v>5.2189473915184239</v>
      </c>
      <c r="DQ34">
        <v>604.47751179418628</v>
      </c>
      <c r="DR34">
        <v>27.506956904873352</v>
      </c>
      <c r="DS34">
        <v>10.615150526482889</v>
      </c>
      <c r="DT34">
        <v>9.5752547794551948</v>
      </c>
      <c r="DU34">
        <v>3.0470837667588446</v>
      </c>
      <c r="DV34">
        <v>5.444443209478723</v>
      </c>
      <c r="DW34">
        <v>634.08197783889591</v>
      </c>
      <c r="DX34">
        <v>27.535704074673845</v>
      </c>
      <c r="DY34">
        <v>10.488565171765433</v>
      </c>
      <c r="DZ34">
        <v>9.6865597003394992</v>
      </c>
      <c r="EA34">
        <v>3.0939426304813153</v>
      </c>
      <c r="EB34">
        <v>5.6473013070932465</v>
      </c>
      <c r="EC34">
        <v>679.02424196581114</v>
      </c>
      <c r="ED34">
        <v>26.942076710039462</v>
      </c>
      <c r="EE34">
        <v>10.350086366509528</v>
      </c>
      <c r="EG34">
        <v>38</v>
      </c>
      <c r="EH34">
        <v>8.0857322063549582</v>
      </c>
      <c r="EI34">
        <v>2.6750415320436036</v>
      </c>
      <c r="EJ34">
        <v>4.3962296666688161</v>
      </c>
      <c r="EK34">
        <v>540.74252256895909</v>
      </c>
      <c r="EL34">
        <v>26.329604222402345</v>
      </c>
      <c r="EM34">
        <v>10.146434129607945</v>
      </c>
      <c r="EN34">
        <v>8.2502712537740219</v>
      </c>
      <c r="EO34">
        <v>2.7350589916036827</v>
      </c>
      <c r="EP34">
        <v>4.5432759327023593</v>
      </c>
      <c r="EQ34">
        <v>558.17760227144902</v>
      </c>
      <c r="ER34">
        <v>26.392268111102986</v>
      </c>
      <c r="ES34">
        <v>10.206816569482173</v>
      </c>
      <c r="ET34">
        <v>8.2716599092429561</v>
      </c>
      <c r="EU34">
        <v>2.8098777853458068</v>
      </c>
      <c r="EV34">
        <v>4.8492705337514899</v>
      </c>
      <c r="EW34">
        <v>601.9417057331392</v>
      </c>
      <c r="EX34">
        <v>25.780495168375847</v>
      </c>
      <c r="EY34">
        <v>10.170160915470014</v>
      </c>
      <c r="EZ34">
        <v>8.6192117307362732</v>
      </c>
      <c r="FA34">
        <v>2.7858596766170862</v>
      </c>
      <c r="FB34">
        <v>5.0558716316504766</v>
      </c>
      <c r="FC34">
        <v>630.42080760931458</v>
      </c>
      <c r="FD34">
        <v>26.179102042527457</v>
      </c>
      <c r="FE34">
        <v>10.135112898467444</v>
      </c>
      <c r="FF34">
        <v>8.7340759730975215</v>
      </c>
      <c r="FG34">
        <v>2.8110755346081269</v>
      </c>
      <c r="FH34">
        <v>5.2453282327627173</v>
      </c>
      <c r="FI34">
        <v>664.5059665040817</v>
      </c>
      <c r="FJ34">
        <v>26.097342028411692</v>
      </c>
      <c r="FK34">
        <v>10.150537080821215</v>
      </c>
    </row>
    <row r="35" spans="2:167" x14ac:dyDescent="0.2">
      <c r="B35">
        <v>665.23128304599425</v>
      </c>
      <c r="C35">
        <v>1.5032365817511617</v>
      </c>
      <c r="D35">
        <v>701.63319456621628</v>
      </c>
      <c r="E35">
        <v>1.4252461367912455</v>
      </c>
      <c r="F35">
        <v>786.43064677005827</v>
      </c>
      <c r="G35">
        <v>1.271567943221809</v>
      </c>
      <c r="H35">
        <v>857.21963185118216</v>
      </c>
      <c r="I35">
        <v>1.1665621771172936</v>
      </c>
      <c r="J35">
        <v>936.95329372214951</v>
      </c>
      <c r="K35">
        <v>1.067289059871267</v>
      </c>
      <c r="L35">
        <v>739.52418091985237</v>
      </c>
      <c r="M35">
        <v>1.3522208276626688</v>
      </c>
      <c r="N35">
        <v>748.69245675613718</v>
      </c>
      <c r="O35">
        <v>1.3356619142828072</v>
      </c>
      <c r="Q35">
        <v>6.6353330710791816E-2</v>
      </c>
      <c r="R35">
        <v>6.675518784283932E-2</v>
      </c>
      <c r="S35">
        <v>6.7225734310006988E-2</v>
      </c>
      <c r="T35">
        <v>6.7874716179926284E-2</v>
      </c>
      <c r="U35">
        <v>6.8208043902791227E-2</v>
      </c>
      <c r="V35">
        <v>6.7164352239430888E-2</v>
      </c>
      <c r="W35">
        <v>6.6754533990576778E-2</v>
      </c>
      <c r="Y35">
        <v>1.3279767613047944</v>
      </c>
      <c r="Z35">
        <v>1.3286572091838671</v>
      </c>
      <c r="AA35">
        <v>1.3637683899621695</v>
      </c>
      <c r="AB35">
        <v>1.3724537983225764</v>
      </c>
      <c r="AC35">
        <v>1.3973909109499176</v>
      </c>
      <c r="AD35">
        <v>1.3502421189342484</v>
      </c>
      <c r="AE35">
        <v>1.3436853248678786</v>
      </c>
      <c r="AG35">
        <v>0.5427002930987106</v>
      </c>
      <c r="AH35">
        <v>0.54343320836227715</v>
      </c>
      <c r="AI35">
        <v>0.56077406792485229</v>
      </c>
      <c r="AJ35">
        <v>0.560412359418751</v>
      </c>
      <c r="AK35">
        <v>0.57285488744483926</v>
      </c>
      <c r="AL35">
        <v>0.55366718559762784</v>
      </c>
      <c r="AM35">
        <v>0.55099527280548477</v>
      </c>
      <c r="AO35">
        <v>39</v>
      </c>
      <c r="AP35">
        <v>9.1958928614355724</v>
      </c>
      <c r="AQ35">
        <v>3.8621632316700358</v>
      </c>
      <c r="AR35">
        <v>4.9890164999699289</v>
      </c>
      <c r="AS35">
        <v>546.64115031551978</v>
      </c>
      <c r="AT35">
        <v>28.193658602762866</v>
      </c>
      <c r="AU35">
        <v>12.262218865244561</v>
      </c>
      <c r="AV35">
        <v>9.4715337662135113</v>
      </c>
      <c r="AW35">
        <v>3.9075509901665901</v>
      </c>
      <c r="AX35">
        <v>5.1931940821727709</v>
      </c>
      <c r="AY35">
        <v>568.07445401769371</v>
      </c>
      <c r="AZ35">
        <v>28.213897356033943</v>
      </c>
      <c r="BA35">
        <v>12.153117428066187</v>
      </c>
      <c r="BB35">
        <v>10.370848216609522</v>
      </c>
      <c r="BC35">
        <v>4.0960508689603605</v>
      </c>
      <c r="BD35">
        <v>5.5808523322112178</v>
      </c>
      <c r="BE35">
        <v>613.49903528080677</v>
      </c>
      <c r="BF35">
        <v>28.882288579180248</v>
      </c>
      <c r="BG35">
        <v>12.150798155012369</v>
      </c>
      <c r="BH35">
        <v>10.814976489527499</v>
      </c>
      <c r="BI35">
        <v>4.2142859595506756</v>
      </c>
      <c r="BJ35">
        <v>5.904085049434352</v>
      </c>
      <c r="BK35">
        <v>649.51518943439521</v>
      </c>
      <c r="BL35">
        <v>28.982904535208508</v>
      </c>
      <c r="BM35">
        <v>12.124493045695852</v>
      </c>
      <c r="BN35">
        <v>11.064530415068749</v>
      </c>
      <c r="BO35">
        <v>4.2817917023223737</v>
      </c>
      <c r="BP35">
        <v>6.2349382962076367</v>
      </c>
      <c r="BQ35">
        <v>698.91477563569867</v>
      </c>
      <c r="BR35">
        <v>28.35742308292415</v>
      </c>
      <c r="BS35">
        <v>11.851302951248892</v>
      </c>
      <c r="BU35">
        <v>39</v>
      </c>
      <c r="BV35">
        <v>8.8538181877240127</v>
      </c>
      <c r="BW35">
        <v>3.3238577266459317</v>
      </c>
      <c r="BX35">
        <v>4.8357310427385372</v>
      </c>
      <c r="BY35">
        <v>552.93105254494537</v>
      </c>
      <c r="BZ35">
        <v>27.254282838963597</v>
      </c>
      <c r="CA35">
        <v>11.149180160021389</v>
      </c>
      <c r="CB35">
        <v>9.0472656359804748</v>
      </c>
      <c r="CC35">
        <v>3.3323538487269424</v>
      </c>
      <c r="CD35">
        <v>5.0194569669830198</v>
      </c>
      <c r="CE35">
        <v>574.55775559594167</v>
      </c>
      <c r="CF35">
        <v>27.157106581605792</v>
      </c>
      <c r="CG35">
        <v>11.014868991817451</v>
      </c>
      <c r="CH35">
        <v>9.9388849854184791</v>
      </c>
      <c r="CI35">
        <v>3.633195512572712</v>
      </c>
      <c r="CJ35">
        <v>5.3849988392780448</v>
      </c>
      <c r="CK35">
        <v>620.31930846165346</v>
      </c>
      <c r="CL35">
        <v>27.868377967645614</v>
      </c>
      <c r="CM35">
        <v>11.271046208351985</v>
      </c>
      <c r="CN35">
        <v>10.373841672004648</v>
      </c>
      <c r="CO35">
        <v>3.6882729632854536</v>
      </c>
      <c r="CP35">
        <v>5.715636271809819</v>
      </c>
      <c r="CQ35">
        <v>657.12490871075374</v>
      </c>
      <c r="CR35">
        <v>27.975962664525991</v>
      </c>
      <c r="CS35">
        <v>11.183611066462776</v>
      </c>
      <c r="CT35">
        <v>10.525152171649754</v>
      </c>
      <c r="CU35">
        <v>3.6913189048935173</v>
      </c>
      <c r="CV35">
        <v>5.9500246360819711</v>
      </c>
      <c r="CW35">
        <v>705.68489169708039</v>
      </c>
      <c r="CX35">
        <v>27.321038008654998</v>
      </c>
      <c r="CY35">
        <v>10.900868130015233</v>
      </c>
      <c r="DA35">
        <v>39</v>
      </c>
      <c r="DB35">
        <v>8.5710155972808604</v>
      </c>
      <c r="DC35">
        <v>2.9685938801030329</v>
      </c>
      <c r="DD35">
        <v>4.835819991152297</v>
      </c>
      <c r="DE35">
        <v>551.62580339304304</v>
      </c>
      <c r="DF35">
        <v>26.806100467215963</v>
      </c>
      <c r="DG35">
        <v>10.531530683693573</v>
      </c>
      <c r="DH35">
        <v>8.7613055350828528</v>
      </c>
      <c r="DI35">
        <v>3.1044229524101756</v>
      </c>
      <c r="DJ35">
        <v>4.9776156600967818</v>
      </c>
      <c r="DK35">
        <v>570.60675913020191</v>
      </c>
      <c r="DL35">
        <v>26.843996955904334</v>
      </c>
      <c r="DM35">
        <v>10.691684618501204</v>
      </c>
      <c r="DN35">
        <v>9.604398192096097</v>
      </c>
      <c r="DO35">
        <v>3.1767726934820857</v>
      </c>
      <c r="DP35">
        <v>5.3255452242391215</v>
      </c>
      <c r="DQ35">
        <v>617.45827361846398</v>
      </c>
      <c r="DR35">
        <v>27.455792366612446</v>
      </c>
      <c r="DS35">
        <v>10.584075150885134</v>
      </c>
      <c r="DT35">
        <v>9.8092777111464819</v>
      </c>
      <c r="DU35">
        <v>3.1190687531253074</v>
      </c>
      <c r="DV35">
        <v>5.5607485748402219</v>
      </c>
      <c r="DW35">
        <v>648.2706524286491</v>
      </c>
      <c r="DX35">
        <v>27.48718900725676</v>
      </c>
      <c r="DY35">
        <v>10.458325030673809</v>
      </c>
      <c r="DZ35">
        <v>9.9223365362787295</v>
      </c>
      <c r="EA35">
        <v>3.1670130154989047</v>
      </c>
      <c r="EB35">
        <v>5.7696410250527181</v>
      </c>
      <c r="EC35">
        <v>695.75834132507714</v>
      </c>
      <c r="ED35">
        <v>26.844418533664392</v>
      </c>
      <c r="EE35">
        <v>10.302818709564178</v>
      </c>
      <c r="EG35">
        <v>39</v>
      </c>
      <c r="EH35">
        <v>8.2591209358122732</v>
      </c>
      <c r="EI35">
        <v>2.7334511856811252</v>
      </c>
      <c r="EJ35">
        <v>4.4746516746619784</v>
      </c>
      <c r="EK35">
        <v>551.25744019701358</v>
      </c>
      <c r="EL35">
        <v>26.258225266621015</v>
      </c>
      <c r="EM35">
        <v>10.112011146619338</v>
      </c>
      <c r="EN35">
        <v>8.4323646814961606</v>
      </c>
      <c r="EO35">
        <v>2.796036018501201</v>
      </c>
      <c r="EP35">
        <v>4.6271182961014423</v>
      </c>
      <c r="EQ35">
        <v>569.370761588248</v>
      </c>
      <c r="ER35">
        <v>26.324543272494324</v>
      </c>
      <c r="ES35">
        <v>10.17326664217628</v>
      </c>
      <c r="ET35">
        <v>8.4534319297053759</v>
      </c>
      <c r="EU35">
        <v>2.8751480733461183</v>
      </c>
      <c r="EV35">
        <v>4.9458282268103622</v>
      </c>
      <c r="EW35">
        <v>615.07111536090326</v>
      </c>
      <c r="EX35">
        <v>25.691077825777601</v>
      </c>
      <c r="EY35">
        <v>10.134763273219198</v>
      </c>
      <c r="EZ35">
        <v>8.8218440914036247</v>
      </c>
      <c r="FA35">
        <v>2.8520876770326464</v>
      </c>
      <c r="FB35">
        <v>5.1612608061304321</v>
      </c>
      <c r="FC35">
        <v>644.76485925115003</v>
      </c>
      <c r="FD35">
        <v>26.105182517189192</v>
      </c>
      <c r="FE35">
        <v>10.101115191695373</v>
      </c>
      <c r="FF35">
        <v>8.9410599127394761</v>
      </c>
      <c r="FG35">
        <v>2.877622664847042</v>
      </c>
      <c r="FH35">
        <v>5.3563723143935507</v>
      </c>
      <c r="FI35">
        <v>681.63379507048012</v>
      </c>
      <c r="FJ35">
        <v>25.961082941096695</v>
      </c>
      <c r="FK35">
        <v>10.091755654480442</v>
      </c>
    </row>
    <row r="36" spans="2:167" x14ac:dyDescent="0.2">
      <c r="B36">
        <v>671.88559371094016</v>
      </c>
      <c r="C36">
        <v>1.4883486256593585</v>
      </c>
      <c r="D36">
        <v>709.40162267178823</v>
      </c>
      <c r="E36">
        <v>1.4096387265562542</v>
      </c>
      <c r="F36">
        <v>796.99722678150181</v>
      </c>
      <c r="G36">
        <v>1.2547095101425638</v>
      </c>
      <c r="H36">
        <v>870.24884803535656</v>
      </c>
      <c r="I36">
        <v>1.1490966086971159</v>
      </c>
      <c r="J36">
        <v>952.26929382278036</v>
      </c>
      <c r="K36">
        <v>1.0501231179949213</v>
      </c>
      <c r="L36">
        <v>749.24738463938581</v>
      </c>
      <c r="M36">
        <v>1.3346726601939383</v>
      </c>
      <c r="N36">
        <v>757.26661833357514</v>
      </c>
      <c r="O36">
        <v>1.3205388641065134</v>
      </c>
      <c r="Q36">
        <v>6.7965552729719103E-2</v>
      </c>
      <c r="R36">
        <v>6.8378993282220607E-2</v>
      </c>
      <c r="S36">
        <v>6.8872103036693097E-2</v>
      </c>
      <c r="T36">
        <v>6.9543388308818052E-2</v>
      </c>
      <c r="U36">
        <v>6.9890785910054015E-2</v>
      </c>
      <c r="V36">
        <v>6.8807833318017583E-2</v>
      </c>
      <c r="W36">
        <v>6.8380996185614926E-2</v>
      </c>
      <c r="Y36">
        <v>1.3537423183648156</v>
      </c>
      <c r="Z36">
        <v>1.3544328441348692</v>
      </c>
      <c r="AA36">
        <v>1.3911493960282295</v>
      </c>
      <c r="AB36">
        <v>1.4005910856678032</v>
      </c>
      <c r="AC36">
        <v>1.4261130725543429</v>
      </c>
      <c r="AD36">
        <v>1.3765686751104067</v>
      </c>
      <c r="AE36">
        <v>1.3704024956081235</v>
      </c>
      <c r="AG36">
        <v>0.55142394315045329</v>
      </c>
      <c r="AH36">
        <v>0.55219493976499856</v>
      </c>
      <c r="AI36">
        <v>0.57027237533101338</v>
      </c>
      <c r="AJ36">
        <v>0.57010126177736864</v>
      </c>
      <c r="AK36">
        <v>0.58286199278251805</v>
      </c>
      <c r="AL36">
        <v>0.56266858847051737</v>
      </c>
      <c r="AM36">
        <v>0.56020485667468922</v>
      </c>
      <c r="AO36">
        <v>40</v>
      </c>
      <c r="AP36">
        <v>9.3874015667587862</v>
      </c>
      <c r="AQ36">
        <v>3.9489338655632866</v>
      </c>
      <c r="AR36">
        <v>5.0763572332864877</v>
      </c>
      <c r="AS36">
        <v>557.16197800150076</v>
      </c>
      <c r="AT36">
        <v>28.116600150255795</v>
      </c>
      <c r="AU36">
        <v>12.237413109132675</v>
      </c>
      <c r="AV36">
        <v>9.6751680674023852</v>
      </c>
      <c r="AW36">
        <v>3.9962064551807166</v>
      </c>
      <c r="AX36">
        <v>5.288402624155216</v>
      </c>
      <c r="AY36">
        <v>579.41677459746143</v>
      </c>
      <c r="AZ36">
        <v>28.138323818764711</v>
      </c>
      <c r="BA36">
        <v>12.12547926262846</v>
      </c>
      <c r="BB36">
        <v>10.608378953298656</v>
      </c>
      <c r="BC36">
        <v>4.1922125104776793</v>
      </c>
      <c r="BD36">
        <v>5.6904116076308409</v>
      </c>
      <c r="BE36">
        <v>626.38031622233916</v>
      </c>
      <c r="BF36">
        <v>28.825173098089572</v>
      </c>
      <c r="BG36">
        <v>12.126481261827983</v>
      </c>
      <c r="BH36">
        <v>11.074313982639925</v>
      </c>
      <c r="BI36">
        <v>4.3171458011319537</v>
      </c>
      <c r="BJ36">
        <v>6.0274468874681659</v>
      </c>
      <c r="BK36">
        <v>663.85307476320179</v>
      </c>
      <c r="BL36">
        <v>28.930978779503434</v>
      </c>
      <c r="BM36">
        <v>12.101387810145384</v>
      </c>
      <c r="BN36">
        <v>11.33025092797928</v>
      </c>
      <c r="BO36">
        <v>4.3859853844560126</v>
      </c>
      <c r="BP36">
        <v>6.3685172947811504</v>
      </c>
      <c r="BQ36">
        <v>715.83812866348092</v>
      </c>
      <c r="BR36">
        <v>28.258141609789472</v>
      </c>
      <c r="BS36">
        <v>11.808048587056795</v>
      </c>
      <c r="BU36">
        <v>40</v>
      </c>
      <c r="BV36">
        <v>9.0424572657523328</v>
      </c>
      <c r="BW36">
        <v>3.3927562638338196</v>
      </c>
      <c r="BX36">
        <v>4.921377131142207</v>
      </c>
      <c r="BY36">
        <v>563.66029903344383</v>
      </c>
      <c r="BZ36">
        <v>27.180477815554543</v>
      </c>
      <c r="CA36">
        <v>11.109605736849742</v>
      </c>
      <c r="CB36">
        <v>9.2450443114424221</v>
      </c>
      <c r="CC36">
        <v>3.402451845514864</v>
      </c>
      <c r="CD36">
        <v>5.1122414624343149</v>
      </c>
      <c r="CE36">
        <v>586.14054828141172</v>
      </c>
      <c r="CF36">
        <v>27.081718062723926</v>
      </c>
      <c r="CG36">
        <v>10.973394510912923</v>
      </c>
      <c r="CH36">
        <v>10.170239174217935</v>
      </c>
      <c r="CI36">
        <v>3.7149386788366652</v>
      </c>
      <c r="CJ36">
        <v>5.4913487911864216</v>
      </c>
      <c r="CK36">
        <v>633.38318924557393</v>
      </c>
      <c r="CL36">
        <v>27.814728209393188</v>
      </c>
      <c r="CM36">
        <v>11.238876333749825</v>
      </c>
      <c r="CN36">
        <v>10.626454778305972</v>
      </c>
      <c r="CO36">
        <v>3.7741326792196355</v>
      </c>
      <c r="CP36">
        <v>5.8359757616686272</v>
      </c>
      <c r="CQ36">
        <v>671.65844230494235</v>
      </c>
      <c r="CR36">
        <v>27.927974745580467</v>
      </c>
      <c r="CS36">
        <v>11.152290975528034</v>
      </c>
      <c r="CT36">
        <v>10.780707498301503</v>
      </c>
      <c r="CU36">
        <v>3.7763218293287224</v>
      </c>
      <c r="CV36">
        <v>6.0772118334625302</v>
      </c>
      <c r="CW36">
        <v>722.86004032500136</v>
      </c>
      <c r="CX36">
        <v>27.223405198790516</v>
      </c>
      <c r="CY36">
        <v>10.849939699354055</v>
      </c>
      <c r="DA36">
        <v>40</v>
      </c>
      <c r="DB36">
        <v>8.7502415748784568</v>
      </c>
      <c r="DC36">
        <v>3.0306600832646935</v>
      </c>
      <c r="DD36">
        <v>4.921820341498826</v>
      </c>
      <c r="DE36">
        <v>562.16587827558317</v>
      </c>
      <c r="DF36">
        <v>26.732929093121403</v>
      </c>
      <c r="DG36">
        <v>10.495029561924087</v>
      </c>
      <c r="DH36">
        <v>8.9474380856854534</v>
      </c>
      <c r="DI36">
        <v>3.1717250663508452</v>
      </c>
      <c r="DJ36">
        <v>5.068776890382197</v>
      </c>
      <c r="DK36">
        <v>581.76672226851667</v>
      </c>
      <c r="DL36">
        <v>26.773767305207674</v>
      </c>
      <c r="DM36">
        <v>10.65929771952222</v>
      </c>
      <c r="DN36">
        <v>9.8240712537280892</v>
      </c>
      <c r="DO36">
        <v>3.2481929099458755</v>
      </c>
      <c r="DP36">
        <v>5.4300882274891054</v>
      </c>
      <c r="DQ36">
        <v>630.24714891808594</v>
      </c>
      <c r="DR36">
        <v>27.403873814301392</v>
      </c>
      <c r="DS36">
        <v>10.554223971238967</v>
      </c>
      <c r="DT36">
        <v>10.039449357964127</v>
      </c>
      <c r="DU36">
        <v>3.1905721404622116</v>
      </c>
      <c r="DV36">
        <v>5.6749993639491487</v>
      </c>
      <c r="DW36">
        <v>662.26158430764633</v>
      </c>
      <c r="DX36">
        <v>27.437881079880569</v>
      </c>
      <c r="DY36">
        <v>10.429368107192889</v>
      </c>
      <c r="DZ36">
        <v>10.154299461149648</v>
      </c>
      <c r="EA36">
        <v>3.2396202688619438</v>
      </c>
      <c r="EB36">
        <v>5.8898360136443273</v>
      </c>
      <c r="EC36">
        <v>712.3186975319021</v>
      </c>
      <c r="ED36">
        <v>26.746881429118222</v>
      </c>
      <c r="EE36">
        <v>10.257046899719919</v>
      </c>
      <c r="EG36">
        <v>40</v>
      </c>
      <c r="EH36">
        <v>8.4290696259510742</v>
      </c>
      <c r="EI36">
        <v>2.7912577614220027</v>
      </c>
      <c r="EJ36">
        <v>4.5516050597994697</v>
      </c>
      <c r="EK36">
        <v>561.63401073041121</v>
      </c>
      <c r="EL36">
        <v>26.186392441688607</v>
      </c>
      <c r="EM36">
        <v>10.078707986368153</v>
      </c>
      <c r="EN36">
        <v>8.6110430030116571</v>
      </c>
      <c r="EO36">
        <v>2.8564531690712922</v>
      </c>
      <c r="EP36">
        <v>4.7094659990585379</v>
      </c>
      <c r="EQ36">
        <v>580.42089081123765</v>
      </c>
      <c r="ER36">
        <v>26.256277137021662</v>
      </c>
      <c r="ES36">
        <v>10.140835541712731</v>
      </c>
      <c r="ET36">
        <v>8.6324732916401619</v>
      </c>
      <c r="EU36">
        <v>2.9397858333492333</v>
      </c>
      <c r="EV36">
        <v>5.0405460777670097</v>
      </c>
      <c r="EW36">
        <v>628.05154364518421</v>
      </c>
      <c r="EX36">
        <v>25.602381749372221</v>
      </c>
      <c r="EY36">
        <v>10.100066713478695</v>
      </c>
      <c r="EZ36">
        <v>9.021291948018213</v>
      </c>
      <c r="FA36">
        <v>2.9178652378805729</v>
      </c>
      <c r="FB36">
        <v>5.2648099194031293</v>
      </c>
      <c r="FC36">
        <v>658.93651286766828</v>
      </c>
      <c r="FD36">
        <v>26.031183352417042</v>
      </c>
      <c r="FE36">
        <v>10.068136783835952</v>
      </c>
      <c r="FF36">
        <v>9.1447486474897914</v>
      </c>
      <c r="FG36">
        <v>2.9437451677876183</v>
      </c>
      <c r="FH36">
        <v>5.4654914196043904</v>
      </c>
      <c r="FI36">
        <v>698.6361712307978</v>
      </c>
      <c r="FJ36">
        <v>25.825678188381893</v>
      </c>
      <c r="FK36">
        <v>10.034423460651135</v>
      </c>
    </row>
    <row r="37" spans="2:167" x14ac:dyDescent="0.2">
      <c r="B37">
        <v>678.33226698774342</v>
      </c>
      <c r="C37">
        <v>1.474203791661983</v>
      </c>
      <c r="D37">
        <v>716.93752765930094</v>
      </c>
      <c r="E37">
        <v>1.3948216705364243</v>
      </c>
      <c r="F37">
        <v>807.24465053373274</v>
      </c>
      <c r="G37">
        <v>1.2387818232537331</v>
      </c>
      <c r="H37">
        <v>882.90540387635747</v>
      </c>
      <c r="I37">
        <v>1.1326241697123427</v>
      </c>
      <c r="J37">
        <v>967.15464039737071</v>
      </c>
      <c r="K37">
        <v>1.033960814776357</v>
      </c>
      <c r="L37">
        <v>758.6797831500262</v>
      </c>
      <c r="M37">
        <v>1.318079145127627</v>
      </c>
      <c r="N37">
        <v>765.5814590789787</v>
      </c>
      <c r="O37">
        <v>1.3061967320930616</v>
      </c>
      <c r="Q37">
        <v>6.9575995444580513E-2</v>
      </c>
      <c r="R37">
        <v>7.000080003705543E-2</v>
      </c>
      <c r="S37">
        <v>7.0515899174894522E-2</v>
      </c>
      <c r="T37">
        <v>7.1209075032571567E-2</v>
      </c>
      <c r="U37">
        <v>7.1570255048134052E-2</v>
      </c>
      <c r="V37">
        <v>7.0448837809406278E-2</v>
      </c>
      <c r="W37">
        <v>7.000537873953365E-2</v>
      </c>
      <c r="Y37">
        <v>1.3790969820711785</v>
      </c>
      <c r="Z37">
        <v>1.3798247876845591</v>
      </c>
      <c r="AA37">
        <v>1.4180934561577463</v>
      </c>
      <c r="AB37">
        <v>1.4283311578295823</v>
      </c>
      <c r="AC37">
        <v>1.454437363817549</v>
      </c>
      <c r="AD37">
        <v>1.4024919881144329</v>
      </c>
      <c r="AE37">
        <v>1.3967052702002152</v>
      </c>
      <c r="AG37">
        <v>0.56002819552827765</v>
      </c>
      <c r="AH37">
        <v>0.5608475328594329</v>
      </c>
      <c r="AI37">
        <v>0.57963827421472214</v>
      </c>
      <c r="AJ37">
        <v>0.57967608341965815</v>
      </c>
      <c r="AK37">
        <v>0.59275317426656204</v>
      </c>
      <c r="AL37">
        <v>0.57155285807014244</v>
      </c>
      <c r="AM37">
        <v>0.56929135687173094</v>
      </c>
      <c r="AO37">
        <v>41</v>
      </c>
      <c r="AP37">
        <v>9.5765066431046915</v>
      </c>
      <c r="AQ37">
        <v>4.0346621873267736</v>
      </c>
      <c r="AR37">
        <v>5.1622928565368209</v>
      </c>
      <c r="AS37">
        <v>567.5618587412331</v>
      </c>
      <c r="AT37">
        <v>28.040720321014696</v>
      </c>
      <c r="AU37">
        <v>12.212730694890091</v>
      </c>
      <c r="AV37">
        <v>9.8762874449335047</v>
      </c>
      <c r="AW37">
        <v>4.0838332279464895</v>
      </c>
      <c r="AX37">
        <v>5.3820529318643988</v>
      </c>
      <c r="AY37">
        <v>590.62906535317677</v>
      </c>
      <c r="AZ37">
        <v>28.063894372469623</v>
      </c>
      <c r="BA37">
        <v>12.098143079942655</v>
      </c>
      <c r="BB37">
        <v>10.842660858592666</v>
      </c>
      <c r="BC37">
        <v>4.2872140215162435</v>
      </c>
      <c r="BD37">
        <v>5.7980240950599953</v>
      </c>
      <c r="BE37">
        <v>639.08579280717424</v>
      </c>
      <c r="BF37">
        <v>28.76852385095529</v>
      </c>
      <c r="BG37">
        <v>12.102525809010164</v>
      </c>
      <c r="BH37">
        <v>11.330104121448734</v>
      </c>
      <c r="BI37">
        <v>4.4187995505515616</v>
      </c>
      <c r="BJ37">
        <v>6.1485635533794509</v>
      </c>
      <c r="BK37">
        <v>677.99017882175042</v>
      </c>
      <c r="BL37">
        <v>28.879433400195563</v>
      </c>
      <c r="BM37">
        <v>12.07871047931296</v>
      </c>
      <c r="BN37">
        <v>11.592339188112696</v>
      </c>
      <c r="BO37">
        <v>4.4889648268694486</v>
      </c>
      <c r="BP37">
        <v>6.499620813964766</v>
      </c>
      <c r="BQ37">
        <v>732.57642623065033</v>
      </c>
      <c r="BR37">
        <v>28.160109183598806</v>
      </c>
      <c r="BS37">
        <v>11.765596612267567</v>
      </c>
      <c r="BU37">
        <v>41</v>
      </c>
      <c r="BV37">
        <v>9.2286395306038642</v>
      </c>
      <c r="BW37">
        <v>3.4609122180758676</v>
      </c>
      <c r="BX37">
        <v>5.0056284246746321</v>
      </c>
      <c r="BY37">
        <v>574.26143920223456</v>
      </c>
      <c r="BZ37">
        <v>27.107820882006322</v>
      </c>
      <c r="CA37">
        <v>11.071142393052197</v>
      </c>
      <c r="CB37">
        <v>9.440311535422838</v>
      </c>
      <c r="CC37">
        <v>3.4718440017204535</v>
      </c>
      <c r="CD37">
        <v>5.2034946276227751</v>
      </c>
      <c r="CE37">
        <v>597.58853000138049</v>
      </c>
      <c r="CF37">
        <v>27.0075059737744</v>
      </c>
      <c r="CG37">
        <v>10.933151132560067</v>
      </c>
      <c r="CH37">
        <v>10.398355847994102</v>
      </c>
      <c r="CI37">
        <v>3.7957713397666004</v>
      </c>
      <c r="CJ37">
        <v>5.5957993541642761</v>
      </c>
      <c r="CK37">
        <v>646.26344479896636</v>
      </c>
      <c r="CL37">
        <v>27.761511202544185</v>
      </c>
      <c r="CM37">
        <v>11.207673400317457</v>
      </c>
      <c r="CN37">
        <v>10.875537124753091</v>
      </c>
      <c r="CO37">
        <v>3.8590750923493498</v>
      </c>
      <c r="CP37">
        <v>5.9541116770582496</v>
      </c>
      <c r="CQ37">
        <v>685.9820624074988</v>
      </c>
      <c r="CR37">
        <v>27.880328461435152</v>
      </c>
      <c r="CS37">
        <v>11.122043910050689</v>
      </c>
      <c r="CT37">
        <v>11.032714993986314</v>
      </c>
      <c r="CU37">
        <v>3.8604380011578265</v>
      </c>
      <c r="CV37">
        <v>6.2020461156375992</v>
      </c>
      <c r="CW37">
        <v>739.84549003218513</v>
      </c>
      <c r="CX37">
        <v>27.127026148373574</v>
      </c>
      <c r="CY37">
        <v>10.80046036724125</v>
      </c>
      <c r="DA37">
        <v>41</v>
      </c>
      <c r="DB37">
        <v>8.9260901039085763</v>
      </c>
      <c r="DC37">
        <v>3.0920899813242828</v>
      </c>
      <c r="DD37">
        <v>5.0061521517532759</v>
      </c>
      <c r="DE37">
        <v>572.56823786245945</v>
      </c>
      <c r="DF37">
        <v>26.659576618549394</v>
      </c>
      <c r="DG37">
        <v>10.459727821881167</v>
      </c>
      <c r="DH37">
        <v>9.1302408987564849</v>
      </c>
      <c r="DI37">
        <v>3.2384003697315298</v>
      </c>
      <c r="DJ37">
        <v>5.1582607415664929</v>
      </c>
      <c r="DK37">
        <v>592.7847616515254</v>
      </c>
      <c r="DL37">
        <v>26.703292967760888</v>
      </c>
      <c r="DM37">
        <v>10.627942027470914</v>
      </c>
      <c r="DN37">
        <v>10.03966071469902</v>
      </c>
      <c r="DO37">
        <v>3.3189141850111481</v>
      </c>
      <c r="DP37">
        <v>5.5325767698528434</v>
      </c>
      <c r="DQ37">
        <v>642.84393479829941</v>
      </c>
      <c r="DR37">
        <v>27.35120264423584</v>
      </c>
      <c r="DS37">
        <v>10.525497867905454</v>
      </c>
      <c r="DT37">
        <v>10.265769651489919</v>
      </c>
      <c r="DU37">
        <v>3.2615939080347229</v>
      </c>
      <c r="DV37">
        <v>5.7871955532750441</v>
      </c>
      <c r="DW37">
        <v>676.0546674423407</v>
      </c>
      <c r="DX37">
        <v>27.387781842198088</v>
      </c>
      <c r="DY37">
        <v>10.401586992798116</v>
      </c>
      <c r="DZ37">
        <v>10.382448355791249</v>
      </c>
      <c r="EA37">
        <v>3.3117643551429681</v>
      </c>
      <c r="EB37">
        <v>6.0078862247367582</v>
      </c>
      <c r="EC37">
        <v>728.70318515497547</v>
      </c>
      <c r="ED37">
        <v>26.649453043812716</v>
      </c>
      <c r="EE37">
        <v>10.212660516060771</v>
      </c>
      <c r="EG37">
        <v>41</v>
      </c>
      <c r="EH37">
        <v>8.5955795879230354</v>
      </c>
      <c r="EI37">
        <v>2.848461253694512</v>
      </c>
      <c r="EJ37">
        <v>4.6270901208702844</v>
      </c>
      <c r="EK37">
        <v>571.87159896648507</v>
      </c>
      <c r="EL37">
        <v>26.114107288499429</v>
      </c>
      <c r="EM37">
        <v>10.046449605556258</v>
      </c>
      <c r="EN37">
        <v>8.7863063713267309</v>
      </c>
      <c r="EO37">
        <v>2.9163104350642559</v>
      </c>
      <c r="EP37">
        <v>4.7903190388284678</v>
      </c>
      <c r="EQ37">
        <v>591.3274606352395</v>
      </c>
      <c r="ER37">
        <v>26.187470835769954</v>
      </c>
      <c r="ES37">
        <v>10.109444503915618</v>
      </c>
      <c r="ET37">
        <v>8.808783930133476</v>
      </c>
      <c r="EU37">
        <v>3.0037910488330204</v>
      </c>
      <c r="EV37">
        <v>5.1334243366983596</v>
      </c>
      <c r="EW37">
        <v>640.8801810158659</v>
      </c>
      <c r="EX37">
        <v>25.514407262214689</v>
      </c>
      <c r="EY37">
        <v>10.066045916276538</v>
      </c>
      <c r="EZ37">
        <v>9.2175552289932305</v>
      </c>
      <c r="FA37">
        <v>2.9831923397296891</v>
      </c>
      <c r="FB37">
        <v>5.3665189491092171</v>
      </c>
      <c r="FC37">
        <v>672.93418881461901</v>
      </c>
      <c r="FD37">
        <v>25.957104889533067</v>
      </c>
      <c r="FE37">
        <v>10.036107511315905</v>
      </c>
      <c r="FF37">
        <v>9.3451420724929513</v>
      </c>
      <c r="FG37">
        <v>3.0094430109894565</v>
      </c>
      <c r="FH37">
        <v>5.5726855033156371</v>
      </c>
      <c r="FI37">
        <v>715.50980953837347</v>
      </c>
      <c r="FJ37">
        <v>25.691101348038369</v>
      </c>
      <c r="FK37">
        <v>9.9784472660308356</v>
      </c>
    </row>
    <row r="38" spans="2:167" x14ac:dyDescent="0.2">
      <c r="B38">
        <v>684.57116462949659</v>
      </c>
      <c r="C38">
        <v>1.4607685097884888</v>
      </c>
      <c r="D38">
        <v>724.24070209204979</v>
      </c>
      <c r="E38">
        <v>1.3807564213270378</v>
      </c>
      <c r="F38">
        <v>817.17253550756755</v>
      </c>
      <c r="G38">
        <v>1.2237317782331898</v>
      </c>
      <c r="H38">
        <v>895.18869428633889</v>
      </c>
      <c r="I38">
        <v>1.1170829193695511</v>
      </c>
      <c r="J38">
        <v>981.60843075524645</v>
      </c>
      <c r="K38">
        <v>1.0187361565656106</v>
      </c>
      <c r="L38">
        <v>767.82100381372982</v>
      </c>
      <c r="M38">
        <v>1.3023868779742263</v>
      </c>
      <c r="N38">
        <v>773.6367400572841</v>
      </c>
      <c r="O38">
        <v>1.2925963158445071</v>
      </c>
      <c r="Q38">
        <v>7.1184657670698814E-2</v>
      </c>
      <c r="R38">
        <v>7.1620606324292957E-2</v>
      </c>
      <c r="S38">
        <v>7.2157119641280076E-2</v>
      </c>
      <c r="T38">
        <v>7.2871771503790539E-2</v>
      </c>
      <c r="U38">
        <v>7.3246444456786824E-2</v>
      </c>
      <c r="V38">
        <v>7.2087362540096026E-2</v>
      </c>
      <c r="W38">
        <v>7.1627679736176939E-2</v>
      </c>
      <c r="Y38">
        <v>1.4040407508617494</v>
      </c>
      <c r="Z38">
        <v>1.4048330368123545</v>
      </c>
      <c r="AA38">
        <v>1.4446005652348917</v>
      </c>
      <c r="AB38">
        <v>1.4556740054856596</v>
      </c>
      <c r="AC38">
        <v>1.4823637694408447</v>
      </c>
      <c r="AD38">
        <v>1.4280120510743655</v>
      </c>
      <c r="AE38">
        <v>1.4225936450688259</v>
      </c>
      <c r="AG38">
        <v>0.56851304990323148</v>
      </c>
      <c r="AH38">
        <v>0.56939098710279679</v>
      </c>
      <c r="AI38">
        <v>0.5888717632677446</v>
      </c>
      <c r="AJ38">
        <v>0.58913682258631339</v>
      </c>
      <c r="AK38">
        <v>0.60252842848827548</v>
      </c>
      <c r="AL38">
        <v>0.58031999272207213</v>
      </c>
      <c r="AM38">
        <v>0.57825477253106783</v>
      </c>
      <c r="AO38">
        <v>42</v>
      </c>
      <c r="AP38">
        <v>9.763208069209826</v>
      </c>
      <c r="AQ38">
        <v>4.1193475241216717</v>
      </c>
      <c r="AR38">
        <v>5.2468233558978428</v>
      </c>
      <c r="AS38">
        <v>577.83849228498866</v>
      </c>
      <c r="AT38">
        <v>27.966016884070516</v>
      </c>
      <c r="AU38">
        <v>12.188195796410252</v>
      </c>
      <c r="AV38">
        <v>10.074891860759998</v>
      </c>
      <c r="AW38">
        <v>4.1704310767144461</v>
      </c>
      <c r="AX38">
        <v>5.4741449813618281</v>
      </c>
      <c r="AY38">
        <v>601.70886383774712</v>
      </c>
      <c r="AZ38">
        <v>27.990608071962299</v>
      </c>
      <c r="BA38">
        <v>12.071121819068164</v>
      </c>
      <c r="BB38">
        <v>11.073693838427982</v>
      </c>
      <c r="BC38">
        <v>4.3810553706442459</v>
      </c>
      <c r="BD38">
        <v>5.9036897492480183</v>
      </c>
      <c r="BE38">
        <v>651.61371635755359</v>
      </c>
      <c r="BF38">
        <v>28.712339136741701</v>
      </c>
      <c r="BG38">
        <v>12.078921124506303</v>
      </c>
      <c r="BH38">
        <v>11.582346742664896</v>
      </c>
      <c r="BI38">
        <v>4.5192471534859164</v>
      </c>
      <c r="BJ38">
        <v>6.2674349721116513</v>
      </c>
      <c r="BK38">
        <v>691.92465290188932</v>
      </c>
      <c r="BL38">
        <v>28.828268827277654</v>
      </c>
      <c r="BM38">
        <v>12.05644348333198</v>
      </c>
      <c r="BN38">
        <v>11.850794929443602</v>
      </c>
      <c r="BO38">
        <v>4.5907299402147048</v>
      </c>
      <c r="BP38">
        <v>6.6282487294346</v>
      </c>
      <c r="BQ38">
        <v>749.12577408883249</v>
      </c>
      <c r="BR38">
        <v>28.063303698222096</v>
      </c>
      <c r="BS38">
        <v>11.723917461573711</v>
      </c>
      <c r="BU38">
        <v>42</v>
      </c>
      <c r="BV38">
        <v>9.4123649595097305</v>
      </c>
      <c r="BW38">
        <v>3.528325584389981</v>
      </c>
      <c r="BX38">
        <v>5.0884849098056408</v>
      </c>
      <c r="BY38">
        <v>584.73206921133851</v>
      </c>
      <c r="BZ38">
        <v>27.036310738233059</v>
      </c>
      <c r="CA38">
        <v>11.033748758883943</v>
      </c>
      <c r="CB38">
        <v>9.633067269098472</v>
      </c>
      <c r="CC38">
        <v>3.5405303086813937</v>
      </c>
      <c r="CD38">
        <v>5.2932164392959891</v>
      </c>
      <c r="CE38">
        <v>608.89905940303447</v>
      </c>
      <c r="CF38">
        <v>26.934468260676134</v>
      </c>
      <c r="CG38">
        <v>10.894088477438094</v>
      </c>
      <c r="CH38">
        <v>10.62323491224117</v>
      </c>
      <c r="CI38">
        <v>3.8756934720635834</v>
      </c>
      <c r="CJ38">
        <v>5.6983504846762294</v>
      </c>
      <c r="CK38">
        <v>658.95829866257122</v>
      </c>
      <c r="CL38">
        <v>27.708726213908115</v>
      </c>
      <c r="CM38">
        <v>11.177382240875641</v>
      </c>
      <c r="CN38">
        <v>11.12108854822123</v>
      </c>
      <c r="CO38">
        <v>3.9431001627782218</v>
      </c>
      <c r="CP38">
        <v>6.0700439456613182</v>
      </c>
      <c r="CQ38">
        <v>700.09391500917695</v>
      </c>
      <c r="CR38">
        <v>27.833025383997743</v>
      </c>
      <c r="CS38">
        <v>11.092802430122868</v>
      </c>
      <c r="CT38">
        <v>11.281174399092999</v>
      </c>
      <c r="CU38">
        <v>3.9436673554646426</v>
      </c>
      <c r="CV38">
        <v>6.3245273637801471</v>
      </c>
      <c r="CW38">
        <v>756.63717979346472</v>
      </c>
      <c r="CX38">
        <v>27.031877526363502</v>
      </c>
      <c r="CY38">
        <v>10.752347857431035</v>
      </c>
      <c r="DA38">
        <v>42</v>
      </c>
      <c r="DB38">
        <v>9.0985615632885555</v>
      </c>
      <c r="DC38">
        <v>3.1528835686425474</v>
      </c>
      <c r="DD38">
        <v>5.088815836668104</v>
      </c>
      <c r="DE38">
        <v>582.83193232676581</v>
      </c>
      <c r="DF38">
        <v>26.586042504100757</v>
      </c>
      <c r="DG38">
        <v>10.425552187806517</v>
      </c>
      <c r="DH38">
        <v>9.3097139655194709</v>
      </c>
      <c r="DI38">
        <v>3.3044488436827901</v>
      </c>
      <c r="DJ38">
        <v>5.2460672113314155</v>
      </c>
      <c r="DK38">
        <v>603.65995112129428</v>
      </c>
      <c r="DL38">
        <v>26.632575270240519</v>
      </c>
      <c r="DM38">
        <v>10.597553722230391</v>
      </c>
      <c r="DN38">
        <v>10.251166565275389</v>
      </c>
      <c r="DO38">
        <v>3.3889365009619774</v>
      </c>
      <c r="DP38">
        <v>5.633011220456642</v>
      </c>
      <c r="DQ38">
        <v>655.24840094549438</v>
      </c>
      <c r="DR38">
        <v>27.297780065160332</v>
      </c>
      <c r="DS38">
        <v>10.497807860227397</v>
      </c>
      <c r="DT38">
        <v>10.488238525208125</v>
      </c>
      <c r="DU38">
        <v>3.3321340356845712</v>
      </c>
      <c r="DV38">
        <v>5.8973371199417581</v>
      </c>
      <c r="DW38">
        <v>689.6497700208248</v>
      </c>
      <c r="DX38">
        <v>27.336892585421133</v>
      </c>
      <c r="DY38">
        <v>10.374885435571631</v>
      </c>
      <c r="DZ38">
        <v>10.606783104270939</v>
      </c>
      <c r="EA38">
        <v>3.3834452398743489</v>
      </c>
      <c r="EB38">
        <v>6.1237916115027158</v>
      </c>
      <c r="EC38">
        <v>744.90964784633786</v>
      </c>
      <c r="ED38">
        <v>26.552122580815354</v>
      </c>
      <c r="EE38">
        <v>10.169560919658412</v>
      </c>
      <c r="EG38">
        <v>42</v>
      </c>
      <c r="EH38">
        <v>8.758652133948658</v>
      </c>
      <c r="EI38">
        <v>2.9050616570989654</v>
      </c>
      <c r="EJ38">
        <v>4.7011071569069882</v>
      </c>
      <c r="EK38">
        <v>581.96955064829888</v>
      </c>
      <c r="EL38">
        <v>26.041371201232238</v>
      </c>
      <c r="EM38">
        <v>10.015167991446303</v>
      </c>
      <c r="EN38">
        <v>8.9581549396152571</v>
      </c>
      <c r="EO38">
        <v>2.9756078084737099</v>
      </c>
      <c r="EP38">
        <v>4.8696774127470208</v>
      </c>
      <c r="EQ38">
        <v>602.08992140196153</v>
      </c>
      <c r="ER38">
        <v>26.118125384571734</v>
      </c>
      <c r="ES38">
        <v>10.079022270672471</v>
      </c>
      <c r="ET38">
        <v>8.9823637821940228</v>
      </c>
      <c r="EU38">
        <v>3.0671637037646762</v>
      </c>
      <c r="EV38">
        <v>5.2244632540489659</v>
      </c>
      <c r="EW38">
        <v>653.55420913355863</v>
      </c>
      <c r="EX38">
        <v>25.42715465945491</v>
      </c>
      <c r="EY38">
        <v>10.032678123735856</v>
      </c>
      <c r="EZ38">
        <v>9.4106338647324463</v>
      </c>
      <c r="FA38">
        <v>3.0480689636891349</v>
      </c>
      <c r="FB38">
        <v>5.4663878735110831</v>
      </c>
      <c r="FC38">
        <v>686.75629266533792</v>
      </c>
      <c r="FD38">
        <v>25.882947435628431</v>
      </c>
      <c r="FE38">
        <v>10.004964433558133</v>
      </c>
      <c r="FF38">
        <v>9.5422400857343028</v>
      </c>
      <c r="FG38">
        <v>3.0747161628910651</v>
      </c>
      <c r="FH38">
        <v>5.6779545216690321</v>
      </c>
      <c r="FI38">
        <v>732.25137562374209</v>
      </c>
      <c r="FJ38">
        <v>25.557328925152433</v>
      </c>
      <c r="FK38">
        <v>9.9237436873935359</v>
      </c>
    </row>
    <row r="39" spans="2:167" x14ac:dyDescent="0.2">
      <c r="B39">
        <v>690.60215280126567</v>
      </c>
      <c r="C39">
        <v>1.4480117039075748</v>
      </c>
      <c r="D39">
        <v>731.31094485160168</v>
      </c>
      <c r="E39">
        <v>1.3674074031572452</v>
      </c>
      <c r="F39">
        <v>826.78051089407995</v>
      </c>
      <c r="G39">
        <v>1.209510851820395</v>
      </c>
      <c r="H39">
        <v>907.09813155603797</v>
      </c>
      <c r="I39">
        <v>1.1024165580460386</v>
      </c>
      <c r="J39">
        <v>995.62978747913246</v>
      </c>
      <c r="K39">
        <v>1.0043893951103378</v>
      </c>
      <c r="L39">
        <v>776.67068526912578</v>
      </c>
      <c r="M39">
        <v>1.2875469860865005</v>
      </c>
      <c r="N39">
        <v>781.43222968753616</v>
      </c>
      <c r="O39">
        <v>1.2797015045052089</v>
      </c>
      <c r="Q39">
        <v>7.2791538261204256E-2</v>
      </c>
      <c r="R39">
        <v>7.3238410415191968E-2</v>
      </c>
      <c r="S39">
        <v>7.3795761446910191E-2</v>
      </c>
      <c r="T39">
        <v>7.453147301429959E-2</v>
      </c>
      <c r="U39">
        <v>7.4919347467839917E-2</v>
      </c>
      <c r="V39">
        <v>7.37234044326215E-2</v>
      </c>
      <c r="W39">
        <v>7.3247897318365479E-2</v>
      </c>
      <c r="Y39">
        <v>1.4285736232242474</v>
      </c>
      <c r="Z39">
        <v>1.4294575885896756</v>
      </c>
      <c r="AA39">
        <v>1.4706707183004502</v>
      </c>
      <c r="AB39">
        <v>1.4826196195815236</v>
      </c>
      <c r="AC39">
        <v>1.5098922745538697</v>
      </c>
      <c r="AD39">
        <v>1.453128857326198</v>
      </c>
      <c r="AE39">
        <v>1.4480676167486741</v>
      </c>
      <c r="AG39">
        <v>0.57687850595685985</v>
      </c>
      <c r="AH39">
        <v>0.57782530196883919</v>
      </c>
      <c r="AI39">
        <v>0.59797284122189676</v>
      </c>
      <c r="AJ39">
        <v>0.59848347756855658</v>
      </c>
      <c r="AK39">
        <v>0.6121877521343988</v>
      </c>
      <c r="AL39">
        <v>0.58896999080254686</v>
      </c>
      <c r="AM39">
        <v>0.58709510281379818</v>
      </c>
      <c r="AO39">
        <v>43</v>
      </c>
      <c r="AP39">
        <v>9.9475058244893155</v>
      </c>
      <c r="AQ39">
        <v>4.2029892027142255</v>
      </c>
      <c r="AR39">
        <v>5.3299487179876106</v>
      </c>
      <c r="AS39">
        <v>587.98958632755512</v>
      </c>
      <c r="AT39">
        <v>27.892487761046869</v>
      </c>
      <c r="AU39">
        <v>12.163830555100521</v>
      </c>
      <c r="AV39">
        <v>10.270981277993851</v>
      </c>
      <c r="AW39">
        <v>4.2559997698910506</v>
      </c>
      <c r="AX39">
        <v>5.5646787494381496</v>
      </c>
      <c r="AY39">
        <v>612.65371632280733</v>
      </c>
      <c r="AZ39">
        <v>27.918464037643954</v>
      </c>
      <c r="BA39">
        <v>12.044427322124958</v>
      </c>
      <c r="BB39">
        <v>11.301477801620644</v>
      </c>
      <c r="BC39">
        <v>4.4737365273921128</v>
      </c>
      <c r="BD39">
        <v>6.0074085263295229</v>
      </c>
      <c r="BE39">
        <v>663.96234498809031</v>
      </c>
      <c r="BF39">
        <v>28.656617410669902</v>
      </c>
      <c r="BG39">
        <v>12.055657613096809</v>
      </c>
      <c r="BH39">
        <v>11.831041687689163</v>
      </c>
      <c r="BI39">
        <v>4.6184885571716565</v>
      </c>
      <c r="BJ39">
        <v>6.3840610707638916</v>
      </c>
      <c r="BK39">
        <v>705.65465722967588</v>
      </c>
      <c r="BL39">
        <v>28.777485446878146</v>
      </c>
      <c r="BM39">
        <v>12.034571076624617</v>
      </c>
      <c r="BN39">
        <v>12.105617893394756</v>
      </c>
      <c r="BO39">
        <v>4.6912806376453524</v>
      </c>
      <c r="BP39">
        <v>6.7544009203475621</v>
      </c>
      <c r="BQ39">
        <v>765.48228496166541</v>
      </c>
      <c r="BR39">
        <v>27.967704868143226</v>
      </c>
      <c r="BS39">
        <v>11.682984467136102</v>
      </c>
      <c r="BU39">
        <v>43</v>
      </c>
      <c r="BV39">
        <v>9.5936335304276952</v>
      </c>
      <c r="BW39">
        <v>3.5949963579530637</v>
      </c>
      <c r="BX39">
        <v>5.1699465734368646</v>
      </c>
      <c r="BY39">
        <v>595.06979411616783</v>
      </c>
      <c r="BZ39">
        <v>26.965946187935977</v>
      </c>
      <c r="CA39">
        <v>10.997387056438839</v>
      </c>
      <c r="CB39">
        <v>9.8233114748285821</v>
      </c>
      <c r="CC39">
        <v>3.6085107579992148</v>
      </c>
      <c r="CD39">
        <v>5.381406874909791</v>
      </c>
      <c r="CE39">
        <v>620.06950463893088</v>
      </c>
      <c r="CF39">
        <v>26.862603012901278</v>
      </c>
      <c r="CG39">
        <v>10.856160636230294</v>
      </c>
      <c r="CH39">
        <v>10.844876275346474</v>
      </c>
      <c r="CI39">
        <v>3.9547050531419372</v>
      </c>
      <c r="CJ39">
        <v>5.799002140519673</v>
      </c>
      <c r="CK39">
        <v>671.46598190863097</v>
      </c>
      <c r="CL39">
        <v>27.656372578034329</v>
      </c>
      <c r="CM39">
        <v>11.147953026060645</v>
      </c>
      <c r="CN39">
        <v>11.363108890270695</v>
      </c>
      <c r="CO39">
        <v>4.0262078517557374</v>
      </c>
      <c r="CP39">
        <v>6.1837724972374826</v>
      </c>
      <c r="CQ39">
        <v>713.99215593089491</v>
      </c>
      <c r="CR39">
        <v>27.786066929074881</v>
      </c>
      <c r="CS39">
        <v>11.064505901000977</v>
      </c>
      <c r="CT39">
        <v>11.526085461278933</v>
      </c>
      <c r="CU39">
        <v>4.0260098291504978</v>
      </c>
      <c r="CV39">
        <v>6.4446554623900418</v>
      </c>
      <c r="CW39">
        <v>773.23105614920394</v>
      </c>
      <c r="CX39">
        <v>26.937937929208964</v>
      </c>
      <c r="CY39">
        <v>10.705528148086728</v>
      </c>
      <c r="DA39">
        <v>43</v>
      </c>
      <c r="DB39">
        <v>9.2676563322309402</v>
      </c>
      <c r="DC39">
        <v>3.2130408397602039</v>
      </c>
      <c r="DD39">
        <v>5.1698118113188878</v>
      </c>
      <c r="DE39">
        <v>592.95599696698116</v>
      </c>
      <c r="DF39">
        <v>26.512326257628477</v>
      </c>
      <c r="DG39">
        <v>10.392436141667279</v>
      </c>
      <c r="DH39">
        <v>9.4858572774652608</v>
      </c>
      <c r="DI39">
        <v>3.3698704695953459</v>
      </c>
      <c r="DJ39">
        <v>5.3321962974293191</v>
      </c>
      <c r="DK39">
        <v>614.39134972879299</v>
      </c>
      <c r="DL39">
        <v>26.561615415585397</v>
      </c>
      <c r="DM39">
        <v>10.568074993976147</v>
      </c>
      <c r="DN39">
        <v>10.458588796021683</v>
      </c>
      <c r="DO39">
        <v>3.4582598406247862</v>
      </c>
      <c r="DP39">
        <v>5.731391948946067</v>
      </c>
      <c r="DQ39">
        <v>667.46028926504437</v>
      </c>
      <c r="DR39">
        <v>27.243607121314753</v>
      </c>
      <c r="DS39">
        <v>10.471073897285677</v>
      </c>
      <c r="DT39">
        <v>10.706855914513408</v>
      </c>
      <c r="DU39">
        <v>3.4021925038324485</v>
      </c>
      <c r="DV39">
        <v>6.0054240417301576</v>
      </c>
      <c r="DW39">
        <v>703.04673410726684</v>
      </c>
      <c r="DX39">
        <v>27.285214375017958</v>
      </c>
      <c r="DY39">
        <v>10.349176977376279</v>
      </c>
      <c r="DZ39">
        <v>10.827303593902</v>
      </c>
      <c r="EA39">
        <v>3.4546628895534766</v>
      </c>
      <c r="EB39">
        <v>6.2375521284259703</v>
      </c>
      <c r="EC39">
        <v>760.93589816546296</v>
      </c>
      <c r="ED39">
        <v>26.454880597221756</v>
      </c>
      <c r="EE39">
        <v>10.127659787851615</v>
      </c>
      <c r="EG39">
        <v>43</v>
      </c>
      <c r="EH39">
        <v>8.9182885772707614</v>
      </c>
      <c r="EI39">
        <v>2.9610589664079994</v>
      </c>
      <c r="EJ39">
        <v>4.7736564671751154</v>
      </c>
      <c r="EK39">
        <v>591.92719208032292</v>
      </c>
      <c r="EL39">
        <v>25.968185443590752</v>
      </c>
      <c r="EM39">
        <v>9.9848014063591055</v>
      </c>
      <c r="EN39">
        <v>9.12658886121182</v>
      </c>
      <c r="EO39">
        <v>3.0343452815371368</v>
      </c>
      <c r="EP39">
        <v>4.9475411182311317</v>
      </c>
      <c r="EQ39">
        <v>612.70770271136234</v>
      </c>
      <c r="ER39">
        <v>26.04824169710772</v>
      </c>
      <c r="ES39">
        <v>10.049504264885286</v>
      </c>
      <c r="ET39">
        <v>9.1532127867588891</v>
      </c>
      <c r="EU39">
        <v>3.1299037826022187</v>
      </c>
      <c r="EV39">
        <v>5.3136630806156901</v>
      </c>
      <c r="EW39">
        <v>666.07080155812025</v>
      </c>
      <c r="EX39">
        <v>25.34062421152441</v>
      </c>
      <c r="EY39">
        <v>9.9999428571171016</v>
      </c>
      <c r="EZ39">
        <v>9.6005277876384927</v>
      </c>
      <c r="FA39">
        <v>3.1124950914106098</v>
      </c>
      <c r="FB39">
        <v>5.5644166714954322</v>
      </c>
      <c r="FC39">
        <v>700.40121497968141</v>
      </c>
      <c r="FD39">
        <v>25.808711267616101</v>
      </c>
      <c r="FE39">
        <v>9.974650975474594</v>
      </c>
      <c r="FF39">
        <v>9.736042588055362</v>
      </c>
      <c r="FG39">
        <v>3.1395645928146045</v>
      </c>
      <c r="FH39">
        <v>5.7812984320342551</v>
      </c>
      <c r="FI39">
        <v>748.85748653475548</v>
      </c>
      <c r="FJ39">
        <v>25.424339964018959</v>
      </c>
      <c r="FK39">
        <v>9.8702379733786554</v>
      </c>
    </row>
    <row r="40" spans="2:167" x14ac:dyDescent="0.2">
      <c r="B40">
        <v>696.4251020872523</v>
      </c>
      <c r="C40">
        <v>1.43590458902602</v>
      </c>
      <c r="D40">
        <v>738.14806115160059</v>
      </c>
      <c r="E40">
        <v>1.3547417552514851</v>
      </c>
      <c r="F40">
        <v>836.06821762908623</v>
      </c>
      <c r="G40">
        <v>1.1960746490708496</v>
      </c>
      <c r="H40">
        <v>918.63314542467322</v>
      </c>
      <c r="I40">
        <v>1.0885738283890376</v>
      </c>
      <c r="J40">
        <v>1009.2178585573175</v>
      </c>
      <c r="K40">
        <v>0.99086633428138648</v>
      </c>
      <c r="L40">
        <v>785.22847746707521</v>
      </c>
      <c r="M40">
        <v>1.2735146886492412</v>
      </c>
      <c r="N40">
        <v>788.96770375948051</v>
      </c>
      <c r="O40">
        <v>1.267479004824833</v>
      </c>
      <c r="Q40">
        <v>7.439663610709589E-2</v>
      </c>
      <c r="R40">
        <v>7.4854210635439455E-2</v>
      </c>
      <c r="S40">
        <v>7.5431821697514875E-2</v>
      </c>
      <c r="T40">
        <v>7.6188174995704211E-2</v>
      </c>
      <c r="U40">
        <v>7.6588957606197453E-2</v>
      </c>
      <c r="V40">
        <v>7.5356960505855858E-2</v>
      </c>
      <c r="W40">
        <v>7.4866029688029828E-2</v>
      </c>
      <c r="Y40">
        <v>1.4526955976963272</v>
      </c>
      <c r="Z40">
        <v>1.4536984401801478</v>
      </c>
      <c r="AA40">
        <v>1.4963039105522813</v>
      </c>
      <c r="AB40">
        <v>1.5091679913314811</v>
      </c>
      <c r="AC40">
        <v>1.5370228647168336</v>
      </c>
      <c r="AD40">
        <v>1.477842400414539</v>
      </c>
      <c r="AE40">
        <v>1.4731271818847684</v>
      </c>
      <c r="AG40">
        <v>0.58512456338122332</v>
      </c>
      <c r="AH40">
        <v>0.58615047694787736</v>
      </c>
      <c r="AI40">
        <v>0.6069415068491617</v>
      </c>
      <c r="AJ40">
        <v>0.60771604670834178</v>
      </c>
      <c r="AK40">
        <v>0.62173114198760748</v>
      </c>
      <c r="AL40">
        <v>0.59750285073863807</v>
      </c>
      <c r="AM40">
        <v>0.59581234690772089</v>
      </c>
      <c r="AO40">
        <v>44</v>
      </c>
      <c r="AP40">
        <v>10.129399889037996</v>
      </c>
      <c r="AQ40">
        <v>4.2855865494997012</v>
      </c>
      <c r="AR40">
        <v>5.4116689298660443</v>
      </c>
      <c r="AS40">
        <v>598.01285751634475</v>
      </c>
      <c r="AT40">
        <v>27.820131011960004</v>
      </c>
      <c r="AU40">
        <v>12.139655287871285</v>
      </c>
      <c r="AV40">
        <v>10.464555660908449</v>
      </c>
      <c r="AW40">
        <v>4.340539076049482</v>
      </c>
      <c r="AX40">
        <v>5.653654213614745</v>
      </c>
      <c r="AY40">
        <v>623.46117889250047</v>
      </c>
      <c r="AZ40">
        <v>27.847461449243809</v>
      </c>
      <c r="BA40">
        <v>12.018070450685316</v>
      </c>
      <c r="BB40">
        <v>11.526012659874789</v>
      </c>
      <c r="BC40">
        <v>4.5652574622553441</v>
      </c>
      <c r="BD40">
        <v>6.1091803838284884</v>
      </c>
      <c r="BE40">
        <v>676.12994392043413</v>
      </c>
      <c r="BF40">
        <v>28.601357267615207</v>
      </c>
      <c r="BG40">
        <v>12.032726636046975</v>
      </c>
      <c r="BH40">
        <v>12.076188802630957</v>
      </c>
      <c r="BI40">
        <v>4.7165237104119022</v>
      </c>
      <c r="BJ40">
        <v>6.4984417785996458</v>
      </c>
      <c r="BK40">
        <v>719.17836133694311</v>
      </c>
      <c r="BL40">
        <v>28.727083605619928</v>
      </c>
      <c r="BM40">
        <v>12.013079122524161</v>
      </c>
      <c r="BN40">
        <v>12.356807828875979</v>
      </c>
      <c r="BO40">
        <v>4.7906168348295957</v>
      </c>
      <c r="BP40">
        <v>6.8780772693595731</v>
      </c>
      <c r="BQ40">
        <v>781.64207917040642</v>
      </c>
      <c r="BR40">
        <v>27.873294030381604</v>
      </c>
      <c r="BS40">
        <v>11.642773517845137</v>
      </c>
      <c r="BU40">
        <v>44</v>
      </c>
      <c r="BV40">
        <v>9.772445222043336</v>
      </c>
      <c r="BW40">
        <v>3.6609245341012713</v>
      </c>
      <c r="BX40">
        <v>5.2500134029024323</v>
      </c>
      <c r="BY40">
        <v>605.2722289912823</v>
      </c>
      <c r="BZ40">
        <v>26.89672612780835</v>
      </c>
      <c r="CA40">
        <v>10.962022730866849</v>
      </c>
      <c r="CB40">
        <v>10.011044116157519</v>
      </c>
      <c r="CC40">
        <v>3.6757853415398665</v>
      </c>
      <c r="CD40">
        <v>5.4680659126297941</v>
      </c>
      <c r="CE40">
        <v>631.09724457924267</v>
      </c>
      <c r="CF40">
        <v>26.791908449593958</v>
      </c>
      <c r="CG40">
        <v>10.819325698751999</v>
      </c>
      <c r="CH40">
        <v>11.063279848599036</v>
      </c>
      <c r="CI40">
        <v>4.0328060611313541</v>
      </c>
      <c r="CJ40">
        <v>5.8977542808286954</v>
      </c>
      <c r="CK40">
        <v>683.7847334813838</v>
      </c>
      <c r="CL40">
        <v>27.604449689924394</v>
      </c>
      <c r="CM40">
        <v>11.119340652438487</v>
      </c>
      <c r="CN40">
        <v>11.601597997165694</v>
      </c>
      <c r="CO40">
        <v>4.108398121681839</v>
      </c>
      <c r="CP40">
        <v>6.2952972636317535</v>
      </c>
      <c r="CQ40">
        <v>727.67495122063656</v>
      </c>
      <c r="CR40">
        <v>27.739454373349048</v>
      </c>
      <c r="CS40">
        <v>11.037099677191881</v>
      </c>
      <c r="CT40">
        <v>11.767447935508047</v>
      </c>
      <c r="CU40">
        <v>4.1074653609437357</v>
      </c>
      <c r="CV40">
        <v>6.5624302993114476</v>
      </c>
      <c r="CW40">
        <v>789.6230738728724</v>
      </c>
      <c r="CX40">
        <v>26.845187668971779</v>
      </c>
      <c r="CY40">
        <v>10.659934473074848</v>
      </c>
      <c r="DA40">
        <v>44</v>
      </c>
      <c r="DB40">
        <v>9.4333747902300402</v>
      </c>
      <c r="DC40">
        <v>3.2725617893982299</v>
      </c>
      <c r="DD40">
        <v>5.2491404910896202</v>
      </c>
      <c r="DE40">
        <v>602.93945193375328</v>
      </c>
      <c r="DF40">
        <v>26.438427429168765</v>
      </c>
      <c r="DG40">
        <v>10.360319212530445</v>
      </c>
      <c r="DH40">
        <v>9.6586708263526031</v>
      </c>
      <c r="DI40">
        <v>3.4346652291211179</v>
      </c>
      <c r="DJ40">
        <v>5.4166479976833228</v>
      </c>
      <c r="DK40">
        <v>624.97800145696374</v>
      </c>
      <c r="DL40">
        <v>26.490414496442416</v>
      </c>
      <c r="DM40">
        <v>10.53945340302127</v>
      </c>
      <c r="DN40">
        <v>10.661927397801243</v>
      </c>
      <c r="DO40">
        <v>3.5268841873699364</v>
      </c>
      <c r="DP40">
        <v>5.8277193254632769</v>
      </c>
      <c r="DQ40">
        <v>679.479313503615</v>
      </c>
      <c r="DR40">
        <v>27.188684712222866</v>
      </c>
      <c r="DS40">
        <v>10.445223820220377</v>
      </c>
      <c r="DT40">
        <v>10.921621756718489</v>
      </c>
      <c r="DU40">
        <v>3.4717692934803357</v>
      </c>
      <c r="DV40">
        <v>6.1114562970807693</v>
      </c>
      <c r="DW40">
        <v>716.24537528129702</v>
      </c>
      <c r="DX40">
        <v>27.232748078695998</v>
      </c>
      <c r="DY40">
        <v>10.324383788324194</v>
      </c>
      <c r="DZ40">
        <v>11.044009715260543</v>
      </c>
      <c r="EA40">
        <v>3.5254172716478069</v>
      </c>
      <c r="EB40">
        <v>6.3491677313082127</v>
      </c>
      <c r="EC40">
        <v>776.77971738846804</v>
      </c>
      <c r="ED40">
        <v>26.357718832379074</v>
      </c>
      <c r="EE40">
        <v>10.086877864111894</v>
      </c>
      <c r="EG40">
        <v>44</v>
      </c>
      <c r="EH40">
        <v>9.0744902321079302</v>
      </c>
      <c r="EI40">
        <v>3.0164531765668534</v>
      </c>
      <c r="EJ40">
        <v>4.8447383511625537</v>
      </c>
      <c r="EK40">
        <v>601.74382973282047</v>
      </c>
      <c r="EL40">
        <v>25.894551162958678</v>
      </c>
      <c r="EM40">
        <v>9.9552937297093926</v>
      </c>
      <c r="EN40">
        <v>9.2916082896047758</v>
      </c>
      <c r="EO40">
        <v>3.092522846736415</v>
      </c>
      <c r="EP40">
        <v>5.0239101527790639</v>
      </c>
      <c r="EQ40">
        <v>623.18021302049408</v>
      </c>
      <c r="ER40">
        <v>25.977820596291846</v>
      </c>
      <c r="ES40">
        <v>10.02083187400393</v>
      </c>
      <c r="ET40">
        <v>9.321330884699222</v>
      </c>
      <c r="EU40">
        <v>3.1920112702959318</v>
      </c>
      <c r="EV40">
        <v>5.4010240675323224</v>
      </c>
      <c r="EW40">
        <v>678.42712443422283</v>
      </c>
      <c r="EX40">
        <v>25.25481616690076</v>
      </c>
      <c r="EY40">
        <v>9.967821671812592</v>
      </c>
      <c r="EZ40">
        <v>9.7872369321208961</v>
      </c>
      <c r="FA40">
        <v>3.1764707050905563</v>
      </c>
      <c r="FB40">
        <v>5.6606053225758064</v>
      </c>
      <c r="FC40">
        <v>713.86733106767588</v>
      </c>
      <c r="FD40">
        <v>25.734396635706869</v>
      </c>
      <c r="FE40">
        <v>9.9451161912794941</v>
      </c>
      <c r="FF40">
        <v>9.9265494831687899</v>
      </c>
      <c r="FG40">
        <v>3.2039882709705116</v>
      </c>
      <c r="FH40">
        <v>5.8827171930153437</v>
      </c>
      <c r="FI40">
        <v>765.32471105240597</v>
      </c>
      <c r="FJ40">
        <v>25.292115717668114</v>
      </c>
      <c r="FK40">
        <v>9.8178629638224511</v>
      </c>
    </row>
    <row r="41" spans="2:167" x14ac:dyDescent="0.2">
      <c r="B41">
        <v>702.03988749772293</v>
      </c>
      <c r="C41">
        <v>1.42442048921792</v>
      </c>
      <c r="D41">
        <v>744.75186255114534</v>
      </c>
      <c r="E41">
        <v>1.3427291025154378</v>
      </c>
      <c r="F41">
        <v>845.03530842656687</v>
      </c>
      <c r="G41">
        <v>1.1833825048825157</v>
      </c>
      <c r="H41">
        <v>929.79318314784393</v>
      </c>
      <c r="I41">
        <v>1.0755079926639908</v>
      </c>
      <c r="J41">
        <v>1022.3718175121837</v>
      </c>
      <c r="K41">
        <v>0.97811772866879021</v>
      </c>
      <c r="L41">
        <v>793.49404170514549</v>
      </c>
      <c r="M41">
        <v>1.2602489085502044</v>
      </c>
      <c r="N41">
        <v>796.24294544963936</v>
      </c>
      <c r="O41">
        <v>1.2558980970755085</v>
      </c>
      <c r="Q41">
        <v>7.5999950137301028E-2</v>
      </c>
      <c r="R41">
        <v>7.6468005365265643E-2</v>
      </c>
      <c r="S41">
        <v>7.7065297593763099E-2</v>
      </c>
      <c r="T41">
        <v>7.7841873019934699E-2</v>
      </c>
      <c r="U41">
        <v>7.825526859081687E-2</v>
      </c>
      <c r="V41">
        <v>7.6988027875304316E-2</v>
      </c>
      <c r="W41">
        <v>7.6482075106339309E-2</v>
      </c>
      <c r="Y41">
        <v>1.476406672865656</v>
      </c>
      <c r="Z41">
        <v>1.4775555888397951</v>
      </c>
      <c r="AA41">
        <v>1.5215001373457677</v>
      </c>
      <c r="AB41">
        <v>1.5353191122197045</v>
      </c>
      <c r="AC41">
        <v>1.5637555259226958</v>
      </c>
      <c r="AD41">
        <v>1.5021526740932445</v>
      </c>
      <c r="AE41">
        <v>1.4977723372326512</v>
      </c>
      <c r="AG41">
        <v>0.59325122187891399</v>
      </c>
      <c r="AH41">
        <v>0.59436651154683318</v>
      </c>
      <c r="AI41">
        <v>0.61577775896180464</v>
      </c>
      <c r="AJ41">
        <v>0.61683452839855279</v>
      </c>
      <c r="AK41">
        <v>0.63115859492699788</v>
      </c>
      <c r="AL41">
        <v>0.60591857100840285</v>
      </c>
      <c r="AM41">
        <v>0.6044065040273926</v>
      </c>
      <c r="AO41">
        <v>45</v>
      </c>
      <c r="AP41">
        <v>10.308890243631453</v>
      </c>
      <c r="AQ41">
        <v>4.3671388905263671</v>
      </c>
      <c r="AR41">
        <v>5.4919839790356235</v>
      </c>
      <c r="AS41">
        <v>607.90603246954845</v>
      </c>
      <c r="AT41">
        <v>27.748944822743105</v>
      </c>
      <c r="AU41">
        <v>12.115688670114215</v>
      </c>
      <c r="AV41">
        <v>10.655614974941015</v>
      </c>
      <c r="AW41">
        <v>4.4240487639404291</v>
      </c>
      <c r="AX41">
        <v>5.7410713521452621</v>
      </c>
      <c r="AY41">
        <v>634.12881854805755</v>
      </c>
      <c r="AZ41">
        <v>27.777599540343228</v>
      </c>
      <c r="BA41">
        <v>11.992061187783388</v>
      </c>
      <c r="BB41">
        <v>11.747298327790878</v>
      </c>
      <c r="BC41">
        <v>4.6556181466972548</v>
      </c>
      <c r="BD41">
        <v>6.209005280662204</v>
      </c>
      <c r="BE41">
        <v>688.11478579946413</v>
      </c>
      <c r="BF41">
        <v>28.546557427779682</v>
      </c>
      <c r="BG41">
        <v>12.010120407064424</v>
      </c>
      <c r="BH41">
        <v>12.317787938326639</v>
      </c>
      <c r="BI41">
        <v>4.813352563582364</v>
      </c>
      <c r="BJ41">
        <v>6.6105770270551654</v>
      </c>
      <c r="BK41">
        <v>732.49394443437677</v>
      </c>
      <c r="BL41">
        <v>28.677063614335413</v>
      </c>
      <c r="BM41">
        <v>11.991954908239084</v>
      </c>
      <c r="BN41">
        <v>12.604364492322086</v>
      </c>
      <c r="BO41">
        <v>4.8887384499629967</v>
      </c>
      <c r="BP41">
        <v>6.9992776626432507</v>
      </c>
      <c r="BQ41">
        <v>797.60128526181484</v>
      </c>
      <c r="BR41">
        <v>27.780053975066881</v>
      </c>
      <c r="BS41">
        <v>11.603262767575492</v>
      </c>
      <c r="BU41">
        <v>45</v>
      </c>
      <c r="BV41">
        <v>9.9488000137712014</v>
      </c>
      <c r="BW41">
        <v>3.7261101083302681</v>
      </c>
      <c r="BX41">
        <v>5.3286853859696475</v>
      </c>
      <c r="BY41">
        <v>615.33700006542904</v>
      </c>
      <c r="BZ41">
        <v>26.828649538049156</v>
      </c>
      <c r="CA41">
        <v>10.927624126575047</v>
      </c>
      <c r="CB41">
        <v>10.196265157817232</v>
      </c>
      <c r="CC41">
        <v>3.7423540514342739</v>
      </c>
      <c r="CD41">
        <v>5.5531935313329051</v>
      </c>
      <c r="CE41">
        <v>641.97967003610336</v>
      </c>
      <c r="CF41">
        <v>26.722382907437499</v>
      </c>
      <c r="CG41">
        <v>10.783545341972617</v>
      </c>
      <c r="CH41">
        <v>11.278445546197803</v>
      </c>
      <c r="CI41">
        <v>4.1099964748789208</v>
      </c>
      <c r="CJ41">
        <v>5.9946068660778851</v>
      </c>
      <c r="CK41">
        <v>695.91280053920093</v>
      </c>
      <c r="CL41">
        <v>27.552956998749075</v>
      </c>
      <c r="CM41">
        <v>11.091504213651515</v>
      </c>
      <c r="CN41">
        <v>11.836555719892651</v>
      </c>
      <c r="CO41">
        <v>4.1896709361114128</v>
      </c>
      <c r="CP41">
        <v>6.4046181787826226</v>
      </c>
      <c r="CQ41">
        <v>741.14047755195531</v>
      </c>
      <c r="CR41">
        <v>27.69318886889064</v>
      </c>
      <c r="CS41">
        <v>11.010534401924126</v>
      </c>
      <c r="CT41">
        <v>12.005261584087814</v>
      </c>
      <c r="CU41">
        <v>4.1880338914089634</v>
      </c>
      <c r="CV41">
        <v>6.6778517657497547</v>
      </c>
      <c r="CW41">
        <v>805.80919664103919</v>
      </c>
      <c r="CX41">
        <v>26.75360859219029</v>
      </c>
      <c r="CY41">
        <v>10.615506466979792</v>
      </c>
      <c r="DA41">
        <v>45</v>
      </c>
      <c r="DB41">
        <v>9.5957173170484573</v>
      </c>
      <c r="DC41">
        <v>3.3314464124581482</v>
      </c>
      <c r="DD41">
        <v>5.3268022916579518</v>
      </c>
      <c r="DE41">
        <v>612.78130195040376</v>
      </c>
      <c r="DF41">
        <v>26.36434560650931</v>
      </c>
      <c r="DG41">
        <v>10.329146355920404</v>
      </c>
      <c r="DH41">
        <v>9.8281546042087182</v>
      </c>
      <c r="DI41">
        <v>3.498833104174258</v>
      </c>
      <c r="DJ41">
        <v>5.499422309987466</v>
      </c>
      <c r="DK41">
        <v>635.41893493743271</v>
      </c>
      <c r="DL41">
        <v>26.418973506887365</v>
      </c>
      <c r="DM41">
        <v>10.511641321888856</v>
      </c>
      <c r="DN41">
        <v>10.861182361777104</v>
      </c>
      <c r="DO41">
        <v>3.5948095251132881</v>
      </c>
      <c r="DP41">
        <v>5.9219937206243092</v>
      </c>
      <c r="DQ41">
        <v>691.30515885550722</v>
      </c>
      <c r="DR41">
        <v>27.133013609747231</v>
      </c>
      <c r="DS41">
        <v>10.420192468510978</v>
      </c>
      <c r="DT41">
        <v>11.132535991061616</v>
      </c>
      <c r="DU41">
        <v>3.5408643862137654</v>
      </c>
      <c r="DV41">
        <v>6.2154338650963554</v>
      </c>
      <c r="DW41">
        <v>729.2454822619444</v>
      </c>
      <c r="DX41">
        <v>27.179494390443892</v>
      </c>
      <c r="DY41">
        <v>10.300435666118382</v>
      </c>
      <c r="DZ41">
        <v>11.256901362202029</v>
      </c>
      <c r="EA41">
        <v>3.5957083545997701</v>
      </c>
      <c r="EB41">
        <v>6.4586383772757152</v>
      </c>
      <c r="EC41">
        <v>792.43885530198884</v>
      </c>
      <c r="ED41">
        <v>26.260630060984905</v>
      </c>
      <c r="EE41">
        <v>10.04714388752609</v>
      </c>
      <c r="EG41">
        <v>45</v>
      </c>
      <c r="EH41">
        <v>9.2272584136078617</v>
      </c>
      <c r="EI41">
        <v>3.0712442826936419</v>
      </c>
      <c r="EJ41">
        <v>4.9143531085689336</v>
      </c>
      <c r="EK41">
        <v>611.41874983458331</v>
      </c>
      <c r="EL41">
        <v>25.820469402774648</v>
      </c>
      <c r="EM41">
        <v>9.926593883315963</v>
      </c>
      <c r="EN41">
        <v>9.4532133784292629</v>
      </c>
      <c r="EO41">
        <v>3.1501404967983384</v>
      </c>
      <c r="EP41">
        <v>5.0987845139705792</v>
      </c>
      <c r="EQ41">
        <v>633.50683922942017</v>
      </c>
      <c r="ER41">
        <v>25.906862824196928</v>
      </c>
      <c r="ES41">
        <v>9.9929518259398282</v>
      </c>
      <c r="ET41">
        <v>9.4867180188257372</v>
      </c>
      <c r="EU41">
        <v>3.2534861522897671</v>
      </c>
      <c r="EV41">
        <v>5.4865464662541639</v>
      </c>
      <c r="EW41">
        <v>690.62033719395686</v>
      </c>
      <c r="EX41">
        <v>25.169730754514021</v>
      </c>
      <c r="EY41">
        <v>9.9362979445509829</v>
      </c>
      <c r="EZ41">
        <v>9.9707612346038914</v>
      </c>
      <c r="FA41">
        <v>3.2399957874722776</v>
      </c>
      <c r="FB41">
        <v>5.7549538068950152</v>
      </c>
      <c r="FC41">
        <v>727.15300074775917</v>
      </c>
      <c r="FD41">
        <v>25.660003766401076</v>
      </c>
      <c r="FE41">
        <v>9.9163141301626077</v>
      </c>
      <c r="FF41">
        <v>10.113760677672889</v>
      </c>
      <c r="FG41">
        <v>3.2679871684619908</v>
      </c>
      <c r="FH41">
        <v>5.9822107644569344</v>
      </c>
      <c r="FI41">
        <v>781.64956998192372</v>
      </c>
      <c r="FJ41">
        <v>25.160639365491551</v>
      </c>
      <c r="FK41">
        <v>9.7665581973317206</v>
      </c>
    </row>
    <row r="42" spans="2:167" x14ac:dyDescent="0.2">
      <c r="B42">
        <v>707.44638847570309</v>
      </c>
      <c r="C42">
        <v>1.4135346738494863</v>
      </c>
      <c r="D42">
        <v>751.12216696774055</v>
      </c>
      <c r="E42">
        <v>1.3313413502852305</v>
      </c>
      <c r="F42">
        <v>853.68144781101932</v>
      </c>
      <c r="G42">
        <v>1.1713971324598487</v>
      </c>
      <c r="H42">
        <v>940.5777095634171</v>
      </c>
      <c r="I42">
        <v>1.0631763753620789</v>
      </c>
      <c r="J42">
        <v>1035.0908635250526</v>
      </c>
      <c r="K42">
        <v>0.96609876025226538</v>
      </c>
      <c r="L42">
        <v>801.4670506609998</v>
      </c>
      <c r="M42">
        <v>1.2477119292368446</v>
      </c>
      <c r="N42">
        <v>803.25774533686763</v>
      </c>
      <c r="O42">
        <v>1.2449304171734108</v>
      </c>
      <c r="Q42">
        <v>7.7601479318732514E-2</v>
      </c>
      <c r="R42">
        <v>7.8079793039555326E-2</v>
      </c>
      <c r="S42">
        <v>7.8696186431523638E-2</v>
      </c>
      <c r="T42">
        <v>7.9492562799773972E-2</v>
      </c>
      <c r="U42">
        <v>7.9918274335657735E-2</v>
      </c>
      <c r="V42">
        <v>7.8616603753388498E-2</v>
      </c>
      <c r="W42">
        <v>7.8096031893826731E-2</v>
      </c>
      <c r="Y42">
        <v>1.4997068473699882</v>
      </c>
      <c r="Z42">
        <v>1.5010290319172295</v>
      </c>
      <c r="AA42">
        <v>1.5462593941942451</v>
      </c>
      <c r="AB42">
        <v>1.5610729740012468</v>
      </c>
      <c r="AC42">
        <v>1.5900902445992784</v>
      </c>
      <c r="AD42">
        <v>1.5260596723260367</v>
      </c>
      <c r="AE42">
        <v>1.5220030796586301</v>
      </c>
      <c r="AG42">
        <v>0.60125848116307168</v>
      </c>
      <c r="AH42">
        <v>0.60247340528926518</v>
      </c>
      <c r="AI42">
        <v>0.6244815964124838</v>
      </c>
      <c r="AJ42">
        <v>0.6258389210831935</v>
      </c>
      <c r="AK42">
        <v>0.64047010792855807</v>
      </c>
      <c r="AL42">
        <v>0.61421715014103428</v>
      </c>
      <c r="AM42">
        <v>0.61287757341418603</v>
      </c>
      <c r="AO42">
        <v>46</v>
      </c>
      <c r="AP42">
        <v>10.485976869727077</v>
      </c>
      <c r="AQ42">
        <v>4.4476455515194901</v>
      </c>
      <c r="AR42">
        <v>5.5708938534420467</v>
      </c>
      <c r="AS42">
        <v>617.66684880365472</v>
      </c>
      <c r="AT42">
        <v>27.678927494259408</v>
      </c>
      <c r="AU42">
        <v>12.09194789710849</v>
      </c>
      <c r="AV42">
        <v>10.844159186695006</v>
      </c>
      <c r="AW42">
        <v>4.506528602502871</v>
      </c>
      <c r="AX42">
        <v>5.8269301440171279</v>
      </c>
      <c r="AY42">
        <v>644.65421432244125</v>
      </c>
      <c r="AZ42">
        <v>27.708877593573114</v>
      </c>
      <c r="BA42">
        <v>11.966408727578941</v>
      </c>
      <c r="BB42">
        <v>11.965334722873632</v>
      </c>
      <c r="BC42">
        <v>4.7448185531516422</v>
      </c>
      <c r="BD42">
        <v>6.3068831771451093</v>
      </c>
      <c r="BE42">
        <v>699.91515101093739</v>
      </c>
      <c r="BF42">
        <v>28.49221672429287</v>
      </c>
      <c r="BG42">
        <v>11.987831902066491</v>
      </c>
      <c r="BH42">
        <v>12.555838950357341</v>
      </c>
      <c r="BI42">
        <v>4.9089750686372522</v>
      </c>
      <c r="BJ42">
        <v>6.7204667497476471</v>
      </c>
      <c r="BK42">
        <v>745.59959578600569</v>
      </c>
      <c r="BL42">
        <v>28.627425751239301</v>
      </c>
      <c r="BM42">
        <v>11.971186985312677</v>
      </c>
      <c r="BN42">
        <v>12.848287647729634</v>
      </c>
      <c r="BO42">
        <v>4.9856454037808264</v>
      </c>
      <c r="BP42">
        <v>7.1180019899051237</v>
      </c>
      <c r="BQ42">
        <v>813.35604063813855</v>
      </c>
      <c r="BR42">
        <v>27.687968800033701</v>
      </c>
      <c r="BS42">
        <v>11.564432384475625</v>
      </c>
      <c r="BU42">
        <v>46</v>
      </c>
      <c r="BV42">
        <v>10.12269788575589</v>
      </c>
      <c r="BW42">
        <v>3.7905530762954616</v>
      </c>
      <c r="BX42">
        <v>5.4059625108396485</v>
      </c>
      <c r="BY42">
        <v>625.26174586706179</v>
      </c>
      <c r="BZ42">
        <v>26.761715474003292</v>
      </c>
      <c r="CA42">
        <v>10.894162202159098</v>
      </c>
      <c r="CB42">
        <v>10.378974565729687</v>
      </c>
      <c r="CC42">
        <v>3.8082168800788865</v>
      </c>
      <c r="CD42">
        <v>5.6367897106087694</v>
      </c>
      <c r="CE42">
        <v>652.71418499918821</v>
      </c>
      <c r="CF42">
        <v>26.65402483002249</v>
      </c>
      <c r="CG42">
        <v>10.748784468539393</v>
      </c>
      <c r="CH42">
        <v>11.490373285259652</v>
      </c>
      <c r="CI42">
        <v>4.1862762739510941</v>
      </c>
      <c r="CJ42">
        <v>6.0895598580860124</v>
      </c>
      <c r="CK42">
        <v>707.84843879828372</v>
      </c>
      <c r="CL42">
        <v>27.501894002415675</v>
      </c>
      <c r="CM42">
        <v>11.06440654177938</v>
      </c>
      <c r="CN42">
        <v>12.067981914177976</v>
      </c>
      <c r="CO42">
        <v>4.2700262597586285</v>
      </c>
      <c r="CP42">
        <v>6.5117351787299267</v>
      </c>
      <c r="CQ42">
        <v>754.38692262397296</v>
      </c>
      <c r="CR42">
        <v>27.647271455598482</v>
      </c>
      <c r="CS42">
        <v>10.984765403442404</v>
      </c>
      <c r="CT42">
        <v>12.239526176705134</v>
      </c>
      <c r="CU42">
        <v>4.267715362956026</v>
      </c>
      <c r="CV42">
        <v>6.7909197562879982</v>
      </c>
      <c r="CW42">
        <v>821.7853977055936</v>
      </c>
      <c r="CX42">
        <v>26.66318392448856</v>
      </c>
      <c r="CY42">
        <v>10.572189430350869</v>
      </c>
      <c r="DA42">
        <v>46</v>
      </c>
      <c r="DB42">
        <v>9.7546842927035868</v>
      </c>
      <c r="DC42">
        <v>3.3896947040222987</v>
      </c>
      <c r="DD42">
        <v>5.4027976289804283</v>
      </c>
      <c r="DE42">
        <v>622.48053602698963</v>
      </c>
      <c r="DF42">
        <v>26.290080411303013</v>
      </c>
      <c r="DG42">
        <v>10.298867410257188</v>
      </c>
      <c r="DH42">
        <v>9.9943086033298556</v>
      </c>
      <c r="DI42">
        <v>3.5623740769321603</v>
      </c>
      <c r="DJ42">
        <v>5.5805192323068429</v>
      </c>
      <c r="DK42">
        <v>645.71316316069317</v>
      </c>
      <c r="DL42">
        <v>26.347293352671819</v>
      </c>
      <c r="DM42">
        <v>10.484595447658689</v>
      </c>
      <c r="DN42">
        <v>11.056353679412835</v>
      </c>
      <c r="DO42">
        <v>3.6620358383176868</v>
      </c>
      <c r="DP42">
        <v>6.0142155054962529</v>
      </c>
      <c r="DQ42">
        <v>702.93748155259402</v>
      </c>
      <c r="DR42">
        <v>27.076594472839947</v>
      </c>
      <c r="DS42">
        <v>10.395920907580573</v>
      </c>
      <c r="DT42">
        <v>11.339598558713806</v>
      </c>
      <c r="DU42">
        <v>3.6094777642040183</v>
      </c>
      <c r="DV42">
        <v>6.3173567255443981</v>
      </c>
      <c r="DW42">
        <v>742.04681651569911</v>
      </c>
      <c r="DX42">
        <v>27.12545385126456</v>
      </c>
      <c r="DY42">
        <v>10.27726917380185</v>
      </c>
      <c r="DZ42">
        <v>11.465978431877298</v>
      </c>
      <c r="EA42">
        <v>3.6655361078315369</v>
      </c>
      <c r="EB42">
        <v>6.5659640247858198</v>
      </c>
      <c r="EC42">
        <v>807.91102998122096</v>
      </c>
      <c r="ED42">
        <v>26.163607967014283</v>
      </c>
      <c r="EE42">
        <v>10.008393672634003</v>
      </c>
      <c r="EG42">
        <v>46</v>
      </c>
      <c r="EH42">
        <v>9.3765944378006303</v>
      </c>
      <c r="EI42">
        <v>3.1254322800796159</v>
      </c>
      <c r="EJ42">
        <v>4.9825010392949487</v>
      </c>
      <c r="EK42">
        <v>620.9512179536448</v>
      </c>
      <c r="EL42">
        <v>25.745941113382372</v>
      </c>
      <c r="EM42">
        <v>9.8986553280646916</v>
      </c>
      <c r="EN42">
        <v>9.611404281460219</v>
      </c>
      <c r="EO42">
        <v>3.2071982246951136</v>
      </c>
      <c r="EP42">
        <v>5.1721641994670993</v>
      </c>
      <c r="EQ42">
        <v>643.68694625378703</v>
      </c>
      <c r="ER42">
        <v>25.835369050734339</v>
      </c>
      <c r="ES42">
        <v>9.9658156438699219</v>
      </c>
      <c r="ET42">
        <v>9.6493741338940477</v>
      </c>
      <c r="EU42">
        <v>3.3143284145226977</v>
      </c>
      <c r="EV42">
        <v>5.5702305285425542</v>
      </c>
      <c r="EW42">
        <v>702.64759327646038</v>
      </c>
      <c r="EX42">
        <v>25.085368185848328</v>
      </c>
      <c r="EY42">
        <v>9.9053566880449218</v>
      </c>
      <c r="EZ42">
        <v>10.151100633533995</v>
      </c>
      <c r="FA42">
        <v>3.3030703218479966</v>
      </c>
      <c r="FB42">
        <v>5.8474621052275078</v>
      </c>
      <c r="FC42">
        <v>740.25656809948555</v>
      </c>
      <c r="FD42">
        <v>25.585532865071688</v>
      </c>
      <c r="FE42">
        <v>9.8882032878563209</v>
      </c>
      <c r="FF42">
        <v>10.297676081065733</v>
      </c>
      <c r="FG42">
        <v>3.3315612572893825</v>
      </c>
      <c r="FH42">
        <v>6.0797791074503413</v>
      </c>
      <c r="FI42">
        <v>797.82853641867803</v>
      </c>
      <c r="FJ42">
        <v>25.02989577119407</v>
      </c>
      <c r="FK42">
        <v>9.7162691432048884</v>
      </c>
    </row>
    <row r="43" spans="2:167" x14ac:dyDescent="0.2">
      <c r="B43">
        <v>712.64448890343783</v>
      </c>
      <c r="C43">
        <v>1.4032242100668211</v>
      </c>
      <c r="D43">
        <v>757.25879868981565</v>
      </c>
      <c r="E43">
        <v>1.3205525003211152</v>
      </c>
      <c r="F43">
        <v>862.00631214873272</v>
      </c>
      <c r="G43">
        <v>1.1600843125003213</v>
      </c>
      <c r="H43">
        <v>950.98620715538311</v>
      </c>
      <c r="I43">
        <v>1.0515399618583621</v>
      </c>
      <c r="J43">
        <v>1047.3742215573236</v>
      </c>
      <c r="K43">
        <v>0.95476858167572265</v>
      </c>
      <c r="L43">
        <v>809.14718842468778</v>
      </c>
      <c r="M43">
        <v>1.2358690906989118</v>
      </c>
      <c r="N43">
        <v>810.01190141738459</v>
      </c>
      <c r="O43">
        <v>1.2345497618617309</v>
      </c>
      <c r="Q43">
        <v>7.9201222656344147E-2</v>
      </c>
      <c r="R43">
        <v>7.968957214795544E-2</v>
      </c>
      <c r="S43">
        <v>8.0324485602117066E-2</v>
      </c>
      <c r="T43">
        <v>8.1140240189369175E-2</v>
      </c>
      <c r="U43">
        <v>8.1577968950602361E-2</v>
      </c>
      <c r="V43">
        <v>8.0242685449721463E-2</v>
      </c>
      <c r="W43">
        <v>7.9707898430509003E-2</v>
      </c>
      <c r="Y43">
        <v>1.5225961198972415</v>
      </c>
      <c r="Z43">
        <v>1.5241187668538327</v>
      </c>
      <c r="AA43">
        <v>1.5705816767694214</v>
      </c>
      <c r="AB43">
        <v>1.5864295687030239</v>
      </c>
      <c r="AC43">
        <v>1.6160270076113223</v>
      </c>
      <c r="AD43">
        <v>1.549563389287097</v>
      </c>
      <c r="AE43">
        <v>1.5458194061400026</v>
      </c>
      <c r="AG43">
        <v>0.60914634095739884</v>
      </c>
      <c r="AH43">
        <v>0.61047115771540261</v>
      </c>
      <c r="AI43">
        <v>0.63305301809435588</v>
      </c>
      <c r="AJ43">
        <v>0.63472922325757475</v>
      </c>
      <c r="AK43">
        <v>0.64966567806562592</v>
      </c>
      <c r="AL43">
        <v>0.62239858671700676</v>
      </c>
      <c r="AM43">
        <v>0.62122555433634252</v>
      </c>
      <c r="AO43">
        <v>47</v>
      </c>
      <c r="AP43">
        <v>10.66065974946504</v>
      </c>
      <c r="AQ43">
        <v>4.5271058579053944</v>
      </c>
      <c r="AR43">
        <v>5.6483985414748838</v>
      </c>
      <c r="AS43">
        <v>627.29305616962347</v>
      </c>
      <c r="AT43">
        <v>27.610077432605035</v>
      </c>
      <c r="AU43">
        <v>12.068448826764046</v>
      </c>
      <c r="AV43">
        <v>11.03018826394239</v>
      </c>
      <c r="AW43">
        <v>4.5879783608748657</v>
      </c>
      <c r="AX43">
        <v>5.9112305689529734</v>
      </c>
      <c r="AY43">
        <v>655.03495840427775</v>
      </c>
      <c r="AZ43">
        <v>27.641294936392185</v>
      </c>
      <c r="BA43">
        <v>11.941121554389152</v>
      </c>
      <c r="BB43">
        <v>12.180121765539738</v>
      </c>
      <c r="BC43">
        <v>4.832858655025345</v>
      </c>
      <c r="BD43">
        <v>6.4028140349924785</v>
      </c>
      <c r="BE43">
        <v>711.52932800051246</v>
      </c>
      <c r="BF43">
        <v>28.438334092453491</v>
      </c>
      <c r="BG43">
        <v>11.965854780690607</v>
      </c>
      <c r="BH43">
        <v>12.790341699066179</v>
      </c>
      <c r="BI43">
        <v>5.0033911791150114</v>
      </c>
      <c r="BJ43">
        <v>6.8281108824831565</v>
      </c>
      <c r="BK43">
        <v>758.49351508500308</v>
      </c>
      <c r="BL43">
        <v>28.578170264642075</v>
      </c>
      <c r="BM43">
        <v>11.95076503159849</v>
      </c>
      <c r="BN43">
        <v>13.088577066692647</v>
      </c>
      <c r="BO43">
        <v>5.0813376195700606</v>
      </c>
      <c r="BP43">
        <v>7.2342501444022975</v>
      </c>
      <c r="BQ43">
        <v>828.90249218903614</v>
      </c>
      <c r="BR43">
        <v>27.597023785648656</v>
      </c>
      <c r="BS43">
        <v>11.526264334782249</v>
      </c>
      <c r="BU43">
        <v>47</v>
      </c>
      <c r="BV43">
        <v>10.294138818873135</v>
      </c>
      <c r="BW43">
        <v>3.8542534338122416</v>
      </c>
      <c r="BX43">
        <v>5.4818447661480381</v>
      </c>
      <c r="BY43">
        <v>635.04411837951898</v>
      </c>
      <c r="BZ43">
        <v>26.695923058774394</v>
      </c>
      <c r="CA43">
        <v>10.861610278787253</v>
      </c>
      <c r="CB43">
        <v>10.559172307009218</v>
      </c>
      <c r="CC43">
        <v>3.8733738201361936</v>
      </c>
      <c r="CD43">
        <v>5.7188544307611737</v>
      </c>
      <c r="CE43">
        <v>663.29820788163784</v>
      </c>
      <c r="CF43">
        <v>26.586832758507516</v>
      </c>
      <c r="CG43">
        <v>10.715010888751419</v>
      </c>
      <c r="CH43">
        <v>11.699062985827108</v>
      </c>
      <c r="CI43">
        <v>4.2616454386356049</v>
      </c>
      <c r="CJ43">
        <v>6.1826132200195882</v>
      </c>
      <c r="CK43">
        <v>719.58991287782533</v>
      </c>
      <c r="CL43">
        <v>27.45126024285824</v>
      </c>
      <c r="CM43">
        <v>11.03801380831103</v>
      </c>
      <c r="CN43">
        <v>12.295876440505264</v>
      </c>
      <c r="CO43">
        <v>4.3494640585011473</v>
      </c>
      <c r="CP43">
        <v>6.616648201622497</v>
      </c>
      <c r="CQ43">
        <v>767.41248556275787</v>
      </c>
      <c r="CR43">
        <v>27.601703071891109</v>
      </c>
      <c r="CS43">
        <v>10.959752172901545</v>
      </c>
      <c r="CT43">
        <v>12.470241490461182</v>
      </c>
      <c r="CU43">
        <v>4.3465097198487195</v>
      </c>
      <c r="CV43">
        <v>6.9016341689028167</v>
      </c>
      <c r="CW43">
        <v>837.54766056801384</v>
      </c>
      <c r="CX43">
        <v>26.573898136851668</v>
      </c>
      <c r="CY43">
        <v>10.529933695985877</v>
      </c>
      <c r="DA43">
        <v>47</v>
      </c>
      <c r="DB43">
        <v>9.9102760974541084</v>
      </c>
      <c r="DC43">
        <v>3.4473066593541013</v>
      </c>
      <c r="DD43">
        <v>5.4771269192777003</v>
      </c>
      <c r="DE43">
        <v>632.03612716775274</v>
      </c>
      <c r="DF43">
        <v>26.215631495650388</v>
      </c>
      <c r="DG43">
        <v>10.26943661955182</v>
      </c>
      <c r="DH43">
        <v>10.157132816281795</v>
      </c>
      <c r="DI43">
        <v>3.6252881298364503</v>
      </c>
      <c r="DJ43">
        <v>5.6599387626777471</v>
      </c>
      <c r="DK43">
        <v>655.85968317958657</v>
      </c>
      <c r="DL43">
        <v>26.275374860205773</v>
      </c>
      <c r="DM43">
        <v>10.458276374587186</v>
      </c>
      <c r="DN43">
        <v>11.247441342473333</v>
      </c>
      <c r="DO43">
        <v>3.7285631119944176</v>
      </c>
      <c r="DP43">
        <v>6.1043850515744058</v>
      </c>
      <c r="DQ43">
        <v>714.3759084373803</v>
      </c>
      <c r="DR43">
        <v>27.019427860343423</v>
      </c>
      <c r="DS43">
        <v>10.372355759075958</v>
      </c>
      <c r="DT43">
        <v>11.542809402785888</v>
      </c>
      <c r="DU43">
        <v>3.6776094102102448</v>
      </c>
      <c r="DV43">
        <v>6.4172248588595098</v>
      </c>
      <c r="DW43">
        <v>754.6491118482503</v>
      </c>
      <c r="DX43">
        <v>27.070626867117745</v>
      </c>
      <c r="DY43">
        <v>10.254826894202289</v>
      </c>
      <c r="DZ43">
        <v>11.671240824748118</v>
      </c>
      <c r="EA43">
        <v>3.7349005017496442</v>
      </c>
      <c r="EB43">
        <v>6.6711446336332134</v>
      </c>
      <c r="EC43">
        <v>823.19392755162198</v>
      </c>
      <c r="ED43">
        <v>26.066647035165527</v>
      </c>
      <c r="EE43">
        <v>9.9705693156920105</v>
      </c>
      <c r="EG43">
        <v>47</v>
      </c>
      <c r="EH43">
        <v>9.522499621551896</v>
      </c>
      <c r="EI43">
        <v>3.179017164189414</v>
      </c>
      <c r="EJ43">
        <v>5.049182443431719</v>
      </c>
      <c r="EK43">
        <v>630.34047856558459</v>
      </c>
      <c r="EL43">
        <v>25.670967161570285</v>
      </c>
      <c r="EM43">
        <v>9.8714356219217958</v>
      </c>
      <c r="EN43">
        <v>9.7661811526053803</v>
      </c>
      <c r="EO43">
        <v>3.2636960236448451</v>
      </c>
      <c r="EP43">
        <v>5.2440492070118738</v>
      </c>
      <c r="EQ43">
        <v>653.71987658361491</v>
      </c>
      <c r="ER43">
        <v>25.763339881266131</v>
      </c>
      <c r="ES43">
        <v>9.9393791686531685</v>
      </c>
      <c r="ET43">
        <v>9.8092991766098176</v>
      </c>
      <c r="EU43">
        <v>3.3745380434300305</v>
      </c>
      <c r="EV43">
        <v>5.6520765064493563</v>
      </c>
      <c r="EW43">
        <v>714.50604086453723</v>
      </c>
      <c r="EX43">
        <v>25.001728656783158</v>
      </c>
      <c r="EY43">
        <v>9.8749843891087341</v>
      </c>
      <c r="EZ43">
        <v>10.32825506938735</v>
      </c>
      <c r="FA43">
        <v>3.3656942920608492</v>
      </c>
      <c r="FB43">
        <v>5.9381301989816642</v>
      </c>
      <c r="FC43">
        <v>753.17636121056375</v>
      </c>
      <c r="FD43">
        <v>25.510984118201186</v>
      </c>
      <c r="FE43">
        <v>9.8607461309338635</v>
      </c>
      <c r="FF43">
        <v>10.47829560575884</v>
      </c>
      <c r="FG43">
        <v>3.3947105103543942</v>
      </c>
      <c r="FH43">
        <v>6.1754221843394275</v>
      </c>
      <c r="FI43">
        <v>813.85803598838265</v>
      </c>
      <c r="FJ43">
        <v>24.899871274699489</v>
      </c>
      <c r="FK43">
        <v>9.6669465381149706</v>
      </c>
    </row>
    <row r="44" spans="2:167" x14ac:dyDescent="0.2">
      <c r="B44">
        <v>717.63407710861577</v>
      </c>
      <c r="C44">
        <v>1.3934678297734284</v>
      </c>
      <c r="D44">
        <v>763.16158838881552</v>
      </c>
      <c r="E44">
        <v>1.3103384856032876</v>
      </c>
      <c r="F44">
        <v>870.0095896779809</v>
      </c>
      <c r="G44">
        <v>1.1494126178196873</v>
      </c>
      <c r="H44">
        <v>961.01817611567026</v>
      </c>
      <c r="I44">
        <v>1.0405630453753643</v>
      </c>
      <c r="J44">
        <v>1059.2211424678674</v>
      </c>
      <c r="K44">
        <v>0.94408991654954255</v>
      </c>
      <c r="L44">
        <v>816.53415052983655</v>
      </c>
      <c r="M44">
        <v>1.2246885195813491</v>
      </c>
      <c r="N44">
        <v>816.50521911928331</v>
      </c>
      <c r="O44">
        <v>1.2247319142413344</v>
      </c>
      <c r="Q44">
        <v>8.0799179193184023E-2</v>
      </c>
      <c r="R44">
        <v>8.1297341234979031E-2</v>
      </c>
      <c r="S44">
        <v>8.1950192592559243E-2</v>
      </c>
      <c r="T44">
        <v>8.2784901184726825E-2</v>
      </c>
      <c r="U44">
        <v>8.3234346742347948E-2</v>
      </c>
      <c r="V44">
        <v>8.1866270371373312E-2</v>
      </c>
      <c r="W44">
        <v>8.1317673156003425E-2</v>
      </c>
      <c r="Y44">
        <v>1.5450744891855639</v>
      </c>
      <c r="Z44">
        <v>1.5468247911839332</v>
      </c>
      <c r="AA44">
        <v>1.5944669809017822</v>
      </c>
      <c r="AB44">
        <v>1.61138888862477</v>
      </c>
      <c r="AC44">
        <v>1.6415658022624762</v>
      </c>
      <c r="AD44">
        <v>1.5726638193616427</v>
      </c>
      <c r="AE44">
        <v>1.5692213137652749</v>
      </c>
      <c r="AG44">
        <v>0.61691480099617579</v>
      </c>
      <c r="AH44">
        <v>0.61835976838217654</v>
      </c>
      <c r="AI44">
        <v>0.64149202294118113</v>
      </c>
      <c r="AJ44">
        <v>0.64350543346849365</v>
      </c>
      <c r="AK44">
        <v>0.65874530250933161</v>
      </c>
      <c r="AL44">
        <v>0.63046287936821521</v>
      </c>
      <c r="AM44">
        <v>0.62945044608902545</v>
      </c>
      <c r="AO44">
        <v>48</v>
      </c>
      <c r="AP44">
        <v>10.832938865669263</v>
      </c>
      <c r="AQ44">
        <v>4.6055191348355224</v>
      </c>
      <c r="AR44">
        <v>5.7244980319682019</v>
      </c>
      <c r="AS44">
        <v>636.78241729698698</v>
      </c>
      <c r="AT44">
        <v>27.542393140532393</v>
      </c>
      <c r="AU44">
        <v>12.045206106170793</v>
      </c>
      <c r="AV44">
        <v>11.21370217562588</v>
      </c>
      <c r="AW44">
        <v>4.6683978084043263</v>
      </c>
      <c r="AX44">
        <v>5.9939726074120463</v>
      </c>
      <c r="AY44">
        <v>665.26865727028735</v>
      </c>
      <c r="AZ44">
        <v>27.574850937367753</v>
      </c>
      <c r="BA44">
        <v>11.91620751253574</v>
      </c>
      <c r="BB44">
        <v>12.391659379125272</v>
      </c>
      <c r="BC44">
        <v>4.9197384267007314</v>
      </c>
      <c r="BD44">
        <v>6.4967978173240031</v>
      </c>
      <c r="BE44">
        <v>722.95561359407145</v>
      </c>
      <c r="BF44">
        <v>28.384908560373351</v>
      </c>
      <c r="BG44">
        <v>11.944183317828186</v>
      </c>
      <c r="BH44">
        <v>13.021296049574923</v>
      </c>
      <c r="BI44">
        <v>5.0966008501438704</v>
      </c>
      <c r="BJ44">
        <v>6.9335093632642932</v>
      </c>
      <c r="BK44">
        <v>771.17391283069855</v>
      </c>
      <c r="BL44">
        <v>28.529297375272861</v>
      </c>
      <c r="BM44">
        <v>11.930679731467682</v>
      </c>
      <c r="BN44">
        <v>13.325232528437198</v>
      </c>
      <c r="BO44">
        <v>5.175815023180995</v>
      </c>
      <c r="BP44">
        <v>7.3480220229586344</v>
      </c>
      <c r="BQ44">
        <v>844.23679692526525</v>
      </c>
      <c r="BR44">
        <v>27.507205286756403</v>
      </c>
      <c r="BS44">
        <v>11.48874219580911</v>
      </c>
      <c r="BU44">
        <v>48</v>
      </c>
      <c r="BV44">
        <v>10.463122794730827</v>
      </c>
      <c r="BW44">
        <v>3.9172111768561972</v>
      </c>
      <c r="BX44">
        <v>5.5563321409654902</v>
      </c>
      <c r="BY44">
        <v>644.6817842050018</v>
      </c>
      <c r="BZ44">
        <v>26.631271476679842</v>
      </c>
      <c r="CA44">
        <v>10.829943817566255</v>
      </c>
      <c r="CB44">
        <v>10.736858349964784</v>
      </c>
      <c r="CC44">
        <v>3.9378248645352323</v>
      </c>
      <c r="CD44">
        <v>5.7993876728094023</v>
      </c>
      <c r="CE44">
        <v>673.72917277540853</v>
      </c>
      <c r="CF44">
        <v>26.520805323396949</v>
      </c>
      <c r="CG44">
        <v>10.682195040036953</v>
      </c>
      <c r="CH44">
        <v>11.904514570875808</v>
      </c>
      <c r="CI44">
        <v>4.3361039499432987</v>
      </c>
      <c r="CJ44">
        <v>6.2737669163963012</v>
      </c>
      <c r="CK44">
        <v>731.13549664655068</v>
      </c>
      <c r="CL44">
        <v>27.401055301944591</v>
      </c>
      <c r="CM44">
        <v>11.012295175917856</v>
      </c>
      <c r="CN44">
        <v>12.520239164131967</v>
      </c>
      <c r="CO44">
        <v>4.4279842993842058</v>
      </c>
      <c r="CP44">
        <v>6.7193571877255316</v>
      </c>
      <c r="CQ44">
        <v>780.21537732397269</v>
      </c>
      <c r="CR44">
        <v>27.556484563914516</v>
      </c>
      <c r="CS44">
        <v>10.935457911313872</v>
      </c>
      <c r="CT44">
        <v>12.697407309905174</v>
      </c>
      <c r="CU44">
        <v>4.4244169082132343</v>
      </c>
      <c r="CV44">
        <v>7.0099949049798997</v>
      </c>
      <c r="CW44">
        <v>853.0919796554889</v>
      </c>
      <c r="CX44">
        <v>26.485736830217949</v>
      </c>
      <c r="CY44">
        <v>10.488694080485592</v>
      </c>
      <c r="DA44">
        <v>48</v>
      </c>
      <c r="DB44">
        <v>10.062493111786445</v>
      </c>
      <c r="DC44">
        <v>3.5042822738983137</v>
      </c>
      <c r="DD44">
        <v>5.5497905790196995</v>
      </c>
      <c r="DE44">
        <v>641.44703207177793</v>
      </c>
      <c r="DF44">
        <v>26.140998539085931</v>
      </c>
      <c r="DG44">
        <v>10.24081221324537</v>
      </c>
      <c r="DH44">
        <v>10.316627235900389</v>
      </c>
      <c r="DI44">
        <v>3.6875752455939637</v>
      </c>
      <c r="DJ44">
        <v>5.7376808992078123</v>
      </c>
      <c r="DK44">
        <v>665.85747580591192</v>
      </c>
      <c r="DL44">
        <v>26.203218784452325</v>
      </c>
      <c r="DM44">
        <v>10.432648218600541</v>
      </c>
      <c r="DN44">
        <v>11.434445343025581</v>
      </c>
      <c r="DO44">
        <v>3.7943913317046034</v>
      </c>
      <c r="DP44">
        <v>6.1925027307593288</v>
      </c>
      <c r="DQ44">
        <v>725.62003651869804</v>
      </c>
      <c r="DR44">
        <v>26.961514242133951</v>
      </c>
      <c r="DS44">
        <v>10.349448618389832</v>
      </c>
      <c r="DT44">
        <v>11.74216846833526</v>
      </c>
      <c r="DU44">
        <v>3.745259307581533</v>
      </c>
      <c r="DV44">
        <v>6.5150382461457852</v>
      </c>
      <c r="DW44">
        <v>767.05207397944093</v>
      </c>
      <c r="DX44">
        <v>27.015013724499088</v>
      </c>
      <c r="DY44">
        <v>10.233056783174654</v>
      </c>
      <c r="DZ44">
        <v>11.87268844460228</v>
      </c>
      <c r="EA44">
        <v>3.8038015077494758</v>
      </c>
      <c r="EB44">
        <v>6.7741801649560225</v>
      </c>
      <c r="EC44">
        <v>838.28520193374334</v>
      </c>
      <c r="ED44">
        <v>25.969742457105546</v>
      </c>
      <c r="EE44">
        <v>9.9336185076981369</v>
      </c>
      <c r="EG44">
        <v>48</v>
      </c>
      <c r="EH44">
        <v>9.664975282516016</v>
      </c>
      <c r="EI44">
        <v>3.2319989306613062</v>
      </c>
      <c r="EJ44">
        <v>5.1143976212500908</v>
      </c>
      <c r="EK44">
        <v>639.58575460902273</v>
      </c>
      <c r="EL44">
        <v>25.595548338981065</v>
      </c>
      <c r="EM44">
        <v>9.844896030873576</v>
      </c>
      <c r="EN44">
        <v>9.9175441458982618</v>
      </c>
      <c r="EO44">
        <v>3.3196338871120004</v>
      </c>
      <c r="EP44">
        <v>5.3144395344301349</v>
      </c>
      <c r="EQ44">
        <v>663.60494982785394</v>
      </c>
      <c r="ER44">
        <v>25.690775863299272</v>
      </c>
      <c r="ES44">
        <v>9.9136021393948681</v>
      </c>
      <c r="ET44">
        <v>9.9664930956337123</v>
      </c>
      <c r="EU44">
        <v>3.4341150259446702</v>
      </c>
      <c r="EV44">
        <v>5.7320846523014</v>
      </c>
      <c r="EW44">
        <v>726.19282363821958</v>
      </c>
      <c r="EX44">
        <v>24.9188123492114</v>
      </c>
      <c r="EY44">
        <v>9.845168866921048</v>
      </c>
      <c r="EZ44">
        <v>10.502224484676841</v>
      </c>
      <c r="FA44">
        <v>3.4278676825068111</v>
      </c>
      <c r="FB44">
        <v>6.0269580702020189</v>
      </c>
      <c r="FC44">
        <v>765.91069191809015</v>
      </c>
      <c r="FD44">
        <v>25.43635769532403</v>
      </c>
      <c r="FE44">
        <v>9.8339086829385511</v>
      </c>
      <c r="FF44">
        <v>10.655619167090448</v>
      </c>
      <c r="FG44">
        <v>3.4574349014642087</v>
      </c>
      <c r="FH44">
        <v>6.2691399587263108</v>
      </c>
      <c r="FI44">
        <v>829.73444706105806</v>
      </c>
      <c r="FJ44">
        <v>24.770553512764739</v>
      </c>
      <c r="FK44">
        <v>9.6185458114238624</v>
      </c>
    </row>
    <row r="45" spans="2:167" x14ac:dyDescent="0.2">
      <c r="B45">
        <v>722.41504587035877</v>
      </c>
      <c r="C45">
        <v>1.3842458095473489</v>
      </c>
      <c r="D45">
        <v>768.83037313085515</v>
      </c>
      <c r="E45">
        <v>1.3006770218088142</v>
      </c>
      <c r="F45">
        <v>877.69098053812991</v>
      </c>
      <c r="G45">
        <v>1.1393531689101783</v>
      </c>
      <c r="H45">
        <v>970.67313440390035</v>
      </c>
      <c r="I45">
        <v>1.0302129157145259</v>
      </c>
      <c r="J45">
        <v>1070.6309031266355</v>
      </c>
      <c r="K45">
        <v>0.93402870875446675</v>
      </c>
      <c r="L45">
        <v>823.6276439837344</v>
      </c>
      <c r="M45">
        <v>1.2141408891561545</v>
      </c>
      <c r="N45">
        <v>822.7375113165142</v>
      </c>
      <c r="O45">
        <v>1.2154544873003748</v>
      </c>
      <c r="Q45">
        <v>8.2395348010445818E-2</v>
      </c>
      <c r="R45">
        <v>8.2903098900105415E-2</v>
      </c>
      <c r="S45">
        <v>8.3573304985795807E-2</v>
      </c>
      <c r="T45">
        <v>8.442654192419155E-2</v>
      </c>
      <c r="U45">
        <v>8.488740221527008E-2</v>
      </c>
      <c r="V45">
        <v>8.3487356023127388E-2</v>
      </c>
      <c r="W45">
        <v>8.2925354569639856E-2</v>
      </c>
      <c r="Y45">
        <v>1.5671419540234028</v>
      </c>
      <c r="Z45">
        <v>1.5691471025349739</v>
      </c>
      <c r="AA45">
        <v>1.6179153025809778</v>
      </c>
      <c r="AB45">
        <v>1.6359509263399548</v>
      </c>
      <c r="AC45">
        <v>1.6667066162972195</v>
      </c>
      <c r="AD45">
        <v>1.5953609571464824</v>
      </c>
      <c r="AE45">
        <v>1.5922087997343692</v>
      </c>
      <c r="AG45">
        <v>0.62456386102427552</v>
      </c>
      <c r="AH45">
        <v>0.62613923686325068</v>
      </c>
      <c r="AI45">
        <v>0.649798609927422</v>
      </c>
      <c r="AJ45">
        <v>0.65216755031440687</v>
      </c>
      <c r="AK45">
        <v>0.66770897852902722</v>
      </c>
      <c r="AL45">
        <v>0.63841002677811154</v>
      </c>
      <c r="AM45">
        <v>0.63755224799437127</v>
      </c>
      <c r="AO45">
        <v>49</v>
      </c>
      <c r="AP45">
        <v>11.002814201848324</v>
      </c>
      <c r="AQ45">
        <v>4.6828847072105368</v>
      </c>
      <c r="AR45">
        <v>5.7991923142011563</v>
      </c>
      <c r="AS45">
        <v>646.13270904511774</v>
      </c>
      <c r="AT45">
        <v>27.475873209850622</v>
      </c>
      <c r="AU45">
        <v>12.022233284056647</v>
      </c>
      <c r="AV45">
        <v>11.394700891861053</v>
      </c>
      <c r="AW45">
        <v>4.7477867146597843</v>
      </c>
      <c r="AX45">
        <v>6.075156240591542</v>
      </c>
      <c r="AY45">
        <v>675.35293282539328</v>
      </c>
      <c r="AZ45">
        <v>27.50954500289275</v>
      </c>
      <c r="BA45">
        <v>11.891673868234264</v>
      </c>
      <c r="BB45">
        <v>12.599947489892855</v>
      </c>
      <c r="BC45">
        <v>5.0054578435380899</v>
      </c>
      <c r="BD45">
        <v>6.5888344886672314</v>
      </c>
      <c r="BE45">
        <v>734.19231331925744</v>
      </c>
      <c r="BF45">
        <v>28.331939240823896</v>
      </c>
      <c r="BG45">
        <v>11.922812343745862</v>
      </c>
      <c r="BH45">
        <v>13.248701871800144</v>
      </c>
      <c r="BI45">
        <v>5.1886040384472043</v>
      </c>
      <c r="BJ45">
        <v>7.0366621322976073</v>
      </c>
      <c r="BK45">
        <v>783.63901070669726</v>
      </c>
      <c r="BL45">
        <v>28.480807278268195</v>
      </c>
      <c r="BM45">
        <v>11.910922671526579</v>
      </c>
      <c r="BN45">
        <v>13.558253819854906</v>
      </c>
      <c r="BO45">
        <v>5.2690775430384935</v>
      </c>
      <c r="BP45">
        <v>7.4593175259803983</v>
      </c>
      <c r="BQ45">
        <v>859.35512261395957</v>
      </c>
      <c r="BR45">
        <v>27.418500639176202</v>
      </c>
      <c r="BS45">
        <v>11.451850993691775</v>
      </c>
      <c r="BU45">
        <v>49</v>
      </c>
      <c r="BV45">
        <v>10.629649795669982</v>
      </c>
      <c r="BW45">
        <v>3.9794263015633411</v>
      </c>
      <c r="BX45">
        <v>5.6294246247983448</v>
      </c>
      <c r="BY45">
        <v>654.17242573646831</v>
      </c>
      <c r="BZ45">
        <v>26.567759967437183</v>
      </c>
      <c r="CA45">
        <v>10.79914022208974</v>
      </c>
      <c r="CB45">
        <v>10.912032664102155</v>
      </c>
      <c r="CC45">
        <v>4.0015700064720736</v>
      </c>
      <c r="CD45">
        <v>5.8783894184895438</v>
      </c>
      <c r="CE45">
        <v>684.00453071508969</v>
      </c>
      <c r="CF45">
        <v>26.455941237287558</v>
      </c>
      <c r="CG45">
        <v>10.650309738901091</v>
      </c>
      <c r="CH45">
        <v>12.106727966321699</v>
      </c>
      <c r="CI45">
        <v>4.4096517896099021</v>
      </c>
      <c r="CJ45">
        <v>6.3630209130883291</v>
      </c>
      <c r="CK45">
        <v>742.48347357054479</v>
      </c>
      <c r="CL45">
        <v>27.351278797911849</v>
      </c>
      <c r="CM45">
        <v>10.987222493677354</v>
      </c>
      <c r="CN45">
        <v>12.74106995510552</v>
      </c>
      <c r="CO45">
        <v>4.5055869506245445</v>
      </c>
      <c r="CP45">
        <v>6.8198620794277449</v>
      </c>
      <c r="CQ45">
        <v>792.79382109667358</v>
      </c>
      <c r="CR45">
        <v>27.511616693485706</v>
      </c>
      <c r="CS45">
        <v>10.911849135163116</v>
      </c>
      <c r="CT45">
        <v>12.921023427067031</v>
      </c>
      <c r="CU45">
        <v>4.5014368760463253</v>
      </c>
      <c r="CV45">
        <v>7.1160018693289429</v>
      </c>
      <c r="CW45">
        <v>868.41436099870896</v>
      </c>
      <c r="CX45">
        <v>26.398686635626003</v>
      </c>
      <c r="CY45">
        <v>10.448429408069302</v>
      </c>
      <c r="DA45">
        <v>49</v>
      </c>
      <c r="DB45">
        <v>10.211335716401214</v>
      </c>
      <c r="DC45">
        <v>3.5606215432812687</v>
      </c>
      <c r="DD45">
        <v>5.6207890249108052</v>
      </c>
      <c r="DE45">
        <v>650.71219082668256</v>
      </c>
      <c r="DF45">
        <v>26.066181245913633</v>
      </c>
      <c r="DG45">
        <v>10.212956035490535</v>
      </c>
      <c r="DH45">
        <v>10.472791855292042</v>
      </c>
      <c r="DI45">
        <v>3.7492354071777019</v>
      </c>
      <c r="DJ45">
        <v>5.8137456400761325</v>
      </c>
      <c r="DK45">
        <v>675.70550529997274</v>
      </c>
      <c r="DL45">
        <v>26.130825815882936</v>
      </c>
      <c r="DM45">
        <v>10.407678286579889</v>
      </c>
      <c r="DN45">
        <v>11.617365673439391</v>
      </c>
      <c r="DO45">
        <v>3.8595204835605532</v>
      </c>
      <c r="DP45">
        <v>6.278568915333862</v>
      </c>
      <c r="DQ45">
        <v>736.66943250953386</v>
      </c>
      <c r="DR45">
        <v>26.902854008851776</v>
      </c>
      <c r="DS45">
        <v>10.327155546596105</v>
      </c>
      <c r="DT45">
        <v>11.937675702372481</v>
      </c>
      <c r="DU45">
        <v>3.8124274402588916</v>
      </c>
      <c r="DV45">
        <v>6.6107968691790404</v>
      </c>
      <c r="DW45">
        <v>779.25538010095431</v>
      </c>
      <c r="DX45">
        <v>26.958614604009455</v>
      </c>
      <c r="DY45">
        <v>10.211911606821131</v>
      </c>
      <c r="DZ45">
        <v>12.070321198568168</v>
      </c>
      <c r="EA45">
        <v>3.8722390982196067</v>
      </c>
      <c r="EB45">
        <v>6.8750705812417019</v>
      </c>
      <c r="EC45">
        <v>853.18247457063512</v>
      </c>
      <c r="ED45">
        <v>25.872890050270151</v>
      </c>
      <c r="EE45">
        <v>9.8974939379428069</v>
      </c>
      <c r="EG45">
        <v>49</v>
      </c>
      <c r="EH45">
        <v>9.804022739089115</v>
      </c>
      <c r="EI45">
        <v>3.2843775753074289</v>
      </c>
      <c r="EJ45">
        <v>5.1781468731899478</v>
      </c>
      <c r="EK45">
        <v>648.68624702788509</v>
      </c>
      <c r="EL45">
        <v>25.51968536954373</v>
      </c>
      <c r="EM45">
        <v>9.8190011856733435</v>
      </c>
      <c r="EN45">
        <v>10.065493415491115</v>
      </c>
      <c r="EO45">
        <v>3.3750118088078618</v>
      </c>
      <c r="EP45">
        <v>5.3833351796292401</v>
      </c>
      <c r="EQ45">
        <v>673.34146224423114</v>
      </c>
      <c r="ER45">
        <v>25.617677492388236</v>
      </c>
      <c r="ES45">
        <v>9.8884478241859863</v>
      </c>
      <c r="ET45">
        <v>10.120955841586227</v>
      </c>
      <c r="EU45">
        <v>3.4930593494983442</v>
      </c>
      <c r="EV45">
        <v>5.8102552186848797</v>
      </c>
      <c r="EW45">
        <v>737.70508154521792</v>
      </c>
      <c r="EX45">
        <v>24.836619432465511</v>
      </c>
      <c r="EY45">
        <v>9.8158991486390796</v>
      </c>
      <c r="EZ45">
        <v>10.673008823958964</v>
      </c>
      <c r="FA45">
        <v>3.4895904781365692</v>
      </c>
      <c r="FB45">
        <v>6.1139457015714038</v>
      </c>
      <c r="FC45">
        <v>778.45785554384349</v>
      </c>
      <c r="FD45">
        <v>25.361653750717487</v>
      </c>
      <c r="FE45">
        <v>9.8076601632783227</v>
      </c>
      <c r="FF45">
        <v>10.829646683338362</v>
      </c>
      <c r="FG45">
        <v>3.5197344053354542</v>
      </c>
      <c r="FH45">
        <v>6.3609323954768957</v>
      </c>
      <c r="FI45">
        <v>845.45410093816736</v>
      </c>
      <c r="FJ45">
        <v>24.641931263962636</v>
      </c>
      <c r="FK45">
        <v>9.5710265857821568</v>
      </c>
    </row>
    <row r="46" spans="2:167" x14ac:dyDescent="0.2">
      <c r="B46">
        <v>726.98729242497416</v>
      </c>
      <c r="C46">
        <v>1.3755398621403014</v>
      </c>
      <c r="D46">
        <v>774.26499638794201</v>
      </c>
      <c r="E46">
        <v>1.2915474736235584</v>
      </c>
      <c r="F46">
        <v>885.05019679765337</v>
      </c>
      <c r="G46">
        <v>1.1298794165780264</v>
      </c>
      <c r="H46">
        <v>979.95061780507831</v>
      </c>
      <c r="I46">
        <v>1.0204595842184669</v>
      </c>
      <c r="J46">
        <v>1081.6028065244645</v>
      </c>
      <c r="K46">
        <v>0.92455381399510184</v>
      </c>
      <c r="L46">
        <v>830.42738729630389</v>
      </c>
      <c r="M46">
        <v>1.204199205490788</v>
      </c>
      <c r="N46">
        <v>828.70859834233943</v>
      </c>
      <c r="O46">
        <v>1.2066967834052811</v>
      </c>
      <c r="Q46">
        <v>9.1933630590617904E-2</v>
      </c>
      <c r="R46">
        <v>9.2441945150449331E-2</v>
      </c>
      <c r="S46">
        <v>9.2902131052527898E-2</v>
      </c>
      <c r="T46">
        <v>9.3757410899412502E-2</v>
      </c>
      <c r="U46">
        <v>9.4178790771162188E-2</v>
      </c>
      <c r="V46">
        <v>9.2861497955996269E-2</v>
      </c>
      <c r="W46">
        <v>9.2408363152378756E-2</v>
      </c>
      <c r="Y46">
        <v>1.5887985132495708</v>
      </c>
      <c r="Z46">
        <v>1.5910856986276785</v>
      </c>
      <c r="AA46">
        <v>1.6409266379561995</v>
      </c>
      <c r="AB46">
        <v>1.6601156746966745</v>
      </c>
      <c r="AC46">
        <v>1.6914494379027272</v>
      </c>
      <c r="AD46">
        <v>1.6176547974505471</v>
      </c>
      <c r="AE46">
        <v>1.6147818613588254</v>
      </c>
      <c r="AG46">
        <v>0.6320935207971754</v>
      </c>
      <c r="AH46">
        <v>0.63380956274905009</v>
      </c>
      <c r="AI46">
        <v>0.65797277806833854</v>
      </c>
      <c r="AJ46">
        <v>0.66071557244559953</v>
      </c>
      <c r="AK46">
        <v>0.67655670349270158</v>
      </c>
      <c r="AL46">
        <v>0.64624002768183342</v>
      </c>
      <c r="AM46">
        <v>0.64553095940153726</v>
      </c>
      <c r="AO46">
        <v>50</v>
      </c>
      <c r="AP46">
        <v>11.170285742196356</v>
      </c>
      <c r="AQ46">
        <v>4.7592018997044452</v>
      </c>
      <c r="AR46">
        <v>5.8724813778985654</v>
      </c>
      <c r="AS46">
        <v>655.34172346089133</v>
      </c>
      <c r="AT46">
        <v>27.410516314680063</v>
      </c>
      <c r="AU46">
        <v>11.999542910950616</v>
      </c>
      <c r="AV46">
        <v>11.573184383938427</v>
      </c>
      <c r="AW46">
        <v>4.8261448494411603</v>
      </c>
      <c r="AX46">
        <v>6.1547814504279099</v>
      </c>
      <c r="AY46">
        <v>685.28542354966044</v>
      </c>
      <c r="AZ46">
        <v>27.445376574282857</v>
      </c>
      <c r="BA46">
        <v>11.867527364569019</v>
      </c>
      <c r="BB46">
        <v>12.804986027038535</v>
      </c>
      <c r="BC46">
        <v>5.0900168818779274</v>
      </c>
      <c r="BD46">
        <v>6.6789240149608808</v>
      </c>
      <c r="BE46">
        <v>745.23774172814694</v>
      </c>
      <c r="BF46">
        <v>28.279425324118456</v>
      </c>
      <c r="BG46">
        <v>11.901737191589834</v>
      </c>
      <c r="BH46">
        <v>13.472559040468763</v>
      </c>
      <c r="BI46">
        <v>5.2794007023487151</v>
      </c>
      <c r="BJ46">
        <v>7.1375691320007473</v>
      </c>
      <c r="BK46">
        <v>795.88704195999992</v>
      </c>
      <c r="BL46">
        <v>28.432700144873984</v>
      </c>
      <c r="BM46">
        <v>11.891486249578822</v>
      </c>
      <c r="BN46">
        <v>13.78764073553527</v>
      </c>
      <c r="BO46">
        <v>5.3611251101528552</v>
      </c>
      <c r="BP46">
        <v>7.5681365574713668</v>
      </c>
      <c r="BQ46">
        <v>874.25364841531837</v>
      </c>
      <c r="BR46">
        <v>27.330898078618993</v>
      </c>
      <c r="BS46">
        <v>11.415577062224031</v>
      </c>
      <c r="BU46">
        <v>50</v>
      </c>
      <c r="BV46">
        <v>10.793719804765711</v>
      </c>
      <c r="BW46">
        <v>4.0408988042303093</v>
      </c>
      <c r="BX46">
        <v>5.7011222075891563</v>
      </c>
      <c r="BY46">
        <v>663.51374233653462</v>
      </c>
      <c r="BZ46">
        <v>26.505387820987576</v>
      </c>
      <c r="CA46">
        <v>10.769178662929576</v>
      </c>
      <c r="CB46">
        <v>11.084695220126001</v>
      </c>
      <c r="CC46">
        <v>4.0646092394102906</v>
      </c>
      <c r="CD46">
        <v>5.955859650255749</v>
      </c>
      <c r="CE46">
        <v>694.12175094921281</v>
      </c>
      <c r="CF46">
        <v>26.392239288457795</v>
      </c>
      <c r="CG46">
        <v>10.619329961069498</v>
      </c>
      <c r="CH46">
        <v>12.305703101027948</v>
      </c>
      <c r="CI46">
        <v>4.4822889400977415</v>
      </c>
      <c r="CJ46">
        <v>6.4503751773255331</v>
      </c>
      <c r="CK46">
        <v>753.632137062266</v>
      </c>
      <c r="CL46">
        <v>27.301930382256561</v>
      </c>
      <c r="CM46">
        <v>10.962770029590061</v>
      </c>
      <c r="CN46">
        <v>12.958368688278854</v>
      </c>
      <c r="CO46">
        <v>4.582271981614225</v>
      </c>
      <c r="CP46">
        <v>6.9181628212482629</v>
      </c>
      <c r="CQ46">
        <v>805.14605270814138</v>
      </c>
      <c r="CR46">
        <v>27.467100144954713</v>
      </c>
      <c r="CS46">
        <v>10.888895332048321</v>
      </c>
      <c r="CT46">
        <v>13.141089641488964</v>
      </c>
      <c r="CU46">
        <v>4.5775695732232036</v>
      </c>
      <c r="CV46">
        <v>7.2196549701981088</v>
      </c>
      <c r="CW46">
        <v>883.5108229111205</v>
      </c>
      <c r="CX46">
        <v>26.312735127628674</v>
      </c>
      <c r="CY46">
        <v>10.409102095867688</v>
      </c>
      <c r="DA46">
        <v>50</v>
      </c>
      <c r="DB46">
        <v>10.356804292199653</v>
      </c>
      <c r="DC46">
        <v>3.6163244633111145</v>
      </c>
      <c r="DD46">
        <v>5.6901226738749902</v>
      </c>
      <c r="DE46">
        <v>659.83052659514908</v>
      </c>
      <c r="DF46">
        <v>25.991179342845356</v>
      </c>
      <c r="DG46">
        <v>10.185833217346294</v>
      </c>
      <c r="DH46">
        <v>10.625626667834183</v>
      </c>
      <c r="DI46">
        <v>3.8102685978277746</v>
      </c>
      <c r="DJ46">
        <v>5.8881329835333922</v>
      </c>
      <c r="DK46">
        <v>685.40271905287648</v>
      </c>
      <c r="DL46">
        <v>26.058196586619097</v>
      </c>
      <c r="DM46">
        <v>10.383336784448101</v>
      </c>
      <c r="DN46">
        <v>11.796202326388128</v>
      </c>
      <c r="DO46">
        <v>3.923950554227055</v>
      </c>
      <c r="DP46">
        <v>6.3625839779400692</v>
      </c>
      <c r="DQ46">
        <v>747.523632346456</v>
      </c>
      <c r="DR46">
        <v>26.843447480420696</v>
      </c>
      <c r="DS46">
        <v>10.305436626090577</v>
      </c>
      <c r="DT46">
        <v>12.129331053867608</v>
      </c>
      <c r="DU46">
        <v>3.879113792777177</v>
      </c>
      <c r="DV46">
        <v>6.7045007104090093</v>
      </c>
      <c r="DW46">
        <v>791.25867841623051</v>
      </c>
      <c r="DX46">
        <v>26.901429592208611</v>
      </c>
      <c r="DY46">
        <v>10.191348450363302</v>
      </c>
      <c r="DZ46">
        <v>12.264138997128885</v>
      </c>
      <c r="EA46">
        <v>3.9402132465459871</v>
      </c>
      <c r="EB46">
        <v>6.9738158463327347</v>
      </c>
      <c r="EC46">
        <v>867.8833341372524</v>
      </c>
      <c r="ED46">
        <v>25.776086187358047</v>
      </c>
      <c r="EE46">
        <v>9.8621527746206361</v>
      </c>
      <c r="EG46">
        <v>50</v>
      </c>
      <c r="EH46">
        <v>9.9396433103620758</v>
      </c>
      <c r="EI46">
        <v>3.3361530941140067</v>
      </c>
      <c r="EJ46">
        <v>5.240430499849495</v>
      </c>
      <c r="EK46">
        <v>657.64113430001055</v>
      </c>
      <c r="EL46">
        <v>25.443378916057515</v>
      </c>
      <c r="EM46">
        <v>9.79371877835829</v>
      </c>
      <c r="EN46">
        <v>10.210029115647901</v>
      </c>
      <c r="EO46">
        <v>3.4298297826909558</v>
      </c>
      <c r="EP46">
        <v>5.4507361405988224</v>
      </c>
      <c r="EQ46">
        <v>682.92868625390383</v>
      </c>
      <c r="ER46">
        <v>25.544045217352462</v>
      </c>
      <c r="ES46">
        <v>9.8638826942776632</v>
      </c>
      <c r="ET46">
        <v>10.272687367052271</v>
      </c>
      <c r="EU46">
        <v>3.5513710020227687</v>
      </c>
      <c r="EV46">
        <v>5.8865884584297206</v>
      </c>
      <c r="EW46">
        <v>749.03995158817304</v>
      </c>
      <c r="EX46">
        <v>24.755150064578107</v>
      </c>
      <c r="EY46">
        <v>9.7871653600097499</v>
      </c>
      <c r="EZ46">
        <v>10.840608033840462</v>
      </c>
      <c r="FA46">
        <v>3.5508626644573171</v>
      </c>
      <c r="FB46">
        <v>6.1990930764130248</v>
      </c>
      <c r="FC46">
        <v>790.81613062349436</v>
      </c>
      <c r="FD46">
        <v>25.286872424876929</v>
      </c>
      <c r="FE46">
        <v>9.7819726713147581</v>
      </c>
      <c r="FF46">
        <v>11.000378075732343</v>
      </c>
      <c r="FG46">
        <v>3.5816089975980447</v>
      </c>
      <c r="FH46">
        <v>6.450799460726194</v>
      </c>
      <c r="FI46">
        <v>861.01328201229717</v>
      </c>
      <c r="FJ46">
        <v>24.513994314428579</v>
      </c>
      <c r="FK46">
        <v>9.5243522419247046</v>
      </c>
    </row>
    <row r="47" spans="2:167" x14ac:dyDescent="0.2">
      <c r="B47">
        <v>731.35071847146889</v>
      </c>
      <c r="C47">
        <v>1.3673330383677083</v>
      </c>
      <c r="D47">
        <v>779.46530804876181</v>
      </c>
      <c r="E47">
        <v>1.2829307342789937</v>
      </c>
      <c r="F47">
        <v>892.08696248105025</v>
      </c>
      <c r="G47">
        <v>1.1209669483553764</v>
      </c>
      <c r="H47">
        <v>988.8501799851955</v>
      </c>
      <c r="I47">
        <v>1.011275540259265</v>
      </c>
      <c r="J47">
        <v>1092.1361818790342</v>
      </c>
      <c r="K47">
        <v>0.91563672790282191</v>
      </c>
      <c r="L47">
        <v>836.93311050795387</v>
      </c>
      <c r="M47">
        <v>1.1948386166644513</v>
      </c>
      <c r="N47">
        <v>834.41830800225739</v>
      </c>
      <c r="O47">
        <v>1.1984396679816074</v>
      </c>
      <c r="Q47">
        <v>0.10178787982275521</v>
      </c>
      <c r="R47">
        <v>0.10229618139723846</v>
      </c>
      <c r="S47">
        <v>0.10253669040029374</v>
      </c>
      <c r="T47">
        <v>0.10339294241269611</v>
      </c>
      <c r="U47">
        <v>0.10377251304128179</v>
      </c>
      <c r="V47">
        <v>0.10254335824058204</v>
      </c>
      <c r="W47">
        <v>0.10220437247835684</v>
      </c>
      <c r="Y47">
        <v>1.6100441657533069</v>
      </c>
      <c r="Z47">
        <v>1.612640577276206</v>
      </c>
      <c r="AA47">
        <v>1.6635009833365386</v>
      </c>
      <c r="AB47">
        <v>1.6838831268185075</v>
      </c>
      <c r="AC47">
        <v>1.7157942557106622</v>
      </c>
      <c r="AD47">
        <v>1.639545335295407</v>
      </c>
      <c r="AE47">
        <v>1.6369404960619955</v>
      </c>
      <c r="AG47">
        <v>0.63950378008097275</v>
      </c>
      <c r="AH47">
        <v>0.64137074564679031</v>
      </c>
      <c r="AI47">
        <v>0.66601452642008185</v>
      </c>
      <c r="AJ47">
        <v>0.66914949856434502</v>
      </c>
      <c r="AK47">
        <v>0.68528847486737965</v>
      </c>
      <c r="AL47">
        <v>0.65395288086633119</v>
      </c>
      <c r="AM47">
        <v>0.65338657968674885</v>
      </c>
      <c r="AO47">
        <v>51</v>
      </c>
      <c r="AP47">
        <v>11.335353471593894</v>
      </c>
      <c r="AQ47">
        <v>4.8344700367887565</v>
      </c>
      <c r="AR47">
        <v>5.9443652132314746</v>
      </c>
      <c r="AS47">
        <v>664.40726884193828</v>
      </c>
      <c r="AT47">
        <v>27.346321205455848</v>
      </c>
      <c r="AU47">
        <v>11.977146628590381</v>
      </c>
      <c r="AV47">
        <v>11.749152624325429</v>
      </c>
      <c r="AW47">
        <v>4.9034719827905153</v>
      </c>
      <c r="AX47">
        <v>6.2328482195980923</v>
      </c>
      <c r="AY47">
        <v>695.0637856511994</v>
      </c>
      <c r="AZ47">
        <v>27.382345125205585</v>
      </c>
      <c r="BA47">
        <v>11.84377427044353</v>
      </c>
      <c r="BB47">
        <v>13.006774922698416</v>
      </c>
      <c r="BC47">
        <v>5.1734155190431874</v>
      </c>
      <c r="BD47">
        <v>6.7670663635580288</v>
      </c>
      <c r="BE47">
        <v>756.09022272097093</v>
      </c>
      <c r="BF47">
        <v>28.227366071889548</v>
      </c>
      <c r="BG47">
        <v>11.880953651259743</v>
      </c>
      <c r="BH47">
        <v>13.692867435133076</v>
      </c>
      <c r="BI47">
        <v>5.3689908017774268</v>
      </c>
      <c r="BJ47">
        <v>7.2362303070093654</v>
      </c>
      <c r="BK47">
        <v>807.91625178101606</v>
      </c>
      <c r="BL47">
        <v>28.384976123899779</v>
      </c>
      <c r="BM47">
        <v>11.872363594938625</v>
      </c>
      <c r="BN47">
        <v>14.013393077796922</v>
      </c>
      <c r="BO47">
        <v>5.4519576581303006</v>
      </c>
      <c r="BP47">
        <v>7.6744790250474413</v>
      </c>
      <c r="BQ47">
        <v>888.92856552053263</v>
      </c>
      <c r="BR47">
        <v>27.244386670252883</v>
      </c>
      <c r="BS47">
        <v>11.379907919733801</v>
      </c>
      <c r="BU47">
        <v>51</v>
      </c>
      <c r="BV47">
        <v>10.955332805828117</v>
      </c>
      <c r="BW47">
        <v>4.1016286813145646</v>
      </c>
      <c r="BX47">
        <v>5.7714248797172507</v>
      </c>
      <c r="BY47">
        <v>672.70345152244784</v>
      </c>
      <c r="BZ47">
        <v>26.444154372875118</v>
      </c>
      <c r="CA47">
        <v>10.740039921299383</v>
      </c>
      <c r="CB47">
        <v>11.254845989941931</v>
      </c>
      <c r="CC47">
        <v>4.1269425570814109</v>
      </c>
      <c r="CD47">
        <v>6.0317983512814406</v>
      </c>
      <c r="CE47">
        <v>704.07832221804131</v>
      </c>
      <c r="CF47">
        <v>26.3296983351926</v>
      </c>
      <c r="CG47">
        <v>10.589232646186709</v>
      </c>
      <c r="CH47">
        <v>12.501439906811598</v>
      </c>
      <c r="CI47">
        <v>4.5540153845973688</v>
      </c>
      <c r="CJ47">
        <v>6.5358296776985112</v>
      </c>
      <c r="CK47">
        <v>764.57979083065936</v>
      </c>
      <c r="CL47">
        <v>27.253009737017198</v>
      </c>
      <c r="CM47">
        <v>10.938914235211714</v>
      </c>
      <c r="CN47">
        <v>13.172135243325423</v>
      </c>
      <c r="CO47">
        <v>4.6580393629242813</v>
      </c>
      <c r="CP47">
        <v>7.0142593598432592</v>
      </c>
      <c r="CQ47">
        <v>817.27032102962789</v>
      </c>
      <c r="CR47">
        <v>27.422935531136957</v>
      </c>
      <c r="CS47">
        <v>10.866568659146385</v>
      </c>
      <c r="CT47">
        <v>13.357605760255959</v>
      </c>
      <c r="CU47">
        <v>4.6528149515051638</v>
      </c>
      <c r="CV47">
        <v>7.320954119287963</v>
      </c>
      <c r="CW47">
        <v>898.37739666945959</v>
      </c>
      <c r="CX47">
        <v>26.227870749071201</v>
      </c>
      <c r="CY47">
        <v>10.370677791715975</v>
      </c>
      <c r="DA47">
        <v>51</v>
      </c>
      <c r="DB47">
        <v>10.498899220270024</v>
      </c>
      <c r="DC47">
        <v>3.6713910299780399</v>
      </c>
      <c r="DD47">
        <v>5.7577919430409406</v>
      </c>
      <c r="DE47">
        <v>668.8009452941094</v>
      </c>
      <c r="DF47">
        <v>25.915992576902376</v>
      </c>
      <c r="DG47">
        <v>10.159411886331096</v>
      </c>
      <c r="DH47">
        <v>10.77513166717573</v>
      </c>
      <c r="DI47">
        <v>3.870674801052318</v>
      </c>
      <c r="DJ47">
        <v>5.9608429279019903</v>
      </c>
      <c r="DK47">
        <v>694.94804726139569</v>
      </c>
      <c r="DL47">
        <v>25.985331675866853</v>
      </c>
      <c r="DM47">
        <v>10.359596558973568</v>
      </c>
      <c r="DN47">
        <v>11.970955294849386</v>
      </c>
      <c r="DO47">
        <v>3.9876815309226301</v>
      </c>
      <c r="DP47">
        <v>6.4445482915561385</v>
      </c>
      <c r="DQ47">
        <v>758.18214069008775</v>
      </c>
      <c r="DR47">
        <v>26.78329491352763</v>
      </c>
      <c r="DS47">
        <v>10.284255570964671</v>
      </c>
      <c r="DT47">
        <v>12.317134473756306</v>
      </c>
      <c r="DU47">
        <v>3.9453183502669438</v>
      </c>
      <c r="DV47">
        <v>6.7961497529614396</v>
      </c>
      <c r="DW47">
        <v>803.06158766208102</v>
      </c>
      <c r="DX47">
        <v>26.843458691998713</v>
      </c>
      <c r="DY47">
        <v>10.171328288373825</v>
      </c>
      <c r="DZ47">
        <v>12.454141754135836</v>
      </c>
      <c r="EA47">
        <v>4.0077239271159941</v>
      </c>
      <c r="EB47">
        <v>7.0704159254321279</v>
      </c>
      <c r="EC47">
        <v>882.3853362312625</v>
      </c>
      <c r="ED47">
        <v>25.679327734969142</v>
      </c>
      <c r="EE47">
        <v>9.827556211289604</v>
      </c>
      <c r="EG47">
        <v>51</v>
      </c>
      <c r="EH47">
        <v>10.071838316073457</v>
      </c>
      <c r="EI47">
        <v>3.3873254832415718</v>
      </c>
      <c r="EJ47">
        <v>5.301248801974535</v>
      </c>
      <c r="EK47">
        <v>666.44957195164557</v>
      </c>
      <c r="EL47">
        <v>25.366629586037835</v>
      </c>
      <c r="EM47">
        <v>9.7690192934002731</v>
      </c>
      <c r="EN47">
        <v>10.351151400737216</v>
      </c>
      <c r="EO47">
        <v>3.484087802967474</v>
      </c>
      <c r="EP47">
        <v>5.5166424154109306</v>
      </c>
      <c r="EQ47">
        <v>692.36586994040044</v>
      </c>
      <c r="ER47">
        <v>25.46987944489933</v>
      </c>
      <c r="ES47">
        <v>9.8398761359744125</v>
      </c>
      <c r="ET47">
        <v>10.421687626585605</v>
      </c>
      <c r="EU47">
        <v>3.6090499719507854</v>
      </c>
      <c r="EV47">
        <v>5.961084624593898</v>
      </c>
      <c r="EW47">
        <v>760.19456862862614</v>
      </c>
      <c r="EX47">
        <v>24.674404393399403</v>
      </c>
      <c r="EY47">
        <v>9.7589586289853294</v>
      </c>
      <c r="EZ47">
        <v>11.005022062984716</v>
      </c>
      <c r="FA47">
        <v>3.6116842275344943</v>
      </c>
      <c r="FB47">
        <v>6.2824001786924555</v>
      </c>
      <c r="FC47">
        <v>802.98377862958785</v>
      </c>
      <c r="FD47">
        <v>25.212013845805494</v>
      </c>
      <c r="FE47">
        <v>9.7568209092992344</v>
      </c>
      <c r="FF47">
        <v>11.1678132684661</v>
      </c>
      <c r="FG47">
        <v>3.6430586547988848</v>
      </c>
      <c r="FH47">
        <v>6.5387411218834766</v>
      </c>
      <c r="FI47">
        <v>876.40822789871891</v>
      </c>
      <c r="FJ47">
        <v>24.386733341364419</v>
      </c>
      <c r="FK47">
        <v>9.4784895384086845</v>
      </c>
    </row>
    <row r="48" spans="2:167" x14ac:dyDescent="0.2">
      <c r="B48">
        <v>735.50523017682769</v>
      </c>
      <c r="C48">
        <v>1.3596096383428617</v>
      </c>
      <c r="D48">
        <v>784.43116442902613</v>
      </c>
      <c r="E48">
        <v>1.2748091169068769</v>
      </c>
      <c r="F48">
        <v>898.80101359466119</v>
      </c>
      <c r="G48">
        <v>1.1125933158448542</v>
      </c>
      <c r="H48">
        <v>997.37139254473777</v>
      </c>
      <c r="I48">
        <v>1.0026355352428502</v>
      </c>
      <c r="J48">
        <v>1102.2303847369562</v>
      </c>
      <c r="K48">
        <v>0.90725134585964695</v>
      </c>
      <c r="L48">
        <v>843.1445552163118</v>
      </c>
      <c r="M48">
        <v>1.1860362423184319</v>
      </c>
      <c r="N48">
        <v>839.86647558639709</v>
      </c>
      <c r="O48">
        <v>1.1906654558414149</v>
      </c>
      <c r="Q48">
        <v>0.103696436445152</v>
      </c>
      <c r="R48">
        <v>0.10421330099873907</v>
      </c>
      <c r="S48">
        <v>0.10446033788588437</v>
      </c>
      <c r="T48">
        <v>0.10533319073318279</v>
      </c>
      <c r="U48">
        <v>0.10572123700106786</v>
      </c>
      <c r="V48">
        <v>0.10446715441005007</v>
      </c>
      <c r="W48">
        <v>0.10412086242798953</v>
      </c>
      <c r="Y48">
        <v>1.630878910474336</v>
      </c>
      <c r="Z48">
        <v>1.6338117363883022</v>
      </c>
      <c r="AA48">
        <v>1.6856383351913329</v>
      </c>
      <c r="AB48">
        <v>1.7072532761053392</v>
      </c>
      <c r="AC48">
        <v>1.7397410587989071</v>
      </c>
      <c r="AD48">
        <v>1.6610325659157643</v>
      </c>
      <c r="AE48">
        <v>1.6586847013792285</v>
      </c>
      <c r="AG48">
        <v>0.64679463865239573</v>
      </c>
      <c r="AH48">
        <v>0.64882278518050385</v>
      </c>
      <c r="AI48">
        <v>0.67392385407978073</v>
      </c>
      <c r="AJ48">
        <v>0.67746932742506283</v>
      </c>
      <c r="AK48">
        <v>0.69390429021950839</v>
      </c>
      <c r="AL48">
        <v>0.66154858517048609</v>
      </c>
      <c r="AM48">
        <v>0.66111910825334508</v>
      </c>
      <c r="AO48">
        <v>52</v>
      </c>
      <c r="AP48">
        <v>11.498017375608677</v>
      </c>
      <c r="AQ48">
        <v>4.9086884427566453</v>
      </c>
      <c r="AR48">
        <v>6.0148438108176681</v>
      </c>
      <c r="AS48">
        <v>673.32717080466489</v>
      </c>
      <c r="AT48">
        <v>27.283286703590257</v>
      </c>
      <c r="AU48">
        <v>11.955055249897274</v>
      </c>
      <c r="AV48">
        <v>11.922605586668293</v>
      </c>
      <c r="AW48">
        <v>4.9797678850027927</v>
      </c>
      <c r="AX48">
        <v>6.3093565315207156</v>
      </c>
      <c r="AY48">
        <v>704.68569422414168</v>
      </c>
      <c r="AZ48">
        <v>27.320450159400369</v>
      </c>
      <c r="BA48">
        <v>11.820420424268608</v>
      </c>
      <c r="BB48">
        <v>13.205314111955003</v>
      </c>
      <c r="BC48">
        <v>5.2556537333413651</v>
      </c>
      <c r="BD48">
        <v>6.8532615032291559</v>
      </c>
      <c r="BE48">
        <v>766.74808987080291</v>
      </c>
      <c r="BF48">
        <v>28.175760811642512</v>
      </c>
      <c r="BG48">
        <v>11.860457928796015</v>
      </c>
      <c r="BH48">
        <v>13.90962694018517</v>
      </c>
      <c r="BI48">
        <v>5.4573742982724855</v>
      </c>
      <c r="BJ48">
        <v>7.332645604183754</v>
      </c>
      <c r="BK48">
        <v>819.7248976843631</v>
      </c>
      <c r="BL48">
        <v>28.337635342958194</v>
      </c>
      <c r="BM48">
        <v>11.853548498506392</v>
      </c>
      <c r="BN48">
        <v>14.235510656717702</v>
      </c>
      <c r="BO48">
        <v>5.5415751231830797</v>
      </c>
      <c r="BP48">
        <v>7.7783448399506971</v>
      </c>
      <c r="BQ48">
        <v>903.37607779076473</v>
      </c>
      <c r="BR48">
        <v>27.158956247436112</v>
      </c>
      <c r="BS48">
        <v>11.344832161446707</v>
      </c>
      <c r="BU48">
        <v>52</v>
      </c>
      <c r="BV48">
        <v>11.114488783403164</v>
      </c>
      <c r="BW48">
        <v>4.1616159294345847</v>
      </c>
      <c r="BX48">
        <v>5.8403326319992246</v>
      </c>
      <c r="BY48">
        <v>681.73929015616659</v>
      </c>
      <c r="BZ48">
        <v>26.384059000112984</v>
      </c>
      <c r="CA48">
        <v>10.711706249513529</v>
      </c>
      <c r="CB48">
        <v>11.422484946658404</v>
      </c>
      <c r="CC48">
        <v>4.188569953485346</v>
      </c>
      <c r="CD48">
        <v>6.1062055054604709</v>
      </c>
      <c r="CE48">
        <v>713.87175403680169</v>
      </c>
      <c r="CF48">
        <v>26.268317300752184</v>
      </c>
      <c r="CG48">
        <v>10.559996523956706</v>
      </c>
      <c r="CH48">
        <v>12.693938318449941</v>
      </c>
      <c r="CI48">
        <v>4.6248311070291406</v>
      </c>
      <c r="CJ48">
        <v>6.6193843841615463</v>
      </c>
      <c r="CK48">
        <v>775.324749232263</v>
      </c>
      <c r="CL48">
        <v>27.204516572396752</v>
      </c>
      <c r="CM48">
        <v>10.915633538030971</v>
      </c>
      <c r="CN48">
        <v>13.382369504753619</v>
      </c>
      <c r="CO48">
        <v>4.7328890663082595</v>
      </c>
      <c r="CP48">
        <v>7.1081516440123638</v>
      </c>
      <c r="CQ48">
        <v>829.16488838289104</v>
      </c>
      <c r="CR48">
        <v>27.379123398443308</v>
      </c>
      <c r="CS48">
        <v>10.844843678448392</v>
      </c>
      <c r="CT48">
        <v>13.570571598025108</v>
      </c>
      <c r="CU48">
        <v>4.72717296454692</v>
      </c>
      <c r="CV48">
        <v>7.4198992317649228</v>
      </c>
      <c r="CW48">
        <v>913.01012719535754</v>
      </c>
      <c r="CX48">
        <v>26.144082745644926</v>
      </c>
      <c r="CY48">
        <v>10.333125056944123</v>
      </c>
      <c r="DA48">
        <v>52</v>
      </c>
      <c r="DB48">
        <v>10.637620881873998</v>
      </c>
      <c r="DC48">
        <v>3.7258212394544854</v>
      </c>
      <c r="DD48">
        <v>5.8237972497271588</v>
      </c>
      <c r="DE48">
        <v>677.62233526638011</v>
      </c>
      <c r="DF48">
        <v>25.840620713546649</v>
      </c>
      <c r="DG48">
        <v>10.133662908595273</v>
      </c>
      <c r="DH48">
        <v>10.921306847237513</v>
      </c>
      <c r="DI48">
        <v>3.9304540006284001</v>
      </c>
      <c r="DJ48">
        <v>6.0318754715761482</v>
      </c>
      <c r="DK48">
        <v>704.34040259518258</v>
      </c>
      <c r="DL48">
        <v>25.912231614735379</v>
      </c>
      <c r="DM48">
        <v>10.33643286896169</v>
      </c>
      <c r="DN48">
        <v>12.141624572105641</v>
      </c>
      <c r="DO48">
        <v>4.0507134014207233</v>
      </c>
      <c r="DP48">
        <v>6.5244622294732268</v>
      </c>
      <c r="DQ48">
        <v>768.64443040605227</v>
      </c>
      <c r="DR48">
        <v>26.722396508205318</v>
      </c>
      <c r="DS48">
        <v>10.263579384565597</v>
      </c>
      <c r="DT48">
        <v>12.50108591494574</v>
      </c>
      <c r="DU48">
        <v>4.011041098456225</v>
      </c>
      <c r="DV48">
        <v>6.8857439806401137</v>
      </c>
      <c r="DW48">
        <v>814.66369661145768</v>
      </c>
      <c r="DX48">
        <v>26.784701831743408</v>
      </c>
      <c r="DY48">
        <v>10.151815607738978</v>
      </c>
      <c r="DZ48">
        <v>12.640329386821856</v>
      </c>
      <c r="EA48">
        <v>4.0747711153223252</v>
      </c>
      <c r="EB48">
        <v>7.1648707851087092</v>
      </c>
      <c r="EC48">
        <v>896.68600304463143</v>
      </c>
      <c r="ED48">
        <v>25.582612000091839</v>
      </c>
      <c r="EE48">
        <v>9.7936690698007833</v>
      </c>
      <c r="EG48">
        <v>52</v>
      </c>
      <c r="EH48">
        <v>10.200609076562392</v>
      </c>
      <c r="EI48">
        <v>3.437894739025166</v>
      </c>
      <c r="EJ48">
        <v>5.3606020804477277</v>
      </c>
      <c r="EK48">
        <v>675.11069205736658</v>
      </c>
      <c r="EL48">
        <v>25.289437936918205</v>
      </c>
      <c r="EM48">
        <v>9.7448757691076207</v>
      </c>
      <c r="EN48">
        <v>10.488860425225221</v>
      </c>
      <c r="EO48">
        <v>3.5377858640916693</v>
      </c>
      <c r="EP48">
        <v>5.5810540022201529</v>
      </c>
      <c r="EQ48">
        <v>701.65223653232397</v>
      </c>
      <c r="ER48">
        <v>25.395180543729612</v>
      </c>
      <c r="ES48">
        <v>9.8164001953815756</v>
      </c>
      <c r="ET48">
        <v>10.567956576713117</v>
      </c>
      <c r="EU48">
        <v>3.666096248217436</v>
      </c>
      <c r="EV48">
        <v>6.0337439704477278</v>
      </c>
      <c r="EW48">
        <v>771.16606620759467</v>
      </c>
      <c r="EX48">
        <v>24.594382557590347</v>
      </c>
      <c r="EY48">
        <v>9.7312710006527645</v>
      </c>
      <c r="EZ48">
        <v>11.166250862117909</v>
      </c>
      <c r="FA48">
        <v>3.6720551539934552</v>
      </c>
      <c r="FB48">
        <v>6.3638669930195633</v>
      </c>
      <c r="FC48">
        <v>814.95904368814729</v>
      </c>
      <c r="FD48">
        <v>25.13707813014344</v>
      </c>
      <c r="FE48">
        <v>9.7321819388150317</v>
      </c>
      <c r="FF48">
        <v>11.331952188708822</v>
      </c>
      <c r="FG48">
        <v>3.7040833544054368</v>
      </c>
      <c r="FH48">
        <v>6.624757347637245</v>
      </c>
      <c r="FI48">
        <v>891.63512953811289</v>
      </c>
      <c r="FJ48">
        <v>24.260139811781965</v>
      </c>
      <c r="FK48">
        <v>9.4334082785430162</v>
      </c>
    </row>
    <row r="49" spans="2:167" x14ac:dyDescent="0.2">
      <c r="B49">
        <v>739.45073818105277</v>
      </c>
      <c r="C49">
        <v>1.3523551311340396</v>
      </c>
      <c r="D49">
        <v>789.16242828138422</v>
      </c>
      <c r="E49">
        <v>1.267166256480015</v>
      </c>
      <c r="F49">
        <v>905.19209815138095</v>
      </c>
      <c r="G49">
        <v>1.1047378805473882</v>
      </c>
      <c r="H49">
        <v>1005.5138450700896</v>
      </c>
      <c r="I49">
        <v>0.99451639070200448</v>
      </c>
      <c r="J49">
        <v>1111.8847970719626</v>
      </c>
      <c r="K49">
        <v>0.89937375044015355</v>
      </c>
      <c r="L49">
        <v>849.06147460182592</v>
      </c>
      <c r="M49">
        <v>1.1777710211960304</v>
      </c>
      <c r="N49">
        <v>845.05294388137804</v>
      </c>
      <c r="O49">
        <v>1.1833578088101095</v>
      </c>
      <c r="Q49">
        <v>0.10560320205515676</v>
      </c>
      <c r="R49">
        <v>0.10612840412779534</v>
      </c>
      <c r="S49">
        <v>0.1063813820697342</v>
      </c>
      <c r="T49">
        <v>0.1072704047835279</v>
      </c>
      <c r="U49">
        <v>0.10766661865256601</v>
      </c>
      <c r="V49">
        <v>0.1063884423106779</v>
      </c>
      <c r="W49">
        <v>0.10603525366230351</v>
      </c>
      <c r="Y49">
        <v>1.6513027464029268</v>
      </c>
      <c r="Z49">
        <v>1.6545991739654449</v>
      </c>
      <c r="AA49">
        <v>1.7073386901504952</v>
      </c>
      <c r="AB49">
        <v>1.7302261162341535</v>
      </c>
      <c r="AC49">
        <v>1.763289836693229</v>
      </c>
      <c r="AD49">
        <v>1.6821164847599237</v>
      </c>
      <c r="AE49">
        <v>1.6800144749580475</v>
      </c>
      <c r="AG49">
        <v>0.65396609629881597</v>
      </c>
      <c r="AH49">
        <v>0.6561656809910662</v>
      </c>
      <c r="AI49">
        <v>0.68170076018562731</v>
      </c>
      <c r="AJ49">
        <v>0.68567505783446592</v>
      </c>
      <c r="AK49">
        <v>0.70240414721532762</v>
      </c>
      <c r="AL49">
        <v>0.66902713948522663</v>
      </c>
      <c r="AM49">
        <v>0.6687285445318204</v>
      </c>
      <c r="AO49">
        <v>53</v>
      </c>
      <c r="AP49">
        <v>11.658277440496434</v>
      </c>
      <c r="AQ49">
        <v>4.9818564417471469</v>
      </c>
      <c r="AR49">
        <v>6.0839171617221837</v>
      </c>
      <c r="AS49">
        <v>682.09927335620387</v>
      </c>
      <c r="AT49">
        <v>27.221411696716203</v>
      </c>
      <c r="AU49">
        <v>11.933278830658793</v>
      </c>
      <c r="AV49">
        <v>12.093543245793883</v>
      </c>
      <c r="AW49">
        <v>5.0550323266365513</v>
      </c>
      <c r="AX49">
        <v>6.3843063703572422</v>
      </c>
      <c r="AY49">
        <v>714.1488444107714</v>
      </c>
      <c r="AZ49">
        <v>27.259691208654591</v>
      </c>
      <c r="BA49">
        <v>11.79747127304198</v>
      </c>
      <c r="BB49">
        <v>13.400603532843284</v>
      </c>
      <c r="BC49">
        <v>5.3367315040665417</v>
      </c>
      <c r="BD49">
        <v>6.9375094041650831</v>
      </c>
      <c r="BE49">
        <v>777.20968674912081</v>
      </c>
      <c r="BF49">
        <v>28.124608931985261</v>
      </c>
      <c r="BG49">
        <v>11.840246610555287</v>
      </c>
      <c r="BH49">
        <v>14.122837444870809</v>
      </c>
      <c r="BI49">
        <v>5.544551154987774</v>
      </c>
      <c r="BJ49">
        <v>7.4268149726152144</v>
      </c>
      <c r="BK49">
        <v>831.31124989033879</v>
      </c>
      <c r="BL49">
        <v>28.290677909517186</v>
      </c>
      <c r="BM49">
        <v>11.835035351268777</v>
      </c>
      <c r="BN49">
        <v>14.453993290163595</v>
      </c>
      <c r="BO49">
        <v>5.629977444139187</v>
      </c>
      <c r="BP49">
        <v>7.8797339170629073</v>
      </c>
      <c r="BQ49">
        <v>917.59240239699602</v>
      </c>
      <c r="BR49">
        <v>27.074597358376451</v>
      </c>
      <c r="BS49">
        <v>11.310339365195444</v>
      </c>
      <c r="BU49">
        <v>53</v>
      </c>
      <c r="BV49">
        <v>11.271187722773517</v>
      </c>
      <c r="BW49">
        <v>4.2208605453700452</v>
      </c>
      <c r="BX49">
        <v>5.9078454556894551</v>
      </c>
      <c r="BY49">
        <v>690.6190156385652</v>
      </c>
      <c r="BZ49">
        <v>26.325101117476446</v>
      </c>
      <c r="CA49">
        <v>10.684161246196931</v>
      </c>
      <c r="CB49">
        <v>11.587612064588606</v>
      </c>
      <c r="CC49">
        <v>4.2494914228908049</v>
      </c>
      <c r="CD49">
        <v>6.1790810974082344</v>
      </c>
      <c r="CE49">
        <v>723.49957798330092</v>
      </c>
      <c r="CF49">
        <v>26.208095168906254</v>
      </c>
      <c r="CG49">
        <v>10.531601959057843</v>
      </c>
      <c r="CH49">
        <v>12.883198273686634</v>
      </c>
      <c r="CI49">
        <v>4.6947360920447281</v>
      </c>
      <c r="CJ49">
        <v>6.7010392680354087</v>
      </c>
      <c r="CK49">
        <v>785.86533762321449</v>
      </c>
      <c r="CL49">
        <v>27.156450624681067</v>
      </c>
      <c r="CM49">
        <v>10.892908157891664</v>
      </c>
      <c r="CN49">
        <v>13.589071361920624</v>
      </c>
      <c r="CO49">
        <v>4.806821064705602</v>
      </c>
      <c r="CP49">
        <v>7.199839624704798</v>
      </c>
      <c r="CQ49">
        <v>840.82803094739984</v>
      </c>
      <c r="CR49">
        <v>27.335664231314624</v>
      </c>
      <c r="CS49">
        <v>10.823697123683008</v>
      </c>
      <c r="CT49">
        <v>13.779986977053877</v>
      </c>
      <c r="CU49">
        <v>4.8006435679036716</v>
      </c>
      <c r="CV49">
        <v>7.5164902262741773</v>
      </c>
      <c r="CW49">
        <v>927.40507373781929</v>
      </c>
      <c r="CX49">
        <v>26.061361108885933</v>
      </c>
      <c r="CY49">
        <v>10.296415087868073</v>
      </c>
      <c r="DA49">
        <v>53</v>
      </c>
      <c r="DB49">
        <v>10.772969658433059</v>
      </c>
      <c r="DC49">
        <v>3.779615088095353</v>
      </c>
      <c r="DD49">
        <v>5.8881390114270582</v>
      </c>
      <c r="DE49">
        <v>686.29356694455248</v>
      </c>
      <c r="DF49">
        <v>25.765063535012597</v>
      </c>
      <c r="DG49">
        <v>10.108559659656597</v>
      </c>
      <c r="DH49">
        <v>11.064152202212721</v>
      </c>
      <c r="DI49">
        <v>3.9896061806029115</v>
      </c>
      <c r="DJ49">
        <v>6.1012306130220297</v>
      </c>
      <c r="DK49">
        <v>713.57867985614178</v>
      </c>
      <c r="DL49">
        <v>25.838896890516843</v>
      </c>
      <c r="DM49">
        <v>10.313823182136398</v>
      </c>
      <c r="DN49">
        <v>12.308210151744889</v>
      </c>
      <c r="DO49">
        <v>4.1130461540508483</v>
      </c>
      <c r="DP49">
        <v>6.602326165272248</v>
      </c>
      <c r="DQ49">
        <v>778.90994202578679</v>
      </c>
      <c r="DR49">
        <v>26.660752413638981</v>
      </c>
      <c r="DS49">
        <v>10.243378057873317</v>
      </c>
      <c r="DT49">
        <v>12.681185332320213</v>
      </c>
      <c r="DU49">
        <v>4.0762820236722508</v>
      </c>
      <c r="DV49">
        <v>6.9732833779287988</v>
      </c>
      <c r="DW49">
        <v>826.06456355680132</v>
      </c>
      <c r="DX49">
        <v>26.72515887329563</v>
      </c>
      <c r="DY49">
        <v>10.132778076091038</v>
      </c>
      <c r="DZ49">
        <v>12.822701815813819</v>
      </c>
      <c r="EA49">
        <v>4.1413547875667547</v>
      </c>
      <c r="EB49">
        <v>7.2571803933022192</v>
      </c>
      <c r="EC49">
        <v>910.78282301534091</v>
      </c>
      <c r="ED49">
        <v>25.485936683352733</v>
      </c>
      <c r="EE49">
        <v>9.760459451827888</v>
      </c>
      <c r="EG49">
        <v>53</v>
      </c>
      <c r="EH49">
        <v>10.325956912721377</v>
      </c>
      <c r="EI49">
        <v>3.4878608579745407</v>
      </c>
      <c r="EJ49">
        <v>5.4184906362778378</v>
      </c>
      <c r="EK49">
        <v>683.62360272493675</v>
      </c>
      <c r="EL49">
        <v>25.211804480688734</v>
      </c>
      <c r="EM49">
        <v>9.7212635855270317</v>
      </c>
      <c r="EN49">
        <v>10.62315634366858</v>
      </c>
      <c r="EO49">
        <v>3.5909239607662413</v>
      </c>
      <c r="EP49">
        <v>5.6439708992637554</v>
      </c>
      <c r="EQ49">
        <v>710.7869838692659</v>
      </c>
      <c r="ER49">
        <v>25.319948848191082</v>
      </c>
      <c r="ES49">
        <v>9.7934293518551936</v>
      </c>
      <c r="ET49">
        <v>10.711494175938853</v>
      </c>
      <c r="EU49">
        <v>3.7225098202610059</v>
      </c>
      <c r="EV49">
        <v>6.1045667494581259</v>
      </c>
      <c r="EW49">
        <v>781.95157738262628</v>
      </c>
      <c r="EX49">
        <v>24.515084687507755</v>
      </c>
      <c r="EY49">
        <v>9.704095362037279</v>
      </c>
      <c r="EZ49">
        <v>11.324294384034928</v>
      </c>
      <c r="FA49">
        <v>3.7319754310210755</v>
      </c>
      <c r="FB49">
        <v>6.4434935046503501</v>
      </c>
      <c r="FC49">
        <v>826.74015228874941</v>
      </c>
      <c r="FD49">
        <v>25.062065384158565</v>
      </c>
      <c r="FE49">
        <v>9.7080349662147558</v>
      </c>
      <c r="FF49">
        <v>11.492794766616266</v>
      </c>
      <c r="FG49">
        <v>3.7646830748091564</v>
      </c>
      <c r="FH49">
        <v>6.7088481079599838</v>
      </c>
      <c r="FI49">
        <v>906.69013126969151</v>
      </c>
      <c r="FJ49">
        <v>24.134205894370645</v>
      </c>
      <c r="FK49">
        <v>9.3890810179920408</v>
      </c>
    </row>
    <row r="50" spans="2:167" x14ac:dyDescent="0.2">
      <c r="B50">
        <v>743.18715760196358</v>
      </c>
      <c r="C50">
        <v>1.3455560820328119</v>
      </c>
      <c r="D50">
        <v>793.65896880489026</v>
      </c>
      <c r="E50">
        <v>1.2599870212590463</v>
      </c>
      <c r="F50">
        <v>911.25997619425732</v>
      </c>
      <c r="G50">
        <v>1.0973816760573116</v>
      </c>
      <c r="H50">
        <v>1013.2771451828171</v>
      </c>
      <c r="I50">
        <v>0.98689682754028607</v>
      </c>
      <c r="J50">
        <v>1121.0988273791627</v>
      </c>
      <c r="K50">
        <v>0.89198202297449525</v>
      </c>
      <c r="L50">
        <v>854.68363345223861</v>
      </c>
      <c r="M50">
        <v>1.1700235746422327</v>
      </c>
      <c r="N50">
        <v>849.97756318163601</v>
      </c>
      <c r="O50">
        <v>1.1765016434749171</v>
      </c>
      <c r="Q50">
        <v>0.10750817592538987</v>
      </c>
      <c r="R50">
        <v>0.10804148966008967</v>
      </c>
      <c r="S50">
        <v>0.10829982101764807</v>
      </c>
      <c r="T50">
        <v>0.10920458142036343</v>
      </c>
      <c r="U50">
        <v>0.10960865350047311</v>
      </c>
      <c r="V50">
        <v>0.10830721993932509</v>
      </c>
      <c r="W50">
        <v>0.10794754498072479</v>
      </c>
      <c r="Y50">
        <v>1.6713156725799441</v>
      </c>
      <c r="Z50">
        <v>1.6750028881029793</v>
      </c>
      <c r="AA50">
        <v>1.7286020450048307</v>
      </c>
      <c r="AB50">
        <v>1.7528016411597931</v>
      </c>
      <c r="AC50">
        <v>1.7864405793688753</v>
      </c>
      <c r="AD50">
        <v>1.7027970874902438</v>
      </c>
      <c r="AE50">
        <v>1.70092981455832</v>
      </c>
      <c r="AG50">
        <v>0.66101815281825971</v>
      </c>
      <c r="AH50">
        <v>0.6633994327362206</v>
      </c>
      <c r="AI50">
        <v>0.68934524391695728</v>
      </c>
      <c r="AJ50">
        <v>0.69376668865170521</v>
      </c>
      <c r="AK50">
        <v>0.71078804362122605</v>
      </c>
      <c r="AL50">
        <v>0.67638854275363813</v>
      </c>
      <c r="AM50">
        <v>0.67621488797986684</v>
      </c>
      <c r="AO50">
        <v>54</v>
      </c>
      <c r="AP50">
        <v>11.816133653201614</v>
      </c>
      <c r="AQ50">
        <v>5.0539733577693768</v>
      </c>
      <c r="AR50">
        <v>6.1515852574577856</v>
      </c>
      <c r="AS50">
        <v>690.72143996942532</v>
      </c>
      <c r="AT50">
        <v>27.160695134444925</v>
      </c>
      <c r="AU50">
        <v>11.911826733904135</v>
      </c>
      <c r="AV50">
        <v>12.261965577711427</v>
      </c>
      <c r="AW50">
        <v>5.1292650785246936</v>
      </c>
      <c r="AX50">
        <v>6.4576977210130577</v>
      </c>
      <c r="AY50">
        <v>723.45095256687671</v>
      </c>
      <c r="AZ50">
        <v>27.200067831005132</v>
      </c>
      <c r="BA50">
        <v>11.774931907382497</v>
      </c>
      <c r="BB50">
        <v>13.592643126356514</v>
      </c>
      <c r="BC50">
        <v>5.4166488115013234</v>
      </c>
      <c r="BD50">
        <v>7.0198100379797497</v>
      </c>
      <c r="BE50">
        <v>787.47336725216178</v>
      </c>
      <c r="BF50">
        <v>28.07390987844861</v>
      </c>
      <c r="BG50">
        <v>11.82031663155697</v>
      </c>
      <c r="BH50">
        <v>14.332498843302746</v>
      </c>
      <c r="BI50">
        <v>5.6305213366963391</v>
      </c>
      <c r="BJ50">
        <v>7.5187383636321821</v>
      </c>
      <c r="BK50">
        <v>842.67359170695693</v>
      </c>
      <c r="BL50">
        <v>28.244103911788098</v>
      </c>
      <c r="BM50">
        <v>11.816819090092473</v>
      </c>
      <c r="BN50">
        <v>14.668840803816499</v>
      </c>
      <c r="BO50">
        <v>5.7171645624516945</v>
      </c>
      <c r="BP50">
        <v>7.9786461749185253</v>
      </c>
      <c r="BQ50">
        <v>931.57377046056354</v>
      </c>
      <c r="BR50">
        <v>26.991301219672795</v>
      </c>
      <c r="BS50">
        <v>11.27642000867081</v>
      </c>
      <c r="BU50">
        <v>54</v>
      </c>
      <c r="BV50">
        <v>11.425429609959313</v>
      </c>
      <c r="BW50">
        <v>4.2793625260619894</v>
      </c>
      <c r="BX50">
        <v>5.9739633424805527</v>
      </c>
      <c r="BY50">
        <v>699.34040710674958</v>
      </c>
      <c r="BZ50">
        <v>26.267280174171376</v>
      </c>
      <c r="CA50">
        <v>10.657389744481764</v>
      </c>
      <c r="CB50">
        <v>11.750227319252213</v>
      </c>
      <c r="CC50">
        <v>4.3097069598356947</v>
      </c>
      <c r="CD50">
        <v>6.2504251124627315</v>
      </c>
      <c r="CE50">
        <v>732.95934898883195</v>
      </c>
      <c r="CF50">
        <v>26.149030979966586</v>
      </c>
      <c r="CG50">
        <v>10.504030812538675</v>
      </c>
      <c r="CH50">
        <v>13.069219713237521</v>
      </c>
      <c r="CI50">
        <v>4.7637303250285452</v>
      </c>
      <c r="CJ50">
        <v>6.7807943020100572</v>
      </c>
      <c r="CK50">
        <v>796.19989271205122</v>
      </c>
      <c r="CL50">
        <v>27.108811654415291</v>
      </c>
      <c r="CM50">
        <v>10.8707199443147</v>
      </c>
      <c r="CN50">
        <v>13.792240709045689</v>
      </c>
      <c r="CO50">
        <v>4.8798353322449026</v>
      </c>
      <c r="CP50">
        <v>7.2893232550252671</v>
      </c>
      <c r="CQ50">
        <v>852.25803916807604</v>
      </c>
      <c r="CR50">
        <v>27.292558456050781</v>
      </c>
      <c r="CS50">
        <v>10.803107694631413</v>
      </c>
      <c r="CT50">
        <v>13.985851727227198</v>
      </c>
      <c r="CU50">
        <v>4.8732267190378726</v>
      </c>
      <c r="CV50">
        <v>7.6107270249521024</v>
      </c>
      <c r="CW50">
        <v>941.55831055637282</v>
      </c>
      <c r="CX50">
        <v>25.979696526499456</v>
      </c>
      <c r="CY50">
        <v>10.26052147067972</v>
      </c>
      <c r="DA50">
        <v>54</v>
      </c>
      <c r="DB50">
        <v>10.904945931514829</v>
      </c>
      <c r="DC50">
        <v>3.8327725724381976</v>
      </c>
      <c r="DD50">
        <v>5.9508176457940252</v>
      </c>
      <c r="DE50">
        <v>694.81349250691494</v>
      </c>
      <c r="DF50">
        <v>25.689320838814798</v>
      </c>
      <c r="DG50">
        <v>10.084077820218283</v>
      </c>
      <c r="DH50">
        <v>11.203667726567266</v>
      </c>
      <c r="DI50">
        <v>4.0481313252934257</v>
      </c>
      <c r="DJ50">
        <v>6.1689083507778379</v>
      </c>
      <c r="DK50">
        <v>722.66175562973865</v>
      </c>
      <c r="DL50">
        <v>25.765327950494264</v>
      </c>
      <c r="DM50">
        <v>10.291746994544631</v>
      </c>
      <c r="DN50">
        <v>12.470712027661243</v>
      </c>
      <c r="DO50">
        <v>4.1746797776996791</v>
      </c>
      <c r="DP50">
        <v>6.6781404728006315</v>
      </c>
      <c r="DQ50">
        <v>788.97808318659918</v>
      </c>
      <c r="DR50">
        <v>26.598362733299339</v>
      </c>
      <c r="DS50">
        <v>10.223624303299607</v>
      </c>
      <c r="DT50">
        <v>12.857432682746579</v>
      </c>
      <c r="DU50">
        <v>4.1410411128430828</v>
      </c>
      <c r="DV50">
        <v>7.0587679299931025</v>
      </c>
      <c r="DW50">
        <v>837.26371577336863</v>
      </c>
      <c r="DX50">
        <v>26.664829619080148</v>
      </c>
      <c r="DY50">
        <v>10.114186249578854</v>
      </c>
      <c r="DZ50">
        <v>13.001258965144736</v>
      </c>
      <c r="EA50">
        <v>4.207474921263727</v>
      </c>
      <c r="EB50">
        <v>7.3473447193281984</v>
      </c>
      <c r="EC50">
        <v>924.67325045855841</v>
      </c>
      <c r="ED50">
        <v>25.389299838113793</v>
      </c>
      <c r="EE50">
        <v>9.7278984323658442</v>
      </c>
      <c r="EG50">
        <v>54</v>
      </c>
      <c r="EH50">
        <v>10.447883145949081</v>
      </c>
      <c r="EI50">
        <v>3.5372238367743423</v>
      </c>
      <c r="EJ50">
        <v>5.4749147705889749</v>
      </c>
      <c r="EK50">
        <v>691.98738756460227</v>
      </c>
      <c r="EL50">
        <v>25.133729688040209</v>
      </c>
      <c r="EM50">
        <v>9.6981602756264174</v>
      </c>
      <c r="EN50">
        <v>10.754039310707341</v>
      </c>
      <c r="EO50">
        <v>3.643502087942696</v>
      </c>
      <c r="EP50">
        <v>5.7053931048617983</v>
      </c>
      <c r="EQ50">
        <v>719.76928385034739</v>
      </c>
      <c r="ER50">
        <v>25.244184661536757</v>
      </c>
      <c r="ES50">
        <v>9.7709403166004325</v>
      </c>
      <c r="ET50">
        <v>10.852300384747933</v>
      </c>
      <c r="EU50">
        <v>3.7782906780240038</v>
      </c>
      <c r="EV50">
        <v>6.1735532152728299</v>
      </c>
      <c r="EW50">
        <v>792.54823558119256</v>
      </c>
      <c r="EX50">
        <v>24.436510905995206</v>
      </c>
      <c r="EY50">
        <v>9.6774253755509694</v>
      </c>
      <c r="EZ50">
        <v>11.479152583605044</v>
      </c>
      <c r="FA50">
        <v>3.7914450463672882</v>
      </c>
      <c r="FB50">
        <v>6.5212796994887325</v>
      </c>
      <c r="FC50">
        <v>838.32531298790991</v>
      </c>
      <c r="FD50">
        <v>24.986975704615737</v>
      </c>
      <c r="FE50">
        <v>9.6843611532312082</v>
      </c>
      <c r="FF50">
        <v>11.650340935341422</v>
      </c>
      <c r="FG50">
        <v>3.8248577953287879</v>
      </c>
      <c r="FH50">
        <v>6.7910133741127492</v>
      </c>
      <c r="FI50">
        <v>921.56933087392088</v>
      </c>
      <c r="FJ50">
        <v>24.008924382705331</v>
      </c>
      <c r="FK50">
        <v>9.3454828075542498</v>
      </c>
    </row>
    <row r="51" spans="2:167" x14ac:dyDescent="0.2">
      <c r="B51">
        <v>746.7144080397585</v>
      </c>
      <c r="C51">
        <v>1.3392000867174314</v>
      </c>
      <c r="D51">
        <v>797.92066165403537</v>
      </c>
      <c r="E51">
        <v>1.2532574327967243</v>
      </c>
      <c r="F51">
        <v>917.00441981897973</v>
      </c>
      <c r="G51">
        <v>1.0905072847930264</v>
      </c>
      <c r="H51">
        <v>1020.6609185868207</v>
      </c>
      <c r="I51">
        <v>0.97975731390261589</v>
      </c>
      <c r="J51">
        <v>1129.8719107653487</v>
      </c>
      <c r="K51">
        <v>0.88505607624374294</v>
      </c>
      <c r="L51">
        <v>860.01080818591731</v>
      </c>
      <c r="M51">
        <v>1.1627760843022101</v>
      </c>
      <c r="N51">
        <v>854.64019130021222</v>
      </c>
      <c r="O51">
        <v>1.1700830480235709</v>
      </c>
      <c r="Q51">
        <v>0.10941135736688246</v>
      </c>
      <c r="R51">
        <v>0.10995255652679306</v>
      </c>
      <c r="S51">
        <v>0.11021565289258224</v>
      </c>
      <c r="T51">
        <v>0.11113571764518015</v>
      </c>
      <c r="U51">
        <v>0.11154733725172883</v>
      </c>
      <c r="V51">
        <v>0.11022348539190123</v>
      </c>
      <c r="W51">
        <v>0.10985773524297532</v>
      </c>
      <c r="Y51">
        <v>1.6909176880969041</v>
      </c>
      <c r="Z51">
        <v>1.6950228769902542</v>
      </c>
      <c r="AA51">
        <v>1.7494283967063378</v>
      </c>
      <c r="AB51">
        <v>1.7749798451156844</v>
      </c>
      <c r="AC51">
        <v>1.8091932772521047</v>
      </c>
      <c r="AD51">
        <v>1.7230743699835691</v>
      </c>
      <c r="AE51">
        <v>1.7214307180524178</v>
      </c>
      <c r="AG51">
        <v>0.66795080801941908</v>
      </c>
      <c r="AH51">
        <v>0.67052404009060174</v>
      </c>
      <c r="AI51">
        <v>0.69685730449432726</v>
      </c>
      <c r="AJ51">
        <v>0.70174421878850712</v>
      </c>
      <c r="AK51">
        <v>0.71905597730408188</v>
      </c>
      <c r="AL51">
        <v>0.68363279397106735</v>
      </c>
      <c r="AM51">
        <v>0.68357813808241219</v>
      </c>
      <c r="AO51">
        <v>55</v>
      </c>
      <c r="AP51">
        <v>11.971586001358096</v>
      </c>
      <c r="AQ51">
        <v>5.1250385147267519</v>
      </c>
      <c r="AR51">
        <v>6.2178480899854298</v>
      </c>
      <c r="AS51">
        <v>699.19155466013046</v>
      </c>
      <c r="AT51">
        <v>27.101136024579773</v>
      </c>
      <c r="AU51">
        <v>11.890707687826449</v>
      </c>
      <c r="AV51">
        <v>12.427872559614165</v>
      </c>
      <c r="AW51">
        <v>5.2024659117851675</v>
      </c>
      <c r="AX51">
        <v>6.5295305691385135</v>
      </c>
      <c r="AY51">
        <v>732.5897574293673</v>
      </c>
      <c r="AZ51">
        <v>27.141579609139644</v>
      </c>
      <c r="BA51">
        <v>11.75280709300506</v>
      </c>
      <c r="BB51">
        <v>13.781432836451772</v>
      </c>
      <c r="BC51">
        <v>5.4954056369186892</v>
      </c>
      <c r="BD51">
        <v>7.1001633777128808</v>
      </c>
      <c r="BE51">
        <v>797.53749592797396</v>
      </c>
      <c r="BF51">
        <v>28.023663149824813</v>
      </c>
      <c r="BG51">
        <v>11.800665247475205</v>
      </c>
      <c r="BH51">
        <v>14.538611034473412</v>
      </c>
      <c r="BI51">
        <v>5.7152848097946221</v>
      </c>
      <c r="BJ51">
        <v>7.6084157308060609</v>
      </c>
      <c r="BK51">
        <v>853.81021991242699</v>
      </c>
      <c r="BL51">
        <v>28.197913419469305</v>
      </c>
      <c r="BM51">
        <v>11.798895149852978</v>
      </c>
      <c r="BN51">
        <v>14.880053031200852</v>
      </c>
      <c r="BO51">
        <v>5.8031364222076895</v>
      </c>
      <c r="BP51">
        <v>8.0750815357171284</v>
      </c>
      <c r="BQ51">
        <v>945.3164276941917</v>
      </c>
      <c r="BR51">
        <v>26.909059675858387</v>
      </c>
      <c r="BS51">
        <v>11.243065396689936</v>
      </c>
      <c r="BU51">
        <v>55</v>
      </c>
      <c r="BV51">
        <v>11.577214431718936</v>
      </c>
      <c r="BW51">
        <v>4.337121868613</v>
      </c>
      <c r="BX51">
        <v>6.0386862845038252</v>
      </c>
      <c r="BY51">
        <v>707.90126663345677</v>
      </c>
      <c r="BZ51">
        <v>26.210595650833547</v>
      </c>
      <c r="CA51">
        <v>10.631377711665612</v>
      </c>
      <c r="CB51">
        <v>11.91033068737708</v>
      </c>
      <c r="CC51">
        <v>4.3692165591274916</v>
      </c>
      <c r="CD51">
        <v>6.3202375366855756</v>
      </c>
      <c r="CE51">
        <v>742.24864663126857</v>
      </c>
      <c r="CF51">
        <v>26.091123827259739</v>
      </c>
      <c r="CG51">
        <v>10.477266317717312</v>
      </c>
      <c r="CH51">
        <v>13.252002580796193</v>
      </c>
      <c r="CI51">
        <v>4.8318137920991235</v>
      </c>
      <c r="CJ51">
        <v>6.8586494601471815</v>
      </c>
      <c r="CK51">
        <v>806.32676291320627</v>
      </c>
      <c r="CL51">
        <v>27.061599444806617</v>
      </c>
      <c r="CM51">
        <v>10.849052232038719</v>
      </c>
      <c r="CN51">
        <v>13.991877445222865</v>
      </c>
      <c r="CO51">
        <v>4.9519318442470022</v>
      </c>
      <c r="CP51">
        <v>7.3766024902395904</v>
      </c>
      <c r="CQ51">
        <v>863.45321816345404</v>
      </c>
      <c r="CR51">
        <v>27.249806444110128</v>
      </c>
      <c r="CS51">
        <v>10.783055875193327</v>
      </c>
      <c r="CT51">
        <v>14.188165686083444</v>
      </c>
      <c r="CU51">
        <v>4.9449223773257405</v>
      </c>
      <c r="CV51">
        <v>7.7026095534381325</v>
      </c>
      <c r="CW51">
        <v>955.46592760468047</v>
      </c>
      <c r="CX51">
        <v>25.899080339067073</v>
      </c>
      <c r="CY51">
        <v>10.225419965254343</v>
      </c>
      <c r="DA51">
        <v>55</v>
      </c>
      <c r="DB51">
        <v>11.033550082819447</v>
      </c>
      <c r="DC51">
        <v>3.8852936892034182</v>
      </c>
      <c r="DD51">
        <v>6.0118335706264876</v>
      </c>
      <c r="DE51">
        <v>703.1809455251996</v>
      </c>
      <c r="DF51">
        <v>25.613392436410244</v>
      </c>
      <c r="DG51">
        <v>10.060195194074259</v>
      </c>
      <c r="DH51">
        <v>11.339853415040196</v>
      </c>
      <c r="DI51">
        <v>4.1060294192890536</v>
      </c>
      <c r="DJ51">
        <v>6.2349086834539209</v>
      </c>
      <c r="DK51">
        <v>731.58848792802939</v>
      </c>
      <c r="DL51">
        <v>25.691525205334475</v>
      </c>
      <c r="DM51">
        <v>10.270185669763796</v>
      </c>
      <c r="DN51">
        <v>12.629130194055504</v>
      </c>
      <c r="DO51">
        <v>4.2356142618120982</v>
      </c>
      <c r="DP51">
        <v>6.7519055261490211</v>
      </c>
      <c r="DQ51">
        <v>798.84822805031229</v>
      </c>
      <c r="DR51">
        <v>26.535227529488871</v>
      </c>
      <c r="DS51">
        <v>10.204293319325794</v>
      </c>
      <c r="DT51">
        <v>13.029827925079458</v>
      </c>
      <c r="DU51">
        <v>4.2053183534991909</v>
      </c>
      <c r="DV51">
        <v>7.1421976226822643</v>
      </c>
      <c r="DW51">
        <v>848.26064896192031</v>
      </c>
      <c r="DX51">
        <v>26.603713818354635</v>
      </c>
      <c r="DY51">
        <v>10.096013314780867</v>
      </c>
      <c r="DZ51">
        <v>13.176000762265359</v>
      </c>
      <c r="EA51">
        <v>4.2731314948438017</v>
      </c>
      <c r="EB51">
        <v>7.4353637338826761</v>
      </c>
      <c r="EC51">
        <v>938.35470517656302</v>
      </c>
      <c r="ED51">
        <v>25.292699834644107</v>
      </c>
      <c r="EE51">
        <v>9.695959789592866</v>
      </c>
      <c r="EG51">
        <v>55</v>
      </c>
      <c r="EH51">
        <v>10.566389098103031</v>
      </c>
      <c r="EI51">
        <v>3.5859836722842937</v>
      </c>
      <c r="EJ51">
        <v>5.5298747846098193</v>
      </c>
      <c r="EK51">
        <v>700.20110514229543</v>
      </c>
      <c r="EL51">
        <v>25.055213992073455</v>
      </c>
      <c r="EM51">
        <v>9.6755453569889678</v>
      </c>
      <c r="EN51">
        <v>10.88150948105786</v>
      </c>
      <c r="EO51">
        <v>3.6955202408217023</v>
      </c>
      <c r="EP51">
        <v>5.765320617417248</v>
      </c>
      <c r="EQ51">
        <v>728.59828186479899</v>
      </c>
      <c r="ER51">
        <v>25.167888258836012</v>
      </c>
      <c r="ES51">
        <v>9.7489118533679484</v>
      </c>
      <c r="ET51">
        <v>10.990375165610242</v>
      </c>
      <c r="EU51">
        <v>3.8334388119541116</v>
      </c>
      <c r="EV51">
        <v>6.2407036217045935</v>
      </c>
      <c r="EW51">
        <v>802.95317547026241</v>
      </c>
      <c r="EX51">
        <v>24.358661329091603</v>
      </c>
      <c r="EY51">
        <v>9.6512554200342269</v>
      </c>
      <c r="EZ51">
        <v>11.630825417777322</v>
      </c>
      <c r="FA51">
        <v>3.8504639883465588</v>
      </c>
      <c r="FB51">
        <v>6.5972255640882258</v>
      </c>
      <c r="FC51">
        <v>849.71271610561951</v>
      </c>
      <c r="FD51">
        <v>24.911809179540864</v>
      </c>
      <c r="FE51">
        <v>9.6611434495128474</v>
      </c>
      <c r="FF51">
        <v>11.804590631044716</v>
      </c>
      <c r="FG51">
        <v>3.8846074962135204</v>
      </c>
      <c r="FH51">
        <v>6.8712531186495625</v>
      </c>
      <c r="FI51">
        <v>936.26877958397029</v>
      </c>
      <c r="FJ51">
        <v>23.884288628285468</v>
      </c>
      <c r="FK51">
        <v>9.3025909664606097</v>
      </c>
    </row>
    <row r="52" spans="2:167" x14ac:dyDescent="0.2">
      <c r="B52">
        <v>750.03241358133675</v>
      </c>
      <c r="C52">
        <v>1.3332757116790335</v>
      </c>
      <c r="D52">
        <v>801.947388947332</v>
      </c>
      <c r="E52">
        <v>1.2469645936657263</v>
      </c>
      <c r="F52">
        <v>922.42521319524451</v>
      </c>
      <c r="G52">
        <v>1.0840987276746692</v>
      </c>
      <c r="H52">
        <v>1027.6648091133502</v>
      </c>
      <c r="I52">
        <v>0.97307992949839472</v>
      </c>
      <c r="J52">
        <v>1138.2035090353181</v>
      </c>
      <c r="K52">
        <v>0.87857750574635618</v>
      </c>
      <c r="L52">
        <v>865.04278687404849</v>
      </c>
      <c r="M52">
        <v>1.1560121824882652</v>
      </c>
      <c r="N52">
        <v>859.04069357900573</v>
      </c>
      <c r="O52">
        <v>1.164089207268771</v>
      </c>
      <c r="Q52">
        <v>0.11131274572911347</v>
      </c>
      <c r="R52">
        <v>0.11186160371463896</v>
      </c>
      <c r="S52">
        <v>0.11212887595481665</v>
      </c>
      <c r="T52">
        <v>0.11306381060468806</v>
      </c>
      <c r="U52">
        <v>0.11348266581617164</v>
      </c>
      <c r="V52">
        <v>0.11213723686355495</v>
      </c>
      <c r="W52">
        <v>0.11176582336915528</v>
      </c>
      <c r="Y52">
        <v>1.7101087920960201</v>
      </c>
      <c r="Z52">
        <v>1.7146591389107415</v>
      </c>
      <c r="AA52">
        <v>1.7698177423684922</v>
      </c>
      <c r="AB52">
        <v>1.7967607226145323</v>
      </c>
      <c r="AC52">
        <v>1.8315479212216514</v>
      </c>
      <c r="AD52">
        <v>1.7429483283316385</v>
      </c>
      <c r="AE52">
        <v>1.7415171834253727</v>
      </c>
      <c r="AG52">
        <v>0.67476406172166215</v>
      </c>
      <c r="AH52">
        <v>0.67753950274575847</v>
      </c>
      <c r="AI52">
        <v>0.70423694117958691</v>
      </c>
      <c r="AJ52">
        <v>0.70960764720930258</v>
      </c>
      <c r="AK52">
        <v>0.72720794623158913</v>
      </c>
      <c r="AL52">
        <v>0.69075989218522282</v>
      </c>
      <c r="AM52">
        <v>0.69081829435165754</v>
      </c>
      <c r="AO52">
        <v>56</v>
      </c>
      <c r="AP52">
        <v>12.124634473289845</v>
      </c>
      <c r="AQ52">
        <v>5.1950512364412358</v>
      </c>
      <c r="AR52">
        <v>6.2827056517146822</v>
      </c>
      <c r="AS52">
        <v>707.50752306552863</v>
      </c>
      <c r="AT52">
        <v>27.042733429735957</v>
      </c>
      <c r="AU52">
        <v>11.869929837993416</v>
      </c>
      <c r="AV52">
        <v>12.591264169880942</v>
      </c>
      <c r="AW52">
        <v>5.2746345978316587</v>
      </c>
      <c r="AX52">
        <v>6.599804901129918</v>
      </c>
      <c r="AY52">
        <v>741.56302128517655</v>
      </c>
      <c r="AZ52">
        <v>27.084226148974903</v>
      </c>
      <c r="BA52">
        <v>11.731101299057096</v>
      </c>
      <c r="BB52">
        <v>13.966972610055198</v>
      </c>
      <c r="BC52">
        <v>5.5730019625837421</v>
      </c>
      <c r="BD52">
        <v>7.1785693978325185</v>
      </c>
      <c r="BE52">
        <v>807.40044830407476</v>
      </c>
      <c r="BF52">
        <v>27.973868294962124</v>
      </c>
      <c r="BG52">
        <v>11.78129000982625</v>
      </c>
      <c r="BH52">
        <v>14.741173922267096</v>
      </c>
      <c r="BI52">
        <v>5.7988415423065058</v>
      </c>
      <c r="BJ52">
        <v>7.6958470299568242</v>
      </c>
      <c r="BK52">
        <v>864.71944513797098</v>
      </c>
      <c r="BL52">
        <v>28.152106484361607</v>
      </c>
      <c r="BM52">
        <v>11.781259421082632</v>
      </c>
      <c r="BN52">
        <v>15.087629813709079</v>
      </c>
      <c r="BO52">
        <v>5.8878929701368117</v>
      </c>
      <c r="BP52">
        <v>8.169039925335289</v>
      </c>
      <c r="BQ52">
        <v>958.8166350433379</v>
      </c>
      <c r="BR52">
        <v>26.827865164200482</v>
      </c>
      <c r="BS52">
        <v>11.210267597189015</v>
      </c>
      <c r="BU52">
        <v>56</v>
      </c>
      <c r="BV52">
        <v>11.726542175549707</v>
      </c>
      <c r="BW52">
        <v>4.3941385702873417</v>
      </c>
      <c r="BX52">
        <v>6.1020142743296866</v>
      </c>
      <c r="BY52">
        <v>716.2994204274811</v>
      </c>
      <c r="BZ52">
        <v>26.155047056820077</v>
      </c>
      <c r="CA52">
        <v>10.606112159008209</v>
      </c>
      <c r="CB52">
        <v>12.067922146900854</v>
      </c>
      <c r="CC52">
        <v>4.4280202158436017</v>
      </c>
      <c r="CD52">
        <v>6.3885183568629609</v>
      </c>
      <c r="CE52">
        <v>751.3650764292023</v>
      </c>
      <c r="CF52">
        <v>26.034372853990238</v>
      </c>
      <c r="CG52">
        <v>10.451292968875578</v>
      </c>
      <c r="CH52">
        <v>13.431546823039255</v>
      </c>
      <c r="CI52">
        <v>4.8989864801104126</v>
      </c>
      <c r="CJ52">
        <v>6.9346047178826433</v>
      </c>
      <c r="CK52">
        <v>816.24430870108881</v>
      </c>
      <c r="CL52">
        <v>27.014813800325868</v>
      </c>
      <c r="CM52">
        <v>10.827889712487147</v>
      </c>
      <c r="CN52">
        <v>14.18798147443313</v>
      </c>
      <c r="CO52">
        <v>5.0231105772279712</v>
      </c>
      <c r="CP52">
        <v>7.4616772877800912</v>
      </c>
      <c r="CQ52">
        <v>874.41188813411975</v>
      </c>
      <c r="CR52">
        <v>27.207408514943729</v>
      </c>
      <c r="CS52">
        <v>10.76352377210925</v>
      </c>
      <c r="CT52">
        <v>14.386928698839251</v>
      </c>
      <c r="CU52">
        <v>5.0157305040634501</v>
      </c>
      <c r="CV52">
        <v>7.7921377408861394</v>
      </c>
      <c r="CW52">
        <v>969.1240312144065</v>
      </c>
      <c r="CX52">
        <v>25.819504502338972</v>
      </c>
      <c r="CY52">
        <v>10.191088314075396</v>
      </c>
      <c r="DA52">
        <v>56</v>
      </c>
      <c r="DB52">
        <v>11.158782494165889</v>
      </c>
      <c r="DC52">
        <v>3.9371784352944306</v>
      </c>
      <c r="DD52">
        <v>6.0711872038529462</v>
      </c>
      <c r="DE52">
        <v>711.39474060392808</v>
      </c>
      <c r="DF52">
        <v>25.537278151996489</v>
      </c>
      <c r="DG52">
        <v>10.036891545517989</v>
      </c>
      <c r="DH52">
        <v>11.472709262644043</v>
      </c>
      <c r="DI52">
        <v>4.163300447451272</v>
      </c>
      <c r="DJ52">
        <v>6.2992316097328684</v>
      </c>
      <c r="DK52">
        <v>740.35771582418647</v>
      </c>
      <c r="DL52">
        <v>25.617489032115138</v>
      </c>
      <c r="DM52">
        <v>10.249122295569872</v>
      </c>
      <c r="DN52">
        <v>12.7834646454357</v>
      </c>
      <c r="DO52">
        <v>4.2958495963921779</v>
      </c>
      <c r="DP52">
        <v>6.8236216996279468</v>
      </c>
      <c r="DQ52">
        <v>808.51971669980844</v>
      </c>
      <c r="DR52">
        <v>26.471346827375562</v>
      </c>
      <c r="DS52">
        <v>10.185362582072971</v>
      </c>
      <c r="DT52">
        <v>13.198371020166139</v>
      </c>
      <c r="DU52">
        <v>4.2691137337749501</v>
      </c>
      <c r="DV52">
        <v>7.2235724425308474</v>
      </c>
      <c r="DW52">
        <v>859.05482667011279</v>
      </c>
      <c r="DX52">
        <v>26.541811172754272</v>
      </c>
      <c r="DY52">
        <v>10.078234860344008</v>
      </c>
      <c r="DZ52">
        <v>13.346927138055264</v>
      </c>
      <c r="EA52">
        <v>4.3383244877569593</v>
      </c>
      <c r="EB52">
        <v>7.5212374090466492</v>
      </c>
      <c r="EC52">
        <v>951.82457204669208</v>
      </c>
      <c r="ED52">
        <v>25.19613532871141</v>
      </c>
      <c r="EE52">
        <v>9.6646197663418008</v>
      </c>
      <c r="EG52">
        <v>56</v>
      </c>
      <c r="EH52">
        <v>10.681476091452311</v>
      </c>
      <c r="EI52">
        <v>3.634140361539357</v>
      </c>
      <c r="EJ52">
        <v>5.583370979662833</v>
      </c>
      <c r="EK52">
        <v>708.26378841620965</v>
      </c>
      <c r="EL52">
        <v>24.976257791625176</v>
      </c>
      <c r="EM52">
        <v>9.6534001816292445</v>
      </c>
      <c r="EN52">
        <v>11.005567009505667</v>
      </c>
      <c r="EO52">
        <v>3.7469784148534169</v>
      </c>
      <c r="EP52">
        <v>5.8237534354160942</v>
      </c>
      <c r="EQ52">
        <v>737.27309620394738</v>
      </c>
      <c r="ER52">
        <v>25.09105988958029</v>
      </c>
      <c r="ES52">
        <v>9.7273246186229141</v>
      </c>
      <c r="ET52">
        <v>11.125718482983956</v>
      </c>
      <c r="EU52">
        <v>3.8879542130050808</v>
      </c>
      <c r="EV52">
        <v>6.3060182227153607</v>
      </c>
      <c r="EW52">
        <v>813.16353384187391</v>
      </c>
      <c r="EX52">
        <v>24.281536066667574</v>
      </c>
      <c r="EY52">
        <v>9.6255805384866484</v>
      </c>
      <c r="EZ52">
        <v>11.779312845585812</v>
      </c>
      <c r="FA52">
        <v>3.9090322458392879</v>
      </c>
      <c r="FB52">
        <v>6.6713310856535664</v>
      </c>
      <c r="FC52">
        <v>860.90053341486851</v>
      </c>
      <c r="FD52">
        <v>24.836565888892352</v>
      </c>
      <c r="FE52">
        <v>9.6383664443139505</v>
      </c>
      <c r="FF52">
        <v>11.955543792903756</v>
      </c>
      <c r="FG52">
        <v>3.9439321586460054</v>
      </c>
      <c r="FH52">
        <v>6.9495673154215938</v>
      </c>
      <c r="FI52">
        <v>950.78448206498649</v>
      </c>
      <c r="FJ52">
        <v>23.760292482124953</v>
      </c>
      <c r="FK52">
        <v>9.2603848822382542</v>
      </c>
    </row>
    <row r="53" spans="2:167" x14ac:dyDescent="0.2">
      <c r="B53">
        <v>753.1411028043799</v>
      </c>
      <c r="C53">
        <v>1.3277724403520426</v>
      </c>
      <c r="D53">
        <v>805.73903927545871</v>
      </c>
      <c r="E53">
        <v>1.241096622175867</v>
      </c>
      <c r="F53">
        <v>927.52215258700312</v>
      </c>
      <c r="G53">
        <v>1.0781413653688432</v>
      </c>
      <c r="H53">
        <v>1034.2884787638682</v>
      </c>
      <c r="I53">
        <v>0.9668482445005594</v>
      </c>
      <c r="J53">
        <v>1146.0931107741906</v>
      </c>
      <c r="K53">
        <v>0.87252945733570986</v>
      </c>
      <c r="L53">
        <v>869.77936926168491</v>
      </c>
      <c r="M53">
        <v>1.1497168538831328</v>
      </c>
      <c r="N53">
        <v>863.17894289848391</v>
      </c>
      <c r="O53">
        <v>1.1585083350644332</v>
      </c>
      <c r="Q53">
        <v>0.1132123404000447</v>
      </c>
      <c r="R53">
        <v>0.11376863026599315</v>
      </c>
      <c r="S53">
        <v>0.11403948856211804</v>
      </c>
      <c r="T53">
        <v>0.11498885759115991</v>
      </c>
      <c r="U53">
        <v>0.11541463530716435</v>
      </c>
      <c r="V53">
        <v>0.11404847264885309</v>
      </c>
      <c r="W53">
        <v>0.11367180833982089</v>
      </c>
      <c r="Y53">
        <v>1.7288889837702477</v>
      </c>
      <c r="Z53">
        <v>1.7339116722421581</v>
      </c>
      <c r="AA53">
        <v>1.7897700792665183</v>
      </c>
      <c r="AB53">
        <v>1.8181442684489806</v>
      </c>
      <c r="AC53">
        <v>1.8535045026101185</v>
      </c>
      <c r="AD53">
        <v>1.762418958841472</v>
      </c>
      <c r="AE53">
        <v>1.7611892087750196</v>
      </c>
      <c r="AG53">
        <v>0.68145791375504228</v>
      </c>
      <c r="AH53">
        <v>0.68444582041017465</v>
      </c>
      <c r="AI53">
        <v>0.71148415327594972</v>
      </c>
      <c r="AJ53">
        <v>0.71735697293135359</v>
      </c>
      <c r="AK53">
        <v>0.73524394847256813</v>
      </c>
      <c r="AL53">
        <v>0.69776983649626845</v>
      </c>
      <c r="AM53">
        <v>0.69793535632711279</v>
      </c>
      <c r="AO53">
        <v>57</v>
      </c>
      <c r="AP53">
        <v>12.275279058011547</v>
      </c>
      <c r="AQ53">
        <v>5.2640108466776026</v>
      </c>
      <c r="AR53">
        <v>6.3461579355041433</v>
      </c>
      <c r="AS53">
        <v>715.66727352307373</v>
      </c>
      <c r="AT53">
        <v>26.985486464322751</v>
      </c>
      <c r="AU53">
        <v>11.849500794492169</v>
      </c>
      <c r="AV53">
        <v>12.752140388077683</v>
      </c>
      <c r="AW53">
        <v>5.3457709083842779</v>
      </c>
      <c r="AX53">
        <v>6.6685207041304801</v>
      </c>
      <c r="AY53">
        <v>750.36853114045766</v>
      </c>
      <c r="AZ53">
        <v>27.028007078392896</v>
      </c>
      <c r="BA53">
        <v>11.709818723681778</v>
      </c>
      <c r="BB53">
        <v>14.149262397066973</v>
      </c>
      <c r="BC53">
        <v>5.649437771755383</v>
      </c>
      <c r="BD53">
        <v>7.2550280742374049</v>
      </c>
      <c r="BE53">
        <v>817.06061121562709</v>
      </c>
      <c r="BF53">
        <v>27.924524909962457</v>
      </c>
      <c r="BG53">
        <v>11.762188743965694</v>
      </c>
      <c r="BH53">
        <v>14.94018741547151</v>
      </c>
      <c r="BI53">
        <v>5.8811915038871518</v>
      </c>
      <c r="BJ53">
        <v>7.7810322191583143</v>
      </c>
      <c r="BK53">
        <v>875.39959225085045</v>
      </c>
      <c r="BL53">
        <v>28.106683140869592</v>
      </c>
      <c r="BM53">
        <v>11.763908212442105</v>
      </c>
      <c r="BN53">
        <v>15.291571000625808</v>
      </c>
      <c r="BO53">
        <v>5.9714341556194155</v>
      </c>
      <c r="BP53">
        <v>8.2605212733379343</v>
      </c>
      <c r="BQ53">
        <v>972.07066932765213</v>
      </c>
      <c r="BR53">
        <v>26.747710684125067</v>
      </c>
      <c r="BS53">
        <v>11.178019384841756</v>
      </c>
      <c r="BU53">
        <v>57</v>
      </c>
      <c r="BV53">
        <v>11.873412829688574</v>
      </c>
      <c r="BW53">
        <v>4.4504126285111258</v>
      </c>
      <c r="BX53">
        <v>6.1639473049680653</v>
      </c>
      <c r="BY53">
        <v>724.53272003405812</v>
      </c>
      <c r="BZ53">
        <v>26.100633927759343</v>
      </c>
      <c r="CA53">
        <v>10.581581060516964</v>
      </c>
      <c r="CB53">
        <v>12.223001676972478</v>
      </c>
      <c r="CC53">
        <v>4.4861179253317029</v>
      </c>
      <c r="CD53">
        <v>6.4552675605065666</v>
      </c>
      <c r="CE53">
        <v>760.30627113597654</v>
      </c>
      <c r="CF53">
        <v>25.978777250450772</v>
      </c>
      <c r="CG53">
        <v>10.42609642126685</v>
      </c>
      <c r="CH53">
        <v>13.607852389631356</v>
      </c>
      <c r="CI53">
        <v>4.9652483766530144</v>
      </c>
      <c r="CJ53">
        <v>7.0086600520287794</v>
      </c>
      <c r="CK53">
        <v>825.95090296465185</v>
      </c>
      <c r="CL53">
        <v>26.968454545484768</v>
      </c>
      <c r="CM53">
        <v>10.807218319195695</v>
      </c>
      <c r="CN53">
        <v>14.380552705555944</v>
      </c>
      <c r="CO53">
        <v>5.0933715089019316</v>
      </c>
      <c r="CP53">
        <v>7.5445476072507143</v>
      </c>
      <c r="CQ53">
        <v>885.13238477130471</v>
      </c>
      <c r="CR53">
        <v>27.165364938418925</v>
      </c>
      <c r="CS53">
        <v>10.744494971698776</v>
      </c>
      <c r="CT53">
        <v>14.582140618413215</v>
      </c>
      <c r="CU53">
        <v>5.08565106247306</v>
      </c>
      <c r="CV53">
        <v>7.8793115199752677</v>
      </c>
      <c r="CW53">
        <v>982.52874477913088</v>
      </c>
      <c r="CX53">
        <v>25.740961554435373</v>
      </c>
      <c r="CY53">
        <v>10.157506073043919</v>
      </c>
      <c r="DA53">
        <v>57</v>
      </c>
      <c r="DB53">
        <v>11.280643547478288</v>
      </c>
      <c r="DC53">
        <v>3.9884268077978349</v>
      </c>
      <c r="DD53">
        <v>6.1288789635170211</v>
      </c>
      <c r="DE53">
        <v>719.4536730111198</v>
      </c>
      <c r="DF53">
        <v>25.460977821429918</v>
      </c>
      <c r="DG53">
        <v>10.014148454020866</v>
      </c>
      <c r="DH53">
        <v>11.60223526466517</v>
      </c>
      <c r="DI53">
        <v>4.2199443949147426</v>
      </c>
      <c r="DJ53">
        <v>6.3618771283696001</v>
      </c>
      <c r="DK53">
        <v>748.96825907828395</v>
      </c>
      <c r="DL53">
        <v>25.543219777028536</v>
      </c>
      <c r="DM53">
        <v>10.228541556044577</v>
      </c>
      <c r="DN53">
        <v>12.933715376617613</v>
      </c>
      <c r="DO53">
        <v>4.3553857720041238</v>
      </c>
      <c r="DP53">
        <v>6.8932893677444573</v>
      </c>
      <c r="DQ53">
        <v>817.99185451277208</v>
      </c>
      <c r="DR53">
        <v>26.40672061857714</v>
      </c>
      <c r="DS53">
        <v>10.166811660466321</v>
      </c>
      <c r="DT53">
        <v>13.363061930851332</v>
      </c>
      <c r="DU53">
        <v>4.332427242410068</v>
      </c>
      <c r="DV53">
        <v>7.302892376760366</v>
      </c>
      <c r="DW53">
        <v>869.64567969191762</v>
      </c>
      <c r="DX53">
        <v>26.479121341209524</v>
      </c>
      <c r="DY53">
        <v>10.060828674582424</v>
      </c>
      <c r="DZ53">
        <v>13.514038026833424</v>
      </c>
      <c r="EA53">
        <v>4.4030538804757366</v>
      </c>
      <c r="EB53">
        <v>7.604965718290349</v>
      </c>
      <c r="EC53">
        <v>965.08020058654563</v>
      </c>
      <c r="ED53">
        <v>25.099605234036918</v>
      </c>
      <c r="EE53">
        <v>9.6338568591358733</v>
      </c>
      <c r="EG53">
        <v>57</v>
      </c>
      <c r="EH53">
        <v>10.793145448630197</v>
      </c>
      <c r="EI53">
        <v>3.6816939017498997</v>
      </c>
      <c r="EJ53">
        <v>5.6354036571534731</v>
      </c>
      <c r="EK53">
        <v>716.17444415617319</v>
      </c>
      <c r="EL53">
        <v>24.896861454254992</v>
      </c>
      <c r="EM53">
        <v>9.6317078018659217</v>
      </c>
      <c r="EN53">
        <v>11.126212050898374</v>
      </c>
      <c r="EO53">
        <v>3.7978766057378022</v>
      </c>
      <c r="EP53">
        <v>5.880691557427455</v>
      </c>
      <c r="EQ53">
        <v>745.79281745396543</v>
      </c>
      <c r="ER53">
        <v>25.013699780019341</v>
      </c>
      <c r="ES53">
        <v>9.7061610189219447</v>
      </c>
      <c r="ET53">
        <v>11.258330303318857</v>
      </c>
      <c r="EU53">
        <v>3.9418368726375732</v>
      </c>
      <c r="EV53">
        <v>6.3694972724004053</v>
      </c>
      <c r="EW53">
        <v>823.17645051451348</v>
      </c>
      <c r="EX53">
        <v>24.205135222998599</v>
      </c>
      <c r="EY53">
        <v>9.6003963917102286</v>
      </c>
      <c r="EZ53">
        <v>11.924614828154459</v>
      </c>
      <c r="FA53">
        <v>3.9671498082931524</v>
      </c>
      <c r="FB53">
        <v>6.7435962520422477</v>
      </c>
      <c r="FC53">
        <v>871.88691782398257</v>
      </c>
      <c r="FD53">
        <v>24.761245905151259</v>
      </c>
      <c r="FE53">
        <v>9.6160162349710099</v>
      </c>
      <c r="FF53">
        <v>12.103200363122648</v>
      </c>
      <c r="FG53">
        <v>4.0028317647452401</v>
      </c>
      <c r="FH53">
        <v>7.0259559395811655</v>
      </c>
      <c r="FI53">
        <v>965.11239636022151</v>
      </c>
      <c r="FJ53">
        <v>23.636930243803597</v>
      </c>
      <c r="FK53">
        <v>9.2188458337712547</v>
      </c>
    </row>
    <row r="54" spans="2:167" x14ac:dyDescent="0.2">
      <c r="B54">
        <v>756.04040878119338</v>
      </c>
      <c r="C54">
        <v>1.3226806244551028</v>
      </c>
      <c r="D54">
        <v>809.29550770895867</v>
      </c>
      <c r="E54">
        <v>1.2356425934340205</v>
      </c>
      <c r="F54">
        <v>932.29504637158175</v>
      </c>
      <c r="G54">
        <v>1.0726218099001175</v>
      </c>
      <c r="H54">
        <v>1040.5316077507532</v>
      </c>
      <c r="I54">
        <v>0.96104721139767424</v>
      </c>
      <c r="J54">
        <v>1153.5402314256962</v>
      </c>
      <c r="K54">
        <v>0.86689650933463236</v>
      </c>
      <c r="L54">
        <v>874.22036678764289</v>
      </c>
      <c r="M54">
        <v>1.1438763474186027</v>
      </c>
      <c r="N54">
        <v>867.05481968685683</v>
      </c>
      <c r="O54">
        <v>1.1533296134160897</v>
      </c>
      <c r="Q54">
        <v>0.11511014080615359</v>
      </c>
      <c r="R54">
        <v>0.11567363527892002</v>
      </c>
      <c r="S54">
        <v>0.11594748916989418</v>
      </c>
      <c r="T54">
        <v>0.11691085604275722</v>
      </c>
      <c r="U54">
        <v>0.11734324204218916</v>
      </c>
      <c r="V54">
        <v>0.11595719114195026</v>
      </c>
      <c r="W54">
        <v>0.11557568919605804</v>
      </c>
      <c r="Y54">
        <v>1.7472582623633324</v>
      </c>
      <c r="Z54">
        <v>1.7527804754565774</v>
      </c>
      <c r="AA54">
        <v>1.8092854048376474</v>
      </c>
      <c r="AB54">
        <v>1.8391304776922375</v>
      </c>
      <c r="AC54">
        <v>1.8750630132053054</v>
      </c>
      <c r="AD54">
        <v>1.7814862580357407</v>
      </c>
      <c r="AE54">
        <v>1.7804467923121352</v>
      </c>
      <c r="AG54">
        <v>0.68803236396030787</v>
      </c>
      <c r="AH54">
        <v>0.69124299280928936</v>
      </c>
      <c r="AI54">
        <v>0.71859894012805658</v>
      </c>
      <c r="AJ54">
        <v>0.72499219502487056</v>
      </c>
      <c r="AK54">
        <v>0.74316398219726154</v>
      </c>
      <c r="AL54">
        <v>0.70466262605691377</v>
      </c>
      <c r="AM54">
        <v>0.70492932357562887</v>
      </c>
      <c r="AO54">
        <v>58</v>
      </c>
      <c r="AP54">
        <v>12.423519745229193</v>
      </c>
      <c r="AQ54">
        <v>5.3319166691676969</v>
      </c>
      <c r="AR54">
        <v>6.4082049346618177</v>
      </c>
      <c r="AS54">
        <v>723.66875814873663</v>
      </c>
      <c r="AT54">
        <v>26.92939429184986</v>
      </c>
      <c r="AU54">
        <v>11.829427674571953</v>
      </c>
      <c r="AV54">
        <v>12.910501194958819</v>
      </c>
      <c r="AW54">
        <v>5.4158746154802246</v>
      </c>
      <c r="AX54">
        <v>6.7356779660311874</v>
      </c>
      <c r="AY54">
        <v>759.00409988905835</v>
      </c>
      <c r="AZ54">
        <v>26.972922046117734</v>
      </c>
      <c r="BA54">
        <v>11.688963317125857</v>
      </c>
      <c r="BB54">
        <v>14.328302150366031</v>
      </c>
      <c r="BC54">
        <v>5.7247130486878683</v>
      </c>
      <c r="BD54">
        <v>7.3295393842592613</v>
      </c>
      <c r="BE54">
        <v>826.51638313403282</v>
      </c>
      <c r="BF54">
        <v>27.875632635736689</v>
      </c>
      <c r="BG54">
        <v>11.74335952956387</v>
      </c>
      <c r="BH54">
        <v>15.135651427788741</v>
      </c>
      <c r="BI54">
        <v>5.962334665826666</v>
      </c>
      <c r="BJ54">
        <v>7.8639712587433053</v>
      </c>
      <c r="BK54">
        <v>885.84900073749088</v>
      </c>
      <c r="BL54">
        <v>28.061643406400609</v>
      </c>
      <c r="BM54">
        <v>11.746838217419755</v>
      </c>
      <c r="BN54">
        <v>15.491876449151002</v>
      </c>
      <c r="BO54">
        <v>6.0537599306943033</v>
      </c>
      <c r="BP54">
        <v>8.3495255129891177</v>
      </c>
      <c r="BQ54">
        <v>985.0748238823661</v>
      </c>
      <c r="BR54">
        <v>26.668589770729778</v>
      </c>
      <c r="BS54">
        <v>11.146314191366363</v>
      </c>
      <c r="BU54">
        <v>58</v>
      </c>
      <c r="BV54">
        <v>12.017826383112732</v>
      </c>
      <c r="BW54">
        <v>4.5059440408724321</v>
      </c>
      <c r="BX54">
        <v>6.2244853698687708</v>
      </c>
      <c r="BY54">
        <v>732.59904353411082</v>
      </c>
      <c r="BZ54">
        <v>26.04735582332999</v>
      </c>
      <c r="CA54">
        <v>10.557773279719527</v>
      </c>
      <c r="CB54">
        <v>12.375569257953677</v>
      </c>
      <c r="CC54">
        <v>4.5435096832100603</v>
      </c>
      <c r="CD54">
        <v>6.5204851358544333</v>
      </c>
      <c r="CE54">
        <v>769.06989203243518</v>
      </c>
      <c r="CF54">
        <v>25.924336251542304</v>
      </c>
      <c r="CG54">
        <v>10.401663401151309</v>
      </c>
      <c r="CH54">
        <v>13.780919233229882</v>
      </c>
      <c r="CI54">
        <v>5.0305994700553445</v>
      </c>
      <c r="CJ54">
        <v>7.0808154407765764</v>
      </c>
      <c r="CK54">
        <v>835.44493136233018</v>
      </c>
      <c r="CL54">
        <v>26.922521523768875</v>
      </c>
      <c r="CM54">
        <v>10.787025125509702</v>
      </c>
      <c r="CN54">
        <v>14.569591052380209</v>
      </c>
      <c r="CO54">
        <v>5.1627146181837364</v>
      </c>
      <c r="CP54">
        <v>7.6252134104318907</v>
      </c>
      <c r="CQ54">
        <v>895.61305966549446</v>
      </c>
      <c r="CR54">
        <v>27.123675936878662</v>
      </c>
      <c r="CS54">
        <v>10.725954412356625</v>
      </c>
      <c r="CT54">
        <v>14.773801305448368</v>
      </c>
      <c r="CU54">
        <v>5.1546840177081439</v>
      </c>
      <c r="CV54">
        <v>7.964130826920222</v>
      </c>
      <c r="CW54">
        <v>995.67620943809413</v>
      </c>
      <c r="CX54">
        <v>25.663444587382994</v>
      </c>
      <c r="CY54">
        <v>10.1246544614144</v>
      </c>
      <c r="DA54">
        <v>58</v>
      </c>
      <c r="DB54">
        <v>11.399133624772269</v>
      </c>
      <c r="DC54">
        <v>4.039038803983571</v>
      </c>
      <c r="DD54">
        <v>6.1849092677624524</v>
      </c>
      <c r="DE54">
        <v>727.35651830013387</v>
      </c>
      <c r="DF54">
        <v>25.3844912912501</v>
      </c>
      <c r="DG54">
        <v>9.9919491842441062</v>
      </c>
      <c r="DH54">
        <v>11.728431416664101</v>
      </c>
      <c r="DI54">
        <v>4.2759612470880972</v>
      </c>
      <c r="DJ54">
        <v>6.422845238191452</v>
      </c>
      <c r="DK54">
        <v>757.41891775410375</v>
      </c>
      <c r="DL54">
        <v>25.468717757798697</v>
      </c>
      <c r="DM54">
        <v>10.208429617372483</v>
      </c>
      <c r="DN54">
        <v>13.079882382725261</v>
      </c>
      <c r="DO54">
        <v>4.4142227797731568</v>
      </c>
      <c r="DP54">
        <v>6.9609089051787105</v>
      </c>
      <c r="DQ54">
        <v>827.26391151187454</v>
      </c>
      <c r="DR54">
        <v>26.341348864350319</v>
      </c>
      <c r="DS54">
        <v>10.148622052132739</v>
      </c>
      <c r="DT54">
        <v>13.523900621981614</v>
      </c>
      <c r="DU54">
        <v>4.3952588687509451</v>
      </c>
      <c r="DV54">
        <v>7.3801574132808225</v>
      </c>
      <c r="DW54">
        <v>880.03260544435921</v>
      </c>
      <c r="DX54">
        <v>26.415643944313427</v>
      </c>
      <c r="DY54">
        <v>10.043774565815653</v>
      </c>
      <c r="DZ54">
        <v>13.677333366368266</v>
      </c>
      <c r="EA54">
        <v>4.467319654498219</v>
      </c>
      <c r="EB54">
        <v>7.6865486364773021</v>
      </c>
      <c r="EC54">
        <v>978.11890449566147</v>
      </c>
      <c r="ED54">
        <v>25.003108698139314</v>
      </c>
      <c r="EE54">
        <v>9.6036516313373426</v>
      </c>
      <c r="EG54">
        <v>58</v>
      </c>
      <c r="EH54">
        <v>10.901398492586763</v>
      </c>
      <c r="EI54">
        <v>3.72864429030184</v>
      </c>
      <c r="EJ54">
        <v>5.6859731185593914</v>
      </c>
      <c r="EK54">
        <v>723.93205234523828</v>
      </c>
      <c r="EL54">
        <v>24.817025318932068</v>
      </c>
      <c r="EM54">
        <v>9.6104528504617583</v>
      </c>
      <c r="EN54">
        <v>11.243444760138514</v>
      </c>
      <c r="EO54">
        <v>3.8482148094249231</v>
      </c>
      <c r="EP54">
        <v>5.9361349821036669</v>
      </c>
      <c r="EQ54">
        <v>754.15650786870299</v>
      </c>
      <c r="ER54">
        <v>24.935808135259133</v>
      </c>
      <c r="ES54">
        <v>9.6854050835396315</v>
      </c>
      <c r="ET54">
        <v>11.388210595059512</v>
      </c>
      <c r="EU54">
        <v>3.9950867828199703</v>
      </c>
      <c r="EV54">
        <v>6.4311410249724537</v>
      </c>
      <c r="EW54">
        <v>832.98906925008748</v>
      </c>
      <c r="EX54">
        <v>24.129458897282472</v>
      </c>
      <c r="EY54">
        <v>9.5756992171947068</v>
      </c>
      <c r="EZ54">
        <v>12.06673132870182</v>
      </c>
      <c r="FA54">
        <v>4.0248166657243738</v>
      </c>
      <c r="FB54">
        <v>6.8140210517659918</v>
      </c>
      <c r="FC54">
        <v>882.67000305160502</v>
      </c>
      <c r="FD54">
        <v>24.685849293839599</v>
      </c>
      <c r="FE54">
        <v>9.5940803101347285</v>
      </c>
      <c r="FF54">
        <v>12.247560286940834</v>
      </c>
      <c r="FG54">
        <v>4.0613062975692946</v>
      </c>
      <c r="FH54">
        <v>7.1004189675855596</v>
      </c>
      <c r="FI54">
        <v>979.24843380299012</v>
      </c>
      <c r="FJ54">
        <v>23.514196617050771</v>
      </c>
      <c r="FK54">
        <v>9.1779568346809111</v>
      </c>
    </row>
    <row r="55" spans="2:167" x14ac:dyDescent="0.2">
      <c r="B55">
        <v>758.73026908230622</v>
      </c>
      <c r="C55">
        <v>1.3179914401062613</v>
      </c>
      <c r="D55">
        <v>812.61669580549267</v>
      </c>
      <c r="E55">
        <v>1.230592486176729</v>
      </c>
      <c r="F55">
        <v>936.74371505767351</v>
      </c>
      <c r="G55">
        <v>1.0675278455841382</v>
      </c>
      <c r="H55">
        <v>1046.3938945358357</v>
      </c>
      <c r="I55">
        <v>0.95566306839317405</v>
      </c>
      <c r="J55">
        <v>1160.5444133664166</v>
      </c>
      <c r="K55">
        <v>0.86166456749318032</v>
      </c>
      <c r="L55">
        <v>878.36560260324677</v>
      </c>
      <c r="M55">
        <v>1.1384780973164939</v>
      </c>
      <c r="N55">
        <v>870.66821192870611</v>
      </c>
      <c r="O55">
        <v>1.148543137672154</v>
      </c>
      <c r="Q55">
        <v>0.11700614641246419</v>
      </c>
      <c r="R55">
        <v>0.11757661790724486</v>
      </c>
      <c r="S55">
        <v>0.11785287633133884</v>
      </c>
      <c r="T55">
        <v>0.118829803543839</v>
      </c>
      <c r="U55">
        <v>0.11926848254341178</v>
      </c>
      <c r="V55">
        <v>0.11786339083674835</v>
      </c>
      <c r="W55">
        <v>0.11747746503955142</v>
      </c>
      <c r="Y55">
        <v>1.7652166271698453</v>
      </c>
      <c r="Z55">
        <v>1.7712655471205347</v>
      </c>
      <c r="AA55">
        <v>1.828363716681354</v>
      </c>
      <c r="AB55">
        <v>1.8597193456986709</v>
      </c>
      <c r="AC55">
        <v>1.8962234452514666</v>
      </c>
      <c r="AD55">
        <v>1.8001502226531083</v>
      </c>
      <c r="AE55">
        <v>1.7992899323605664</v>
      </c>
      <c r="AG55">
        <v>0.69448741218891064</v>
      </c>
      <c r="AH55">
        <v>0.69793101968551619</v>
      </c>
      <c r="AI55">
        <v>0.72558130112203878</v>
      </c>
      <c r="AJ55">
        <v>0.73251331261312447</v>
      </c>
      <c r="AK55">
        <v>0.75096804567761466</v>
      </c>
      <c r="AL55">
        <v>0.71143826007249811</v>
      </c>
      <c r="AM55">
        <v>0.71180019569143071</v>
      </c>
      <c r="AO55">
        <v>59</v>
      </c>
      <c r="AP55">
        <v>12.569356525340632</v>
      </c>
      <c r="AQ55">
        <v>5.398768027634727</v>
      </c>
      <c r="AR55">
        <v>6.4688466429454827</v>
      </c>
      <c r="AS55">
        <v>731.50995391375272</v>
      </c>
      <c r="AT55">
        <v>26.874456122525366</v>
      </c>
      <c r="AU55">
        <v>11.809717141277986</v>
      </c>
      <c r="AV55">
        <v>13.066346572468607</v>
      </c>
      <c r="AW55">
        <v>5.4849454914844245</v>
      </c>
      <c r="AX55">
        <v>6.8012766754716578</v>
      </c>
      <c r="AY55">
        <v>767.46756747924576</v>
      </c>
      <c r="AZ55">
        <v>26.918970720718846</v>
      </c>
      <c r="BA55">
        <v>11.668538802669277</v>
      </c>
      <c r="BB55">
        <v>14.504091825814466</v>
      </c>
      <c r="BC55">
        <v>5.7988277786323019</v>
      </c>
      <c r="BD55">
        <v>7.4021033066648947</v>
      </c>
      <c r="BE55">
        <v>835.76617449585217</v>
      </c>
      <c r="BF55">
        <v>27.827191155878477</v>
      </c>
      <c r="BG55">
        <v>11.724800683273797</v>
      </c>
      <c r="BH55">
        <v>15.327565877845702</v>
      </c>
      <c r="BI55">
        <v>6.0422710010535523</v>
      </c>
      <c r="BJ55">
        <v>7.9446641113082732</v>
      </c>
      <c r="BK55">
        <v>896.06602508658284</v>
      </c>
      <c r="BL55">
        <v>28.016987281671305</v>
      </c>
      <c r="BM55">
        <v>11.730046484747836</v>
      </c>
      <c r="BN55">
        <v>15.688546024421802</v>
      </c>
      <c r="BO55">
        <v>6.1348702500660854</v>
      </c>
      <c r="BP55">
        <v>8.4360525812622367</v>
      </c>
      <c r="BQ55">
        <v>997.82540919941368</v>
      </c>
      <c r="BR55">
        <v>26.590496471928478</v>
      </c>
      <c r="BS55">
        <v>11.115146061720358</v>
      </c>
      <c r="BU55">
        <v>59</v>
      </c>
      <c r="BV55">
        <v>12.159782825540226</v>
      </c>
      <c r="BW55">
        <v>4.5607328051214511</v>
      </c>
      <c r="BX55">
        <v>6.2836284629218619</v>
      </c>
      <c r="BY55">
        <v>740.49629674125447</v>
      </c>
      <c r="BZ55">
        <v>25.995212325243326</v>
      </c>
      <c r="CA55">
        <v>10.534678503548601</v>
      </c>
      <c r="CB55">
        <v>12.525624871420254</v>
      </c>
      <c r="CC55">
        <v>4.6001954853678413</v>
      </c>
      <c r="CD55">
        <v>6.5841710718717641</v>
      </c>
      <c r="CE55">
        <v>777.65363021719531</v>
      </c>
      <c r="CF55">
        <v>25.871049134571269</v>
      </c>
      <c r="CG55">
        <v>10.377981624738442</v>
      </c>
      <c r="CH55">
        <v>13.950747309489415</v>
      </c>
      <c r="CI55">
        <v>5.0950397493847337</v>
      </c>
      <c r="CJ55">
        <v>7.151070863697722</v>
      </c>
      <c r="CK55">
        <v>844.72479267724475</v>
      </c>
      <c r="CL55">
        <v>26.877014596709031</v>
      </c>
      <c r="CM55">
        <v>10.767298253093571</v>
      </c>
      <c r="CN55">
        <v>14.755096433614693</v>
      </c>
      <c r="CO55">
        <v>5.2311398851915127</v>
      </c>
      <c r="CP55">
        <v>7.703674661285139</v>
      </c>
      <c r="CQ55">
        <v>905.85228071492736</v>
      </c>
      <c r="CR55">
        <v>27.082341686875957</v>
      </c>
      <c r="CS55">
        <v>10.707888270868443</v>
      </c>
      <c r="CT55">
        <v>14.961910628333566</v>
      </c>
      <c r="CU55">
        <v>5.2228293368591228</v>
      </c>
      <c r="CV55">
        <v>8.0465956014810693</v>
      </c>
      <c r="CW55">
        <v>1008.5625847595655</v>
      </c>
      <c r="CX55">
        <v>25.586947222498193</v>
      </c>
      <c r="CY55">
        <v>10.092516228496612</v>
      </c>
      <c r="DA55">
        <v>59</v>
      </c>
      <c r="DB55">
        <v>11.514253108141226</v>
      </c>
      <c r="DC55">
        <v>4.0890144213050688</v>
      </c>
      <c r="DD55">
        <v>6.2392785348181228</v>
      </c>
      <c r="DE55">
        <v>735.102031922386</v>
      </c>
      <c r="DF55">
        <v>25.307818417798273</v>
      </c>
      <c r="DG55">
        <v>9.9702785697032201</v>
      </c>
      <c r="DH55">
        <v>11.851297714475821</v>
      </c>
      <c r="DI55">
        <v>4.3313509896547204</v>
      </c>
      <c r="DJ55">
        <v>6.4821359380982591</v>
      </c>
      <c r="DK55">
        <v>765.70847182671434</v>
      </c>
      <c r="DL55">
        <v>25.393983265843708</v>
      </c>
      <c r="DM55">
        <v>10.188774025811803</v>
      </c>
      <c r="DN55">
        <v>13.221965659191348</v>
      </c>
      <c r="DO55">
        <v>4.4723606113863497</v>
      </c>
      <c r="DP55">
        <v>7.0264806867605394</v>
      </c>
      <c r="DQ55">
        <v>836.33512169063135</v>
      </c>
      <c r="DR55">
        <v>26.275231498431534</v>
      </c>
      <c r="DS55">
        <v>10.130777037574047</v>
      </c>
      <c r="DT55">
        <v>13.680887060409679</v>
      </c>
      <c r="DU55">
        <v>4.457608602751951</v>
      </c>
      <c r="DV55">
        <v>7.4553675406921647</v>
      </c>
      <c r="DW55">
        <v>890.21496732082971</v>
      </c>
      <c r="DX55">
        <v>26.351378568203984</v>
      </c>
      <c r="DY55">
        <v>10.027054202684798</v>
      </c>
      <c r="DZ55">
        <v>13.836813097887202</v>
      </c>
      <c r="EA55">
        <v>4.5311217923508744</v>
      </c>
      <c r="EB55">
        <v>7.7659861398681862</v>
      </c>
      <c r="EC55">
        <v>990.93796117283023</v>
      </c>
      <c r="ED55">
        <v>24.906645081163031</v>
      </c>
      <c r="EE55">
        <v>9.573986547456002</v>
      </c>
      <c r="EG55">
        <v>59</v>
      </c>
      <c r="EH55">
        <v>11.006236546541453</v>
      </c>
      <c r="EI55">
        <v>3.7749915247567891</v>
      </c>
      <c r="EJ55">
        <v>5.7350796654196206</v>
      </c>
      <c r="EK55">
        <v>731.53556556287174</v>
      </c>
      <c r="EL55">
        <v>24.736749698455064</v>
      </c>
      <c r="EM55">
        <v>9.5896214334774683</v>
      </c>
      <c r="EN55">
        <v>11.357265292176434</v>
      </c>
      <c r="EO55">
        <v>3.897993022115223</v>
      </c>
      <c r="EP55">
        <v>5.9900837081803884</v>
      </c>
      <c r="EQ55">
        <v>762.36320072190085</v>
      </c>
      <c r="ER55">
        <v>24.857385141148455</v>
      </c>
      <c r="ES55">
        <v>9.6650423506477985</v>
      </c>
      <c r="ET55">
        <v>11.515359328648211</v>
      </c>
      <c r="EU55">
        <v>4.0477039360291247</v>
      </c>
      <c r="EV55">
        <v>6.4909497347457874</v>
      </c>
      <c r="EW55">
        <v>842.59853868625237</v>
      </c>
      <c r="EX55">
        <v>24.054507184107706</v>
      </c>
      <c r="EY55">
        <v>9.551485792666055</v>
      </c>
      <c r="EZ55">
        <v>12.205662312545453</v>
      </c>
      <c r="FA55">
        <v>4.0820328087189193</v>
      </c>
      <c r="FB55">
        <v>6.8826054739921219</v>
      </c>
      <c r="FC55">
        <v>893.24790329413599</v>
      </c>
      <c r="FD55">
        <v>24.61037611397505</v>
      </c>
      <c r="FE55">
        <v>9.5725474460123916</v>
      </c>
      <c r="FF55">
        <v>12.388623512641477</v>
      </c>
      <c r="FG55">
        <v>4.1193557411179196</v>
      </c>
      <c r="FH55">
        <v>7.1729563772006175</v>
      </c>
      <c r="FI55">
        <v>993.18845889337729</v>
      </c>
      <c r="FJ55">
        <v>23.392086671066927</v>
      </c>
      <c r="FK55">
        <v>9.1377024945609922</v>
      </c>
    </row>
    <row r="56" spans="2:167" x14ac:dyDescent="0.2">
      <c r="B56">
        <v>761.21062577983059</v>
      </c>
      <c r="C56">
        <v>1.3136968483270173</v>
      </c>
      <c r="D56">
        <v>815.70251161664828</v>
      </c>
      <c r="E56">
        <v>1.2259371348729708</v>
      </c>
      <c r="F56">
        <v>940.86799130219731</v>
      </c>
      <c r="G56">
        <v>1.0628483583716795</v>
      </c>
      <c r="H56">
        <v>1051.8750558667525</v>
      </c>
      <c r="I56">
        <v>0.95068325313218205</v>
      </c>
      <c r="J56">
        <v>1167.1052259759438</v>
      </c>
      <c r="K56">
        <v>0.85682077137799728</v>
      </c>
      <c r="L56">
        <v>882.21491158991932</v>
      </c>
      <c r="M56">
        <v>1.1335106524075971</v>
      </c>
      <c r="N56">
        <v>874.0190151730734</v>
      </c>
      <c r="O56">
        <v>1.1441398672567551</v>
      </c>
      <c r="Q56">
        <v>0.11890035672257593</v>
      </c>
      <c r="R56">
        <v>0.11947757736061239</v>
      </c>
      <c r="S56">
        <v>0.11975564869756765</v>
      </c>
      <c r="T56">
        <v>0.12074569782525298</v>
      </c>
      <c r="U56">
        <v>0.12119035353821478</v>
      </c>
      <c r="V56">
        <v>0.11976707032704643</v>
      </c>
      <c r="W56">
        <v>0.11937713503264942</v>
      </c>
      <c r="Y56">
        <v>1.7827640775352258</v>
      </c>
      <c r="Z56">
        <v>1.7893668858951262</v>
      </c>
      <c r="AA56">
        <v>1.8470050125595838</v>
      </c>
      <c r="AB56">
        <v>1.8799108681043684</v>
      </c>
      <c r="AC56">
        <v>1.9169857914505002</v>
      </c>
      <c r="AD56">
        <v>1.8184108496485591</v>
      </c>
      <c r="AE56">
        <v>1.8177186273573525</v>
      </c>
      <c r="AG56">
        <v>0.70082305830301361</v>
      </c>
      <c r="AH56">
        <v>0.70450990079826104</v>
      </c>
      <c r="AI56">
        <v>0.73243123568557533</v>
      </c>
      <c r="AJ56">
        <v>0.73992032487255288</v>
      </c>
      <c r="AK56">
        <v>0.75865613728753989</v>
      </c>
      <c r="AL56">
        <v>0.71809673780106908</v>
      </c>
      <c r="AM56">
        <v>0.71854797229614442</v>
      </c>
      <c r="AO56">
        <v>60</v>
      </c>
      <c r="AP56">
        <v>12.712789389436105</v>
      </c>
      <c r="AQ56">
        <v>5.4645642458175345</v>
      </c>
      <c r="AR56">
        <v>6.5280830545630213</v>
      </c>
      <c r="AS56">
        <v>739.18886371889334</v>
      </c>
      <c r="AT56">
        <v>26.820671211115961</v>
      </c>
      <c r="AU56">
        <v>11.790375438508574</v>
      </c>
      <c r="AV56">
        <v>13.219676503742392</v>
      </c>
      <c r="AW56">
        <v>5.5529833091001644</v>
      </c>
      <c r="AX56">
        <v>6.8653168218409109</v>
      </c>
      <c r="AY56">
        <v>775.75680207764105</v>
      </c>
      <c r="AZ56">
        <v>26.866152789727565</v>
      </c>
      <c r="BA56">
        <v>11.648548695618985</v>
      </c>
      <c r="BB56">
        <v>14.676631382261693</v>
      </c>
      <c r="BC56">
        <v>5.8717819478380076</v>
      </c>
      <c r="BD56">
        <v>7.472719821658214</v>
      </c>
      <c r="BE56">
        <v>844.80840803195156</v>
      </c>
      <c r="BF56">
        <v>27.779200194823151</v>
      </c>
      <c r="BG56">
        <v>11.706510743344779</v>
      </c>
      <c r="BH56">
        <v>15.515930689203897</v>
      </c>
      <c r="BI56">
        <v>6.1210004841379808</v>
      </c>
      <c r="BJ56">
        <v>8.0231107417179093</v>
      </c>
      <c r="BK56">
        <v>906.04903517203411</v>
      </c>
      <c r="BL56">
        <v>27.972714750930198</v>
      </c>
      <c r="BM56">
        <v>11.713530392096075</v>
      </c>
      <c r="BN56">
        <v>15.881579599533197</v>
      </c>
      <c r="BO56">
        <v>6.2147650711121152</v>
      </c>
      <c r="BP56">
        <v>8.520102418849703</v>
      </c>
      <c r="BQ56">
        <v>1010.3187535680859</v>
      </c>
      <c r="BR56">
        <v>26.513425328838288</v>
      </c>
      <c r="BS56">
        <v>11.084509615496991</v>
      </c>
      <c r="BU56">
        <v>60</v>
      </c>
      <c r="BV56">
        <v>12.299282147430494</v>
      </c>
      <c r="BW56">
        <v>4.614778919170595</v>
      </c>
      <c r="BX56">
        <v>6.3413765784579539</v>
      </c>
      <c r="BY56">
        <v>748.22241439542745</v>
      </c>
      <c r="BZ56">
        <v>25.944203035406773</v>
      </c>
      <c r="CA56">
        <v>10.512287182573649</v>
      </c>
      <c r="CB56">
        <v>12.673168500163415</v>
      </c>
      <c r="CC56">
        <v>4.6561753279653839</v>
      </c>
      <c r="CD56">
        <v>6.6463253582516932</v>
      </c>
      <c r="CE56">
        <v>786.05520789323316</v>
      </c>
      <c r="CF56">
        <v>25.818915217296013</v>
      </c>
      <c r="CG56">
        <v>10.355039725059433</v>
      </c>
      <c r="CH56">
        <v>14.117336577065906</v>
      </c>
      <c r="CI56">
        <v>5.1585692044484484</v>
      </c>
      <c r="CJ56">
        <v>7.2194263017465206</v>
      </c>
      <c r="CK56">
        <v>853.78889917256333</v>
      </c>
      <c r="CL56">
        <v>26.831933643076603</v>
      </c>
      <c r="CM56">
        <v>10.748026789991989</v>
      </c>
      <c r="CN56">
        <v>14.937068772897781</v>
      </c>
      <c r="CO56">
        <v>5.2986472912490594</v>
      </c>
      <c r="CP56">
        <v>7.7799313259574179</v>
      </c>
      <c r="CQ56">
        <v>915.84843253383269</v>
      </c>
      <c r="CR56">
        <v>27.04136232061721</v>
      </c>
      <c r="CS56">
        <v>10.690283860879289</v>
      </c>
      <c r="CT56">
        <v>15.146468463223641</v>
      </c>
      <c r="CU56">
        <v>5.2900869889583211</v>
      </c>
      <c r="CV56">
        <v>8.1267057869724422</v>
      </c>
      <c r="CW56">
        <v>1021.1840494236105</v>
      </c>
      <c r="CX56">
        <v>25.511463589200595</v>
      </c>
      <c r="CY56">
        <v>10.061075535098386</v>
      </c>
      <c r="DA56">
        <v>60</v>
      </c>
      <c r="DB56">
        <v>11.626002379742634</v>
      </c>
      <c r="DC56">
        <v>4.1383536573993798</v>
      </c>
      <c r="DD56">
        <v>6.2919871829830543</v>
      </c>
      <c r="DE56">
        <v>742.68894883070152</v>
      </c>
      <c r="DF56">
        <v>25.230959066419249</v>
      </c>
      <c r="DG56">
        <v>9.9491229086222983</v>
      </c>
      <c r="DH56">
        <v>11.970834154210072</v>
      </c>
      <c r="DI56">
        <v>4.3861136085734991</v>
      </c>
      <c r="DJ56">
        <v>6.5397492270624342</v>
      </c>
      <c r="DK56">
        <v>773.83568078056555</v>
      </c>
      <c r="DL56">
        <v>25.319016568211072</v>
      </c>
      <c r="DM56">
        <v>10.169563616521771</v>
      </c>
      <c r="DN56">
        <v>13.359965201757698</v>
      </c>
      <c r="DO56">
        <v>4.5297992590934024</v>
      </c>
      <c r="DP56">
        <v>7.0900050874459986</v>
      </c>
      <c r="DQ56">
        <v>845.20468231412246</v>
      </c>
      <c r="DR56">
        <v>26.208368429569102</v>
      </c>
      <c r="DS56">
        <v>10.113261550499352</v>
      </c>
      <c r="DT56">
        <v>13.834021214998341</v>
      </c>
      <c r="DU56">
        <v>4.5194764349766423</v>
      </c>
      <c r="DV56">
        <v>7.5285227482856572</v>
      </c>
      <c r="DW56">
        <v>900.19209402021033</v>
      </c>
      <c r="DX56">
        <v>26.286324768017817</v>
      </c>
      <c r="DY56">
        <v>10.010650972072733</v>
      </c>
      <c r="DZ56">
        <v>13.992477166085646</v>
      </c>
      <c r="EA56">
        <v>4.5944602775912333</v>
      </c>
      <c r="EB56">
        <v>7.8432782061244639</v>
      </c>
      <c r="EC56">
        <v>1003.53461120819</v>
      </c>
      <c r="ED56">
        <v>24.81021393734434</v>
      </c>
      <c r="EE56">
        <v>9.5448458260841775</v>
      </c>
      <c r="EG56">
        <v>60</v>
      </c>
      <c r="EH56">
        <v>11.107660933935607</v>
      </c>
      <c r="EI56">
        <v>3.8207356028521824</v>
      </c>
      <c r="EJ56">
        <v>5.7827235993237629</v>
      </c>
      <c r="EK56">
        <v>738.98390834911118</v>
      </c>
      <c r="EL56">
        <v>24.656034881634593</v>
      </c>
      <c r="EM56">
        <v>9.5692010344888772</v>
      </c>
      <c r="EN56">
        <v>11.46767380200315</v>
      </c>
      <c r="EO56">
        <v>3.9472112402597928</v>
      </c>
      <c r="EP56">
        <v>6.042537734476678</v>
      </c>
      <c r="EQ56">
        <v>770.41189963804948</v>
      </c>
      <c r="ER56">
        <v>24.778430965977652</v>
      </c>
      <c r="ES56">
        <v>9.645059765574393</v>
      </c>
      <c r="ET56">
        <v>11.639776476527748</v>
      </c>
      <c r="EU56">
        <v>4.0996883252510647</v>
      </c>
      <c r="EV56">
        <v>6.5489236561203246</v>
      </c>
      <c r="EW56">
        <v>852.00201328385367</v>
      </c>
      <c r="EX56">
        <v>23.98028017387864</v>
      </c>
      <c r="EY56">
        <v>9.5277534037969591</v>
      </c>
      <c r="EZ56">
        <v>12.341407747106137</v>
      </c>
      <c r="FA56">
        <v>4.1387982284336449</v>
      </c>
      <c r="FB56">
        <v>6.9493495085448762</v>
      </c>
      <c r="FC56">
        <v>903.61871288545501</v>
      </c>
      <c r="FD56">
        <v>24.534826418469063</v>
      </c>
      <c r="FE56">
        <v>9.5514076141168598</v>
      </c>
      <c r="FF56">
        <v>12.526389991559418</v>
      </c>
      <c r="FG56">
        <v>4.1769800803349897</v>
      </c>
      <c r="FH56">
        <v>7.2435681475041527</v>
      </c>
      <c r="FI56">
        <v>1006.928289138545</v>
      </c>
      <c r="FJ56">
        <v>23.270595806902207</v>
      </c>
      <c r="FK56">
        <v>9.0980688959517</v>
      </c>
    </row>
    <row r="57" spans="2:167" x14ac:dyDescent="0.2">
      <c r="B57">
        <v>763.48142545057897</v>
      </c>
      <c r="C57">
        <v>1.3097895595951616</v>
      </c>
      <c r="D57">
        <v>818.55286969429778</v>
      </c>
      <c r="E57">
        <v>1.2216681866541701</v>
      </c>
      <c r="F57">
        <v>944.66771992602207</v>
      </c>
      <c r="G57">
        <v>1.0585732728099475</v>
      </c>
      <c r="H57">
        <v>1056.9748268111214</v>
      </c>
      <c r="I57">
        <v>0.94609632569678725</v>
      </c>
      <c r="J57">
        <v>1173.2222657029588</v>
      </c>
      <c r="K57">
        <v>0.85235341097181672</v>
      </c>
      <c r="L57">
        <v>885.76814037560655</v>
      </c>
      <c r="M57">
        <v>1.1289636129562686</v>
      </c>
      <c r="N57">
        <v>877.10713254100244</v>
      </c>
      <c r="O57">
        <v>1.1401115814700693</v>
      </c>
      <c r="Q57">
        <v>0.12079277127869019</v>
      </c>
      <c r="R57">
        <v>0.12137651290454142</v>
      </c>
      <c r="S57">
        <v>0.12165580501774489</v>
      </c>
      <c r="T57">
        <v>0.1226585367646094</v>
      </c>
      <c r="U57">
        <v>0.12310885195969956</v>
      </c>
      <c r="V57">
        <v>0.12166822830668064</v>
      </c>
      <c r="W57">
        <v>0.12127469839842467</v>
      </c>
      <c r="Y57">
        <v>1.7999006128558137</v>
      </c>
      <c r="Z57">
        <v>1.8070844905361019</v>
      </c>
      <c r="AA57">
        <v>1.8652092903969661</v>
      </c>
      <c r="AB57">
        <v>1.8997050408276634</v>
      </c>
      <c r="AC57">
        <v>1.9373500449630678</v>
      </c>
      <c r="AD57">
        <v>1.8362681361936997</v>
      </c>
      <c r="AE57">
        <v>1.8357328758528355</v>
      </c>
      <c r="AG57">
        <v>0.70703930217549849</v>
      </c>
      <c r="AH57">
        <v>0.71097963592393831</v>
      </c>
      <c r="AI57">
        <v>0.73914874328794555</v>
      </c>
      <c r="AJ57">
        <v>0.74721323103285919</v>
      </c>
      <c r="AK57">
        <v>0.76622825550316687</v>
      </c>
      <c r="AL57">
        <v>0.7246380585534572</v>
      </c>
      <c r="AM57">
        <v>0.72517265303882594</v>
      </c>
      <c r="AO57">
        <v>61</v>
      </c>
      <c r="AP57">
        <v>12.853818329298701</v>
      </c>
      <c r="AQ57">
        <v>5.5293046474949055</v>
      </c>
      <c r="AR57">
        <v>6.5859141641727321</v>
      </c>
      <c r="AS57">
        <v>746.70351746527433</v>
      </c>
      <c r="AT57">
        <v>26.768038855044566</v>
      </c>
      <c r="AU57">
        <v>11.771408422875645</v>
      </c>
      <c r="AV57">
        <v>13.370490973107751</v>
      </c>
      <c r="AW57">
        <v>5.6199878413797046</v>
      </c>
      <c r="AX57">
        <v>6.9277983952781135</v>
      </c>
      <c r="AY57">
        <v>783.86970122929836</v>
      </c>
      <c r="AZ57">
        <v>26.814467958856287</v>
      </c>
      <c r="BA57">
        <v>11.628996320579423</v>
      </c>
      <c r="BB57">
        <v>14.845920781548307</v>
      </c>
      <c r="BC57">
        <v>5.943575543553834</v>
      </c>
      <c r="BD57">
        <v>7.5413889108820795</v>
      </c>
      <c r="BE57">
        <v>853.64151909677992</v>
      </c>
      <c r="BF57">
        <v>27.731659516262575</v>
      </c>
      <c r="BG57">
        <v>11.688488455968248</v>
      </c>
      <c r="BH57">
        <v>15.700745790368654</v>
      </c>
      <c r="BI57">
        <v>6.1985230912948479</v>
      </c>
      <c r="BJ57">
        <v>8.0993111171093624</v>
      </c>
      <c r="BK57">
        <v>915.79641663565417</v>
      </c>
      <c r="BL57">
        <v>27.928825782103409</v>
      </c>
      <c r="BM57">
        <v>11.697287622663412</v>
      </c>
      <c r="BN57">
        <v>16.070977055557517</v>
      </c>
      <c r="BO57">
        <v>6.2934443538890399</v>
      </c>
      <c r="BP57">
        <v>8.6016749701720503</v>
      </c>
      <c r="BQ57">
        <v>1022.5512037150271</v>
      </c>
      <c r="BR57">
        <v>26.437371359077584</v>
      </c>
      <c r="BS57">
        <v>11.054400012934442</v>
      </c>
      <c r="BU57">
        <v>61</v>
      </c>
      <c r="BV57">
        <v>12.436324339984884</v>
      </c>
      <c r="BW57">
        <v>4.6680823810946199</v>
      </c>
      <c r="BX57">
        <v>6.3977297112485454</v>
      </c>
      <c r="BY57">
        <v>755.77536135201933</v>
      </c>
      <c r="BZ57">
        <v>25.894327574248329</v>
      </c>
      <c r="CA57">
        <v>10.49059047690816</v>
      </c>
      <c r="CB57">
        <v>12.818200128190943</v>
      </c>
      <c r="CC57">
        <v>4.7114492074344749</v>
      </c>
      <c r="CD57">
        <v>6.7069479854159981</v>
      </c>
      <c r="CE57">
        <v>794.27237964955134</v>
      </c>
      <c r="CF57">
        <v>25.767933856197796</v>
      </c>
      <c r="CG57">
        <v>10.332827185914608</v>
      </c>
      <c r="CH57">
        <v>14.280686997620542</v>
      </c>
      <c r="CI57">
        <v>5.2211878257946527</v>
      </c>
      <c r="CJ57">
        <v>7.2858817372616818</v>
      </c>
      <c r="CK57">
        <v>862.63567694689743</v>
      </c>
      <c r="CL57">
        <v>26.787278558189943</v>
      </c>
      <c r="CM57">
        <v>10.729200717151045</v>
      </c>
      <c r="CN57">
        <v>15.11550799880675</v>
      </c>
      <c r="CO57">
        <v>5.3652368188881043</v>
      </c>
      <c r="CP57">
        <v>7.8539833727852093</v>
      </c>
      <c r="CQ57">
        <v>925.59991686028582</v>
      </c>
      <c r="CR57">
        <v>27.000737927142936</v>
      </c>
      <c r="CS57">
        <v>10.673129542076422</v>
      </c>
      <c r="CT57">
        <v>15.32747469405842</v>
      </c>
      <c r="CU57">
        <v>5.3564569449847053</v>
      </c>
      <c r="CV57">
        <v>8.2044613302722649</v>
      </c>
      <c r="CW57">
        <v>1033.5368019040502</v>
      </c>
      <c r="CX57">
        <v>25.436988306902631</v>
      </c>
      <c r="CY57">
        <v>10.030317847967252</v>
      </c>
      <c r="DA57">
        <v>61</v>
      </c>
      <c r="DB57">
        <v>11.73438182178435</v>
      </c>
      <c r="DC57">
        <v>4.1870565100873121</v>
      </c>
      <c r="DD57">
        <v>6.3430356306113964</v>
      </c>
      <c r="DE57">
        <v>750.11598307303211</v>
      </c>
      <c r="DF57">
        <v>25.153913110737591</v>
      </c>
      <c r="DG57">
        <v>9.9284698707038643</v>
      </c>
      <c r="DH57">
        <v>12.08704073225161</v>
      </c>
      <c r="DI57">
        <v>4.4402490900795755</v>
      </c>
      <c r="DJ57">
        <v>6.5956851041290285</v>
      </c>
      <c r="DK57">
        <v>781.79928319783482</v>
      </c>
      <c r="DL57">
        <v>25.243817909309879</v>
      </c>
      <c r="DM57">
        <v>10.150788432100537</v>
      </c>
      <c r="DN57">
        <v>13.493881006475663</v>
      </c>
      <c r="DO57">
        <v>4.586538715707376</v>
      </c>
      <c r="DP57">
        <v>7.1514824822938712</v>
      </c>
      <c r="DQ57">
        <v>853.87175319372705</v>
      </c>
      <c r="DR57">
        <v>26.140759543781559</v>
      </c>
      <c r="DS57">
        <v>10.096062062490518</v>
      </c>
      <c r="DT57">
        <v>13.983303056624271</v>
      </c>
      <c r="DU57">
        <v>4.5808623565988995</v>
      </c>
      <c r="DV57">
        <v>7.5996230260451769</v>
      </c>
      <c r="DW57">
        <v>909.96327885098947</v>
      </c>
      <c r="DX57">
        <v>26.220482070963349</v>
      </c>
      <c r="DY57">
        <v>9.9945498525826633</v>
      </c>
      <c r="DZ57">
        <v>14.144325519135489</v>
      </c>
      <c r="EA57">
        <v>4.6573350948104091</v>
      </c>
      <c r="EB57">
        <v>7.9184248143118143</v>
      </c>
      <c r="EC57">
        <v>1015.9060578492102</v>
      </c>
      <c r="ED57">
        <v>24.713814998818055</v>
      </c>
      <c r="EE57">
        <v>9.5162153092799464</v>
      </c>
      <c r="EG57">
        <v>61</v>
      </c>
      <c r="EH57">
        <v>11.205672978385001</v>
      </c>
      <c r="EI57">
        <v>3.8658765225014013</v>
      </c>
      <c r="EJ57">
        <v>5.8289052219011692</v>
      </c>
      <c r="EK57">
        <v>746.27597654902638</v>
      </c>
      <c r="EL57">
        <v>24.574881135263762</v>
      </c>
      <c r="EM57">
        <v>9.5491804289909865</v>
      </c>
      <c r="EN57">
        <v>11.574670444643191</v>
      </c>
      <c r="EO57">
        <v>3.9958694605606127</v>
      </c>
      <c r="EP57">
        <v>6.0934970598950837</v>
      </c>
      <c r="EQ57">
        <v>778.30157790112594</v>
      </c>
      <c r="ER57">
        <v>24.698945762010002</v>
      </c>
      <c r="ES57">
        <v>9.6254455898608207</v>
      </c>
      <c r="ET57">
        <v>11.761462013144024</v>
      </c>
      <c r="EU57">
        <v>4.1510399439816545</v>
      </c>
      <c r="EV57">
        <v>6.6050630435656785</v>
      </c>
      <c r="EW57">
        <v>861.1966542892045</v>
      </c>
      <c r="EX57">
        <v>23.90677795320234</v>
      </c>
      <c r="EY57">
        <v>9.5044998156448788</v>
      </c>
      <c r="EZ57">
        <v>12.47396760191177</v>
      </c>
      <c r="FA57">
        <v>4.1951129165973517</v>
      </c>
      <c r="FB57">
        <v>7.0142531459066291</v>
      </c>
      <c r="FC57">
        <v>913.78050594873048</v>
      </c>
      <c r="FD57">
        <v>24.45920025447435</v>
      </c>
      <c r="FE57">
        <v>9.5306518992241198</v>
      </c>
      <c r="FF57">
        <v>12.660859678088599</v>
      </c>
      <c r="FG57">
        <v>4.2341793011108191</v>
      </c>
      <c r="FH57">
        <v>7.3122542588891672</v>
      </c>
      <c r="FI57">
        <v>1020.4636948554322</v>
      </c>
      <c r="FJ57">
        <v>23.14971972830817</v>
      </c>
      <c r="FK57">
        <v>9.0590434852314363</v>
      </c>
    </row>
    <row r="58" spans="2:167" x14ac:dyDescent="0.2">
      <c r="B58">
        <v>765.54261917894053</v>
      </c>
      <c r="C58">
        <v>1.3062630021467905</v>
      </c>
      <c r="D58">
        <v>821.16769109651182</v>
      </c>
      <c r="E58">
        <v>1.2177780626813166</v>
      </c>
      <c r="F58">
        <v>948.14275792855437</v>
      </c>
      <c r="G58">
        <v>1.0546934959296006</v>
      </c>
      <c r="H58">
        <v>1061.6929607885163</v>
      </c>
      <c r="I58">
        <v>0.94189189994940059</v>
      </c>
      <c r="J58">
        <v>1178.8951561271911</v>
      </c>
      <c r="K58">
        <v>0.84825185242521262</v>
      </c>
      <c r="L58">
        <v>889.02514735004695</v>
      </c>
      <c r="M58">
        <v>1.1248275743163625</v>
      </c>
      <c r="N58">
        <v>879.93247473253996</v>
      </c>
      <c r="O58">
        <v>1.1364508399396842</v>
      </c>
      <c r="Q58">
        <v>0.12268338966163518</v>
      </c>
      <c r="R58">
        <v>0.12327342386047574</v>
      </c>
      <c r="S58">
        <v>0.12355334413920112</v>
      </c>
      <c r="T58">
        <v>0.12456831838653716</v>
      </c>
      <c r="U58">
        <v>0.12502397494715739</v>
      </c>
      <c r="V58">
        <v>0.1235668635696541</v>
      </c>
      <c r="W58">
        <v>0.12317015442073005</v>
      </c>
      <c r="Y58">
        <v>1.8166262325788822</v>
      </c>
      <c r="Z58">
        <v>1.824418359893951</v>
      </c>
      <c r="AA58">
        <v>1.882976548281003</v>
      </c>
      <c r="AB58">
        <v>1.9191018600696272</v>
      </c>
      <c r="AC58">
        <v>1.9573161994096453</v>
      </c>
      <c r="AD58">
        <v>1.8537220796770406</v>
      </c>
      <c r="AE58">
        <v>1.8533326765107676</v>
      </c>
      <c r="AG58">
        <v>0.71313614368997269</v>
      </c>
      <c r="AH58">
        <v>0.7173402248559867</v>
      </c>
      <c r="AI58">
        <v>0.7457338234400811</v>
      </c>
      <c r="AJ58">
        <v>0.75439203037710501</v>
      </c>
      <c r="AK58">
        <v>0.77368439890307583</v>
      </c>
      <c r="AL58">
        <v>0.73106222169334323</v>
      </c>
      <c r="AM58">
        <v>0.7316742375959866</v>
      </c>
      <c r="AO58">
        <v>62</v>
      </c>
      <c r="AP58">
        <v>12.992443337404817</v>
      </c>
      <c r="AQ58">
        <v>5.5929885565098578</v>
      </c>
      <c r="AR58">
        <v>6.6423399668836254</v>
      </c>
      <c r="AS58">
        <v>754.0519731207246</v>
      </c>
      <c r="AT58">
        <v>26.71655839270311</v>
      </c>
      <c r="AU58">
        <v>11.752821592702958</v>
      </c>
      <c r="AV58">
        <v>13.518789966085606</v>
      </c>
      <c r="AW58">
        <v>5.6859588617348598</v>
      </c>
      <c r="AX58">
        <v>6.9887213866732569</v>
      </c>
      <c r="AY58">
        <v>791.80419301286724</v>
      </c>
      <c r="AZ58">
        <v>26.763915951310246</v>
      </c>
      <c r="BA58">
        <v>11.609884827186216</v>
      </c>
      <c r="BB58">
        <v>15.011959988509684</v>
      </c>
      <c r="BC58">
        <v>6.0142085540293433</v>
      </c>
      <c r="BD58">
        <v>7.6081105574200212</v>
      </c>
      <c r="BE58">
        <v>862.26395599767591</v>
      </c>
      <c r="BF58">
        <v>27.684568921791321</v>
      </c>
      <c r="BG58">
        <v>11.670732763170676</v>
      </c>
      <c r="BH58">
        <v>15.882011114797782</v>
      </c>
      <c r="BI58">
        <v>6.2748388003866546</v>
      </c>
      <c r="BJ58">
        <v>8.1732652068962022</v>
      </c>
      <c r="BK58">
        <v>925.30657126944413</v>
      </c>
      <c r="BL58">
        <v>27.885320326869419</v>
      </c>
      <c r="BM58">
        <v>11.681316144340393</v>
      </c>
      <c r="BN58">
        <v>16.256738281562694</v>
      </c>
      <c r="BO58">
        <v>6.3709080611389215</v>
      </c>
      <c r="BP58">
        <v>8.6807701833864606</v>
      </c>
      <c r="BQ58">
        <v>1034.5191254433707</v>
      </c>
      <c r="BR58">
        <v>26.362330042691941</v>
      </c>
      <c r="BS58">
        <v>11.024812925031242</v>
      </c>
      <c r="BU58">
        <v>62</v>
      </c>
      <c r="BV58">
        <v>12.570909395147133</v>
      </c>
      <c r="BW58">
        <v>4.7206431891307181</v>
      </c>
      <c r="BX58">
        <v>6.4526878565062802</v>
      </c>
      <c r="BY58">
        <v>763.15313376533493</v>
      </c>
      <c r="BZ58">
        <v>25.845585579184963</v>
      </c>
      <c r="CA58">
        <v>10.469580207202853</v>
      </c>
      <c r="CB58">
        <v>12.960719740728287</v>
      </c>
      <c r="CC58">
        <v>4.7660171204785913</v>
      </c>
      <c r="CD58">
        <v>6.7660389445157652</v>
      </c>
      <c r="CE58">
        <v>802.30293373669463</v>
      </c>
      <c r="CF58">
        <v>25.718104444954964</v>
      </c>
      <c r="CG58">
        <v>10.311334282146941</v>
      </c>
      <c r="CH58">
        <v>14.440798535823363</v>
      </c>
      <c r="CI58">
        <v>5.2828956047132936</v>
      </c>
      <c r="CJ58">
        <v>7.3504371539679791</v>
      </c>
      <c r="CK58">
        <v>871.26356628963435</v>
      </c>
      <c r="CL58">
        <v>26.743049253320972</v>
      </c>
      <c r="CM58">
        <v>10.710810842450591</v>
      </c>
      <c r="CN58">
        <v>15.290414044866317</v>
      </c>
      <c r="CO58">
        <v>5.4309084518504056</v>
      </c>
      <c r="CP58">
        <v>7.9258307722983377</v>
      </c>
      <c r="CQ58">
        <v>935.1051529635248</v>
      </c>
      <c r="CR58">
        <v>26.960468553270395</v>
      </c>
      <c r="CS58">
        <v>10.656414638842717</v>
      </c>
      <c r="CT58">
        <v>15.50492921258054</v>
      </c>
      <c r="CU58">
        <v>5.4219391778683539</v>
      </c>
      <c r="CV58">
        <v>8.279862181829893</v>
      </c>
      <c r="CW58">
        <v>1045.6170611493842</v>
      </c>
      <c r="CX58">
        <v>25.363516469672547</v>
      </c>
      <c r="CY58">
        <v>10.000229845729004</v>
      </c>
      <c r="DA58">
        <v>62</v>
      </c>
      <c r="DB58">
        <v>11.839391816510856</v>
      </c>
      <c r="DC58">
        <v>4.2351229773735399</v>
      </c>
      <c r="DD58">
        <v>6.3924242960974142</v>
      </c>
      <c r="DE58">
        <v>757.3818273762671</v>
      </c>
      <c r="DF58">
        <v>25.076680432000046</v>
      </c>
      <c r="DG58">
        <v>9.9083084137019224</v>
      </c>
      <c r="DH58">
        <v>12.199917445260468</v>
      </c>
      <c r="DI58">
        <v>4.4937574206850481</v>
      </c>
      <c r="DJ58">
        <v>6.6499435684158099</v>
      </c>
      <c r="DK58">
        <v>789.59799633675254</v>
      </c>
      <c r="DL58">
        <v>25.168387512461162</v>
      </c>
      <c r="DM58">
        <v>10.132439649834897</v>
      </c>
      <c r="DN58">
        <v>13.623713069706485</v>
      </c>
      <c r="DO58">
        <v>4.6425789746053692</v>
      </c>
      <c r="DP58">
        <v>7.2109132464421659</v>
      </c>
      <c r="DQ58">
        <v>862.33545593499025</v>
      </c>
      <c r="DR58">
        <v>26.072404706372012</v>
      </c>
      <c r="DS58">
        <v>10.079166480421865</v>
      </c>
      <c r="DT58">
        <v>14.128732558181524</v>
      </c>
      <c r="DU58">
        <v>4.6417663594039897</v>
      </c>
      <c r="DV58">
        <v>7.6686683646484246</v>
      </c>
      <c r="DW58">
        <v>919.52777900953993</v>
      </c>
      <c r="DX58">
        <v>26.153849979055295</v>
      </c>
      <c r="DY58">
        <v>9.9787373018082057</v>
      </c>
      <c r="DZ58">
        <v>14.292358108693062</v>
      </c>
      <c r="EA58">
        <v>4.7197462296354677</v>
      </c>
      <c r="EB58">
        <v>7.9914259449033427</v>
      </c>
      <c r="EC58">
        <v>1028.0494664396242</v>
      </c>
      <c r="ED58">
        <v>24.617448161510069</v>
      </c>
      <c r="EE58">
        <v>9.488082346521491</v>
      </c>
      <c r="EG58">
        <v>62</v>
      </c>
      <c r="EH58">
        <v>11.300274003632321</v>
      </c>
      <c r="EI58">
        <v>3.9104142817938867</v>
      </c>
      <c r="EJ58">
        <v>5.8736248348101165</v>
      </c>
      <c r="EK58">
        <v>753.4106366367979</v>
      </c>
      <c r="EL58">
        <v>24.493288705899111</v>
      </c>
      <c r="EM58">
        <v>9.5295496079632649</v>
      </c>
      <c r="EN58">
        <v>11.67825537514746</v>
      </c>
      <c r="EO58">
        <v>4.0439676799707813</v>
      </c>
      <c r="EP58">
        <v>6.1429616834217153</v>
      </c>
      <c r="EQ58">
        <v>786.03117774041573</v>
      </c>
      <c r="ER58">
        <v>24.618929666863611</v>
      </c>
      <c r="ES58">
        <v>9.6061893200018211</v>
      </c>
      <c r="ET58">
        <v>11.880415914948435</v>
      </c>
      <c r="EU58">
        <v>4.2017587862272068</v>
      </c>
      <c r="EV58">
        <v>6.6593681516052206</v>
      </c>
      <c r="EW58">
        <v>870.17963071091106</v>
      </c>
      <c r="EX58">
        <v>23.834000605241695</v>
      </c>
      <c r="EY58">
        <v>9.4817232474408026</v>
      </c>
      <c r="EZ58">
        <v>12.603341848601078</v>
      </c>
      <c r="FA58">
        <v>4.2509768655117925</v>
      </c>
      <c r="FB58">
        <v>7.077316377219053</v>
      </c>
      <c r="FC58">
        <v>923.7313360401248</v>
      </c>
      <c r="FD58">
        <v>24.38349766368713</v>
      </c>
      <c r="FE58">
        <v>9.5102724264163676</v>
      </c>
      <c r="FF58">
        <v>12.792032529689108</v>
      </c>
      <c r="FG58">
        <v>4.2909533902843267</v>
      </c>
      <c r="FH58">
        <v>7.3790146930668499</v>
      </c>
      <c r="FI58">
        <v>1033.7903989345687</v>
      </c>
      <c r="FJ58">
        <v>23.029454416560537</v>
      </c>
      <c r="FK58">
        <v>9.0206149758561693</v>
      </c>
    </row>
    <row r="59" spans="2:167" x14ac:dyDescent="0.2">
      <c r="B59">
        <v>767.39416255951369</v>
      </c>
      <c r="C59">
        <v>1.3031112937641705</v>
      </c>
      <c r="D59">
        <v>823.54690339302158</v>
      </c>
      <c r="E59">
        <v>1.2142599236060385</v>
      </c>
      <c r="F59">
        <v>951.2929745011852</v>
      </c>
      <c r="G59">
        <v>1.0512008674555329</v>
      </c>
      <c r="H59">
        <v>1066.029229600246</v>
      </c>
      <c r="I59">
        <v>0.93806058242417378</v>
      </c>
      <c r="J59">
        <v>1184.1235480172493</v>
      </c>
      <c r="K59">
        <v>0.84450647204377094</v>
      </c>
      <c r="L59">
        <v>891.98580267886928</v>
      </c>
      <c r="M59">
        <v>1.1210940768302988</v>
      </c>
      <c r="N59">
        <v>882.494960033187</v>
      </c>
      <c r="O59">
        <v>1.1331509473576984</v>
      </c>
      <c r="Q59">
        <v>0.12457221149088833</v>
      </c>
      <c r="R59">
        <v>0.12516830960583097</v>
      </c>
      <c r="S59">
        <v>0.12544826500754142</v>
      </c>
      <c r="T59">
        <v>0.12647504086292241</v>
      </c>
      <c r="U59">
        <v>0.12693571984650887</v>
      </c>
      <c r="V59">
        <v>0.12546297501025716</v>
      </c>
      <c r="W59">
        <v>0.1250635024442506</v>
      </c>
      <c r="Y59">
        <v>1.8329409362026692</v>
      </c>
      <c r="Z59">
        <v>1.8413684929139837</v>
      </c>
      <c r="AA59">
        <v>1.9003067844622556</v>
      </c>
      <c r="AB59">
        <v>1.9381013223145285</v>
      </c>
      <c r="AC59">
        <v>1.9768842488715006</v>
      </c>
      <c r="AD59">
        <v>1.8707726777042548</v>
      </c>
      <c r="AE59">
        <v>1.8705180281084066</v>
      </c>
      <c r="AG59">
        <v>0.7191135827407753</v>
      </c>
      <c r="AH59">
        <v>0.72359166740488357</v>
      </c>
      <c r="AI59">
        <v>0.75218647569460984</v>
      </c>
      <c r="AJ59">
        <v>0.76145672224179806</v>
      </c>
      <c r="AK59">
        <v>0.78102456616851668</v>
      </c>
      <c r="AL59">
        <v>0.73736922663732296</v>
      </c>
      <c r="AM59">
        <v>0.73805272567161551</v>
      </c>
      <c r="AO59">
        <v>63</v>
      </c>
      <c r="AP59">
        <v>13.128664406924546</v>
      </c>
      <c r="AQ59">
        <v>5.6556152967939424</v>
      </c>
      <c r="AR59">
        <v>6.6973604582556741</v>
      </c>
      <c r="AS59">
        <v>761.2323177807084</v>
      </c>
      <c r="AT59">
        <v>26.666229201961343</v>
      </c>
      <c r="AU59">
        <v>11.73462011445716</v>
      </c>
      <c r="AV59">
        <v>13.664573469391197</v>
      </c>
      <c r="AW59">
        <v>5.7508961439475756</v>
      </c>
      <c r="AX59">
        <v>7.0480857876677812</v>
      </c>
      <c r="AY59">
        <v>799.55823718974989</v>
      </c>
      <c r="AZ59">
        <v>26.714496507183778</v>
      </c>
      <c r="BA59">
        <v>11.591217204467423</v>
      </c>
      <c r="BB59">
        <v>15.174748970979254</v>
      </c>
      <c r="BC59">
        <v>6.0836809685159201</v>
      </c>
      <c r="BD59">
        <v>7.6728847457978482</v>
      </c>
      <c r="BE59">
        <v>870.67418032410103</v>
      </c>
      <c r="BF59">
        <v>27.637928249762552</v>
      </c>
      <c r="BG59">
        <v>11.653242792092909</v>
      </c>
      <c r="BH59">
        <v>16.059726600909567</v>
      </c>
      <c r="BI59">
        <v>6.3499475909261784</v>
      </c>
      <c r="BJ59">
        <v>8.2449729827721132</v>
      </c>
      <c r="BK59">
        <v>934.57791739736672</v>
      </c>
      <c r="BL59">
        <v>27.842198320667897</v>
      </c>
      <c r="BM59">
        <v>11.665614191158449</v>
      </c>
      <c r="BN59">
        <v>16.43886317462929</v>
      </c>
      <c r="BO59">
        <v>6.447156158294975</v>
      </c>
      <c r="BP59">
        <v>8.7573880103947186</v>
      </c>
      <c r="BQ59">
        <v>1046.218904270813</v>
      </c>
      <c r="BR59">
        <v>26.288297310467307</v>
      </c>
      <c r="BS59">
        <v>10.995744507331946</v>
      </c>
      <c r="BU59">
        <v>63</v>
      </c>
      <c r="BV59">
        <v>12.703037305603802</v>
      </c>
      <c r="BW59">
        <v>4.7724613416786275</v>
      </c>
      <c r="BX59">
        <v>6.5062510098852266</v>
      </c>
      <c r="BY59">
        <v>770.35376026523568</v>
      </c>
      <c r="BZ59">
        <v>25.797976703219256</v>
      </c>
      <c r="CA59">
        <v>10.44924881020574</v>
      </c>
      <c r="CB59">
        <v>13.100727324219614</v>
      </c>
      <c r="CC59">
        <v>4.819879064073131</v>
      </c>
      <c r="CD59">
        <v>6.8235982274319893</v>
      </c>
      <c r="CE59">
        <v>810.14469333485647</v>
      </c>
      <c r="CF59">
        <v>25.669426413101782</v>
      </c>
      <c r="CG59">
        <v>10.290552025583867</v>
      </c>
      <c r="CH59">
        <v>14.597671159356585</v>
      </c>
      <c r="CI59">
        <v>5.3436925332369265</v>
      </c>
      <c r="CJ59">
        <v>7.4130925369777918</v>
      </c>
      <c r="CK59">
        <v>879.6710220360759</v>
      </c>
      <c r="CL59">
        <v>26.699245655192748</v>
      </c>
      <c r="CM59">
        <v>10.692848741422431</v>
      </c>
      <c r="CN59">
        <v>15.461786849556736</v>
      </c>
      <c r="CO59">
        <v>5.4956621750897172</v>
      </c>
      <c r="CP59">
        <v>7.9954734972235242</v>
      </c>
      <c r="CQ59">
        <v>944.36257805060256</v>
      </c>
      <c r="CR59">
        <v>26.920554204318741</v>
      </c>
      <c r="CS59">
        <v>10.640129367302345</v>
      </c>
      <c r="CT59">
        <v>15.678831918352087</v>
      </c>
      <c r="CU59">
        <v>5.4865336624946037</v>
      </c>
      <c r="CV59">
        <v>8.3529082956737302</v>
      </c>
      <c r="CW59">
        <v>1057.4210672624627</v>
      </c>
      <c r="CX59">
        <v>25.291043633413167</v>
      </c>
      <c r="CY59">
        <v>9.9707993350252639</v>
      </c>
      <c r="DA59">
        <v>63</v>
      </c>
      <c r="DB59">
        <v>11.941032746189579</v>
      </c>
      <c r="DC59">
        <v>4.282553057446715</v>
      </c>
      <c r="DD59">
        <v>6.44015359786047</v>
      </c>
      <c r="DE59">
        <v>764.48515271986582</v>
      </c>
      <c r="DF59">
        <v>24.99926091847702</v>
      </c>
      <c r="DG59">
        <v>9.8886287088262925</v>
      </c>
      <c r="DH59">
        <v>12.30946429017219</v>
      </c>
      <c r="DI59">
        <v>4.5466385871796842</v>
      </c>
      <c r="DJ59">
        <v>6.7025246191133201</v>
      </c>
      <c r="DK59">
        <v>797.23051569962468</v>
      </c>
      <c r="DL59">
        <v>25.092725581284476</v>
      </c>
      <c r="DM59">
        <v>10.114509516790413</v>
      </c>
      <c r="DN59">
        <v>13.749461388121636</v>
      </c>
      <c r="DO59">
        <v>4.6979200297291346</v>
      </c>
      <c r="DP59">
        <v>7.2682977550845864</v>
      </c>
      <c r="DQ59">
        <v>870.59487315770411</v>
      </c>
      <c r="DR59">
        <v>26.003303763724194</v>
      </c>
      <c r="DS59">
        <v>10.062564055266998</v>
      </c>
      <c r="DT59">
        <v>14.270309694584819</v>
      </c>
      <c r="DU59">
        <v>4.7021884357895622</v>
      </c>
      <c r="DV59">
        <v>7.7356587554680436</v>
      </c>
      <c r="DW59">
        <v>928.88481483167652</v>
      </c>
      <c r="DX59">
        <v>26.086427971546154</v>
      </c>
      <c r="DY59">
        <v>9.9632011558660842</v>
      </c>
      <c r="DZ59">
        <v>14.436574889906579</v>
      </c>
      <c r="EA59">
        <v>4.7816936687316325</v>
      </c>
      <c r="EB59">
        <v>8.0622815797825922</v>
      </c>
      <c r="EC59">
        <v>1039.9619638303432</v>
      </c>
      <c r="ED59">
        <v>24.52111347289614</v>
      </c>
      <c r="EE59">
        <v>9.4604356916118171</v>
      </c>
      <c r="EG59">
        <v>63</v>
      </c>
      <c r="EH59">
        <v>11.391465333499657</v>
      </c>
      <c r="EI59">
        <v>3.9543488789952392</v>
      </c>
      <c r="EJ59">
        <v>5.9168827397269661</v>
      </c>
      <c r="EK59">
        <v>760.38672501869144</v>
      </c>
      <c r="EL59">
        <v>24.411257821471665</v>
      </c>
      <c r="EM59">
        <v>9.5102997097008508</v>
      </c>
      <c r="EN59">
        <v>11.778428748586061</v>
      </c>
      <c r="EO59">
        <v>4.0915058956947234</v>
      </c>
      <c r="EP59">
        <v>6.190931604126316</v>
      </c>
      <c r="EQ59">
        <v>793.59960959258513</v>
      </c>
      <c r="ER59">
        <v>24.53838280475939</v>
      </c>
      <c r="ES59">
        <v>9.5872816148947226</v>
      </c>
      <c r="ET59">
        <v>11.996638160400076</v>
      </c>
      <c r="EU59">
        <v>4.2518448465050485</v>
      </c>
      <c r="EV59">
        <v>6.7118392348001077</v>
      </c>
      <c r="EW59">
        <v>878.94812031093556</v>
      </c>
      <c r="EX59">
        <v>23.761948210038511</v>
      </c>
      <c r="EY59">
        <v>9.4594223504011676</v>
      </c>
      <c r="EZ59">
        <v>12.729530460927009</v>
      </c>
      <c r="FA59">
        <v>4.3063900680525977</v>
      </c>
      <c r="FB59">
        <v>7.1385391942841672</v>
      </c>
      <c r="FC59">
        <v>933.46923578419933</v>
      </c>
      <c r="FD59">
        <v>24.307718682608336</v>
      </c>
      <c r="FE59">
        <v>9.49026229623753</v>
      </c>
      <c r="FF59">
        <v>12.919908506893691</v>
      </c>
      <c r="FG59">
        <v>4.3473023356450575</v>
      </c>
      <c r="FH59">
        <v>7.443849433069393</v>
      </c>
      <c r="FI59">
        <v>1046.9040765636457</v>
      </c>
      <c r="FJ59">
        <v>22.909796108821205</v>
      </c>
      <c r="FK59">
        <v>8.9827732625903138</v>
      </c>
    </row>
    <row r="60" spans="2:167" x14ac:dyDescent="0.2">
      <c r="B60">
        <v>769.03601569949763</v>
      </c>
      <c r="C60">
        <v>1.3003292168188285</v>
      </c>
      <c r="D60">
        <v>825.69044067023356</v>
      </c>
      <c r="E60">
        <v>1.211107638824394</v>
      </c>
      <c r="F60">
        <v>954.11825103959302</v>
      </c>
      <c r="G60">
        <v>1.0480881158183641</v>
      </c>
      <c r="H60">
        <v>1069.9834234569219</v>
      </c>
      <c r="I60">
        <v>0.93459391807134895</v>
      </c>
      <c r="J60">
        <v>1188.9071193843106</v>
      </c>
      <c r="K60">
        <v>0.84110859771607871</v>
      </c>
      <c r="L60">
        <v>894.64998831652679</v>
      </c>
      <c r="M60">
        <v>1.1177555614589696</v>
      </c>
      <c r="N60">
        <v>884.7945143198051</v>
      </c>
      <c r="O60">
        <v>1.1302059221838194</v>
      </c>
      <c r="Q60">
        <v>0.12645923642459683</v>
      </c>
      <c r="R60">
        <v>0.12706116957403771</v>
      </c>
      <c r="S60">
        <v>0.12734056666674476</v>
      </c>
      <c r="T60">
        <v>0.1283787025131293</v>
      </c>
      <c r="U60">
        <v>0.12884408421071192</v>
      </c>
      <c r="V60">
        <v>0.12735656162317732</v>
      </c>
      <c r="W60">
        <v>0.12695474187455075</v>
      </c>
      <c r="Y60">
        <v>1.8488447232764003</v>
      </c>
      <c r="Z60">
        <v>1.8579348886364002</v>
      </c>
      <c r="AA60">
        <v>1.9171999973545037</v>
      </c>
      <c r="AB60">
        <v>1.9567034243302579</v>
      </c>
      <c r="AC60">
        <v>1.9960541878916076</v>
      </c>
      <c r="AD60">
        <v>1.8874199280984194</v>
      </c>
      <c r="AE60">
        <v>1.8872889295366044</v>
      </c>
      <c r="AG60">
        <v>0.72497161923298303</v>
      </c>
      <c r="AH60">
        <v>0.72973396339815821</v>
      </c>
      <c r="AI60">
        <v>0.7585066996458999</v>
      </c>
      <c r="AJ60">
        <v>0.76840730601697038</v>
      </c>
      <c r="AK60">
        <v>0.78824875608361111</v>
      </c>
      <c r="AL60">
        <v>0.74355907285496481</v>
      </c>
      <c r="AM60">
        <v>0.74430811699720179</v>
      </c>
      <c r="AO60">
        <v>64</v>
      </c>
      <c r="AP60">
        <v>13.262481531722063</v>
      </c>
      <c r="AQ60">
        <v>5.7171841923915458</v>
      </c>
      <c r="AR60">
        <v>6.7509756343000609</v>
      </c>
      <c r="AS60">
        <v>768.24266872279941</v>
      </c>
      <c r="AT60">
        <v>26.617050698854676</v>
      </c>
      <c r="AU60">
        <v>11.716808846872521</v>
      </c>
      <c r="AV60">
        <v>13.807841470935028</v>
      </c>
      <c r="AW60">
        <v>5.8147994621804662</v>
      </c>
      <c r="AX60">
        <v>7.1058915906551654</v>
      </c>
      <c r="AY60">
        <v>807.12982634616765</v>
      </c>
      <c r="AZ60">
        <v>26.666209382933534</v>
      </c>
      <c r="BA60">
        <v>11.572996293977248</v>
      </c>
      <c r="BB60">
        <v>15.334287699791567</v>
      </c>
      <c r="BC60">
        <v>6.1519927772677825</v>
      </c>
      <c r="BD60">
        <v>7.7357114619850851</v>
      </c>
      <c r="BE60">
        <v>878.87066727670663</v>
      </c>
      <c r="BF60">
        <v>27.591737374335089</v>
      </c>
      <c r="BG60">
        <v>11.636017845516056</v>
      </c>
      <c r="BH60">
        <v>16.233892192090241</v>
      </c>
      <c r="BI60">
        <v>6.4238494440789449</v>
      </c>
      <c r="BJ60">
        <v>8.3144344187143133</v>
      </c>
      <c r="BK60">
        <v>943.60889025646838</v>
      </c>
      <c r="BL60">
        <v>27.799459682646738</v>
      </c>
      <c r="BM60">
        <v>11.650180246779815</v>
      </c>
      <c r="BN60">
        <v>16.617351639866314</v>
      </c>
      <c r="BO60">
        <v>6.522188613486863</v>
      </c>
      <c r="BP60">
        <v>8.8315284068506248</v>
      </c>
      <c r="BQ60">
        <v>1057.6469460664266</v>
      </c>
      <c r="BR60">
        <v>26.215269534425452</v>
      </c>
      <c r="BS60">
        <v>10.967191377007055</v>
      </c>
      <c r="BU60">
        <v>64</v>
      </c>
      <c r="BV60">
        <v>12.832708064784654</v>
      </c>
      <c r="BW60">
        <v>4.8235368373006997</v>
      </c>
      <c r="BX60">
        <v>6.5584191674810857</v>
      </c>
      <c r="BY60">
        <v>777.37530312578247</v>
      </c>
      <c r="BZ60">
        <v>25.751500613651054</v>
      </c>
      <c r="CA60">
        <v>10.429589298431242</v>
      </c>
      <c r="CB60">
        <v>13.238222866328721</v>
      </c>
      <c r="CC60">
        <v>4.8730350354656178</v>
      </c>
      <c r="CD60">
        <v>6.8796258267761567</v>
      </c>
      <c r="CE60">
        <v>817.79551781331281</v>
      </c>
      <c r="CF60">
        <v>25.621899224855699</v>
      </c>
      <c r="CG60">
        <v>10.270472116069014</v>
      </c>
      <c r="CH60">
        <v>14.751304838917619</v>
      </c>
      <c r="CI60">
        <v>5.4035786041414564</v>
      </c>
      <c r="CJ60">
        <v>7.47384787279249</v>
      </c>
      <c r="CK60">
        <v>887.85651392227589</v>
      </c>
      <c r="CL60">
        <v>26.655867705559661</v>
      </c>
      <c r="CM60">
        <v>10.675306703934108</v>
      </c>
      <c r="CN60">
        <v>15.629626356321179</v>
      </c>
      <c r="CO60">
        <v>5.5594979747736089</v>
      </c>
      <c r="CP60">
        <v>8.0629115224876884</v>
      </c>
      <c r="CQ60">
        <v>953.37064767221921</v>
      </c>
      <c r="CR60">
        <v>26.880994844634376</v>
      </c>
      <c r="CS60">
        <v>10.624264769822057</v>
      </c>
      <c r="CT60">
        <v>15.84918271877001</v>
      </c>
      <c r="CU60">
        <v>5.5502403757079195</v>
      </c>
      <c r="CV60">
        <v>8.4235996294182982</v>
      </c>
      <c r="CW60">
        <v>1068.9450821786822</v>
      </c>
      <c r="CX60">
        <v>25.219565805337343</v>
      </c>
      <c r="CY60">
        <v>9.9420151757264499</v>
      </c>
      <c r="DA60">
        <v>64</v>
      </c>
      <c r="DB60">
        <v>12.039304993097129</v>
      </c>
      <c r="DC60">
        <v>4.329346748679562</v>
      </c>
      <c r="DD60">
        <v>6.4862239543299873</v>
      </c>
      <c r="DE60">
        <v>771.42460789901804</v>
      </c>
      <c r="DF60">
        <v>24.921654464916774</v>
      </c>
      <c r="DG60">
        <v>9.8694220741282077</v>
      </c>
      <c r="DH60">
        <v>12.415681264198012</v>
      </c>
      <c r="DI60">
        <v>4.5988925766315996</v>
      </c>
      <c r="DJ60">
        <v>6.7534282554849225</v>
      </c>
      <c r="DK60">
        <v>804.69551459026161</v>
      </c>
      <c r="DL60">
        <v>25.016832300936873</v>
      </c>
      <c r="DM60">
        <v>10.096991291980739</v>
      </c>
      <c r="DN60">
        <v>13.871125958703136</v>
      </c>
      <c r="DO60">
        <v>4.7525618755856494</v>
      </c>
      <c r="DP60">
        <v>7.3236363834469982</v>
      </c>
      <c r="DQ60">
        <v>878.64904768723352</v>
      </c>
      <c r="DR60">
        <v>25.933456544902789</v>
      </c>
      <c r="DS60">
        <v>10.04624530110725</v>
      </c>
      <c r="DT60">
        <v>14.408034442772557</v>
      </c>
      <c r="DU60">
        <v>4.7621285787665615</v>
      </c>
      <c r="DV60">
        <v>7.8005941905726637</v>
      </c>
      <c r="DW60">
        <v>938.03356901656753</v>
      </c>
      <c r="DX60">
        <v>26.018215507085952</v>
      </c>
      <c r="DY60">
        <v>9.9479305398659292</v>
      </c>
      <c r="DZ60">
        <v>14.576975821422996</v>
      </c>
      <c r="EA60">
        <v>4.8431773998043353</v>
      </c>
      <c r="EB60">
        <v>8.1309917022463143</v>
      </c>
      <c r="EC60">
        <v>1051.6406377613316</v>
      </c>
      <c r="ED60">
        <v>24.424811121438829</v>
      </c>
      <c r="EE60">
        <v>9.433265411132254</v>
      </c>
      <c r="EG60">
        <v>64</v>
      </c>
      <c r="EH60">
        <v>11.47924829184093</v>
      </c>
      <c r="EI60">
        <v>3.9976803125473142</v>
      </c>
      <c r="EJ60">
        <v>5.9586792383353462</v>
      </c>
      <c r="EK60">
        <v>767.20304731418787</v>
      </c>
      <c r="EL60">
        <v>24.328788692745146</v>
      </c>
      <c r="EM60">
        <v>9.491422959129526</v>
      </c>
      <c r="EN60">
        <v>11.875190720041166</v>
      </c>
      <c r="EO60">
        <v>4.1384841051883896</v>
      </c>
      <c r="EP60">
        <v>6.2374068211623239</v>
      </c>
      <c r="EQ60">
        <v>801.00575133913844</v>
      </c>
      <c r="ER60">
        <v>24.457305287648822</v>
      </c>
      <c r="ES60">
        <v>9.5687142311485118</v>
      </c>
      <c r="ET60">
        <v>12.110128729967812</v>
      </c>
      <c r="EU60">
        <v>4.3012981198440281</v>
      </c>
      <c r="EV60">
        <v>6.7624765477333186</v>
      </c>
      <c r="EW60">
        <v>887.49931060957363</v>
      </c>
      <c r="EX60">
        <v>23.690620844810113</v>
      </c>
      <c r="EY60">
        <v>9.4375961882783894</v>
      </c>
      <c r="EZ60">
        <v>12.852533414759932</v>
      </c>
      <c r="FA60">
        <v>4.3613525176701353</v>
      </c>
      <c r="FB60">
        <v>7.1979215895653494</v>
      </c>
      <c r="FC60">
        <v>942.99221650080779</v>
      </c>
      <c r="FD60">
        <v>24.231863342767937</v>
      </c>
      <c r="FE60">
        <v>9.4706155271168875</v>
      </c>
      <c r="FF60">
        <v>13.04448757331382</v>
      </c>
      <c r="FG60">
        <v>4.4032261259350598</v>
      </c>
      <c r="FH60">
        <v>7.5067584632526048</v>
      </c>
      <c r="FI60">
        <v>1059.8003549094292</v>
      </c>
      <c r="FJ60">
        <v>22.79074127966771</v>
      </c>
      <c r="FK60">
        <v>8.9455093455558981</v>
      </c>
    </row>
    <row r="61" spans="2:167" x14ac:dyDescent="0.2">
      <c r="B61">
        <v>770.46814322084117</v>
      </c>
      <c r="C61">
        <v>1.2979121963688609</v>
      </c>
      <c r="D61">
        <v>827.5982435357929</v>
      </c>
      <c r="E61">
        <v>1.2083157592597655</v>
      </c>
      <c r="F61">
        <v>956.6184811549025</v>
      </c>
      <c r="G61">
        <v>1.045348819513422</v>
      </c>
      <c r="H61">
        <v>1073.5553510038173</v>
      </c>
      <c r="I61">
        <v>0.93148434225115628</v>
      </c>
      <c r="J61">
        <v>1193.2455755316457</v>
      </c>
      <c r="K61">
        <v>0.83805045709426085</v>
      </c>
      <c r="L61">
        <v>897.01759801805588</v>
      </c>
      <c r="M61">
        <v>1.1148053306975045</v>
      </c>
      <c r="N61">
        <v>886.83107106597595</v>
      </c>
      <c r="O61">
        <v>1.1276104690355451</v>
      </c>
      <c r="Q61">
        <v>0.12834446415959605</v>
      </c>
      <c r="R61">
        <v>0.12895200325458081</v>
      </c>
      <c r="S61">
        <v>0.12923024825925378</v>
      </c>
      <c r="T61">
        <v>0.13027930180420327</v>
      </c>
      <c r="U61">
        <v>0.1307490658001382</v>
      </c>
      <c r="V61">
        <v>0.12924762250359964</v>
      </c>
      <c r="W61">
        <v>0.1288438721781173</v>
      </c>
      <c r="Y61">
        <v>1.8643375934003197</v>
      </c>
      <c r="Z61">
        <v>1.8741175461963617</v>
      </c>
      <c r="AA61">
        <v>1.9336561855348984</v>
      </c>
      <c r="AB61">
        <v>1.9749081631687198</v>
      </c>
      <c r="AC61">
        <v>2.0148260114754821</v>
      </c>
      <c r="AD61">
        <v>1.9036638289002294</v>
      </c>
      <c r="AE61">
        <v>1.9036453797998865</v>
      </c>
      <c r="AG61">
        <v>0.73071025308241566</v>
      </c>
      <c r="AH61">
        <v>0.73576711268040274</v>
      </c>
      <c r="AI61">
        <v>0.76469449493009578</v>
      </c>
      <c r="AJ61">
        <v>0.77524378114625458</v>
      </c>
      <c r="AK61">
        <v>0.79535696753554019</v>
      </c>
      <c r="AL61">
        <v>0.74963175986886177</v>
      </c>
      <c r="AM61">
        <v>0.75044041133175388</v>
      </c>
      <c r="AO61">
        <v>65</v>
      </c>
      <c r="AP61">
        <v>13.393894706355947</v>
      </c>
      <c r="AQ61">
        <v>5.7776945674841897</v>
      </c>
      <c r="AR61">
        <v>6.8031854914793906</v>
      </c>
      <c r="AS61">
        <v>775.08117445369351</v>
      </c>
      <c r="AT61">
        <v>26.569022336436326</v>
      </c>
      <c r="AU61">
        <v>11.69939236300023</v>
      </c>
      <c r="AV61">
        <v>13.948593959823688</v>
      </c>
      <c r="AW61">
        <v>5.8776685909873461</v>
      </c>
      <c r="AX61">
        <v>7.1621387887814487</v>
      </c>
      <c r="AY61">
        <v>814.51698702703459</v>
      </c>
      <c r="AZ61">
        <v>26.61905435092234</v>
      </c>
      <c r="BA61">
        <v>11.555224801830386</v>
      </c>
      <c r="BB61">
        <v>15.490576148785014</v>
      </c>
      <c r="BC61">
        <v>6.2191439715428976</v>
      </c>
      <c r="BD61">
        <v>7.7965906933963067</v>
      </c>
      <c r="BE61">
        <v>886.85190599611542</v>
      </c>
      <c r="BF61">
        <v>27.545996204696014</v>
      </c>
      <c r="BG61">
        <v>11.619057393512604</v>
      </c>
      <c r="BH61">
        <v>16.404507836700816</v>
      </c>
      <c r="BI61">
        <v>6.4965443426655103</v>
      </c>
      <c r="BJ61">
        <v>8.3816494909866961</v>
      </c>
      <c r="BK61">
        <v>952.39794237722606</v>
      </c>
      <c r="BL61">
        <v>27.757104315550677</v>
      </c>
      <c r="BM61">
        <v>11.635013029814257</v>
      </c>
      <c r="BN61">
        <v>16.792203590425853</v>
      </c>
      <c r="BO61">
        <v>6.5960053975456185</v>
      </c>
      <c r="BP61">
        <v>8.9031913321668075</v>
      </c>
      <c r="BQ61">
        <v>1068.7996776860109</v>
      </c>
      <c r="BR61">
        <v>26.143243520328085</v>
      </c>
      <c r="BS61">
        <v>10.939150592903047</v>
      </c>
      <c r="BU61">
        <v>65</v>
      </c>
      <c r="BV61">
        <v>12.959921666863023</v>
      </c>
      <c r="BW61">
        <v>4.8738696747219965</v>
      </c>
      <c r="BX61">
        <v>6.6091923258314269</v>
      </c>
      <c r="BY61">
        <v>784.21585942470438</v>
      </c>
      <c r="BZ61">
        <v>25.706156990891774</v>
      </c>
      <c r="CA61">
        <v>10.410595223534203</v>
      </c>
      <c r="CB61">
        <v>13.37320635593991</v>
      </c>
      <c r="CC61">
        <v>4.9254850321758967</v>
      </c>
      <c r="CD61">
        <v>6.9341217358907397</v>
      </c>
      <c r="CE61">
        <v>825.2533039799157</v>
      </c>
      <c r="CF61">
        <v>25.575522378098864</v>
      </c>
      <c r="CG61">
        <v>10.251086897073952</v>
      </c>
      <c r="CH61">
        <v>14.90169954822187</v>
      </c>
      <c r="CI61">
        <v>5.4625538109468232</v>
      </c>
      <c r="CJ61">
        <v>7.5327031493037149</v>
      </c>
      <c r="CK61">
        <v>895.81852693945621</v>
      </c>
      <c r="CL61">
        <v>26.612915360863624</v>
      </c>
      <c r="CM61">
        <v>10.658177686209116</v>
      </c>
      <c r="CN61">
        <v>15.793932513572599</v>
      </c>
      <c r="CO61">
        <v>5.6224158382851375</v>
      </c>
      <c r="CP61">
        <v>8.1281448252209838</v>
      </c>
      <c r="CQ61">
        <v>962.12783612759961</v>
      </c>
      <c r="CR61">
        <v>26.841790397931348</v>
      </c>
      <c r="CS61">
        <v>10.608812656152336</v>
      </c>
      <c r="CT61">
        <v>16.015981529080406</v>
      </c>
      <c r="CU61">
        <v>5.6130592963154511</v>
      </c>
      <c r="CV61">
        <v>8.4919361442707508</v>
      </c>
      <c r="CW61">
        <v>1080.1853903424878</v>
      </c>
      <c r="CX61">
        <v>25.149079435553972</v>
      </c>
      <c r="CY61">
        <v>9.9138672142454762</v>
      </c>
      <c r="DA61">
        <v>65</v>
      </c>
      <c r="DB61">
        <v>12.134208939505593</v>
      </c>
      <c r="DC61">
        <v>4.3755040496289697</v>
      </c>
      <c r="DD61">
        <v>6.5306357839304354</v>
      </c>
      <c r="DE61">
        <v>778.19881907703859</v>
      </c>
      <c r="DF61">
        <v>24.84386097204704</v>
      </c>
      <c r="DG61">
        <v>9.8506809151231689</v>
      </c>
      <c r="DH61">
        <v>12.518568364825104</v>
      </c>
      <c r="DI61">
        <v>4.6505193763879111</v>
      </c>
      <c r="DJ61">
        <v>6.8026544768668682</v>
      </c>
      <c r="DK61">
        <v>811.99164366051446</v>
      </c>
      <c r="DL61">
        <v>24.940707839218309</v>
      </c>
      <c r="DM61">
        <v>10.07987919495079</v>
      </c>
      <c r="DN61">
        <v>13.988706778743843</v>
      </c>
      <c r="DO61">
        <v>4.8065045072476407</v>
      </c>
      <c r="DP61">
        <v>7.3769295067638696</v>
      </c>
      <c r="DQ61">
        <v>886.49698171609157</v>
      </c>
      <c r="DR61">
        <v>25.862862863077336</v>
      </c>
      <c r="DS61">
        <v>10.030201923312708</v>
      </c>
      <c r="DT61">
        <v>14.541906781709603</v>
      </c>
      <c r="DU61">
        <v>4.8215867819600806</v>
      </c>
      <c r="DV61">
        <v>7.8634746627278682</v>
      </c>
      <c r="DW61">
        <v>946.97318582205446</v>
      </c>
      <c r="DX61">
        <v>25.949212025636825</v>
      </c>
      <c r="DY61">
        <v>9.9329157881661505</v>
      </c>
      <c r="DZ61">
        <v>14.713560865394417</v>
      </c>
      <c r="EA61">
        <v>4.9041974116011096</v>
      </c>
      <c r="EB61">
        <v>8.1975562970070435</v>
      </c>
      <c r="EC61">
        <v>1063.0825362133967</v>
      </c>
      <c r="ED61">
        <v>24.328541427540188</v>
      </c>
      <c r="EE61">
        <v>9.4065628032306154</v>
      </c>
      <c r="EG61">
        <v>65</v>
      </c>
      <c r="EH61">
        <v>11.563624202494395</v>
      </c>
      <c r="EI61">
        <v>4.0404085810683039</v>
      </c>
      <c r="EJ61">
        <v>5.9990146323153022</v>
      </c>
      <c r="EK61">
        <v>773.85837761449204</v>
      </c>
      <c r="EL61">
        <v>24.245881514636672</v>
      </c>
      <c r="EM61">
        <v>9.472912613921185</v>
      </c>
      <c r="EN61">
        <v>11.968541444599824</v>
      </c>
      <c r="EO61">
        <v>4.1849023061594259</v>
      </c>
      <c r="EP61">
        <v>6.282387333766934</v>
      </c>
      <c r="EQ61">
        <v>808.2484475183519</v>
      </c>
      <c r="ER61">
        <v>24.375697216233664</v>
      </c>
      <c r="ES61">
        <v>9.5504799655105561</v>
      </c>
      <c r="ET61">
        <v>12.220887606132059</v>
      </c>
      <c r="EU61">
        <v>4.3501186017849944</v>
      </c>
      <c r="EV61">
        <v>6.8112803449936683</v>
      </c>
      <c r="EW61">
        <v>895.83039990398458</v>
      </c>
      <c r="EX61">
        <v>23.620018584222365</v>
      </c>
      <c r="EY61">
        <v>9.4162442204027794</v>
      </c>
      <c r="EZ61">
        <v>12.972350688090534</v>
      </c>
      <c r="FA61">
        <v>4.4158642083903068</v>
      </c>
      <c r="FB61">
        <v>7.255463556188233</v>
      </c>
      <c r="FC61">
        <v>952.29826782327609</v>
      </c>
      <c r="FD61">
        <v>24.155931670915457</v>
      </c>
      <c r="FE61">
        <v>9.45132700432716</v>
      </c>
      <c r="FF61">
        <v>13.165769695645299</v>
      </c>
      <c r="FG61">
        <v>4.4587247508506156</v>
      </c>
      <c r="FH61">
        <v>7.5677417692983067</v>
      </c>
      <c r="FI61">
        <v>1072.4748127565008</v>
      </c>
      <c r="FJ61">
        <v>22.672286625470317</v>
      </c>
      <c r="FK61">
        <v>8.9088152630842234</v>
      </c>
    </row>
    <row r="62" spans="2:167" x14ac:dyDescent="0.2">
      <c r="B62">
        <v>771.69051426214719</v>
      </c>
      <c r="C62">
        <v>1.2958562811364231</v>
      </c>
      <c r="D62">
        <v>829.27025912269619</v>
      </c>
      <c r="E62">
        <v>1.2058794934451438</v>
      </c>
      <c r="F62">
        <v>958.79357068369688</v>
      </c>
      <c r="G62">
        <v>1.0429773734161771</v>
      </c>
      <c r="H62">
        <v>1076.7448393440013</v>
      </c>
      <c r="I62">
        <v>0.92872513845456883</v>
      </c>
      <c r="J62">
        <v>1197.1386490999703</v>
      </c>
      <c r="K62">
        <v>0.83532513193172531</v>
      </c>
      <c r="L62">
        <v>899.08853734966578</v>
      </c>
      <c r="M62">
        <v>1.1122375143918541</v>
      </c>
      <c r="N62">
        <v>888.60457134681019</v>
      </c>
      <c r="O62">
        <v>1.1253599545232518</v>
      </c>
      <c r="Q62">
        <v>0.13022789443142591</v>
      </c>
      <c r="R62">
        <v>0.13084081019303459</v>
      </c>
      <c r="S62">
        <v>0.13111730902605553</v>
      </c>
      <c r="T62">
        <v>0.13217683735105629</v>
      </c>
      <c r="U62">
        <v>0.13265066258291777</v>
      </c>
      <c r="V62">
        <v>0.13113615684729671</v>
      </c>
      <c r="W62">
        <v>0.13073089288239814</v>
      </c>
      <c r="Y62">
        <v>1.8794195462257062</v>
      </c>
      <c r="Z62">
        <v>1.8899164648240467</v>
      </c>
      <c r="AA62">
        <v>1.9496753477440933</v>
      </c>
      <c r="AB62">
        <v>1.9927155361661859</v>
      </c>
      <c r="AC62">
        <v>2.0331997150919516</v>
      </c>
      <c r="AD62">
        <v>1.9195043783681944</v>
      </c>
      <c r="AE62">
        <v>1.9195873780165249</v>
      </c>
      <c r="AG62">
        <v>0.73632948421563926</v>
      </c>
      <c r="AH62">
        <v>0.74169111511328456</v>
      </c>
      <c r="AI62">
        <v>0.77074986122515432</v>
      </c>
      <c r="AJ62">
        <v>0.78196614712694867</v>
      </c>
      <c r="AK62">
        <v>0.80234919951471462</v>
      </c>
      <c r="AL62">
        <v>0.7555872872546805</v>
      </c>
      <c r="AM62">
        <v>0.75644960846181608</v>
      </c>
      <c r="AO62">
        <v>66</v>
      </c>
      <c r="AP62">
        <v>13.52290392607947</v>
      </c>
      <c r="AQ62">
        <v>5.8371457464148326</v>
      </c>
      <c r="AR62">
        <v>6.8539900267078808</v>
      </c>
      <c r="AS62">
        <v>781.74601574773521</v>
      </c>
      <c r="AT62">
        <v>26.522143603780872</v>
      </c>
      <c r="AU62">
        <v>11.682374970387292</v>
      </c>
      <c r="AV62">
        <v>14.086830926360607</v>
      </c>
      <c r="AW62">
        <v>5.9395033053237158</v>
      </c>
      <c r="AX62">
        <v>7.2168273759457016</v>
      </c>
      <c r="AY62">
        <v>821.71778086053246</v>
      </c>
      <c r="AZ62">
        <v>26.573031199028122</v>
      </c>
      <c r="BA62">
        <v>11.537905309750567</v>
      </c>
      <c r="BB62">
        <v>15.643614294804287</v>
      </c>
      <c r="BC62">
        <v>6.2851345436038057</v>
      </c>
      <c r="BD62">
        <v>7.8555224288923169</v>
      </c>
      <c r="BE62">
        <v>894.61639989133039</v>
      </c>
      <c r="BF62">
        <v>27.500704684444912</v>
      </c>
      <c r="BG62">
        <v>11.602361066116558</v>
      </c>
      <c r="BH62">
        <v>16.57157348808331</v>
      </c>
      <c r="BI62">
        <v>6.5680322711635322</v>
      </c>
      <c r="BJ62">
        <v>8.4466181781427103</v>
      </c>
      <c r="BK62">
        <v>960.94354396298866</v>
      </c>
      <c r="BL62">
        <v>27.715132105554197</v>
      </c>
      <c r="BM62">
        <v>11.620111480776195</v>
      </c>
      <c r="BN62">
        <v>16.963418947516391</v>
      </c>
      <c r="BO62">
        <v>6.6686064840081238</v>
      </c>
      <c r="BP62">
        <v>8.9723767495209668</v>
      </c>
      <c r="BQ62">
        <v>1079.6735476057729</v>
      </c>
      <c r="BR62">
        <v>26.072216502042977</v>
      </c>
      <c r="BS62">
        <v>10.91161963828274</v>
      </c>
      <c r="BU62">
        <v>66</v>
      </c>
      <c r="BV62">
        <v>13.084678106756128</v>
      </c>
      <c r="BW62">
        <v>4.9234598528303453</v>
      </c>
      <c r="BX62">
        <v>6.6585704819158558</v>
      </c>
      <c r="BY62">
        <v>790.87356219249568</v>
      </c>
      <c r="BZ62">
        <v>25.661945527370932</v>
      </c>
      <c r="CA62">
        <v>10.392260643031053</v>
      </c>
      <c r="CB62">
        <v>13.505677783158752</v>
      </c>
      <c r="CC62">
        <v>4.9772290519963018</v>
      </c>
      <c r="CD62">
        <v>6.9870859488496633</v>
      </c>
      <c r="CE62">
        <v>832.51598731936485</v>
      </c>
      <c r="CF62">
        <v>25.530295403501658</v>
      </c>
      <c r="CG62">
        <v>10.23238931544015</v>
      </c>
      <c r="CH62">
        <v>15.048855264005166</v>
      </c>
      <c r="CI62">
        <v>5.5206181479176077</v>
      </c>
      <c r="CJ62">
        <v>7.5896583557945112</v>
      </c>
      <c r="CK62">
        <v>903.55556168788041</v>
      </c>
      <c r="CL62">
        <v>26.570388591959961</v>
      </c>
      <c r="CM62">
        <v>10.641455267632717</v>
      </c>
      <c r="CN62">
        <v>15.954705274699958</v>
      </c>
      <c r="CO62">
        <v>5.6844157542243714</v>
      </c>
      <c r="CP62">
        <v>8.1911733847595478</v>
      </c>
      <c r="CQ62">
        <v>970.6326368682661</v>
      </c>
      <c r="CR62">
        <v>26.802940747459289</v>
      </c>
      <c r="CS62">
        <v>10.593765550496819</v>
      </c>
      <c r="CT62">
        <v>16.179228272391523</v>
      </c>
      <c r="CU62">
        <v>5.6749904050902957</v>
      </c>
      <c r="CV62">
        <v>8.5579178050368565</v>
      </c>
      <c r="CW62">
        <v>1091.1382993819477</v>
      </c>
      <c r="CX62">
        <v>25.079581410607744</v>
      </c>
      <c r="CY62">
        <v>9.8863462241055942</v>
      </c>
      <c r="DA62">
        <v>66</v>
      </c>
      <c r="DB62">
        <v>12.225744967668795</v>
      </c>
      <c r="DC62">
        <v>4.4210249590360657</v>
      </c>
      <c r="DD62">
        <v>6.5733895050662863</v>
      </c>
      <c r="DE62">
        <v>784.80638932668421</v>
      </c>
      <c r="DF62">
        <v>24.765880346118944</v>
      </c>
      <c r="DG62">
        <v>9.8323986719996945</v>
      </c>
      <c r="DH62">
        <v>12.618125589816707</v>
      </c>
      <c r="DI62">
        <v>4.7015189740754026</v>
      </c>
      <c r="DJ62">
        <v>6.8502032826683275</v>
      </c>
      <c r="DK62">
        <v>819.11753044560589</v>
      </c>
      <c r="DL62">
        <v>24.864352347555641</v>
      </c>
      <c r="DM62">
        <v>10.063168360192059</v>
      </c>
      <c r="DN62">
        <v>14.102203845847692</v>
      </c>
      <c r="DO62">
        <v>4.8597479203540415</v>
      </c>
      <c r="DP62">
        <v>7.428177500254713</v>
      </c>
      <c r="DQ62">
        <v>894.13763593470401</v>
      </c>
      <c r="DR62">
        <v>25.791522516786486</v>
      </c>
      <c r="DS62">
        <v>10.014426755002034</v>
      </c>
      <c r="DT62">
        <v>14.671926692389862</v>
      </c>
      <c r="DU62">
        <v>4.8805630396101245</v>
      </c>
      <c r="DV62">
        <v>7.924300165397054</v>
      </c>
      <c r="DW62">
        <v>955.70277023037147</v>
      </c>
      <c r="DX62">
        <v>25.879416950165719</v>
      </c>
      <c r="DY62">
        <v>9.9181483734151179</v>
      </c>
      <c r="DZ62">
        <v>14.846329987483873</v>
      </c>
      <c r="EA62">
        <v>4.9647536939133188</v>
      </c>
      <c r="EB62">
        <v>8.2619753501954545</v>
      </c>
      <c r="EC62">
        <v>1074.2846667287781</v>
      </c>
      <c r="ED62">
        <v>24.232304835871151</v>
      </c>
      <c r="EE62">
        <v>9.3803203256915602</v>
      </c>
      <c r="EG62">
        <v>66</v>
      </c>
      <c r="EH62">
        <v>11.644594389235031</v>
      </c>
      <c r="EI62">
        <v>4.0825336833528167</v>
      </c>
      <c r="EJ62">
        <v>6.0378892233324697</v>
      </c>
      <c r="EK62">
        <v>780.35145771760574</v>
      </c>
      <c r="EL62">
        <v>24.162536467412991</v>
      </c>
      <c r="EM62">
        <v>9.4547629168129088</v>
      </c>
      <c r="EN62">
        <v>12.058481077346826</v>
      </c>
      <c r="EO62">
        <v>4.2307604965673429</v>
      </c>
      <c r="EP62">
        <v>6.32587314126115</v>
      </c>
      <c r="EQ62">
        <v>815.32650851075027</v>
      </c>
      <c r="ER62">
        <v>24.293558680887823</v>
      </c>
      <c r="ES62">
        <v>9.5325726037623859</v>
      </c>
      <c r="ET62">
        <v>12.328914773386465</v>
      </c>
      <c r="EU62">
        <v>4.3983062883812067</v>
      </c>
      <c r="EV62">
        <v>6.8582508811598251</v>
      </c>
      <c r="EW62">
        <v>903.93859829991766</v>
      </c>
      <c r="EX62">
        <v>23.550141500641868</v>
      </c>
      <c r="EY62">
        <v>9.3953662870009431</v>
      </c>
      <c r="EZ62">
        <v>13.088982261032488</v>
      </c>
      <c r="FA62">
        <v>4.4699251348152638</v>
      </c>
      <c r="FB62">
        <v>7.3111650879415429</v>
      </c>
      <c r="FC62">
        <v>961.38535730764443</v>
      </c>
      <c r="FD62">
        <v>24.079923689179697</v>
      </c>
      <c r="FE62">
        <v>9.4323924348392136</v>
      </c>
      <c r="FF62">
        <v>13.283754843673384</v>
      </c>
      <c r="FG62">
        <v>4.5137982010438336</v>
      </c>
      <c r="FH62">
        <v>7.6267993382165384</v>
      </c>
      <c r="FI62">
        <v>1084.9229801012466</v>
      </c>
      <c r="FJ62">
        <v>22.554429051341458</v>
      </c>
      <c r="FK62">
        <v>8.8726840324895004</v>
      </c>
    </row>
    <row r="63" spans="2:167" x14ac:dyDescent="0.2">
      <c r="B63">
        <v>772.70310248033525</v>
      </c>
      <c r="C63">
        <v>1.2941581272160729</v>
      </c>
      <c r="D63">
        <v>830.70644109295324</v>
      </c>
      <c r="E63">
        <v>1.203794686705822</v>
      </c>
      <c r="F63">
        <v>960.64343769688219</v>
      </c>
      <c r="G63">
        <v>1.0409689597187841</v>
      </c>
      <c r="H63">
        <v>1079.5517340592505</v>
      </c>
      <c r="I63">
        <v>0.92631040129950426</v>
      </c>
      <c r="J63">
        <v>1200.586100108605</v>
      </c>
      <c r="K63">
        <v>0.83292651806441864</v>
      </c>
      <c r="L63">
        <v>900.86272369815299</v>
      </c>
      <c r="M63">
        <v>1.1100470401249107</v>
      </c>
      <c r="N63">
        <v>890.11496384321026</v>
      </c>
      <c r="O63">
        <v>1.1234503863212724</v>
      </c>
      <c r="Q63">
        <v>0.13210952701434497</v>
      </c>
      <c r="R63">
        <v>0.13272758999109452</v>
      </c>
      <c r="S63">
        <v>0.13300174830675301</v>
      </c>
      <c r="T63">
        <v>0.13407130791663432</v>
      </c>
      <c r="U63">
        <v>0.13454887273525182</v>
      </c>
      <c r="V63">
        <v>0.1330221639507089</v>
      </c>
      <c r="W63">
        <v>0.13261580357583619</v>
      </c>
      <c r="Y63">
        <v>1.8940905814548923</v>
      </c>
      <c r="Z63">
        <v>1.9053316438447063</v>
      </c>
      <c r="AA63">
        <v>1.9652574828863656</v>
      </c>
      <c r="AB63">
        <v>2.0101255409436205</v>
      </c>
      <c r="AC63">
        <v>2.0511752946738531</v>
      </c>
      <c r="AD63">
        <v>1.934941574978813</v>
      </c>
      <c r="AE63">
        <v>1.935114923418602</v>
      </c>
      <c r="AG63">
        <v>0.74182931256997209</v>
      </c>
      <c r="AH63">
        <v>0.74750597057555468</v>
      </c>
      <c r="AI63">
        <v>0.77667279825087421</v>
      </c>
      <c r="AJ63">
        <v>0.78857440351007835</v>
      </c>
      <c r="AK63">
        <v>0.80922545111493127</v>
      </c>
      <c r="AL63">
        <v>0.76142565464120249</v>
      </c>
      <c r="AM63">
        <v>0.76233570820148511</v>
      </c>
      <c r="AO63">
        <v>67</v>
      </c>
      <c r="AP63">
        <v>13.649509186840858</v>
      </c>
      <c r="AQ63">
        <v>5.8955370537121468</v>
      </c>
      <c r="AR63">
        <v>6.9033892373515311</v>
      </c>
      <c r="AS63">
        <v>788.235406675935</v>
      </c>
      <c r="AT63">
        <v>26.476414025127891</v>
      </c>
      <c r="AU63">
        <v>11.665760729567028</v>
      </c>
      <c r="AV63">
        <v>14.222552362046729</v>
      </c>
      <c r="AW63">
        <v>6.0003033805572468</v>
      </c>
      <c r="AX63">
        <v>7.2699573468004601</v>
      </c>
      <c r="AY63">
        <v>828.73030567228125</v>
      </c>
      <c r="AZ63">
        <v>26.528139730313004</v>
      </c>
      <c r="BA63">
        <v>11.521040285234077</v>
      </c>
      <c r="BB63">
        <v>15.793402117702579</v>
      </c>
      <c r="BC63">
        <v>6.3499644867183491</v>
      </c>
      <c r="BD63">
        <v>7.9125066587811865</v>
      </c>
      <c r="BE63">
        <v>902.16266696765342</v>
      </c>
      <c r="BF63">
        <v>27.455862791128279</v>
      </c>
      <c r="BG63">
        <v>11.585928646920665</v>
      </c>
      <c r="BH63">
        <v>16.73508910456642</v>
      </c>
      <c r="BI63">
        <v>6.6383132157096476</v>
      </c>
      <c r="BJ63">
        <v>8.5093404610279499</v>
      </c>
      <c r="BK63">
        <v>969.24418326838259</v>
      </c>
      <c r="BL63">
        <v>27.673542922040898</v>
      </c>
      <c r="BM63">
        <v>11.605474750520086</v>
      </c>
      <c r="BN63">
        <v>17.130997640414979</v>
      </c>
      <c r="BO63">
        <v>6.7399918491211777</v>
      </c>
      <c r="BP63">
        <v>9.0390846258615447</v>
      </c>
      <c r="BQ63">
        <v>1090.2650265541358</v>
      </c>
      <c r="BR63">
        <v>26.002186137649293</v>
      </c>
      <c r="BS63">
        <v>10.884596406014982</v>
      </c>
      <c r="BU63">
        <v>67</v>
      </c>
      <c r="BV63">
        <v>13.206977380125329</v>
      </c>
      <c r="BW63">
        <v>4.9723073706763996</v>
      </c>
      <c r="BX63">
        <v>6.7065536331561839</v>
      </c>
      <c r="BY63">
        <v>797.3465815499593</v>
      </c>
      <c r="BZ63">
        <v>25.618865926525181</v>
      </c>
      <c r="CA63">
        <v>10.374580090051296</v>
      </c>
      <c r="CB63">
        <v>13.635637139312756</v>
      </c>
      <c r="CC63">
        <v>5.0282670929918147</v>
      </c>
      <c r="CD63">
        <v>7.0385184604587199</v>
      </c>
      <c r="CE63">
        <v>839.58154321897371</v>
      </c>
      <c r="CF63">
        <v>25.486217863777526</v>
      </c>
      <c r="CG63">
        <v>10.214372884853416</v>
      </c>
      <c r="CH63">
        <v>15.192771966025967</v>
      </c>
      <c r="CI63">
        <v>5.5777716100635759</v>
      </c>
      <c r="CJ63">
        <v>7.644713482940344</v>
      </c>
      <c r="CK63">
        <v>911.06613473006655</v>
      </c>
      <c r="CL63">
        <v>26.528287383908204</v>
      </c>
      <c r="CM63">
        <v>10.625133611860338</v>
      </c>
      <c r="CN63">
        <v>16.111944598073876</v>
      </c>
      <c r="CO63">
        <v>5.7454977124097679</v>
      </c>
      <c r="CP63">
        <v>8.2519971826480152</v>
      </c>
      <c r="CQ63">
        <v>978.88356290056072</v>
      </c>
      <c r="CR63">
        <v>26.764445736009311</v>
      </c>
      <c r="CS63">
        <v>10.57911664388809</v>
      </c>
      <c r="CT63">
        <v>16.338922879685626</v>
      </c>
      <c r="CU63">
        <v>5.7360336847744575</v>
      </c>
      <c r="CV63">
        <v>8.6215445801263932</v>
      </c>
      <c r="CW63">
        <v>1101.8001407811835</v>
      </c>
      <c r="CX63">
        <v>25.011069048840564</v>
      </c>
      <c r="CY63">
        <v>9.8594438530260327</v>
      </c>
      <c r="DA63">
        <v>67</v>
      </c>
      <c r="DB63">
        <v>12.313913459808548</v>
      </c>
      <c r="DC63">
        <v>4.4659094758262858</v>
      </c>
      <c r="DD63">
        <v>6.614485536106983</v>
      </c>
      <c r="DE63">
        <v>791.24589816008142</v>
      </c>
      <c r="DF63">
        <v>24.687712498489006</v>
      </c>
      <c r="DG63">
        <v>9.8145697728437717</v>
      </c>
      <c r="DH63">
        <v>12.714352937212288</v>
      </c>
      <c r="DI63">
        <v>4.7518913576011172</v>
      </c>
      <c r="DJ63">
        <v>6.8960746723714408</v>
      </c>
      <c r="DK63">
        <v>826.07177888793706</v>
      </c>
      <c r="DL63">
        <v>24.787765961876094</v>
      </c>
      <c r="DM63">
        <v>10.046854796881341</v>
      </c>
      <c r="DN63">
        <v>14.21161715792994</v>
      </c>
      <c r="DO63">
        <v>4.9122921111104008</v>
      </c>
      <c r="DP63">
        <v>7.4773807391005169</v>
      </c>
      <c r="DQ63">
        <v>901.5699286302779</v>
      </c>
      <c r="DR63">
        <v>25.71943529105733</v>
      </c>
      <c r="DS63">
        <v>9.9989137010044988</v>
      </c>
      <c r="DT63">
        <v>14.798094157838525</v>
      </c>
      <c r="DU63">
        <v>4.9390573465723087</v>
      </c>
      <c r="DV63">
        <v>7.9830706927422357</v>
      </c>
      <c r="DW63">
        <v>964.2213870832137</v>
      </c>
      <c r="DX63">
        <v>25.808829688135212</v>
      </c>
      <c r="DY63">
        <v>9.9036208435067845</v>
      </c>
      <c r="DZ63">
        <v>14.975283156870645</v>
      </c>
      <c r="EA63">
        <v>5.0248462375777301</v>
      </c>
      <c r="EB63">
        <v>8.3242488493624958</v>
      </c>
      <c r="EC63">
        <v>1085.2439956993983</v>
      </c>
      <c r="ED63">
        <v>24.136101908958</v>
      </c>
      <c r="EE63">
        <v>9.3545315323757983</v>
      </c>
      <c r="EG63">
        <v>67</v>
      </c>
      <c r="EH63">
        <v>11.722160175726996</v>
      </c>
      <c r="EI63">
        <v>4.1240556183719361</v>
      </c>
      <c r="EJ63">
        <v>6.0753033130272254</v>
      </c>
      <c r="EK63">
        <v>786.68099633913005</v>
      </c>
      <c r="EL63">
        <v>24.07875371777434</v>
      </c>
      <c r="EM63">
        <v>9.4369690536084185</v>
      </c>
      <c r="EN63">
        <v>12.145009773357517</v>
      </c>
      <c r="EO63">
        <v>4.2760586746236404</v>
      </c>
      <c r="EP63">
        <v>6.3678642430498291</v>
      </c>
      <c r="EQ63">
        <v>822.23870969712755</v>
      </c>
      <c r="ER63">
        <v>24.210889762491092</v>
      </c>
      <c r="ES63">
        <v>9.5149868755180904</v>
      </c>
      <c r="ET63">
        <v>12.434210218239375</v>
      </c>
      <c r="EU63">
        <v>4.4458611761987132</v>
      </c>
      <c r="EV63">
        <v>6.9033884107843191</v>
      </c>
      <c r="EW63">
        <v>911.82112875623579</v>
      </c>
      <c r="EX63">
        <v>23.480989664369652</v>
      </c>
      <c r="EY63">
        <v>9.3749625966043251</v>
      </c>
      <c r="EZ63">
        <v>13.202428115824864</v>
      </c>
      <c r="FA63">
        <v>4.5235352921240661</v>
      </c>
      <c r="FB63">
        <v>7.3650261792778506</v>
      </c>
      <c r="FC63">
        <v>970.25143003275662</v>
      </c>
      <c r="FD63">
        <v>24.003839415200055</v>
      </c>
      <c r="FE63">
        <v>9.4138083075185275</v>
      </c>
      <c r="FF63">
        <v>13.398442990277438</v>
      </c>
      <c r="FG63">
        <v>4.5684464681240744</v>
      </c>
      <c r="FH63">
        <v>7.68393115834757</v>
      </c>
      <c r="FI63">
        <v>1097.1403376994133</v>
      </c>
      <c r="FJ63">
        <v>22.437165660421247</v>
      </c>
      <c r="FK63">
        <v>8.8371095980012981</v>
      </c>
    </row>
    <row r="64" spans="2:167" x14ac:dyDescent="0.2">
      <c r="B64">
        <v>773.50588605206235</v>
      </c>
      <c r="C64">
        <v>1.292814984387453</v>
      </c>
      <c r="D64">
        <v>831.90674964079722</v>
      </c>
      <c r="E64">
        <v>1.2020578032715596</v>
      </c>
      <c r="F64">
        <v>962.1680125074007</v>
      </c>
      <c r="G64">
        <v>1.0393195232026156</v>
      </c>
      <c r="H64">
        <v>1081.9758992287357</v>
      </c>
      <c r="I64">
        <v>0.92423500441445094</v>
      </c>
      <c r="J64">
        <v>1203.5877159924432</v>
      </c>
      <c r="K64">
        <v>0.83084929059402135</v>
      </c>
      <c r="L64">
        <v>902.34008627913613</v>
      </c>
      <c r="M64">
        <v>1.1082296078893841</v>
      </c>
      <c r="N64">
        <v>891.36220484558112</v>
      </c>
      <c r="O64">
        <v>1.1218783952963758</v>
      </c>
      <c r="Q64">
        <v>0.13398936172134279</v>
      </c>
      <c r="R64">
        <v>0.1346123423066046</v>
      </c>
      <c r="S64">
        <v>0.1348835655396273</v>
      </c>
      <c r="T64">
        <v>0.1359627124120672</v>
      </c>
      <c r="U64">
        <v>0.13644369464169379</v>
      </c>
      <c r="V64">
        <v>0.13490564321101448</v>
      </c>
      <c r="W64">
        <v>0.13449860390789942</v>
      </c>
      <c r="Y64">
        <v>1.9083506988412853</v>
      </c>
      <c r="Z64">
        <v>1.9203630826787101</v>
      </c>
      <c r="AA64">
        <v>1.980402590029718</v>
      </c>
      <c r="AB64">
        <v>2.0271381754069653</v>
      </c>
      <c r="AC64">
        <v>2.0687527466186584</v>
      </c>
      <c r="AD64">
        <v>1.9499754174267216</v>
      </c>
      <c r="AE64">
        <v>1.9502280153520648</v>
      </c>
      <c r="AG64">
        <v>0.74720973809348601</v>
      </c>
      <c r="AH64">
        <v>0.75321167896305607</v>
      </c>
      <c r="AI64">
        <v>0.78246330576892209</v>
      </c>
      <c r="AJ64">
        <v>0.79506854990045073</v>
      </c>
      <c r="AK64">
        <v>0.81598572153351279</v>
      </c>
      <c r="AL64">
        <v>0.76714686171036173</v>
      </c>
      <c r="AM64">
        <v>0.76809871039242272</v>
      </c>
      <c r="AO64">
        <v>68</v>
      </c>
      <c r="AP64">
        <v>13.773710485283509</v>
      </c>
      <c r="AQ64">
        <v>5.9528678141148212</v>
      </c>
      <c r="AR64">
        <v>6.9513831212282566</v>
      </c>
      <c r="AS64">
        <v>794.54759562445167</v>
      </c>
      <c r="AT64">
        <v>26.431833159155907</v>
      </c>
      <c r="AU64">
        <v>11.649553471023431</v>
      </c>
      <c r="AV64">
        <v>14.355758259581107</v>
      </c>
      <c r="AW64">
        <v>6.0600685924782214</v>
      </c>
      <c r="AX64">
        <v>7.3215286967520736</v>
      </c>
      <c r="AY64">
        <v>835.552696587985</v>
      </c>
      <c r="AZ64">
        <v>26.484379762748439</v>
      </c>
      <c r="BA64">
        <v>11.504632090918051</v>
      </c>
      <c r="BB64">
        <v>15.939939600343447</v>
      </c>
      <c r="BC64">
        <v>6.4136337951603046</v>
      </c>
      <c r="BD64">
        <v>7.9675433748191908</v>
      </c>
      <c r="BE64">
        <v>909.48924015401224</v>
      </c>
      <c r="BF64">
        <v>27.411470535914088</v>
      </c>
      <c r="BG64">
        <v>11.569760067520177</v>
      </c>
      <c r="BH64">
        <v>16.895054649470545</v>
      </c>
      <c r="BI64">
        <v>6.7073871641011591</v>
      </c>
      <c r="BJ64">
        <v>8.5698163227824669</v>
      </c>
      <c r="BK64">
        <v>977.29836697654946</v>
      </c>
      <c r="BL64">
        <v>27.632336617330949</v>
      </c>
      <c r="BM64">
        <v>11.591102190012451</v>
      </c>
      <c r="BN64">
        <v>17.294939606478092</v>
      </c>
      <c r="BO64">
        <v>6.8101614718451735</v>
      </c>
      <c r="BP64">
        <v>9.1033149319128253</v>
      </c>
      <c r="BQ64">
        <v>1100.5706081414703</v>
      </c>
      <c r="BR64">
        <v>25.933150507180102</v>
      </c>
      <c r="BS64">
        <v>10.858079186006035</v>
      </c>
      <c r="BU64">
        <v>68</v>
      </c>
      <c r="BV64">
        <v>13.326819483376395</v>
      </c>
      <c r="BW64">
        <v>5.0204122274737015</v>
      </c>
      <c r="BX64">
        <v>6.7531417774165723</v>
      </c>
      <c r="BY64">
        <v>803.63312583299728</v>
      </c>
      <c r="BZ64">
        <v>25.576917901861449</v>
      </c>
      <c r="CA64">
        <v>10.357548545838281</v>
      </c>
      <c r="CB64">
        <v>13.763084416951994</v>
      </c>
      <c r="CC64">
        <v>5.0785991535001918</v>
      </c>
      <c r="CD64">
        <v>7.0884192662559178</v>
      </c>
      <c r="CE64">
        <v>846.44798818064942</v>
      </c>
      <c r="CF64">
        <v>25.443289353059797</v>
      </c>
      <c r="CG64">
        <v>10.197031652698698</v>
      </c>
      <c r="CH64">
        <v>15.333449637067277</v>
      </c>
      <c r="CI64">
        <v>5.6340141931401435</v>
      </c>
      <c r="CJ64">
        <v>7.6978685228099719</v>
      </c>
      <c r="CK64">
        <v>918.34877894321824</v>
      </c>
      <c r="CL64">
        <v>26.486611735823285</v>
      </c>
      <c r="CM64">
        <v>10.609207431804521</v>
      </c>
      <c r="CN64">
        <v>16.265650447051641</v>
      </c>
      <c r="CO64">
        <v>5.8056617038794123</v>
      </c>
      <c r="CP64">
        <v>8.3106162026417412</v>
      </c>
      <c r="CQ64">
        <v>986.87914718677041</v>
      </c>
      <c r="CR64">
        <v>26.726305165766423</v>
      </c>
      <c r="CS64">
        <v>10.56485975132528</v>
      </c>
      <c r="CT64">
        <v>16.495065289829622</v>
      </c>
      <c r="CU64">
        <v>5.7961891200815101</v>
      </c>
      <c r="CV64">
        <v>8.6828164415580424</v>
      </c>
      <c r="CW64">
        <v>1112.1672705504268</v>
      </c>
      <c r="CX64">
        <v>24.943540097465217</v>
      </c>
      <c r="CY64">
        <v>9.8331525758843892</v>
      </c>
      <c r="DA64">
        <v>68</v>
      </c>
      <c r="DB64">
        <v>12.39871479810094</v>
      </c>
      <c r="DC64">
        <v>4.5101575991094274</v>
      </c>
      <c r="DD64">
        <v>6.653924295371918</v>
      </c>
      <c r="DE64">
        <v>797.515901046934</v>
      </c>
      <c r="DF64">
        <v>24.609357345235424</v>
      </c>
      <c r="DG64">
        <v>9.7971895923802244</v>
      </c>
      <c r="DH64">
        <v>12.807250405327711</v>
      </c>
      <c r="DI64">
        <v>4.8016365151529907</v>
      </c>
      <c r="DJ64">
        <v>6.940268645531348</v>
      </c>
      <c r="DK64">
        <v>832.85296884904312</v>
      </c>
      <c r="DL64">
        <v>24.710948803379491</v>
      </c>
      <c r="DM64">
        <v>10.030935353498455</v>
      </c>
      <c r="DN64">
        <v>14.316946713217343</v>
      </c>
      <c r="DO64">
        <v>4.9641370762892443</v>
      </c>
      <c r="DP64">
        <v>7.5245395984201773</v>
      </c>
      <c r="DQ64">
        <v>908.79273475261812</v>
      </c>
      <c r="DR64">
        <v>25.646600958392344</v>
      </c>
      <c r="DS64">
        <v>9.9836576886498491</v>
      </c>
      <c r="DT64">
        <v>14.920409163114186</v>
      </c>
      <c r="DU64">
        <v>4.9970696983184837</v>
      </c>
      <c r="DV64">
        <v>8.0397862396247444</v>
      </c>
      <c r="DW64">
        <v>972.52806018507761</v>
      </c>
      <c r="DX64">
        <v>25.737449632809632</v>
      </c>
      <c r="DY64">
        <v>9.8893267656919903</v>
      </c>
      <c r="DZ64">
        <v>15.100420346254985</v>
      </c>
      <c r="EA64">
        <v>5.0844750344779239</v>
      </c>
      <c r="EB64">
        <v>8.3843767834812954</v>
      </c>
      <c r="EC64">
        <v>1095.9574476215682</v>
      </c>
      <c r="ED64">
        <v>24.039933321923872</v>
      </c>
      <c r="EE64">
        <v>9.3291910172356562</v>
      </c>
      <c r="EG64">
        <v>68</v>
      </c>
      <c r="EH64">
        <v>11.796322885476089</v>
      </c>
      <c r="EI64">
        <v>4.164974385273279</v>
      </c>
      <c r="EJ64">
        <v>6.1112572030038583</v>
      </c>
      <c r="EK64">
        <v>792.84566829791709</v>
      </c>
      <c r="EL64">
        <v>23.994533419835975</v>
      </c>
      <c r="EM64">
        <v>9.4195271164076946</v>
      </c>
      <c r="EN64">
        <v>12.228127687690622</v>
      </c>
      <c r="EO64">
        <v>4.3207968387919458</v>
      </c>
      <c r="EP64">
        <v>6.4083606386217253</v>
      </c>
      <c r="EQ64">
        <v>828.98379058809815</v>
      </c>
      <c r="ER64">
        <v>24.127690533182541</v>
      </c>
      <c r="ES64">
        <v>9.4977184144304907</v>
      </c>
      <c r="ET64">
        <v>12.536773929215077</v>
      </c>
      <c r="EU64">
        <v>4.4927832623166681</v>
      </c>
      <c r="EV64">
        <v>6.9466931883775525</v>
      </c>
      <c r="EW64">
        <v>919.47522814182969</v>
      </c>
      <c r="EX64">
        <v>23.412563143858435</v>
      </c>
      <c r="EY64">
        <v>9.3550337153865115</v>
      </c>
      <c r="EZ64">
        <v>13.312688236834262</v>
      </c>
      <c r="FA64">
        <v>4.5766946760732603</v>
      </c>
      <c r="FB64">
        <v>7.4170468253142339</v>
      </c>
      <c r="FC64">
        <v>978.89440819096478</v>
      </c>
      <c r="FD64">
        <v>23.927678862231506</v>
      </c>
      <c r="FE64">
        <v>9.3955718581807979</v>
      </c>
      <c r="FF64">
        <v>13.509834111435099</v>
      </c>
      <c r="FG64">
        <v>4.6226695446592556</v>
      </c>
      <c r="FH64">
        <v>7.7391372193636814</v>
      </c>
      <c r="FI64">
        <v>1109.1223165654728</v>
      </c>
      <c r="FJ64">
        <v>22.320493745296581</v>
      </c>
      <c r="FK64">
        <v>8.8020867851942519</v>
      </c>
    </row>
    <row r="65" spans="2:167" x14ac:dyDescent="0.2">
      <c r="B65">
        <v>774.09884767489621</v>
      </c>
      <c r="C65">
        <v>1.2918246849270303</v>
      </c>
      <c r="D65">
        <v>832.87115149544229</v>
      </c>
      <c r="E65">
        <v>1.2006659111730229</v>
      </c>
      <c r="F65">
        <v>963.367237676792</v>
      </c>
      <c r="G65">
        <v>1.0380257506073693</v>
      </c>
      <c r="H65">
        <v>1084.0172174454678</v>
      </c>
      <c r="I65">
        <v>0.922494572878226</v>
      </c>
      <c r="J65">
        <v>1206.1433116346982</v>
      </c>
      <c r="K65">
        <v>0.82908887389566488</v>
      </c>
      <c r="L65">
        <v>903.52056614411731</v>
      </c>
      <c r="M65">
        <v>1.106781668808736</v>
      </c>
      <c r="N65">
        <v>892.34625825699311</v>
      </c>
      <c r="O65">
        <v>1.1206412205428926</v>
      </c>
      <c r="Q65">
        <v>0.13586739840414991</v>
      </c>
      <c r="R65">
        <v>0.1364950668535812</v>
      </c>
      <c r="S65">
        <v>0.13676276026169032</v>
      </c>
      <c r="T65">
        <v>0.13785104989680028</v>
      </c>
      <c r="U65">
        <v>0.13833512689539798</v>
      </c>
      <c r="V65">
        <v>0.13678659412618982</v>
      </c>
      <c r="W65">
        <v>0.13637929358910603</v>
      </c>
      <c r="Y65">
        <v>1.9221998981893724</v>
      </c>
      <c r="Z65">
        <v>1.9350107808415864</v>
      </c>
      <c r="AA65">
        <v>1.9951106684059643</v>
      </c>
      <c r="AB65">
        <v>2.0437534377473972</v>
      </c>
      <c r="AC65">
        <v>2.0859320677890314</v>
      </c>
      <c r="AD65">
        <v>1.9646059046248285</v>
      </c>
      <c r="AE65">
        <v>1.964926653276774</v>
      </c>
      <c r="AG65">
        <v>0.75247076074501063</v>
      </c>
      <c r="AH65">
        <v>0.75880824018873205</v>
      </c>
      <c r="AI65">
        <v>0.78812138358285588</v>
      </c>
      <c r="AJ65">
        <v>0.80144858595670221</v>
      </c>
      <c r="AK65">
        <v>0.82263001007143011</v>
      </c>
      <c r="AL65">
        <v>0.77275090819727577</v>
      </c>
      <c r="AM65">
        <v>0.7737386149038683</v>
      </c>
      <c r="AO65">
        <v>69</v>
      </c>
      <c r="AP65">
        <v>13.895507818746172</v>
      </c>
      <c r="AQ65">
        <v>6.0091373525958289</v>
      </c>
      <c r="AR65">
        <v>6.99797167660802</v>
      </c>
      <c r="AS65">
        <v>800.68086630150367</v>
      </c>
      <c r="AT65">
        <v>26.388400598377981</v>
      </c>
      <c r="AU65">
        <v>11.63375681077391</v>
      </c>
      <c r="AV65">
        <v>14.486448612861398</v>
      </c>
      <c r="AW65">
        <v>6.1187987173099527</v>
      </c>
      <c r="AX65">
        <v>7.3715414219610533</v>
      </c>
      <c r="AY65">
        <v>842.18312712344243</v>
      </c>
      <c r="AZ65">
        <v>26.44175112899261</v>
      </c>
      <c r="BA65">
        <v>11.488682993233429</v>
      </c>
      <c r="BB65">
        <v>16.083226728602465</v>
      </c>
      <c r="BC65">
        <v>6.4761424642099215</v>
      </c>
      <c r="BD65">
        <v>8.0206325702115553</v>
      </c>
      <c r="BE65">
        <v>916.594667629588</v>
      </c>
      <c r="BF65">
        <v>27.367527963398182</v>
      </c>
      <c r="BG65">
        <v>11.553855402733314</v>
      </c>
      <c r="BH65">
        <v>17.051470091112236</v>
      </c>
      <c r="BI65">
        <v>6.7752541057975</v>
      </c>
      <c r="BJ65">
        <v>8.6280457488428119</v>
      </c>
      <c r="BK65">
        <v>985.10462057508346</v>
      </c>
      <c r="BL65">
        <v>27.591513026357816</v>
      </c>
      <c r="BM65">
        <v>11.576993341317019</v>
      </c>
      <c r="BN65">
        <v>17.455244791151316</v>
      </c>
      <c r="BO65">
        <v>6.8791153338573157</v>
      </c>
      <c r="BP65">
        <v>9.1650676421794266</v>
      </c>
      <c r="BQ65">
        <v>1110.5868094875402</v>
      </c>
      <c r="BR65">
        <v>25.865108111918566</v>
      </c>
      <c r="BS65">
        <v>10.83206665469428</v>
      </c>
      <c r="BU65">
        <v>69</v>
      </c>
      <c r="BV65">
        <v>13.444204413659655</v>
      </c>
      <c r="BW65">
        <v>5.0677744225987098</v>
      </c>
      <c r="BX65">
        <v>6.7983349130036377</v>
      </c>
      <c r="BY65">
        <v>809.73144270345063</v>
      </c>
      <c r="BZ65">
        <v>25.5361011760866</v>
      </c>
      <c r="CA65">
        <v>10.341161414749481</v>
      </c>
      <c r="CB65">
        <v>13.888019609849598</v>
      </c>
      <c r="CC65">
        <v>5.1282252321320856</v>
      </c>
      <c r="CD65">
        <v>7.136788362511802</v>
      </c>
      <c r="CE65">
        <v>853.11338101779165</v>
      </c>
      <c r="CF65">
        <v>25.40150949639257</v>
      </c>
      <c r="CG65">
        <v>10.180360169983368</v>
      </c>
      <c r="CH65">
        <v>15.470888262938256</v>
      </c>
      <c r="CI65">
        <v>5.6893458936487828</v>
      </c>
      <c r="CJ65">
        <v>7.749123468866193</v>
      </c>
      <c r="CK65">
        <v>925.40204387074834</v>
      </c>
      <c r="CL65">
        <v>26.445361660783526</v>
      </c>
      <c r="CM65">
        <v>10.593671958127612</v>
      </c>
      <c r="CN65">
        <v>16.415822789981672</v>
      </c>
      <c r="CO65">
        <v>5.8649077208920897</v>
      </c>
      <c r="CP65">
        <v>8.3670304307087733</v>
      </c>
      <c r="CQ65">
        <v>994.61794304470743</v>
      </c>
      <c r="CR65">
        <v>26.688518798015441</v>
      </c>
      <c r="CS65">
        <v>10.550989273195981</v>
      </c>
      <c r="CT65">
        <v>16.647655449584455</v>
      </c>
      <c r="CU65">
        <v>5.8554566976989468</v>
      </c>
      <c r="CV65">
        <v>8.7417333649636735</v>
      </c>
      <c r="CW65">
        <v>1122.2360698934708</v>
      </c>
      <c r="CX65">
        <v>24.876992731261261</v>
      </c>
      <c r="CY65">
        <v>9.8074656529973296</v>
      </c>
      <c r="DA65">
        <v>69</v>
      </c>
      <c r="DB65">
        <v>12.480149364662587</v>
      </c>
      <c r="DC65">
        <v>4.5537693281797065</v>
      </c>
      <c r="DD65">
        <v>6.6917062011153847</v>
      </c>
      <c r="DE65">
        <v>803.61492892067395</v>
      </c>
      <c r="DF65">
        <v>24.530814806805001</v>
      </c>
      <c r="DG65">
        <v>9.780254415795179</v>
      </c>
      <c r="DH65">
        <v>12.896817992755313</v>
      </c>
      <c r="DI65">
        <v>4.8507544352004217</v>
      </c>
      <c r="DJ65">
        <v>6.9827852017762257</v>
      </c>
      <c r="DK65">
        <v>839.4596556093469</v>
      </c>
      <c r="DL65">
        <v>24.633900979217561</v>
      </c>
      <c r="DM65">
        <v>10.015407686935056</v>
      </c>
      <c r="DN65">
        <v>14.418192510248332</v>
      </c>
      <c r="DO65">
        <v>5.0152828132303773</v>
      </c>
      <c r="DP65">
        <v>7.5696544532469243</v>
      </c>
      <c r="DQ65">
        <v>915.80488494570386</v>
      </c>
      <c r="DR65">
        <v>25.573019279634867</v>
      </c>
      <c r="DS65">
        <v>9.9686546248007577</v>
      </c>
      <c r="DT65">
        <v>15.038871695310595</v>
      </c>
      <c r="DU65">
        <v>5.0546000909372806</v>
      </c>
      <c r="DV65">
        <v>8.0944468016058533</v>
      </c>
      <c r="DW65">
        <v>980.62177137371179</v>
      </c>
      <c r="DX65">
        <v>25.66527616439145</v>
      </c>
      <c r="DY65">
        <v>9.8752606771848317</v>
      </c>
      <c r="DZ65">
        <v>15.221741531862346</v>
      </c>
      <c r="EA65">
        <v>5.1436400775455491</v>
      </c>
      <c r="EB65">
        <v>8.4423591429488845</v>
      </c>
      <c r="EC65">
        <v>1106.4219043159044</v>
      </c>
      <c r="ED65">
        <v>23.943799858298011</v>
      </c>
      <c r="EE65">
        <v>9.3042943652191656</v>
      </c>
      <c r="EG65">
        <v>69</v>
      </c>
      <c r="EH65">
        <v>11.867083841782142</v>
      </c>
      <c r="EI65">
        <v>4.2052899833810438</v>
      </c>
      <c r="EJ65">
        <v>6.1457511948197237</v>
      </c>
      <c r="EK65">
        <v>798.8441136756536</v>
      </c>
      <c r="EL65">
        <v>23.909875716016675</v>
      </c>
      <c r="EM65">
        <v>9.4024340716696244</v>
      </c>
      <c r="EN65">
        <v>12.307834975381123</v>
      </c>
      <c r="EO65">
        <v>4.3649749877881163</v>
      </c>
      <c r="EP65">
        <v>6.447362327549528</v>
      </c>
      <c r="EQ65">
        <v>835.56045392409885</v>
      </c>
      <c r="ER65">
        <v>24.043961057041003</v>
      </c>
      <c r="ES65">
        <v>9.4807637233738724</v>
      </c>
      <c r="ET65">
        <v>12.636605896854892</v>
      </c>
      <c r="EU65">
        <v>4.5390725443276141</v>
      </c>
      <c r="EV65">
        <v>6.988165468391804</v>
      </c>
      <c r="EW65">
        <v>926.89814830449018</v>
      </c>
      <c r="EX65">
        <v>23.344862005915409</v>
      </c>
      <c r="EY65">
        <v>9.3355805582899496</v>
      </c>
      <c r="EZ65">
        <v>13.419762610556724</v>
      </c>
      <c r="FA65">
        <v>4.629403282997397</v>
      </c>
      <c r="FB65">
        <v>7.4672270218328807</v>
      </c>
      <c r="FC65">
        <v>987.31219066921699</v>
      </c>
      <c r="FD65">
        <v>23.851442039225084</v>
      </c>
      <c r="FE65">
        <v>9.3776810390871024</v>
      </c>
      <c r="FF65">
        <v>13.617928186225992</v>
      </c>
      <c r="FG65">
        <v>4.6764674241769937</v>
      </c>
      <c r="FH65">
        <v>7.7924175122707577</v>
      </c>
      <c r="FI65">
        <v>1120.8642974219254</v>
      </c>
      <c r="FJ65">
        <v>22.204410781381156</v>
      </c>
      <c r="FK65">
        <v>8.7676112613422781</v>
      </c>
    </row>
    <row r="66" spans="2:167" x14ac:dyDescent="0.2">
      <c r="B66">
        <v>774.48197456824914</v>
      </c>
      <c r="C66">
        <v>1.2911856348334905</v>
      </c>
      <c r="D66">
        <v>833.59961992338901</v>
      </c>
      <c r="E66">
        <v>1.1996166698011497</v>
      </c>
      <c r="F66">
        <v>964.24106802060271</v>
      </c>
      <c r="G66">
        <v>1.0370850538992322</v>
      </c>
      <c r="H66">
        <v>1085.6755898305123</v>
      </c>
      <c r="I66">
        <v>0.92108545993570012</v>
      </c>
      <c r="J66">
        <v>1208.2527293954358</v>
      </c>
      <c r="K66">
        <v>0.82764141613018527</v>
      </c>
      <c r="L66">
        <v>904.40411618635926</v>
      </c>
      <c r="M66">
        <v>1.1057004077079438</v>
      </c>
      <c r="N66">
        <v>893.06709559579258</v>
      </c>
      <c r="O66">
        <v>1.1197366971995191</v>
      </c>
      <c r="Q66">
        <v>0.13774363695324582</v>
      </c>
      <c r="R66">
        <v>0.13837576340223287</v>
      </c>
      <c r="S66">
        <v>0.13863933210872864</v>
      </c>
      <c r="T66">
        <v>0.13973631957870822</v>
      </c>
      <c r="U66">
        <v>0.14022316829833664</v>
      </c>
      <c r="V66">
        <v>0.13866501629505934</v>
      </c>
      <c r="W66">
        <v>0.13825787239104545</v>
      </c>
      <c r="Y66">
        <v>1.9356381793547397</v>
      </c>
      <c r="Z66">
        <v>1.9492747379440567</v>
      </c>
      <c r="AA66">
        <v>2.0093817174108075</v>
      </c>
      <c r="AB66">
        <v>2.0599713264415418</v>
      </c>
      <c r="AC66">
        <v>2.1027132555133106</v>
      </c>
      <c r="AD66">
        <v>1.9788330357044206</v>
      </c>
      <c r="AE66">
        <v>1.9792108367665415</v>
      </c>
      <c r="AG66">
        <v>0.75761238049413515</v>
      </c>
      <c r="AH66">
        <v>0.7642956541826309</v>
      </c>
      <c r="AI66">
        <v>0.79364703153814253</v>
      </c>
      <c r="AJ66">
        <v>0.80771451139134032</v>
      </c>
      <c r="AK66">
        <v>0.82915831613341084</v>
      </c>
      <c r="AL66">
        <v>0.77823779389027314</v>
      </c>
      <c r="AM66">
        <v>0.77925542163264705</v>
      </c>
      <c r="AO66">
        <v>70</v>
      </c>
      <c r="AP66">
        <v>14.01490118526309</v>
      </c>
      <c r="AQ66">
        <v>6.0643449943866896</v>
      </c>
      <c r="AR66">
        <v>7.0431549022129065</v>
      </c>
      <c r="AS66">
        <v>806.6335387316858</v>
      </c>
      <c r="AT66">
        <v>26.346115968651596</v>
      </c>
      <c r="AU66">
        <v>11.618374164699558</v>
      </c>
      <c r="AV66">
        <v>14.614623416984296</v>
      </c>
      <c r="AW66">
        <v>6.1764935317191734</v>
      </c>
      <c r="AX66">
        <v>7.4199955193423115</v>
      </c>
      <c r="AY66">
        <v>848.61981026080139</v>
      </c>
      <c r="AZ66">
        <v>26.400253676217176</v>
      </c>
      <c r="BA66">
        <v>11.473195170414158</v>
      </c>
      <c r="BB66">
        <v>16.223263491368524</v>
      </c>
      <c r="BC66">
        <v>6.5374904901543704</v>
      </c>
      <c r="BD66">
        <v>8.0717742396131253</v>
      </c>
      <c r="BE66">
        <v>923.47751314963295</v>
      </c>
      <c r="BF66">
        <v>27.324035151535366</v>
      </c>
      <c r="BG66">
        <v>11.538214866537693</v>
      </c>
      <c r="BH66">
        <v>17.204335402808013</v>
      </c>
      <c r="BI66">
        <v>6.8419140319215161</v>
      </c>
      <c r="BJ66">
        <v>8.6840287269438061</v>
      </c>
      <c r="BK66">
        <v>992.66148873053226</v>
      </c>
      <c r="BL66">
        <v>27.551071966294892</v>
      </c>
      <c r="BM66">
        <v>11.563147929685236</v>
      </c>
      <c r="BN66">
        <v>17.611913147977742</v>
      </c>
      <c r="BO66">
        <v>6.9468534195544676</v>
      </c>
      <c r="BP66">
        <v>9.2243427349502447</v>
      </c>
      <c r="BQ66">
        <v>1120.3101718464545</v>
      </c>
      <c r="BR66">
        <v>25.798057875180898</v>
      </c>
      <c r="BS66">
        <v>10.806557866455732</v>
      </c>
      <c r="BU66">
        <v>70</v>
      </c>
      <c r="BV66">
        <v>13.559132168870185</v>
      </c>
      <c r="BW66">
        <v>5.1143939555908426</v>
      </c>
      <c r="BX66">
        <v>6.8421330386665487</v>
      </c>
      <c r="BY66">
        <v>815.63982024479822</v>
      </c>
      <c r="BZ66">
        <v>25.496415480296719</v>
      </c>
      <c r="CA66">
        <v>10.325414501534398</v>
      </c>
      <c r="CB66">
        <v>14.010442713002204</v>
      </c>
      <c r="CC66">
        <v>5.177145327771135</v>
      </c>
      <c r="CD66">
        <v>7.1836257462297102</v>
      </c>
      <c r="CE66">
        <v>859.57582403583308</v>
      </c>
      <c r="CF66">
        <v>25.360877949328636</v>
      </c>
      <c r="CG66">
        <v>10.164353464051993</v>
      </c>
      <c r="CH66">
        <v>15.605087832475567</v>
      </c>
      <c r="CI66">
        <v>5.7437667088373425</v>
      </c>
      <c r="CJ66">
        <v>7.7984783159664604</v>
      </c>
      <c r="CK66">
        <v>932.22449607277372</v>
      </c>
      <c r="CL66">
        <v>26.404537185792339</v>
      </c>
      <c r="CM66">
        <v>10.578522910912103</v>
      </c>
      <c r="CN66">
        <v>16.562461600207342</v>
      </c>
      <c r="CO66">
        <v>5.923235756928233</v>
      </c>
      <c r="CP66">
        <v>8.4212398550315477</v>
      </c>
      <c r="CQ66">
        <v>1002.0985245455906</v>
      </c>
      <c r="CR66">
        <v>26.651086352705843</v>
      </c>
      <c r="CS66">
        <v>10.537500160563328</v>
      </c>
      <c r="CT66">
        <v>16.796693313613357</v>
      </c>
      <c r="CU66">
        <v>5.9138364062902324</v>
      </c>
      <c r="CV66">
        <v>8.7982953295921202</v>
      </c>
      <c r="CW66">
        <v>1132.0029458722981</v>
      </c>
      <c r="CX66">
        <v>24.811425552820754</v>
      </c>
      <c r="CY66">
        <v>9.7823770932329968</v>
      </c>
      <c r="DA66">
        <v>70</v>
      </c>
      <c r="DB66">
        <v>12.558217541536905</v>
      </c>
      <c r="DC66">
        <v>4.5967446625157891</v>
      </c>
      <c r="DD66">
        <v>6.7278316715115585</v>
      </c>
      <c r="DE66">
        <v>809.54148767220352</v>
      </c>
      <c r="DF66">
        <v>24.452084807687996</v>
      </c>
      <c r="DG66">
        <v>9.7637614072597394</v>
      </c>
      <c r="DH66">
        <v>12.983055698364019</v>
      </c>
      <c r="DI66">
        <v>4.8992451064948366</v>
      </c>
      <c r="DJ66">
        <v>7.0236243408073067</v>
      </c>
      <c r="DK66">
        <v>845.89036935536842</v>
      </c>
      <c r="DL66">
        <v>24.556622583087385</v>
      </c>
      <c r="DM66">
        <v>10.000270235756625</v>
      </c>
      <c r="DN66">
        <v>14.515354547873164</v>
      </c>
      <c r="DO66">
        <v>5.0657293198411368</v>
      </c>
      <c r="DP66">
        <v>7.6127256785047592</v>
      </c>
      <c r="DQ66">
        <v>922.60516454376932</v>
      </c>
      <c r="DR66">
        <v>25.498690004722615</v>
      </c>
      <c r="DS66">
        <v>9.953901358621156</v>
      </c>
      <c r="DT66">
        <v>15.153481743558245</v>
      </c>
      <c r="DU66">
        <v>5.111648521134585</v>
      </c>
      <c r="DV66">
        <v>8.1470523749473092</v>
      </c>
      <c r="DW66">
        <v>988.50145955649873</v>
      </c>
      <c r="DX66">
        <v>25.59230865100065</v>
      </c>
      <c r="DY66">
        <v>9.861418041688415</v>
      </c>
      <c r="DZ66">
        <v>15.339246693447018</v>
      </c>
      <c r="EA66">
        <v>5.2023413607614026</v>
      </c>
      <c r="EB66">
        <v>8.4981959195876442</v>
      </c>
      <c r="EC66">
        <v>1116.6342041111413</v>
      </c>
      <c r="ED66">
        <v>23.847702406819256</v>
      </c>
      <c r="EE66">
        <v>9.2798381094667199</v>
      </c>
      <c r="EG66">
        <v>70</v>
      </c>
      <c r="EH66">
        <v>11.934444367691512</v>
      </c>
      <c r="EI66">
        <v>4.2450024121960412</v>
      </c>
      <c r="EJ66">
        <v>6.1787855899744111</v>
      </c>
      <c r="EK66">
        <v>804.67493694943028</v>
      </c>
      <c r="EL66">
        <v>23.824780737842275</v>
      </c>
      <c r="EM66">
        <v>9.3856877327650405</v>
      </c>
      <c r="EN66">
        <v>12.384131791433045</v>
      </c>
      <c r="EO66">
        <v>4.4085931205803242</v>
      </c>
      <c r="EP66">
        <v>6.4848693094898859</v>
      </c>
      <c r="EQ66">
        <v>841.96736474472073</v>
      </c>
      <c r="ER66">
        <v>23.959701390698925</v>
      </c>
      <c r="ES66">
        <v>9.4641201442280956</v>
      </c>
      <c r="ET66">
        <v>12.733706113718092</v>
      </c>
      <c r="EU66">
        <v>4.5847290203377016</v>
      </c>
      <c r="EV66">
        <v>7.0278055052052446</v>
      </c>
      <c r="EW66">
        <v>934.0871571512854</v>
      </c>
      <c r="EX66">
        <v>23.27788631589225</v>
      </c>
      <c r="EY66">
        <v>9.3166043818223905</v>
      </c>
      <c r="EZ66">
        <v>13.523651225619355</v>
      </c>
      <c r="FA66">
        <v>4.6816611098094727</v>
      </c>
      <c r="FB66">
        <v>7.5155667652815943</v>
      </c>
      <c r="FC66">
        <v>995.50265262028472</v>
      </c>
      <c r="FD66">
        <v>23.775128950885321</v>
      </c>
      <c r="FE66">
        <v>9.3601344925143675</v>
      </c>
      <c r="FF66">
        <v>13.722725196834956</v>
      </c>
      <c r="FG66">
        <v>4.7298401011655971</v>
      </c>
      <c r="FH66">
        <v>7.8437720294096875</v>
      </c>
      <c r="FI66">
        <v>1132.3616100965826</v>
      </c>
      <c r="FJ66">
        <v>22.088914422109827</v>
      </c>
      <c r="FK66">
        <v>8.7336795012021682</v>
      </c>
    </row>
    <row r="67" spans="2:167" x14ac:dyDescent="0.2">
      <c r="B67">
        <v>774.65525847406627</v>
      </c>
      <c r="C67">
        <v>1.290896807400266</v>
      </c>
      <c r="D67">
        <v>834.09213473027705</v>
      </c>
      <c r="E67">
        <v>1.1989083200303443</v>
      </c>
      <c r="F67">
        <v>964.78947061264319</v>
      </c>
      <c r="G67">
        <v>1.036495557279453</v>
      </c>
      <c r="H67">
        <v>1086.9509360449586</v>
      </c>
      <c r="I67">
        <v>0.92000472775584219</v>
      </c>
      <c r="J67">
        <v>1209.9158391358806</v>
      </c>
      <c r="K67">
        <v>0.82650376799281999</v>
      </c>
      <c r="L67">
        <v>904.99070114558731</v>
      </c>
      <c r="M67">
        <v>1.1049837293732905</v>
      </c>
      <c r="N67">
        <v>893.52469599766323</v>
      </c>
      <c r="O67">
        <v>1.119163246946915</v>
      </c>
      <c r="Q67">
        <v>0.13961807729786488</v>
      </c>
      <c r="R67">
        <v>0.14025443177897615</v>
      </c>
      <c r="S67">
        <v>0.14051328081533768</v>
      </c>
      <c r="T67">
        <v>0.14161852081419107</v>
      </c>
      <c r="U67">
        <v>0.14210781786148463</v>
      </c>
      <c r="V67">
        <v>0.14054090941733563</v>
      </c>
      <c r="W67">
        <v>0.14013434014639486</v>
      </c>
      <c r="Y67">
        <v>1.9486655422440742</v>
      </c>
      <c r="Z67">
        <v>1.9631549536920612</v>
      </c>
      <c r="AA67">
        <v>2.0232157366038903</v>
      </c>
      <c r="AB67">
        <v>2.0757918402516626</v>
      </c>
      <c r="AC67">
        <v>2.1190963075859184</v>
      </c>
      <c r="AD67">
        <v>1.9926568100152497</v>
      </c>
      <c r="AE67">
        <v>1.9930805655091626</v>
      </c>
      <c r="AG67">
        <v>0.76263459732120997</v>
      </c>
      <c r="AH67">
        <v>0.76967392089191189</v>
      </c>
      <c r="AI67">
        <v>0.79904024952217279</v>
      </c>
      <c r="AJ67">
        <v>0.81386632597077802</v>
      </c>
      <c r="AK67">
        <v>0.83557063922803176</v>
      </c>
      <c r="AL67">
        <v>0.78360751863091327</v>
      </c>
      <c r="AM67">
        <v>0.78464913050317764</v>
      </c>
      <c r="AO67">
        <v>71</v>
      </c>
      <c r="AP67">
        <v>14.131890583564111</v>
      </c>
      <c r="AQ67">
        <v>6.1184900650017342</v>
      </c>
      <c r="AR67">
        <v>7.0869327972172087</v>
      </c>
      <c r="AS67">
        <v>812.40397023665435</v>
      </c>
      <c r="AT67">
        <v>26.304978928796466</v>
      </c>
      <c r="AU67">
        <v>11.603408761738615</v>
      </c>
      <c r="AV67">
        <v>14.740282668245865</v>
      </c>
      <c r="AW67">
        <v>6.2331528128264049</v>
      </c>
      <c r="AX67">
        <v>7.4668909865653905</v>
      </c>
      <c r="AY67">
        <v>854.86099950995026</v>
      </c>
      <c r="AZ67">
        <v>26.359887265980351</v>
      </c>
      <c r="BA67">
        <v>11.458170719926544</v>
      </c>
      <c r="BB67">
        <v>16.360049880544899</v>
      </c>
      <c r="BC67">
        <v>6.5976778702880861</v>
      </c>
      <c r="BD67">
        <v>8.1209683791288469</v>
      </c>
      <c r="BE67">
        <v>930.136356370371</v>
      </c>
      <c r="BF67">
        <v>27.280992211689608</v>
      </c>
      <c r="BG67">
        <v>11.522838808669954</v>
      </c>
      <c r="BH67">
        <v>17.353650562877618</v>
      </c>
      <c r="BI67">
        <v>6.9073669352605407</v>
      </c>
      <c r="BJ67">
        <v>8.7377652471200147</v>
      </c>
      <c r="BK67">
        <v>999.96753566133305</v>
      </c>
      <c r="BL67">
        <v>27.511013236132481</v>
      </c>
      <c r="BM67">
        <v>11.549565856657964</v>
      </c>
      <c r="BN67">
        <v>17.764944638605112</v>
      </c>
      <c r="BO67">
        <v>7.0133757160555419</v>
      </c>
      <c r="BP67">
        <v>9.2811401923018035</v>
      </c>
      <c r="BQ67">
        <v>1129.7372612289246</v>
      </c>
      <c r="BR67">
        <v>25.731999144533919</v>
      </c>
      <c r="BS67">
        <v>10.7815522467902</v>
      </c>
      <c r="BU67">
        <v>71</v>
      </c>
      <c r="BV67">
        <v>13.671602747647906</v>
      </c>
      <c r="BW67">
        <v>5.1602708261524981</v>
      </c>
      <c r="BX67">
        <v>6.8845361535970939</v>
      </c>
      <c r="BY67">
        <v>821.35658804152035</v>
      </c>
      <c r="BZ67">
        <v>25.457860553219987</v>
      </c>
      <c r="CA67">
        <v>10.31030399069242</v>
      </c>
      <c r="CB67">
        <v>14.130353722630307</v>
      </c>
      <c r="CC67">
        <v>5.2253594395740457</v>
      </c>
      <c r="CD67">
        <v>7.2289314151459738</v>
      </c>
      <c r="CE67">
        <v>865.83346419513293</v>
      </c>
      <c r="CF67">
        <v>25.321394397628616</v>
      </c>
      <c r="CG67">
        <v>10.14900701384682</v>
      </c>
      <c r="CH67">
        <v>15.736048337544398</v>
      </c>
      <c r="CI67">
        <v>5.7972766367003157</v>
      </c>
      <c r="CJ67">
        <v>7.8459330603633699</v>
      </c>
      <c r="CK67">
        <v>938.8147194754564</v>
      </c>
      <c r="CL67">
        <v>26.364138351791158</v>
      </c>
      <c r="CM67">
        <v>10.563756474219703</v>
      </c>
      <c r="CN67">
        <v>16.705566856070199</v>
      </c>
      <c r="CO67">
        <v>5.9806458066907116</v>
      </c>
      <c r="CP67">
        <v>8.4732444660083281</v>
      </c>
      <c r="CQ67">
        <v>1009.3194869100823</v>
      </c>
      <c r="CR67">
        <v>26.61400750787978</v>
      </c>
      <c r="CS67">
        <v>10.524387883949608</v>
      </c>
      <c r="CT67">
        <v>16.942178844488783</v>
      </c>
      <c r="CU67">
        <v>5.9713282364965545</v>
      </c>
      <c r="CV67">
        <v>8.8525023183123732</v>
      </c>
      <c r="CW67">
        <v>1141.464332068643</v>
      </c>
      <c r="CX67">
        <v>24.746837594287399</v>
      </c>
      <c r="CY67">
        <v>9.7578816215314941</v>
      </c>
      <c r="DA67">
        <v>71</v>
      </c>
      <c r="DB67">
        <v>12.632919710680394</v>
      </c>
      <c r="DC67">
        <v>4.6390836017808157</v>
      </c>
      <c r="DD67">
        <v>6.7623011246394649</v>
      </c>
      <c r="DE67">
        <v>815.29405763087027</v>
      </c>
      <c r="DF67">
        <v>24.373167276117847</v>
      </c>
      <c r="DG67">
        <v>9.7477085828245844</v>
      </c>
      <c r="DH67">
        <v>13.06596352129942</v>
      </c>
      <c r="DI67">
        <v>4.947108518070249</v>
      </c>
      <c r="DJ67">
        <v>7.0627860623989056</v>
      </c>
      <c r="DK67">
        <v>852.14361465401805</v>
      </c>
      <c r="DL67">
        <v>24.479113695745358</v>
      </c>
      <c r="DM67">
        <v>9.9855221973243395</v>
      </c>
      <c r="DN67">
        <v>14.608432825254001</v>
      </c>
      <c r="DO67">
        <v>5.1154765945965837</v>
      </c>
      <c r="DP67">
        <v>7.6537536489848943</v>
      </c>
      <c r="DQ67">
        <v>929.19231253058297</v>
      </c>
      <c r="DR67">
        <v>25.423612873337252</v>
      </c>
      <c r="DS67">
        <v>9.9393956496426572</v>
      </c>
      <c r="DT67">
        <v>15.264239299025697</v>
      </c>
      <c r="DU67">
        <v>5.1682149862339379</v>
      </c>
      <c r="DV67">
        <v>8.1976029566117958</v>
      </c>
      <c r="DW67">
        <v>996.16601971151624</v>
      </c>
      <c r="DX67">
        <v>25.518546449507966</v>
      </c>
      <c r="DY67">
        <v>9.8477952113392337</v>
      </c>
      <c r="DZ67">
        <v>15.452935814295287</v>
      </c>
      <c r="EA67">
        <v>5.2605788791563723</v>
      </c>
      <c r="EB67">
        <v>8.551887106646598</v>
      </c>
      <c r="EC67">
        <v>1126.5911409904916</v>
      </c>
      <c r="ED67">
        <v>23.751641959171771</v>
      </c>
      <c r="EE67">
        <v>9.2558196942844226</v>
      </c>
      <c r="EG67">
        <v>71</v>
      </c>
      <c r="EH67">
        <v>11.99840578594951</v>
      </c>
      <c r="EI67">
        <v>4.284111671395725</v>
      </c>
      <c r="EJ67">
        <v>6.2103606898989101</v>
      </c>
      <c r="EK67">
        <v>810.33670609629894</v>
      </c>
      <c r="EL67">
        <v>23.73924860667131</v>
      </c>
      <c r="EM67">
        <v>9.3692867367246873</v>
      </c>
      <c r="EN67">
        <v>12.457018290812313</v>
      </c>
      <c r="EO67">
        <v>4.4516512363891323</v>
      </c>
      <c r="EP67">
        <v>6.5208815841834298</v>
      </c>
      <c r="EQ67">
        <v>848.20314942620723</v>
      </c>
      <c r="ER67">
        <v>23.874911583895052</v>
      </c>
      <c r="ES67">
        <v>9.4477858319387895</v>
      </c>
      <c r="ET67">
        <v>12.828074574382548</v>
      </c>
      <c r="EU67">
        <v>4.6297526889668701</v>
      </c>
      <c r="EV67">
        <v>7.0656135531059476</v>
      </c>
      <c r="EW67">
        <v>941.03953973997477</v>
      </c>
      <c r="EX67">
        <v>23.211636137863771</v>
      </c>
      <c r="EY67">
        <v>9.2981067784207063</v>
      </c>
      <c r="EZ67">
        <v>13.624354072781703</v>
      </c>
      <c r="FA67">
        <v>4.7334681540013053</v>
      </c>
      <c r="FB67">
        <v>7.5620660527742185</v>
      </c>
      <c r="FC67">
        <v>1003.4636450238852</v>
      </c>
      <c r="FD67">
        <v>23.698739597705849</v>
      </c>
      <c r="FE67">
        <v>9.3429315280855469</v>
      </c>
      <c r="FF67">
        <v>13.824225128554772</v>
      </c>
      <c r="FG67">
        <v>4.7827875710749188</v>
      </c>
      <c r="FH67">
        <v>7.8932007644575286</v>
      </c>
      <c r="FI67">
        <v>1143.6095328657564</v>
      </c>
      <c r="FJ67">
        <v>21.97400249582417</v>
      </c>
      <c r="FK67">
        <v>8.7002887577998642</v>
      </c>
    </row>
    <row r="68" spans="2:167" x14ac:dyDescent="0.2">
      <c r="B68">
        <v>774.61869565727091</v>
      </c>
      <c r="C68">
        <v>1.2909577390867013</v>
      </c>
      <c r="D68">
        <v>834.34868226228423</v>
      </c>
      <c r="E68">
        <v>1.1985396768273937</v>
      </c>
      <c r="F68">
        <v>965.0124247880882</v>
      </c>
      <c r="G68">
        <v>1.036256087811092</v>
      </c>
      <c r="H68">
        <v>1087.8431942996524</v>
      </c>
      <c r="I68">
        <v>0.91925013204112993</v>
      </c>
      <c r="J68">
        <v>1211.1325382384821</v>
      </c>
      <c r="K68">
        <v>0.82567346547755927</v>
      </c>
      <c r="L68">
        <v>905.28029761150344</v>
      </c>
      <c r="M68">
        <v>1.104630248375454</v>
      </c>
      <c r="N68">
        <v>893.71904621713668</v>
      </c>
      <c r="O68">
        <v>1.1189198711079515</v>
      </c>
      <c r="Q68">
        <v>0.14149071940600016</v>
      </c>
      <c r="R68">
        <v>0.14213107186644777</v>
      </c>
      <c r="S68">
        <v>0.1423846062149467</v>
      </c>
      <c r="T68">
        <v>0.14349765310825208</v>
      </c>
      <c r="U68">
        <v>0.14398907480497181</v>
      </c>
      <c r="V68">
        <v>0.14241427329364936</v>
      </c>
      <c r="W68">
        <v>0.14200869674893135</v>
      </c>
      <c r="Y68">
        <v>1.961281986815171</v>
      </c>
      <c r="Z68">
        <v>1.9766514278867804</v>
      </c>
      <c r="AA68">
        <v>2.0366127257088413</v>
      </c>
      <c r="AB68">
        <v>2.0912149782258087</v>
      </c>
      <c r="AC68">
        <v>2.1350812222677069</v>
      </c>
      <c r="AD68">
        <v>2.0060772271255969</v>
      </c>
      <c r="AE68">
        <v>2.0065358393064363</v>
      </c>
      <c r="AG68">
        <v>0.76753741121734753</v>
      </c>
      <c r="AH68">
        <v>0.77494304028084759</v>
      </c>
      <c r="AI68">
        <v>0.80430103746427217</v>
      </c>
      <c r="AJ68">
        <v>0.8199040295153619</v>
      </c>
      <c r="AK68">
        <v>0.8418669789677935</v>
      </c>
      <c r="AL68">
        <v>0.78886008231400329</v>
      </c>
      <c r="AM68">
        <v>0.78991974146747879</v>
      </c>
      <c r="AO68">
        <v>72</v>
      </c>
      <c r="AP68">
        <v>14.246476013074753</v>
      </c>
      <c r="AQ68">
        <v>6.1715718902623387</v>
      </c>
      <c r="AR68">
        <v>7.1293053612474608</v>
      </c>
      <c r="AS68">
        <v>817.99055640116489</v>
      </c>
      <c r="AT68">
        <v>26.264989170314703</v>
      </c>
      <c r="AU68">
        <v>11.588863656046499</v>
      </c>
      <c r="AV68">
        <v>14.863426364141796</v>
      </c>
      <c r="AW68">
        <v>6.2887763382162758</v>
      </c>
      <c r="AX68">
        <v>7.5122278220546246</v>
      </c>
      <c r="AY68">
        <v>860.90498995392693</v>
      </c>
      <c r="AZ68">
        <v>26.320651774144388</v>
      </c>
      <c r="BA68">
        <v>11.443611665376226</v>
      </c>
      <c r="BB68">
        <v>16.493585891049992</v>
      </c>
      <c r="BC68">
        <v>6.6567046029130266</v>
      </c>
      <c r="BD68">
        <v>8.168214986314144</v>
      </c>
      <c r="BE68">
        <v>936.56979317287005</v>
      </c>
      <c r="BF68">
        <v>27.238399288798316</v>
      </c>
      <c r="BG68">
        <v>11.507727711843057</v>
      </c>
      <c r="BH68">
        <v>17.499415554646632</v>
      </c>
      <c r="BI68">
        <v>6.9716128102672661</v>
      </c>
      <c r="BJ68">
        <v>8.7892553017069623</v>
      </c>
      <c r="BK68">
        <v>1007.0213455090391</v>
      </c>
      <c r="BL68">
        <v>27.471336616205093</v>
      </c>
      <c r="BM68">
        <v>11.536247194096497</v>
      </c>
      <c r="BN68">
        <v>17.914339232791754</v>
      </c>
      <c r="BO68">
        <v>7.0786822132034919</v>
      </c>
      <c r="BP68">
        <v>9.3354600001010102</v>
      </c>
      <c r="BQ68">
        <v>1138.8646690216049</v>
      </c>
      <c r="BR68">
        <v>25.666931695409016</v>
      </c>
      <c r="BS68">
        <v>10.757049587178408</v>
      </c>
      <c r="BU68">
        <v>72</v>
      </c>
      <c r="BV68">
        <v>13.781616149377658</v>
      </c>
      <c r="BW68">
        <v>5.2054050341490736</v>
      </c>
      <c r="BX68">
        <v>6.9255442574297206</v>
      </c>
      <c r="BY68">
        <v>826.88011824094235</v>
      </c>
      <c r="BZ68">
        <v>25.420436140507537</v>
      </c>
      <c r="CA68">
        <v>10.295826427734653</v>
      </c>
      <c r="CB68">
        <v>14.247752636178481</v>
      </c>
      <c r="CC68">
        <v>5.2728675669706524</v>
      </c>
      <c r="CD68">
        <v>7.2727053677300804</v>
      </c>
      <c r="CE68">
        <v>871.88449425494935</v>
      </c>
      <c r="CF68">
        <v>25.283058557056258</v>
      </c>
      <c r="CG68">
        <v>10.134316727495328</v>
      </c>
      <c r="CH68">
        <v>15.863769773039271</v>
      </c>
      <c r="CI68">
        <v>5.8498756759790256</v>
      </c>
      <c r="CJ68">
        <v>7.891487699705011</v>
      </c>
      <c r="CK68">
        <v>945.17131571906589</v>
      </c>
      <c r="CL68">
        <v>26.32416521372145</v>
      </c>
      <c r="CM68">
        <v>10.549369273284455</v>
      </c>
      <c r="CN68">
        <v>16.84513854091259</v>
      </c>
      <c r="CO68">
        <v>6.0371378661054633</v>
      </c>
      <c r="CP68">
        <v>8.5230442562543427</v>
      </c>
      <c r="CQ68">
        <v>1016.2794469023247</v>
      </c>
      <c r="CR68">
        <v>26.577281898966209</v>
      </c>
      <c r="CS68">
        <v>10.511648405292267</v>
      </c>
      <c r="CT68">
        <v>17.084112012698242</v>
      </c>
      <c r="CU68">
        <v>6.0279321809382642</v>
      </c>
      <c r="CV68">
        <v>8.9043543176162174</v>
      </c>
      <c r="CW68">
        <v>1150.6166892422723</v>
      </c>
      <c r="CX68">
        <v>24.683228320546768</v>
      </c>
      <c r="CY68">
        <v>9.7339746504645284</v>
      </c>
      <c r="DA68">
        <v>72</v>
      </c>
      <c r="DB68">
        <v>12.704256253948881</v>
      </c>
      <c r="DC68">
        <v>4.6807861458224309</v>
      </c>
      <c r="DD68">
        <v>6.7951149784679572</v>
      </c>
      <c r="DE68">
        <v>820.87109303230045</v>
      </c>
      <c r="DF68">
        <v>24.294062143793521</v>
      </c>
      <c r="DG68">
        <v>9.7320947873997721</v>
      </c>
      <c r="DH68">
        <v>13.145541460983841</v>
      </c>
      <c r="DI68">
        <v>4.9943446592437652</v>
      </c>
      <c r="DJ68">
        <v>7.1002703663984326</v>
      </c>
      <c r="DK68">
        <v>858.21786991359852</v>
      </c>
      <c r="DL68">
        <v>24.401374385447063</v>
      </c>
      <c r="DM68">
        <v>9.971163508523043</v>
      </c>
      <c r="DN68">
        <v>14.697427341865009</v>
      </c>
      <c r="DO68">
        <v>5.1645246365396513</v>
      </c>
      <c r="DP68">
        <v>7.6927387393221958</v>
      </c>
      <c r="DQ68">
        <v>935.56502046055732</v>
      </c>
      <c r="DR68">
        <v>25.347787615457019</v>
      </c>
      <c r="DS68">
        <v>9.9251361407527696</v>
      </c>
      <c r="DT68">
        <v>15.371144354920625</v>
      </c>
      <c r="DU68">
        <v>5.224299484176858</v>
      </c>
      <c r="DV68">
        <v>8.2460985442632921</v>
      </c>
      <c r="DW68">
        <v>1003.6143018519701</v>
      </c>
      <c r="DX68">
        <v>25.443988906231279</v>
      </c>
      <c r="DY68">
        <v>9.8343893936351119</v>
      </c>
      <c r="DZ68">
        <v>15.562808881227975</v>
      </c>
      <c r="EA68">
        <v>5.3183526288121881</v>
      </c>
      <c r="EB68">
        <v>8.6034326988024361</v>
      </c>
      <c r="EC68">
        <v>1136.2894636991196</v>
      </c>
      <c r="ED68">
        <v>23.655619608601654</v>
      </c>
      <c r="EE68">
        <v>9.2322374434490264</v>
      </c>
      <c r="EG68">
        <v>72</v>
      </c>
      <c r="EH68">
        <v>12.058969418952882</v>
      </c>
      <c r="EI68">
        <v>4.3226177608342109</v>
      </c>
      <c r="EJ68">
        <v>6.2404767959447804</v>
      </c>
      <c r="EK68">
        <v>815.82795166878441</v>
      </c>
      <c r="EL68">
        <v>23.653279434349116</v>
      </c>
      <c r="EM68">
        <v>9.3532305249287671</v>
      </c>
      <c r="EN68">
        <v>12.526494628439588</v>
      </c>
      <c r="EO68">
        <v>4.494149334687549</v>
      </c>
      <c r="EP68">
        <v>6.5553991514547967</v>
      </c>
      <c r="EQ68">
        <v>854.26639468589258</v>
      </c>
      <c r="ER68">
        <v>23.78959167997105</v>
      </c>
      <c r="ES68">
        <v>9.431759732572905</v>
      </c>
      <c r="ET68">
        <v>12.919711275445282</v>
      </c>
      <c r="EU68">
        <v>4.6741435493489814</v>
      </c>
      <c r="EV68">
        <v>7.1015898662759156</v>
      </c>
      <c r="EW68">
        <v>947.75259938096008</v>
      </c>
      <c r="EX68">
        <v>23.146111534796685</v>
      </c>
      <c r="EY68">
        <v>9.2800896722955528</v>
      </c>
      <c r="EZ68">
        <v>13.721871144936877</v>
      </c>
      <c r="FA68">
        <v>4.7848244136438352</v>
      </c>
      <c r="FB68">
        <v>7.6067248820909992</v>
      </c>
      <c r="FC68">
        <v>1011.192994237442</v>
      </c>
      <c r="FD68">
        <v>23.622273975984363</v>
      </c>
      <c r="FE68">
        <v>9.3260721035870837</v>
      </c>
      <c r="FF68">
        <v>13.92242796978846</v>
      </c>
      <c r="FG68">
        <v>4.8353098303170619</v>
      </c>
      <c r="FH68">
        <v>7.9407037124284852</v>
      </c>
      <c r="FI68">
        <v>1154.6032917411685</v>
      </c>
      <c r="FJ68">
        <v>21.85967300424673</v>
      </c>
      <c r="FK68">
        <v>8.6674370378530892</v>
      </c>
    </row>
    <row r="69" spans="2:167" x14ac:dyDescent="0.2">
      <c r="B69">
        <v>774.37228690596476</v>
      </c>
      <c r="C69">
        <v>1.2913685276568196</v>
      </c>
      <c r="D69">
        <v>834.36925540707364</v>
      </c>
      <c r="E69">
        <v>1.1985101242879785</v>
      </c>
      <c r="F69">
        <v>964.90992214542439</v>
      </c>
      <c r="G69">
        <v>1.03636616957628</v>
      </c>
      <c r="H69">
        <v>1088.3523213626756</v>
      </c>
      <c r="I69">
        <v>0.91882011033701505</v>
      </c>
      <c r="J69">
        <v>1211.9027516227438</v>
      </c>
      <c r="K69">
        <v>0.82514871647992794</v>
      </c>
      <c r="L69">
        <v>905.2728940261253</v>
      </c>
      <c r="M69">
        <v>1.1046392823633366</v>
      </c>
      <c r="N69">
        <v>893.65014062854868</v>
      </c>
      <c r="O69">
        <v>1.1190061462941752</v>
      </c>
      <c r="Q69">
        <v>0.14336156328440514</v>
      </c>
      <c r="R69">
        <v>0.14400568360351265</v>
      </c>
      <c r="S69">
        <v>0.14425330823983454</v>
      </c>
      <c r="T69">
        <v>0.14537371611455766</v>
      </c>
      <c r="U69">
        <v>0.14586693855820335</v>
      </c>
      <c r="V69">
        <v>0.14428510782556914</v>
      </c>
      <c r="W69">
        <v>0.14388094215353947</v>
      </c>
      <c r="Y69">
        <v>1.9734875130769352</v>
      </c>
      <c r="Z69">
        <v>1.9897641604246481</v>
      </c>
      <c r="AA69">
        <v>2.0495726846132976</v>
      </c>
      <c r="AB69">
        <v>2.1062407396979288</v>
      </c>
      <c r="AC69">
        <v>2.1506679982862198</v>
      </c>
      <c r="AD69">
        <v>2.0190942868223161</v>
      </c>
      <c r="AE69">
        <v>2.0195766580741843</v>
      </c>
      <c r="AG69">
        <v>0.77232082218442311</v>
      </c>
      <c r="AH69">
        <v>0.78010301233082835</v>
      </c>
      <c r="AI69">
        <v>0.80942939533570724</v>
      </c>
      <c r="AJ69">
        <v>0.82582762189939407</v>
      </c>
      <c r="AK69">
        <v>0.84804733506918073</v>
      </c>
      <c r="AL69">
        <v>0.79399548488760774</v>
      </c>
      <c r="AM69">
        <v>0.79506725450517135</v>
      </c>
      <c r="AO69">
        <v>73</v>
      </c>
      <c r="AP69">
        <v>14.35865747391623</v>
      </c>
      <c r="AQ69">
        <v>6.2235897963211428</v>
      </c>
      <c r="AR69">
        <v>7.1702725943824639</v>
      </c>
      <c r="AS69">
        <v>823.39173202342818</v>
      </c>
      <c r="AT69">
        <v>26.226146417208781</v>
      </c>
      <c r="AU69">
        <v>11.574741738215426</v>
      </c>
      <c r="AV69">
        <v>14.984054503367583</v>
      </c>
      <c r="AW69">
        <v>6.3433638859478307</v>
      </c>
      <c r="AX69">
        <v>7.5560060249892329</v>
      </c>
      <c r="AY69">
        <v>866.75011927724529</v>
      </c>
      <c r="AZ69">
        <v>26.282547090835259</v>
      </c>
      <c r="BA69">
        <v>11.429519962944427</v>
      </c>
      <c r="BB69">
        <v>16.623871520817811</v>
      </c>
      <c r="BC69">
        <v>6.7145706873388384</v>
      </c>
      <c r="BD69">
        <v>8.2135140601751502</v>
      </c>
      <c r="BE69">
        <v>942.77643598577345</v>
      </c>
      <c r="BF69">
        <v>27.196256561647417</v>
      </c>
      <c r="BG69">
        <v>11.492882189542101</v>
      </c>
      <c r="BH69">
        <v>17.641630366448478</v>
      </c>
      <c r="BI69">
        <v>7.0346516530604193</v>
      </c>
      <c r="BJ69">
        <v>8.838498885342057</v>
      </c>
      <c r="BK69">
        <v>1013.8215227077089</v>
      </c>
      <c r="BL69">
        <v>27.432041867668516</v>
      </c>
      <c r="BM69">
        <v>11.523192179071394</v>
      </c>
      <c r="BN69">
        <v>18.060096908411253</v>
      </c>
      <c r="BO69">
        <v>7.1427729035668781</v>
      </c>
      <c r="BP69">
        <v>9.3873021480073291</v>
      </c>
      <c r="BQ69">
        <v>1147.689012603327</v>
      </c>
      <c r="BR69">
        <v>25.60285573608618</v>
      </c>
      <c r="BS69">
        <v>10.733050041517926</v>
      </c>
      <c r="BU69">
        <v>73</v>
      </c>
      <c r="BV69">
        <v>13.889172374189247</v>
      </c>
      <c r="BW69">
        <v>5.2497965796089696</v>
      </c>
      <c r="BX69">
        <v>6.9651573502415642</v>
      </c>
      <c r="BY69">
        <v>832.20882659637493</v>
      </c>
      <c r="BZ69">
        <v>25.384141994067384</v>
      </c>
      <c r="CA69">
        <v>10.281978702192927</v>
      </c>
      <c r="CB69">
        <v>14.36263945231561</v>
      </c>
      <c r="CC69">
        <v>5.3196697096639527</v>
      </c>
      <c r="CD69">
        <v>7.3149476031847849</v>
      </c>
      <c r="CE69">
        <v>877.72715389722316</v>
      </c>
      <c r="CF69">
        <v>25.245870173265711</v>
      </c>
      <c r="CG69">
        <v>10.120278922030467</v>
      </c>
      <c r="CH69">
        <v>15.988252136884498</v>
      </c>
      <c r="CI69">
        <v>5.9015638261617402</v>
      </c>
      <c r="CJ69">
        <v>7.9351422330351884</v>
      </c>
      <c r="CK69">
        <v>951.29290450463202</v>
      </c>
      <c r="CL69">
        <v>26.284617840634375</v>
      </c>
      <c r="CM69">
        <v>10.535358354115607</v>
      </c>
      <c r="CN69">
        <v>16.981176643079689</v>
      </c>
      <c r="CO69">
        <v>6.0927119323220031</v>
      </c>
      <c r="CP69">
        <v>8.5706392206027164</v>
      </c>
      <c r="CQ69">
        <v>1022.9770432218271</v>
      </c>
      <c r="CR69">
        <v>26.54090911794297</v>
      </c>
      <c r="CS69">
        <v>10.499278152786744</v>
      </c>
      <c r="CT69">
        <v>17.222492796648794</v>
      </c>
      <c r="CU69">
        <v>6.0836482342160165</v>
      </c>
      <c r="CV69">
        <v>8.9538513176203161</v>
      </c>
      <c r="CW69">
        <v>1159.456505985745</v>
      </c>
      <c r="CX69">
        <v>24.620597633838869</v>
      </c>
      <c r="CY69">
        <v>9.7106522555140753</v>
      </c>
      <c r="DA69">
        <v>73</v>
      </c>
      <c r="DB69">
        <v>12.772227553083843</v>
      </c>
      <c r="DC69">
        <v>4.7218522946727806</v>
      </c>
      <c r="DD69">
        <v>6.8262736508407018</v>
      </c>
      <c r="DE69">
        <v>826.27102147270318</v>
      </c>
      <c r="DF69">
        <v>24.214769345622223</v>
      </c>
      <c r="DG69">
        <v>9.7169196755739584</v>
      </c>
      <c r="DH69">
        <v>13.221789517116363</v>
      </c>
      <c r="DI69">
        <v>5.0409535196161164</v>
      </c>
      <c r="DJ69">
        <v>7.1360772527263965</v>
      </c>
      <c r="DK69">
        <v>864.1115868311274</v>
      </c>
      <c r="DL69">
        <v>24.323404708317625</v>
      </c>
      <c r="DM69">
        <v>9.9571948298773609</v>
      </c>
      <c r="DN69">
        <v>14.782338097492403</v>
      </c>
      <c r="DO69">
        <v>5.2128734452812333</v>
      </c>
      <c r="DP69">
        <v>7.7296813239716613</v>
      </c>
      <c r="DQ69">
        <v>941.72193134026418</v>
      </c>
      <c r="DR69">
        <v>25.271213951818183</v>
      </c>
      <c r="DS69">
        <v>9.9111223357830749</v>
      </c>
      <c r="DT69">
        <v>15.474196906490661</v>
      </c>
      <c r="DU69">
        <v>5.2799020135230883</v>
      </c>
      <c r="DV69">
        <v>8.2925391362673526</v>
      </c>
      <c r="DW69">
        <v>1010.8451099526397</v>
      </c>
      <c r="DX69">
        <v>25.36863535750296</v>
      </c>
      <c r="DY69">
        <v>9.8211986229695754</v>
      </c>
      <c r="DZ69">
        <v>15.668865884602486</v>
      </c>
      <c r="EA69">
        <v>5.3756626068620355</v>
      </c>
      <c r="EB69">
        <v>8.6528326921603416</v>
      </c>
      <c r="EC69">
        <v>1145.7258748112492</v>
      </c>
      <c r="ED69">
        <v>23.55963654937295</v>
      </c>
      <c r="EE69">
        <v>9.2090905334621933</v>
      </c>
      <c r="EG69">
        <v>73</v>
      </c>
      <c r="EH69">
        <v>12.116136588702298</v>
      </c>
      <c r="EI69">
        <v>4.3605206805422805</v>
      </c>
      <c r="EJ69">
        <v>6.2691342093733109</v>
      </c>
      <c r="EK69">
        <v>821.14716584026985</v>
      </c>
      <c r="EL69">
        <v>23.566873323795864</v>
      </c>
      <c r="EM69">
        <v>9.3375193275229371</v>
      </c>
      <c r="EN69">
        <v>12.5925609591831</v>
      </c>
      <c r="EO69">
        <v>4.5360874152010604</v>
      </c>
      <c r="EP69">
        <v>6.5884220112126419</v>
      </c>
      <c r="EQ69">
        <v>860.15564655230469</v>
      </c>
      <c r="ER69">
        <v>23.703741716316198</v>
      </c>
      <c r="ES69">
        <v>9.416041565129067</v>
      </c>
      <c r="ET69">
        <v>13.008616215522785</v>
      </c>
      <c r="EU69">
        <v>4.7179016011318966</v>
      </c>
      <c r="EV69">
        <v>7.1357346987751038</v>
      </c>
      <c r="EW69">
        <v>954.22365874926572</v>
      </c>
      <c r="EX69">
        <v>23.081312568709752</v>
      </c>
      <c r="EY69">
        <v>9.2625553166842725</v>
      </c>
      <c r="EZ69">
        <v>13.816202437112414</v>
      </c>
      <c r="FA69">
        <v>4.8357298873873598</v>
      </c>
      <c r="FB69">
        <v>7.6495432516788364</v>
      </c>
      <c r="FC69">
        <v>1018.6885015362225</v>
      </c>
      <c r="FD69">
        <v>23.54573207781748</v>
      </c>
      <c r="FE69">
        <v>9.3095568090393819</v>
      </c>
      <c r="FF69">
        <v>14.017333712051029</v>
      </c>
      <c r="FG69">
        <v>4.8874068762669252</v>
      </c>
      <c r="FH69">
        <v>7.9862808696746947</v>
      </c>
      <c r="FI69">
        <v>1165.3380596982797</v>
      </c>
      <c r="FJ69">
        <v>21.745924122460341</v>
      </c>
      <c r="FK69">
        <v>8.6351230815178592</v>
      </c>
    </row>
    <row r="70" spans="2:167" x14ac:dyDescent="0.2">
      <c r="B70">
        <v>773.91603753138691</v>
      </c>
      <c r="C70">
        <v>1.2921298325717201</v>
      </c>
      <c r="D70">
        <v>834.15385359428581</v>
      </c>
      <c r="E70">
        <v>1.1988196130619067</v>
      </c>
      <c r="F70">
        <v>964.48196654724052</v>
      </c>
      <c r="G70">
        <v>1.0368260213095646</v>
      </c>
      <c r="H70">
        <v>1088.4782925645848</v>
      </c>
      <c r="I70">
        <v>0.91871377392734277</v>
      </c>
      <c r="J70">
        <v>1212.2264317568033</v>
      </c>
      <c r="K70">
        <v>0.82492839110162197</v>
      </c>
      <c r="L70">
        <v>904.96849068493793</v>
      </c>
      <c r="M70">
        <v>1.1050108487679347</v>
      </c>
      <c r="N70">
        <v>893.3179812264483</v>
      </c>
      <c r="O70">
        <v>1.1194222225629966</v>
      </c>
      <c r="Q70">
        <v>0.1452306089785933</v>
      </c>
      <c r="R70">
        <v>0.14587826698526818</v>
      </c>
      <c r="S70">
        <v>0.14611938692113594</v>
      </c>
      <c r="T70">
        <v>0.14724670963547934</v>
      </c>
      <c r="U70">
        <v>0.14774140875994796</v>
      </c>
      <c r="V70">
        <v>0.14615341301561147</v>
      </c>
      <c r="W70">
        <v>0.14575107637621468</v>
      </c>
      <c r="Y70">
        <v>1.9852821210893818</v>
      </c>
      <c r="Z70">
        <v>2.0024931512973589</v>
      </c>
      <c r="AA70">
        <v>2.0620956133689177</v>
      </c>
      <c r="AB70">
        <v>2.1208691242879549</v>
      </c>
      <c r="AC70">
        <v>2.1658566348358925</v>
      </c>
      <c r="AD70">
        <v>2.0317079891108576</v>
      </c>
      <c r="AE70">
        <v>2.0322030218422511</v>
      </c>
      <c r="AG70">
        <v>0.77698483023507459</v>
      </c>
      <c r="AH70">
        <v>0.78515383704036101</v>
      </c>
      <c r="AI70">
        <v>0.81442532314968774</v>
      </c>
      <c r="AJ70">
        <v>0.83163710305114757</v>
      </c>
      <c r="AK70">
        <v>0.85411170735270581</v>
      </c>
      <c r="AL70">
        <v>0.7990137263530549</v>
      </c>
      <c r="AM70">
        <v>0.80009166962348077</v>
      </c>
      <c r="AO70">
        <v>74</v>
      </c>
      <c r="AP70">
        <v>14.468434966905448</v>
      </c>
      <c r="AQ70">
        <v>6.2737146508702892</v>
      </c>
      <c r="AR70">
        <v>7.2098344971532802</v>
      </c>
      <c r="AS70">
        <v>828.5380706801318</v>
      </c>
      <c r="AT70">
        <v>26.190596653917989</v>
      </c>
      <c r="AU70">
        <v>11.560993306300432</v>
      </c>
      <c r="AV70">
        <v>15.102167085818618</v>
      </c>
      <c r="AW70">
        <v>6.3966543408406107</v>
      </c>
      <c r="AX70">
        <v>7.5982255953033997</v>
      </c>
      <c r="AY70">
        <v>872.3626323818886</v>
      </c>
      <c r="AZ70">
        <v>26.246539963876362</v>
      </c>
      <c r="BA70">
        <v>11.416018984471311</v>
      </c>
      <c r="BB70">
        <v>16.750906770798213</v>
      </c>
      <c r="BC70">
        <v>6.7712761238829122</v>
      </c>
      <c r="BD70">
        <v>8.2568656011687906</v>
      </c>
      <c r="BE70">
        <v>948.65567924313621</v>
      </c>
      <c r="BF70">
        <v>27.157404767523328</v>
      </c>
      <c r="BG70">
        <v>11.479503681157871</v>
      </c>
      <c r="BH70">
        <v>17.780294991625869</v>
      </c>
      <c r="BI70">
        <v>7.0964834614252235</v>
      </c>
      <c r="BJ70">
        <v>8.8854959949652432</v>
      </c>
      <c r="BK70">
        <v>1020.4346037515426</v>
      </c>
      <c r="BL70">
        <v>27.39130567955036</v>
      </c>
      <c r="BM70">
        <v>11.509635175682396</v>
      </c>
      <c r="BN70">
        <v>18.202217651455822</v>
      </c>
      <c r="BO70">
        <v>7.2056477824410177</v>
      </c>
      <c r="BP70">
        <v>9.4366666294743968</v>
      </c>
      <c r="BQ70">
        <v>1154.6004082338779</v>
      </c>
      <c r="BR70">
        <v>25.575308322435561</v>
      </c>
      <c r="BS70">
        <v>10.724455552721608</v>
      </c>
      <c r="BU70">
        <v>74</v>
      </c>
      <c r="BV70">
        <v>13.994271422957413</v>
      </c>
      <c r="BW70">
        <v>5.293445462723593</v>
      </c>
      <c r="BX70">
        <v>7.0033754325524296</v>
      </c>
      <c r="BY70">
        <v>837.34117349038286</v>
      </c>
      <c r="BZ70">
        <v>25.348977871436865</v>
      </c>
      <c r="CA70">
        <v>10.268758032236112</v>
      </c>
      <c r="CB70">
        <v>14.475014170934942</v>
      </c>
      <c r="CC70">
        <v>5.3657658676301265</v>
      </c>
      <c r="CD70">
        <v>7.3556581214461456</v>
      </c>
      <c r="CE70">
        <v>883.29036994167257</v>
      </c>
      <c r="CF70">
        <v>25.211808638183715</v>
      </c>
      <c r="CG70">
        <v>10.107683954478162</v>
      </c>
      <c r="CH70">
        <v>16.109495430034372</v>
      </c>
      <c r="CI70">
        <v>5.9523410874837293</v>
      </c>
      <c r="CJ70">
        <v>7.9768966607935132</v>
      </c>
      <c r="CK70">
        <v>957.13565777115684</v>
      </c>
      <c r="CL70">
        <v>26.246660775288088</v>
      </c>
      <c r="CM70">
        <v>10.522187992740786</v>
      </c>
      <c r="CN70">
        <v>17.11368115592089</v>
      </c>
      <c r="CO70">
        <v>6.1473680037137512</v>
      </c>
      <c r="CP70">
        <v>8.6160293561050665</v>
      </c>
      <c r="CQ70">
        <v>1029.5636658307676</v>
      </c>
      <c r="CR70">
        <v>26.500956888011615</v>
      </c>
      <c r="CS70">
        <v>10.485718280859896</v>
      </c>
      <c r="CT70">
        <v>17.357321182670418</v>
      </c>
      <c r="CU70">
        <v>6.1384763929115973</v>
      </c>
      <c r="CV70">
        <v>9.0009933120677452</v>
      </c>
      <c r="CW70">
        <v>1166.3001785952054</v>
      </c>
      <c r="CX70">
        <v>24.594324417883538</v>
      </c>
      <c r="CY70">
        <v>9.7018671328320956</v>
      </c>
      <c r="DA70">
        <v>74</v>
      </c>
      <c r="DB70">
        <v>12.837303304450399</v>
      </c>
      <c r="DC70">
        <v>4.762282048548518</v>
      </c>
      <c r="DD70">
        <v>6.8562912584265927</v>
      </c>
      <c r="DE70">
        <v>831.51170309364306</v>
      </c>
      <c r="DF70">
        <v>24.135288396396241</v>
      </c>
      <c r="DG70">
        <v>9.7019566373051802</v>
      </c>
      <c r="DH70">
        <v>13.294707689672853</v>
      </c>
      <c r="DI70">
        <v>5.0869231994755744</v>
      </c>
      <c r="DJ70">
        <v>7.1702067213764273</v>
      </c>
      <c r="DK70">
        <v>869.90883160740782</v>
      </c>
      <c r="DL70">
        <v>24.242817788951246</v>
      </c>
      <c r="DM70">
        <v>9.9426249245775775</v>
      </c>
      <c r="DN70">
        <v>14.863165092234476</v>
      </c>
      <c r="DO70">
        <v>5.2605230210002203</v>
      </c>
      <c r="DP70">
        <v>7.7649515391040138</v>
      </c>
      <c r="DQ70">
        <v>947.76354827623413</v>
      </c>
      <c r="DR70">
        <v>25.191182580376289</v>
      </c>
      <c r="DS70">
        <v>9.8962903523764947</v>
      </c>
      <c r="DT70">
        <v>15.573396951023954</v>
      </c>
      <c r="DU70">
        <v>5.335022573450777</v>
      </c>
      <c r="DV70">
        <v>8.3369247316913224</v>
      </c>
      <c r="DW70">
        <v>1018.0536805857753</v>
      </c>
      <c r="DX70">
        <v>25.287603795051929</v>
      </c>
      <c r="DY70">
        <v>9.806328794080418</v>
      </c>
      <c r="DZ70">
        <v>15.771106818314308</v>
      </c>
      <c r="EA70">
        <v>5.4325088114909956</v>
      </c>
      <c r="EB70">
        <v>8.700087084254589</v>
      </c>
      <c r="EC70">
        <v>1153.3184429619453</v>
      </c>
      <c r="ED70">
        <v>23.495809645648755</v>
      </c>
      <c r="EE70">
        <v>9.1989526856621051</v>
      </c>
      <c r="EG70">
        <v>74</v>
      </c>
      <c r="EH70">
        <v>12.17153389058371</v>
      </c>
      <c r="EI70">
        <v>4.3978204307273812</v>
      </c>
      <c r="EJ70">
        <v>6.2967036033975408</v>
      </c>
      <c r="EK70">
        <v>826.42178138528573</v>
      </c>
      <c r="EL70">
        <v>23.478332471770997</v>
      </c>
      <c r="EM70">
        <v>9.3206992391867232</v>
      </c>
      <c r="EN70">
        <v>12.655399843869105</v>
      </c>
      <c r="EO70">
        <v>4.5774654779076531</v>
      </c>
      <c r="EP70">
        <v>6.6199501634496398</v>
      </c>
      <c r="EQ70">
        <v>865.93081715802066</v>
      </c>
      <c r="ER70">
        <v>23.615897536676204</v>
      </c>
      <c r="ES70">
        <v>9.399965157027852</v>
      </c>
      <c r="ET70">
        <v>13.094789395251125</v>
      </c>
      <c r="EU70">
        <v>4.7610268444775112</v>
      </c>
      <c r="EV70">
        <v>7.1682991803295319</v>
      </c>
      <c r="EW70">
        <v>960.45006100600665</v>
      </c>
      <c r="EX70">
        <v>23.017239300826372</v>
      </c>
      <c r="EY70">
        <v>9.2455062924525837</v>
      </c>
      <c r="EZ70">
        <v>13.907347946470875</v>
      </c>
      <c r="FA70">
        <v>4.8861845744616996</v>
      </c>
      <c r="FB70">
        <v>7.6905211606514916</v>
      </c>
      <c r="FC70">
        <v>1025.98015038523</v>
      </c>
      <c r="FD70">
        <v>23.468377144678321</v>
      </c>
      <c r="FE70">
        <v>9.2930951142463911</v>
      </c>
      <c r="FF70">
        <v>14.108942349970825</v>
      </c>
      <c r="FG70">
        <v>4.9390787072626168</v>
      </c>
      <c r="FH70">
        <v>8.0299322338867611</v>
      </c>
      <c r="FI70">
        <v>1172.2523508578211</v>
      </c>
      <c r="FJ70">
        <v>21.698387817002939</v>
      </c>
      <c r="FK70">
        <v>8.629448835549379</v>
      </c>
    </row>
    <row r="71" spans="2:167" x14ac:dyDescent="0.2">
      <c r="B71">
        <v>773.24995736762639</v>
      </c>
      <c r="C71">
        <v>1.2932428776385561</v>
      </c>
      <c r="D71">
        <v>833.70248279557802</v>
      </c>
      <c r="E71">
        <v>1.1994686601469529</v>
      </c>
      <c r="F71">
        <v>963.72857411986456</v>
      </c>
      <c r="G71">
        <v>1.0376365574853488</v>
      </c>
      <c r="H71">
        <v>1088.2211018013998</v>
      </c>
      <c r="I71">
        <v>0.91893090323707016</v>
      </c>
      <c r="J71">
        <v>1212.103558664767</v>
      </c>
      <c r="K71">
        <v>0.82501201555878878</v>
      </c>
      <c r="L71">
        <v>904.36709973686368</v>
      </c>
      <c r="M71">
        <v>1.1057456648864845</v>
      </c>
      <c r="N71">
        <v>892.72257762545223</v>
      </c>
      <c r="O71">
        <v>1.1201688240706249</v>
      </c>
      <c r="Q71">
        <v>0.14709785657283581</v>
      </c>
      <c r="R71">
        <v>0.14774882206304457</v>
      </c>
      <c r="S71">
        <v>0.14798284238883866</v>
      </c>
      <c r="T71">
        <v>0.1491166336221178</v>
      </c>
      <c r="U71">
        <v>0.14961248525839332</v>
      </c>
      <c r="V71">
        <v>0.14801918896724028</v>
      </c>
      <c r="W71">
        <v>0.14761909949406207</v>
      </c>
      <c r="Y71">
        <v>1.9966658109636317</v>
      </c>
      <c r="Z71">
        <v>2.0148384005918691</v>
      </c>
      <c r="AA71">
        <v>2.0741815121913754</v>
      </c>
      <c r="AB71">
        <v>2.1351001319018463</v>
      </c>
      <c r="AC71">
        <v>2.1806471315781772</v>
      </c>
      <c r="AD71">
        <v>2.043918334215264</v>
      </c>
      <c r="AE71">
        <v>2.0444149307545056</v>
      </c>
      <c r="AG71">
        <v>0.78152943539270181</v>
      </c>
      <c r="AH71">
        <v>0.79009551442507187</v>
      </c>
      <c r="AI71">
        <v>0.81928882096136668</v>
      </c>
      <c r="AJ71">
        <v>0.83733247295287505</v>
      </c>
      <c r="AK71">
        <v>0.86006009574293707</v>
      </c>
      <c r="AL71">
        <v>0.80391480676493465</v>
      </c>
      <c r="AM71">
        <v>0.80499298685723564</v>
      </c>
      <c r="AO71">
        <v>75</v>
      </c>
      <c r="AP71">
        <v>14.575808493554979</v>
      </c>
      <c r="AQ71">
        <v>6.3227756656596679</v>
      </c>
      <c r="AR71">
        <v>7.2479910705432049</v>
      </c>
      <c r="AS71">
        <v>833.49610662862563</v>
      </c>
      <c r="AT71">
        <v>26.156158285346148</v>
      </c>
      <c r="AU71">
        <v>11.547671947178783</v>
      </c>
      <c r="AV71">
        <v>15.217764112590187</v>
      </c>
      <c r="AW71">
        <v>6.4489086580029742</v>
      </c>
      <c r="AX71">
        <v>7.6388865336862599</v>
      </c>
      <c r="AY71">
        <v>877.77312633941995</v>
      </c>
      <c r="AZ71">
        <v>26.211647886489651</v>
      </c>
      <c r="BA71">
        <v>11.402986501219324</v>
      </c>
      <c r="BB71">
        <v>16.87469164495673</v>
      </c>
      <c r="BC71">
        <v>6.8268209138703559</v>
      </c>
      <c r="BD71">
        <v>8.2982696112027554</v>
      </c>
      <c r="BE71">
        <v>954.30555932749996</v>
      </c>
      <c r="BF71">
        <v>27.118957013904691</v>
      </c>
      <c r="BG71">
        <v>11.46637330433281</v>
      </c>
      <c r="BH71">
        <v>17.915409428531582</v>
      </c>
      <c r="BI71">
        <v>7.157108234813677</v>
      </c>
      <c r="BJ71">
        <v>8.9302466298193686</v>
      </c>
      <c r="BK71">
        <v>1026.7912912666488</v>
      </c>
      <c r="BL71">
        <v>27.350979349581134</v>
      </c>
      <c r="BM71">
        <v>11.496354274192091</v>
      </c>
      <c r="BN71">
        <v>18.34070145603852</v>
      </c>
      <c r="BO71">
        <v>7.2673068478486993</v>
      </c>
      <c r="BP71">
        <v>9.483553441751015</v>
      </c>
      <c r="BQ71">
        <v>1161.2023805158533</v>
      </c>
      <c r="BR71">
        <v>25.548171107798623</v>
      </c>
      <c r="BS71">
        <v>10.716129508448505</v>
      </c>
      <c r="BU71">
        <v>75</v>
      </c>
      <c r="BV71">
        <v>14.096913297301807</v>
      </c>
      <c r="BW71">
        <v>5.3363516838473384</v>
      </c>
      <c r="BX71">
        <v>7.0401985053247769</v>
      </c>
      <c r="BY71">
        <v>842.27566493702238</v>
      </c>
      <c r="BZ71">
        <v>25.314943535189496</v>
      </c>
      <c r="CA71">
        <v>10.256161950769044</v>
      </c>
      <c r="CB71">
        <v>14.584876793154118</v>
      </c>
      <c r="CC71">
        <v>5.4111560411185433</v>
      </c>
      <c r="CD71">
        <v>7.3948369231835551</v>
      </c>
      <c r="CE71">
        <v>888.64191515117352</v>
      </c>
      <c r="CF71">
        <v>25.178862724013669</v>
      </c>
      <c r="CG71">
        <v>10.095722856344057</v>
      </c>
      <c r="CH71">
        <v>16.227499656473093</v>
      </c>
      <c r="CI71">
        <v>6.0022074609272345</v>
      </c>
      <c r="CJ71">
        <v>8.0167509848153564</v>
      </c>
      <c r="CK71">
        <v>962.74076488658068</v>
      </c>
      <c r="CL71">
        <v>26.209110877341654</v>
      </c>
      <c r="CM71">
        <v>10.509381866569326</v>
      </c>
      <c r="CN71">
        <v>17.24265207779063</v>
      </c>
      <c r="CO71">
        <v>6.2011060798782447</v>
      </c>
      <c r="CP71">
        <v>8.6592146620318751</v>
      </c>
      <c r="CQ71">
        <v>1035.8851973529356</v>
      </c>
      <c r="CR71">
        <v>26.461416885836368</v>
      </c>
      <c r="CS71">
        <v>10.472544952705785</v>
      </c>
      <c r="CT71">
        <v>17.48859716501811</v>
      </c>
      <c r="CU71">
        <v>6.1924166555884597</v>
      </c>
      <c r="CV71">
        <v>9.0457802983289479</v>
      </c>
      <c r="CW71">
        <v>1172.824714657205</v>
      </c>
      <c r="CX71">
        <v>24.568456357609787</v>
      </c>
      <c r="CY71">
        <v>9.6934390627922671</v>
      </c>
      <c r="DA71">
        <v>75</v>
      </c>
      <c r="DB71">
        <v>12.899013766925602</v>
      </c>
      <c r="DC71">
        <v>4.8020754078507872</v>
      </c>
      <c r="DD71">
        <v>6.8846536355660612</v>
      </c>
      <c r="DE71">
        <v>836.57214586137275</v>
      </c>
      <c r="DF71">
        <v>24.055619671448476</v>
      </c>
      <c r="DG71">
        <v>9.6874362729884371</v>
      </c>
      <c r="DH71">
        <v>13.364295978905965</v>
      </c>
      <c r="DI71">
        <v>5.1322655914552966</v>
      </c>
      <c r="DJ71">
        <v>7.202658772415262</v>
      </c>
      <c r="DK71">
        <v>875.522266336646</v>
      </c>
      <c r="DL71">
        <v>24.162049089467466</v>
      </c>
      <c r="DM71">
        <v>9.9284648471652179</v>
      </c>
      <c r="DN71">
        <v>14.939908326501577</v>
      </c>
      <c r="DO71">
        <v>5.3074733644434842</v>
      </c>
      <c r="DP71">
        <v>7.7981794191554785</v>
      </c>
      <c r="DQ71">
        <v>953.58634463956787</v>
      </c>
      <c r="DR71">
        <v>25.110456182264446</v>
      </c>
      <c r="DS71">
        <v>9.8817231320400829</v>
      </c>
      <c r="DT71">
        <v>15.668744487849509</v>
      </c>
      <c r="DU71">
        <v>5.3896611637565721</v>
      </c>
      <c r="DV71">
        <v>8.3792553303044279</v>
      </c>
      <c r="DW71">
        <v>1025.0421496702966</v>
      </c>
      <c r="DX71">
        <v>25.205873213498833</v>
      </c>
      <c r="DY71">
        <v>9.7917040603918668</v>
      </c>
      <c r="DZ71">
        <v>15.869531679797928</v>
      </c>
      <c r="EA71">
        <v>5.4888912419363258</v>
      </c>
      <c r="EB71">
        <v>8.7451958740489175</v>
      </c>
      <c r="EC71">
        <v>1160.64268222485</v>
      </c>
      <c r="ED71">
        <v>23.431352084889959</v>
      </c>
      <c r="EE71">
        <v>9.1890291926624652</v>
      </c>
      <c r="EG71">
        <v>75</v>
      </c>
      <c r="EH71">
        <v>12.223534574211321</v>
      </c>
      <c r="EI71">
        <v>4.4345170117736163</v>
      </c>
      <c r="EJ71">
        <v>6.3228142694826266</v>
      </c>
      <c r="EK71">
        <v>831.52153332483078</v>
      </c>
      <c r="EL71">
        <v>23.389390889359959</v>
      </c>
      <c r="EM71">
        <v>9.3042460653749064</v>
      </c>
      <c r="EN71">
        <v>12.714828833817675</v>
      </c>
      <c r="EO71">
        <v>4.6182835230378112</v>
      </c>
      <c r="EP71">
        <v>6.6499836082424846</v>
      </c>
      <c r="EQ71">
        <v>871.52895143850981</v>
      </c>
      <c r="ER71">
        <v>23.527554419408489</v>
      </c>
      <c r="ES71">
        <v>9.3842091674832488</v>
      </c>
      <c r="ET71">
        <v>13.178230817285897</v>
      </c>
      <c r="EU71">
        <v>4.8035192800617397</v>
      </c>
      <c r="EV71">
        <v>7.1990322969664629</v>
      </c>
      <c r="EW71">
        <v>966.4291709287952</v>
      </c>
      <c r="EX71">
        <v>22.9538917917207</v>
      </c>
      <c r="EY71">
        <v>9.2289455079970537</v>
      </c>
      <c r="EZ71">
        <v>13.995307672310188</v>
      </c>
      <c r="FA71">
        <v>4.9361884746762863</v>
      </c>
      <c r="FB71">
        <v>7.7296586087896806</v>
      </c>
      <c r="FC71">
        <v>1033.0334675089448</v>
      </c>
      <c r="FD71">
        <v>23.390961094233127</v>
      </c>
      <c r="FE71">
        <v>9.2769856847219554</v>
      </c>
      <c r="FF71">
        <v>14.197253881290335</v>
      </c>
      <c r="FG71">
        <v>4.9903253226057007</v>
      </c>
      <c r="FH71">
        <v>8.0716578040941318</v>
      </c>
      <c r="FI71">
        <v>1178.8985555525251</v>
      </c>
      <c r="FJ71">
        <v>21.649996442222928</v>
      </c>
      <c r="FK71">
        <v>8.6238239261551293</v>
      </c>
    </row>
    <row r="72" spans="2:167" x14ac:dyDescent="0.2">
      <c r="B72">
        <v>772.37406077109335</v>
      </c>
      <c r="C72">
        <v>1.2947094559359724</v>
      </c>
      <c r="D72">
        <v>833.01515552421154</v>
      </c>
      <c r="E72">
        <v>1.2004583510496947</v>
      </c>
      <c r="F72">
        <v>962.64977325184475</v>
      </c>
      <c r="G72">
        <v>1.0387993928695227</v>
      </c>
      <c r="H72">
        <v>1087.580761535341</v>
      </c>
      <c r="I72">
        <v>0.91947194669782228</v>
      </c>
      <c r="J72">
        <v>1211.5341399297909</v>
      </c>
      <c r="K72">
        <v>0.82539976963253436</v>
      </c>
      <c r="L72">
        <v>903.46874518305083</v>
      </c>
      <c r="M72">
        <v>1.1068451513476441</v>
      </c>
      <c r="N72">
        <v>891.86394705955047</v>
      </c>
      <c r="O72">
        <v>1.1212472522260497</v>
      </c>
      <c r="Q72">
        <v>0.1489633061901568</v>
      </c>
      <c r="R72">
        <v>0.14961734894440126</v>
      </c>
      <c r="S72">
        <v>0.14984367487177119</v>
      </c>
      <c r="T72">
        <v>0.15098348817430859</v>
      </c>
      <c r="U72">
        <v>0.15148016811116971</v>
      </c>
      <c r="V72">
        <v>0.14988243588485678</v>
      </c>
      <c r="W72">
        <v>0.14948501164529077</v>
      </c>
      <c r="Y72">
        <v>2.0076385828619072</v>
      </c>
      <c r="Z72">
        <v>2.02679990849039</v>
      </c>
      <c r="AA72">
        <v>2.0858303814603412</v>
      </c>
      <c r="AB72">
        <v>2.1489337627316014</v>
      </c>
      <c r="AC72">
        <v>2.1950394886415925</v>
      </c>
      <c r="AD72">
        <v>2.0557253225781507</v>
      </c>
      <c r="AE72">
        <v>2.0562123850688314</v>
      </c>
      <c r="AG72">
        <v>0.78595463769146534</v>
      </c>
      <c r="AH72">
        <v>0.79492804451770316</v>
      </c>
      <c r="AI72">
        <v>0.82401988886783484</v>
      </c>
      <c r="AJ72">
        <v>0.84291373164081052</v>
      </c>
      <c r="AK72">
        <v>0.86589250026850961</v>
      </c>
      <c r="AL72">
        <v>0.8086987262310954</v>
      </c>
      <c r="AM72">
        <v>0.80977120626886601</v>
      </c>
      <c r="AO72">
        <v>76</v>
      </c>
      <c r="AP72">
        <v>14.680778056072942</v>
      </c>
      <c r="AQ72">
        <v>6.3707728417914771</v>
      </c>
      <c r="AR72">
        <v>7.2847423159877138</v>
      </c>
      <c r="AS72">
        <v>838.26445306395613</v>
      </c>
      <c r="AT72">
        <v>26.122831762552774</v>
      </c>
      <c r="AU72">
        <v>11.534780262925821</v>
      </c>
      <c r="AV72">
        <v>15.330845585977402</v>
      </c>
      <c r="AW72">
        <v>6.5001268383751061</v>
      </c>
      <c r="AX72">
        <v>7.6779888415818656</v>
      </c>
      <c r="AY72">
        <v>882.98009989266234</v>
      </c>
      <c r="AZ72">
        <v>26.177871055084378</v>
      </c>
      <c r="BA72">
        <v>11.390424383589021</v>
      </c>
      <c r="BB72">
        <v>16.995226150274277</v>
      </c>
      <c r="BC72">
        <v>6.8812050596338734</v>
      </c>
      <c r="BD72">
        <v>8.337726093635311</v>
      </c>
      <c r="BE72">
        <v>959.72484067668063</v>
      </c>
      <c r="BF72">
        <v>27.080913747334485</v>
      </c>
      <c r="BG72">
        <v>11.45349213692908</v>
      </c>
      <c r="BH72">
        <v>18.046973680528666</v>
      </c>
      <c r="BI72">
        <v>7.216525974344612</v>
      </c>
      <c r="BJ72">
        <v>8.9727507914502755</v>
      </c>
      <c r="BK72">
        <v>1032.8901810450607</v>
      </c>
      <c r="BL72">
        <v>27.311062525324015</v>
      </c>
      <c r="BM72">
        <v>11.483350151010718</v>
      </c>
      <c r="BN72">
        <v>18.475548324394133</v>
      </c>
      <c r="BO72">
        <v>7.3277501005405066</v>
      </c>
      <c r="BP72">
        <v>9.5279625858815731</v>
      </c>
      <c r="BQ72">
        <v>1167.4934038487429</v>
      </c>
      <c r="BR72">
        <v>25.521448968938586</v>
      </c>
      <c r="BS72">
        <v>10.708074755624358</v>
      </c>
      <c r="BU72">
        <v>76</v>
      </c>
      <c r="BV72">
        <v>14.197097999586886</v>
      </c>
      <c r="BW72">
        <v>5.3785152434975787</v>
      </c>
      <c r="BX72">
        <v>7.0756265699636618</v>
      </c>
      <c r="BY72">
        <v>847.01085356189697</v>
      </c>
      <c r="BZ72">
        <v>25.282038752372493</v>
      </c>
      <c r="CA72">
        <v>10.244188292902965</v>
      </c>
      <c r="CB72">
        <v>14.692227321315087</v>
      </c>
      <c r="CC72">
        <v>5.4558402306517451</v>
      </c>
      <c r="CD72">
        <v>7.4324840097996727</v>
      </c>
      <c r="CE72">
        <v>893.78023535785962</v>
      </c>
      <c r="CF72">
        <v>25.147032844750939</v>
      </c>
      <c r="CG72">
        <v>10.084393339386267</v>
      </c>
      <c r="CH72">
        <v>16.342264823214368</v>
      </c>
      <c r="CI72">
        <v>6.0511629482213758</v>
      </c>
      <c r="CJ72">
        <v>8.0547052083316846</v>
      </c>
      <c r="CK72">
        <v>968.10694478139021</v>
      </c>
      <c r="CL72">
        <v>26.171968335792748</v>
      </c>
      <c r="CM72">
        <v>10.496938235669935</v>
      </c>
      <c r="CN72">
        <v>17.368089412048587</v>
      </c>
      <c r="CO72">
        <v>6.2539261616371782</v>
      </c>
      <c r="CP72">
        <v>8.7001951398725659</v>
      </c>
      <c r="CQ72">
        <v>1041.9401833375227</v>
      </c>
      <c r="CR72">
        <v>26.422288427009146</v>
      </c>
      <c r="CS72">
        <v>10.459755730760071</v>
      </c>
      <c r="CT72">
        <v>17.616320745872756</v>
      </c>
      <c r="CU72">
        <v>6.2454690227919389</v>
      </c>
      <c r="CV72">
        <v>9.0882122774021479</v>
      </c>
      <c r="CW72">
        <v>1179.028546861706</v>
      </c>
      <c r="CX72">
        <v>24.54299840864741</v>
      </c>
      <c r="CY72">
        <v>9.6853681768415552</v>
      </c>
      <c r="DA72">
        <v>76</v>
      </c>
      <c r="DB72">
        <v>12.957358940117693</v>
      </c>
      <c r="DC72">
        <v>4.8412323731652007</v>
      </c>
      <c r="DD72">
        <v>6.9113607818302913</v>
      </c>
      <c r="DE72">
        <v>841.45067951524754</v>
      </c>
      <c r="DF72">
        <v>23.975763113751476</v>
      </c>
      <c r="DG72">
        <v>9.6733605401297424</v>
      </c>
      <c r="DH72">
        <v>13.430554385345129</v>
      </c>
      <c r="DI72">
        <v>5.1769806960992959</v>
      </c>
      <c r="DJ72">
        <v>7.233433405982745</v>
      </c>
      <c r="DK72">
        <v>880.95018644672382</v>
      </c>
      <c r="DL72">
        <v>24.081098256111567</v>
      </c>
      <c r="DM72">
        <v>9.9147171453532099</v>
      </c>
      <c r="DN72">
        <v>15.012567801016061</v>
      </c>
      <c r="DO72">
        <v>5.3537244769258097</v>
      </c>
      <c r="DP72">
        <v>7.829364963636297</v>
      </c>
      <c r="DQ72">
        <v>959.18870751293889</v>
      </c>
      <c r="DR72">
        <v>25.029034531202974</v>
      </c>
      <c r="DS72">
        <v>9.8674226035653572</v>
      </c>
      <c r="DT72">
        <v>15.760239518337267</v>
      </c>
      <c r="DU72">
        <v>5.443817784855649</v>
      </c>
      <c r="DV72">
        <v>8.4195309325778211</v>
      </c>
      <c r="DW72">
        <v>1031.8089687372778</v>
      </c>
      <c r="DX72">
        <v>25.123443330646197</v>
      </c>
      <c r="DY72">
        <v>9.7773248078453587</v>
      </c>
      <c r="DZ72">
        <v>15.964140470027258</v>
      </c>
      <c r="EA72">
        <v>5.5448098984875731</v>
      </c>
      <c r="EB72">
        <v>8.7881590619367156</v>
      </c>
      <c r="EC72">
        <v>1167.6968951400897</v>
      </c>
      <c r="ED72">
        <v>23.366265327148831</v>
      </c>
      <c r="EE72">
        <v>9.1793225516556802</v>
      </c>
      <c r="EG72">
        <v>76</v>
      </c>
      <c r="EH72">
        <v>12.272138638228409</v>
      </c>
      <c r="EI72">
        <v>4.4706104242417224</v>
      </c>
      <c r="EJ72">
        <v>6.3474662073193944</v>
      </c>
      <c r="EK72">
        <v>836.4446955856597</v>
      </c>
      <c r="EL72">
        <v>23.300048365334671</v>
      </c>
      <c r="EM72">
        <v>9.2881620168862131</v>
      </c>
      <c r="EN72">
        <v>12.770847928905681</v>
      </c>
      <c r="EO72">
        <v>4.6585415510745101</v>
      </c>
      <c r="EP72">
        <v>6.678522345751893</v>
      </c>
      <c r="EQ72">
        <v>876.9484157104456</v>
      </c>
      <c r="ER72">
        <v>23.438712213730362</v>
      </c>
      <c r="ES72">
        <v>9.3687754325716508</v>
      </c>
      <c r="ET72">
        <v>13.25894048630199</v>
      </c>
      <c r="EU72">
        <v>4.8453789090744523</v>
      </c>
      <c r="EV72">
        <v>7.2279340483536068</v>
      </c>
      <c r="EW72">
        <v>972.15837605050706</v>
      </c>
      <c r="EX72">
        <v>22.891270101458304</v>
      </c>
      <c r="EY72">
        <v>9.2128762004115465</v>
      </c>
      <c r="EZ72">
        <v>14.080081616063739</v>
      </c>
      <c r="FA72">
        <v>4.9857415884201925</v>
      </c>
      <c r="FB72">
        <v>7.766955596541103</v>
      </c>
      <c r="FC72">
        <v>1039.8461420548408</v>
      </c>
      <c r="FD72">
        <v>23.313483862087971</v>
      </c>
      <c r="FE72">
        <v>9.2612309081865813</v>
      </c>
      <c r="FF72">
        <v>14.282268306866547</v>
      </c>
      <c r="FG72">
        <v>5.0411467225613151</v>
      </c>
      <c r="FH72">
        <v>8.1114575806652471</v>
      </c>
      <c r="FI72">
        <v>1185.2756128162428</v>
      </c>
      <c r="FJ72">
        <v>21.600750942253466</v>
      </c>
      <c r="FK72">
        <v>8.6182514485895787</v>
      </c>
    </row>
    <row r="73" spans="2:167" x14ac:dyDescent="0.2">
      <c r="B73">
        <v>771.28836661974412</v>
      </c>
      <c r="C73">
        <v>1.2965319370530761</v>
      </c>
      <c r="D73">
        <v>832.09189083418335</v>
      </c>
      <c r="E73">
        <v>1.2017903443302236</v>
      </c>
      <c r="F73">
        <v>961.24560459127429</v>
      </c>
      <c r="G73">
        <v>1.0403168505776463</v>
      </c>
      <c r="H73">
        <v>1086.5573027933224</v>
      </c>
      <c r="I73">
        <v>0.92033802306532675</v>
      </c>
      <c r="J73">
        <v>1210.5182106929099</v>
      </c>
      <c r="K73">
        <v>0.82609248763601206</v>
      </c>
      <c r="L73">
        <v>902.27346287447961</v>
      </c>
      <c r="M73">
        <v>1.1083114389889972</v>
      </c>
      <c r="N73">
        <v>890.7421143808574</v>
      </c>
      <c r="O73">
        <v>1.1226593913717511</v>
      </c>
      <c r="Q73">
        <v>0.1508269579923269</v>
      </c>
      <c r="R73">
        <v>0.15148384779311955</v>
      </c>
      <c r="S73">
        <v>0.15170188469758128</v>
      </c>
      <c r="T73">
        <v>0.15284727354061037</v>
      </c>
      <c r="U73">
        <v>0.15334445758534107</v>
      </c>
      <c r="V73">
        <v>0.15174315407377906</v>
      </c>
      <c r="W73">
        <v>0.15134881302920405</v>
      </c>
      <c r="Y73">
        <v>2.0182004369975206</v>
      </c>
      <c r="Z73">
        <v>2.0383776752703766</v>
      </c>
      <c r="AA73">
        <v>2.0970422217194442</v>
      </c>
      <c r="AB73">
        <v>2.1623700172552351</v>
      </c>
      <c r="AC73">
        <v>2.2090337066217027</v>
      </c>
      <c r="AD73">
        <v>2.067128954860658</v>
      </c>
      <c r="AE73">
        <v>2.0675953851571034</v>
      </c>
      <c r="AG73">
        <v>0.79026043717628403</v>
      </c>
      <c r="AH73">
        <v>0.79965142736811179</v>
      </c>
      <c r="AI73">
        <v>0.82861852700810956</v>
      </c>
      <c r="AJ73">
        <v>0.84838087920516569</v>
      </c>
      <c r="AK73">
        <v>0.87160892106212096</v>
      </c>
      <c r="AL73">
        <v>0.81336548491263161</v>
      </c>
      <c r="AM73">
        <v>0.8144263279483992</v>
      </c>
      <c r="AO73">
        <v>77</v>
      </c>
      <c r="AP73">
        <v>14.783343657362916</v>
      </c>
      <c r="AQ73">
        <v>6.4177061807150579</v>
      </c>
      <c r="AR73">
        <v>7.3200882353743832</v>
      </c>
      <c r="AS73">
        <v>842.84176601251318</v>
      </c>
      <c r="AT73">
        <v>26.090617529662538</v>
      </c>
      <c r="AU73">
        <v>11.522320727305408</v>
      </c>
      <c r="AV73">
        <v>15.441411509475039</v>
      </c>
      <c r="AW73">
        <v>6.5503088833886265</v>
      </c>
      <c r="AX73">
        <v>7.7155325211890728</v>
      </c>
      <c r="AY73">
        <v>887.98209830360361</v>
      </c>
      <c r="AZ73">
        <v>26.145209663327996</v>
      </c>
      <c r="BA73">
        <v>11.378334453473972</v>
      </c>
      <c r="BB73">
        <v>17.112510296746432</v>
      </c>
      <c r="BC73">
        <v>6.9344285645135395</v>
      </c>
      <c r="BD73">
        <v>8.3752350532749826</v>
      </c>
      <c r="BE73">
        <v>964.91230553662376</v>
      </c>
      <c r="BF73">
        <v>27.04327541095585</v>
      </c>
      <c r="BG73">
        <v>11.440861366962398</v>
      </c>
      <c r="BH73">
        <v>18.174987755990056</v>
      </c>
      <c r="BI73">
        <v>7.2747366828035647</v>
      </c>
      <c r="BJ73">
        <v>9.0130084837066207</v>
      </c>
      <c r="BK73">
        <v>1038.7298906354549</v>
      </c>
      <c r="BL73">
        <v>27.271554856249509</v>
      </c>
      <c r="BM73">
        <v>11.470623645087738</v>
      </c>
      <c r="BN73">
        <v>18.606758266878803</v>
      </c>
      <c r="BO73">
        <v>7.3869775439946839</v>
      </c>
      <c r="BP73">
        <v>9.5698940667059116</v>
      </c>
      <c r="BQ73">
        <v>1173.4719808674806</v>
      </c>
      <c r="BR73">
        <v>25.495146808257669</v>
      </c>
      <c r="BS73">
        <v>10.700294312503701</v>
      </c>
      <c r="BU73">
        <v>77</v>
      </c>
      <c r="BV73">
        <v>14.294825532921797</v>
      </c>
      <c r="BW73">
        <v>5.4199361423546311</v>
      </c>
      <c r="BX73">
        <v>7.1096596283166624</v>
      </c>
      <c r="BY73">
        <v>851.54533955890179</v>
      </c>
      <c r="BZ73">
        <v>25.250263293971557</v>
      </c>
      <c r="CA73">
        <v>10.232835184698365</v>
      </c>
      <c r="CB73">
        <v>14.797065758983933</v>
      </c>
      <c r="CC73">
        <v>5.4998184370254029</v>
      </c>
      <c r="CD73">
        <v>7.4685993834303375</v>
      </c>
      <c r="CE73">
        <v>898.70382757842219</v>
      </c>
      <c r="CF73">
        <v>25.11631940831905</v>
      </c>
      <c r="CG73">
        <v>10.073693444955067</v>
      </c>
      <c r="CH73">
        <v>16.453790940300806</v>
      </c>
      <c r="CI73">
        <v>6.0992075518420013</v>
      </c>
      <c r="CJ73">
        <v>8.0907593359687535</v>
      </c>
      <c r="CK73">
        <v>973.23293580966867</v>
      </c>
      <c r="CL73">
        <v>26.135233337988911</v>
      </c>
      <c r="CM73">
        <v>10.484855712121764</v>
      </c>
      <c r="CN73">
        <v>17.489993167059257</v>
      </c>
      <c r="CO73">
        <v>6.3058282510363055</v>
      </c>
      <c r="CP73">
        <v>8.7389707933353389</v>
      </c>
      <c r="CQ73">
        <v>1047.7271928294613</v>
      </c>
      <c r="CR73">
        <v>26.383570831743683</v>
      </c>
      <c r="CS73">
        <v>10.44734859181694</v>
      </c>
      <c r="CT73">
        <v>17.74049193534082</v>
      </c>
      <c r="CU73">
        <v>6.2976334970491727</v>
      </c>
      <c r="CV73">
        <v>9.1282892539131772</v>
      </c>
      <c r="CW73">
        <v>1184.9101381159003</v>
      </c>
      <c r="CX73">
        <v>24.517955549143704</v>
      </c>
      <c r="CY73">
        <v>9.6776549941980488</v>
      </c>
      <c r="DA73">
        <v>77</v>
      </c>
      <c r="DB73">
        <v>13.012338823511508</v>
      </c>
      <c r="DC73">
        <v>4.8797529452618145</v>
      </c>
      <c r="DD73">
        <v>6.9364126966554096</v>
      </c>
      <c r="DE73">
        <v>846.14560464110411</v>
      </c>
      <c r="DF73">
        <v>23.89571866863561</v>
      </c>
      <c r="DG73">
        <v>9.6597321667566547</v>
      </c>
      <c r="DH73">
        <v>13.493482909796501</v>
      </c>
      <c r="DI73">
        <v>5.2210685142359443</v>
      </c>
      <c r="DJ73">
        <v>7.2625306222918189</v>
      </c>
      <c r="DK73">
        <v>886.19085830627819</v>
      </c>
      <c r="DL73">
        <v>23.999964949311682</v>
      </c>
      <c r="DM73">
        <v>9.90138507049544</v>
      </c>
      <c r="DN73">
        <v>15.081143516812261</v>
      </c>
      <c r="DO73">
        <v>5.399276360329762</v>
      </c>
      <c r="DP73">
        <v>7.8585081718452034</v>
      </c>
      <c r="DQ73">
        <v>964.568970547493</v>
      </c>
      <c r="DR73">
        <v>24.946917411675464</v>
      </c>
      <c r="DS73">
        <v>9.8533915198849247</v>
      </c>
      <c r="DT73">
        <v>15.84788204589794</v>
      </c>
      <c r="DU73">
        <v>5.4974924377816548</v>
      </c>
      <c r="DV73">
        <v>8.4577515396845193</v>
      </c>
      <c r="DW73">
        <v>1038.3525385981163</v>
      </c>
      <c r="DX73">
        <v>25.040313878658548</v>
      </c>
      <c r="DY73">
        <v>9.763192193903043</v>
      </c>
      <c r="DZ73">
        <v>16.054933193515467</v>
      </c>
      <c r="EA73">
        <v>5.6002647824865379</v>
      </c>
      <c r="EB73">
        <v>8.8289766497409197</v>
      </c>
      <c r="EC73">
        <v>1174.479333726488</v>
      </c>
      <c r="ED73">
        <v>23.300550778872193</v>
      </c>
      <c r="EE73">
        <v>9.1698359366437927</v>
      </c>
      <c r="EG73">
        <v>77</v>
      </c>
      <c r="EH73">
        <v>12.317346080850948</v>
      </c>
      <c r="EI73">
        <v>4.5061006688690401</v>
      </c>
      <c r="EJ73">
        <v>6.3706594165012946</v>
      </c>
      <c r="EK73">
        <v>841.18949887970871</v>
      </c>
      <c r="EL73">
        <v>23.210304698938987</v>
      </c>
      <c r="EM73">
        <v>9.272450082777425</v>
      </c>
      <c r="EN73">
        <v>12.823457128945622</v>
      </c>
      <c r="EO73">
        <v>4.6982395627531703</v>
      </c>
      <c r="EP73">
        <v>6.7055663762225857</v>
      </c>
      <c r="EQ73">
        <v>882.18753103845211</v>
      </c>
      <c r="ER73">
        <v>23.349370776815476</v>
      </c>
      <c r="ES73">
        <v>9.353666530343288</v>
      </c>
      <c r="ET73">
        <v>13.336918408993117</v>
      </c>
      <c r="EU73">
        <v>4.8866057332193611</v>
      </c>
      <c r="EV73">
        <v>7.2550044340151683</v>
      </c>
      <c r="EW73">
        <v>977.63508780580867</v>
      </c>
      <c r="EX73">
        <v>22.829374289732172</v>
      </c>
      <c r="EY73">
        <v>9.1973019378907903</v>
      </c>
      <c r="EZ73">
        <v>14.161669781300194</v>
      </c>
      <c r="FA73">
        <v>5.03484391666208</v>
      </c>
      <c r="FB73">
        <v>7.8024121250203944</v>
      </c>
      <c r="FC73">
        <v>1046.4158361407237</v>
      </c>
      <c r="FD73">
        <v>23.235945385034437</v>
      </c>
      <c r="FE73">
        <v>9.2458337728557218</v>
      </c>
      <c r="FF73">
        <v>14.363985630670809</v>
      </c>
      <c r="FG73">
        <v>5.0915429083581225</v>
      </c>
      <c r="FH73">
        <v>8.149331565307472</v>
      </c>
      <c r="FI73">
        <v>1191.3824045109818</v>
      </c>
      <c r="FJ73">
        <v>21.55065216186739</v>
      </c>
      <c r="FK73">
        <v>8.6127349944655069</v>
      </c>
    </row>
    <row r="74" spans="2:167" x14ac:dyDescent="0.2">
      <c r="B74">
        <v>769.99289831206522</v>
      </c>
      <c r="C74">
        <v>1.2987132766966336</v>
      </c>
      <c r="D74">
        <v>830.93271431890628</v>
      </c>
      <c r="E74">
        <v>1.2034668785663034</v>
      </c>
      <c r="F74">
        <v>959.51612104196363</v>
      </c>
      <c r="G74">
        <v>1.0421919737149115</v>
      </c>
      <c r="H74">
        <v>1085.1507751631905</v>
      </c>
      <c r="I74">
        <v>0.92153092721111951</v>
      </c>
      <c r="J74">
        <v>1209.0558336476183</v>
      </c>
      <c r="K74">
        <v>0.82709166290781233</v>
      </c>
      <c r="L74">
        <v>900.78130050838411</v>
      </c>
      <c r="M74">
        <v>1.1101473792091585</v>
      </c>
      <c r="N74">
        <v>889.35711205781547</v>
      </c>
      <c r="O74">
        <v>1.1244077170375086</v>
      </c>
      <c r="Q74">
        <v>0.15268881217985442</v>
      </c>
      <c r="R74">
        <v>0.15334831882919109</v>
      </c>
      <c r="S74">
        <v>0.15355747229270494</v>
      </c>
      <c r="T74">
        <v>0.15470799011827432</v>
      </c>
      <c r="U74">
        <v>0.1552053541573637</v>
      </c>
      <c r="V74">
        <v>0.15360134394021149</v>
      </c>
      <c r="W74">
        <v>0.15321050390618471</v>
      </c>
      <c r="Y74">
        <v>2.0283513736348664</v>
      </c>
      <c r="Z74">
        <v>2.0495717013045054</v>
      </c>
      <c r="AA74">
        <v>2.1078170336762216</v>
      </c>
      <c r="AB74">
        <v>2.1754088962367195</v>
      </c>
      <c r="AC74">
        <v>2.2226297865810309</v>
      </c>
      <c r="AD74">
        <v>2.0781292319423894</v>
      </c>
      <c r="AE74">
        <v>2.0785639315051694</v>
      </c>
      <c r="AG74">
        <v>0.79444683390283433</v>
      </c>
      <c r="AH74">
        <v>0.8042656630432663</v>
      </c>
      <c r="AI74">
        <v>0.83308473556312523</v>
      </c>
      <c r="AJ74">
        <v>0.85373391579011848</v>
      </c>
      <c r="AK74">
        <v>0.8772093583605115</v>
      </c>
      <c r="AL74">
        <v>0.81791508302386862</v>
      </c>
      <c r="AM74">
        <v>0.81895835201345146</v>
      </c>
      <c r="AO74">
        <v>78</v>
      </c>
      <c r="AP74">
        <v>14.883505301023778</v>
      </c>
      <c r="AQ74">
        <v>6.4635756842268073</v>
      </c>
      <c r="AR74">
        <v>7.3540288310427888</v>
      </c>
      <c r="AS74">
        <v>847.2267451869867</v>
      </c>
      <c r="AT74">
        <v>26.059516024814506</v>
      </c>
      <c r="AU74">
        <v>11.510295693411107</v>
      </c>
      <c r="AV74">
        <v>15.549461887777298</v>
      </c>
      <c r="AW74">
        <v>6.5994547949665012</v>
      </c>
      <c r="AX74">
        <v>7.7515175754613974</v>
      </c>
      <c r="AY74">
        <v>892.77771427875689</v>
      </c>
      <c r="AZ74">
        <v>26.113663902562195</v>
      </c>
      <c r="BA74">
        <v>11.366718489006592</v>
      </c>
      <c r="BB74">
        <v>17.226544097382543</v>
      </c>
      <c r="BC74">
        <v>6.9864914328564902</v>
      </c>
      <c r="BD74">
        <v>8.4107964963801027</v>
      </c>
      <c r="BE74">
        <v>969.86675427044383</v>
      </c>
      <c r="BF74">
        <v>27.006042445594581</v>
      </c>
      <c r="BG74">
        <v>11.428482293017575</v>
      </c>
      <c r="BH74">
        <v>18.299451668297522</v>
      </c>
      <c r="BI74">
        <v>7.3317403646424317</v>
      </c>
      <c r="BJ74">
        <v>9.051019712739393</v>
      </c>
      <c r="BK74">
        <v>1044.309059707057</v>
      </c>
      <c r="BL74">
        <v>27.232455992864725</v>
      </c>
      <c r="BM74">
        <v>11.458175756258811</v>
      </c>
      <c r="BN74">
        <v>18.734331301968478</v>
      </c>
      <c r="BO74">
        <v>7.4449891844166061</v>
      </c>
      <c r="BP74">
        <v>9.6093478928585458</v>
      </c>
      <c r="BQ74">
        <v>1179.1366428573754</v>
      </c>
      <c r="BR74">
        <v>25.469269565566687</v>
      </c>
      <c r="BS74">
        <v>10.692791372724573</v>
      </c>
      <c r="BU74">
        <v>78</v>
      </c>
      <c r="BV74">
        <v>14.390095901160203</v>
      </c>
      <c r="BW74">
        <v>5.4606143812617232</v>
      </c>
      <c r="BX74">
        <v>7.142297682673779</v>
      </c>
      <c r="BY74">
        <v>855.87777162253883</v>
      </c>
      <c r="BZ74">
        <v>25.219616934399795</v>
      </c>
      <c r="CA74">
        <v>10.222101033092192</v>
      </c>
      <c r="CB74">
        <v>14.899392110950654</v>
      </c>
      <c r="CC74">
        <v>5.5430906613082671</v>
      </c>
      <c r="CD74">
        <v>7.5031830469444163</v>
      </c>
      <c r="CE74">
        <v>903.41124101559228</v>
      </c>
      <c r="CF74">
        <v>25.086722817471955</v>
      </c>
      <c r="CG74">
        <v>10.063621532522243</v>
      </c>
      <c r="CH74">
        <v>16.56207802080289</v>
      </c>
      <c r="CI74">
        <v>6.1463412750114337</v>
      </c>
      <c r="CJ74">
        <v>8.1249133737476598</v>
      </c>
      <c r="CK74">
        <v>978.11749608408877</v>
      </c>
      <c r="CL74">
        <v>26.098906070098934</v>
      </c>
      <c r="CM74">
        <v>10.473133249259931</v>
      </c>
      <c r="CN74">
        <v>17.608363356190956</v>
      </c>
      <c r="CO74">
        <v>6.3568123513451935</v>
      </c>
      <c r="CP74">
        <v>8.7755416283467067</v>
      </c>
      <c r="CQ74">
        <v>1053.2448187612672</v>
      </c>
      <c r="CR74">
        <v>26.345263423133236</v>
      </c>
      <c r="CS74">
        <v>10.435321912721275</v>
      </c>
      <c r="CT74">
        <v>17.861110751452767</v>
      </c>
      <c r="CU74">
        <v>6.3489100828687075</v>
      </c>
      <c r="CV74">
        <v>9.1660112361147945</v>
      </c>
      <c r="CW74">
        <v>1190.4679819869928</v>
      </c>
      <c r="CX74">
        <v>24.493332792023555</v>
      </c>
      <c r="CY74">
        <v>9.6703004151745802</v>
      </c>
      <c r="DA74">
        <v>78</v>
      </c>
      <c r="DB74">
        <v>13.063953416468534</v>
      </c>
      <c r="DC74">
        <v>4.9176371250950801</v>
      </c>
      <c r="DD74">
        <v>6.959809379342512</v>
      </c>
      <c r="DE74">
        <v>850.65519204793145</v>
      </c>
      <c r="DF74">
        <v>23.815486283606859</v>
      </c>
      <c r="DG74">
        <v>9.6465546487540639</v>
      </c>
      <c r="DH74">
        <v>13.553081553342917</v>
      </c>
      <c r="DI74">
        <v>5.2645290469779153</v>
      </c>
      <c r="DJ74">
        <v>7.2899504216285083</v>
      </c>
      <c r="DK74">
        <v>891.2425186006551</v>
      </c>
      <c r="DL74">
        <v>23.918648842527414</v>
      </c>
      <c r="DM74">
        <v>9.8884725756959924</v>
      </c>
      <c r="DN74">
        <v>15.145635475236357</v>
      </c>
      <c r="DO74">
        <v>5.4441290171055199</v>
      </c>
      <c r="DP74">
        <v>7.8856090428694987</v>
      </c>
      <c r="DQ74">
        <v>969.72541262900086</v>
      </c>
      <c r="DR74">
        <v>24.864104617909014</v>
      </c>
      <c r="DS74">
        <v>9.8396334547393369</v>
      </c>
      <c r="DT74">
        <v>15.931672075982577</v>
      </c>
      <c r="DU74">
        <v>5.5506851241865922</v>
      </c>
      <c r="DV74">
        <v>8.4939171534992557</v>
      </c>
      <c r="DW74">
        <v>1044.6712080750115</v>
      </c>
      <c r="DX74">
        <v>24.956484602603698</v>
      </c>
      <c r="DY74">
        <v>9.7493081371394386</v>
      </c>
      <c r="DZ74">
        <v>16.141909858314268</v>
      </c>
      <c r="EA74">
        <v>5.6552558963270565</v>
      </c>
      <c r="EB74">
        <v>8.8676486407137798</v>
      </c>
      <c r="EC74">
        <v>1180.9881981427407</v>
      </c>
      <c r="ED74">
        <v>23.234209800800354</v>
      </c>
      <c r="EE74">
        <v>9.1605731970334414</v>
      </c>
      <c r="EG74">
        <v>78</v>
      </c>
      <c r="EH74">
        <v>12.359156899867713</v>
      </c>
      <c r="EI74">
        <v>4.5409877465694741</v>
      </c>
      <c r="EJ74">
        <v>6.3923938965244309</v>
      </c>
      <c r="EK74">
        <v>845.75412956265563</v>
      </c>
      <c r="EL74">
        <v>23.120159699139894</v>
      </c>
      <c r="EM74">
        <v>9.2571140301256278</v>
      </c>
      <c r="EN74">
        <v>12.872656433685654</v>
      </c>
      <c r="EO74">
        <v>4.7373775590616125</v>
      </c>
      <c r="EP74">
        <v>6.7311156999832695</v>
      </c>
      <c r="EQ74">
        <v>887.24457201199266</v>
      </c>
      <c r="ER74">
        <v>23.259529973210782</v>
      </c>
      <c r="ES74">
        <v>9.33888577843957</v>
      </c>
      <c r="ET74">
        <v>13.412164594071207</v>
      </c>
      <c r="EU74">
        <v>4.9271997547138602</v>
      </c>
      <c r="EV74">
        <v>7.2802434533319005</v>
      </c>
      <c r="EW74">
        <v>982.85674268483376</v>
      </c>
      <c r="EX74">
        <v>22.768204415995022</v>
      </c>
      <c r="EY74">
        <v>9.1822266233538912</v>
      </c>
      <c r="EZ74">
        <v>14.240072173723062</v>
      </c>
      <c r="FA74">
        <v>5.0834954609500809</v>
      </c>
      <c r="FB74">
        <v>7.8360281960089813</v>
      </c>
      <c r="FC74">
        <v>1052.7401843402995</v>
      </c>
      <c r="FD74">
        <v>23.158345600843084</v>
      </c>
      <c r="FE74">
        <v>9.2307978652624971</v>
      </c>
      <c r="FF74">
        <v>14.442405859788227</v>
      </c>
      <c r="FG74">
        <v>5.1415138821881277</v>
      </c>
      <c r="FH74">
        <v>8.1852797610668393</v>
      </c>
      <c r="FI74">
        <v>1197.2177538188866</v>
      </c>
      <c r="FJ74">
        <v>21.499700858333128</v>
      </c>
      <c r="FK74">
        <v>8.6072786566270505</v>
      </c>
    </row>
    <row r="75" spans="2:167" x14ac:dyDescent="0.2">
      <c r="B75">
        <v>768.48768376581256</v>
      </c>
      <c r="C75">
        <v>1.3012570287394978</v>
      </c>
      <c r="D75">
        <v>829.53765810943446</v>
      </c>
      <c r="E75">
        <v>1.2054907817917022</v>
      </c>
      <c r="F75">
        <v>957.46138775845725</v>
      </c>
      <c r="G75">
        <v>1.0444285407071414</v>
      </c>
      <c r="H75">
        <v>1083.3612467877217</v>
      </c>
      <c r="I75">
        <v>0.92305313944457912</v>
      </c>
      <c r="J75">
        <v>1207.1470990301978</v>
      </c>
      <c r="K75">
        <v>0.82839945587690489</v>
      </c>
      <c r="L75">
        <v>898.9923176234953</v>
      </c>
      <c r="M75">
        <v>1.1123565578886376</v>
      </c>
      <c r="N75">
        <v>887.70898017284469</v>
      </c>
      <c r="O75">
        <v>1.1264953068350072</v>
      </c>
      <c r="Q75">
        <v>0.15454886899197456</v>
      </c>
      <c r="R75">
        <v>0.15521076232880285</v>
      </c>
      <c r="S75">
        <v>0.15541043818232642</v>
      </c>
      <c r="T75">
        <v>0.15656563845319657</v>
      </c>
      <c r="U75">
        <v>0.15706285851301288</v>
      </c>
      <c r="V75">
        <v>0.15545700599120438</v>
      </c>
      <c r="W75">
        <v>0.15507008459767654</v>
      </c>
      <c r="Y75">
        <v>2.038091393089402</v>
      </c>
      <c r="Z75">
        <v>2.0603819870606519</v>
      </c>
      <c r="AA75">
        <v>2.1181548182020542</v>
      </c>
      <c r="AB75">
        <v>2.188050400725893</v>
      </c>
      <c r="AC75">
        <v>2.2358277300488898</v>
      </c>
      <c r="AD75">
        <v>2.0887261549213227</v>
      </c>
      <c r="AE75">
        <v>2.0891180247128025</v>
      </c>
      <c r="AG75">
        <v>0.79851382793754466</v>
      </c>
      <c r="AH75">
        <v>0.80877075162724132</v>
      </c>
      <c r="AI75">
        <v>0.83741851475571338</v>
      </c>
      <c r="AJ75">
        <v>0.85897284159379483</v>
      </c>
      <c r="AK75">
        <v>0.88269381250442713</v>
      </c>
      <c r="AL75">
        <v>0.82234752083234086</v>
      </c>
      <c r="AM75">
        <v>0.82336727860922154</v>
      </c>
      <c r="AO75">
        <v>79</v>
      </c>
      <c r="AP75">
        <v>14.981262991349496</v>
      </c>
      <c r="AQ75">
        <v>6.5083813544700844</v>
      </c>
      <c r="AR75">
        <v>7.3865641057843829</v>
      </c>
      <c r="AS75">
        <v>851.41813481970553</v>
      </c>
      <c r="AT75">
        <v>26.029527681073212</v>
      </c>
      <c r="AU75">
        <v>11.498707400759251</v>
      </c>
      <c r="AV75">
        <v>15.654996726777476</v>
      </c>
      <c r="AW75">
        <v>6.6475645755228969</v>
      </c>
      <c r="AX75">
        <v>7.7859440081068074</v>
      </c>
      <c r="AY75">
        <v>897.36558887100784</v>
      </c>
      <c r="AZ75">
        <v>26.083233962202407</v>
      </c>
      <c r="BA75">
        <v>11.355578229046642</v>
      </c>
      <c r="BB75">
        <v>17.337327568204461</v>
      </c>
      <c r="BC75">
        <v>7.0373936700165096</v>
      </c>
      <c r="BD75">
        <v>8.4444104306582215</v>
      </c>
      <c r="BE75">
        <v>974.58700566563766</v>
      </c>
      <c r="BF75">
        <v>26.969215290806961</v>
      </c>
      <c r="BG75">
        <v>11.416356325046468</v>
      </c>
      <c r="BH75">
        <v>18.420365435840075</v>
      </c>
      <c r="BI75">
        <v>7.3875370259789372</v>
      </c>
      <c r="BJ75">
        <v>9.0867844870011929</v>
      </c>
      <c r="BK75">
        <v>1049.6263504108763</v>
      </c>
      <c r="BL75">
        <v>27.193765585868984</v>
      </c>
      <c r="BM75">
        <v>11.446007644227882</v>
      </c>
      <c r="BN75">
        <v>18.858267456256044</v>
      </c>
      <c r="BO75">
        <v>7.50178503073783</v>
      </c>
      <c r="BP75">
        <v>9.6463240767673462</v>
      </c>
      <c r="BQ75">
        <v>1184.4859501647441</v>
      </c>
      <c r="BR75">
        <v>25.443822229721249</v>
      </c>
      <c r="BS75">
        <v>10.6855693099491</v>
      </c>
      <c r="BU75">
        <v>79</v>
      </c>
      <c r="BV75">
        <v>14.482909108900085</v>
      </c>
      <c r="BW75">
        <v>5.5005499612249427</v>
      </c>
      <c r="BX75">
        <v>7.1735407357673111</v>
      </c>
      <c r="BY75">
        <v>860.00684785470958</v>
      </c>
      <c r="BZ75">
        <v>25.190099451007764</v>
      </c>
      <c r="CA75">
        <v>10.211984516930903</v>
      </c>
      <c r="CB75">
        <v>14.999206383228795</v>
      </c>
      <c r="CC75">
        <v>5.585656904842093</v>
      </c>
      <c r="CD75">
        <v>7.5362350039436121</v>
      </c>
      <c r="CE75">
        <v>907.90107803208923</v>
      </c>
      <c r="CF75">
        <v>25.058243470660635</v>
      </c>
      <c r="CG75">
        <v>10.054176269494199</v>
      </c>
      <c r="CH75">
        <v>16.667126080817813</v>
      </c>
      <c r="CI75">
        <v>6.1925641216981901</v>
      </c>
      <c r="CJ75">
        <v>8.157167329083796</v>
      </c>
      <c r="CK75">
        <v>982.75940380873419</v>
      </c>
      <c r="CL75">
        <v>26.062986717568762</v>
      </c>
      <c r="CM75">
        <v>10.461770132419572</v>
      </c>
      <c r="CN75">
        <v>17.723199997814206</v>
      </c>
      <c r="CO75">
        <v>6.4068784670568268</v>
      </c>
      <c r="CP75">
        <v>8.8099076530507894</v>
      </c>
      <c r="CQ75">
        <v>1058.4916783417987</v>
      </c>
      <c r="CR75">
        <v>26.307365525463162</v>
      </c>
      <c r="CS75">
        <v>10.423674457930876</v>
      </c>
      <c r="CT75">
        <v>17.978177220160276</v>
      </c>
      <c r="CU75">
        <v>6.3992987867398012</v>
      </c>
      <c r="CV75">
        <v>9.2013782358853895</v>
      </c>
      <c r="CW75">
        <v>1195.7006031401613</v>
      </c>
      <c r="CX75">
        <v>24.469135197106542</v>
      </c>
      <c r="CY75">
        <v>9.663305716166672</v>
      </c>
      <c r="DA75">
        <v>79</v>
      </c>
      <c r="DB75">
        <v>13.112202718226937</v>
      </c>
      <c r="DC75">
        <v>4.954884913803796</v>
      </c>
      <c r="DD75">
        <v>6.9815508290577117</v>
      </c>
      <c r="DE75">
        <v>854.97768212830317</v>
      </c>
      <c r="DF75">
        <v>23.735065908175841</v>
      </c>
      <c r="DG75">
        <v>9.6338322502430511</v>
      </c>
      <c r="DH75">
        <v>13.60935031734382</v>
      </c>
      <c r="DI75">
        <v>5.3073622957221049</v>
      </c>
      <c r="DJ75">
        <v>7.3156928043518992</v>
      </c>
      <c r="DK75">
        <v>896.10337369154956</v>
      </c>
      <c r="DL75">
        <v>23.837149621167431</v>
      </c>
      <c r="DM75">
        <v>9.8759843166539572</v>
      </c>
      <c r="DN75">
        <v>15.206043677946246</v>
      </c>
      <c r="DO75">
        <v>5.4882824502706411</v>
      </c>
      <c r="DP75">
        <v>7.9106675755851379</v>
      </c>
      <c r="DQ75">
        <v>974.65625649433537</v>
      </c>
      <c r="DR75">
        <v>24.780595952909316</v>
      </c>
      <c r="DS75">
        <v>9.8261528029793084</v>
      </c>
      <c r="DT75">
        <v>16.011609616081952</v>
      </c>
      <c r="DU75">
        <v>5.6033958463406099</v>
      </c>
      <c r="DV75">
        <v>8.528027776598254</v>
      </c>
      <c r="DW75">
        <v>1050.7632726838408</v>
      </c>
      <c r="DX75">
        <v>24.871955259069967</v>
      </c>
      <c r="DY75">
        <v>9.7356753102138516</v>
      </c>
      <c r="DZ75">
        <v>16.225070476012721</v>
      </c>
      <c r="EA75">
        <v>5.7097832434546412</v>
      </c>
      <c r="EB75">
        <v>8.9041750395363177</v>
      </c>
      <c r="EC75">
        <v>1187.2216352978758</v>
      </c>
      <c r="ED75">
        <v>23.167243715576266</v>
      </c>
      <c r="EE75">
        <v>9.1515388591592473</v>
      </c>
      <c r="EG75">
        <v>79</v>
      </c>
      <c r="EH75">
        <v>12.397571092640398</v>
      </c>
      <c r="EI75">
        <v>4.5752716584334445</v>
      </c>
      <c r="EJ75">
        <v>6.4126696467875748</v>
      </c>
      <c r="EK75">
        <v>850.13672845415647</v>
      </c>
      <c r="EL75">
        <v>23.029613183926696</v>
      </c>
      <c r="EM75">
        <v>9.2421584069685796</v>
      </c>
      <c r="EN75">
        <v>12.9184458428096</v>
      </c>
      <c r="EO75">
        <v>4.775955541239993</v>
      </c>
      <c r="EP75">
        <v>6.7551703174466189</v>
      </c>
      <c r="EQ75">
        <v>892.11776547886564</v>
      </c>
      <c r="ER75">
        <v>23.169189674290624</v>
      </c>
      <c r="ES75">
        <v>9.324437234731203</v>
      </c>
      <c r="ET75">
        <v>13.484679052265582</v>
      </c>
      <c r="EU75">
        <v>4.9671609762888203</v>
      </c>
      <c r="EV75">
        <v>7.3036511055411619</v>
      </c>
      <c r="EW75">
        <v>987.8208033933679</v>
      </c>
      <c r="EX75">
        <v>22.70776053958858</v>
      </c>
      <c r="EY75">
        <v>9.1676544992797133</v>
      </c>
      <c r="EZ75">
        <v>14.315288801170025</v>
      </c>
      <c r="FA75">
        <v>5.131696223411617</v>
      </c>
      <c r="FB75">
        <v>7.867803811954877</v>
      </c>
      <c r="FC75">
        <v>1058.8167931563862</v>
      </c>
      <c r="FD75">
        <v>23.080684448064847</v>
      </c>
      <c r="FE75">
        <v>9.2161273705613649</v>
      </c>
      <c r="FF75">
        <v>14.517529004416563</v>
      </c>
      <c r="FG75">
        <v>5.1910596472063304</v>
      </c>
      <c r="FH75">
        <v>8.2193021723275894</v>
      </c>
      <c r="FI75">
        <v>1202.7804236590614</v>
      </c>
      <c r="FJ75">
        <v>21.447897712930477</v>
      </c>
      <c r="FK75">
        <v>8.6018870361557411</v>
      </c>
    </row>
    <row r="76" spans="2:167" x14ac:dyDescent="0.2">
      <c r="B76">
        <v>766.77275541650715</v>
      </c>
      <c r="C76">
        <v>1.3041673598024555</v>
      </c>
      <c r="D76">
        <v>827.90676087223892</v>
      </c>
      <c r="E76">
        <v>1.2078654834832521</v>
      </c>
      <c r="F76">
        <v>955.08148213989887</v>
      </c>
      <c r="G76">
        <v>1.0470310844677455</v>
      </c>
      <c r="H76">
        <v>1081.1888043563658</v>
      </c>
      <c r="I76">
        <v>0.92490783845593216</v>
      </c>
      <c r="J76">
        <v>1204.7921246057972</v>
      </c>
      <c r="K76">
        <v>0.83001870578063064</v>
      </c>
      <c r="L76">
        <v>896.90658559410224</v>
      </c>
      <c r="M76">
        <v>1.1149433130069055</v>
      </c>
      <c r="N76">
        <v>885.79776641944375</v>
      </c>
      <c r="O76">
        <v>1.1289258540831306</v>
      </c>
      <c r="Q76">
        <v>0.15640712870663659</v>
      </c>
      <c r="R76">
        <v>0.1570711786243178</v>
      </c>
      <c r="S76">
        <v>0.15726078299032858</v>
      </c>
      <c r="T76">
        <v>0.15842021923985158</v>
      </c>
      <c r="U76">
        <v>0.1589169715472771</v>
      </c>
      <c r="V76">
        <v>0.15731014083460321</v>
      </c>
      <c r="W76">
        <v>0.1569275554861608</v>
      </c>
      <c r="Y76">
        <v>2.0474204957276374</v>
      </c>
      <c r="Z76">
        <v>2.0708085331018569</v>
      </c>
      <c r="AA76">
        <v>2.1280555763320805</v>
      </c>
      <c r="AB76">
        <v>2.200294532058332</v>
      </c>
      <c r="AC76">
        <v>2.248627539021149</v>
      </c>
      <c r="AD76">
        <v>2.0989197251136993</v>
      </c>
      <c r="AE76">
        <v>2.0992576654936714</v>
      </c>
      <c r="AG76">
        <v>0.80246141935759474</v>
      </c>
      <c r="AH76">
        <v>0.81316669322121249</v>
      </c>
      <c r="AI76">
        <v>0.84161986485058238</v>
      </c>
      <c r="AJ76">
        <v>0.86409765686824669</v>
      </c>
      <c r="AK76">
        <v>0.88806228393856623</v>
      </c>
      <c r="AL76">
        <v>0.82666279865876491</v>
      </c>
      <c r="AM76">
        <v>0.82765310790847935</v>
      </c>
      <c r="AO76">
        <v>80</v>
      </c>
      <c r="AP76">
        <v>15.076616733328908</v>
      </c>
      <c r="AQ76">
        <v>6.552123193935099</v>
      </c>
      <c r="AR76">
        <v>7.4176940628423429</v>
      </c>
      <c r="AS76">
        <v>855.41472447341914</v>
      </c>
      <c r="AT76">
        <v>26.000652927306337</v>
      </c>
      <c r="AU76">
        <v>11.487557981878814</v>
      </c>
      <c r="AV76">
        <v>15.758016033567563</v>
      </c>
      <c r="AW76">
        <v>6.6946382279630212</v>
      </c>
      <c r="AX76">
        <v>7.8188118235874713</v>
      </c>
      <c r="AY76">
        <v>901.7444123569295</v>
      </c>
      <c r="AZ76">
        <v>26.053920030123074</v>
      </c>
      <c r="BA76">
        <v>11.344915377439101</v>
      </c>
      <c r="BB76">
        <v>17.444860728245072</v>
      </c>
      <c r="BC76">
        <v>7.0871352823535299</v>
      </c>
      <c r="BD76">
        <v>8.4760768652653891</v>
      </c>
      <c r="BE76">
        <v>979.07189723937381</v>
      </c>
      <c r="BF76">
        <v>26.932794385899204</v>
      </c>
      <c r="BG76">
        <v>11.404484985541396</v>
      </c>
      <c r="BH76">
        <v>18.53772908201174</v>
      </c>
      <c r="BI76">
        <v>7.4421266745958867</v>
      </c>
      <c r="BJ76">
        <v>9.1203028172451877</v>
      </c>
      <c r="BK76">
        <v>1054.6804477381258</v>
      </c>
      <c r="BL76">
        <v>27.155483285330554</v>
      </c>
      <c r="BM76">
        <v>11.434120628160205</v>
      </c>
      <c r="BN76">
        <v>18.978566764447212</v>
      </c>
      <c r="BO76">
        <v>7.5573650946147035</v>
      </c>
      <c r="BP76">
        <v>9.68082263465163</v>
      </c>
      <c r="BQ76">
        <v>1189.5184926030777</v>
      </c>
      <c r="BR76">
        <v>25.41880985019127</v>
      </c>
      <c r="BS76">
        <v>10.678631683099312</v>
      </c>
      <c r="BU76">
        <v>80</v>
      </c>
      <c r="BV76">
        <v>14.57326516148348</v>
      </c>
      <c r="BW76">
        <v>5.5397428834131937</v>
      </c>
      <c r="BX76">
        <v>7.2033887907717116</v>
      </c>
      <c r="BY76">
        <v>863.93131664490238</v>
      </c>
      <c r="BZ76">
        <v>25.161710623612208</v>
      </c>
      <c r="CA76">
        <v>10.202484579040053</v>
      </c>
      <c r="CB76">
        <v>15.096508583055064</v>
      </c>
      <c r="CC76">
        <v>5.6275171692415489</v>
      </c>
      <c r="CD76">
        <v>7.5677552587621992</v>
      </c>
      <c r="CE76">
        <v>912.17199509588818</v>
      </c>
      <c r="CF76">
        <v>25.030881762868745</v>
      </c>
      <c r="CG76">
        <v>10.045356622226944</v>
      </c>
      <c r="CH76">
        <v>16.768935139467938</v>
      </c>
      <c r="CI76">
        <v>6.2378760966165849</v>
      </c>
      <c r="CJ76">
        <v>8.1875212107861302</v>
      </c>
      <c r="CK76">
        <v>987.15745760960158</v>
      </c>
      <c r="CL76">
        <v>26.027475465564727</v>
      </c>
      <c r="CM76">
        <v>10.45076597109089</v>
      </c>
      <c r="CN76">
        <v>17.834503115299487</v>
      </c>
      <c r="CO76">
        <v>6.4560266038870564</v>
      </c>
      <c r="CP76">
        <v>8.8420688778083161</v>
      </c>
      <c r="CQ76">
        <v>1063.4664134417699</v>
      </c>
      <c r="CR76">
        <v>26.269876462567822</v>
      </c>
      <c r="CS76">
        <v>10.41240536882948</v>
      </c>
      <c r="CT76">
        <v>18.091691375332275</v>
      </c>
      <c r="CU76">
        <v>6.4487996171314315</v>
      </c>
      <c r="CV76">
        <v>9.234390268727152</v>
      </c>
      <c r="CW76">
        <v>1200.6065577715124</v>
      </c>
      <c r="CX76">
        <v>24.44536788315153</v>
      </c>
      <c r="CY76">
        <v>9.6566725462338496</v>
      </c>
      <c r="DA76">
        <v>80</v>
      </c>
      <c r="DB76">
        <v>13.157086727901588</v>
      </c>
      <c r="DC76">
        <v>4.9914963127110434</v>
      </c>
      <c r="DD76">
        <v>7.0016370448321803</v>
      </c>
      <c r="DE76">
        <v>859.11128420208934</v>
      </c>
      <c r="DF76">
        <v>23.654457493696608</v>
      </c>
      <c r="DG76">
        <v>9.6215700069571195</v>
      </c>
      <c r="DH76">
        <v>13.662289203435151</v>
      </c>
      <c r="DI76">
        <v>5.3495682621495373</v>
      </c>
      <c r="DJ76">
        <v>7.3397577708941233</v>
      </c>
      <c r="DK76">
        <v>900.77159895983357</v>
      </c>
      <c r="DL76">
        <v>23.755466981568901</v>
      </c>
      <c r="DM76">
        <v>9.8639256551988961</v>
      </c>
      <c r="DN76">
        <v>15.262368126911419</v>
      </c>
      <c r="DO76">
        <v>5.5317366634097747</v>
      </c>
      <c r="DP76">
        <v>7.933683768656822</v>
      </c>
      <c r="DQ76">
        <v>979.35966729631582</v>
      </c>
      <c r="DR76">
        <v>24.696391227543479</v>
      </c>
      <c r="DS76">
        <v>9.8129547844453757</v>
      </c>
      <c r="DT76">
        <v>16.087694675725601</v>
      </c>
      <c r="DU76">
        <v>5.6556246071317338</v>
      </c>
      <c r="DV76">
        <v>8.560083412258928</v>
      </c>
      <c r="DW76">
        <v>1056.6269732675385</v>
      </c>
      <c r="DX76">
        <v>24.786725614849583</v>
      </c>
      <c r="DY76">
        <v>9.7222971361100257</v>
      </c>
      <c r="DZ76">
        <v>16.304415061735401</v>
      </c>
      <c r="EA76">
        <v>5.7638468283659448</v>
      </c>
      <c r="EB76">
        <v>8.9385558523176361</v>
      </c>
      <c r="EC76">
        <v>1193.1777374090248</v>
      </c>
      <c r="ED76">
        <v>23.099653815116099</v>
      </c>
      <c r="EE76">
        <v>9.1427381306858848</v>
      </c>
      <c r="EG76">
        <v>80</v>
      </c>
      <c r="EH76">
        <v>12.432588656103752</v>
      </c>
      <c r="EI76">
        <v>4.6089524057278286</v>
      </c>
      <c r="EJ76">
        <v>6.4314866665922104</v>
      </c>
      <c r="EK76">
        <v>854.33538961828879</v>
      </c>
      <c r="EL76">
        <v>22.938664979653414</v>
      </c>
      <c r="EM76">
        <v>9.2275885483993516</v>
      </c>
      <c r="EN76">
        <v>12.960825355936969</v>
      </c>
      <c r="EO76">
        <v>4.8139735107807109</v>
      </c>
      <c r="EP76">
        <v>6.7777302291092489</v>
      </c>
      <c r="EQ76">
        <v>896.80528923356678</v>
      </c>
      <c r="ER76">
        <v>23.07834975774416</v>
      </c>
      <c r="ES76">
        <v>9.3103257009348699</v>
      </c>
      <c r="ET76">
        <v>13.554461796321934</v>
      </c>
      <c r="EU76">
        <v>5.006489401188329</v>
      </c>
      <c r="EV76">
        <v>7.3252273897369804</v>
      </c>
      <c r="EW76">
        <v>992.5247600188884</v>
      </c>
      <c r="EX76">
        <v>22.648042719870652</v>
      </c>
      <c r="EY76">
        <v>9.1535901537548234</v>
      </c>
      <c r="EZ76">
        <v>14.387319673611952</v>
      </c>
      <c r="FA76">
        <v>5.1794462067531333</v>
      </c>
      <c r="FB76">
        <v>7.8977389759723717</v>
      </c>
      <c r="FC76">
        <v>1064.6432404814373</v>
      </c>
      <c r="FD76">
        <v>23.002961865839069</v>
      </c>
      <c r="FE76">
        <v>9.2018270752622175</v>
      </c>
      <c r="FF76">
        <v>14.589355077864658</v>
      </c>
      <c r="FG76">
        <v>5.2401802075302504</v>
      </c>
      <c r="FH76">
        <v>8.2513988048114673</v>
      </c>
      <c r="FI76">
        <v>1208.069115025959</v>
      </c>
      <c r="FJ76">
        <v>21.395243342203834</v>
      </c>
      <c r="FK76">
        <v>8.5965652515138995</v>
      </c>
    </row>
    <row r="77" spans="2:167" x14ac:dyDescent="0.2">
      <c r="B77">
        <v>764.84815021568863</v>
      </c>
      <c r="C77">
        <v>1.3074490664820175</v>
      </c>
      <c r="D77">
        <v>826.04006780652628</v>
      </c>
      <c r="E77">
        <v>1.210595029191996</v>
      </c>
      <c r="F77">
        <v>952.37649382274356</v>
      </c>
      <c r="G77">
        <v>1.0500049155834374</v>
      </c>
      <c r="H77">
        <v>1078.6335530947511</v>
      </c>
      <c r="I77">
        <v>0.9270989180068242</v>
      </c>
      <c r="J77">
        <v>1201.9910556502716</v>
      </c>
      <c r="K77">
        <v>0.83195294615483184</v>
      </c>
      <c r="L77">
        <v>894.52418762293553</v>
      </c>
      <c r="M77">
        <v>1.1179127561182562</v>
      </c>
      <c r="N77">
        <v>883.62352609873972</v>
      </c>
      <c r="O77">
        <v>1.1317036842772517</v>
      </c>
      <c r="Q77">
        <v>0.15826359164048878</v>
      </c>
      <c r="R77">
        <v>0.15892956810425196</v>
      </c>
      <c r="S77">
        <v>0.15910850743923446</v>
      </c>
      <c r="T77">
        <v>0.16027173332120845</v>
      </c>
      <c r="U77">
        <v>0.16076769436421989</v>
      </c>
      <c r="V77">
        <v>0.15916074917898826</v>
      </c>
      <c r="W77">
        <v>0.15878291701512862</v>
      </c>
      <c r="Y77">
        <v>2.0563386819671092</v>
      </c>
      <c r="Z77">
        <v>2.0808513400862871</v>
      </c>
      <c r="AA77">
        <v>2.1375193092651039</v>
      </c>
      <c r="AB77">
        <v>2.2121412918551897</v>
      </c>
      <c r="AC77">
        <v>2.2610292159599261</v>
      </c>
      <c r="AD77">
        <v>2.1087099440538912</v>
      </c>
      <c r="AE77">
        <v>2.1089828546752782</v>
      </c>
      <c r="AG77">
        <v>0.80628960825090823</v>
      </c>
      <c r="AH77">
        <v>0.8174534879434493</v>
      </c>
      <c r="AI77">
        <v>0.84568878615429344</v>
      </c>
      <c r="AJ77">
        <v>0.86910836191941987</v>
      </c>
      <c r="AK77">
        <v>0.89331477321151298</v>
      </c>
      <c r="AL77">
        <v>0.83086091687700814</v>
      </c>
      <c r="AM77">
        <v>0.83181584011155296</v>
      </c>
      <c r="AO77">
        <v>81</v>
      </c>
      <c r="AP77">
        <v>15.169566532645455</v>
      </c>
      <c r="AQ77">
        <v>6.5948012054587677</v>
      </c>
      <c r="AR77">
        <v>7.4474187059113905</v>
      </c>
      <c r="AS77">
        <v>859.21534982859669</v>
      </c>
      <c r="AT77">
        <v>25.972892189033505</v>
      </c>
      <c r="AU77">
        <v>11.476849468438891</v>
      </c>
      <c r="AV77">
        <v>15.858519816437738</v>
      </c>
      <c r="AW77">
        <v>6.7406757556829184</v>
      </c>
      <c r="AX77">
        <v>7.8501210271194388</v>
      </c>
      <c r="AY77">
        <v>905.91292508856282</v>
      </c>
      <c r="AZ77">
        <v>26.02572229303054</v>
      </c>
      <c r="BA77">
        <v>11.334731607065716</v>
      </c>
      <c r="BB77">
        <v>17.549143599546465</v>
      </c>
      <c r="BC77">
        <v>7.1357162772330245</v>
      </c>
      <c r="BD77">
        <v>8.5057958108052762</v>
      </c>
      <c r="BE77">
        <v>983.32028554172598</v>
      </c>
      <c r="BF77">
        <v>26.896780170924163</v>
      </c>
      <c r="BG77">
        <v>11.39286991108013</v>
      </c>
      <c r="BH77">
        <v>18.651542635208695</v>
      </c>
      <c r="BI77">
        <v>7.4955093199402256</v>
      </c>
      <c r="BJ77">
        <v>9.1515747165238199</v>
      </c>
      <c r="BK77">
        <v>1059.4700598756842</v>
      </c>
      <c r="BL77">
        <v>27.117608739880005</v>
      </c>
      <c r="BM77">
        <v>11.422516186867385</v>
      </c>
      <c r="BN77">
        <v>19.095229269355151</v>
      </c>
      <c r="BO77">
        <v>7.6117293904265768</v>
      </c>
      <c r="BP77">
        <v>9.7128435865196359</v>
      </c>
      <c r="BQ77">
        <v>1194.2328898545704</v>
      </c>
      <c r="BR77">
        <v>25.39423754862786</v>
      </c>
      <c r="BS77">
        <v>10.671982242201588</v>
      </c>
      <c r="BU77">
        <v>81</v>
      </c>
      <c r="BV77">
        <v>14.661164064996202</v>
      </c>
      <c r="BW77">
        <v>5.5781931491581203</v>
      </c>
      <c r="BX77">
        <v>7.2318418513034084</v>
      </c>
      <c r="BY77">
        <v>867.64997752273098</v>
      </c>
      <c r="BZ77">
        <v>25.134450234040681</v>
      </c>
      <c r="CA77">
        <v>10.193600419268734</v>
      </c>
      <c r="CB77">
        <v>15.191298718888818</v>
      </c>
      <c r="CC77">
        <v>5.668671456394101</v>
      </c>
      <c r="CD77">
        <v>7.5977438164667408</v>
      </c>
      <c r="CE77">
        <v>916.22270369566604</v>
      </c>
      <c r="CF77">
        <v>25.004638086421792</v>
      </c>
      <c r="CG77">
        <v>10.037161848170616</v>
      </c>
      <c r="CH77">
        <v>16.86750521889898</v>
      </c>
      <c r="CI77">
        <v>6.2822772052263058</v>
      </c>
      <c r="CJ77">
        <v>8.2159750290563931</v>
      </c>
      <c r="CK77">
        <v>991.31047686266425</v>
      </c>
      <c r="CL77">
        <v>25.992372499406539</v>
      </c>
      <c r="CM77">
        <v>10.440120692409602</v>
      </c>
      <c r="CN77">
        <v>17.942272737014424</v>
      </c>
      <c r="CO77">
        <v>6.5042567687739243</v>
      </c>
      <c r="CP77">
        <v>8.8720253151953763</v>
      </c>
      <c r="CQ77">
        <v>1068.1676909758671</v>
      </c>
      <c r="CR77">
        <v>26.232795556222126</v>
      </c>
      <c r="CS77">
        <v>10.401514154687233</v>
      </c>
      <c r="CT77">
        <v>18.201653258749655</v>
      </c>
      <c r="CU77">
        <v>6.4974125844909789</v>
      </c>
      <c r="CV77">
        <v>9.2650473537636806</v>
      </c>
      <c r="CW77">
        <v>1205.1844340358375</v>
      </c>
      <c r="CX77">
        <v>24.422036039896753</v>
      </c>
      <c r="CY77">
        <v>9.6504029252170174</v>
      </c>
      <c r="DA77">
        <v>81</v>
      </c>
      <c r="DB77">
        <v>13.198605444484135</v>
      </c>
      <c r="DC77">
        <v>5.0274713233241206</v>
      </c>
      <c r="DD77">
        <v>7.0200680255621917</v>
      </c>
      <c r="DE77">
        <v>863.05417584293434</v>
      </c>
      <c r="DF77">
        <v>23.57366099321457</v>
      </c>
      <c r="DG77">
        <v>9.6097737325931014</v>
      </c>
      <c r="DH77">
        <v>13.711898213529249</v>
      </c>
      <c r="DI77">
        <v>5.3911469482252459</v>
      </c>
      <c r="DJ77">
        <v>7.362145321760309</v>
      </c>
      <c r="DK77">
        <v>905.24533813107257</v>
      </c>
      <c r="DL77">
        <v>23.673600630032155</v>
      </c>
      <c r="DM77">
        <v>9.8523026654920489</v>
      </c>
      <c r="DN77">
        <v>15.314608824412735</v>
      </c>
      <c r="DO77">
        <v>5.574491660674326</v>
      </c>
      <c r="DP77">
        <v>7.9546576205381454</v>
      </c>
      <c r="DQ77">
        <v>983.83375111485122</v>
      </c>
      <c r="DR77">
        <v>24.611490259664606</v>
      </c>
      <c r="DS77">
        <v>9.8000454513974127</v>
      </c>
      <c r="DT77">
        <v>16.159927266480704</v>
      </c>
      <c r="DU77">
        <v>5.7073714100655168</v>
      </c>
      <c r="DV77">
        <v>8.5900840644594751</v>
      </c>
      <c r="DW77">
        <v>1062.2604945780206</v>
      </c>
      <c r="DX77">
        <v>24.700795445679528</v>
      </c>
      <c r="DY77">
        <v>9.7091777875573957</v>
      </c>
      <c r="DZ77">
        <v>16.379943634140091</v>
      </c>
      <c r="EA77">
        <v>5.8174466566080634</v>
      </c>
      <c r="EB77">
        <v>8.97079108659395</v>
      </c>
      <c r="EC77">
        <v>1198.8545405044133</v>
      </c>
      <c r="ED77">
        <v>23.031441367790009</v>
      </c>
      <c r="EE77">
        <v>9.1341769078633579</v>
      </c>
      <c r="EG77">
        <v>81</v>
      </c>
      <c r="EH77">
        <v>12.46420958676574</v>
      </c>
      <c r="EI77">
        <v>4.6420299898958888</v>
      </c>
      <c r="EJ77">
        <v>6.44884495514256</v>
      </c>
      <c r="EK77">
        <v>858.34815910263831</v>
      </c>
      <c r="EL77">
        <v>22.847314920420452</v>
      </c>
      <c r="EM77">
        <v>9.2134105858160726</v>
      </c>
      <c r="EN77">
        <v>12.999794972622997</v>
      </c>
      <c r="EO77">
        <v>4.8514314694283103</v>
      </c>
      <c r="EP77">
        <v>6.798795435551674</v>
      </c>
      <c r="EQ77">
        <v>901.30527065867761</v>
      </c>
      <c r="ER77">
        <v>22.987010107092956</v>
      </c>
      <c r="ES77">
        <v>9.2965567291897102</v>
      </c>
      <c r="ET77">
        <v>13.621512841001133</v>
      </c>
      <c r="EU77">
        <v>5.0451850331693811</v>
      </c>
      <c r="EV77">
        <v>7.344972304870149</v>
      </c>
      <c r="EW77">
        <v>996.96613120177983</v>
      </c>
      <c r="EX77">
        <v>22.589051016340729</v>
      </c>
      <c r="EY77">
        <v>9.1400385277432576</v>
      </c>
      <c r="EZ77">
        <v>14.456164803151733</v>
      </c>
      <c r="FA77">
        <v>5.2267454142597769</v>
      </c>
      <c r="FB77">
        <v>7.9258336918416727</v>
      </c>
      <c r="FC77">
        <v>1070.2170750450623</v>
      </c>
      <c r="FD77">
        <v>22.925177793706965</v>
      </c>
      <c r="FE77">
        <v>9.1879023723639275</v>
      </c>
      <c r="FF77">
        <v>14.65788409655039</v>
      </c>
      <c r="FG77">
        <v>5.2888755682392805</v>
      </c>
      <c r="FH77">
        <v>8.2815696655768729</v>
      </c>
      <c r="FI77">
        <v>1213.0824652458834</v>
      </c>
      <c r="FJ77">
        <v>21.341738309026624</v>
      </c>
      <c r="FK77">
        <v>8.5913189498467446</v>
      </c>
    </row>
    <row r="78" spans="2:167" x14ac:dyDescent="0.2">
      <c r="B78">
        <v>762.71390962892417</v>
      </c>
      <c r="C78">
        <v>1.3111075953584226</v>
      </c>
      <c r="D78">
        <v>823.93763064110908</v>
      </c>
      <c r="E78">
        <v>1.2136840979357819</v>
      </c>
      <c r="F78">
        <v>949.34652467231842</v>
      </c>
      <c r="G78">
        <v>1.0533561497422297</v>
      </c>
      <c r="H78">
        <v>1075.695616751945</v>
      </c>
      <c r="I78">
        <v>0.92963100753305361</v>
      </c>
      <c r="J78">
        <v>1198.7440649277828</v>
      </c>
      <c r="K78">
        <v>0.83420642425474201</v>
      </c>
      <c r="L78">
        <v>891.84521873286997</v>
      </c>
      <c r="M78">
        <v>1.1212707978866512</v>
      </c>
      <c r="N78">
        <v>881.186322115488</v>
      </c>
      <c r="O78">
        <v>1.1348337745407495</v>
      </c>
      <c r="Q78">
        <v>0.16011825814886141</v>
      </c>
      <c r="R78">
        <v>0.16078593121324744</v>
      </c>
      <c r="S78">
        <v>0.16095361235013889</v>
      </c>
      <c r="T78">
        <v>0.1621201816886286</v>
      </c>
      <c r="U78">
        <v>0.16261502827680971</v>
      </c>
      <c r="V78">
        <v>0.16100883183360373</v>
      </c>
      <c r="W78">
        <v>0.16063616968904901</v>
      </c>
      <c r="Y78">
        <v>2.0648459522763623</v>
      </c>
      <c r="Z78">
        <v>2.0905104087671891</v>
      </c>
      <c r="AA78">
        <v>2.146546018363475</v>
      </c>
      <c r="AB78">
        <v>2.2235906820229996</v>
      </c>
      <c r="AC78">
        <v>2.2730327637932071</v>
      </c>
      <c r="AD78">
        <v>2.1180968134942528</v>
      </c>
      <c r="AE78">
        <v>2.1182935931989046</v>
      </c>
      <c r="AG78">
        <v>0.80999839471615187</v>
      </c>
      <c r="AH78">
        <v>0.82163113592930603</v>
      </c>
      <c r="AI78">
        <v>0.84962527901523122</v>
      </c>
      <c r="AJ78">
        <v>0.87400495710711756</v>
      </c>
      <c r="AK78">
        <v>0.89845128097565019</v>
      </c>
      <c r="AL78">
        <v>0.83494187591405178</v>
      </c>
      <c r="AM78">
        <v>0.83585547544631467</v>
      </c>
      <c r="AO78">
        <v>82</v>
      </c>
      <c r="AP78">
        <v>15.26011239567687</v>
      </c>
      <c r="AQ78">
        <v>6.636415392224575</v>
      </c>
      <c r="AR78">
        <v>7.4757380391376067</v>
      </c>
      <c r="AS78">
        <v>862.81889344633532</v>
      </c>
      <c r="AT78">
        <v>25.946245889250378</v>
      </c>
      <c r="AU78">
        <v>11.466583796950948</v>
      </c>
      <c r="AV78">
        <v>15.956508084875816</v>
      </c>
      <c r="AW78">
        <v>6.7856771625692325</v>
      </c>
      <c r="AX78">
        <v>7.8798716246722913</v>
      </c>
      <c r="AY78">
        <v>909.86991831868397</v>
      </c>
      <c r="AZ78">
        <v>25.998640936825641</v>
      </c>
      <c r="BA78">
        <v>11.325028563712756</v>
      </c>
      <c r="BB78">
        <v>17.650176207157894</v>
      </c>
      <c r="BC78">
        <v>7.1831366630253237</v>
      </c>
      <c r="BD78">
        <v>8.5335672793281923</v>
      </c>
      <c r="BE78">
        <v>987.33104645674598</v>
      </c>
      <c r="BF78">
        <v>26.861173087660919</v>
      </c>
      <c r="BG78">
        <v>11.381512854240784</v>
      </c>
      <c r="BH78">
        <v>18.761806128825892</v>
      </c>
      <c r="BI78">
        <v>7.5476849731219007</v>
      </c>
      <c r="BJ78">
        <v>9.180600200187218</v>
      </c>
      <c r="BK78">
        <v>1063.9939185584674</v>
      </c>
      <c r="BL78">
        <v>27.080141595915297</v>
      </c>
      <c r="BM78">
        <v>11.411195959569667</v>
      </c>
      <c r="BN78">
        <v>19.20825502189394</v>
      </c>
      <c r="BO78">
        <v>7.6648779352735774</v>
      </c>
      <c r="BP78">
        <v>9.7423869561654719</v>
      </c>
      <c r="BQ78">
        <v>1198.6277918668507</v>
      </c>
      <c r="BR78">
        <v>25.370110530489985</v>
      </c>
      <c r="BS78">
        <v>10.665624934857005</v>
      </c>
      <c r="BU78">
        <v>82</v>
      </c>
      <c r="BV78">
        <v>14.746605826267515</v>
      </c>
      <c r="BW78">
        <v>5.6159007599540463</v>
      </c>
      <c r="BX78">
        <v>7.2588999214206238</v>
      </c>
      <c r="BY78">
        <v>871.16168198178514</v>
      </c>
      <c r="BZ78">
        <v>25.10831806569005</v>
      </c>
      <c r="CA78">
        <v>10.18533148845485</v>
      </c>
      <c r="CB78">
        <v>15.283576800411462</v>
      </c>
      <c r="CC78">
        <v>5.7091197684598827</v>
      </c>
      <c r="CD78">
        <v>7.6262006828557247</v>
      </c>
      <c r="CE78">
        <v>920.05197122532581</v>
      </c>
      <c r="CF78">
        <v>24.979512831773995</v>
      </c>
      <c r="CG78">
        <v>10.029591489079928</v>
      </c>
      <c r="CH78">
        <v>16.962836344277974</v>
      </c>
      <c r="CI78">
        <v>6.3257674537318858</v>
      </c>
      <c r="CJ78">
        <v>8.242528795488111</v>
      </c>
      <c r="CK78">
        <v>995.21730201936248</v>
      </c>
      <c r="CL78">
        <v>25.957678004992637</v>
      </c>
      <c r="CM78">
        <v>10.429834535918342</v>
      </c>
      <c r="CN78">
        <v>18.046508896320347</v>
      </c>
      <c r="CO78">
        <v>6.5515689698768007</v>
      </c>
      <c r="CP78">
        <v>8.8997769800019029</v>
      </c>
      <c r="CQ78">
        <v>1072.594203281305</v>
      </c>
      <c r="CR78">
        <v>26.196122124558432</v>
      </c>
      <c r="CS78">
        <v>10.391000685179852</v>
      </c>
      <c r="CT78">
        <v>18.308062920098898</v>
      </c>
      <c r="CU78">
        <v>6.5451377012426217</v>
      </c>
      <c r="CV78">
        <v>9.2933495137370468</v>
      </c>
      <c r="CW78">
        <v>1209.4328524689893</v>
      </c>
      <c r="CX78">
        <v>24.399144940161722</v>
      </c>
      <c r="CY78">
        <v>9.6444992433474521</v>
      </c>
      <c r="DA78">
        <v>82</v>
      </c>
      <c r="DB78">
        <v>13.236758866843026</v>
      </c>
      <c r="DC78">
        <v>5.062809947334455</v>
      </c>
      <c r="DD78">
        <v>7.0368437700091944</v>
      </c>
      <c r="DE78">
        <v>866.80450218697467</v>
      </c>
      <c r="DF78">
        <v>23.49267636132231</v>
      </c>
      <c r="DG78">
        <v>9.5984500281357654</v>
      </c>
      <c r="DH78">
        <v>13.758177349814723</v>
      </c>
      <c r="DI78">
        <v>5.4320983561981402</v>
      </c>
      <c r="DJ78">
        <v>7.3828554575285645</v>
      </c>
      <c r="DK78">
        <v>909.52270258319186</v>
      </c>
      <c r="DL78">
        <v>23.591550281904723</v>
      </c>
      <c r="DM78">
        <v>9.8411221428882314</v>
      </c>
      <c r="DN78">
        <v>15.362765773042238</v>
      </c>
      <c r="DO78">
        <v>5.6165474467820689</v>
      </c>
      <c r="DP78">
        <v>7.9735891294717165</v>
      </c>
      <c r="DQ78">
        <v>988.07655341223392</v>
      </c>
      <c r="DR78">
        <v>24.525892873272113</v>
      </c>
      <c r="DS78">
        <v>9.7874316994955475</v>
      </c>
      <c r="DT78">
        <v>16.228307401950676</v>
      </c>
      <c r="DU78">
        <v>5.7586362592646099</v>
      </c>
      <c r="DV78">
        <v>8.6180297378783894</v>
      </c>
      <c r="DW78">
        <v>1067.6619638045954</v>
      </c>
      <c r="DX78">
        <v>24.614164535031211</v>
      </c>
      <c r="DY78">
        <v>9.6963221895750653</v>
      </c>
      <c r="DZ78">
        <v>16.451656215414896</v>
      </c>
      <c r="EA78">
        <v>5.8705827347776882</v>
      </c>
      <c r="EB78">
        <v>9.0008807513274416</v>
      </c>
      <c r="EC78">
        <v>1204.2500228694066</v>
      </c>
      <c r="ED78">
        <v>22.962607625458912</v>
      </c>
      <c r="EE78">
        <v>9.1258617856331643</v>
      </c>
      <c r="EG78">
        <v>82</v>
      </c>
      <c r="EH78">
        <v>12.49243388070775</v>
      </c>
      <c r="EI78">
        <v>4.6745044125571988</v>
      </c>
      <c r="EJ78">
        <v>6.464744511545641</v>
      </c>
      <c r="EK78">
        <v>862.1730336344234</v>
      </c>
      <c r="EL78">
        <v>22.755562847491376</v>
      </c>
      <c r="EM78">
        <v>9.1996314593512203</v>
      </c>
      <c r="EN78">
        <v>13.035354692358661</v>
      </c>
      <c r="EO78">
        <v>4.8883294191793549</v>
      </c>
      <c r="EP78">
        <v>6.8183659374382719</v>
      </c>
      <c r="EQ78">
        <v>905.61578531736961</v>
      </c>
      <c r="ER78">
        <v>22.895170611235482</v>
      </c>
      <c r="ES78">
        <v>9.283136631597058</v>
      </c>
      <c r="ET78">
        <v>13.685832203077846</v>
      </c>
      <c r="EU78">
        <v>5.0832478765015336</v>
      </c>
      <c r="EV78">
        <v>7.3628858497483192</v>
      </c>
      <c r="EW78">
        <v>1001.1424653110329</v>
      </c>
      <c r="EX78">
        <v>22.530785488764753</v>
      </c>
      <c r="EY78">
        <v>9.1270049235958339</v>
      </c>
      <c r="EZ78">
        <v>14.52182420402278</v>
      </c>
      <c r="FA78">
        <v>5.2735938497949979</v>
      </c>
      <c r="FB78">
        <v>7.9520879640084283</v>
      </c>
      <c r="FC78">
        <v>1075.5358158481922</v>
      </c>
      <c r="FD78">
        <v>22.847332171429382</v>
      </c>
      <c r="FE78">
        <v>9.1743592688752607</v>
      </c>
      <c r="FF78">
        <v>14.723116079998155</v>
      </c>
      <c r="FG78">
        <v>5.3371457353739133</v>
      </c>
      <c r="FH78">
        <v>8.3098147630177497</v>
      </c>
      <c r="FI78">
        <v>1217.8190461479394</v>
      </c>
      <c r="FJ78">
        <v>21.287383133548165</v>
      </c>
      <c r="FK78">
        <v>8.5861543204816808</v>
      </c>
    </row>
    <row r="79" spans="2:167" x14ac:dyDescent="0.2">
      <c r="B79">
        <v>760.37007963357598</v>
      </c>
      <c r="C79">
        <v>1.3151490659415508</v>
      </c>
      <c r="D79">
        <v>821.5995076308227</v>
      </c>
      <c r="E79">
        <v>1.2171380224942148</v>
      </c>
      <c r="F79">
        <v>945.99168877323791</v>
      </c>
      <c r="G79">
        <v>1.057091739671413</v>
      </c>
      <c r="H79">
        <v>1072.375137585474</v>
      </c>
      <c r="I79">
        <v>0.93250949686465923</v>
      </c>
      <c r="J79">
        <v>1195.0513526641669</v>
      </c>
      <c r="K79">
        <v>0.83678412460742158</v>
      </c>
      <c r="L79">
        <v>888.86978575745241</v>
      </c>
      <c r="M79">
        <v>1.1250241779203325</v>
      </c>
      <c r="N79">
        <v>878.48622497352471</v>
      </c>
      <c r="O79">
        <v>1.138321776223796</v>
      </c>
      <c r="Q79">
        <v>0.16197112862574767</v>
      </c>
      <c r="R79">
        <v>0.16264026845204177</v>
      </c>
      <c r="S79">
        <v>0.16279609864263139</v>
      </c>
      <c r="T79">
        <v>0.16396556548174593</v>
      </c>
      <c r="U79">
        <v>0.16445897480671759</v>
      </c>
      <c r="V79">
        <v>0.16285438970827718</v>
      </c>
      <c r="W79">
        <v>0.16248731407333225</v>
      </c>
      <c r="Y79">
        <v>2.07294230717492</v>
      </c>
      <c r="Z79">
        <v>2.0997857399928401</v>
      </c>
      <c r="AA79">
        <v>2.1551357051529658</v>
      </c>
      <c r="AB79">
        <v>2.2346427047534445</v>
      </c>
      <c r="AC79">
        <v>2.2846381859143938</v>
      </c>
      <c r="AD79">
        <v>2.1270803354049441</v>
      </c>
      <c r="AE79">
        <v>2.1271898821195414</v>
      </c>
      <c r="AG79">
        <v>0.81358777886272571</v>
      </c>
      <c r="AH79">
        <v>0.82569963733121399</v>
      </c>
      <c r="AI79">
        <v>0.85342934382356972</v>
      </c>
      <c r="AJ79">
        <v>0.87878744284495658</v>
      </c>
      <c r="AK79">
        <v>0.90347180798706084</v>
      </c>
      <c r="AL79">
        <v>0.83890567624994627</v>
      </c>
      <c r="AM79">
        <v>0.83977201416816449</v>
      </c>
      <c r="AO79">
        <v>83</v>
      </c>
      <c r="AP79">
        <v>15.348254329494829</v>
      </c>
      <c r="AQ79">
        <v>6.6769657577623924</v>
      </c>
      <c r="AR79">
        <v>7.5026520671181913</v>
      </c>
      <c r="AS79">
        <v>866.22428550599557</v>
      </c>
      <c r="AT79">
        <v>25.920714449232044</v>
      </c>
      <c r="AU79">
        <v>11.456762814079388</v>
      </c>
      <c r="AV79">
        <v>16.051980849566565</v>
      </c>
      <c r="AW79">
        <v>6.8296424529989483</v>
      </c>
      <c r="AX79">
        <v>7.9080636229687187</v>
      </c>
      <c r="AY79">
        <v>913.61423499859927</v>
      </c>
      <c r="AZ79">
        <v>25.972676146957532</v>
      </c>
      <c r="BA79">
        <v>11.315807869775833</v>
      </c>
      <c r="BB79">
        <v>17.747958579133396</v>
      </c>
      <c r="BC79">
        <v>7.2293964491048239</v>
      </c>
      <c r="BD79">
        <v>8.5593912843299442</v>
      </c>
      <c r="BE79">
        <v>991.10307550125765</v>
      </c>
      <c r="BF79">
        <v>26.825973580582229</v>
      </c>
      <c r="BG79">
        <v>11.370415685887593</v>
      </c>
      <c r="BH79">
        <v>18.868519601252927</v>
      </c>
      <c r="BI79">
        <v>7.5986536469125099</v>
      </c>
      <c r="BJ79">
        <v>9.2073792858813537</v>
      </c>
      <c r="BK79">
        <v>1068.2507794185522</v>
      </c>
      <c r="BL79">
        <v>27.043081496814576</v>
      </c>
      <c r="BM79">
        <v>11.400161747225567</v>
      </c>
      <c r="BN79">
        <v>19.317644081070675</v>
      </c>
      <c r="BO79">
        <v>7.7168107489739874</v>
      </c>
      <c r="BP79">
        <v>9.7694527711654242</v>
      </c>
      <c r="BQ79">
        <v>1202.7018792447307</v>
      </c>
      <c r="BR79">
        <v>25.346434096792162</v>
      </c>
      <c r="BS79">
        <v>10.659563913359108</v>
      </c>
      <c r="BU79">
        <v>83</v>
      </c>
      <c r="BV79">
        <v>14.829590452869754</v>
      </c>
      <c r="BW79">
        <v>5.6528657174578862</v>
      </c>
      <c r="BX79">
        <v>7.2845630056231414</v>
      </c>
      <c r="BY79">
        <v>874.46533427380155</v>
      </c>
      <c r="BZ79">
        <v>25.083313903096403</v>
      </c>
      <c r="CA79">
        <v>10.177677483263629</v>
      </c>
      <c r="CB79">
        <v>15.373342838525808</v>
      </c>
      <c r="CC79">
        <v>5.7488621078715481</v>
      </c>
      <c r="CD79">
        <v>7.6531258644591684</v>
      </c>
      <c r="CE79">
        <v>923.65862183652303</v>
      </c>
      <c r="CF79">
        <v>24.95550638827671</v>
      </c>
      <c r="CG79">
        <v>10.022645365234784</v>
      </c>
      <c r="CH79">
        <v>17.054928543790837</v>
      </c>
      <c r="CI79">
        <v>6.3683468490821289</v>
      </c>
      <c r="CJ79">
        <v>8.2671825230655127</v>
      </c>
      <c r="CK79">
        <v>998.87679492938173</v>
      </c>
      <c r="CL79">
        <v>25.923392169220065</v>
      </c>
      <c r="CM79">
        <v>10.419908049544867</v>
      </c>
      <c r="CN79">
        <v>18.147211631568272</v>
      </c>
      <c r="CO79">
        <v>6.5979632165754145</v>
      </c>
      <c r="CP79">
        <v>8.925323889229869</v>
      </c>
      <c r="CQ79">
        <v>1076.7446684926629</v>
      </c>
      <c r="CR79">
        <v>26.159855480499999</v>
      </c>
      <c r="CS79">
        <v>10.380865184391062</v>
      </c>
      <c r="CT79">
        <v>18.410920416964348</v>
      </c>
      <c r="CU79">
        <v>6.5919749817854241</v>
      </c>
      <c r="CV79">
        <v>9.3192967750042808</v>
      </c>
      <c r="CW79">
        <v>1213.3504664046864</v>
      </c>
      <c r="CX79">
        <v>24.376699952075846</v>
      </c>
      <c r="CY79">
        <v>9.6389642623147864</v>
      </c>
      <c r="DA79">
        <v>83</v>
      </c>
      <c r="DB79">
        <v>13.271546993723602</v>
      </c>
      <c r="DC79">
        <v>5.097512186617517</v>
      </c>
      <c r="DD79">
        <v>7.0519642767998683</v>
      </c>
      <c r="DE79">
        <v>870.36037522325478</v>
      </c>
      <c r="DF79">
        <v>23.411503554022676</v>
      </c>
      <c r="DG79">
        <v>9.5876062941769664</v>
      </c>
      <c r="DH79">
        <v>13.801126614756283</v>
      </c>
      <c r="DI79">
        <v>5.4724224886008495</v>
      </c>
      <c r="DJ79">
        <v>7.4018881788499327</v>
      </c>
      <c r="DK79">
        <v>913.60177063574884</v>
      </c>
      <c r="DL79">
        <v>23.50931566070923</v>
      </c>
      <c r="DM79">
        <v>9.8303916154722604</v>
      </c>
      <c r="DN79">
        <v>15.406838975702906</v>
      </c>
      <c r="DO79">
        <v>5.6579040270167011</v>
      </c>
      <c r="DP79">
        <v>7.9904782934893444</v>
      </c>
      <c r="DQ79">
        <v>992.0860574303257</v>
      </c>
      <c r="DR79">
        <v>24.439598897702332</v>
      </c>
      <c r="DS79">
        <v>9.7751212823630347</v>
      </c>
      <c r="DT79">
        <v>16.292835097773505</v>
      </c>
      <c r="DU79">
        <v>5.8094191594682689</v>
      </c>
      <c r="DV79">
        <v>8.6439204378939092</v>
      </c>
      <c r="DW79">
        <v>1072.8294490466892</v>
      </c>
      <c r="DX79">
        <v>24.526832672941509</v>
      </c>
      <c r="DY79">
        <v>9.6837360251050573</v>
      </c>
      <c r="DZ79">
        <v>16.519552831274833</v>
      </c>
      <c r="EA79">
        <v>5.9232550705200877</v>
      </c>
      <c r="EB79">
        <v>9.0288248569048761</v>
      </c>
      <c r="EC79">
        <v>1209.3621034333173</v>
      </c>
      <c r="ED79">
        <v>22.893153830411379</v>
      </c>
      <c r="EE79">
        <v>9.1178000706059112</v>
      </c>
      <c r="EG79">
        <v>83</v>
      </c>
      <c r="EH79">
        <v>12.517261533584787</v>
      </c>
      <c r="EI79">
        <v>4.706375675507557</v>
      </c>
      <c r="EJ79">
        <v>6.479185334811306</v>
      </c>
      <c r="EK79">
        <v>865.80795927195572</v>
      </c>
      <c r="EL79">
        <v>22.663408608741463</v>
      </c>
      <c r="EM79">
        <v>9.1862589335292615</v>
      </c>
      <c r="EN79">
        <v>13.067504514570714</v>
      </c>
      <c r="EO79">
        <v>4.9246673622822899</v>
      </c>
      <c r="EP79">
        <v>6.8364417355172398</v>
      </c>
      <c r="EQ79">
        <v>909.73485549501027</v>
      </c>
      <c r="ER79">
        <v>22.802831164015899</v>
      </c>
      <c r="ES79">
        <v>9.2700724927494793</v>
      </c>
      <c r="ET79">
        <v>13.747419901338933</v>
      </c>
      <c r="EU79">
        <v>5.120677935966496</v>
      </c>
      <c r="EV79">
        <v>7.3789680230361103</v>
      </c>
      <c r="EW79">
        <v>1005.0513416237117</v>
      </c>
      <c r="EX79">
        <v>22.47324619729973</v>
      </c>
      <c r="EY79">
        <v>9.114495014825108</v>
      </c>
      <c r="EZ79">
        <v>14.58429789258733</v>
      </c>
      <c r="FA79">
        <v>5.3199915178000809</v>
      </c>
      <c r="FB79">
        <v>7.9765017975831993</v>
      </c>
      <c r="FC79">
        <v>1080.5969515835479</v>
      </c>
      <c r="FD79">
        <v>22.769424938807688</v>
      </c>
      <c r="FE79">
        <v>9.1612043957292677</v>
      </c>
      <c r="FF79">
        <v>14.785051050835811</v>
      </c>
      <c r="FG79">
        <v>5.3849907159348041</v>
      </c>
      <c r="FH79">
        <v>8.3361341068622963</v>
      </c>
      <c r="FI79">
        <v>1222.2773621455592</v>
      </c>
      <c r="FJ79">
        <v>21.232178304092038</v>
      </c>
      <c r="FK79">
        <v>8.5810781106801457</v>
      </c>
    </row>
    <row r="80" spans="2:167" x14ac:dyDescent="0.2">
      <c r="B80">
        <v>757.81671071632604</v>
      </c>
      <c r="C80">
        <v>1.3195802967379147</v>
      </c>
      <c r="D80">
        <v>819.02576355249005</v>
      </c>
      <c r="E80">
        <v>1.2209628127722647</v>
      </c>
      <c r="F80">
        <v>942.3121124186664</v>
      </c>
      <c r="G80">
        <v>1.0612195119017032</v>
      </c>
      <c r="H80">
        <v>1068.6722763441094</v>
      </c>
      <c r="I80">
        <v>0.93574056531246907</v>
      </c>
      <c r="J80">
        <v>1190.913146516079</v>
      </c>
      <c r="K80">
        <v>0.83969179694205232</v>
      </c>
      <c r="L80">
        <v>885.59800733025679</v>
      </c>
      <c r="M80">
        <v>1.1291804991913001</v>
      </c>
      <c r="N80">
        <v>875.52331277066821</v>
      </c>
      <c r="O80">
        <v>1.1421740408435439</v>
      </c>
      <c r="Q80">
        <v>0.16382220350378229</v>
      </c>
      <c r="R80">
        <v>0.164492580377433</v>
      </c>
      <c r="S80">
        <v>0.16463596733470973</v>
      </c>
      <c r="T80">
        <v>0.16580788598832885</v>
      </c>
      <c r="U80">
        <v>0.16629953568408243</v>
      </c>
      <c r="V80">
        <v>0.16469742381332886</v>
      </c>
      <c r="W80">
        <v>0.16433635079428918</v>
      </c>
      <c r="Y80">
        <v>2.0806277472332635</v>
      </c>
      <c r="Z80">
        <v>2.108677334706484</v>
      </c>
      <c r="AA80">
        <v>2.163288371322627</v>
      </c>
      <c r="AB80">
        <v>2.2452973625230923</v>
      </c>
      <c r="AC80">
        <v>2.295845486181785</v>
      </c>
      <c r="AD80">
        <v>2.135660511973732</v>
      </c>
      <c r="AE80">
        <v>2.1356717226058115</v>
      </c>
      <c r="AG80">
        <v>0.81705776081076165</v>
      </c>
      <c r="AH80">
        <v>0.82965899231866969</v>
      </c>
      <c r="AI80">
        <v>0.85710098101123822</v>
      </c>
      <c r="AJ80">
        <v>0.8834558196003176</v>
      </c>
      <c r="AK80">
        <v>0.90837635510541126</v>
      </c>
      <c r="AL80">
        <v>0.84275231841776665</v>
      </c>
      <c r="AM80">
        <v>0.84356545656001203</v>
      </c>
      <c r="AO80">
        <v>84</v>
      </c>
      <c r="AP80">
        <v>15.433992341864585</v>
      </c>
      <c r="AQ80">
        <v>6.7164523059482848</v>
      </c>
      <c r="AR80">
        <v>7.5281607949012281</v>
      </c>
      <c r="AS80">
        <v>869.43050451669853</v>
      </c>
      <c r="AT80">
        <v>25.896298289319461</v>
      </c>
      <c r="AU80">
        <v>11.447388281591174</v>
      </c>
      <c r="AV80">
        <v>16.14493812239099</v>
      </c>
      <c r="AW80">
        <v>6.8725716318390706</v>
      </c>
      <c r="AX80">
        <v>7.9346970294840551</v>
      </c>
      <c r="AY80">
        <v>917.14477054753968</v>
      </c>
      <c r="AZ80">
        <v>25.947828108770647</v>
      </c>
      <c r="BA80">
        <v>11.307071127820867</v>
      </c>
      <c r="BB80">
        <v>17.842490746529144</v>
      </c>
      <c r="BC80">
        <v>7.274495645849103</v>
      </c>
      <c r="BD80">
        <v>8.5832678407505654</v>
      </c>
      <c r="BE80">
        <v>994.63528812125173</v>
      </c>
      <c r="BF80">
        <v>26.791182097815021</v>
      </c>
      <c r="BG80">
        <v>11.359580397830856</v>
      </c>
      <c r="BH80">
        <v>18.971683095869487</v>
      </c>
      <c r="BI80">
        <v>7.6484153557437526</v>
      </c>
      <c r="BJ80">
        <v>9.2319119935458893</v>
      </c>
      <c r="BK80">
        <v>1072.2394223309329</v>
      </c>
      <c r="BL80">
        <v>27.006428082152276</v>
      </c>
      <c r="BM80">
        <v>11.38941551442243</v>
      </c>
      <c r="BN80">
        <v>19.423396513976396</v>
      </c>
      <c r="BO80">
        <v>7.7675278540611687</v>
      </c>
      <c r="BP80">
        <v>9.7940410628737045</v>
      </c>
      <c r="BQ80">
        <v>1206.4538636368209</v>
      </c>
      <c r="BR80">
        <v>25.323213656033762</v>
      </c>
      <c r="BS80">
        <v>10.653803542484507</v>
      </c>
      <c r="BU80">
        <v>84</v>
      </c>
      <c r="BV80">
        <v>14.910117953117943</v>
      </c>
      <c r="BW80">
        <v>5.6890880234890613</v>
      </c>
      <c r="BX80">
        <v>7.3088311088520737</v>
      </c>
      <c r="BY80">
        <v>877.55989217217507</v>
      </c>
      <c r="BZ80">
        <v>25.059437531514583</v>
      </c>
      <c r="CA80">
        <v>10.170638341858041</v>
      </c>
      <c r="CB80">
        <v>15.460596845355305</v>
      </c>
      <c r="CC80">
        <v>5.7878984773341022</v>
      </c>
      <c r="CD80">
        <v>7.6785193685381659</v>
      </c>
      <c r="CE80">
        <v>927.04153725814444</v>
      </c>
      <c r="CF80">
        <v>24.932619144932179</v>
      </c>
      <c r="CG80">
        <v>10.016323570622653</v>
      </c>
      <c r="CH80">
        <v>17.143781848639765</v>
      </c>
      <c r="CI80">
        <v>6.4100153989694491</v>
      </c>
      <c r="CJ80">
        <v>8.2899362261623093</v>
      </c>
      <c r="CK80">
        <v>1002.287839160601</v>
      </c>
      <c r="CL80">
        <v>25.889515180401087</v>
      </c>
      <c r="CM80">
        <v>10.410342086752038</v>
      </c>
      <c r="CN80">
        <v>18.244380986094217</v>
      </c>
      <c r="CO80">
        <v>6.6434395194687115</v>
      </c>
      <c r="CP80">
        <v>8.9486660620912382</v>
      </c>
      <c r="CQ80">
        <v>1080.6178309128459</v>
      </c>
      <c r="CR80">
        <v>26.123994930202468</v>
      </c>
      <c r="CS80">
        <v>10.371108226234808</v>
      </c>
      <c r="CT80">
        <v>18.510225814819407</v>
      </c>
      <c r="CU80">
        <v>6.6379244424911059</v>
      </c>
      <c r="CV80">
        <v>9.3428891675333006</v>
      </c>
      <c r="CW80">
        <v>1216.9359623855635</v>
      </c>
      <c r="CX80">
        <v>24.354706551498364</v>
      </c>
      <c r="CY80">
        <v>9.6338011177728493</v>
      </c>
      <c r="DA80">
        <v>84</v>
      </c>
      <c r="DB80">
        <v>13.302969823748155</v>
      </c>
      <c r="DC80">
        <v>5.1315780432327198</v>
      </c>
      <c r="DD80">
        <v>7.0654295444262036</v>
      </c>
      <c r="DE80">
        <v>873.71987306527683</v>
      </c>
      <c r="DF80">
        <v>23.330142528598056</v>
      </c>
      <c r="DG80">
        <v>9.5772507462716465</v>
      </c>
      <c r="DH80">
        <v>13.840746011094582</v>
      </c>
      <c r="DI80">
        <v>5.5121193482495405</v>
      </c>
      <c r="DJ80">
        <v>7.4192434864483392</v>
      </c>
      <c r="DK80">
        <v>917.48058682025032</v>
      </c>
      <c r="DL80">
        <v>23.426896497309791</v>
      </c>
      <c r="DM80">
        <v>9.8201193583026853</v>
      </c>
      <c r="DN80">
        <v>15.446828435608351</v>
      </c>
      <c r="DO80">
        <v>5.6985614072273361</v>
      </c>
      <c r="DP80">
        <v>8.0053251104122172</v>
      </c>
      <c r="DQ80">
        <v>995.86018252725773</v>
      </c>
      <c r="DR80">
        <v>24.35260816684432</v>
      </c>
      <c r="DS80">
        <v>9.7631228297905466</v>
      </c>
      <c r="DT80">
        <v>16.353510371619894</v>
      </c>
      <c r="DU80">
        <v>5.8597201160317764</v>
      </c>
      <c r="DV80">
        <v>8.6677561705833597</v>
      </c>
      <c r="DW80">
        <v>1077.7609577286407</v>
      </c>
      <c r="DX80">
        <v>24.438799654877595</v>
      </c>
      <c r="DY80">
        <v>9.6714257437257487</v>
      </c>
      <c r="DZ80">
        <v>16.583633510957835</v>
      </c>
      <c r="EA80">
        <v>5.9754636725279209</v>
      </c>
      <c r="EB80">
        <v>9.0546234151359926</v>
      </c>
      <c r="EC80">
        <v>1214.1886400945918</v>
      </c>
      <c r="ED80">
        <v>22.823081222243356</v>
      </c>
      <c r="EE80">
        <v>9.1099997969533817</v>
      </c>
      <c r="EG80">
        <v>84</v>
      </c>
      <c r="EH80">
        <v>12.538692540625718</v>
      </c>
      <c r="EI80">
        <v>4.7376437807188871</v>
      </c>
      <c r="EJ80">
        <v>6.4921674238522886</v>
      </c>
      <c r="EK80">
        <v>869.25083000967754</v>
      </c>
      <c r="EL80">
        <v>22.57085205813452</v>
      </c>
      <c r="EM80">
        <v>9.1733016162252987</v>
      </c>
      <c r="EN80">
        <v>13.096244438621737</v>
      </c>
      <c r="EO80">
        <v>4.9604453012372938</v>
      </c>
      <c r="EP80">
        <v>6.853022830620537</v>
      </c>
      <c r="EQ80">
        <v>913.66044868777033</v>
      </c>
      <c r="ER80">
        <v>22.709991663814414</v>
      </c>
      <c r="ES80">
        <v>9.2573721852970667</v>
      </c>
      <c r="ET80">
        <v>13.806275956581713</v>
      </c>
      <c r="EU80">
        <v>5.1574752168576863</v>
      </c>
      <c r="EV80">
        <v>7.3932188232552427</v>
      </c>
      <c r="EW80">
        <v>1008.6903715074559</v>
      </c>
      <c r="EX80">
        <v>22.416433202618908</v>
      </c>
      <c r="EY80">
        <v>9.1025148571805659</v>
      </c>
      <c r="EZ80">
        <v>14.643585887334435</v>
      </c>
      <c r="FA80">
        <v>5.365938423293608</v>
      </c>
      <c r="FB80">
        <v>7.9990751983408455</v>
      </c>
      <c r="FC80">
        <v>1085.3979400420474</v>
      </c>
      <c r="FD80">
        <v>22.691456035506825</v>
      </c>
      <c r="FE80">
        <v>9.14844502011535</v>
      </c>
      <c r="FF80">
        <v>14.843689034791256</v>
      </c>
      <c r="FG80">
        <v>5.4324105178816913</v>
      </c>
      <c r="FH80">
        <v>8.3605277081714728</v>
      </c>
      <c r="FI80">
        <v>1226.4558482245141</v>
      </c>
      <c r="FJ80">
        <v>21.176124288073972</v>
      </c>
      <c r="FK80">
        <v>8.5760976437148937</v>
      </c>
    </row>
    <row r="81" spans="2:167" x14ac:dyDescent="0.2">
      <c r="B81">
        <v>755.05385787045816</v>
      </c>
      <c r="C81">
        <v>1.3244088346497349</v>
      </c>
      <c r="D81">
        <v>816.21646970043798</v>
      </c>
      <c r="E81">
        <v>1.2251651824264376</v>
      </c>
      <c r="F81">
        <v>938.30793409844034</v>
      </c>
      <c r="G81">
        <v>1.0657482087272721</v>
      </c>
      <c r="H81">
        <v>1064.5872122484209</v>
      </c>
      <c r="I81">
        <v>0.9393312154182164</v>
      </c>
      <c r="J81">
        <v>1186.329701535924</v>
      </c>
      <c r="K81">
        <v>0.84293598879410547</v>
      </c>
      <c r="L81">
        <v>882.03001387306222</v>
      </c>
      <c r="M81">
        <v>1.1337482673734904</v>
      </c>
      <c r="N81">
        <v>872.29767119307428</v>
      </c>
      <c r="O81">
        <v>1.1463976495916381</v>
      </c>
      <c r="Q81">
        <v>0.16567148325421849</v>
      </c>
      <c r="R81">
        <v>0.16634286760224143</v>
      </c>
      <c r="S81">
        <v>0.16647321954268393</v>
      </c>
      <c r="T81">
        <v>0.16764714464412442</v>
      </c>
      <c r="U81">
        <v>0.16813671284724471</v>
      </c>
      <c r="V81">
        <v>0.16653793525947103</v>
      </c>
      <c r="W81">
        <v>0.16618328053908579</v>
      </c>
      <c r="Y81">
        <v>2.0879022730727939</v>
      </c>
      <c r="Z81">
        <v>2.117185193946272</v>
      </c>
      <c r="AA81">
        <v>2.171004018724628</v>
      </c>
      <c r="AB81">
        <v>2.2555546580930952</v>
      </c>
      <c r="AC81">
        <v>2.3066546689179757</v>
      </c>
      <c r="AD81">
        <v>2.143837345605776</v>
      </c>
      <c r="AE81">
        <v>2.1437391159398884</v>
      </c>
      <c r="AG81">
        <v>0.82040834069111324</v>
      </c>
      <c r="AH81">
        <v>0.83350920107822313</v>
      </c>
      <c r="AI81">
        <v>0.8606401910518785</v>
      </c>
      <c r="AJ81">
        <v>0.88801008789428815</v>
      </c>
      <c r="AK81">
        <v>0.91316492329381704</v>
      </c>
      <c r="AL81">
        <v>0.84648180300355624</v>
      </c>
      <c r="AM81">
        <v>0.84723580293225498</v>
      </c>
      <c r="AO81">
        <v>85</v>
      </c>
      <c r="AP81">
        <v>15.517326441244538</v>
      </c>
      <c r="AQ81">
        <v>6.754875041004313</v>
      </c>
      <c r="AR81">
        <v>7.5522642279854084</v>
      </c>
      <c r="AS81">
        <v>872.43657800184963</v>
      </c>
      <c r="AT81">
        <v>25.872997829692377</v>
      </c>
      <c r="AU81">
        <v>11.438461880972335</v>
      </c>
      <c r="AV81">
        <v>16.235379916425494</v>
      </c>
      <c r="AW81">
        <v>6.9144647044463037</v>
      </c>
      <c r="AX81">
        <v>7.9597718524457699</v>
      </c>
      <c r="AY81">
        <v>920.46047359274246</v>
      </c>
      <c r="AZ81">
        <v>25.924097007846282</v>
      </c>
      <c r="BA81">
        <v>11.298819924019414</v>
      </c>
      <c r="BB81">
        <v>17.93377274340056</v>
      </c>
      <c r="BC81">
        <v>7.3184342646379479</v>
      </c>
      <c r="BD81">
        <v>8.6051969649729134</v>
      </c>
      <c r="BE81">
        <v>997.92661998577148</v>
      </c>
      <c r="BF81">
        <v>26.756799092098674</v>
      </c>
      <c r="BG81">
        <v>11.349009105866738</v>
      </c>
      <c r="BH81">
        <v>19.071296661040027</v>
      </c>
      <c r="BI81">
        <v>7.6969701157056996</v>
      </c>
      <c r="BJ81">
        <v>9.2541983454117815</v>
      </c>
      <c r="BK81">
        <v>1075.958651755748</v>
      </c>
      <c r="BL81">
        <v>26.97018098691472</v>
      </c>
      <c r="BM81">
        <v>11.378959391826065</v>
      </c>
      <c r="BN81">
        <v>19.525512395775728</v>
      </c>
      <c r="BO81">
        <v>7.8170292757801203</v>
      </c>
      <c r="BP81">
        <v>9.8161518664176413</v>
      </c>
      <c r="BQ81">
        <v>1209.8824881168375</v>
      </c>
      <c r="BR81">
        <v>25.300454736370529</v>
      </c>
      <c r="BS81">
        <v>10.648348407986179</v>
      </c>
      <c r="BU81">
        <v>85</v>
      </c>
      <c r="BV81">
        <v>14.988188336069319</v>
      </c>
      <c r="BW81">
        <v>5.7245676800294039</v>
      </c>
      <c r="BX81">
        <v>7.3317042364895917</v>
      </c>
      <c r="BY81">
        <v>880.44436770386994</v>
      </c>
      <c r="BZ81">
        <v>25.036688736505148</v>
      </c>
      <c r="CA81">
        <v>10.164214240365411</v>
      </c>
      <c r="CB81">
        <v>15.545338834243175</v>
      </c>
      <c r="CC81">
        <v>5.8262288798247139</v>
      </c>
      <c r="CD81">
        <v>7.7023812030843866</v>
      </c>
      <c r="CE81">
        <v>930.19965758172975</v>
      </c>
      <c r="CF81">
        <v>24.910851491136043</v>
      </c>
      <c r="CG81">
        <v>10.010626469040888</v>
      </c>
      <c r="CH81">
        <v>17.229396293040285</v>
      </c>
      <c r="CI81">
        <v>6.4507731118291503</v>
      </c>
      <c r="CJ81">
        <v>8.3107899205403424</v>
      </c>
      <c r="CK81">
        <v>1005.4493403160644</v>
      </c>
      <c r="CL81">
        <v>25.856047228678804</v>
      </c>
      <c r="CM81">
        <v>10.401137804823771</v>
      </c>
      <c r="CN81">
        <v>18.33801700821401</v>
      </c>
      <c r="CO81">
        <v>6.687997890373568</v>
      </c>
      <c r="CP81">
        <v>8.9698035200056481</v>
      </c>
      <c r="CQ81">
        <v>1084.2124613800129</v>
      </c>
      <c r="CR81">
        <v>26.088539771495277</v>
      </c>
      <c r="CS81">
        <v>10.361730731245357</v>
      </c>
      <c r="CT81">
        <v>18.605979187016381</v>
      </c>
      <c r="CU81">
        <v>6.6829861017015331</v>
      </c>
      <c r="CV81">
        <v>9.3641267248983162</v>
      </c>
      <c r="CW81">
        <v>1220.1880605682793</v>
      </c>
      <c r="CX81">
        <v>24.333170334694163</v>
      </c>
      <c r="CY81">
        <v>9.6290133232730746</v>
      </c>
      <c r="DA81">
        <v>85</v>
      </c>
      <c r="DB81">
        <v>13.331027355415976</v>
      </c>
      <c r="DC81">
        <v>5.1650075194233027</v>
      </c>
      <c r="DD81">
        <v>7.0772395712455793</v>
      </c>
      <c r="DE81">
        <v>876.88103920309436</v>
      </c>
      <c r="DF81">
        <v>23.248593243485427</v>
      </c>
      <c r="DG81">
        <v>9.5673924333948452</v>
      </c>
      <c r="DH81">
        <v>13.877035541846027</v>
      </c>
      <c r="DI81">
        <v>5.5511889382437341</v>
      </c>
      <c r="DJ81">
        <v>7.4349213811205477</v>
      </c>
      <c r="DK81">
        <v>921.15716113092037</v>
      </c>
      <c r="DL81">
        <v>23.344292529112387</v>
      </c>
      <c r="DM81">
        <v>9.810314410414799</v>
      </c>
      <c r="DN81">
        <v>15.482734156282564</v>
      </c>
      <c r="DO81">
        <v>5.7385195938279718</v>
      </c>
      <c r="DP81">
        <v>8.018129577851095</v>
      </c>
      <c r="DQ81">
        <v>999.39678245117932</v>
      </c>
      <c r="DR81">
        <v>24.264920518375813</v>
      </c>
      <c r="DS81">
        <v>9.7514458696703219</v>
      </c>
      <c r="DT81">
        <v>16.410333243191097</v>
      </c>
      <c r="DU81">
        <v>5.9095391349257982</v>
      </c>
      <c r="DV81">
        <v>8.6895369427224072</v>
      </c>
      <c r="DW81">
        <v>1082.4544349541766</v>
      </c>
      <c r="DX81">
        <v>24.35006528062878</v>
      </c>
      <c r="DY81">
        <v>9.6593985734607912</v>
      </c>
      <c r="DZ81">
        <v>16.643898287220303</v>
      </c>
      <c r="EA81">
        <v>6.0272085505399096</v>
      </c>
      <c r="EB81">
        <v>9.0782764392517024</v>
      </c>
      <c r="EC81">
        <v>1218.7274279818685</v>
      </c>
      <c r="ED81">
        <v>22.752391044722195</v>
      </c>
      <c r="EE81">
        <v>9.1024697452809864</v>
      </c>
      <c r="EG81">
        <v>85</v>
      </c>
      <c r="EH81">
        <v>12.556726896633506</v>
      </c>
      <c r="EI81">
        <v>4.7683087303391343</v>
      </c>
      <c r="EJ81">
        <v>6.5036907774842785</v>
      </c>
      <c r="EK81">
        <v>872.49948633491545</v>
      </c>
      <c r="EL81">
        <v>22.47789305522511</v>
      </c>
      <c r="EM81">
        <v>9.1607689810224624</v>
      </c>
      <c r="EN81">
        <v>13.121574463810177</v>
      </c>
      <c r="EO81">
        <v>4.9956632387960944</v>
      </c>
      <c r="EP81">
        <v>6.8681092236638346</v>
      </c>
      <c r="EQ81">
        <v>917.39047603602762</v>
      </c>
      <c r="ER81">
        <v>22.616652013156767</v>
      </c>
      <c r="ES81">
        <v>9.2450443886216416</v>
      </c>
      <c r="ET81">
        <v>13.862400391611981</v>
      </c>
      <c r="EU81">
        <v>5.193639724979727</v>
      </c>
      <c r="EV81">
        <v>7.4056382487846717</v>
      </c>
      <c r="EW81">
        <v>1012.0571996052687</v>
      </c>
      <c r="EX81">
        <v>22.3603465660381</v>
      </c>
      <c r="EY81">
        <v>9.0910709010672992</v>
      </c>
      <c r="EZ81">
        <v>14.699688208877769</v>
      </c>
      <c r="FA81">
        <v>5.4114345718708483</v>
      </c>
      <c r="FB81">
        <v>8.0198081727198112</v>
      </c>
      <c r="FC81">
        <v>1089.9362075047895</v>
      </c>
      <c r="FD81">
        <v>22.613425400879439</v>
      </c>
      <c r="FE81">
        <v>9.1360890602709635</v>
      </c>
      <c r="FF81">
        <v>14.899030060688398</v>
      </c>
      <c r="FG81">
        <v>5.4794051501321785</v>
      </c>
      <c r="FH81">
        <v>8.3829955793372939</v>
      </c>
      <c r="FI81">
        <v>1230.3528678330599</v>
      </c>
      <c r="FJ81">
        <v>21.119221543006731</v>
      </c>
      <c r="FK81">
        <v>8.5712208393634768</v>
      </c>
    </row>
    <row r="82" spans="2:167" x14ac:dyDescent="0.2">
      <c r="B82">
        <v>752.0815805928969</v>
      </c>
      <c r="C82">
        <v>1.329642987947742</v>
      </c>
      <c r="D82">
        <v>813.17170388156035</v>
      </c>
      <c r="E82">
        <v>1.2297525789776516</v>
      </c>
      <c r="F82">
        <v>933.97930448604154</v>
      </c>
      <c r="G82">
        <v>1.0706875357910515</v>
      </c>
      <c r="H82">
        <v>1060.1201429691018</v>
      </c>
      <c r="I82">
        <v>0.94328931171827191</v>
      </c>
      <c r="J82">
        <v>1181.3013001325787</v>
      </c>
      <c r="K82">
        <v>0.84652408313422567</v>
      </c>
      <c r="L82">
        <v>878.16594758286362</v>
      </c>
      <c r="M82">
        <v>1.1387369354875152</v>
      </c>
      <c r="N82">
        <v>868.80939350904362</v>
      </c>
      <c r="O82">
        <v>1.1510004466699988</v>
      </c>
      <c r="Q82">
        <v>0.16751896838690236</v>
      </c>
      <c r="R82">
        <v>0.16819113079526693</v>
      </c>
      <c r="S82">
        <v>0.1683078564810716</v>
      </c>
      <c r="T82">
        <v>0.16948334303268486</v>
      </c>
      <c r="U82">
        <v>0.16997050844244793</v>
      </c>
      <c r="V82">
        <v>0.16837592525769726</v>
      </c>
      <c r="W82">
        <v>0.16802810405569352</v>
      </c>
      <c r="Y82">
        <v>2.0947658853658004</v>
      </c>
      <c r="Z82">
        <v>2.1253093188451864</v>
      </c>
      <c r="AA82">
        <v>2.1782826493740819</v>
      </c>
      <c r="AB82">
        <v>2.2654145945088562</v>
      </c>
      <c r="AC82">
        <v>2.3170657389091986</v>
      </c>
      <c r="AD82">
        <v>2.1516108389233857</v>
      </c>
      <c r="AE82">
        <v>2.1513920635174006</v>
      </c>
      <c r="AG82">
        <v>0.82363951864535145</v>
      </c>
      <c r="AH82">
        <v>0.83725026381346601</v>
      </c>
      <c r="AI82">
        <v>0.8640469744608007</v>
      </c>
      <c r="AJ82">
        <v>0.89245024830160036</v>
      </c>
      <c r="AK82">
        <v>0.91783751361869714</v>
      </c>
      <c r="AL82">
        <v>0.85009413064627015</v>
      </c>
      <c r="AM82">
        <v>0.85078305362275786</v>
      </c>
      <c r="AO82">
        <v>86</v>
      </c>
      <c r="AP82">
        <v>15.598256636785784</v>
      </c>
      <c r="AQ82">
        <v>6.7922339674983032</v>
      </c>
      <c r="AR82">
        <v>7.5749623723197326</v>
      </c>
      <c r="AS82">
        <v>875.24158315587567</v>
      </c>
      <c r="AT82">
        <v>25.850813491132193</v>
      </c>
      <c r="AU82">
        <v>11.429985217736863</v>
      </c>
      <c r="AV82">
        <v>16.323306245940973</v>
      </c>
      <c r="AW82">
        <v>6.9553216766666717</v>
      </c>
      <c r="AX82">
        <v>7.9832881008328904</v>
      </c>
      <c r="AY82">
        <v>923.56034667934875</v>
      </c>
      <c r="AZ82">
        <v>25.901483030340213</v>
      </c>
      <c r="BA82">
        <v>11.291055831474937</v>
      </c>
      <c r="BB82">
        <v>18.02180460679908</v>
      </c>
      <c r="BC82">
        <v>7.3612123178522797</v>
      </c>
      <c r="BD82">
        <v>8.6251786748211323</v>
      </c>
      <c r="BE82">
        <v>1000.9760272781674</v>
      </c>
      <c r="BF82">
        <v>26.722825021745734</v>
      </c>
      <c r="BG82">
        <v>11.338704053204923</v>
      </c>
      <c r="BH82">
        <v>19.167360350107977</v>
      </c>
      <c r="BI82">
        <v>7.7443179445448278</v>
      </c>
      <c r="BJ82">
        <v>9.2742383659985741</v>
      </c>
      <c r="BK82">
        <v>1079.4072970768502</v>
      </c>
      <c r="BL82">
        <v>26.934339840711075</v>
      </c>
      <c r="BM82">
        <v>11.368795679190857</v>
      </c>
      <c r="BN82">
        <v>19.623991809695351</v>
      </c>
      <c r="BO82">
        <v>7.865315042083556</v>
      </c>
      <c r="BP82">
        <v>9.8357852206922445</v>
      </c>
      <c r="BQ82">
        <v>1212.9865275594341</v>
      </c>
      <c r="BR82">
        <v>25.278162998089673</v>
      </c>
      <c r="BS82">
        <v>10.643203325823555</v>
      </c>
      <c r="BU82">
        <v>86</v>
      </c>
      <c r="BV82">
        <v>15.063801611522857</v>
      </c>
      <c r="BW82">
        <v>5.7593046892230433</v>
      </c>
      <c r="BX82">
        <v>7.3531823943586341</v>
      </c>
      <c r="BY82">
        <v>883.1178278488203</v>
      </c>
      <c r="BZ82">
        <v>25.015067303527086</v>
      </c>
      <c r="CA82">
        <v>10.158405590109719</v>
      </c>
      <c r="CB82">
        <v>15.627568819751545</v>
      </c>
      <c r="CC82">
        <v>5.863853318592505</v>
      </c>
      <c r="CD82">
        <v>7.7247113768195099</v>
      </c>
      <c r="CE82">
        <v>933.13198201186174</v>
      </c>
      <c r="CF82">
        <v>24.890203817411976</v>
      </c>
      <c r="CG82">
        <v>10.005554691083372</v>
      </c>
      <c r="CH82">
        <v>17.311771914218038</v>
      </c>
      <c r="CI82">
        <v>6.4906199968386353</v>
      </c>
      <c r="CJ82">
        <v>8.3297436233481079</v>
      </c>
      <c r="CK82">
        <v>1008.3602263478527</v>
      </c>
      <c r="CL82">
        <v>25.822988506443743</v>
      </c>
      <c r="CM82">
        <v>10.392296664259035</v>
      </c>
      <c r="CN82">
        <v>18.428119751217405</v>
      </c>
      <c r="CO82">
        <v>6.7316383423233761</v>
      </c>
      <c r="CP82">
        <v>8.9887362865978009</v>
      </c>
      <c r="CQ82">
        <v>1087.5273576303084</v>
      </c>
      <c r="CR82">
        <v>26.053489292314843</v>
      </c>
      <c r="CS82">
        <v>10.352733964693734</v>
      </c>
      <c r="CT82">
        <v>18.69818061477525</v>
      </c>
      <c r="CU82">
        <v>6.7271599797258865</v>
      </c>
      <c r="CV82">
        <v>9.3830094842746341</v>
      </c>
      <c r="CW82">
        <v>1223.1055151225007</v>
      </c>
      <c r="CX82">
        <v>24.31209703133079</v>
      </c>
      <c r="CY82">
        <v>9.6246047756256274</v>
      </c>
      <c r="DA82">
        <v>86</v>
      </c>
      <c r="DB82">
        <v>13.355719587103485</v>
      </c>
      <c r="DC82">
        <v>5.1978006176162124</v>
      </c>
      <c r="DD82">
        <v>7.0873943554808552</v>
      </c>
      <c r="DE82">
        <v>879.84188173535802</v>
      </c>
      <c r="DF82">
        <v>23.166855658156127</v>
      </c>
      <c r="DG82">
        <v>9.5580412595858188</v>
      </c>
      <c r="DH82">
        <v>13.909995210302561</v>
      </c>
      <c r="DI82">
        <v>5.5896312619660851</v>
      </c>
      <c r="DJ82">
        <v>7.4489218637361123</v>
      </c>
      <c r="DK82">
        <v>924.62946825531878</v>
      </c>
      <c r="DL82">
        <v>23.261503499294445</v>
      </c>
      <c r="DM82">
        <v>9.800986594653839</v>
      </c>
      <c r="DN82">
        <v>15.514556141559545</v>
      </c>
      <c r="DO82">
        <v>5.7777785937968718</v>
      </c>
      <c r="DP82">
        <v>8.0288916932065604</v>
      </c>
      <c r="DQ82">
        <v>1002.6936435484358</v>
      </c>
      <c r="DR82">
        <v>24.176535793014736</v>
      </c>
      <c r="DS82">
        <v>9.7401008537786176</v>
      </c>
      <c r="DT82">
        <v>16.463303734216517</v>
      </c>
      <c r="DU82">
        <v>5.9588762227356558</v>
      </c>
      <c r="DV82">
        <v>8.7092627617842613</v>
      </c>
      <c r="DW82">
        <v>1086.9077617980897</v>
      </c>
      <c r="DX82">
        <v>24.26062935321854</v>
      </c>
      <c r="DY82">
        <v>9.6476625357222972</v>
      </c>
      <c r="DZ82">
        <v>16.700347196332018</v>
      </c>
      <c r="EA82">
        <v>6.0784897153393311</v>
      </c>
      <c r="EB82">
        <v>9.0997839439020236</v>
      </c>
      <c r="EC82">
        <v>1222.9761976482712</v>
      </c>
      <c r="ED82">
        <v>22.681084552676165</v>
      </c>
      <c r="EE82">
        <v>9.0952194645693005</v>
      </c>
      <c r="EG82">
        <v>86</v>
      </c>
      <c r="EH82">
        <v>12.571364595985525</v>
      </c>
      <c r="EI82">
        <v>4.7983705266921426</v>
      </c>
      <c r="EJ82">
        <v>6.513755394425977</v>
      </c>
      <c r="EK82">
        <v>875.55171373443045</v>
      </c>
      <c r="EL82">
        <v>22.384531464683086</v>
      </c>
      <c r="EM82">
        <v>9.1486713930911421</v>
      </c>
      <c r="EN82">
        <v>13.143494589370402</v>
      </c>
      <c r="EO82">
        <v>5.0303211779617838</v>
      </c>
      <c r="EP82">
        <v>6.8817009156464408</v>
      </c>
      <c r="EQ82">
        <v>920.92279070025097</v>
      </c>
      <c r="ER82">
        <v>22.522812118340653</v>
      </c>
      <c r="ES82">
        <v>9.2330986107125241</v>
      </c>
      <c r="ET82">
        <v>13.915793231241873</v>
      </c>
      <c r="EU82">
        <v>5.2291714666479043</v>
      </c>
      <c r="EV82">
        <v>7.4162262978607396</v>
      </c>
      <c r="EW82">
        <v>1015.1495050218208</v>
      </c>
      <c r="EX82">
        <v>22.304986349643873</v>
      </c>
      <c r="EY82">
        <v>9.0801700053603511</v>
      </c>
      <c r="EZ82">
        <v>14.752604879953092</v>
      </c>
      <c r="FA82">
        <v>5.4564799697030875</v>
      </c>
      <c r="FB82">
        <v>8.0387007278213627</v>
      </c>
      <c r="FC82">
        <v>1094.2091481202212</v>
      </c>
      <c r="FD82">
        <v>22.53533297379008</v>
      </c>
      <c r="FE82">
        <v>9.1241451027932019</v>
      </c>
      <c r="FF82">
        <v>14.951074160442772</v>
      </c>
      <c r="FG82">
        <v>5.5259746225603505</v>
      </c>
      <c r="FH82">
        <v>8.4035377340809116</v>
      </c>
      <c r="FI82">
        <v>1233.9667106696365</v>
      </c>
      <c r="FJ82">
        <v>21.06147052765958</v>
      </c>
      <c r="FK82">
        <v>8.5664562369272623</v>
      </c>
    </row>
    <row r="83" spans="2:167" x14ac:dyDescent="0.2">
      <c r="B83">
        <v>748.89994288100786</v>
      </c>
      <c r="C83">
        <v>1.3352918630932373</v>
      </c>
      <c r="D83">
        <v>809.89155040993421</v>
      </c>
      <c r="E83">
        <v>1.2347332176682675</v>
      </c>
      <c r="F83">
        <v>929.32638642443555</v>
      </c>
      <c r="G83">
        <v>1.0760482157915259</v>
      </c>
      <c r="H83">
        <v>1055.2712846030711</v>
      </c>
      <c r="I83">
        <v>0.94762362492990537</v>
      </c>
      <c r="J83">
        <v>1175.8282520279254</v>
      </c>
      <c r="K83">
        <v>0.85046434143364202</v>
      </c>
      <c r="L83">
        <v>874.00596241771461</v>
      </c>
      <c r="M83">
        <v>1.1441569543001229</v>
      </c>
      <c r="N83">
        <v>865.05858056228317</v>
      </c>
      <c r="O83">
        <v>1.1559910767546004</v>
      </c>
      <c r="Q83">
        <v>0.16936465945024559</v>
      </c>
      <c r="R83">
        <v>0.17003737068124278</v>
      </c>
      <c r="S83">
        <v>0.17013987946248343</v>
      </c>
      <c r="T83">
        <v>0.17131648288517598</v>
      </c>
      <c r="U83">
        <v>0.17180092482350817</v>
      </c>
      <c r="V83">
        <v>0.17021139511916211</v>
      </c>
      <c r="W83">
        <v>0.16987082215283544</v>
      </c>
      <c r="Y83">
        <v>2.1012185848354297</v>
      </c>
      <c r="Z83">
        <v>2.1330497106309636</v>
      </c>
      <c r="AA83">
        <v>2.185124265448859</v>
      </c>
      <c r="AB83">
        <v>2.2748771750996606</v>
      </c>
      <c r="AC83">
        <v>2.3270787014045817</v>
      </c>
      <c r="AD83">
        <v>2.1589809947657606</v>
      </c>
      <c r="AE83">
        <v>2.1586305668473313</v>
      </c>
      <c r="AG83">
        <v>0.82675129482575493</v>
      </c>
      <c r="AH83">
        <v>0.84088218074501586</v>
      </c>
      <c r="AI83">
        <v>0.86732133179493576</v>
      </c>
      <c r="AJ83">
        <v>0.89677630145056098</v>
      </c>
      <c r="AK83">
        <v>0.92239412724960734</v>
      </c>
      <c r="AL83">
        <v>0.85358930203771188</v>
      </c>
      <c r="AM83">
        <v>0.85420720899682667</v>
      </c>
      <c r="AO83">
        <v>87</v>
      </c>
      <c r="AP83">
        <v>15.676782938331627</v>
      </c>
      <c r="AQ83">
        <v>6.82852909034359</v>
      </c>
      <c r="AR83">
        <v>7.596255234303193</v>
      </c>
      <c r="AS83">
        <v>877.84464747238735</v>
      </c>
      <c r="AT83">
        <v>25.829745695778126</v>
      </c>
      <c r="AU83">
        <v>11.421959825451147</v>
      </c>
      <c r="AV83">
        <v>16.408717126401864</v>
      </c>
      <c r="AW83">
        <v>6.9951425548351169</v>
      </c>
      <c r="AX83">
        <v>8.0052457843753775</v>
      </c>
      <c r="AY83">
        <v>926.44344694926349</v>
      </c>
      <c r="AZ83">
        <v>25.879986363318029</v>
      </c>
      <c r="BA83">
        <v>11.283780413455975</v>
      </c>
      <c r="BB83">
        <v>18.106586376768686</v>
      </c>
      <c r="BC83">
        <v>7.4028298188729948</v>
      </c>
      <c r="BD83">
        <v>8.6432129895589611</v>
      </c>
      <c r="BE83">
        <v>1003.782486984609</v>
      </c>
      <c r="BF83">
        <v>26.689260351609807</v>
      </c>
      <c r="BG83">
        <v>11.328667614294517</v>
      </c>
      <c r="BH83">
        <v>19.259874221389261</v>
      </c>
      <c r="BI83">
        <v>7.7904588616618913</v>
      </c>
      <c r="BJ83">
        <v>9.2920320821114544</v>
      </c>
      <c r="BK83">
        <v>1082.5842129365719</v>
      </c>
      <c r="BL83">
        <v>26.898904266975951</v>
      </c>
      <c r="BM83">
        <v>11.358926848935843</v>
      </c>
      <c r="BN83">
        <v>19.71883484701112</v>
      </c>
      <c r="BO83">
        <v>7.9123851836276353</v>
      </c>
      <c r="BP83">
        <v>9.8529411683542474</v>
      </c>
      <c r="BQ83">
        <v>1215.7647890103956</v>
      </c>
      <c r="BR83">
        <v>25.256344246450698</v>
      </c>
      <c r="BS83">
        <v>10.63837335216845</v>
      </c>
      <c r="BU83">
        <v>87</v>
      </c>
      <c r="BV83">
        <v>15.136957790018743</v>
      </c>
      <c r="BW83">
        <v>5.7932990533762929</v>
      </c>
      <c r="BX83">
        <v>7.3732655887225986</v>
      </c>
      <c r="BY83">
        <v>885.57939520594527</v>
      </c>
      <c r="BZ83">
        <v>24.994573017534318</v>
      </c>
      <c r="CA83">
        <v>10.153213035584043</v>
      </c>
      <c r="CB83">
        <v>15.707286817660385</v>
      </c>
      <c r="CC83">
        <v>5.9007717971583364</v>
      </c>
      <c r="CD83">
        <v>7.7455098991946425</v>
      </c>
      <c r="CE83">
        <v>935.8375695805729</v>
      </c>
      <c r="CF83">
        <v>24.870676516141842</v>
      </c>
      <c r="CG83">
        <v>10.001109131981844</v>
      </c>
      <c r="CH83">
        <v>17.390908752405267</v>
      </c>
      <c r="CI83">
        <v>6.5295560639165355</v>
      </c>
      <c r="CJ83">
        <v>8.3467973531191326</v>
      </c>
      <c r="CK83">
        <v>1011.0194478677207</v>
      </c>
      <c r="CL83">
        <v>25.790339208753501</v>
      </c>
      <c r="CM83">
        <v>10.383820429254149</v>
      </c>
      <c r="CN83">
        <v>18.514689273361665</v>
      </c>
      <c r="CO83">
        <v>6.7743608895664487</v>
      </c>
      <c r="CP83">
        <v>9.0054643876946265</v>
      </c>
      <c r="CQ83">
        <v>1090.5613446562465</v>
      </c>
      <c r="CR83">
        <v>26.018842769121648</v>
      </c>
      <c r="CS83">
        <v>10.344119535998857</v>
      </c>
      <c r="CT83">
        <v>18.786830187171105</v>
      </c>
      <c r="CU83">
        <v>6.770446098837537</v>
      </c>
      <c r="CV83">
        <v>9.3995374864329602</v>
      </c>
      <c r="CW83">
        <v>1225.6871146235783</v>
      </c>
      <c r="CX83">
        <v>24.291492517863247</v>
      </c>
      <c r="CY83">
        <v>9.6205797616989592</v>
      </c>
      <c r="DA83">
        <v>87</v>
      </c>
      <c r="DB83">
        <v>13.377046517064265</v>
      </c>
      <c r="DC83">
        <v>5.229957340421981</v>
      </c>
      <c r="DD83">
        <v>7.0958938952204669</v>
      </c>
      <c r="DE83">
        <v>882.6003725806728</v>
      </c>
      <c r="DF83">
        <v>23.084929732999946</v>
      </c>
      <c r="DG83">
        <v>9.5492080088884883</v>
      </c>
      <c r="DH83">
        <v>13.939625020031444</v>
      </c>
      <c r="DI83">
        <v>5.6274463230821432</v>
      </c>
      <c r="DJ83">
        <v>7.4612449352372998</v>
      </c>
      <c r="DK83">
        <v>927.89544678417622</v>
      </c>
      <c r="DL83">
        <v>23.178529156059483</v>
      </c>
      <c r="DM83">
        <v>9.7921465404292949</v>
      </c>
      <c r="DN83">
        <v>15.542294395582966</v>
      </c>
      <c r="DO83">
        <v>5.8163384146759149</v>
      </c>
      <c r="DP83">
        <v>8.037611453669232</v>
      </c>
      <c r="DQ83">
        <v>1005.748482903459</v>
      </c>
      <c r="DR83">
        <v>24.087453833781538</v>
      </c>
      <c r="DS83">
        <v>9.7290991875557449</v>
      </c>
      <c r="DT83">
        <v>16.512421868451153</v>
      </c>
      <c r="DU83">
        <v>6.0077313866605362</v>
      </c>
      <c r="DV83">
        <v>8.726933635938753</v>
      </c>
      <c r="DW83">
        <v>1091.1187535325082</v>
      </c>
      <c r="DX83">
        <v>24.170491677830476</v>
      </c>
      <c r="DY83">
        <v>9.6362264634512975</v>
      </c>
      <c r="DZ83">
        <v>16.752980278070552</v>
      </c>
      <c r="EA83">
        <v>6.1293071787523612</v>
      </c>
      <c r="EB83">
        <v>9.1191459451538641</v>
      </c>
      <c r="EC83">
        <v>1226.9326131961964</v>
      </c>
      <c r="ED83">
        <v>22.609163018950294</v>
      </c>
      <c r="EE83">
        <v>9.0882592972973093</v>
      </c>
      <c r="EG83">
        <v>87</v>
      </c>
      <c r="EH83">
        <v>12.582605632633838</v>
      </c>
      <c r="EI83">
        <v>4.8278291722775428</v>
      </c>
      <c r="EJ83">
        <v>6.5223612732991567</v>
      </c>
      <c r="EK83">
        <v>878.40524114872676</v>
      </c>
      <c r="EL83">
        <v>22.290767155837973</v>
      </c>
      <c r="EM83">
        <v>9.1370201387402297</v>
      </c>
      <c r="EN83">
        <v>13.162004814472731</v>
      </c>
      <c r="EO83">
        <v>5.064419121988613</v>
      </c>
      <c r="EP83">
        <v>6.8937979076512468</v>
      </c>
      <c r="EQ83">
        <v>924.25518617694695</v>
      </c>
      <c r="ER83">
        <v>22.428471889076864</v>
      </c>
      <c r="ES83">
        <v>9.2215452133611429</v>
      </c>
      <c r="ET83">
        <v>13.966454502287537</v>
      </c>
      <c r="EU83">
        <v>5.2640704486875736</v>
      </c>
      <c r="EV83">
        <v>7.4249829685773454</v>
      </c>
      <c r="EW83">
        <v>1017.9650025104864</v>
      </c>
      <c r="EX83">
        <v>22.250352616424195</v>
      </c>
      <c r="EY83">
        <v>9.0698194526761391</v>
      </c>
      <c r="EZ83">
        <v>14.802335925415514</v>
      </c>
      <c r="FA83">
        <v>5.5010746235368781</v>
      </c>
      <c r="FB83">
        <v>8.055752871408723</v>
      </c>
      <c r="FC83">
        <v>1098.2141232661043</v>
      </c>
      <c r="FD83">
        <v>22.457178692438525</v>
      </c>
      <c r="FE83">
        <v>9.1126224225486361</v>
      </c>
      <c r="FF83">
        <v>14.999821369056582</v>
      </c>
      <c r="FG83">
        <v>5.5721189459952578</v>
      </c>
      <c r="FH83">
        <v>8.4221541874505235</v>
      </c>
      <c r="FI83">
        <v>1237.2955903632474</v>
      </c>
      <c r="FJ83">
        <v>21.002871713440989</v>
      </c>
      <c r="FK83">
        <v>8.5618130209050989</v>
      </c>
    </row>
    <row r="84" spans="2:167" x14ac:dyDescent="0.2">
      <c r="B84">
        <v>745.50901322915263</v>
      </c>
      <c r="C84">
        <v>1.3413654057226303</v>
      </c>
      <c r="D84">
        <v>806.37610010098501</v>
      </c>
      <c r="E84">
        <v>1.2401161193576631</v>
      </c>
      <c r="F84">
        <v>924.34935491076419</v>
      </c>
      <c r="G84">
        <v>1.0818420488826317</v>
      </c>
      <c r="H84">
        <v>1050.0408716473582</v>
      </c>
      <c r="I84">
        <v>0.95234388203494247</v>
      </c>
      <c r="J84">
        <v>1169.9108942092016</v>
      </c>
      <c r="K84">
        <v>0.85476595264628896</v>
      </c>
      <c r="L84">
        <v>869.55022408140144</v>
      </c>
      <c r="M84">
        <v>1.1500198289942443</v>
      </c>
      <c r="N84">
        <v>861.04534076462153</v>
      </c>
      <c r="O84">
        <v>1.1613790269302016</v>
      </c>
      <c r="Q84">
        <v>0.17120855703119592</v>
      </c>
      <c r="R84">
        <v>0.17188158804078549</v>
      </c>
      <c r="S84">
        <v>0.17196928989750007</v>
      </c>
      <c r="T84">
        <v>0.17314656608016804</v>
      </c>
      <c r="U84">
        <v>0.17362796455145202</v>
      </c>
      <c r="V84">
        <v>0.17204434625505027</v>
      </c>
      <c r="W84">
        <v>0.17171143569992753</v>
      </c>
      <c r="Y84">
        <v>2.1072603722556393</v>
      </c>
      <c r="Z84">
        <v>2.1404063706260086</v>
      </c>
      <c r="AA84">
        <v>2.1915288692893773</v>
      </c>
      <c r="AB84">
        <v>2.2839424034782767</v>
      </c>
      <c r="AC84">
        <v>2.3366935621153435</v>
      </c>
      <c r="AD84">
        <v>2.1659478161887091</v>
      </c>
      <c r="AE84">
        <v>2.1654546275519126</v>
      </c>
      <c r="AG84">
        <v>0.82974366939530353</v>
      </c>
      <c r="AH84">
        <v>0.84440495211050282</v>
      </c>
      <c r="AI84">
        <v>0.87046326365278248</v>
      </c>
      <c r="AJ84">
        <v>0.90098824802297495</v>
      </c>
      <c r="AK84">
        <v>0.92683476545906252</v>
      </c>
      <c r="AL84">
        <v>0.85696731792246272</v>
      </c>
      <c r="AM84">
        <v>0.85750826944718317</v>
      </c>
      <c r="AO84">
        <v>88</v>
      </c>
      <c r="AP84">
        <v>15.752905356417035</v>
      </c>
      <c r="AQ84">
        <v>6.8637604147987661</v>
      </c>
      <c r="AR84">
        <v>7.6161428207844386</v>
      </c>
      <c r="AS84">
        <v>880.24494934301526</v>
      </c>
      <c r="AT84">
        <v>25.809794867879532</v>
      </c>
      <c r="AU84">
        <v>11.414387169495196</v>
      </c>
      <c r="AV84">
        <v>16.491612574464991</v>
      </c>
      <c r="AW84">
        <v>7.0339273457750586</v>
      </c>
      <c r="AX84">
        <v>8.025644913553462</v>
      </c>
      <c r="AY84">
        <v>929.10888678815945</v>
      </c>
      <c r="AZ84">
        <v>25.859607195089403</v>
      </c>
      <c r="BA84">
        <v>11.276995226551136</v>
      </c>
      <c r="BB84">
        <v>18.188118096342141</v>
      </c>
      <c r="BC84">
        <v>7.4432867820797055</v>
      </c>
      <c r="BD84">
        <v>8.6592999298879487</v>
      </c>
      <c r="BE84">
        <v>1006.344997179731</v>
      </c>
      <c r="BF84">
        <v>26.656105554065164</v>
      </c>
      <c r="BG84">
        <v>11.31890229906093</v>
      </c>
      <c r="BH84">
        <v>19.348838338165244</v>
      </c>
      <c r="BI84">
        <v>7.8353928881095634</v>
      </c>
      <c r="BJ84">
        <v>9.3075795228379992</v>
      </c>
      <c r="BK84">
        <v>1085.4882795665483</v>
      </c>
      <c r="BL84">
        <v>26.863873882159606</v>
      </c>
      <c r="BM84">
        <v>11.349355550295765</v>
      </c>
      <c r="BN84">
        <v>19.810041607034105</v>
      </c>
      <c r="BO84">
        <v>7.9582397337672264</v>
      </c>
      <c r="BP84">
        <v>9.8676197558155234</v>
      </c>
      <c r="BQ84">
        <v>1218.216112051033</v>
      </c>
      <c r="BR84">
        <v>25.235004444956044</v>
      </c>
      <c r="BS84">
        <v>10.633863794230416</v>
      </c>
      <c r="BU84">
        <v>88</v>
      </c>
      <c r="BV84">
        <v>15.207656882837803</v>
      </c>
      <c r="BW84">
        <v>5.8265507749575276</v>
      </c>
      <c r="BX84">
        <v>7.3919538262849969</v>
      </c>
      <c r="BY84">
        <v>887.82824862493385</v>
      </c>
      <c r="BZ84">
        <v>24.975205662574449</v>
      </c>
      <c r="CA84">
        <v>10.148637453142172</v>
      </c>
      <c r="CB84">
        <v>15.784492844966453</v>
      </c>
      <c r="CC84">
        <v>5.9369843193145551</v>
      </c>
      <c r="CD84">
        <v>7.7647767803896492</v>
      </c>
      <c r="CE84">
        <v>938.31553982487674</v>
      </c>
      <c r="CF84">
        <v>24.852269982294303</v>
      </c>
      <c r="CG84">
        <v>9.9972909502773124</v>
      </c>
      <c r="CH84">
        <v>17.466806850837049</v>
      </c>
      <c r="CI84">
        <v>6.5675813237217895</v>
      </c>
      <c r="CJ84">
        <v>8.3619511297702385</v>
      </c>
      <c r="CK84">
        <v>1013.4259784543664</v>
      </c>
      <c r="CL84">
        <v>25.758099533757576</v>
      </c>
      <c r="CM84">
        <v>10.375711169260981</v>
      </c>
      <c r="CN84">
        <v>18.597725637864503</v>
      </c>
      <c r="CO84">
        <v>6.8161655475643084</v>
      </c>
      <c r="CP84">
        <v>9.0199878513221474</v>
      </c>
      <c r="CQ84">
        <v>1093.313275060586</v>
      </c>
      <c r="CR84">
        <v>25.984599465293346</v>
      </c>
      <c r="CS84">
        <v>10.335889399411291</v>
      </c>
      <c r="CT84">
        <v>18.871928001120484</v>
      </c>
      <c r="CU84">
        <v>6.8128444832706156</v>
      </c>
      <c r="CV84">
        <v>9.4137107757331115</v>
      </c>
      <c r="CW84">
        <v>1227.9316824387354</v>
      </c>
      <c r="CX84">
        <v>24.271362831374976</v>
      </c>
      <c r="CY84">
        <v>9.6169429666785948</v>
      </c>
      <c r="DA84">
        <v>88</v>
      </c>
      <c r="DB84">
        <v>13.395008143429202</v>
      </c>
      <c r="DC84">
        <v>5.261477690634571</v>
      </c>
      <c r="DD84">
        <v>7.102738188418523</v>
      </c>
      <c r="DE84">
        <v>885.15444666762846</v>
      </c>
      <c r="DF84">
        <v>23.002815429212756</v>
      </c>
      <c r="DG84">
        <v>9.5409043737208847</v>
      </c>
      <c r="DH84">
        <v>13.965924974875</v>
      </c>
      <c r="DI84">
        <v>5.664634125540104</v>
      </c>
      <c r="DJ84">
        <v>7.4718905966390388</v>
      </c>
      <c r="DK84">
        <v>930.95299839979907</v>
      </c>
      <c r="DL84">
        <v>23.095369251912647</v>
      </c>
      <c r="DM84">
        <v>9.7838057095013546</v>
      </c>
      <c r="DN84">
        <v>15.56594892280574</v>
      </c>
      <c r="DO84">
        <v>5.8541990645698911</v>
      </c>
      <c r="DP84">
        <v>8.044288856220053</v>
      </c>
      <c r="DQ84">
        <v>1008.5589464074927</v>
      </c>
      <c r="DR84">
        <v>23.997674485268057</v>
      </c>
      <c r="DS84">
        <v>9.7184532640654506</v>
      </c>
      <c r="DT84">
        <v>16.557687671672625</v>
      </c>
      <c r="DU84">
        <v>6.0561046345126179</v>
      </c>
      <c r="DV84">
        <v>8.7425495740513508</v>
      </c>
      <c r="DW84">
        <v>1095.0851577850115</v>
      </c>
      <c r="DX84">
        <v>24.079652060741736</v>
      </c>
      <c r="DY84">
        <v>9.6251000225426733</v>
      </c>
      <c r="DZ84">
        <v>16.801797575715202</v>
      </c>
      <c r="EA84">
        <v>6.1796609536462563</v>
      </c>
      <c r="EB84">
        <v>9.1363624604885114</v>
      </c>
      <c r="EC84">
        <v>1230.5942703296898</v>
      </c>
      <c r="ED84">
        <v>22.536627741469889</v>
      </c>
      <c r="EE84">
        <v>9.0816004078846735</v>
      </c>
      <c r="EG84">
        <v>88</v>
      </c>
      <c r="EH84">
        <v>12.590450000105522</v>
      </c>
      <c r="EI84">
        <v>4.8566846697706074</v>
      </c>
      <c r="EJ84">
        <v>6.5295084126287541</v>
      </c>
      <c r="EK84">
        <v>881.05773937201172</v>
      </c>
      <c r="EL84">
        <v>22.196600002240409</v>
      </c>
      <c r="EM84">
        <v>9.1258274588185522</v>
      </c>
      <c r="EN84">
        <v>13.17710513822353</v>
      </c>
      <c r="EO84">
        <v>5.0979570743817613</v>
      </c>
      <c r="EP84">
        <v>6.9044002008446386</v>
      </c>
      <c r="EQ84">
        <v>927.38539455212674</v>
      </c>
      <c r="ER84">
        <v>22.333631238143198</v>
      </c>
      <c r="ES84">
        <v>9.2103954408168214</v>
      </c>
      <c r="ET84">
        <v>14.014384233566604</v>
      </c>
      <c r="EU84">
        <v>5.2983366784335173</v>
      </c>
      <c r="EV84">
        <v>7.4319082588861196</v>
      </c>
      <c r="EW84">
        <v>1020.5014436603069</v>
      </c>
      <c r="EX84">
        <v>22.196445430402317</v>
      </c>
      <c r="EY84">
        <v>9.0600269661720958</v>
      </c>
      <c r="EZ84">
        <v>14.848881372236511</v>
      </c>
      <c r="FA84">
        <v>5.5452185406932246</v>
      </c>
      <c r="FB84">
        <v>8.0709646119061311</v>
      </c>
      <c r="FC84">
        <v>1101.9484608958737</v>
      </c>
      <c r="FD84">
        <v>22.37896249418117</v>
      </c>
      <c r="FE84">
        <v>9.1015310052789982</v>
      </c>
      <c r="FF84">
        <v>15.045271724613361</v>
      </c>
      <c r="FG84">
        <v>5.6178381322192577</v>
      </c>
      <c r="FH84">
        <v>8.438844955819043</v>
      </c>
      <c r="FI84">
        <v>1240.3376420413711</v>
      </c>
      <c r="FJ84">
        <v>20.943425596074665</v>
      </c>
      <c r="FK84">
        <v>8.5573010494715174</v>
      </c>
    </row>
    <row r="85" spans="2:167" x14ac:dyDescent="0.2">
      <c r="B85">
        <v>741.90886462500464</v>
      </c>
      <c r="C85">
        <v>1.3478744461497258</v>
      </c>
      <c r="D85">
        <v>802.62545026520525</v>
      </c>
      <c r="E85">
        <v>1.2459111527918505</v>
      </c>
      <c r="F85">
        <v>919.04839707990902</v>
      </c>
      <c r="G85">
        <v>1.0880819804237714</v>
      </c>
      <c r="H85">
        <v>1044.4291569707782</v>
      </c>
      <c r="I85">
        <v>0.95746082281000389</v>
      </c>
      <c r="J85">
        <v>1163.5495908771804</v>
      </c>
      <c r="K85">
        <v>0.85943908866498497</v>
      </c>
      <c r="L85">
        <v>864.79891000695807</v>
      </c>
      <c r="M85">
        <v>1.1563381827018655</v>
      </c>
      <c r="N85">
        <v>856.76979008818137</v>
      </c>
      <c r="O85">
        <v>1.1671746734873518</v>
      </c>
      <c r="Q85">
        <v>0.17305066175520561</v>
      </c>
      <c r="R85">
        <v>0.17372378371034081</v>
      </c>
      <c r="S85">
        <v>0.17379608929453946</v>
      </c>
      <c r="T85">
        <v>0.17497359464340884</v>
      </c>
      <c r="U85">
        <v>0.17545163039412284</v>
      </c>
      <c r="V85">
        <v>0.1738747801764364</v>
      </c>
      <c r="W85">
        <v>0.1735499456270162</v>
      </c>
      <c r="Y85">
        <v>2.1128912484511591</v>
      </c>
      <c r="Z85">
        <v>2.1473793002473061</v>
      </c>
      <c r="AA85">
        <v>2.1974964633983873</v>
      </c>
      <c r="AB85">
        <v>2.2926102835405127</v>
      </c>
      <c r="AC85">
        <v>2.3459103272139137</v>
      </c>
      <c r="AD85">
        <v>2.1725113064643433</v>
      </c>
      <c r="AE85">
        <v>2.1718642473665022</v>
      </c>
      <c r="AG85">
        <v>0.8326166425276682</v>
      </c>
      <c r="AH85">
        <v>0.84781857816455175</v>
      </c>
      <c r="AI85">
        <v>0.87347277067435092</v>
      </c>
      <c r="AJ85">
        <v>0.90508608875406438</v>
      </c>
      <c r="AK85">
        <v>0.93115942962233988</v>
      </c>
      <c r="AL85">
        <v>0.8602281790978098</v>
      </c>
      <c r="AM85">
        <v>0.86068623539393585</v>
      </c>
      <c r="AO85">
        <v>89</v>
      </c>
      <c r="AP85">
        <v>15.826623902268089</v>
      </c>
      <c r="AQ85">
        <v>6.8979279464673979</v>
      </c>
      <c r="AR85">
        <v>7.6346251390613844</v>
      </c>
      <c r="AS85">
        <v>882.44171862618998</v>
      </c>
      <c r="AT85">
        <v>25.790961434547782</v>
      </c>
      <c r="AU85">
        <v>11.407268650580006</v>
      </c>
      <c r="AV85">
        <v>16.571992607978519</v>
      </c>
      <c r="AW85">
        <v>7.0716760567979264</v>
      </c>
      <c r="AX85">
        <v>8.0444854995969131</v>
      </c>
      <c r="AY85">
        <v>931.5558344398479</v>
      </c>
      <c r="AZ85">
        <v>25.840345715542774</v>
      </c>
      <c r="BA85">
        <v>11.270701823760023</v>
      </c>
      <c r="BB85">
        <v>18.266399811536935</v>
      </c>
      <c r="BC85">
        <v>7.4825832228493852</v>
      </c>
      <c r="BD85">
        <v>8.6734395179454857</v>
      </c>
      <c r="BE85">
        <v>1008.6625773093057</v>
      </c>
      <c r="BF85">
        <v>26.623361110002648</v>
      </c>
      <c r="BG85">
        <v>11.309410757568999</v>
      </c>
      <c r="BH85">
        <v>19.434252768675123</v>
      </c>
      <c r="BI85">
        <v>7.8791200465899029</v>
      </c>
      <c r="BJ85">
        <v>9.3208807195446681</v>
      </c>
      <c r="BK85">
        <v>1088.1184031144587</v>
      </c>
      <c r="BL85">
        <v>26.829248294901998</v>
      </c>
      <c r="BM85">
        <v>11.340084614059817</v>
      </c>
      <c r="BN85">
        <v>19.897612197095263</v>
      </c>
      <c r="BO85">
        <v>8.0028787285507814</v>
      </c>
      <c r="BP85">
        <v>9.8798210332359471</v>
      </c>
      <c r="BQ85">
        <v>1220.3393691566084</v>
      </c>
      <c r="BR85">
        <v>25.214149729117594</v>
      </c>
      <c r="BS85">
        <v>10.629680221950688</v>
      </c>
      <c r="BU85">
        <v>89</v>
      </c>
      <c r="BV85">
        <v>15.275898902000904</v>
      </c>
      <c r="BW85">
        <v>5.8590598565970566</v>
      </c>
      <c r="BX85">
        <v>7.4092471141891076</v>
      </c>
      <c r="BY85">
        <v>889.86362380300045</v>
      </c>
      <c r="BZ85">
        <v>24.95696502138788</v>
      </c>
      <c r="CA85">
        <v>10.144679950392753</v>
      </c>
      <c r="CB85">
        <v>15.859186919882092</v>
      </c>
      <c r="CC85">
        <v>5.9724908891247308</v>
      </c>
      <c r="CD85">
        <v>7.782512031312451</v>
      </c>
      <c r="CE85">
        <v>940.56507342655664</v>
      </c>
      <c r="CF85">
        <v>24.834984614155072</v>
      </c>
      <c r="CG85">
        <v>9.9941015673024456</v>
      </c>
      <c r="CH85">
        <v>17.539466255747243</v>
      </c>
      <c r="CI85">
        <v>6.604695787652628</v>
      </c>
      <c r="CJ85">
        <v>8.3752049745996722</v>
      </c>
      <c r="CK85">
        <v>1015.5788149572033</v>
      </c>
      <c r="CL85">
        <v>25.726269683129335</v>
      </c>
      <c r="CM85">
        <v>10.367971261616061</v>
      </c>
      <c r="CN85">
        <v>18.677228912896474</v>
      </c>
      <c r="CO85">
        <v>6.8570523329898245</v>
      </c>
      <c r="CP85">
        <v>9.0323067077020998</v>
      </c>
      <c r="CQ85">
        <v>1095.7820294055425</v>
      </c>
      <c r="CR85">
        <v>25.950758629485879</v>
      </c>
      <c r="CS85">
        <v>10.328045855956514</v>
      </c>
      <c r="CT85">
        <v>18.953474161366472</v>
      </c>
      <c r="CU85">
        <v>6.8543551592162952</v>
      </c>
      <c r="CV85">
        <v>9.4255294001172008</v>
      </c>
      <c r="CW85">
        <v>1229.8380771065845</v>
      </c>
      <c r="CX85">
        <v>24.251714183946174</v>
      </c>
      <c r="CY85">
        <v>9.6136994838163758</v>
      </c>
      <c r="DA85">
        <v>89</v>
      </c>
      <c r="DB85">
        <v>13.409604464206556</v>
      </c>
      <c r="DC85">
        <v>5.2923616712312347</v>
      </c>
      <c r="DD85">
        <v>7.1079272328949203</v>
      </c>
      <c r="DE85">
        <v>887.50200110282924</v>
      </c>
      <c r="DF85">
        <v>22.920512708687067</v>
      </c>
      <c r="DG85">
        <v>9.5331429868314537</v>
      </c>
      <c r="DH85">
        <v>13.988895078950353</v>
      </c>
      <c r="DI85">
        <v>5.7011946735705443</v>
      </c>
      <c r="DJ85">
        <v>7.4808588490288503</v>
      </c>
      <c r="DK85">
        <v>933.79998704236732</v>
      </c>
      <c r="DL85">
        <v>23.01202354295329</v>
      </c>
      <c r="DM85">
        <v>9.7759764249321197</v>
      </c>
      <c r="DN85">
        <v>15.585519727989677</v>
      </c>
      <c r="DO85">
        <v>5.8913605521457315</v>
      </c>
      <c r="DP85">
        <v>8.0489238976305693</v>
      </c>
      <c r="DQ85">
        <v>1011.122606753165</v>
      </c>
      <c r="DR85">
        <v>23.907197592908219</v>
      </c>
      <c r="DS85">
        <v>9.7081765023495326</v>
      </c>
      <c r="DT85">
        <v>16.59910117167815</v>
      </c>
      <c r="DU85">
        <v>6.1039959747161268</v>
      </c>
      <c r="DV85">
        <v>8.7561105856821069</v>
      </c>
      <c r="DW85">
        <v>1098.8046526257347</v>
      </c>
      <c r="DX85">
        <v>23.98811030825788</v>
      </c>
      <c r="DY85">
        <v>9.6142937366667045</v>
      </c>
      <c r="DZ85">
        <v>16.846799136040271</v>
      </c>
      <c r="EA85">
        <v>6.22955105392737</v>
      </c>
      <c r="EB85">
        <v>9.1514335087989629</v>
      </c>
      <c r="EC85">
        <v>1233.9586943313825</v>
      </c>
      <c r="ED85">
        <v>22.463480050453491</v>
      </c>
      <c r="EE85">
        <v>9.0752548146161747</v>
      </c>
      <c r="EG85">
        <v>89</v>
      </c>
      <c r="EH85">
        <v>12.594897691503038</v>
      </c>
      <c r="EI85">
        <v>4.8849370220221102</v>
      </c>
      <c r="EJ85">
        <v>6.5351968108429386</v>
      </c>
      <c r="EK85">
        <v>883.50681939558388</v>
      </c>
      <c r="EL85">
        <v>22.102029881238387</v>
      </c>
      <c r="EM85">
        <v>9.1151065861749778</v>
      </c>
      <c r="EN85">
        <v>13.188795559665238</v>
      </c>
      <c r="EO85">
        <v>5.1309350388970989</v>
      </c>
      <c r="EP85">
        <v>6.9135077964764218</v>
      </c>
      <c r="EQ85">
        <v>930.31108468962179</v>
      </c>
      <c r="ER85">
        <v>22.238290081049175</v>
      </c>
      <c r="ES85">
        <v>9.1996614520722737</v>
      </c>
      <c r="ET85">
        <v>14.059582455895484</v>
      </c>
      <c r="EU85">
        <v>5.3319701637292525</v>
      </c>
      <c r="EV85">
        <v>7.4370021665966188</v>
      </c>
      <c r="EW85">
        <v>1022.7566180820686</v>
      </c>
      <c r="EX85">
        <v>22.143264856774447</v>
      </c>
      <c r="EY85">
        <v>9.0508007279559983</v>
      </c>
      <c r="EZ85">
        <v>14.892241249500644</v>
      </c>
      <c r="FA85">
        <v>5.5889117290666981</v>
      </c>
      <c r="FB85">
        <v>8.0843359583978334</v>
      </c>
      <c r="FC85">
        <v>1105.4094548689702</v>
      </c>
      <c r="FD85">
        <v>22.300684315349603</v>
      </c>
      <c r="FE85">
        <v>9.0908815730200008</v>
      </c>
      <c r="FF85">
        <v>15.087425268272074</v>
      </c>
      <c r="FG85">
        <v>5.6631321939661889</v>
      </c>
      <c r="FH85">
        <v>8.4536100568815673</v>
      </c>
      <c r="FI85">
        <v>1243.0909197799335</v>
      </c>
      <c r="FJ85">
        <v>20.883132707641472</v>
      </c>
      <c r="FK85">
        <v>8.5529308859318203</v>
      </c>
    </row>
    <row r="86" spans="2:167" x14ac:dyDescent="0.2">
      <c r="B86">
        <v>738.09957454562573</v>
      </c>
      <c r="C86">
        <v>1.354830749788198</v>
      </c>
      <c r="D86">
        <v>798.63970470142488</v>
      </c>
      <c r="E86">
        <v>1.2521290816286859</v>
      </c>
      <c r="F86">
        <v>913.42371218691653</v>
      </c>
      <c r="G86">
        <v>1.0947821768342347</v>
      </c>
      <c r="H86">
        <v>1038.4364117833995</v>
      </c>
      <c r="I86">
        <v>0.96298626343678639</v>
      </c>
      <c r="J86">
        <v>1156.7447333902014</v>
      </c>
      <c r="K86">
        <v>0.86449496689661853</v>
      </c>
      <c r="L86">
        <v>859.75220933901971</v>
      </c>
      <c r="M86">
        <v>1.1631258275786267</v>
      </c>
      <c r="N86">
        <v>852.23205205700685</v>
      </c>
      <c r="O86">
        <v>1.1733893340274284</v>
      </c>
      <c r="Q86">
        <v>0.17489097428619768</v>
      </c>
      <c r="R86">
        <v>0.17556395858212595</v>
      </c>
      <c r="S86">
        <v>0.17562027925971532</v>
      </c>
      <c r="T86">
        <v>0.17679757074757901</v>
      </c>
      <c r="U86">
        <v>0.17727192532575528</v>
      </c>
      <c r="V86">
        <v>0.17570269849413478</v>
      </c>
      <c r="W86">
        <v>0.17538635292471094</v>
      </c>
      <c r="Y86">
        <v>2.1181112142974499</v>
      </c>
      <c r="Z86">
        <v>2.1539685010063185</v>
      </c>
      <c r="AA86">
        <v>2.2030270504407357</v>
      </c>
      <c r="AB86">
        <v>2.3008808194647523</v>
      </c>
      <c r="AC86">
        <v>2.3547290033329862</v>
      </c>
      <c r="AD86">
        <v>2.1786714690807529</v>
      </c>
      <c r="AE86">
        <v>2.1778594281394641</v>
      </c>
      <c r="AG86">
        <v>0.83537021440720238</v>
      </c>
      <c r="AH86">
        <v>0.85112305917876441</v>
      </c>
      <c r="AI86">
        <v>0.87634985354110251</v>
      </c>
      <c r="AJ86">
        <v>0.90906982443237794</v>
      </c>
      <c r="AK86">
        <v>0.93536812121726665</v>
      </c>
      <c r="AL86">
        <v>0.86337188641366491</v>
      </c>
      <c r="AM86">
        <v>0.86374110728455122</v>
      </c>
      <c r="AO86">
        <v>90</v>
      </c>
      <c r="AP86">
        <v>15.897938587801375</v>
      </c>
      <c r="AQ86">
        <v>6.9310316912977115</v>
      </c>
      <c r="AR86">
        <v>7.6517021968808407</v>
      </c>
      <c r="AS86">
        <v>884.43423718517329</v>
      </c>
      <c r="AT86">
        <v>25.773245826510426</v>
      </c>
      <c r="AU86">
        <v>11.400605608038799</v>
      </c>
      <c r="AV86">
        <v>16.649857245980638</v>
      </c>
      <c r="AW86">
        <v>7.1083886957026508</v>
      </c>
      <c r="AX86">
        <v>8.0617675544842609</v>
      </c>
      <c r="AY86">
        <v>933.78351458725263</v>
      </c>
      <c r="AZ86">
        <v>25.822202116481783</v>
      </c>
      <c r="BA86">
        <v>11.26490175753386</v>
      </c>
      <c r="BB86">
        <v>18.341431571351002</v>
      </c>
      <c r="BC86">
        <v>7.5207191575549315</v>
      </c>
      <c r="BD86">
        <v>8.6856317773027403</v>
      </c>
      <c r="BE86">
        <v>1010.7342684698178</v>
      </c>
      <c r="BF86">
        <v>26.591027509846548</v>
      </c>
      <c r="BG86">
        <v>11.300195785130068</v>
      </c>
      <c r="BH86">
        <v>19.516117586107651</v>
      </c>
      <c r="BI86">
        <v>7.92164036145161</v>
      </c>
      <c r="BJ86">
        <v>9.3319357058730077</v>
      </c>
      <c r="BK86">
        <v>1090.4735159665433</v>
      </c>
      <c r="BL86">
        <v>26.795027105186666</v>
      </c>
      <c r="BM86">
        <v>11.331117057914609</v>
      </c>
      <c r="BN86">
        <v>19.981546732528948</v>
      </c>
      <c r="BO86">
        <v>8.0463022067147971</v>
      </c>
      <c r="BP86">
        <v>9.889545054515704</v>
      </c>
      <c r="BQ86">
        <v>1222.1334660486348</v>
      </c>
      <c r="BR86">
        <v>25.193786420788264</v>
      </c>
      <c r="BS86">
        <v>10.625828480619372</v>
      </c>
      <c r="BU86">
        <v>90</v>
      </c>
      <c r="BV86">
        <v>15.341683860268304</v>
      </c>
      <c r="BW86">
        <v>5.8908263010869693</v>
      </c>
      <c r="BX86">
        <v>7.4251454600175766</v>
      </c>
      <c r="BY86">
        <v>891.68481384584584</v>
      </c>
      <c r="BZ86">
        <v>24.939850875005721</v>
      </c>
      <c r="CA86">
        <v>10.141341866283474</v>
      </c>
      <c r="CB86">
        <v>15.931369061833994</v>
      </c>
      <c r="CC86">
        <v>6.0072915109233813</v>
      </c>
      <c r="CD86">
        <v>7.7987156635982755</v>
      </c>
      <c r="CE86">
        <v>942.58541281339126</v>
      </c>
      <c r="CF86">
        <v>24.818820814061883</v>
      </c>
      <c r="CG86">
        <v>9.9915426674604433</v>
      </c>
      <c r="CH86">
        <v>17.608887016364115</v>
      </c>
      <c r="CI86">
        <v>6.6408994678455198</v>
      </c>
      <c r="CJ86">
        <v>8.3865589102851015</v>
      </c>
      <c r="CK86">
        <v>1017.4769777965013</v>
      </c>
      <c r="CL86">
        <v>25.694849862507194</v>
      </c>
      <c r="CM86">
        <v>10.360603395242734</v>
      </c>
      <c r="CN86">
        <v>18.753199171572696</v>
      </c>
      <c r="CO86">
        <v>6.8970212637251889</v>
      </c>
      <c r="CP86">
        <v>9.0424209892482921</v>
      </c>
      <c r="CQ86">
        <v>1097.9665165571771</v>
      </c>
      <c r="CR86">
        <v>25.917319493954626</v>
      </c>
      <c r="CS86">
        <v>10.320591556633406</v>
      </c>
      <c r="CT86">
        <v>19.031468780462554</v>
      </c>
      <c r="CU86">
        <v>6.8949781548187579</v>
      </c>
      <c r="CV86">
        <v>9.4349934111022709</v>
      </c>
      <c r="CW86">
        <v>1231.4051927097958</v>
      </c>
      <c r="CX86">
        <v>24.232552977623335</v>
      </c>
      <c r="CY86">
        <v>9.6108548257118844</v>
      </c>
      <c r="DA86">
        <v>90</v>
      </c>
      <c r="DB86">
        <v>13.420835477282074</v>
      </c>
      <c r="DC86">
        <v>5.3226092853723532</v>
      </c>
      <c r="DD86">
        <v>7.111461026335463</v>
      </c>
      <c r="DE86">
        <v>889.64089431622017</v>
      </c>
      <c r="DF86">
        <v>22.838021533905071</v>
      </c>
      <c r="DG86">
        <v>9.5259374570265116</v>
      </c>
      <c r="DH86">
        <v>14.008535336649148</v>
      </c>
      <c r="DI86">
        <v>5.7371279716861103</v>
      </c>
      <c r="DJ86">
        <v>7.4881496935667533</v>
      </c>
      <c r="DK86">
        <v>936.43423805342513</v>
      </c>
      <c r="DL86">
        <v>22.928491788180757</v>
      </c>
      <c r="DM86">
        <v>9.7686719033564984</v>
      </c>
      <c r="DN86">
        <v>15.601006816204972</v>
      </c>
      <c r="DO86">
        <v>5.9278228866316951</v>
      </c>
      <c r="DP86">
        <v>8.0515165744632196</v>
      </c>
      <c r="DQ86">
        <v>1013.4369613517321</v>
      </c>
      <c r="DR86">
        <v>23.816023002246375</v>
      </c>
      <c r="DS86">
        <v>9.6982833904305608</v>
      </c>
      <c r="DT86">
        <v>16.636662398281153</v>
      </c>
      <c r="DU86">
        <v>6.1514054163063241</v>
      </c>
      <c r="DV86">
        <v>8.7676166810844709</v>
      </c>
      <c r="DW86">
        <v>1102.2748445804277</v>
      </c>
      <c r="DX86">
        <v>23.895866225642916</v>
      </c>
      <c r="DY86">
        <v>9.6038190156256604</v>
      </c>
      <c r="DZ86">
        <v>16.887985009307929</v>
      </c>
      <c r="EA86">
        <v>6.2789774945390224</v>
      </c>
      <c r="EB86">
        <v>9.1643591103870357</v>
      </c>
      <c r="EC86">
        <v>1237.0233379608037</v>
      </c>
      <c r="ED86">
        <v>22.389721315818512</v>
      </c>
      <c r="EE86">
        <v>9.0692354252392917</v>
      </c>
      <c r="EG86">
        <v>90</v>
      </c>
      <c r="EH86">
        <v>12.595948699504566</v>
      </c>
      <c r="EI86">
        <v>4.9125862320581728</v>
      </c>
      <c r="EJ86">
        <v>6.5394264662731922</v>
      </c>
      <c r="EK86">
        <v>885.75003069233287</v>
      </c>
      <c r="EL86">
        <v>22.007056673565884</v>
      </c>
      <c r="EM86">
        <v>9.1048717874180181</v>
      </c>
      <c r="EN86">
        <v>13.197076077776442</v>
      </c>
      <c r="EO86">
        <v>5.1633530195409234</v>
      </c>
      <c r="EP86">
        <v>6.921120695879738</v>
      </c>
      <c r="EQ86">
        <v>933.02986035145761</v>
      </c>
      <c r="ER86">
        <v>22.14244833570967</v>
      </c>
      <c r="ES86">
        <v>9.1893563569752086</v>
      </c>
      <c r="ET86">
        <v>14.102049202086487</v>
      </c>
      <c r="EU86">
        <v>5.3649709129263004</v>
      </c>
      <c r="EV86">
        <v>7.4402646893765336</v>
      </c>
      <c r="EW86">
        <v>1024.7283545926564</v>
      </c>
      <c r="EX86">
        <v>22.090810962052068</v>
      </c>
      <c r="EY86">
        <v>9.0421493991973989</v>
      </c>
      <c r="EZ86">
        <v>14.93241558840206</v>
      </c>
      <c r="FA86">
        <v>5.6321541971244846</v>
      </c>
      <c r="FB86">
        <v>8.0958669206269693</v>
      </c>
      <c r="FC86">
        <v>1108.5943642647183</v>
      </c>
      <c r="FD86">
        <v>22.222344091065111</v>
      </c>
      <c r="FE86">
        <v>9.0806856124713882</v>
      </c>
      <c r="FF86">
        <v>15.126282044260817</v>
      </c>
      <c r="FG86">
        <v>5.7080011449194261</v>
      </c>
      <c r="FH86">
        <v>8.4664495096527013</v>
      </c>
      <c r="FI86">
        <v>1245.553393929561</v>
      </c>
      <c r="FJ86">
        <v>20.821993629062792</v>
      </c>
      <c r="FK86">
        <v>8.5487138333504813</v>
      </c>
    </row>
    <row r="87" spans="2:167" x14ac:dyDescent="0.2">
      <c r="B87">
        <v>734.08122495329951</v>
      </c>
      <c r="C87">
        <v>1.3622470729497511</v>
      </c>
      <c r="D87">
        <v>794.41897368963566</v>
      </c>
      <c r="E87">
        <v>1.2587816166519217</v>
      </c>
      <c r="F87">
        <v>907.47551158829538</v>
      </c>
      <c r="G87">
        <v>1.1019581104175087</v>
      </c>
      <c r="H87">
        <v>1032.0629256038133</v>
      </c>
      <c r="I87">
        <v>0.96893316792185458</v>
      </c>
      <c r="J87">
        <v>1149.496740204065</v>
      </c>
      <c r="K87">
        <v>0.86994592070132759</v>
      </c>
      <c r="L87">
        <v>854.41032291502165</v>
      </c>
      <c r="M87">
        <v>1.1703978441976977</v>
      </c>
      <c r="N87">
        <v>847.43225773815004</v>
      </c>
      <c r="O87">
        <v>1.1800353253828959</v>
      </c>
      <c r="Q87">
        <v>0.1767294953265304</v>
      </c>
      <c r="R87">
        <v>0.17740211360406777</v>
      </c>
      <c r="S87">
        <v>0.17744186149668631</v>
      </c>
      <c r="T87">
        <v>0.17861849671203003</v>
      </c>
      <c r="U87">
        <v>0.17908885252651857</v>
      </c>
      <c r="V87">
        <v>0.17752810291853918</v>
      </c>
      <c r="W87">
        <v>0.17722065864411293</v>
      </c>
      <c r="Y87">
        <v>2.1229202707206509</v>
      </c>
      <c r="Z87">
        <v>2.1601739745088837</v>
      </c>
      <c r="AA87">
        <v>2.2081206332431131</v>
      </c>
      <c r="AB87">
        <v>2.308754015711449</v>
      </c>
      <c r="AC87">
        <v>2.3631495975644974</v>
      </c>
      <c r="AD87">
        <v>2.1844283077416584</v>
      </c>
      <c r="AE87">
        <v>2.1834401718320322</v>
      </c>
      <c r="AG87">
        <v>0.83800438522893161</v>
      </c>
      <c r="AH87">
        <v>0.85431839544170252</v>
      </c>
      <c r="AI87">
        <v>0.87909451297588703</v>
      </c>
      <c r="AJ87">
        <v>0.91293945589969772</v>
      </c>
      <c r="AK87">
        <v>0.93946084182399581</v>
      </c>
      <c r="AL87">
        <v>0.8663984407724814</v>
      </c>
      <c r="AM87">
        <v>0.86667288559381916</v>
      </c>
      <c r="AO87">
        <v>91</v>
      </c>
      <c r="AP87">
        <v>15.966849425623334</v>
      </c>
      <c r="AQ87">
        <v>6.9630716555822882</v>
      </c>
      <c r="AR87">
        <v>7.6673740024380841</v>
      </c>
      <c r="AS87">
        <v>886.22183939467425</v>
      </c>
      <c r="AT87">
        <v>25.756648478870851</v>
      </c>
      <c r="AU87">
        <v>11.394399322908447</v>
      </c>
      <c r="AV87">
        <v>16.725206508698292</v>
      </c>
      <c r="AW87">
        <v>7.1440652707751218</v>
      </c>
      <c r="AX87">
        <v>8.0774910909419742</v>
      </c>
      <c r="AY87">
        <v>935.79120889928822</v>
      </c>
      <c r="AZ87">
        <v>25.805176591964685</v>
      </c>
      <c r="BA87">
        <v>11.259596582778631</v>
      </c>
      <c r="BB87">
        <v>18.413213427758052</v>
      </c>
      <c r="BC87">
        <v>7.5576946035636263</v>
      </c>
      <c r="BD87">
        <v>8.6958767329624411</v>
      </c>
      <c r="BE87">
        <v>1012.5591336848283</v>
      </c>
      <c r="BF87">
        <v>26.559105254597174</v>
      </c>
      <c r="BG87">
        <v>11.291260327873479</v>
      </c>
      <c r="BH87">
        <v>19.594432868592335</v>
      </c>
      <c r="BI87">
        <v>7.9629538586870812</v>
      </c>
      <c r="BJ87">
        <v>9.3407445177356099</v>
      </c>
      <c r="BK87">
        <v>1092.5525770657594</v>
      </c>
      <c r="BL87">
        <v>26.761209903470451</v>
      </c>
      <c r="BM87">
        <v>11.322456092411565</v>
      </c>
      <c r="BN87">
        <v>20.061845336655228</v>
      </c>
      <c r="BO87">
        <v>8.0885102096778745</v>
      </c>
      <c r="BP87">
        <v>9.8967918772869901</v>
      </c>
      <c r="BQ87">
        <v>1223.5973420408893</v>
      </c>
      <c r="BR87">
        <v>25.173921043130761</v>
      </c>
      <c r="BS87">
        <v>10.622314704476526</v>
      </c>
      <c r="BU87">
        <v>91</v>
      </c>
      <c r="BV87">
        <v>15.405011771138959</v>
      </c>
      <c r="BW87">
        <v>5.9218501113809943</v>
      </c>
      <c r="BX87">
        <v>7.4396488717920208</v>
      </c>
      <c r="BY87">
        <v>893.29116979209311</v>
      </c>
      <c r="BZ87">
        <v>24.923863002344948</v>
      </c>
      <c r="CA87">
        <v>10.138624771866882</v>
      </c>
      <c r="CB87">
        <v>16.00103929146184</v>
      </c>
      <c r="CC87">
        <v>6.0413861893156744</v>
      </c>
      <c r="CD87">
        <v>7.8133876896088479</v>
      </c>
      <c r="CE87">
        <v>944.37586272104056</v>
      </c>
      <c r="CF87">
        <v>24.803778989147084</v>
      </c>
      <c r="CG87">
        <v>9.9896161992907277</v>
      </c>
      <c r="CH87">
        <v>17.675069184905755</v>
      </c>
      <c r="CI87">
        <v>6.6761923771740168</v>
      </c>
      <c r="CJ87">
        <v>8.3960129608814995</v>
      </c>
      <c r="CK87">
        <v>1019.1195112597655</v>
      </c>
      <c r="CL87">
        <v>25.663840281947273</v>
      </c>
      <c r="CM87">
        <v>10.353610575435564</v>
      </c>
      <c r="CN87">
        <v>18.825636491944088</v>
      </c>
      <c r="CO87">
        <v>6.9360723588597635</v>
      </c>
      <c r="CP87">
        <v>9.0503307305626652</v>
      </c>
      <c r="CQ87">
        <v>1099.865674024813</v>
      </c>
      <c r="CR87">
        <v>25.884281272827366</v>
      </c>
      <c r="CS87">
        <v>10.313529506872253</v>
      </c>
      <c r="CT87">
        <v>19.105911978755408</v>
      </c>
      <c r="CU87">
        <v>6.934713500170874</v>
      </c>
      <c r="CV87">
        <v>9.4421028637723676</v>
      </c>
      <c r="CW87">
        <v>1232.6319592407453</v>
      </c>
      <c r="CX87">
        <v>24.213885820068057</v>
      </c>
      <c r="CY87">
        <v>9.6084149371784644</v>
      </c>
      <c r="DA87">
        <v>91</v>
      </c>
      <c r="DB87">
        <v>13.428701180419118</v>
      </c>
      <c r="DC87">
        <v>5.3522205364012638</v>
      </c>
      <c r="DD87">
        <v>7.1133395662919803</v>
      </c>
      <c r="DE87">
        <v>891.56894518300123</v>
      </c>
      <c r="DF87">
        <v>22.75534186783333</v>
      </c>
      <c r="DG87">
        <v>9.5193024088813285</v>
      </c>
      <c r="DH87">
        <v>14.024845752637237</v>
      </c>
      <c r="DI87">
        <v>5.7724340246812273</v>
      </c>
      <c r="DJ87">
        <v>7.4937631314852107</v>
      </c>
      <c r="DK87">
        <v>938.85353729584301</v>
      </c>
      <c r="DL87">
        <v>22.84477374880969</v>
      </c>
      <c r="DM87">
        <v>9.7619062907517424</v>
      </c>
      <c r="DN87">
        <v>15.612410192829746</v>
      </c>
      <c r="DO87">
        <v>5.9635860778165144</v>
      </c>
      <c r="DP87">
        <v>8.0520668830716691</v>
      </c>
      <c r="DQ87">
        <v>1015.4994301696951</v>
      </c>
      <c r="DR87">
        <v>23.724150558198648</v>
      </c>
      <c r="DS87">
        <v>9.6887895332547753</v>
      </c>
      <c r="DT87">
        <v>16.670371383307643</v>
      </c>
      <c r="DU87">
        <v>6.1983329689284092</v>
      </c>
      <c r="DV87">
        <v>8.7770678712040855</v>
      </c>
      <c r="DW87">
        <v>1105.4932665663157</v>
      </c>
      <c r="DX87">
        <v>23.802919616038356</v>
      </c>
      <c r="DY87">
        <v>9.5936881874108462</v>
      </c>
      <c r="DZ87">
        <v>16.925355249260452</v>
      </c>
      <c r="EA87">
        <v>6.3279402914591989</v>
      </c>
      <c r="EB87">
        <v>9.1751392869602171</v>
      </c>
      <c r="EC87">
        <v>1239.7855792707232</v>
      </c>
      <c r="ED87">
        <v>22.315352954824096</v>
      </c>
      <c r="EE87">
        <v>9.0635560764551713</v>
      </c>
      <c r="EG87">
        <v>91</v>
      </c>
      <c r="EH87">
        <v>12.596328445258614</v>
      </c>
      <c r="EI87">
        <v>4.939632303080101</v>
      </c>
      <c r="EJ87">
        <v>6.5421973771544071</v>
      </c>
      <c r="EK87">
        <v>887.90959791605985</v>
      </c>
      <c r="EL87">
        <v>21.911671477462182</v>
      </c>
      <c r="EM87">
        <v>9.093860673647665</v>
      </c>
      <c r="EN87">
        <v>13.201946691471969</v>
      </c>
      <c r="EO87">
        <v>5.1952110205696842</v>
      </c>
      <c r="EP87">
        <v>6.9272389004709689</v>
      </c>
      <c r="EQ87">
        <v>935.53925824734495</v>
      </c>
      <c r="ER87">
        <v>22.046105922125754</v>
      </c>
      <c r="ES87">
        <v>9.1794942563925748</v>
      </c>
      <c r="ET87">
        <v>14.141784506944711</v>
      </c>
      <c r="EU87">
        <v>5.3973389348833996</v>
      </c>
      <c r="EV87">
        <v>7.4416958247519025</v>
      </c>
      <c r="EW87">
        <v>1026.4145223968371</v>
      </c>
      <c r="EX87">
        <v>22.039083814209533</v>
      </c>
      <c r="EY87">
        <v>9.0340821420452926</v>
      </c>
      <c r="EZ87">
        <v>14.969404422240718</v>
      </c>
      <c r="FA87">
        <v>5.6749459539053637</v>
      </c>
      <c r="FB87">
        <v>8.105557508994421</v>
      </c>
      <c r="FC87">
        <v>1111.500412679304</v>
      </c>
      <c r="FD87">
        <v>22.143941755048385</v>
      </c>
      <c r="FE87">
        <v>9.0709554064785287</v>
      </c>
      <c r="FF87">
        <v>15.161842099870025</v>
      </c>
      <c r="FG87">
        <v>5.7524449997097706</v>
      </c>
      <c r="FH87">
        <v>8.477363334463595</v>
      </c>
      <c r="FI87">
        <v>1247.7229483119665</v>
      </c>
      <c r="FJ87">
        <v>20.760009003104734</v>
      </c>
      <c r="FK87">
        <v>8.5446619725756463</v>
      </c>
    </row>
    <row r="88" spans="2:167" x14ac:dyDescent="0.2">
      <c r="B88">
        <v>729.85390229112534</v>
      </c>
      <c r="C88">
        <v>1.3701372245333536</v>
      </c>
      <c r="D88">
        <v>789.96337398336846</v>
      </c>
      <c r="E88">
        <v>1.2658814736657065</v>
      </c>
      <c r="F88">
        <v>901.20401872218679</v>
      </c>
      <c r="G88">
        <v>1.1096266541486306</v>
      </c>
      <c r="H88">
        <v>1025.3090062242129</v>
      </c>
      <c r="I88">
        <v>0.97531572816529188</v>
      </c>
      <c r="J88">
        <v>1141.8060568078038</v>
      </c>
      <c r="K88">
        <v>0.87580547855538871</v>
      </c>
      <c r="L88">
        <v>848.77346324524115</v>
      </c>
      <c r="M88">
        <v>1.1781706701533199</v>
      </c>
      <c r="N88">
        <v>842.37054573221519</v>
      </c>
      <c r="O88">
        <v>1.1871260279296307</v>
      </c>
      <c r="Q88">
        <v>0.17856622561695931</v>
      </c>
      <c r="R88">
        <v>0.17923824977973735</v>
      </c>
      <c r="S88">
        <v>0.17926083780649615</v>
      </c>
      <c r="T88">
        <v>0.1804363750025042</v>
      </c>
      <c r="U88">
        <v>0.18090241538202842</v>
      </c>
      <c r="V88">
        <v>0.17935099525945294</v>
      </c>
      <c r="W88">
        <v>0.17905286389673922</v>
      </c>
      <c r="Y88">
        <v>2.1273184186975351</v>
      </c>
      <c r="Z88">
        <v>2.1659957224551061</v>
      </c>
      <c r="AA88">
        <v>2.2127772147937903</v>
      </c>
      <c r="AB88">
        <v>2.3162298770225869</v>
      </c>
      <c r="AC88">
        <v>2.3711721174585421</v>
      </c>
      <c r="AD88">
        <v>2.1897818263660445</v>
      </c>
      <c r="AE88">
        <v>2.1886064805181693</v>
      </c>
      <c r="AG88">
        <v>0.84051915519854437</v>
      </c>
      <c r="AH88">
        <v>0.85740458725886592</v>
      </c>
      <c r="AI88">
        <v>0.88170674974287366</v>
      </c>
      <c r="AJ88">
        <v>0.9166949840509363</v>
      </c>
      <c r="AK88">
        <v>0.94343759312476005</v>
      </c>
      <c r="AL88">
        <v>0.86930784312916398</v>
      </c>
      <c r="AM88">
        <v>0.86948157082381983</v>
      </c>
      <c r="AO88">
        <v>92</v>
      </c>
      <c r="AP88">
        <v>16.033356429029606</v>
      </c>
      <c r="AQ88">
        <v>6.9940478459577209</v>
      </c>
      <c r="AR88">
        <v>7.6816405643764218</v>
      </c>
      <c r="AS88">
        <v>887.80391261542979</v>
      </c>
      <c r="AT88">
        <v>25.741169831876114</v>
      </c>
      <c r="AU88">
        <v>11.388651020815795</v>
      </c>
      <c r="AV88">
        <v>16.798040417545746</v>
      </c>
      <c r="AW88">
        <v>7.1787057907876211</v>
      </c>
      <c r="AX88">
        <v>8.091656122443581</v>
      </c>
      <c r="AY88">
        <v>937.57825654294481</v>
      </c>
      <c r="AZ88">
        <v>25.789269338648346</v>
      </c>
      <c r="BA88">
        <v>11.254787859833714</v>
      </c>
      <c r="BB88">
        <v>18.481745435702766</v>
      </c>
      <c r="BC88">
        <v>7.5935095792355023</v>
      </c>
      <c r="BD88">
        <v>8.7041744113565311</v>
      </c>
      <c r="BE88">
        <v>1014.1362581780143</v>
      </c>
      <c r="BF88">
        <v>26.527594856903924</v>
      </c>
      <c r="BG88">
        <v>11.282607488805647</v>
      </c>
      <c r="BH88">
        <v>19.669198699189973</v>
      </c>
      <c r="BI88">
        <v>8.0030605659292959</v>
      </c>
      <c r="BJ88">
        <v>9.3473071933117566</v>
      </c>
      <c r="BK88">
        <v>1094.3545722254328</v>
      </c>
      <c r="BL88">
        <v>26.727796269784939</v>
      </c>
      <c r="BM88">
        <v>11.314105127583115</v>
      </c>
      <c r="BN88">
        <v>20.138508140760933</v>
      </c>
      <c r="BO88">
        <v>8.129502781534347</v>
      </c>
      <c r="BP88">
        <v>9.9015615629051972</v>
      </c>
      <c r="BQ88">
        <v>1224.7299703789804</v>
      </c>
      <c r="BR88">
        <v>25.154560336300065</v>
      </c>
      <c r="BS88">
        <v>10.619145331364452</v>
      </c>
      <c r="BU88">
        <v>92</v>
      </c>
      <c r="BV88">
        <v>15.465882648849799</v>
      </c>
      <c r="BW88">
        <v>5.9521312905943384</v>
      </c>
      <c r="BX88">
        <v>7.4527573579725939</v>
      </c>
      <c r="BY88">
        <v>894.68210110053019</v>
      </c>
      <c r="BZ88">
        <v>24.909001179798913</v>
      </c>
      <c r="CA88">
        <v>10.136530471743013</v>
      </c>
      <c r="CB88">
        <v>16.068197630616879</v>
      </c>
      <c r="CC88">
        <v>6.0747749291770958</v>
      </c>
      <c r="CD88">
        <v>7.8265281224315366</v>
      </c>
      <c r="CE88">
        <v>945.9357907148617</v>
      </c>
      <c r="CF88">
        <v>24.789859552090906</v>
      </c>
      <c r="CG88">
        <v>9.9883243773161379</v>
      </c>
      <c r="CH88">
        <v>17.738012816575154</v>
      </c>
      <c r="CI88">
        <v>6.7105745292475589</v>
      </c>
      <c r="CJ88">
        <v>8.4035671518188586</v>
      </c>
      <c r="CK88">
        <v>1020.5054837942256</v>
      </c>
      <c r="CL88">
        <v>25.633241156389449</v>
      </c>
      <c r="CM88">
        <v>10.346996129743291</v>
      </c>
      <c r="CN88">
        <v>18.894540956987893</v>
      </c>
      <c r="CO88">
        <v>6.9742056386877787</v>
      </c>
      <c r="CP88">
        <v>9.0560359684311571</v>
      </c>
      <c r="CQ88">
        <v>1101.4784682953182</v>
      </c>
      <c r="CR88">
        <v>25.851643160320478</v>
      </c>
      <c r="CS88">
        <v>10.306863072265227</v>
      </c>
      <c r="CT88">
        <v>19.176803884366365</v>
      </c>
      <c r="CU88">
        <v>6.9735612273095908</v>
      </c>
      <c r="CV88">
        <v>9.4468578167701072</v>
      </c>
      <c r="CW88">
        <v>1233.5173429599549</v>
      </c>
      <c r="CX88">
        <v>24.195719540967495</v>
      </c>
      <c r="CY88">
        <v>9.6063862097575754</v>
      </c>
      <c r="DA88">
        <v>92</v>
      </c>
      <c r="DB88">
        <v>13.43320157125876</v>
      </c>
      <c r="DC88">
        <v>5.3811954278440828</v>
      </c>
      <c r="DD88">
        <v>7.113562850182463</v>
      </c>
      <c r="DE88">
        <v>893.28393212136382</v>
      </c>
      <c r="DF88">
        <v>22.672473673818882</v>
      </c>
      <c r="DG88">
        <v>9.5132535266779747</v>
      </c>
      <c r="DH88">
        <v>14.037826331854372</v>
      </c>
      <c r="DI88">
        <v>5.8071128376317454</v>
      </c>
      <c r="DJ88">
        <v>7.4976991640890311</v>
      </c>
      <c r="DK88">
        <v>941.05563024949765</v>
      </c>
      <c r="DL88">
        <v>22.760869187591155</v>
      </c>
      <c r="DM88">
        <v>9.7556947019101266</v>
      </c>
      <c r="DN88">
        <v>15.619729863549557</v>
      </c>
      <c r="DO88">
        <v>5.998650136048461</v>
      </c>
      <c r="DP88">
        <v>8.0521750791492828</v>
      </c>
      <c r="DQ88">
        <v>1017.3073534813054</v>
      </c>
      <c r="DR88">
        <v>23.631580104302721</v>
      </c>
      <c r="DS88">
        <v>9.6797117059102398</v>
      </c>
      <c r="DT88">
        <v>16.700228160592424</v>
      </c>
      <c r="DU88">
        <v>6.244778642836363</v>
      </c>
      <c r="DV88">
        <v>8.7844641676774433</v>
      </c>
      <c r="DW88">
        <v>1108.4573757474266</v>
      </c>
      <c r="DX88">
        <v>23.709270279365079</v>
      </c>
      <c r="DY88">
        <v>9.5839145341548111</v>
      </c>
      <c r="DZ88">
        <v>16.958909913112031</v>
      </c>
      <c r="EA88">
        <v>6.3764394616981024</v>
      </c>
      <c r="EB88">
        <v>9.183774061628359</v>
      </c>
      <c r="EC88">
        <v>1242.2427193380122</v>
      </c>
      <c r="ED88">
        <v>22.240376439997977</v>
      </c>
      <c r="EE88">
        <v>9.0582315775553646</v>
      </c>
      <c r="EG88">
        <v>92</v>
      </c>
      <c r="EH88">
        <v>12.59672793957713</v>
      </c>
      <c r="EI88">
        <v>4.9660752384642164</v>
      </c>
      <c r="EJ88">
        <v>6.5435095416249851</v>
      </c>
      <c r="EK88">
        <v>890.0163416546095</v>
      </c>
      <c r="EL88">
        <v>21.815872241726098</v>
      </c>
      <c r="EM88">
        <v>9.0817617047027444</v>
      </c>
      <c r="EN88">
        <v>13.203407399602932</v>
      </c>
      <c r="EO88">
        <v>5.226509046489686</v>
      </c>
      <c r="EP88">
        <v>6.9318624117496359</v>
      </c>
      <c r="EQ88">
        <v>937.83674601020334</v>
      </c>
      <c r="ER88">
        <v>21.949262762070926</v>
      </c>
      <c r="ES88">
        <v>9.1700902866863085</v>
      </c>
      <c r="ET88">
        <v>14.178788407264811</v>
      </c>
      <c r="EU88">
        <v>5.4290742389656739</v>
      </c>
      <c r="EV88">
        <v>7.441769233549735</v>
      </c>
      <c r="EW88">
        <v>1027.8130322656102</v>
      </c>
      <c r="EX88">
        <v>21.988083482837826</v>
      </c>
      <c r="EY88">
        <v>9.0266086434689345</v>
      </c>
      <c r="EZ88">
        <v>15.003207786418367</v>
      </c>
      <c r="FA88">
        <v>5.717287009018615</v>
      </c>
      <c r="FB88">
        <v>8.1134077345575317</v>
      </c>
      <c r="FC88">
        <v>1114.1247875054005</v>
      </c>
      <c r="FD88">
        <v>22.065477239423011</v>
      </c>
      <c r="FE88">
        <v>9.0617040688094193</v>
      </c>
      <c r="FF88">
        <v>15.194105485445185</v>
      </c>
      <c r="FG88">
        <v>5.7964637739132119</v>
      </c>
      <c r="FH88">
        <v>8.4863515529588405</v>
      </c>
      <c r="FI88">
        <v>1249.5973772799548</v>
      </c>
      <c r="FJ88">
        <v>20.697179547987343</v>
      </c>
      <c r="FK88">
        <v>8.5407882039111414</v>
      </c>
    </row>
    <row r="89" spans="2:167" x14ac:dyDescent="0.2">
      <c r="B89">
        <v>725.41769747837532</v>
      </c>
      <c r="C89">
        <v>1.3785161341887582</v>
      </c>
      <c r="D89">
        <v>785.27302880162904</v>
      </c>
      <c r="E89">
        <v>1.2734424376271478</v>
      </c>
      <c r="F89">
        <v>894.6094690874113</v>
      </c>
      <c r="G89">
        <v>1.1178061875648346</v>
      </c>
      <c r="H89">
        <v>1018.1749796732925</v>
      </c>
      <c r="I89">
        <v>0.98214945364388706</v>
      </c>
      <c r="J89">
        <v>1133.6731556553559</v>
      </c>
      <c r="K89">
        <v>0.88208845292973181</v>
      </c>
      <c r="L89">
        <v>842.84185449169615</v>
      </c>
      <c r="M89">
        <v>1.186462198893864</v>
      </c>
      <c r="N89">
        <v>837.04706216336479</v>
      </c>
      <c r="O89">
        <v>1.1946759569473671</v>
      </c>
      <c r="Q89">
        <v>0.18040116593659763</v>
      </c>
      <c r="R89">
        <v>0.18107236816828065</v>
      </c>
      <c r="S89">
        <v>0.18107721008740488</v>
      </c>
      <c r="T89">
        <v>0.18225120823083768</v>
      </c>
      <c r="U89">
        <v>0.18271261748282763</v>
      </c>
      <c r="V89">
        <v>0.18117137742590919</v>
      </c>
      <c r="W89">
        <v>0.18088296985444241</v>
      </c>
      <c r="Y89">
        <v>2.1313056592554518</v>
      </c>
      <c r="Z89">
        <v>2.1714337466392331</v>
      </c>
      <c r="AA89">
        <v>2.2169967982423393</v>
      </c>
      <c r="AB89">
        <v>2.3233084084211111</v>
      </c>
      <c r="AC89">
        <v>2.3787965710222112</v>
      </c>
      <c r="AD89">
        <v>2.1947320290877701</v>
      </c>
      <c r="AE89">
        <v>2.193358356384417</v>
      </c>
      <c r="AG89">
        <v>0.84291452453237847</v>
      </c>
      <c r="AH89">
        <v>0.86038163495267195</v>
      </c>
      <c r="AI89">
        <v>0.88418656464747925</v>
      </c>
      <c r="AJ89">
        <v>0.92033640983402931</v>
      </c>
      <c r="AK89">
        <v>0.94729837690361696</v>
      </c>
      <c r="AL89">
        <v>0.87210009449097314</v>
      </c>
      <c r="AM89">
        <v>0.87216716350388823</v>
      </c>
      <c r="AO89">
        <v>93</v>
      </c>
      <c r="AP89">
        <v>16.097459612004283</v>
      </c>
      <c r="AQ89">
        <v>7.0239602694042498</v>
      </c>
      <c r="AR89">
        <v>7.6945018917867261</v>
      </c>
      <c r="AS89">
        <v>889.1798976361481</v>
      </c>
      <c r="AT89">
        <v>25.726810331696193</v>
      </c>
      <c r="AU89">
        <v>11.383361874682764</v>
      </c>
      <c r="AV89">
        <v>16.868358995123142</v>
      </c>
      <c r="AW89">
        <v>7.2123102649982158</v>
      </c>
      <c r="AX89">
        <v>8.104262663208722</v>
      </c>
      <c r="AY89">
        <v>939.14405465996151</v>
      </c>
      <c r="AZ89">
        <v>25.774480556137771</v>
      </c>
      <c r="BA89">
        <v>11.250477157437969</v>
      </c>
      <c r="BB89">
        <v>18.547027653095594</v>
      </c>
      <c r="BC89">
        <v>7.628164103921625</v>
      </c>
      <c r="BD89">
        <v>8.7105248403436839</v>
      </c>
      <c r="BE89">
        <v>1015.4647496427632</v>
      </c>
      <c r="BF89">
        <v>26.49649684217388</v>
      </c>
      <c r="BG89">
        <v>11.274240534382891</v>
      </c>
      <c r="BH89">
        <v>19.740415165882684</v>
      </c>
      <c r="BI89">
        <v>8.0419605124484512</v>
      </c>
      <c r="BJ89">
        <v>9.3516237730428369</v>
      </c>
      <c r="BK89">
        <v>1095.8785144382805</v>
      </c>
      <c r="BL89">
        <v>26.694785772805222</v>
      </c>
      <c r="BM89">
        <v>11.306067780235734</v>
      </c>
      <c r="BN89">
        <v>20.211535284079506</v>
      </c>
      <c r="BO89">
        <v>8.1692799690475226</v>
      </c>
      <c r="BP89">
        <v>9.9038541764394594</v>
      </c>
      <c r="BQ89">
        <v>1225.5303585733079</v>
      </c>
      <c r="BR89">
        <v>25.135711273920684</v>
      </c>
      <c r="BS89">
        <v>10.616327118505614</v>
      </c>
      <c r="BU89">
        <v>93</v>
      </c>
      <c r="BV89">
        <v>15.524296508374981</v>
      </c>
      <c r="BW89">
        <v>5.9816698420035213</v>
      </c>
      <c r="BX89">
        <v>7.4644709274575209</v>
      </c>
      <c r="BY89">
        <v>895.85707609950646</v>
      </c>
      <c r="BZ89">
        <v>24.895265180821859</v>
      </c>
      <c r="CA89">
        <v>10.1350610061782</v>
      </c>
      <c r="CB89">
        <v>16.132844102360423</v>
      </c>
      <c r="CC89">
        <v>6.1074577356531341</v>
      </c>
      <c r="CD89">
        <v>7.8381369758784567</v>
      </c>
      <c r="CE89">
        <v>947.26462767096905</v>
      </c>
      <c r="CF89">
        <v>24.777062921888461</v>
      </c>
      <c r="CG89">
        <v>9.9876696846709905</v>
      </c>
      <c r="CH89">
        <v>17.797717969555027</v>
      </c>
      <c r="CI89">
        <v>6.7440459384101903</v>
      </c>
      <c r="CJ89">
        <v>8.4092215098998402</v>
      </c>
      <c r="CK89">
        <v>1021.6339882952992</v>
      </c>
      <c r="CL89">
        <v>25.603052706139252</v>
      </c>
      <c r="CM89">
        <v>10.340763714973782</v>
      </c>
      <c r="CN89">
        <v>18.959912654597726</v>
      </c>
      <c r="CO89">
        <v>7.0114211247058842</v>
      </c>
      <c r="CP89">
        <v>9.0595367418192403</v>
      </c>
      <c r="CQ89">
        <v>1102.8038951621088</v>
      </c>
      <c r="CR89">
        <v>25.819404328889696</v>
      </c>
      <c r="CS89">
        <v>10.300595985590766</v>
      </c>
      <c r="CT89">
        <v>19.244144633171789</v>
      </c>
      <c r="CU89">
        <v>7.0115213702110033</v>
      </c>
      <c r="CV89">
        <v>9.4492583322876715</v>
      </c>
      <c r="CW89">
        <v>1234.0603467471658</v>
      </c>
      <c r="CX89">
        <v>24.178061209293904</v>
      </c>
      <c r="CY89">
        <v>9.6047754979567586</v>
      </c>
      <c r="DA89">
        <v>93</v>
      </c>
      <c r="DB89">
        <v>13.434336647319938</v>
      </c>
      <c r="DC89">
        <v>5.4095339634095119</v>
      </c>
      <c r="DD89">
        <v>7.1136953572207577</v>
      </c>
      <c r="DE89">
        <v>894.78359216529498</v>
      </c>
      <c r="DF89">
        <v>22.589416915485817</v>
      </c>
      <c r="DG89">
        <v>9.5078076028458511</v>
      </c>
      <c r="DH89">
        <v>14.047477079513838</v>
      </c>
      <c r="DI89">
        <v>5.8411644158946112</v>
      </c>
      <c r="DJ89">
        <v>7.4999577927552732</v>
      </c>
      <c r="DK89">
        <v>943.03822108189183</v>
      </c>
      <c r="DL89">
        <v>22.676777868136075</v>
      </c>
      <c r="DM89">
        <v>9.7500532638469988</v>
      </c>
      <c r="DN89">
        <v>15.622965834356858</v>
      </c>
      <c r="DO89">
        <v>6.0330150722343872</v>
      </c>
      <c r="DP89">
        <v>8.0522888486168309</v>
      </c>
      <c r="DQ89">
        <v>1018.8579895332995</v>
      </c>
      <c r="DR89">
        <v>23.538311481951446</v>
      </c>
      <c r="DS89">
        <v>9.6710679125023784</v>
      </c>
      <c r="DT89">
        <v>16.72623276597497</v>
      </c>
      <c r="DU89">
        <v>6.2907424488917041</v>
      </c>
      <c r="DV89">
        <v>8.7898055828304891</v>
      </c>
      <c r="DW89">
        <v>1111.1645513058984</v>
      </c>
      <c r="DX89">
        <v>23.614918011201432</v>
      </c>
      <c r="DY89">
        <v>9.5745123322042254</v>
      </c>
      <c r="DZ89">
        <v>16.988649061539906</v>
      </c>
      <c r="EA89">
        <v>6.4244750232955408</v>
      </c>
      <c r="EB89">
        <v>9.1902634589001213</v>
      </c>
      <c r="EC89">
        <v>1244.3919799053301</v>
      </c>
      <c r="ED89">
        <v>22.164793307396511</v>
      </c>
      <c r="EE89">
        <v>9.0532777584911859</v>
      </c>
      <c r="EG89">
        <v>93</v>
      </c>
      <c r="EH89">
        <v>12.597147173867979</v>
      </c>
      <c r="EI89">
        <v>4.9919150417616693</v>
      </c>
      <c r="EJ89">
        <v>6.5436050779353323</v>
      </c>
      <c r="EK89">
        <v>892.06971317406669</v>
      </c>
      <c r="EL89">
        <v>21.719659184668732</v>
      </c>
      <c r="EM89">
        <v>9.0685864561624587</v>
      </c>
      <c r="EN89">
        <v>13.203453553706513</v>
      </c>
      <c r="EO89">
        <v>5.2572471020567857</v>
      </c>
      <c r="EP89">
        <v>6.9349912312982989</v>
      </c>
      <c r="EQ89">
        <v>940.01125341751265</v>
      </c>
      <c r="ER89">
        <v>21.85191364480983</v>
      </c>
      <c r="ES89">
        <v>9.1602686034329981</v>
      </c>
      <c r="ET89">
        <v>14.213060941827525</v>
      </c>
      <c r="EU89">
        <v>5.4601768350437538</v>
      </c>
      <c r="EV89">
        <v>7.4418464237772097</v>
      </c>
      <c r="EW89">
        <v>1028.9218377102516</v>
      </c>
      <c r="EX89">
        <v>21.937810039305187</v>
      </c>
      <c r="EY89">
        <v>9.019739141152332</v>
      </c>
      <c r="EZ89">
        <v>15.033825718434313</v>
      </c>
      <c r="FA89">
        <v>5.7591773726428661</v>
      </c>
      <c r="FB89">
        <v>8.1194176090287993</v>
      </c>
      <c r="FC89">
        <v>1116.4646391939675</v>
      </c>
      <c r="FD89">
        <v>21.9869504745119</v>
      </c>
      <c r="FE89">
        <v>9.0529455824365641</v>
      </c>
      <c r="FF89">
        <v>15.223072254379163</v>
      </c>
      <c r="FG89">
        <v>5.8400574840485309</v>
      </c>
      <c r="FH89">
        <v>8.4934141880931548</v>
      </c>
      <c r="FI89">
        <v>1251.1743826341371</v>
      </c>
      <c r="FJ89">
        <v>20.633506071688686</v>
      </c>
      <c r="FK89">
        <v>8.5371062927190202</v>
      </c>
    </row>
    <row r="90" spans="2:167" x14ac:dyDescent="0.2">
      <c r="B90">
        <v>720.7727059056092</v>
      </c>
      <c r="C90">
        <v>1.3873999276145701</v>
      </c>
      <c r="D90">
        <v>780.34806782038811</v>
      </c>
      <c r="E90">
        <v>1.2814794336495607</v>
      </c>
      <c r="F90">
        <v>887.6921102213953</v>
      </c>
      <c r="G90">
        <v>1.1265167150698168</v>
      </c>
      <c r="H90">
        <v>1010.6611901769645</v>
      </c>
      <c r="I90">
        <v>0.98945127182028458</v>
      </c>
      <c r="J90">
        <v>1125.0985360931591</v>
      </c>
      <c r="K90">
        <v>0.88881104002894129</v>
      </c>
      <c r="L90">
        <v>836.61573244589499</v>
      </c>
      <c r="M90">
        <v>1.1952918899533977</v>
      </c>
      <c r="N90">
        <v>831.46196066878497</v>
      </c>
      <c r="O90">
        <v>1.2027008417747118</v>
      </c>
      <c r="Q90">
        <v>0.1822343171028743</v>
      </c>
      <c r="R90">
        <v>0.18290446988434542</v>
      </c>
      <c r="S90">
        <v>0.18289098033471068</v>
      </c>
      <c r="T90">
        <v>0.18406299915464555</v>
      </c>
      <c r="U90">
        <v>0.18451946262383592</v>
      </c>
      <c r="V90">
        <v>0.18298925142598144</v>
      </c>
      <c r="W90">
        <v>0.18271097774932649</v>
      </c>
      <c r="Y90">
        <v>2.1348819934722765</v>
      </c>
      <c r="Z90">
        <v>2.1764880489495377</v>
      </c>
      <c r="AA90">
        <v>2.2207793868993377</v>
      </c>
      <c r="AB90">
        <v>2.3299896152103181</v>
      </c>
      <c r="AC90">
        <v>2.3860229667183672</v>
      </c>
      <c r="AD90">
        <v>2.1992789202551593</v>
      </c>
      <c r="AE90">
        <v>2.1976958017297399</v>
      </c>
      <c r="AG90">
        <v>0.84519049345741226</v>
      </c>
      <c r="AH90">
        <v>0.86324953886243383</v>
      </c>
      <c r="AI90">
        <v>0.88653395853629391</v>
      </c>
      <c r="AJ90">
        <v>0.92386373424982127</v>
      </c>
      <c r="AK90">
        <v>0.95104319504617385</v>
      </c>
      <c r="AL90">
        <v>0.87477519591742714</v>
      </c>
      <c r="AM90">
        <v>0.87472966419057474</v>
      </c>
      <c r="AO90">
        <v>94</v>
      </c>
      <c r="AP90">
        <v>16.15915898921919</v>
      </c>
      <c r="AQ90">
        <v>7.0528089332454016</v>
      </c>
      <c r="AR90">
        <v>7.7059579942069494</v>
      </c>
      <c r="AS90">
        <v>890.34928908226561</v>
      </c>
      <c r="AT90">
        <v>25.713570431217423</v>
      </c>
      <c r="AU90">
        <v>11.378533007262549</v>
      </c>
      <c r="AV90">
        <v>16.936162265214918</v>
      </c>
      <c r="AW90">
        <v>7.2448787031501141</v>
      </c>
      <c r="AX90">
        <v>8.1153107282021892</v>
      </c>
      <c r="AY90">
        <v>940.4880588074667</v>
      </c>
      <c r="AZ90">
        <v>25.760810447342894</v>
      </c>
      <c r="BA90">
        <v>11.246666055695705</v>
      </c>
      <c r="BB90">
        <v>18.609060140807351</v>
      </c>
      <c r="BC90">
        <v>7.6616581979622822</v>
      </c>
      <c r="BD90">
        <v>8.7149280492067032</v>
      </c>
      <c r="BE90">
        <v>1016.5437385082124</v>
      </c>
      <c r="BF90">
        <v>26.465811749721105</v>
      </c>
      <c r="BG90">
        <v>11.266162901627306</v>
      </c>
      <c r="BH90">
        <v>19.808082361563301</v>
      </c>
      <c r="BI90">
        <v>8.0796537291484682</v>
      </c>
      <c r="BJ90">
        <v>9.3536942996274597</v>
      </c>
      <c r="BK90">
        <v>1097.1234441806469</v>
      </c>
      <c r="BL90">
        <v>26.662177968881704</v>
      </c>
      <c r="BM90">
        <v>11.29834788195282</v>
      </c>
      <c r="BN90">
        <v>20.280926913769708</v>
      </c>
      <c r="BO90">
        <v>8.2078418216425231</v>
      </c>
      <c r="BP90">
        <v>9.9036697866627161</v>
      </c>
      <c r="BQ90">
        <v>1225.9975487252725</v>
      </c>
      <c r="BR90">
        <v>25.117381080445064</v>
      </c>
      <c r="BS90">
        <v>10.613867159488326</v>
      </c>
      <c r="BU90">
        <v>94</v>
      </c>
      <c r="BV90">
        <v>15.580253365425051</v>
      </c>
      <c r="BW90">
        <v>6.0104657690461938</v>
      </c>
      <c r="BX90">
        <v>7.4747895895826453</v>
      </c>
      <c r="BY90">
        <v>896.81562239789673</v>
      </c>
      <c r="BZ90">
        <v>24.88265477550561</v>
      </c>
      <c r="CA90">
        <v>10.134218653902668</v>
      </c>
      <c r="CB90">
        <v>16.194978730962259</v>
      </c>
      <c r="CC90">
        <v>6.1394346141588994</v>
      </c>
      <c r="CD90">
        <v>7.8482142644855024</v>
      </c>
      <c r="CE90">
        <v>948.36186821590195</v>
      </c>
      <c r="CF90">
        <v>24.765389524633513</v>
      </c>
      <c r="CG90">
        <v>9.9876548765133535</v>
      </c>
      <c r="CH90">
        <v>17.854184705002393</v>
      </c>
      <c r="CI90">
        <v>6.7766066197392121</v>
      </c>
      <c r="CJ90">
        <v>8.412976063297247</v>
      </c>
      <c r="CK90">
        <v>1022.5041423909061</v>
      </c>
      <c r="CL90">
        <v>25.573275157367885</v>
      </c>
      <c r="CM90">
        <v>10.334917325351723</v>
      </c>
      <c r="CN90">
        <v>19.021751677572972</v>
      </c>
      <c r="CO90">
        <v>7.047718839610563</v>
      </c>
      <c r="CP90">
        <v>9.0608330918672415</v>
      </c>
      <c r="CQ90">
        <v>1103.8409800487107</v>
      </c>
      <c r="CR90">
        <v>25.78756392730627</v>
      </c>
      <c r="CS90">
        <v>10.294732355162088</v>
      </c>
      <c r="CT90">
        <v>19.307934368782234</v>
      </c>
      <c r="CU90">
        <v>7.0485939647851632</v>
      </c>
      <c r="CV90">
        <v>9.4493044760572751</v>
      </c>
      <c r="CW90">
        <v>1234.26001044486</v>
      </c>
      <c r="CX90">
        <v>24.160918151507225</v>
      </c>
      <c r="CY90">
        <v>9.6035901372991468</v>
      </c>
      <c r="DA90">
        <v>94</v>
      </c>
      <c r="DB90">
        <v>13.434463403109003</v>
      </c>
      <c r="DC90">
        <v>5.4372361469886448</v>
      </c>
      <c r="DD90">
        <v>7.1138341006066454</v>
      </c>
      <c r="DE90">
        <v>896.17041455706249</v>
      </c>
      <c r="DF90">
        <v>22.506169852817383</v>
      </c>
      <c r="DG90">
        <v>9.5018713508493615</v>
      </c>
      <c r="DH90">
        <v>14.053798001102122</v>
      </c>
      <c r="DI90">
        <v>5.8745887651074842</v>
      </c>
      <c r="DJ90">
        <v>7.5005390189331589</v>
      </c>
      <c r="DK90">
        <v>944.79897169290871</v>
      </c>
      <c r="DL90">
        <v>22.592499554237225</v>
      </c>
      <c r="DM90">
        <v>9.7449991634062201</v>
      </c>
      <c r="DN90">
        <v>15.62278981686346</v>
      </c>
      <c r="DO90">
        <v>6.0666808978386975</v>
      </c>
      <c r="DP90">
        <v>8.0524081872037865</v>
      </c>
      <c r="DQ90">
        <v>1020.1772817201404</v>
      </c>
      <c r="DR90">
        <v>23.444341805420933</v>
      </c>
      <c r="DS90">
        <v>9.6626049522668556</v>
      </c>
      <c r="DT90">
        <v>16.748385237295143</v>
      </c>
      <c r="DU90">
        <v>6.3362243985621847</v>
      </c>
      <c r="DV90">
        <v>8.793092129677154</v>
      </c>
      <c r="DW90">
        <v>1113.6120921255861</v>
      </c>
      <c r="DX90">
        <v>23.519862601631065</v>
      </c>
      <c r="DY90">
        <v>9.5654968965725082</v>
      </c>
      <c r="DZ90">
        <v>17.014572758675182</v>
      </c>
      <c r="EA90">
        <v>6.4720469953181654</v>
      </c>
      <c r="EB90">
        <v>9.1946075046792259</v>
      </c>
      <c r="EC90">
        <v>1246.2305009297706</v>
      </c>
      <c r="ED90">
        <v>22.088605165250186</v>
      </c>
      <c r="EE90">
        <v>9.048711522700474</v>
      </c>
      <c r="EG90">
        <v>94</v>
      </c>
      <c r="EH90">
        <v>12.597586139116476</v>
      </c>
      <c r="EI90">
        <v>5.0171517166982529</v>
      </c>
      <c r="EJ90">
        <v>6.5437051105927928</v>
      </c>
      <c r="EK90">
        <v>894.06914985076753</v>
      </c>
      <c r="EL90">
        <v>21.623032520835046</v>
      </c>
      <c r="EM90">
        <v>9.0543461415924682</v>
      </c>
      <c r="EN90">
        <v>13.203502016484936</v>
      </c>
      <c r="EO90">
        <v>5.2874251922760518</v>
      </c>
      <c r="EP90">
        <v>6.9366253607824557</v>
      </c>
      <c r="EQ90">
        <v>942.1266203677643</v>
      </c>
      <c r="ER90">
        <v>21.754055048564787</v>
      </c>
      <c r="ES90">
        <v>9.1494088263191138</v>
      </c>
      <c r="ET90">
        <v>14.244602151396048</v>
      </c>
      <c r="EU90">
        <v>5.4906467334928539</v>
      </c>
      <c r="EV90">
        <v>7.4419273925368605</v>
      </c>
      <c r="EW90">
        <v>1029.7389361511582</v>
      </c>
      <c r="EX90">
        <v>21.888263556925637</v>
      </c>
      <c r="EY90">
        <v>9.0134844515880861</v>
      </c>
      <c r="EZ90">
        <v>15.061258257880862</v>
      </c>
      <c r="FA90">
        <v>5.8006170555248575</v>
      </c>
      <c r="FB90">
        <v>8.1235871447744366</v>
      </c>
      <c r="FC90">
        <v>1118.5170804977347</v>
      </c>
      <c r="FD90">
        <v>21.908361388625259</v>
      </c>
      <c r="FE90">
        <v>9.0446948415608688</v>
      </c>
      <c r="FF90">
        <v>15.248742463103978</v>
      </c>
      <c r="FG90">
        <v>5.8832261475747769</v>
      </c>
      <c r="FH90">
        <v>8.4985512641278511</v>
      </c>
      <c r="FI90">
        <v>1252.4515703890165</v>
      </c>
      <c r="FJ90">
        <v>20.568989487040028</v>
      </c>
      <c r="FK90">
        <v>8.5336309192705055</v>
      </c>
    </row>
    <row r="91" spans="2:167" x14ac:dyDescent="0.2">
      <c r="B91">
        <v>715.91902742955256</v>
      </c>
      <c r="C91">
        <v>1.3968060097388617</v>
      </c>
      <c r="D91">
        <v>775.18862716362798</v>
      </c>
      <c r="E91">
        <v>1.2900086055944142</v>
      </c>
      <c r="F91">
        <v>880.45220167698335</v>
      </c>
      <c r="G91">
        <v>1.1357799981592593</v>
      </c>
      <c r="H91">
        <v>1002.7680001169196</v>
      </c>
      <c r="I91">
        <v>0.99723964055833769</v>
      </c>
      <c r="J91">
        <v>1116.0827242836758</v>
      </c>
      <c r="K91">
        <v>0.89599093171325628</v>
      </c>
      <c r="L91">
        <v>830.09534450544447</v>
      </c>
      <c r="M91">
        <v>1.2046808919230616</v>
      </c>
      <c r="N91">
        <v>825.61540238761711</v>
      </c>
      <c r="O91">
        <v>1.2112177136086317</v>
      </c>
      <c r="Q91">
        <v>0.18406567997149012</v>
      </c>
      <c r="R91">
        <v>0.18473455609800407</v>
      </c>
      <c r="S91">
        <v>0.18470215064056331</v>
      </c>
      <c r="T91">
        <v>0.18587175067699008</v>
      </c>
      <c r="U91">
        <v>0.18632295480376881</v>
      </c>
      <c r="V91">
        <v>0.18480461936658429</v>
      </c>
      <c r="W91">
        <v>0.18453688887365777</v>
      </c>
      <c r="Y91">
        <v>2.1380474224763493</v>
      </c>
      <c r="Z91">
        <v>2.1811586313681852</v>
      </c>
      <c r="AA91">
        <v>2.2241249842360546</v>
      </c>
      <c r="AB91">
        <v>2.3362735029732238</v>
      </c>
      <c r="AC91">
        <v>2.3928513134643472</v>
      </c>
      <c r="AD91">
        <v>2.2034225044305655</v>
      </c>
      <c r="AE91">
        <v>2.2016188189653594</v>
      </c>
      <c r="AG91">
        <v>0.84734706221125022</v>
      </c>
      <c r="AH91">
        <v>0.86600829934433643</v>
      </c>
      <c r="AI91">
        <v>0.88874893229700058</v>
      </c>
      <c r="AJ91">
        <v>0.92727695835194468</v>
      </c>
      <c r="AK91">
        <v>0.95467204953929918</v>
      </c>
      <c r="AL91">
        <v>0.87733314852019462</v>
      </c>
      <c r="AM91">
        <v>0.87716907346760575</v>
      </c>
      <c r="AO91">
        <v>95</v>
      </c>
      <c r="AP91">
        <v>16.218454576033078</v>
      </c>
      <c r="AQ91">
        <v>7.0805938451475861</v>
      </c>
      <c r="AR91">
        <v>7.7160088816216046</v>
      </c>
      <c r="AS91">
        <v>891.31163579099564</v>
      </c>
      <c r="AT91">
        <v>25.701450590853202</v>
      </c>
      <c r="AU91">
        <v>11.374165493518522</v>
      </c>
      <c r="AV91">
        <v>17.001450252788171</v>
      </c>
      <c r="AW91">
        <v>7.2764111154709994</v>
      </c>
      <c r="AX91">
        <v>8.1248003331328871</v>
      </c>
      <c r="AY91">
        <v>941.60978336204118</v>
      </c>
      <c r="AZ91">
        <v>25.748259218843714</v>
      </c>
      <c r="BA91">
        <v>11.243356149054277</v>
      </c>
      <c r="BB91">
        <v>18.667842962663528</v>
      </c>
      <c r="BC91">
        <v>7.6939918826850739</v>
      </c>
      <c r="BD91">
        <v>8.7173840686497694</v>
      </c>
      <c r="BE91">
        <v>1017.3723782016154</v>
      </c>
      <c r="BF91">
        <v>26.435540133962089</v>
      </c>
      <c r="BG91">
        <v>11.258378205818328</v>
      </c>
      <c r="BH91">
        <v>19.872200384024133</v>
      </c>
      <c r="BI91">
        <v>8.1161402485632514</v>
      </c>
      <c r="BJ91">
        <v>9.3535188180163296</v>
      </c>
      <c r="BK91">
        <v>1098.0884297118353</v>
      </c>
      <c r="BL91">
        <v>26.629972401030081</v>
      </c>
      <c r="BM91">
        <v>11.290949487844262</v>
      </c>
      <c r="BN91">
        <v>20.346683184893052</v>
      </c>
      <c r="BO91">
        <v>8.2451883913987079</v>
      </c>
      <c r="BP91">
        <v>9.9024280758351377</v>
      </c>
      <c r="BQ91">
        <v>1226.1306178465595</v>
      </c>
      <c r="BR91">
        <v>25.099577249486</v>
      </c>
      <c r="BS91">
        <v>10.611772902550927</v>
      </c>
      <c r="BU91">
        <v>95</v>
      </c>
      <c r="BV91">
        <v>15.633753236446143</v>
      </c>
      <c r="BW91">
        <v>6.0385190753209574</v>
      </c>
      <c r="BX91">
        <v>7.4837133541208996</v>
      </c>
      <c r="BY91">
        <v>897.55732725708469</v>
      </c>
      <c r="BZ91">
        <v>24.871169730146818</v>
      </c>
      <c r="CA91">
        <v>10.134005935593642</v>
      </c>
      <c r="CB91">
        <v>16.25460154189895</v>
      </c>
      <c r="CC91">
        <v>6.1707055703787752</v>
      </c>
      <c r="CD91">
        <v>7.8567600035113596</v>
      </c>
      <c r="CE91">
        <v>949.22707112431146</v>
      </c>
      <c r="CF91">
        <v>24.75483979432207</v>
      </c>
      <c r="CG91">
        <v>9.9882829842295866</v>
      </c>
      <c r="CH91">
        <v>17.907413087042784</v>
      </c>
      <c r="CI91">
        <v>6.8082565890437836</v>
      </c>
      <c r="CJ91">
        <v>8.4148308415513693</v>
      </c>
      <c r="CK91">
        <v>1023.1150887214962</v>
      </c>
      <c r="CL91">
        <v>25.543908742632755</v>
      </c>
      <c r="CM91">
        <v>10.329461301867413</v>
      </c>
      <c r="CN91">
        <v>19.080058123607575</v>
      </c>
      <c r="CO91">
        <v>7.0830988072953938</v>
      </c>
      <c r="CP91">
        <v>9.0599250618853784</v>
      </c>
      <c r="CQ91">
        <v>1104.5887783267378</v>
      </c>
      <c r="CR91">
        <v>25.756121078648668</v>
      </c>
      <c r="CS91">
        <v>10.289276674538877</v>
      </c>
      <c r="CT91">
        <v>19.368173242520495</v>
      </c>
      <c r="CU91">
        <v>7.0847790488705717</v>
      </c>
      <c r="CV91">
        <v>9.4481176662183923</v>
      </c>
      <c r="CW91">
        <v>1234.1154111940714</v>
      </c>
      <c r="CX91">
        <v>24.14429797080092</v>
      </c>
      <c r="CY91">
        <v>9.6028379642853121</v>
      </c>
      <c r="DA91">
        <v>95</v>
      </c>
      <c r="DB91">
        <v>13.434595853692704</v>
      </c>
      <c r="DC91">
        <v>5.4643019826547556</v>
      </c>
      <c r="DD91">
        <v>7.1139790773574587</v>
      </c>
      <c r="DE91">
        <v>897.48847067986992</v>
      </c>
      <c r="DF91">
        <v>22.422731771417521</v>
      </c>
      <c r="DG91">
        <v>9.4949790082955712</v>
      </c>
      <c r="DH91">
        <v>14.056789102378522</v>
      </c>
      <c r="DI91">
        <v>5.9073858911883503</v>
      </c>
      <c r="DJ91">
        <v>7.5004813584338255</v>
      </c>
      <c r="DK91">
        <v>946.33550073286142</v>
      </c>
      <c r="DL91">
        <v>22.508034009186161</v>
      </c>
      <c r="DM91">
        <v>9.7405506993578381</v>
      </c>
      <c r="DN91">
        <v>15.622605591846499</v>
      </c>
      <c r="DO91">
        <v>6.0996476248822749</v>
      </c>
      <c r="DP91">
        <v>8.0525330904323322</v>
      </c>
      <c r="DQ91">
        <v>1021.4090350349957</v>
      </c>
      <c r="DR91">
        <v>23.349657332431068</v>
      </c>
      <c r="DS91">
        <v>9.6529582311811239</v>
      </c>
      <c r="DT91">
        <v>16.766685614388614</v>
      </c>
      <c r="DU91">
        <v>6.3812245039204143</v>
      </c>
      <c r="DV91">
        <v>8.7943238219177555</v>
      </c>
      <c r="DW91">
        <v>1115.7972143841148</v>
      </c>
      <c r="DX91">
        <v>23.424103834053458</v>
      </c>
      <c r="DY91">
        <v>9.5568846300675379</v>
      </c>
      <c r="DZ91">
        <v>17.03668107209289</v>
      </c>
      <c r="EA91">
        <v>6.5191553978565491</v>
      </c>
      <c r="EB91">
        <v>9.1968062262604686</v>
      </c>
      <c r="EC91">
        <v>1247.7553380343688</v>
      </c>
      <c r="ED91">
        <v>22.011813703050681</v>
      </c>
      <c r="EE91">
        <v>9.0445509050582285</v>
      </c>
      <c r="EG91">
        <v>95</v>
      </c>
      <c r="EH91">
        <v>12.598044825885868</v>
      </c>
      <c r="EI91">
        <v>5.0417852671741983</v>
      </c>
      <c r="EJ91">
        <v>6.5438096374468921</v>
      </c>
      <c r="EK91">
        <v>896.014074754494</v>
      </c>
      <c r="EL91">
        <v>21.525992461080893</v>
      </c>
      <c r="EM91">
        <v>9.0390516198434092</v>
      </c>
      <c r="EN91">
        <v>13.203552786598705</v>
      </c>
      <c r="EO91">
        <v>5.3170433224014308</v>
      </c>
      <c r="EP91">
        <v>6.936764801950412</v>
      </c>
      <c r="EQ91">
        <v>944.1822444688064</v>
      </c>
      <c r="ER91">
        <v>21.655687171197556</v>
      </c>
      <c r="ES91">
        <v>9.1375223430064576</v>
      </c>
      <c r="ET91">
        <v>14.273412078712205</v>
      </c>
      <c r="EU91">
        <v>5.5204839451918009</v>
      </c>
      <c r="EV91">
        <v>7.4420121367905834</v>
      </c>
      <c r="EW91">
        <v>1030.2623700805957</v>
      </c>
      <c r="EX91">
        <v>21.839444111136245</v>
      </c>
      <c r="EY91">
        <v>9.0078560005325272</v>
      </c>
      <c r="EZ91">
        <v>15.085505446438573</v>
      </c>
      <c r="FA91">
        <v>5.8416060689781588</v>
      </c>
      <c r="FB91">
        <v>8.1259163548129134</v>
      </c>
      <c r="FC91">
        <v>1120.2791856958816</v>
      </c>
      <c r="FD91">
        <v>21.82970990783889</v>
      </c>
      <c r="FE91">
        <v>9.0369676976447657</v>
      </c>
      <c r="FF91">
        <v>15.271116171082173</v>
      </c>
      <c r="FG91">
        <v>5.9259697828885862</v>
      </c>
      <c r="FH91">
        <v>8.501762806627136</v>
      </c>
      <c r="FI91">
        <v>1253.426447380645</v>
      </c>
      <c r="FJ91">
        <v>20.5036308277164</v>
      </c>
      <c r="FK91">
        <v>8.5303777332017461</v>
      </c>
    </row>
    <row r="92" spans="2:167" x14ac:dyDescent="0.2">
      <c r="B92">
        <v>710.8567663677369</v>
      </c>
      <c r="C92">
        <v>1.4067531566305511</v>
      </c>
      <c r="D92">
        <v>769.79484939395161</v>
      </c>
      <c r="E92">
        <v>1.2990474030675647</v>
      </c>
      <c r="F92">
        <v>872.89001499813639</v>
      </c>
      <c r="G92">
        <v>1.1456197033049289</v>
      </c>
      <c r="H92">
        <v>994.49578998702111</v>
      </c>
      <c r="I92">
        <v>1.0055346740211446</v>
      </c>
      <c r="J92">
        <v>1106.6262731248896</v>
      </c>
      <c r="K92">
        <v>0.90364744113313111</v>
      </c>
      <c r="L92">
        <v>823.2809496495239</v>
      </c>
      <c r="M92">
        <v>1.2146521797033036</v>
      </c>
      <c r="N92">
        <v>819.50755594935004</v>
      </c>
      <c r="O92">
        <v>1.2202450029170999</v>
      </c>
      <c r="Q92">
        <v>0.18589525543637178</v>
      </c>
      <c r="R92">
        <v>0.18656262803467313</v>
      </c>
      <c r="S92">
        <v>0.18651072319376788</v>
      </c>
      <c r="T92">
        <v>0.18767746584603123</v>
      </c>
      <c r="U92">
        <v>0.18812309822452561</v>
      </c>
      <c r="V92">
        <v>0.18661748345326465</v>
      </c>
      <c r="W92">
        <v>0.18636070457977194</v>
      </c>
      <c r="Y92">
        <v>2.1408019474464157</v>
      </c>
      <c r="Z92">
        <v>2.1854454959710954</v>
      </c>
      <c r="AA92">
        <v>2.227033593884133</v>
      </c>
      <c r="AB92">
        <v>2.342160077571886</v>
      </c>
      <c r="AC92">
        <v>2.3992816206305987</v>
      </c>
      <c r="AD92">
        <v>2.207162786389925</v>
      </c>
      <c r="AE92">
        <v>2.2051274106145753</v>
      </c>
      <c r="AG92">
        <v>0.84938423104211203</v>
      </c>
      <c r="AH92">
        <v>0.86865791677141246</v>
      </c>
      <c r="AI92">
        <v>0.8908314868582925</v>
      </c>
      <c r="AJ92">
        <v>0.93057608324669405</v>
      </c>
      <c r="AK92">
        <v>0.95818494247081909</v>
      </c>
      <c r="AL92">
        <v>0.87977395346298592</v>
      </c>
      <c r="AM92">
        <v>0.87948539194584141</v>
      </c>
      <c r="AO92">
        <v>96</v>
      </c>
      <c r="AP92">
        <v>16.27534638849081</v>
      </c>
      <c r="AQ92">
        <v>7.1073150131196821</v>
      </c>
      <c r="AR92">
        <v>7.7246545644612343</v>
      </c>
      <c r="AS92">
        <v>892.06654115218794</v>
      </c>
      <c r="AT92">
        <v>25.690451279375097</v>
      </c>
      <c r="AU92">
        <v>11.370260362856369</v>
      </c>
      <c r="AV92">
        <v>17.064222983990934</v>
      </c>
      <c r="AW92">
        <v>7.306907512672316</v>
      </c>
      <c r="AX92">
        <v>8.1327314944527416</v>
      </c>
      <c r="AY92">
        <v>942.50880188667873</v>
      </c>
      <c r="AZ92">
        <v>25.736827081265336</v>
      </c>
      <c r="BA92">
        <v>11.240549049305303</v>
      </c>
      <c r="BB92">
        <v>18.723376185438255</v>
      </c>
      <c r="BC92">
        <v>7.7251651804029144</v>
      </c>
      <c r="BD92">
        <v>8.7178929307955801</v>
      </c>
      <c r="BE92">
        <v>1017.9498454069202</v>
      </c>
      <c r="BF92">
        <v>26.405682565662985</v>
      </c>
      <c r="BG92">
        <v>11.250890248796335</v>
      </c>
      <c r="BH92">
        <v>19.932769335945281</v>
      </c>
      <c r="BI92">
        <v>8.1514201048527806</v>
      </c>
      <c r="BJ92">
        <v>9.3524927131031497</v>
      </c>
      <c r="BK92">
        <v>1098.7725673683917</v>
      </c>
      <c r="BL92">
        <v>26.598168597874597</v>
      </c>
      <c r="BM92">
        <v>11.283876886084895</v>
      </c>
      <c r="BN92">
        <v>20.408804260390056</v>
      </c>
      <c r="BO92">
        <v>8.2813197330417072</v>
      </c>
      <c r="BP92">
        <v>9.9011256775550436</v>
      </c>
      <c r="BQ92">
        <v>1225.9286781713683</v>
      </c>
      <c r="BR92">
        <v>25.082307563222461</v>
      </c>
      <c r="BS92">
        <v>10.610052170264444</v>
      </c>
      <c r="BU92">
        <v>96</v>
      </c>
      <c r="BV92">
        <v>15.684796138619058</v>
      </c>
      <c r="BW92">
        <v>6.065829764587173</v>
      </c>
      <c r="BX92">
        <v>7.4912422312817988</v>
      </c>
      <c r="BY92">
        <v>898.08183792346097</v>
      </c>
      <c r="BZ92">
        <v>24.860809806802944</v>
      </c>
      <c r="CA92">
        <v>10.134425618054056</v>
      </c>
      <c r="CB92">
        <v>16.311712561852097</v>
      </c>
      <c r="CC92">
        <v>6.2012706102660102</v>
      </c>
      <c r="CD92">
        <v>7.86377420893644</v>
      </c>
      <c r="CE92">
        <v>949.85985967413217</v>
      </c>
      <c r="CF92">
        <v>24.745414173679176</v>
      </c>
      <c r="CG92">
        <v>9.9895573204432022</v>
      </c>
      <c r="CH92">
        <v>17.957403182764299</v>
      </c>
      <c r="CI92">
        <v>6.8389958628634275</v>
      </c>
      <c r="CJ92">
        <v>8.4147858755672527</v>
      </c>
      <c r="CK92">
        <v>1023.4659952156749</v>
      </c>
      <c r="CL92">
        <v>25.51495370142117</v>
      </c>
      <c r="CM92">
        <v>10.324400342862642</v>
      </c>
      <c r="CN92">
        <v>19.134832095278345</v>
      </c>
      <c r="CO92">
        <v>7.1175610528481776</v>
      </c>
      <c r="CP92">
        <v>9.05893640474447</v>
      </c>
      <c r="CQ92">
        <v>1105.0463756281306</v>
      </c>
      <c r="CR92">
        <v>25.725074878199901</v>
      </c>
      <c r="CS92">
        <v>10.284233833650566</v>
      </c>
      <c r="CT92">
        <v>19.424861413398407</v>
      </c>
      <c r="CU92">
        <v>7.1200766622283869</v>
      </c>
      <c r="CV92">
        <v>9.4468728521613414</v>
      </c>
      <c r="CW92">
        <v>1233.6256637623148</v>
      </c>
      <c r="CX92">
        <v>24.128208567499691</v>
      </c>
      <c r="CY92">
        <v>9.6025273383827763</v>
      </c>
      <c r="DA92">
        <v>96</v>
      </c>
      <c r="DB92">
        <v>13.434733996224352</v>
      </c>
      <c r="DC92">
        <v>5.4907314746630762</v>
      </c>
      <c r="DD92">
        <v>7.1141302843572909</v>
      </c>
      <c r="DE92">
        <v>898.73706605023165</v>
      </c>
      <c r="DF92">
        <v>22.3391027026389</v>
      </c>
      <c r="DG92">
        <v>9.4871410310342537</v>
      </c>
      <c r="DH92">
        <v>14.056560896122136</v>
      </c>
      <c r="DI92">
        <v>5.9395558003351114</v>
      </c>
      <c r="DJ92">
        <v>7.5004210790469346</v>
      </c>
      <c r="DK92">
        <v>947.65033252952412</v>
      </c>
      <c r="DL92">
        <v>22.423380480581631</v>
      </c>
      <c r="DM92">
        <v>9.7366764807044639</v>
      </c>
      <c r="DN92">
        <v>15.622413166215619</v>
      </c>
      <c r="DO92">
        <v>6.1319152659413581</v>
      </c>
      <c r="DP92">
        <v>8.0526635536177817</v>
      </c>
      <c r="DQ92">
        <v>1022.5523881347344</v>
      </c>
      <c r="DR92">
        <v>23.254258405022725</v>
      </c>
      <c r="DS92">
        <v>9.6421388179201735</v>
      </c>
      <c r="DT92">
        <v>16.781133939082075</v>
      </c>
      <c r="DU92">
        <v>6.4257427776424025</v>
      </c>
      <c r="DV92">
        <v>8.7940110799726892</v>
      </c>
      <c r="DW92">
        <v>1117.7170490493136</v>
      </c>
      <c r="DX92">
        <v>23.327641483949868</v>
      </c>
      <c r="DY92">
        <v>9.5486930774293786</v>
      </c>
      <c r="DZ92">
        <v>17.054974072801762</v>
      </c>
      <c r="EA92">
        <v>6.565800252022111</v>
      </c>
      <c r="EB92">
        <v>9.1968596523255695</v>
      </c>
      <c r="EC92">
        <v>1248.9634598582159</v>
      </c>
      <c r="ED92">
        <v>21.934420701139395</v>
      </c>
      <c r="EE92">
        <v>9.0408151353633635</v>
      </c>
      <c r="EG92">
        <v>96</v>
      </c>
      <c r="EH92">
        <v>12.598523224317844</v>
      </c>
      <c r="EI92">
        <v>5.0658156972639716</v>
      </c>
      <c r="EJ92">
        <v>6.5439186562510896</v>
      </c>
      <c r="EK92">
        <v>897.90389621630698</v>
      </c>
      <c r="EL92">
        <v>21.428539212645131</v>
      </c>
      <c r="EM92">
        <v>9.0227134019315081</v>
      </c>
      <c r="EN92">
        <v>13.203605862644974</v>
      </c>
      <c r="EO92">
        <v>5.3461014979353703</v>
      </c>
      <c r="EP92">
        <v>6.9366955269940229</v>
      </c>
      <c r="EQ92">
        <v>946.17750673681189</v>
      </c>
      <c r="ER92">
        <v>21.556810207553951</v>
      </c>
      <c r="ES92">
        <v>9.1246202121709619</v>
      </c>
      <c r="ET92">
        <v>14.299490768492481</v>
      </c>
      <c r="EU92">
        <v>5.5496884815220122</v>
      </c>
      <c r="EV92">
        <v>7.4421006533599128</v>
      </c>
      <c r="EW92">
        <v>1030.4902282184446</v>
      </c>
      <c r="EX92">
        <v>21.791351779684092</v>
      </c>
      <c r="EY92">
        <v>9.0028658560020087</v>
      </c>
      <c r="EZ92">
        <v>15.106567327871224</v>
      </c>
      <c r="FA92">
        <v>5.8821444248817967</v>
      </c>
      <c r="FB92">
        <v>8.1264052528133561</v>
      </c>
      <c r="FC92">
        <v>1121.7479897993794</v>
      </c>
      <c r="FD92">
        <v>21.750995955761553</v>
      </c>
      <c r="FE92">
        <v>9.0297810097550784</v>
      </c>
      <c r="FF92">
        <v>15.290193440797728</v>
      </c>
      <c r="FG92">
        <v>5.9682884093213699</v>
      </c>
      <c r="FH92">
        <v>8.5030488424541932</v>
      </c>
      <c r="FI92">
        <v>1254.0964177075841</v>
      </c>
      <c r="FJ92">
        <v>20.437431265235407</v>
      </c>
      <c r="FK92">
        <v>8.5273634129738394</v>
      </c>
    </row>
    <row r="93" spans="2:167" x14ac:dyDescent="0.2">
      <c r="B93">
        <v>705.58603149289979</v>
      </c>
      <c r="C93">
        <v>1.4172616171045371</v>
      </c>
      <c r="D93">
        <v>764.16688350274694</v>
      </c>
      <c r="E93">
        <v>1.3086146777471617</v>
      </c>
      <c r="F93">
        <v>865.00583369452409</v>
      </c>
      <c r="G93">
        <v>1.1560615675028487</v>
      </c>
      <c r="H93">
        <v>985.84495834755978</v>
      </c>
      <c r="I93">
        <v>1.0143582837570793</v>
      </c>
      <c r="J93">
        <v>1096.7297621657781</v>
      </c>
      <c r="K93">
        <v>0.91180164384819828</v>
      </c>
      <c r="L93">
        <v>816.17281841322381</v>
      </c>
      <c r="M93">
        <v>1.225230707810347</v>
      </c>
      <c r="N93">
        <v>813.13859746168271</v>
      </c>
      <c r="O93">
        <v>1.2298026475703272</v>
      </c>
      <c r="Q93">
        <v>0.18772304442962401</v>
      </c>
      <c r="R93">
        <v>0.1883886869750287</v>
      </c>
      <c r="S93">
        <v>0.18831670027958028</v>
      </c>
      <c r="T93">
        <v>0.18948014785466016</v>
      </c>
      <c r="U93">
        <v>0.18991989729054715</v>
      </c>
      <c r="V93">
        <v>0.18842784598998302</v>
      </c>
      <c r="W93">
        <v>0.18818242627997678</v>
      </c>
      <c r="Y93">
        <v>2.1431455696115624</v>
      </c>
      <c r="Z93">
        <v>2.1893486449278012</v>
      </c>
      <c r="AA93">
        <v>2.2295052196352412</v>
      </c>
      <c r="AB93">
        <v>2.3476493451467042</v>
      </c>
      <c r="AC93">
        <v>2.4053138980392461</v>
      </c>
      <c r="AD93">
        <v>2.2104997711222825</v>
      </c>
      <c r="AE93">
        <v>2.2082215793125939</v>
      </c>
      <c r="AG93">
        <v>0.85130200020881808</v>
      </c>
      <c r="AH93">
        <v>0.87119839153351608</v>
      </c>
      <c r="AI93">
        <v>0.89278162318978616</v>
      </c>
      <c r="AJ93">
        <v>0.93376111009289231</v>
      </c>
      <c r="AK93">
        <v>0.96158187602919731</v>
      </c>
      <c r="AL93">
        <v>0.8820976119614371</v>
      </c>
      <c r="AM93">
        <v>0.88167862026323163</v>
      </c>
      <c r="AO93">
        <v>97</v>
      </c>
      <c r="AP93">
        <v>16.329834443322486</v>
      </c>
      <c r="AQ93">
        <v>7.132972445512622</v>
      </c>
      <c r="AR93">
        <v>7.7318950536018534</v>
      </c>
      <c r="AS93">
        <v>892.6136634145596</v>
      </c>
      <c r="AT93">
        <v>25.680572974767486</v>
      </c>
      <c r="AU93">
        <v>11.36681860121922</v>
      </c>
      <c r="AV93">
        <v>17.124480486150361</v>
      </c>
      <c r="AW93">
        <v>7.3363679059485403</v>
      </c>
      <c r="AX93">
        <v>8.1391042293555689</v>
      </c>
      <c r="AY93">
        <v>943.18474746016659</v>
      </c>
      <c r="AZ93">
        <v>25.72651424966433</v>
      </c>
      <c r="BA93">
        <v>11.238246388621416</v>
      </c>
      <c r="BB93">
        <v>18.775659878848142</v>
      </c>
      <c r="BC93">
        <v>7.7551781144119518</v>
      </c>
      <c r="BD93">
        <v>8.7169602600416045</v>
      </c>
      <c r="BE93">
        <v>1018.2753403194512</v>
      </c>
      <c r="BF93">
        <v>26.376239633244833</v>
      </c>
      <c r="BG93">
        <v>11.243703027918365</v>
      </c>
      <c r="BH93">
        <v>19.989789324882253</v>
      </c>
      <c r="BI93">
        <v>8.1854933337990037</v>
      </c>
      <c r="BJ93">
        <v>9.3514196430639505</v>
      </c>
      <c r="BK93">
        <v>1099.1749818532062</v>
      </c>
      <c r="BL93">
        <v>26.566766072539384</v>
      </c>
      <c r="BM93">
        <v>11.277134608289028</v>
      </c>
      <c r="BN93">
        <v>20.46729031105539</v>
      </c>
      <c r="BO93">
        <v>8.3162359039350644</v>
      </c>
      <c r="BP93">
        <v>9.8997626716413389</v>
      </c>
      <c r="BQ93">
        <v>1225.390877461422</v>
      </c>
      <c r="BR93">
        <v>25.065580112986765</v>
      </c>
      <c r="BS93">
        <v>10.608713180724068</v>
      </c>
      <c r="BU93">
        <v>97</v>
      </c>
      <c r="BV93">
        <v>15.733382089858354</v>
      </c>
      <c r="BW93">
        <v>6.0923978407647565</v>
      </c>
      <c r="BX93">
        <v>7.4973762317108896</v>
      </c>
      <c r="BY93">
        <v>898.38886192098425</v>
      </c>
      <c r="BZ93">
        <v>24.851574762835469</v>
      </c>
      <c r="CA93">
        <v>10.135480719100954</v>
      </c>
      <c r="CB93">
        <v>16.3663118187065</v>
      </c>
      <c r="CC93">
        <v>6.2311297400423058</v>
      </c>
      <c r="CD93">
        <v>7.869256897461784</v>
      </c>
      <c r="CE93">
        <v>950.2599219587504</v>
      </c>
      <c r="CF93">
        <v>24.73711311501209</v>
      </c>
      <c r="CG93">
        <v>9.9914814848446607</v>
      </c>
      <c r="CH93">
        <v>18.0041550622113</v>
      </c>
      <c r="CI93">
        <v>6.8688244584664915</v>
      </c>
      <c r="CJ93">
        <v>8.4138885589583143</v>
      </c>
      <c r="CK93">
        <v>1023.5560553612833</v>
      </c>
      <c r="CL93">
        <v>25.486410280719916</v>
      </c>
      <c r="CM93">
        <v>10.3197395159082</v>
      </c>
      <c r="CN93">
        <v>19.186073700032573</v>
      </c>
      <c r="CO93">
        <v>7.1511056025479274</v>
      </c>
      <c r="CP93">
        <v>9.0579024964731829</v>
      </c>
      <c r="CQ93">
        <v>1105.2128881515064</v>
      </c>
      <c r="CR93">
        <v>25.694424391239366</v>
      </c>
      <c r="CS93">
        <v>10.279609131389133</v>
      </c>
      <c r="CT93">
        <v>19.477999048092542</v>
      </c>
      <c r="CU93">
        <v>7.1544868465363542</v>
      </c>
      <c r="CV93">
        <v>9.4455701101759182</v>
      </c>
      <c r="CW93">
        <v>1232.7899208634606</v>
      </c>
      <c r="CX93">
        <v>24.112658160726401</v>
      </c>
      <c r="CY93">
        <v>9.6026671661736049</v>
      </c>
      <c r="DA93">
        <v>97</v>
      </c>
      <c r="DB93">
        <v>13.434877827735679</v>
      </c>
      <c r="DC93">
        <v>5.5165246274505746</v>
      </c>
      <c r="DD93">
        <v>7.1142877183571578</v>
      </c>
      <c r="DE93">
        <v>899.91549408636695</v>
      </c>
      <c r="DF93">
        <v>22.255282676667875</v>
      </c>
      <c r="DG93">
        <v>9.4783675033851402</v>
      </c>
      <c r="DH93">
        <v>14.056322781560889</v>
      </c>
      <c r="DI93">
        <v>5.9710984990251701</v>
      </c>
      <c r="DJ93">
        <v>7.5003581824375729</v>
      </c>
      <c r="DK93">
        <v>948.88535122454812</v>
      </c>
      <c r="DL93">
        <v>22.338523946708587</v>
      </c>
      <c r="DM93">
        <v>9.7319166779278969</v>
      </c>
      <c r="DN93">
        <v>15.62221254718494</v>
      </c>
      <c r="DO93">
        <v>6.1634838341463665</v>
      </c>
      <c r="DP93">
        <v>8.0527995718690111</v>
      </c>
      <c r="DQ93">
        <v>1023.606454251955</v>
      </c>
      <c r="DR93">
        <v>23.15814535826653</v>
      </c>
      <c r="DS93">
        <v>9.6301573773708</v>
      </c>
      <c r="DT93">
        <v>16.791730255188224</v>
      </c>
      <c r="DU93">
        <v>6.4697792330060251</v>
      </c>
      <c r="DV93">
        <v>8.7936840237360965</v>
      </c>
      <c r="DW93">
        <v>1119.3686392757663</v>
      </c>
      <c r="DX93">
        <v>23.230475317596994</v>
      </c>
      <c r="DY93">
        <v>9.5409409848565598</v>
      </c>
      <c r="DZ93">
        <v>17.069451835233263</v>
      </c>
      <c r="EA93">
        <v>6.6119815799438957</v>
      </c>
      <c r="EB93">
        <v>9.1963462684567361</v>
      </c>
      <c r="EC93">
        <v>1249.8517453006359</v>
      </c>
      <c r="ED93">
        <v>21.85642804086293</v>
      </c>
      <c r="EE93">
        <v>9.0375247078251224</v>
      </c>
      <c r="EG93">
        <v>97</v>
      </c>
      <c r="EH93">
        <v>12.599021324133064</v>
      </c>
      <c r="EI93">
        <v>5.0892430112160509</v>
      </c>
      <c r="EJ93">
        <v>6.5440321646629007</v>
      </c>
      <c r="EK93">
        <v>899.73800738035948</v>
      </c>
      <c r="EL93">
        <v>21.330672979216935</v>
      </c>
      <c r="EM93">
        <v>9.0053416575089873</v>
      </c>
      <c r="EN93">
        <v>13.203661243157629</v>
      </c>
      <c r="EO93">
        <v>5.374599724628462</v>
      </c>
      <c r="EP93">
        <v>6.9366232442437274</v>
      </c>
      <c r="EQ93">
        <v>948.11177106892467</v>
      </c>
      <c r="ER93">
        <v>21.457424349526772</v>
      </c>
      <c r="ES93">
        <v>9.1107131713893548</v>
      </c>
      <c r="ET93">
        <v>14.322838267423787</v>
      </c>
      <c r="EU93">
        <v>5.5782603543664333</v>
      </c>
      <c r="EV93">
        <v>7.4421929389263237</v>
      </c>
      <c r="EW93">
        <v>1030.4206466600037</v>
      </c>
      <c r="EX93">
        <v>21.743986642824225</v>
      </c>
      <c r="EY93">
        <v>8.9985267640103519</v>
      </c>
      <c r="EZ93">
        <v>15.124443948020579</v>
      </c>
      <c r="FA93">
        <v>5.9222321356788363</v>
      </c>
      <c r="FB93">
        <v>8.1260944740835122</v>
      </c>
      <c r="FC93">
        <v>1122.9204877364818</v>
      </c>
      <c r="FD93">
        <v>21.672219453289735</v>
      </c>
      <c r="FE93">
        <v>9.0231526995523623</v>
      </c>
      <c r="FF93">
        <v>15.305974337746484</v>
      </c>
      <c r="FG93">
        <v>6.0101820471363618</v>
      </c>
      <c r="FH93">
        <v>8.5025680091574749</v>
      </c>
      <c r="FI93">
        <v>1254.4587789963573</v>
      </c>
      <c r="FJ93">
        <v>20.370392127087754</v>
      </c>
      <c r="FK93">
        <v>8.5246057307845327</v>
      </c>
    </row>
    <row r="94" spans="2:167" x14ac:dyDescent="0.2">
      <c r="B94">
        <v>700.10693602715298</v>
      </c>
      <c r="C94">
        <v>1.4283532251153357</v>
      </c>
      <c r="D94">
        <v>758.30488489991649</v>
      </c>
      <c r="E94">
        <v>1.3187307900990024</v>
      </c>
      <c r="F94">
        <v>856.79995321501474</v>
      </c>
      <c r="G94">
        <v>1.1671335838052375</v>
      </c>
      <c r="H94">
        <v>976.81592177737184</v>
      </c>
      <c r="I94">
        <v>1.0237343369469689</v>
      </c>
      <c r="J94">
        <v>1086.3937975177953</v>
      </c>
      <c r="K94">
        <v>0.92047653648687167</v>
      </c>
      <c r="L94">
        <v>808.77123286076119</v>
      </c>
      <c r="M94">
        <v>1.2364435817812538</v>
      </c>
      <c r="N94">
        <v>806.50871049785007</v>
      </c>
      <c r="O94">
        <v>1.239912212953918</v>
      </c>
      <c r="Q94">
        <v>0.18954904792147931</v>
      </c>
      <c r="R94">
        <v>0.190212734254918</v>
      </c>
      <c r="S94">
        <v>0.19012008427949331</v>
      </c>
      <c r="T94">
        <v>0.19127980004011588</v>
      </c>
      <c r="U94">
        <v>0.19171335660814318</v>
      </c>
      <c r="V94">
        <v>0.19023570937888573</v>
      </c>
      <c r="W94">
        <v>0.1900020554464503</v>
      </c>
      <c r="Y94">
        <v>2.1450782902511554</v>
      </c>
      <c r="Z94">
        <v>2.1928680805012997</v>
      </c>
      <c r="AA94">
        <v>2.2315398654407281</v>
      </c>
      <c r="AB94">
        <v>2.3527413121156768</v>
      </c>
      <c r="AC94">
        <v>2.4109481559625916</v>
      </c>
      <c r="AD94">
        <v>2.2134334638292903</v>
      </c>
      <c r="AE94">
        <v>2.2109013278063299</v>
      </c>
      <c r="AG94">
        <v>0.85310036998077476</v>
      </c>
      <c r="AH94">
        <v>0.87362972403729622</v>
      </c>
      <c r="AI94">
        <v>0.8945993423019315</v>
      </c>
      <c r="AJ94">
        <v>0.93683204010175158</v>
      </c>
      <c r="AK94">
        <v>0.96486285250320225</v>
      </c>
      <c r="AL94">
        <v>0.88430412528299018</v>
      </c>
      <c r="AM94">
        <v>0.88374875908477013</v>
      </c>
      <c r="AO94">
        <v>98</v>
      </c>
      <c r="AP94">
        <v>16.381918757942564</v>
      </c>
      <c r="AQ94">
        <v>7.1575661510189308</v>
      </c>
      <c r="AR94">
        <v>7.737730360364357</v>
      </c>
      <c r="AS94">
        <v>892.95271595689928</v>
      </c>
      <c r="AT94">
        <v>25.671816165108968</v>
      </c>
      <c r="AU94">
        <v>11.363841153054601</v>
      </c>
      <c r="AV94">
        <v>17.182222787770876</v>
      </c>
      <c r="AW94">
        <v>7.364792306976403</v>
      </c>
      <c r="AX94">
        <v>8.1439185557758904</v>
      </c>
      <c r="AY94">
        <v>943.63731296846458</v>
      </c>
      <c r="AZ94">
        <v>25.717320943927856</v>
      </c>
      <c r="BA94">
        <v>11.236449822640534</v>
      </c>
      <c r="BB94">
        <v>18.824694115545693</v>
      </c>
      <c r="BC94">
        <v>7.7840307089893779</v>
      </c>
      <c r="BD94">
        <v>8.7159895334132944</v>
      </c>
      <c r="BE94">
        <v>1018.3480868965748</v>
      </c>
      <c r="BF94">
        <v>26.347211944152999</v>
      </c>
      <c r="BG94">
        <v>11.236820745710567</v>
      </c>
      <c r="BH94">
        <v>20.043260463252999</v>
      </c>
      <c r="BI94">
        <v>8.218359972801542</v>
      </c>
      <c r="BJ94">
        <v>9.3502996595721779</v>
      </c>
      <c r="BK94">
        <v>1099.2948265193022</v>
      </c>
      <c r="BL94">
        <v>26.535764321482109</v>
      </c>
      <c r="BM94">
        <v>11.270727440773831</v>
      </c>
      <c r="BN94">
        <v>20.522141515511741</v>
      </c>
      <c r="BO94">
        <v>8.3499369640714516</v>
      </c>
      <c r="BP94">
        <v>9.8983391415712703</v>
      </c>
      <c r="BQ94">
        <v>1224.5163993036106</v>
      </c>
      <c r="BR94">
        <v>25.049403321149608</v>
      </c>
      <c r="BS94">
        <v>10.607764570371071</v>
      </c>
      <c r="BU94">
        <v>98</v>
      </c>
      <c r="BV94">
        <v>15.7795111088114</v>
      </c>
      <c r="BW94">
        <v>6.118223307933965</v>
      </c>
      <c r="BX94">
        <v>7.5021153664891713</v>
      </c>
      <c r="BY94">
        <v>898.47816730340628</v>
      </c>
      <c r="BZ94">
        <v>24.843464350438083</v>
      </c>
      <c r="CA94">
        <v>10.137174513181286</v>
      </c>
      <c r="CB94">
        <v>16.41839934154822</v>
      </c>
      <c r="CC94">
        <v>6.260282966197404</v>
      </c>
      <c r="CD94">
        <v>7.8732080865079084</v>
      </c>
      <c r="CE94">
        <v>950.427011155743</v>
      </c>
      <c r="CF94">
        <v>24.729937081093254</v>
      </c>
      <c r="CG94">
        <v>9.9940593708631358</v>
      </c>
      <c r="CH94">
        <v>18.04766879837787</v>
      </c>
      <c r="CI94">
        <v>6.8977423938485254</v>
      </c>
      <c r="CJ94">
        <v>8.4129546290343722</v>
      </c>
      <c r="CK94">
        <v>1023.3844884718217</v>
      </c>
      <c r="CL94">
        <v>25.45827873561359</v>
      </c>
      <c r="CM94">
        <v>10.315484271035949</v>
      </c>
      <c r="CN94">
        <v>19.233783050175159</v>
      </c>
      <c r="CO94">
        <v>7.1837324838617009</v>
      </c>
      <c r="CP94">
        <v>9.056823386859131</v>
      </c>
      <c r="CQ94">
        <v>1105.0874629624807</v>
      </c>
      <c r="CR94">
        <v>25.664168650717759</v>
      </c>
      <c r="CS94">
        <v>10.275408289739591</v>
      </c>
      <c r="CT94">
        <v>19.527586320918779</v>
      </c>
      <c r="CU94">
        <v>7.1880096453824311</v>
      </c>
      <c r="CV94">
        <v>9.4442095200485081</v>
      </c>
      <c r="CW94">
        <v>1231.6073734694089</v>
      </c>
      <c r="CX94">
        <v>24.09765531146541</v>
      </c>
      <c r="CY94">
        <v>9.6032669278071268</v>
      </c>
      <c r="DA94">
        <v>98</v>
      </c>
      <c r="DB94">
        <v>13.435027345137</v>
      </c>
      <c r="DC94">
        <v>5.5416814456357155</v>
      </c>
      <c r="DD94">
        <v>7.1144513759751771</v>
      </c>
      <c r="DE94">
        <v>901.0230358177115</v>
      </c>
      <c r="DF94">
        <v>22.171271722531504</v>
      </c>
      <c r="DG94">
        <v>9.4686681436474416</v>
      </c>
      <c r="DH94">
        <v>14.056074765270042</v>
      </c>
      <c r="DI94">
        <v>6.0020139940149635</v>
      </c>
      <c r="DJ94">
        <v>7.5002926703425583</v>
      </c>
      <c r="DK94">
        <v>950.03973435561363</v>
      </c>
      <c r="DL94">
        <v>22.253464613366607</v>
      </c>
      <c r="DM94">
        <v>9.7262826709532728</v>
      </c>
      <c r="DN94">
        <v>15.622003742272387</v>
      </c>
      <c r="DO94">
        <v>6.1943533431806648</v>
      </c>
      <c r="DP94">
        <v>8.0529411400889224</v>
      </c>
      <c r="DQ94">
        <v>1024.5703203970486</v>
      </c>
      <c r="DR94">
        <v>23.061318520291529</v>
      </c>
      <c r="DS94">
        <v>9.6170241780641845</v>
      </c>
      <c r="DT94">
        <v>16.798474608500491</v>
      </c>
      <c r="DU94">
        <v>6.5133338838894508</v>
      </c>
      <c r="DV94">
        <v>8.7933426689572993</v>
      </c>
      <c r="DW94">
        <v>1120.7489376969852</v>
      </c>
      <c r="DX94">
        <v>23.132605090719949</v>
      </c>
      <c r="DY94">
        <v>9.5336483653474158</v>
      </c>
      <c r="DZ94">
        <v>17.080114437230307</v>
      </c>
      <c r="EA94">
        <v>6.6576994047651841</v>
      </c>
      <c r="EB94">
        <v>9.1958100878228706</v>
      </c>
      <c r="EC94">
        <v>1250.4169806547168</v>
      </c>
      <c r="ED94">
        <v>21.777837715366175</v>
      </c>
      <c r="EE94">
        <v>9.0347014570689517</v>
      </c>
      <c r="EG94">
        <v>98</v>
      </c>
      <c r="EH94">
        <v>12.599539114631709</v>
      </c>
      <c r="EI94">
        <v>5.1120672134526979</v>
      </c>
      <c r="EJ94">
        <v>6.5441501602440191</v>
      </c>
      <c r="EK94">
        <v>901.51578573900247</v>
      </c>
      <c r="EL94">
        <v>21.232393960998294</v>
      </c>
      <c r="EM94">
        <v>8.9869462209308733</v>
      </c>
      <c r="EN94">
        <v>13.203718926607403</v>
      </c>
      <c r="EO94">
        <v>5.4025380084790182</v>
      </c>
      <c r="EP94">
        <v>6.9365479556955325</v>
      </c>
      <c r="EQ94">
        <v>949.98438369512996</v>
      </c>
      <c r="ER94">
        <v>21.357529786114352</v>
      </c>
      <c r="ES94">
        <v>9.0958116446439927</v>
      </c>
      <c r="ET94">
        <v>14.343454624159127</v>
      </c>
      <c r="EU94">
        <v>5.6061995761084251</v>
      </c>
      <c r="EV94">
        <v>7.4422889900315425</v>
      </c>
      <c r="EW94">
        <v>1030.0518100149488</v>
      </c>
      <c r="EX94">
        <v>21.697348783529517</v>
      </c>
      <c r="EY94">
        <v>8.9948521872687959</v>
      </c>
      <c r="EZ94">
        <v>15.139135354800873</v>
      </c>
      <c r="FA94">
        <v>5.9618692143748842</v>
      </c>
      <c r="FB94">
        <v>8.1257701084463196</v>
      </c>
      <c r="FC94">
        <v>1123.7936335178003</v>
      </c>
      <c r="FD94">
        <v>21.593380318348515</v>
      </c>
      <c r="FE94">
        <v>9.0171018113039008</v>
      </c>
      <c r="FF94">
        <v>15.318458930426175</v>
      </c>
      <c r="FG94">
        <v>6.0516507175255185</v>
      </c>
      <c r="FH94">
        <v>8.5020658245009866</v>
      </c>
      <c r="FI94">
        <v>1254.5107184820461</v>
      </c>
      <c r="FJ94">
        <v>20.302514916134587</v>
      </c>
      <c r="FK94">
        <v>8.5221236234326128</v>
      </c>
    </row>
    <row r="95" spans="2:167" x14ac:dyDescent="0.2">
      <c r="B95">
        <v>694.41959763590876</v>
      </c>
      <c r="C95">
        <v>1.4400515241856842</v>
      </c>
      <c r="D95">
        <v>752.20901540316709</v>
      </c>
      <c r="E95">
        <v>1.329417727683073</v>
      </c>
      <c r="F95">
        <v>848.27268092006443</v>
      </c>
      <c r="G95">
        <v>1.1788662095251814</v>
      </c>
      <c r="H95">
        <v>967.40911482382137</v>
      </c>
      <c r="I95">
        <v>1.0336888341000527</v>
      </c>
      <c r="J95">
        <v>1075.6190117623901</v>
      </c>
      <c r="K95">
        <v>0.92969721533790195</v>
      </c>
      <c r="L95">
        <v>801.07648655756759</v>
      </c>
      <c r="M95">
        <v>1.2483202500391168</v>
      </c>
      <c r="N95">
        <v>799.61808608342062</v>
      </c>
      <c r="O95">
        <v>1.2505970255100938</v>
      </c>
      <c r="Q95">
        <v>0.19137326692024623</v>
      </c>
      <c r="R95">
        <v>0.19203477126526744</v>
      </c>
      <c r="S95">
        <v>0.19192087767101434</v>
      </c>
      <c r="T95">
        <v>0.1930764258835842</v>
      </c>
      <c r="U95">
        <v>0.19350348098478926</v>
      </c>
      <c r="V95">
        <v>0.19204107612006682</v>
      </c>
      <c r="W95">
        <v>0.19181959361113515</v>
      </c>
      <c r="Y95">
        <v>2.1466001106947639</v>
      </c>
      <c r="Z95">
        <v>2.1960038050478934</v>
      </c>
      <c r="AA95">
        <v>2.2331375354112426</v>
      </c>
      <c r="AB95">
        <v>2.3574359851736371</v>
      </c>
      <c r="AC95">
        <v>2.4161844051215495</v>
      </c>
      <c r="AD95">
        <v>2.2159638699247051</v>
      </c>
      <c r="AE95">
        <v>2.2131666589542105</v>
      </c>
      <c r="AG95">
        <v>0.85477934063796279</v>
      </c>
      <c r="AH95">
        <v>0.87595191470616873</v>
      </c>
      <c r="AI95">
        <v>0.89628464524591533</v>
      </c>
      <c r="AJ95">
        <v>0.9397888745367281</v>
      </c>
      <c r="AK95">
        <v>0.96802787428155657</v>
      </c>
      <c r="AL95">
        <v>0.88639349474676676</v>
      </c>
      <c r="AM95">
        <v>0.88569580910244639</v>
      </c>
      <c r="AO95">
        <v>99</v>
      </c>
      <c r="AP95">
        <v>16.431599350448906</v>
      </c>
      <c r="AQ95">
        <v>7.1810961386722596</v>
      </c>
      <c r="AR95">
        <v>7.7421604965139226</v>
      </c>
      <c r="AS95">
        <v>893.08346752387865</v>
      </c>
      <c r="AT95">
        <v>25.664181349484014</v>
      </c>
      <c r="AU95">
        <v>11.361328923161501</v>
      </c>
      <c r="AV95">
        <v>17.237449918532157</v>
      </c>
      <c r="AW95">
        <v>7.3921807279140825</v>
      </c>
      <c r="AX95">
        <v>8.1471744923877036</v>
      </c>
      <c r="AY95">
        <v>943.86625135768372</v>
      </c>
      <c r="AZ95">
        <v>25.709247389187109</v>
      </c>
      <c r="BA95">
        <v>11.235161033609913</v>
      </c>
      <c r="BB95">
        <v>18.870478971112522</v>
      </c>
      <c r="BC95">
        <v>7.811722989391173</v>
      </c>
      <c r="BD95">
        <v>8.7149807872703011</v>
      </c>
      <c r="BE95">
        <v>1018.1673331042417</v>
      </c>
      <c r="BF95">
        <v>26.318600126297813</v>
      </c>
      <c r="BG95">
        <v>11.230247820266344</v>
      </c>
      <c r="BH95">
        <v>20.093182868324512</v>
      </c>
      <c r="BI95">
        <v>8.2500200608731866</v>
      </c>
      <c r="BJ95">
        <v>9.3491328165301368</v>
      </c>
      <c r="BK95">
        <v>1099.1312836481791</v>
      </c>
      <c r="BL95">
        <v>26.505162823264133</v>
      </c>
      <c r="BM95">
        <v>11.264660436770408</v>
      </c>
      <c r="BN95">
        <v>20.573358060182574</v>
      </c>
      <c r="BO95">
        <v>8.3824229760635482</v>
      </c>
      <c r="BP95">
        <v>9.8968551744676923</v>
      </c>
      <c r="BQ95">
        <v>1223.3044634001308</v>
      </c>
      <c r="BR95">
        <v>25.033785964429658</v>
      </c>
      <c r="BS95">
        <v>10.607215418579372</v>
      </c>
      <c r="BU95">
        <v>99</v>
      </c>
      <c r="BV95">
        <v>15.823183214857353</v>
      </c>
      <c r="BW95">
        <v>6.143306170335185</v>
      </c>
      <c r="BX95">
        <v>7.5054596471325121</v>
      </c>
      <c r="BY95">
        <v>898.34958286579547</v>
      </c>
      <c r="BZ95">
        <v>24.836478316148394</v>
      </c>
      <c r="CA95">
        <v>10.139510537736957</v>
      </c>
      <c r="CB95">
        <v>16.467975160662593</v>
      </c>
      <c r="CC95">
        <v>6.2887302954886186</v>
      </c>
      <c r="CD95">
        <v>7.8756277942136084</v>
      </c>
      <c r="CE95">
        <v>950.36094575179845</v>
      </c>
      <c r="CF95">
        <v>24.72388654607688</v>
      </c>
      <c r="CG95">
        <v>9.9972951732058934</v>
      </c>
      <c r="CH95">
        <v>18.087944467200984</v>
      </c>
      <c r="CI95">
        <v>6.9257496877306117</v>
      </c>
      <c r="CJ95">
        <v>8.41198412077682</v>
      </c>
      <c r="CK95">
        <v>1022.950539948077</v>
      </c>
      <c r="CL95">
        <v>25.430559329914914</v>
      </c>
      <c r="CM95">
        <v>10.31164045539793</v>
      </c>
      <c r="CN95">
        <v>19.277960262855096</v>
      </c>
      <c r="CO95">
        <v>7.2154417254413135</v>
      </c>
      <c r="CP95">
        <v>9.0556991278374515</v>
      </c>
      <c r="CQ95">
        <v>1104.6692782878006</v>
      </c>
      <c r="CR95">
        <v>25.634306654802536</v>
      </c>
      <c r="CS95">
        <v>10.271637469527109</v>
      </c>
      <c r="CT95">
        <v>19.573623413805677</v>
      </c>
      <c r="CU95">
        <v>7.2206451042581445</v>
      </c>
      <c r="CV95">
        <v>9.4427911650499112</v>
      </c>
      <c r="CW95">
        <v>1230.0772511133869</v>
      </c>
      <c r="CX95">
        <v>24.08320894716126</v>
      </c>
      <c r="CY95">
        <v>9.6043367059232168</v>
      </c>
      <c r="DA95">
        <v>99</v>
      </c>
      <c r="DB95">
        <v>13.435182545217382</v>
      </c>
      <c r="DC95">
        <v>5.5662019340182054</v>
      </c>
      <c r="DD95">
        <v>7.1146212536967459</v>
      </c>
      <c r="DE95">
        <v>902.05895958613962</v>
      </c>
      <c r="DF95">
        <v>22.08706986810294</v>
      </c>
      <c r="DG95">
        <v>9.458052309171304</v>
      </c>
      <c r="DH95">
        <v>14.055816854095967</v>
      </c>
      <c r="DI95">
        <v>6.0323022923395158</v>
      </c>
      <c r="DJ95">
        <v>7.5002245445703224</v>
      </c>
      <c r="DK95">
        <v>951.11264547437577</v>
      </c>
      <c r="DL95">
        <v>22.168202677514714</v>
      </c>
      <c r="DM95">
        <v>9.7197854918729529</v>
      </c>
      <c r="DN95">
        <v>15.621786759298978</v>
      </c>
      <c r="DO95">
        <v>6.2245238072792892</v>
      </c>
      <c r="DP95">
        <v>8.0530882529749217</v>
      </c>
      <c r="DQ95">
        <v>1025.4430465281259</v>
      </c>
      <c r="DR95">
        <v>22.963778212298973</v>
      </c>
      <c r="DS95">
        <v>9.6027490990240381</v>
      </c>
      <c r="DT95">
        <v>16.801367046787515</v>
      </c>
      <c r="DU95">
        <v>6.5564067447694576</v>
      </c>
      <c r="DV95">
        <v>8.792987032064941</v>
      </c>
      <c r="DW95">
        <v>1121.8548036084683</v>
      </c>
      <c r="DX95">
        <v>23.034030547075908</v>
      </c>
      <c r="DY95">
        <v>9.5268365703362843</v>
      </c>
      <c r="DZ95">
        <v>17.08696196003536</v>
      </c>
      <c r="EA95">
        <v>6.702953750639967</v>
      </c>
      <c r="EB95">
        <v>9.1952511432392896</v>
      </c>
      <c r="EC95">
        <v>1250.6558566251799</v>
      </c>
      <c r="ED95">
        <v>21.698651841100538</v>
      </c>
      <c r="EE95">
        <v>9.0323686412454585</v>
      </c>
      <c r="EG95">
        <v>99</v>
      </c>
      <c r="EH95">
        <v>12.600076584694051</v>
      </c>
      <c r="EI95">
        <v>5.1342883085697224</v>
      </c>
      <c r="EJ95">
        <v>6.5442726404604503</v>
      </c>
      <c r="EK95">
        <v>903.23659265045399</v>
      </c>
      <c r="EL95">
        <v>21.133702354761866</v>
      </c>
      <c r="EM95">
        <v>8.9675365969239884</v>
      </c>
      <c r="EN95">
        <v>13.203778911401971</v>
      </c>
      <c r="EO95">
        <v>5.4299163557326757</v>
      </c>
      <c r="EP95">
        <v>6.9364696634277427</v>
      </c>
      <c r="EQ95">
        <v>951.79467260840931</v>
      </c>
      <c r="ER95">
        <v>21.257126703474686</v>
      </c>
      <c r="ES95">
        <v>9.0799257494557502</v>
      </c>
      <c r="ET95">
        <v>14.361339889313053</v>
      </c>
      <c r="EU95">
        <v>5.633506159630608</v>
      </c>
      <c r="EV95">
        <v>7.4423888030778658</v>
      </c>
      <c r="EW95">
        <v>1029.381952536482</v>
      </c>
      <c r="EX95">
        <v>21.651438287713955</v>
      </c>
      <c r="EY95">
        <v>8.9918563470945472</v>
      </c>
      <c r="EZ95">
        <v>15.150641598193024</v>
      </c>
      <c r="FA95">
        <v>6.0010556745365156</v>
      </c>
      <c r="FB95">
        <v>8.1254321715127684</v>
      </c>
      <c r="FC95">
        <v>1124.3643393803982</v>
      </c>
      <c r="FD95">
        <v>21.514478465616602</v>
      </c>
      <c r="FE95">
        <v>9.0116485773421804</v>
      </c>
      <c r="FF95">
        <v>15.327647290325951</v>
      </c>
      <c r="FG95">
        <v>6.0926944426062883</v>
      </c>
      <c r="FH95">
        <v>8.5015423192194195</v>
      </c>
      <c r="FI95">
        <v>1254.2493088940773</v>
      </c>
      <c r="FJ95">
        <v>20.233801331420104</v>
      </c>
      <c r="FK95">
        <v>8.5199372696963778</v>
      </c>
    </row>
    <row r="96" spans="2:167" x14ac:dyDescent="0.2">
      <c r="B96">
        <v>688.52413842157523</v>
      </c>
      <c r="C96">
        <v>1.452381905291622</v>
      </c>
      <c r="D96">
        <v>745.87944322686405</v>
      </c>
      <c r="E96">
        <v>1.340699236425857</v>
      </c>
      <c r="F96">
        <v>839.42433605301301</v>
      </c>
      <c r="G96">
        <v>1.1912926002384163</v>
      </c>
      <c r="H96">
        <v>957.62498995068211</v>
      </c>
      <c r="I96">
        <v>1.0442501088568086</v>
      </c>
      <c r="J96">
        <v>1064.4060638545809</v>
      </c>
      <c r="K96">
        <v>0.93949107766133511</v>
      </c>
      <c r="L96">
        <v>793.08888454126247</v>
      </c>
      <c r="M96">
        <v>1.2608927189522001</v>
      </c>
      <c r="N96">
        <v>792.46692268256766</v>
      </c>
      <c r="O96">
        <v>1.2618823213654335</v>
      </c>
      <c r="Q96">
        <v>0.1931957024722552</v>
      </c>
      <c r="R96">
        <v>0.19385479945198683</v>
      </c>
      <c r="S96">
        <v>0.19371908302743382</v>
      </c>
      <c r="T96">
        <v>0.19487002900978054</v>
      </c>
      <c r="U96">
        <v>0.19529027542839417</v>
      </c>
      <c r="V96">
        <v>0.19384394881132111</v>
      </c>
      <c r="W96">
        <v>0.19363504236562828</v>
      </c>
      <c r="Y96">
        <v>2.1477110323220949</v>
      </c>
      <c r="Z96">
        <v>2.1987558210170297</v>
      </c>
      <c r="AA96">
        <v>2.2342982338163631</v>
      </c>
      <c r="AB96">
        <v>2.3617333712914417</v>
      </c>
      <c r="AC96">
        <v>2.4210226566840083</v>
      </c>
      <c r="AD96">
        <v>2.2180909950338439</v>
      </c>
      <c r="AE96">
        <v>2.2150175757259718</v>
      </c>
      <c r="AG96">
        <v>0.85633891247091931</v>
      </c>
      <c r="AH96">
        <v>0.87816496398028743</v>
      </c>
      <c r="AI96">
        <v>0.89783753311356507</v>
      </c>
      <c r="AJ96">
        <v>0.94263161471336998</v>
      </c>
      <c r="AK96">
        <v>0.97107694385257326</v>
      </c>
      <c r="AL96">
        <v>0.88836572172343864</v>
      </c>
      <c r="AM96">
        <v>0.88751977103519764</v>
      </c>
      <c r="AO96">
        <v>100</v>
      </c>
      <c r="AP96">
        <v>16.478876239621833</v>
      </c>
      <c r="AQ96">
        <v>7.2035624178469124</v>
      </c>
      <c r="AR96">
        <v>7.7451854742593742</v>
      </c>
      <c r="AS96">
        <v>893.00574242616347</v>
      </c>
      <c r="AT96">
        <v>25.657669038928386</v>
      </c>
      <c r="AU96">
        <v>11.359282778425111</v>
      </c>
      <c r="AV96">
        <v>17.290161909287157</v>
      </c>
      <c r="AW96">
        <v>7.418533181400373</v>
      </c>
      <c r="AX96">
        <v>8.1488720586031818</v>
      </c>
      <c r="AY96">
        <v>943.87137584833215</v>
      </c>
      <c r="AZ96">
        <v>25.702293816246833</v>
      </c>
      <c r="BA96">
        <v>11.234381733602429</v>
      </c>
      <c r="BB96">
        <v>18.913014524052336</v>
      </c>
      <c r="BC96">
        <v>7.838254981849734</v>
      </c>
      <c r="BD96">
        <v>8.7139340593779835</v>
      </c>
      <c r="BE96">
        <v>1017.7323511592914</v>
      </c>
      <c r="BF96">
        <v>26.290404829573756</v>
      </c>
      <c r="BG96">
        <v>11.223988896444386</v>
      </c>
      <c r="BH96">
        <v>20.139556662198661</v>
      </c>
      <c r="BI96">
        <v>8.2804736386352342</v>
      </c>
      <c r="BJ96">
        <v>9.3479191700625233</v>
      </c>
      <c r="BK96">
        <v>1098.6835647225801</v>
      </c>
      <c r="BL96">
        <v>26.474961037250534</v>
      </c>
      <c r="BM96">
        <v>11.258938929648117</v>
      </c>
      <c r="BN96">
        <v>20.62094013926373</v>
      </c>
      <c r="BO96">
        <v>8.4136940051344631</v>
      </c>
      <c r="BP96">
        <v>9.895310861085779</v>
      </c>
      <c r="BQ96">
        <v>1221.7543258509679</v>
      </c>
      <c r="BR96">
        <v>25.018737198766036</v>
      </c>
      <c r="BS96">
        <v>10.607075274154786</v>
      </c>
      <c r="BU96">
        <v>100</v>
      </c>
      <c r="BV96">
        <v>15.864398428106144</v>
      </c>
      <c r="BW96">
        <v>6.167646432368703</v>
      </c>
      <c r="BX96">
        <v>7.5074090855910249</v>
      </c>
      <c r="BY96">
        <v>898.00299831506902</v>
      </c>
      <c r="BZ96">
        <v>24.830616400340777</v>
      </c>
      <c r="CA96">
        <v>10.142492600344807</v>
      </c>
      <c r="CB96">
        <v>16.515039307532131</v>
      </c>
      <c r="CC96">
        <v>6.3164717349403894</v>
      </c>
      <c r="CD96">
        <v>7.8765160394347067</v>
      </c>
      <c r="CE96">
        <v>950.06160972350608</v>
      </c>
      <c r="CF96">
        <v>24.718961996452624</v>
      </c>
      <c r="CG96">
        <v>10.001193396295616</v>
      </c>
      <c r="CH96">
        <v>18.124982147553414</v>
      </c>
      <c r="CI96">
        <v>6.9528463595576007</v>
      </c>
      <c r="CJ96">
        <v>8.4109770705194684</v>
      </c>
      <c r="CK96">
        <v>1022.2534815348391</v>
      </c>
      <c r="CL96">
        <v>25.403252336830256</v>
      </c>
      <c r="CM96">
        <v>10.308214329434751</v>
      </c>
      <c r="CN96">
        <v>19.318605460051458</v>
      </c>
      <c r="CO96">
        <v>7.2462333571198894</v>
      </c>
      <c r="CP96">
        <v>9.0545297734845693</v>
      </c>
      <c r="CQ96">
        <v>1103.9575438031609</v>
      </c>
      <c r="CR96">
        <v>25.604837364280616</v>
      </c>
      <c r="CS96">
        <v>10.268303287871259</v>
      </c>
      <c r="CT96">
        <v>19.616110516266762</v>
      </c>
      <c r="CU96">
        <v>7.252393270551651</v>
      </c>
      <c r="CV96">
        <v>9.4413151319226589</v>
      </c>
      <c r="CW96">
        <v>1228.198822184723</v>
      </c>
      <c r="CX96">
        <v>24.069328388004109</v>
      </c>
      <c r="CY96">
        <v>9.605887217231194</v>
      </c>
      <c r="DA96">
        <v>100</v>
      </c>
      <c r="DB96">
        <v>13.435343424644804</v>
      </c>
      <c r="DC96">
        <v>5.5900860975787472</v>
      </c>
      <c r="DD96">
        <v>7.1147973478747319</v>
      </c>
      <c r="DE96">
        <v>903.02252073862735</v>
      </c>
      <c r="DF96">
        <v>22.002677140105238</v>
      </c>
      <c r="DG96">
        <v>9.4465290009939284</v>
      </c>
      <c r="DH96">
        <v>14.055549055155678</v>
      </c>
      <c r="DI96">
        <v>6.0619634013119361</v>
      </c>
      <c r="DJ96">
        <v>7.5001538070007818</v>
      </c>
      <c r="DK96">
        <v>952.1032338039995</v>
      </c>
      <c r="DL96">
        <v>22.082738327297523</v>
      </c>
      <c r="DM96">
        <v>9.7124358318437363</v>
      </c>
      <c r="DN96">
        <v>15.621561606388108</v>
      </c>
      <c r="DO96">
        <v>6.2539952412276216</v>
      </c>
      <c r="DP96">
        <v>8.0532409050194076</v>
      </c>
      <c r="DQ96">
        <v>1026.2236646873539</v>
      </c>
      <c r="DR96">
        <v>22.865524748560809</v>
      </c>
      <c r="DS96">
        <v>9.5873416360355108</v>
      </c>
      <c r="DT96">
        <v>16.800407619787485</v>
      </c>
      <c r="DU96">
        <v>6.5989978307197017</v>
      </c>
      <c r="DV96">
        <v>8.7926171301650182</v>
      </c>
      <c r="DW96">
        <v>1122.683000036689</v>
      </c>
      <c r="DX96">
        <v>22.934751416958488</v>
      </c>
      <c r="DY96">
        <v>9.5205283681634008</v>
      </c>
      <c r="DZ96">
        <v>17.089994488278005</v>
      </c>
      <c r="EA96">
        <v>6.7477446427292644</v>
      </c>
      <c r="EB96">
        <v>9.1946694688894368</v>
      </c>
      <c r="EC96">
        <v>1250.564965225341</v>
      </c>
      <c r="ED96">
        <v>21.618872670132408</v>
      </c>
      <c r="EE96">
        <v>9.0305510328967973</v>
      </c>
      <c r="EG96">
        <v>100</v>
      </c>
      <c r="EH96">
        <v>12.60063372278106</v>
      </c>
      <c r="EI96">
        <v>5.1559063013362341</v>
      </c>
      <c r="EJ96">
        <v>6.5443996026826454</v>
      </c>
      <c r="EK96">
        <v>904.89977283828034</v>
      </c>
      <c r="EL96">
        <v>21.034598353904073</v>
      </c>
      <c r="EM96">
        <v>8.9471219658627277</v>
      </c>
      <c r="EN96">
        <v>13.203841195886062</v>
      </c>
      <c r="EO96">
        <v>5.4567347728819664</v>
      </c>
      <c r="EP96">
        <v>6.9363883696008184</v>
      </c>
      <c r="EQ96">
        <v>953.54194697217667</v>
      </c>
      <c r="ER96">
        <v>21.156215284975307</v>
      </c>
      <c r="ES96">
        <v>9.063065303654076</v>
      </c>
      <c r="ET96">
        <v>14.376494115456918</v>
      </c>
      <c r="EU96">
        <v>5.660180118313658</v>
      </c>
      <c r="EV96">
        <v>7.4424923743285021</v>
      </c>
      <c r="EW96">
        <v>1028.4093592397394</v>
      </c>
      <c r="EX96">
        <v>21.606255244470603</v>
      </c>
      <c r="EY96">
        <v>8.9895542688005605</v>
      </c>
      <c r="EZ96">
        <v>15.158962730238697</v>
      </c>
      <c r="FA96">
        <v>6.0397915302896674</v>
      </c>
      <c r="FB96">
        <v>8.1250806795374952</v>
      </c>
      <c r="FC96">
        <v>1124.6294749103336</v>
      </c>
      <c r="FD96">
        <v>21.43551380623375</v>
      </c>
      <c r="FE96">
        <v>9.0068144894403233</v>
      </c>
      <c r="FF96">
        <v>15.333539491915465</v>
      </c>
      <c r="FG96">
        <v>6.1333132454182389</v>
      </c>
      <c r="FH96">
        <v>8.5009975253288541</v>
      </c>
      <c r="FI96">
        <v>1253.671504136609</v>
      </c>
      <c r="FJ96">
        <v>20.164253290563789</v>
      </c>
      <c r="FK96">
        <v>8.5180681748554612</v>
      </c>
    </row>
    <row r="97" spans="2:167" x14ac:dyDescent="0.2">
      <c r="B97">
        <v>682.42068491701309</v>
      </c>
      <c r="C97">
        <v>1.4653717598281868</v>
      </c>
      <c r="D97">
        <v>739.31634297045105</v>
      </c>
      <c r="E97">
        <v>1.3526009664309124</v>
      </c>
      <c r="F97">
        <v>830.25524971029461</v>
      </c>
      <c r="G97">
        <v>1.2044488732217415</v>
      </c>
      <c r="H97">
        <v>947.46401748390747</v>
      </c>
      <c r="I97">
        <v>1.0554490529947591</v>
      </c>
      <c r="J97">
        <v>1052.7556390226175</v>
      </c>
      <c r="K97">
        <v>0.94988804897630741</v>
      </c>
      <c r="L97">
        <v>784.8087432915147</v>
      </c>
      <c r="M97">
        <v>1.2741957942593323</v>
      </c>
      <c r="N97">
        <v>785.05542618380593</v>
      </c>
      <c r="O97">
        <v>1.2737954119507848</v>
      </c>
      <c r="Q97">
        <v>0.19501635566180239</v>
      </c>
      <c r="R97">
        <v>0.1956728203158698</v>
      </c>
      <c r="S97">
        <v>0.19551470301758506</v>
      </c>
      <c r="T97">
        <v>0.19666061318651532</v>
      </c>
      <c r="U97">
        <v>0.19707374514653733</v>
      </c>
      <c r="V97">
        <v>0.19564433014788746</v>
      </c>
      <c r="W97">
        <v>0.19544840336106672</v>
      </c>
      <c r="Y97">
        <v>2.1484110565629204</v>
      </c>
      <c r="Z97">
        <v>2.2011241309511336</v>
      </c>
      <c r="AA97">
        <v>2.2350219650841843</v>
      </c>
      <c r="AB97">
        <v>2.3656334777151455</v>
      </c>
      <c r="AC97">
        <v>2.4254629222631316</v>
      </c>
      <c r="AD97">
        <v>2.2198148449930306</v>
      </c>
      <c r="AE97">
        <v>2.2164540812024476</v>
      </c>
      <c r="AG97">
        <v>0.85777908578072459</v>
      </c>
      <c r="AH97">
        <v>0.88026887231651263</v>
      </c>
      <c r="AI97">
        <v>0.89925800703724657</v>
      </c>
      <c r="AJ97">
        <v>0.94536026199916046</v>
      </c>
      <c r="AK97">
        <v>0.97401006380377764</v>
      </c>
      <c r="AL97">
        <v>0.89022080763509148</v>
      </c>
      <c r="AM97">
        <v>0.88922064562885417</v>
      </c>
      <c r="AO97">
        <v>101</v>
      </c>
      <c r="AP97">
        <v>16.523749444923098</v>
      </c>
      <c r="AQ97">
        <v>7.2249649982573345</v>
      </c>
      <c r="AR97">
        <v>7.7468053062525319</v>
      </c>
      <c r="AS97">
        <v>892.7194207045402</v>
      </c>
      <c r="AT97">
        <v>25.652279757412025</v>
      </c>
      <c r="AU97">
        <v>11.35770354944612</v>
      </c>
      <c r="AV97">
        <v>17.340358792059902</v>
      </c>
      <c r="AW97">
        <v>7.4438496805538108</v>
      </c>
      <c r="AX97">
        <v>8.1490112745713521</v>
      </c>
      <c r="AY97">
        <v>943.65256011052657</v>
      </c>
      <c r="AZ97">
        <v>25.696460462032395</v>
      </c>
      <c r="BA97">
        <v>11.23411366781801</v>
      </c>
      <c r="BB97">
        <v>18.952300855783577</v>
      </c>
      <c r="BC97">
        <v>7.8636267135714402</v>
      </c>
      <c r="BD97">
        <v>8.7128493889038783</v>
      </c>
      <c r="BE97">
        <v>1017.0424377674113</v>
      </c>
      <c r="BF97">
        <v>26.262626727464994</v>
      </c>
      <c r="BG97">
        <v>11.218048857926265</v>
      </c>
      <c r="BH97">
        <v>20.182381971797643</v>
      </c>
      <c r="BI97">
        <v>8.3097207483126141</v>
      </c>
      <c r="BJ97">
        <v>9.3466587785097062</v>
      </c>
      <c r="BK97">
        <v>1097.9509106935548</v>
      </c>
      <c r="BL97">
        <v>26.445158402233215</v>
      </c>
      <c r="BM97">
        <v>11.253568547224642</v>
      </c>
      <c r="BN97">
        <v>20.664887954693818</v>
      </c>
      <c r="BO97">
        <v>8.4437501191078308</v>
      </c>
      <c r="BP97">
        <v>9.893706295799209</v>
      </c>
      <c r="BQ97">
        <v>1219.8652794285833</v>
      </c>
      <c r="BR97">
        <v>25.004266585904478</v>
      </c>
      <c r="BS97">
        <v>10.607354183910488</v>
      </c>
      <c r="BU97">
        <v>101</v>
      </c>
      <c r="BV97">
        <v>15.903156769397377</v>
      </c>
      <c r="BW97">
        <v>6.191244098594467</v>
      </c>
      <c r="BX97">
        <v>7.5079636942484296</v>
      </c>
      <c r="BY97">
        <v>897.43836439926747</v>
      </c>
      <c r="BZ97">
        <v>24.82587833669854</v>
      </c>
      <c r="CA97">
        <v>10.146124786661732</v>
      </c>
      <c r="CB97">
        <v>16.559591814834356</v>
      </c>
      <c r="CC97">
        <v>6.3435072918437836</v>
      </c>
      <c r="CD97">
        <v>7.8758728417427522</v>
      </c>
      <c r="CE97">
        <v>949.52895267373754</v>
      </c>
      <c r="CF97">
        <v>24.715163932040607</v>
      </c>
      <c r="CG97">
        <v>10.005758863641095</v>
      </c>
      <c r="CH97">
        <v>18.1587819212364</v>
      </c>
      <c r="CI97">
        <v>6.9790324294963133</v>
      </c>
      <c r="CJ97">
        <v>8.4099335159451538</v>
      </c>
      <c r="CK97">
        <v>1021.2926115725826</v>
      </c>
      <c r="CL97">
        <v>25.376358039664044</v>
      </c>
      <c r="CM97">
        <v>10.305212584646361</v>
      </c>
      <c r="CN97">
        <v>19.355718768558738</v>
      </c>
      <c r="CO97">
        <v>7.2761074099082954</v>
      </c>
      <c r="CP97">
        <v>9.0533153800117141</v>
      </c>
      <c r="CQ97">
        <v>1102.95150091455</v>
      </c>
      <c r="CR97">
        <v>25.575759699803719</v>
      </c>
      <c r="CS97">
        <v>10.26541283745032</v>
      </c>
      <c r="CT97">
        <v>19.655047825371678</v>
      </c>
      <c r="CU97">
        <v>7.2832541935405253</v>
      </c>
      <c r="CV97">
        <v>9.4397815108677925</v>
      </c>
      <c r="CW97">
        <v>1225.971394214936</v>
      </c>
      <c r="CX97">
        <v>24.056023375067848</v>
      </c>
      <c r="CY97">
        <v>9.6079298469516523</v>
      </c>
      <c r="DA97">
        <v>101</v>
      </c>
      <c r="DB97">
        <v>13.435509979966353</v>
      </c>
      <c r="DC97">
        <v>5.6133339414787633</v>
      </c>
      <c r="DD97">
        <v>7.114979654729666</v>
      </c>
      <c r="DE97">
        <v>903.91296131106606</v>
      </c>
      <c r="DF97">
        <v>21.91809356411358</v>
      </c>
      <c r="DG97">
        <v>9.4341068680419511</v>
      </c>
      <c r="DH97">
        <v>14.055271375836332</v>
      </c>
      <c r="DI97">
        <v>6.0909973285229349</v>
      </c>
      <c r="DJ97">
        <v>7.5000804595852122</v>
      </c>
      <c r="DK97">
        <v>953.01063388678483</v>
      </c>
      <c r="DL97">
        <v>21.997071742058473</v>
      </c>
      <c r="DM97">
        <v>9.704244047582069</v>
      </c>
      <c r="DN97">
        <v>15.621328291964778</v>
      </c>
      <c r="DO97">
        <v>6.282767660360002</v>
      </c>
      <c r="DP97">
        <v>8.0533990905102879</v>
      </c>
      <c r="DQ97">
        <v>1026.9111781021495</v>
      </c>
      <c r="DR97">
        <v>22.766558436402743</v>
      </c>
      <c r="DS97">
        <v>9.5708109073384353</v>
      </c>
      <c r="DT97">
        <v>16.799290650609613</v>
      </c>
      <c r="DU97">
        <v>6.6411071574089124</v>
      </c>
      <c r="DV97">
        <v>8.7922329810388309</v>
      </c>
      <c r="DW97">
        <v>1123.393081938643</v>
      </c>
      <c r="DX97">
        <v>22.834744883519157</v>
      </c>
      <c r="DY97">
        <v>9.5133683978460262</v>
      </c>
      <c r="DZ97">
        <v>17.089212109962148</v>
      </c>
      <c r="EA97">
        <v>6.7920721071972912</v>
      </c>
      <c r="EB97">
        <v>9.1940651003196958</v>
      </c>
      <c r="EC97">
        <v>1250.1407965476308</v>
      </c>
      <c r="ED97">
        <v>21.538502603345439</v>
      </c>
      <c r="EE97">
        <v>9.0292750183145554</v>
      </c>
      <c r="EG97">
        <v>101</v>
      </c>
      <c r="EH97">
        <v>12.60121051693501</v>
      </c>
      <c r="EI97">
        <v>5.1769211966943933</v>
      </c>
      <c r="EJ97">
        <v>6.5445310441856455</v>
      </c>
      <c r="EK97">
        <v>906.50465387188103</v>
      </c>
      <c r="EL97">
        <v>20.935082148493592</v>
      </c>
      <c r="EM97">
        <v>8.9257111886554643</v>
      </c>
      <c r="EN97">
        <v>13.203905778341577</v>
      </c>
      <c r="EO97">
        <v>5.4829932666658596</v>
      </c>
      <c r="EP97">
        <v>6.9363040764572261</v>
      </c>
      <c r="EQ97">
        <v>955.22549650395774</v>
      </c>
      <c r="ER97">
        <v>21.054795711238789</v>
      </c>
      <c r="ES97">
        <v>9.0452398317922942</v>
      </c>
      <c r="ET97">
        <v>14.388917357113986</v>
      </c>
      <c r="EU97">
        <v>5.686221466035061</v>
      </c>
      <c r="EV97">
        <v>7.442599699907916</v>
      </c>
      <c r="EW97">
        <v>1027.1323670085039</v>
      </c>
      <c r="EX97">
        <v>21.561799746325804</v>
      </c>
      <c r="EY97">
        <v>8.9879618308693026</v>
      </c>
      <c r="EZ97">
        <v>15.164098805034021</v>
      </c>
      <c r="FA97">
        <v>6.0780767963179265</v>
      </c>
      <c r="FB97">
        <v>8.1247156494168316</v>
      </c>
      <c r="FC97">
        <v>1124.5858661430268</v>
      </c>
      <c r="FD97">
        <v>21.35648624748864</v>
      </c>
      <c r="FE97">
        <v>9.0026223766316988</v>
      </c>
      <c r="FF97">
        <v>15.336135612633587</v>
      </c>
      <c r="FG97">
        <v>6.1735071499195548</v>
      </c>
      <c r="FH97">
        <v>8.5004314761218911</v>
      </c>
      <c r="FI97">
        <v>1252.7741347522422</v>
      </c>
      <c r="FJ97">
        <v>20.09387295391387</v>
      </c>
      <c r="FK97">
        <v>8.516539263061718</v>
      </c>
    </row>
    <row r="98" spans="2:167" x14ac:dyDescent="0.2">
      <c r="B98">
        <v>676.1093680787593</v>
      </c>
      <c r="C98">
        <v>1.4790506495149036</v>
      </c>
      <c r="D98">
        <v>732.51989560643688</v>
      </c>
      <c r="E98">
        <v>1.3651506341300428</v>
      </c>
      <c r="F98">
        <v>820.76576481055827</v>
      </c>
      <c r="G98">
        <v>1.2183744045791323</v>
      </c>
      <c r="H98">
        <v>936.92668555530884</v>
      </c>
      <c r="I98">
        <v>1.0673193702528689</v>
      </c>
      <c r="J98">
        <v>1040.6684486637612</v>
      </c>
      <c r="K98">
        <v>0.96092084014271761</v>
      </c>
      <c r="L98">
        <v>776.23639069879471</v>
      </c>
      <c r="M98">
        <v>1.2882673525519277</v>
      </c>
      <c r="N98">
        <v>777.38380988521271</v>
      </c>
      <c r="O98">
        <v>1.2863658688076594</v>
      </c>
      <c r="Q98">
        <v>0.19683522761109182</v>
      </c>
      <c r="R98">
        <v>0.19748883541249046</v>
      </c>
      <c r="S98">
        <v>0.19730774040559548</v>
      </c>
      <c r="T98">
        <v>0.19844818232424272</v>
      </c>
      <c r="U98">
        <v>0.19885389554567665</v>
      </c>
      <c r="V98">
        <v>0.19744222292218264</v>
      </c>
      <c r="W98">
        <v>0.19725967830800897</v>
      </c>
      <c r="Y98">
        <v>2.1487001848969949</v>
      </c>
      <c r="Z98">
        <v>2.2031087374854286</v>
      </c>
      <c r="AA98">
        <v>2.2353087338009168</v>
      </c>
      <c r="AB98">
        <v>2.3691363119651228</v>
      </c>
      <c r="AC98">
        <v>2.4295052139155953</v>
      </c>
      <c r="AD98">
        <v>2.2211354258490204</v>
      </c>
      <c r="AE98">
        <v>2.2174761785753425</v>
      </c>
      <c r="AG98">
        <v>0.85909986087898349</v>
      </c>
      <c r="AH98">
        <v>0.88226364018838133</v>
      </c>
      <c r="AI98">
        <v>0.90054606818975791</v>
      </c>
      <c r="AJ98">
        <v>0.94797481781335358</v>
      </c>
      <c r="AK98">
        <v>0.97682723682151262</v>
      </c>
      <c r="AL98">
        <v>0.89195875395508539</v>
      </c>
      <c r="AM98">
        <v>0.8907984336560878</v>
      </c>
      <c r="AO98">
        <v>102</v>
      </c>
      <c r="AP98">
        <v>16.566218986494846</v>
      </c>
      <c r="AQ98">
        <v>7.2453038899575937</v>
      </c>
      <c r="AR98">
        <v>7.7470200055875305</v>
      </c>
      <c r="AS98">
        <v>892.22443825783432</v>
      </c>
      <c r="AT98">
        <v>25.64801404286332</v>
      </c>
      <c r="AU98">
        <v>11.356592032070989</v>
      </c>
      <c r="AV98">
        <v>17.388040600043372</v>
      </c>
      <c r="AW98">
        <v>7.4681302389717752</v>
      </c>
      <c r="AX98">
        <v>8.1482269549002346</v>
      </c>
      <c r="AY98">
        <v>943.20973839992826</v>
      </c>
      <c r="AZ98">
        <v>25.691747570056435</v>
      </c>
      <c r="BA98">
        <v>11.234358617983359</v>
      </c>
      <c r="BB98">
        <v>18.988338050631814</v>
      </c>
      <c r="BC98">
        <v>7.8878382127341045</v>
      </c>
      <c r="BD98">
        <v>8.711726816414048</v>
      </c>
      <c r="BE98">
        <v>1016.0969143566355</v>
      </c>
      <c r="BF98">
        <v>26.23526651874591</v>
      </c>
      <c r="BG98">
        <v>11.212432840199376</v>
      </c>
      <c r="BH98">
        <v>20.221658928848711</v>
      </c>
      <c r="BI98">
        <v>8.3377614337288239</v>
      </c>
      <c r="BJ98">
        <v>9.345351702420734</v>
      </c>
      <c r="BK98">
        <v>1096.9325922416872</v>
      </c>
      <c r="BL98">
        <v>26.415754334969353</v>
      </c>
      <c r="BM98">
        <v>11.248555227242385</v>
      </c>
      <c r="BN98">
        <v>20.705201716123565</v>
      </c>
      <c r="BO98">
        <v>8.4725913883974826</v>
      </c>
      <c r="BP98">
        <v>9.8920415765858163</v>
      </c>
      <c r="BQ98">
        <v>1217.6366538446719</v>
      </c>
      <c r="BR98">
        <v>24.990384121862562</v>
      </c>
      <c r="BS98">
        <v>10.608062723499293</v>
      </c>
      <c r="BU98">
        <v>102</v>
      </c>
      <c r="BV98">
        <v>15.939458260299228</v>
      </c>
      <c r="BW98">
        <v>6.2140991737318432</v>
      </c>
      <c r="BX98">
        <v>7.5073460082212007</v>
      </c>
      <c r="BY98">
        <v>896.65569299538447</v>
      </c>
      <c r="BZ98">
        <v>24.822263851662989</v>
      </c>
      <c r="CA98">
        <v>10.150411469209324</v>
      </c>
      <c r="CB98">
        <v>16.601632716439564</v>
      </c>
      <c r="CC98">
        <v>6.3698369737560023</v>
      </c>
      <c r="CD98">
        <v>7.8751110007589133</v>
      </c>
      <c r="CE98">
        <v>948.76298992341458</v>
      </c>
      <c r="CF98">
        <v>24.712492867031767</v>
      </c>
      <c r="CG98">
        <v>10.010996728181805</v>
      </c>
      <c r="CH98">
        <v>18.189343872971968</v>
      </c>
      <c r="CI98">
        <v>7.0043079184336499</v>
      </c>
      <c r="CJ98">
        <v>8.4088534960822283</v>
      </c>
      <c r="CK98">
        <v>1020.0672552439806</v>
      </c>
      <c r="CL98">
        <v>25.349876732565978</v>
      </c>
      <c r="CM98">
        <v>10.302642363069966</v>
      </c>
      <c r="CN98">
        <v>19.389300319971699</v>
      </c>
      <c r="CO98">
        <v>7.3050639159914308</v>
      </c>
      <c r="CP98">
        <v>9.0520560057581925</v>
      </c>
      <c r="CQ98">
        <v>1101.6504230329867</v>
      </c>
      <c r="CR98">
        <v>25.547072538960748</v>
      </c>
      <c r="CS98">
        <v>10.26297370769206</v>
      </c>
      <c r="CT98">
        <v>19.69043554571617</v>
      </c>
      <c r="CU98">
        <v>7.3132279243842566</v>
      </c>
      <c r="CV98">
        <v>9.4381903955311497</v>
      </c>
      <c r="CW98">
        <v>1223.3943141549912</v>
      </c>
      <c r="CX98">
        <v>24.043304100483056</v>
      </c>
      <c r="CY98">
        <v>9.6104766863525803</v>
      </c>
      <c r="DA98">
        <v>102</v>
      </c>
      <c r="DB98">
        <v>13.435682207608393</v>
      </c>
      <c r="DC98">
        <v>5.6359454710601256</v>
      </c>
      <c r="DD98">
        <v>7.115168170349949</v>
      </c>
      <c r="DE98">
        <v>904.72950970293493</v>
      </c>
      <c r="DF98">
        <v>21.833319164555867</v>
      </c>
      <c r="DG98">
        <v>9.4207942109007305</v>
      </c>
      <c r="DH98">
        <v>14.054983823794721</v>
      </c>
      <c r="DI98">
        <v>6.1194040818402877</v>
      </c>
      <c r="DJ98">
        <v>7.5000045043461139</v>
      </c>
      <c r="DK98">
        <v>953.83396522155488</v>
      </c>
      <c r="DL98">
        <v>21.9112030923398</v>
      </c>
      <c r="DM98">
        <v>9.6952201674633738</v>
      </c>
      <c r="DN98">
        <v>15.621086824754816</v>
      </c>
      <c r="DO98">
        <v>6.3108410805583057</v>
      </c>
      <c r="DP98">
        <v>8.0535628035315163</v>
      </c>
      <c r="DQ98">
        <v>1027.5045602496052</v>
      </c>
      <c r="DR98">
        <v>22.666879576171318</v>
      </c>
      <c r="DS98">
        <v>9.5531656587463445</v>
      </c>
      <c r="DT98">
        <v>16.798132309218598</v>
      </c>
      <c r="DU98">
        <v>6.6827347410990132</v>
      </c>
      <c r="DV98">
        <v>8.7918346031408525</v>
      </c>
      <c r="DW98">
        <v>1123.9888791271867</v>
      </c>
      <c r="DX98">
        <v>22.734010748300243</v>
      </c>
      <c r="DY98">
        <v>9.5053254975790633</v>
      </c>
      <c r="DZ98">
        <v>17.08765975180339</v>
      </c>
      <c r="EA98">
        <v>6.8359361712074804</v>
      </c>
      <c r="EB98">
        <v>9.1934380744339688</v>
      </c>
      <c r="EC98">
        <v>1249.5145753131699</v>
      </c>
      <c r="ED98">
        <v>21.457665453320288</v>
      </c>
      <c r="EE98">
        <v>9.0275943987279224</v>
      </c>
      <c r="EG98">
        <v>102</v>
      </c>
      <c r="EH98">
        <v>12.601806954780127</v>
      </c>
      <c r="EI98">
        <v>5.197332999759138</v>
      </c>
      <c r="EJ98">
        <v>6.5446669621492237</v>
      </c>
      <c r="EK98">
        <v>908.05054562714656</v>
      </c>
      <c r="EL98">
        <v>20.8351539253152</v>
      </c>
      <c r="EM98">
        <v>8.9033128112442217</v>
      </c>
      <c r="EN98">
        <v>13.203972656987704</v>
      </c>
      <c r="EO98">
        <v>5.5086918440693049</v>
      </c>
      <c r="EP98">
        <v>6.9362167863212862</v>
      </c>
      <c r="EQ98">
        <v>956.84459083420279</v>
      </c>
      <c r="ER98">
        <v>20.952868160183993</v>
      </c>
      <c r="ES98">
        <v>9.0264585712155174</v>
      </c>
      <c r="ET98">
        <v>14.39860967075435</v>
      </c>
      <c r="EU98">
        <v>5.7116302171678086</v>
      </c>
      <c r="EV98">
        <v>7.4427107758021913</v>
      </c>
      <c r="EW98">
        <v>1025.5493656892593</v>
      </c>
      <c r="EX98">
        <v>21.518071889511312</v>
      </c>
      <c r="EY98">
        <v>8.9870958182465035</v>
      </c>
      <c r="EZ98">
        <v>15.16604987872312</v>
      </c>
      <c r="FA98">
        <v>6.1159114878607861</v>
      </c>
      <c r="FB98">
        <v>8.1243370986867749</v>
      </c>
      <c r="FC98">
        <v>1124.2302946408417</v>
      </c>
      <c r="FD98">
        <v>21.277395692484767</v>
      </c>
      <c r="FE98">
        <v>8.9990964900628594</v>
      </c>
      <c r="FF98">
        <v>15.335435732876558</v>
      </c>
      <c r="FG98">
        <v>6.2132761809833816</v>
      </c>
      <c r="FH98">
        <v>8.4998442061625781</v>
      </c>
      <c r="FI98">
        <v>1251.5539031570497</v>
      </c>
      <c r="FJ98">
        <v>20.022662750663955</v>
      </c>
      <c r="FK98">
        <v>8.515374978351721</v>
      </c>
    </row>
    <row r="99" spans="2:167" x14ac:dyDescent="0.2">
      <c r="B99">
        <v>669.59032328001797</v>
      </c>
      <c r="C99">
        <v>1.4934504953737318</v>
      </c>
      <c r="D99">
        <v>725.4902884679484</v>
      </c>
      <c r="E99">
        <v>1.3783782028450671</v>
      </c>
      <c r="F99">
        <v>810.95623606271784</v>
      </c>
      <c r="G99">
        <v>1.2331121650350831</v>
      </c>
      <c r="H99">
        <v>926.01350004416042</v>
      </c>
      <c r="I99">
        <v>1.0798978632085938</v>
      </c>
      <c r="J99">
        <v>1028.1452302362027</v>
      </c>
      <c r="K99">
        <v>0.97262523872261053</v>
      </c>
      <c r="L99">
        <v>767.3721660320299</v>
      </c>
      <c r="M99">
        <v>1.3031486471171543</v>
      </c>
      <c r="N99">
        <v>769.45229447911925</v>
      </c>
      <c r="O99">
        <v>1.299625730113587</v>
      </c>
      <c r="Q99">
        <v>0.19865231948017503</v>
      </c>
      <c r="R99">
        <v>0.19930284635209661</v>
      </c>
      <c r="S99">
        <v>0.19909819805062903</v>
      </c>
      <c r="T99">
        <v>0.20023274047559306</v>
      </c>
      <c r="U99">
        <v>0.20063073223032718</v>
      </c>
      <c r="V99">
        <v>0.19923763002352582</v>
      </c>
      <c r="W99">
        <v>0.19906886897631221</v>
      </c>
      <c r="Y99">
        <v>2.1486265223474006</v>
      </c>
      <c r="Z99">
        <v>2.2047096433477602</v>
      </c>
      <c r="AA99">
        <v>2.2351775407329044</v>
      </c>
      <c r="AB99">
        <v>2.3722418818351798</v>
      </c>
      <c r="AC99">
        <v>2.4331495441397477</v>
      </c>
      <c r="AD99">
        <v>2.2220527438584043</v>
      </c>
      <c r="AE99">
        <v>2.2180838711470061</v>
      </c>
      <c r="AG99">
        <v>0.86030123808781145</v>
      </c>
      <c r="AH99">
        <v>0.88414926808607364</v>
      </c>
      <c r="AI99">
        <v>0.90170171778422048</v>
      </c>
      <c r="AJ99">
        <v>0.95047528362680445</v>
      </c>
      <c r="AK99">
        <v>0.9795284656905312</v>
      </c>
      <c r="AL99">
        <v>0.89357956220790824</v>
      </c>
      <c r="AM99">
        <v>0.8922531359163568</v>
      </c>
      <c r="AO99">
        <v>103</v>
      </c>
      <c r="AP99">
        <v>16.606284885158541</v>
      </c>
      <c r="AQ99">
        <v>7.2645791033408456</v>
      </c>
      <c r="AR99">
        <v>7.746368176710769</v>
      </c>
      <c r="AS99">
        <v>891.52078693442741</v>
      </c>
      <c r="AT99">
        <v>25.644872448238978</v>
      </c>
      <c r="AU99">
        <v>11.35594898882913</v>
      </c>
      <c r="AV99">
        <v>17.433207367597149</v>
      </c>
      <c r="AW99">
        <v>7.4913748707295476</v>
      </c>
      <c r="AX99">
        <v>8.1474157282602491</v>
      </c>
      <c r="AY99">
        <v>942.54290565419058</v>
      </c>
      <c r="AZ99">
        <v>25.688155390906804</v>
      </c>
      <c r="BA99">
        <v>11.235118405863989</v>
      </c>
      <c r="BB99">
        <v>19.021126195821935</v>
      </c>
      <c r="BC99">
        <v>7.9108895084843489</v>
      </c>
      <c r="BD99">
        <v>8.7105663838693026</v>
      </c>
      <c r="BE99">
        <v>1014.8951273062839</v>
      </c>
      <c r="BF99">
        <v>26.208324929285801</v>
      </c>
      <c r="BG99">
        <v>11.207146244537656</v>
      </c>
      <c r="BH99">
        <v>20.257387669868471</v>
      </c>
      <c r="BI99">
        <v>8.3645957403007003</v>
      </c>
      <c r="BJ99">
        <v>9.3439980045460906</v>
      </c>
      <c r="BK99">
        <v>1095.6279100323666</v>
      </c>
      <c r="BL99">
        <v>26.386748228627233</v>
      </c>
      <c r="BM99">
        <v>11.243905234100287</v>
      </c>
      <c r="BN99">
        <v>20.741881640883886</v>
      </c>
      <c r="BO99">
        <v>8.5002178859967472</v>
      </c>
      <c r="BP99">
        <v>9.8903168050126915</v>
      </c>
      <c r="BQ99">
        <v>1215.0678160088426</v>
      </c>
      <c r="BR99">
        <v>24.977100267455445</v>
      </c>
      <c r="BS99">
        <v>10.609212030702523</v>
      </c>
      <c r="BU99">
        <v>103</v>
      </c>
      <c r="BV99">
        <v>15.973302923107275</v>
      </c>
      <c r="BW99">
        <v>6.2362116626593629</v>
      </c>
      <c r="BX99">
        <v>7.5067079919424655</v>
      </c>
      <c r="BY99">
        <v>895.65505715559118</v>
      </c>
      <c r="BZ99">
        <v>24.819772663857158</v>
      </c>
      <c r="CA99">
        <v>10.155357317037508</v>
      </c>
      <c r="CB99">
        <v>16.641162047408468</v>
      </c>
      <c r="CC99">
        <v>6.3954607884998556</v>
      </c>
      <c r="CD99">
        <v>7.8743230239628685</v>
      </c>
      <c r="CE99">
        <v>947.76380255849494</v>
      </c>
      <c r="CF99">
        <v>24.710949331078204</v>
      </c>
      <c r="CG99">
        <v>10.016912483652581</v>
      </c>
      <c r="CH99">
        <v>18.216668090395089</v>
      </c>
      <c r="CI99">
        <v>7.0286728479746401</v>
      </c>
      <c r="CJ99">
        <v>8.4077370513009217</v>
      </c>
      <c r="CK99">
        <v>1018.5767648151474</v>
      </c>
      <c r="CL99">
        <v>25.323808721325285</v>
      </c>
      <c r="CM99">
        <v>10.300511278582476</v>
      </c>
      <c r="CN99">
        <v>19.419350250669613</v>
      </c>
      <c r="CO99">
        <v>7.3331029087243609</v>
      </c>
      <c r="CP99">
        <v>9.0507517111844074</v>
      </c>
      <c r="CQ99">
        <v>1100.0536158425141</v>
      </c>
      <c r="CR99">
        <v>25.518774713160067</v>
      </c>
      <c r="CS99">
        <v>10.260994008021978</v>
      </c>
      <c r="CT99">
        <v>19.722273889391058</v>
      </c>
      <c r="CU99">
        <v>7.3423145161164909</v>
      </c>
      <c r="CV99">
        <v>9.4365418829891414</v>
      </c>
      <c r="CW99">
        <v>1220.466968643578</v>
      </c>
      <c r="CX99">
        <v>24.031181239845072</v>
      </c>
      <c r="CY99">
        <v>9.6135405736381472</v>
      </c>
      <c r="DA99">
        <v>103</v>
      </c>
      <c r="DB99">
        <v>13.435860103876765</v>
      </c>
      <c r="DC99">
        <v>5.657920691844863</v>
      </c>
      <c r="DD99">
        <v>7.1153628906920545</v>
      </c>
      <c r="DE99">
        <v>905.47138034252373</v>
      </c>
      <c r="DF99">
        <v>21.748353964711647</v>
      </c>
      <c r="DG99">
        <v>9.4065989851498077</v>
      </c>
      <c r="DH99">
        <v>14.054686406956758</v>
      </c>
      <c r="DI99">
        <v>6.1471836694082933</v>
      </c>
      <c r="DJ99">
        <v>7.4999259433770709</v>
      </c>
      <c r="DK99">
        <v>954.57233189046065</v>
      </c>
      <c r="DL99">
        <v>21.825132539869152</v>
      </c>
      <c r="DM99">
        <v>9.6853738972308658</v>
      </c>
      <c r="DN99">
        <v>15.620837213784061</v>
      </c>
      <c r="DO99">
        <v>6.3382155182504585</v>
      </c>
      <c r="DP99">
        <v>8.0537320379636377</v>
      </c>
      <c r="DQ99">
        <v>1028.0027538824399</v>
      </c>
      <c r="DR99">
        <v>22.566488461184623</v>
      </c>
      <c r="DS99">
        <v>9.5344142681909219</v>
      </c>
      <c r="DT99">
        <v>16.796932651224427</v>
      </c>
      <c r="DU99">
        <v>6.7238805986431753</v>
      </c>
      <c r="DV99">
        <v>8.7914220155965275</v>
      </c>
      <c r="DW99">
        <v>1124.4691089529356</v>
      </c>
      <c r="DX99">
        <v>22.632549523156577</v>
      </c>
      <c r="DY99">
        <v>9.4964113869923157</v>
      </c>
      <c r="DZ99">
        <v>17.086051394548914</v>
      </c>
      <c r="EA99">
        <v>6.8793368629183522</v>
      </c>
      <c r="EB99">
        <v>9.1927884294880737</v>
      </c>
      <c r="EC99">
        <v>1248.716111463028</v>
      </c>
      <c r="ED99">
        <v>21.376388260580491</v>
      </c>
      <c r="EE99">
        <v>9.0252948329767246</v>
      </c>
      <c r="EG99">
        <v>103</v>
      </c>
      <c r="EH99">
        <v>12.602423023523247</v>
      </c>
      <c r="EI99">
        <v>5.2171417158179141</v>
      </c>
      <c r="EJ99">
        <v>6.5448073536580358</v>
      </c>
      <c r="EK99">
        <v>909.53673972640411</v>
      </c>
      <c r="EL99">
        <v>20.734813867908947</v>
      </c>
      <c r="EM99">
        <v>8.8799350687194263</v>
      </c>
      <c r="EN99">
        <v>13.204041829981042</v>
      </c>
      <c r="EO99">
        <v>5.5338305123227549</v>
      </c>
      <c r="EP99">
        <v>6.936126501599011</v>
      </c>
      <c r="EQ99">
        <v>958.3984788390718</v>
      </c>
      <c r="ER99">
        <v>20.8504328070631</v>
      </c>
      <c r="ES99">
        <v>9.0067304777875865</v>
      </c>
      <c r="ET99">
        <v>14.405571114789655</v>
      </c>
      <c r="EU99">
        <v>5.7364063865790769</v>
      </c>
      <c r="EV99">
        <v>7.4428255978594038</v>
      </c>
      <c r="EW99">
        <v>1023.6587991716301</v>
      </c>
      <c r="EX99">
        <v>21.475071774256222</v>
      </c>
      <c r="EY99">
        <v>8.9869739801283899</v>
      </c>
      <c r="EZ99">
        <v>15.164816009491418</v>
      </c>
      <c r="FA99">
        <v>6.1532956207118072</v>
      </c>
      <c r="FB99">
        <v>8.1239450455208999</v>
      </c>
      <c r="FC99">
        <v>1123.5594965472353</v>
      </c>
      <c r="FD99">
        <v>21.198242039782134</v>
      </c>
      <c r="FE99">
        <v>8.9962625955388855</v>
      </c>
      <c r="FF99">
        <v>15.334020461884084</v>
      </c>
      <c r="FG99">
        <v>6.2526203643940557</v>
      </c>
      <c r="FH99">
        <v>8.4992357512811658</v>
      </c>
      <c r="FI99">
        <v>1250.1224043158584</v>
      </c>
      <c r="FJ99">
        <v>19.950853938067269</v>
      </c>
      <c r="FK99">
        <v>8.5138179536446401</v>
      </c>
    </row>
    <row r="100" spans="2:167" x14ac:dyDescent="0.2">
      <c r="B100">
        <v>662.86369030341541</v>
      </c>
      <c r="C100">
        <v>1.5086057882311608</v>
      </c>
      <c r="D100">
        <v>718.22771523585823</v>
      </c>
      <c r="E100">
        <v>1.392316084142772</v>
      </c>
      <c r="F100">
        <v>800.82702993292423</v>
      </c>
      <c r="G100">
        <v>1.2487091002457273</v>
      </c>
      <c r="H100">
        <v>914.72498451673687</v>
      </c>
      <c r="I100">
        <v>1.0932247581805314</v>
      </c>
      <c r="J100">
        <v>1015.1867471471627</v>
      </c>
      <c r="K100">
        <v>0.98504043990936652</v>
      </c>
      <c r="L100">
        <v>758.21641990516241</v>
      </c>
      <c r="M100">
        <v>1.3188846531773604</v>
      </c>
      <c r="N100">
        <v>761.26110803628205</v>
      </c>
      <c r="O100">
        <v>1.3136097318560762</v>
      </c>
      <c r="Q100">
        <v>0.20046763246688934</v>
      </c>
      <c r="R100">
        <v>0.20111485479949889</v>
      </c>
      <c r="S100">
        <v>0.20088607890661997</v>
      </c>
      <c r="T100">
        <v>0.2020142918348882</v>
      </c>
      <c r="U100">
        <v>0.20240426100221084</v>
      </c>
      <c r="V100">
        <v>0.20103055443785398</v>
      </c>
      <c r="W100">
        <v>0.20087597719500547</v>
      </c>
      <c r="Y100">
        <v>2.1485505141359926</v>
      </c>
      <c r="Z100">
        <v>2.2059268513584067</v>
      </c>
      <c r="AA100">
        <v>2.2350420722855548</v>
      </c>
      <c r="AB100">
        <v>2.3749501953916092</v>
      </c>
      <c r="AC100">
        <v>2.4363959258737218</v>
      </c>
      <c r="AD100">
        <v>2.22256680548699</v>
      </c>
      <c r="AE100">
        <v>2.2182771623301942</v>
      </c>
      <c r="AG100">
        <v>0.86138321773981497</v>
      </c>
      <c r="AH100">
        <v>0.88592575651637895</v>
      </c>
      <c r="AI100">
        <v>0.90272495707396583</v>
      </c>
      <c r="AJ100">
        <v>0.95286166096179403</v>
      </c>
      <c r="AK100">
        <v>0.98211375329357409</v>
      </c>
      <c r="AL100">
        <v>0.89508323396902689</v>
      </c>
      <c r="AM100">
        <v>0.89358475323584652</v>
      </c>
      <c r="AO100">
        <v>104</v>
      </c>
      <c r="AP100">
        <v>16.643947162413859</v>
      </c>
      <c r="AQ100">
        <v>7.2827906491387751</v>
      </c>
      <c r="AR100">
        <v>7.7456955914236767</v>
      </c>
      <c r="AS100">
        <v>890.60851458723255</v>
      </c>
      <c r="AT100">
        <v>25.642855542643794</v>
      </c>
      <c r="AU100">
        <v>11.35577515028228</v>
      </c>
      <c r="AV100">
        <v>17.475859130245087</v>
      </c>
      <c r="AW100">
        <v>7.5135835903793504</v>
      </c>
      <c r="AX100">
        <v>8.1465776170024427</v>
      </c>
      <c r="AY100">
        <v>941.65211754978009</v>
      </c>
      <c r="AZ100">
        <v>25.685684182757985</v>
      </c>
      <c r="BA100">
        <v>11.236394896902819</v>
      </c>
      <c r="BB100">
        <v>19.050665381469972</v>
      </c>
      <c r="BC100">
        <v>7.9327806309348992</v>
      </c>
      <c r="BD100">
        <v>8.7093681346212914</v>
      </c>
      <c r="BE100">
        <v>1013.4364481712229</v>
      </c>
      <c r="BF100">
        <v>26.181802713967805</v>
      </c>
      <c r="BG100">
        <v>11.202194753060017</v>
      </c>
      <c r="BH100">
        <v>20.289568336146541</v>
      </c>
      <c r="BI100">
        <v>8.3902237150329757</v>
      </c>
      <c r="BJ100">
        <v>9.3425977498302029</v>
      </c>
      <c r="BK100">
        <v>1094.0361949649784</v>
      </c>
      <c r="BL100">
        <v>26.358139451130349</v>
      </c>
      <c r="BM100">
        <v>11.239625176939718</v>
      </c>
      <c r="BN100">
        <v>20.774927953952957</v>
      </c>
      <c r="BO100">
        <v>8.5266296874673806</v>
      </c>
      <c r="BP100">
        <v>9.8885320862207884</v>
      </c>
      <c r="BQ100">
        <v>1212.1581702791029</v>
      </c>
      <c r="BR100">
        <v>24.964425981081661</v>
      </c>
      <c r="BS100">
        <v>10.610813841396482</v>
      </c>
      <c r="BU100">
        <v>104</v>
      </c>
      <c r="BV100">
        <v>16.004690780843323</v>
      </c>
      <c r="BW100">
        <v>6.2575815704144668</v>
      </c>
      <c r="BX100">
        <v>7.5060496590926933</v>
      </c>
      <c r="BY100">
        <v>894.43659111177078</v>
      </c>
      <c r="BZ100">
        <v>24.818404483481675</v>
      </c>
      <c r="CA100">
        <v>10.160967306311267</v>
      </c>
      <c r="CB100">
        <v>16.678179843989835</v>
      </c>
      <c r="CC100">
        <v>6.4203787441632381</v>
      </c>
      <c r="CD100">
        <v>7.8735089330650814</v>
      </c>
      <c r="CE100">
        <v>946.53153743209407</v>
      </c>
      <c r="CF100">
        <v>24.710533870438194</v>
      </c>
      <c r="CG100">
        <v>10.023511977020233</v>
      </c>
      <c r="CH100">
        <v>18.24075466404549</v>
      </c>
      <c r="CI100">
        <v>7.0521272404404467</v>
      </c>
      <c r="CJ100">
        <v>8.4065842233095793</v>
      </c>
      <c r="CK100">
        <v>1016.8205198714745</v>
      </c>
      <c r="CL100">
        <v>25.298154324216618</v>
      </c>
      <c r="CM100">
        <v>10.29882744015892</v>
      </c>
      <c r="CN100">
        <v>19.445868701799952</v>
      </c>
      <c r="CO100">
        <v>7.3602244226283453</v>
      </c>
      <c r="CP100">
        <v>9.0494025588646316</v>
      </c>
      <c r="CQ100">
        <v>1098.1604175613063</v>
      </c>
      <c r="CR100">
        <v>25.490865004303064</v>
      </c>
      <c r="CS100">
        <v>10.259482393316274</v>
      </c>
      <c r="CT100">
        <v>19.750563075950001</v>
      </c>
      <c r="CU100">
        <v>7.3705140236369706</v>
      </c>
      <c r="CV100">
        <v>9.4348360737340169</v>
      </c>
      <c r="CW100">
        <v>1217.1887842662507</v>
      </c>
      <c r="CX100">
        <v>24.01966598707817</v>
      </c>
      <c r="CY100">
        <v>9.6171351384785346</v>
      </c>
      <c r="DA100">
        <v>104</v>
      </c>
      <c r="DB100">
        <v>13.436043664956982</v>
      </c>
      <c r="DC100">
        <v>5.679259609534876</v>
      </c>
      <c r="DD100">
        <v>7.1155638115807527</v>
      </c>
      <c r="DE100">
        <v>906.13777334238569</v>
      </c>
      <c r="DF100">
        <v>21.663197986709388</v>
      </c>
      <c r="DG100">
        <v>9.391528804262844</v>
      </c>
      <c r="DH100">
        <v>14.054379133516919</v>
      </c>
      <c r="DI100">
        <v>6.174336099647225</v>
      </c>
      <c r="DJ100">
        <v>7.4998447788426059</v>
      </c>
      <c r="DK100">
        <v>955.22482217484765</v>
      </c>
      <c r="DL100">
        <v>21.738860237532428</v>
      </c>
      <c r="DM100">
        <v>9.6747146253181793</v>
      </c>
      <c r="DN100">
        <v>15.620579468377525</v>
      </c>
      <c r="DO100">
        <v>6.3648909904089059</v>
      </c>
      <c r="DP100">
        <v>8.0539067874843617</v>
      </c>
      <c r="DQ100">
        <v>1028.4046700146605</v>
      </c>
      <c r="DR100">
        <v>22.465385377665985</v>
      </c>
      <c r="DS100">
        <v>9.514564749689411</v>
      </c>
      <c r="DT100">
        <v>16.795691734181371</v>
      </c>
      <c r="DU100">
        <v>6.7645447474838125</v>
      </c>
      <c r="DV100">
        <v>8.7909952381999741</v>
      </c>
      <c r="DW100">
        <v>1124.8324514809367</v>
      </c>
      <c r="DX100">
        <v>22.530361705105257</v>
      </c>
      <c r="DY100">
        <v>9.4866375697228751</v>
      </c>
      <c r="DZ100">
        <v>17.084387136243123</v>
      </c>
      <c r="EA100">
        <v>6.9222742114792499</v>
      </c>
      <c r="EB100">
        <v>9.1921162050839431</v>
      </c>
      <c r="EC100">
        <v>1247.7438299778896</v>
      </c>
      <c r="ED100">
        <v>21.294669196686829</v>
      </c>
      <c r="EE100">
        <v>9.0223882055747726</v>
      </c>
      <c r="EG100">
        <v>104</v>
      </c>
      <c r="EH100">
        <v>12.603058709954507</v>
      </c>
      <c r="EI100">
        <v>5.2363473503303917</v>
      </c>
      <c r="EJ100">
        <v>6.5449522157017812</v>
      </c>
      <c r="EK100">
        <v>910.96250895672415</v>
      </c>
      <c r="EL100">
        <v>20.63406215660471</v>
      </c>
      <c r="EM100">
        <v>8.8555858890504116</v>
      </c>
      <c r="EN100">
        <v>13.204113295415725</v>
      </c>
      <c r="EO100">
        <v>5.558409278901661</v>
      </c>
      <c r="EP100">
        <v>6.9360332247779377</v>
      </c>
      <c r="EQ100">
        <v>959.88638794597261</v>
      </c>
      <c r="ER100">
        <v>20.747489824494227</v>
      </c>
      <c r="ES100">
        <v>8.9860642312826382</v>
      </c>
      <c r="ET100">
        <v>14.409801749567661</v>
      </c>
      <c r="EU100">
        <v>5.7605499896288226</v>
      </c>
      <c r="EV100">
        <v>7.4429441617900123</v>
      </c>
      <c r="EW100">
        <v>1021.4591664542363</v>
      </c>
      <c r="EX100">
        <v>21.432799505100675</v>
      </c>
      <c r="EY100">
        <v>8.9876150926574336</v>
      </c>
      <c r="EZ100">
        <v>15.163517622688753</v>
      </c>
      <c r="FA100">
        <v>6.1902292112167476</v>
      </c>
      <c r="FB100">
        <v>8.1235395087281788</v>
      </c>
      <c r="FC100">
        <v>1122.7180733078958</v>
      </c>
      <c r="FD100">
        <v>21.119022167473993</v>
      </c>
      <c r="FE100">
        <v>8.9929631468812889</v>
      </c>
      <c r="FF100">
        <v>15.33255600086486</v>
      </c>
      <c r="FG100">
        <v>6.2915397268431947</v>
      </c>
      <c r="FH100">
        <v>8.4986061485686637</v>
      </c>
      <c r="FI100">
        <v>1248.5076552583905</v>
      </c>
      <c r="FJ100">
        <v>19.878501234396946</v>
      </c>
      <c r="FK100">
        <v>8.5116776703590311</v>
      </c>
    </row>
    <row r="101" spans="2:167" x14ac:dyDescent="0.2">
      <c r="B101">
        <v>655.92961333352628</v>
      </c>
      <c r="C101">
        <v>1.524553823569361</v>
      </c>
      <c r="D101">
        <v>710.73237592547753</v>
      </c>
      <c r="E101">
        <v>1.4069993627317929</v>
      </c>
      <c r="F101">
        <v>790.37852461047021</v>
      </c>
      <c r="G101">
        <v>1.2652165625234308</v>
      </c>
      <c r="H101">
        <v>903.06168016379559</v>
      </c>
      <c r="I101">
        <v>1.1073440740156553</v>
      </c>
      <c r="J101">
        <v>1001.7937886371957</v>
      </c>
      <c r="K101">
        <v>0.99820942327898055</v>
      </c>
      <c r="L101">
        <v>748.76951424261756</v>
      </c>
      <c r="M101">
        <v>1.3355244584329835</v>
      </c>
      <c r="N101">
        <v>752.81048598953782</v>
      </c>
      <c r="O101">
        <v>1.3283555670528977</v>
      </c>
      <c r="Q101">
        <v>0.2022811678067935</v>
      </c>
      <c r="R101">
        <v>0.20292486247395652</v>
      </c>
      <c r="S101">
        <v>0.20267138602199797</v>
      </c>
      <c r="T101">
        <v>0.20379284073764095</v>
      </c>
      <c r="U101">
        <v>0.20417448785937692</v>
      </c>
      <c r="V101">
        <v>0.20282099924742755</v>
      </c>
      <c r="W101">
        <v>0.20268100485215848</v>
      </c>
      <c r="Y101">
        <v>2.1484721618919975</v>
      </c>
      <c r="Z101">
        <v>2.2067603644298837</v>
      </c>
      <c r="AA101">
        <v>2.2349023335167888</v>
      </c>
      <c r="AB101">
        <v>2.3772612609722397</v>
      </c>
      <c r="AC101">
        <v>2.439244372493472</v>
      </c>
      <c r="AD101">
        <v>2.2226776174091669</v>
      </c>
      <c r="AE101">
        <v>2.2181507106758387</v>
      </c>
      <c r="AG101">
        <v>0.86234580017807572</v>
      </c>
      <c r="AH101">
        <v>0.88759310600266239</v>
      </c>
      <c r="AI101">
        <v>0.90361578735241999</v>
      </c>
      <c r="AJ101">
        <v>0.95513395139184576</v>
      </c>
      <c r="AK101">
        <v>0.98458310261093207</v>
      </c>
      <c r="AL101">
        <v>0.89646977086473123</v>
      </c>
      <c r="AM101">
        <v>0.89479328646741263</v>
      </c>
      <c r="AO101">
        <v>105</v>
      </c>
      <c r="AP101">
        <v>16.679205840437525</v>
      </c>
      <c r="AQ101">
        <v>7.2999385384210189</v>
      </c>
      <c r="AR101">
        <v>7.7450022641430394</v>
      </c>
      <c r="AS101">
        <v>889.48772509202661</v>
      </c>
      <c r="AT101">
        <v>25.641963912505094</v>
      </c>
      <c r="AU101">
        <v>11.356071216291131</v>
      </c>
      <c r="AV101">
        <v>17.515995924672875</v>
      </c>
      <c r="AW101">
        <v>7.5347564129493403</v>
      </c>
      <c r="AX101">
        <v>8.145712644208869</v>
      </c>
      <c r="AY101">
        <v>940.53749051905027</v>
      </c>
      <c r="AZ101">
        <v>25.684334211908002</v>
      </c>
      <c r="BA101">
        <v>11.238190004000698</v>
      </c>
      <c r="BB101">
        <v>19.076955700574775</v>
      </c>
      <c r="BC101">
        <v>7.9535116111617796</v>
      </c>
      <c r="BD101">
        <v>8.7081321134084693</v>
      </c>
      <c r="BE101">
        <v>1011.7202739013493</v>
      </c>
      <c r="BF101">
        <v>26.155700658732957</v>
      </c>
      <c r="BG101">
        <v>11.197584344954466</v>
      </c>
      <c r="BH101">
        <v>20.318201073728662</v>
      </c>
      <c r="BI101">
        <v>8.4146454065126779</v>
      </c>
      <c r="BJ101">
        <v>9.3411510054036775</v>
      </c>
      <c r="BK101">
        <v>1092.1568084158814</v>
      </c>
      <c r="BL101">
        <v>26.329927343390274</v>
      </c>
      <c r="BM101">
        <v>11.235722029193669</v>
      </c>
      <c r="BN101">
        <v>20.804340887922123</v>
      </c>
      <c r="BO101">
        <v>8.5518268709281138</v>
      </c>
      <c r="BP101">
        <v>9.886687528908972</v>
      </c>
      <c r="BQ101">
        <v>1208.907158704003</v>
      </c>
      <c r="BR101">
        <v>24.952372753989049</v>
      </c>
      <c r="BS101">
        <v>10.612880528441506</v>
      </c>
      <c r="BU101">
        <v>105</v>
      </c>
      <c r="BV101">
        <v>16.033621857254182</v>
      </c>
      <c r="BW101">
        <v>6.2782089021932315</v>
      </c>
      <c r="BX101">
        <v>7.5053710237831694</v>
      </c>
      <c r="BY101">
        <v>893.00049023831184</v>
      </c>
      <c r="BZ101">
        <v>24.818159011680041</v>
      </c>
      <c r="CA101">
        <v>10.167246731870303</v>
      </c>
      <c r="CB101">
        <v>16.71268614361793</v>
      </c>
      <c r="CC101">
        <v>6.4445908490985477</v>
      </c>
      <c r="CD101">
        <v>7.8726687504860688</v>
      </c>
      <c r="CE101">
        <v>945.0664071216778</v>
      </c>
      <c r="CF101">
        <v>24.71124704918094</v>
      </c>
      <c r="CG101">
        <v>10.030801422050519</v>
      </c>
      <c r="CH101">
        <v>18.261603687359226</v>
      </c>
      <c r="CI101">
        <v>7.0746711188662736</v>
      </c>
      <c r="CJ101">
        <v>8.4053950551507857</v>
      </c>
      <c r="CK101">
        <v>1014.7979275479495</v>
      </c>
      <c r="CL101">
        <v>25.272913872902677</v>
      </c>
      <c r="CM101">
        <v>10.297599477233383</v>
      </c>
      <c r="CN101">
        <v>19.468855819261581</v>
      </c>
      <c r="CO101">
        <v>7.386428493386715</v>
      </c>
      <c r="CP101">
        <v>9.048008613479535</v>
      </c>
      <c r="CQ101">
        <v>1095.9701991957611</v>
      </c>
      <c r="CR101">
        <v>25.463342141228566</v>
      </c>
      <c r="CS101">
        <v>10.25844809172407</v>
      </c>
      <c r="CT101">
        <v>19.775303332376271</v>
      </c>
      <c r="CU101">
        <v>7.3978265037032198</v>
      </c>
      <c r="CV101">
        <v>9.4330730716586331</v>
      </c>
      <c r="CW101">
        <v>1213.5592278053093</v>
      </c>
      <c r="CX101">
        <v>24.00877009199959</v>
      </c>
      <c r="CY101">
        <v>9.6212748505024219</v>
      </c>
      <c r="DA101">
        <v>105</v>
      </c>
      <c r="DB101">
        <v>13.436232886914436</v>
      </c>
      <c r="DC101">
        <v>5.6999622300116197</v>
      </c>
      <c r="DD101">
        <v>7.1157709287093276</v>
      </c>
      <c r="DE101">
        <v>906.72787414469349</v>
      </c>
      <c r="DF101">
        <v>21.577851251521942</v>
      </c>
      <c r="DG101">
        <v>9.3755909420689711</v>
      </c>
      <c r="DH101">
        <v>14.054062011937685</v>
      </c>
      <c r="DI101">
        <v>6.2008613812527429</v>
      </c>
      <c r="DJ101">
        <v>7.4997610129780368</v>
      </c>
      <c r="DK101">
        <v>955.79050815981134</v>
      </c>
      <c r="DL101">
        <v>21.65238632933259</v>
      </c>
      <c r="DM101">
        <v>9.6632514277890262</v>
      </c>
      <c r="DN101">
        <v>15.620313598158525</v>
      </c>
      <c r="DO101">
        <v>6.3908675145490434</v>
      </c>
      <c r="DP101">
        <v>8.0540870455691511</v>
      </c>
      <c r="DQ101">
        <v>1028.7091868650289</v>
      </c>
      <c r="DR101">
        <v>22.3635706046603</v>
      </c>
      <c r="DS101">
        <v>9.4936247567306129</v>
      </c>
      <c r="DT101">
        <v>16.794409617581117</v>
      </c>
      <c r="DU101">
        <v>6.8047272056504822</v>
      </c>
      <c r="DV101">
        <v>8.7905542914116328</v>
      </c>
      <c r="DW101">
        <v>1125.0775482298839</v>
      </c>
      <c r="DX101">
        <v>22.427447776138461</v>
      </c>
      <c r="DY101">
        <v>9.4760153445099125</v>
      </c>
      <c r="DZ101">
        <v>17.082667078248203</v>
      </c>
      <c r="EA101">
        <v>6.9647482470259092</v>
      </c>
      <c r="EB101">
        <v>9.1914214421636196</v>
      </c>
      <c r="EC101">
        <v>1246.5961118333219</v>
      </c>
      <c r="ED101">
        <v>21.212506591557396</v>
      </c>
      <c r="EE101">
        <v>9.0188863214618351</v>
      </c>
      <c r="EG101">
        <v>105</v>
      </c>
      <c r="EH101">
        <v>12.603714000448042</v>
      </c>
      <c r="EI101">
        <v>5.2549499089281735</v>
      </c>
      <c r="EJ101">
        <v>6.545101545175358</v>
      </c>
      <c r="EK101">
        <v>912.32710666561718</v>
      </c>
      <c r="EL101">
        <v>20.532898968552036</v>
      </c>
      <c r="EM101">
        <v>8.8302728964313104</v>
      </c>
      <c r="EN101">
        <v>13.204187051323554</v>
      </c>
      <c r="EO101">
        <v>5.5824281515259662</v>
      </c>
      <c r="EP101">
        <v>6.9359369584269643</v>
      </c>
      <c r="EQ101">
        <v>961.3075234105479</v>
      </c>
      <c r="ER101">
        <v>20.644039382489936</v>
      </c>
      <c r="ES101">
        <v>8.9644682404460632</v>
      </c>
      <c r="ET101">
        <v>14.411301637366655</v>
      </c>
      <c r="EU101">
        <v>5.7840610421683687</v>
      </c>
      <c r="EV101">
        <v>7.4430664631672512</v>
      </c>
      <c r="EW101">
        <v>1018.9490226950029</v>
      </c>
      <c r="EX101">
        <v>21.391255191233608</v>
      </c>
      <c r="EY101">
        <v>8.9890390269887046</v>
      </c>
      <c r="EZ101">
        <v>15.1621761282814</v>
      </c>
      <c r="FA101">
        <v>6.2267122762715958</v>
      </c>
      <c r="FB101">
        <v>8.1231205077507411</v>
      </c>
      <c r="FC101">
        <v>1121.7053494664162</v>
      </c>
      <c r="FD101">
        <v>21.039736040269727</v>
      </c>
      <c r="FE101">
        <v>8.9892030792289397</v>
      </c>
      <c r="FF101">
        <v>15.331042439012354</v>
      </c>
      <c r="FG101">
        <v>6.3300342959256453</v>
      </c>
      <c r="FH101">
        <v>8.49795543637123</v>
      </c>
      <c r="FI101">
        <v>1246.7082182378167</v>
      </c>
      <c r="FJ101">
        <v>19.805599448874581</v>
      </c>
      <c r="FK101">
        <v>8.5089634568184209</v>
      </c>
    </row>
    <row r="102" spans="2:167" x14ac:dyDescent="0.2">
      <c r="B102">
        <v>648.78824094916638</v>
      </c>
      <c r="C102">
        <v>1.5413349639892004</v>
      </c>
      <c r="D102">
        <v>703.00447687282906</v>
      </c>
      <c r="E102">
        <v>1.4224660480802263</v>
      </c>
      <c r="F102">
        <v>779.61110997263938</v>
      </c>
      <c r="G102">
        <v>1.2826908021296608</v>
      </c>
      <c r="H102">
        <v>891.02414573602562</v>
      </c>
      <c r="I102">
        <v>1.1223040416867216</v>
      </c>
      <c r="J102">
        <v>987.96716966073109</v>
      </c>
      <c r="K102">
        <v>1.0121793827859695</v>
      </c>
      <c r="L102">
        <v>739.031822243693</v>
      </c>
      <c r="M102">
        <v>1.3531217058610687</v>
      </c>
      <c r="N102">
        <v>744.10067111693888</v>
      </c>
      <c r="O102">
        <v>1.3439041769696849</v>
      </c>
      <c r="Q102">
        <v>0.20409292677310184</v>
      </c>
      <c r="R102">
        <v>0.20473287114905925</v>
      </c>
      <c r="S102">
        <v>0.20445412253940487</v>
      </c>
      <c r="T102">
        <v>0.20556839166003774</v>
      </c>
      <c r="U102">
        <v>0.20594141899529431</v>
      </c>
      <c r="V102">
        <v>0.2046089676305273</v>
      </c>
      <c r="W102">
        <v>0.20448395389474636</v>
      </c>
      <c r="Y102">
        <v>2.1483914672942959</v>
      </c>
      <c r="Z102">
        <v>2.2072101855667463</v>
      </c>
      <c r="AA102">
        <v>2.234758329640842</v>
      </c>
      <c r="AB102">
        <v>2.379175087185434</v>
      </c>
      <c r="AC102">
        <v>2.4416948978107431</v>
      </c>
      <c r="AD102">
        <v>2.2224980408472699</v>
      </c>
      <c r="AE102">
        <v>2.2180203805659748</v>
      </c>
      <c r="AG102">
        <v>0.86318898575613046</v>
      </c>
      <c r="AH102">
        <v>0.88915131708482675</v>
      </c>
      <c r="AI102">
        <v>0.90437420995298112</v>
      </c>
      <c r="AJ102">
        <v>0.95729215654153998</v>
      </c>
      <c r="AK102">
        <v>0.98693651671999572</v>
      </c>
      <c r="AL102">
        <v>0.89773917457197339</v>
      </c>
      <c r="AM102">
        <v>0.89587873649051819</v>
      </c>
      <c r="AO102">
        <v>106</v>
      </c>
      <c r="AP102">
        <v>16.712060942082132</v>
      </c>
      <c r="AQ102">
        <v>7.3160227825945832</v>
      </c>
      <c r="AR102">
        <v>7.7442882097250161</v>
      </c>
      <c r="AS102">
        <v>888.15857832908534</v>
      </c>
      <c r="AT102">
        <v>25.642198162806771</v>
      </c>
      <c r="AU102">
        <v>11.356837857203725</v>
      </c>
      <c r="AV102">
        <v>17.553617788725504</v>
      </c>
      <c r="AW102">
        <v>7.5548933539425835</v>
      </c>
      <c r="AX102">
        <v>8.1448208336909946</v>
      </c>
      <c r="AY102">
        <v>939.19920172752086</v>
      </c>
      <c r="AZ102">
        <v>25.684105753343264</v>
      </c>
      <c r="BA102">
        <v>11.240505691454798</v>
      </c>
      <c r="BB102">
        <v>19.099997249009309</v>
      </c>
      <c r="BC102">
        <v>7.973082481201418</v>
      </c>
      <c r="BD102">
        <v>8.7068583663519394</v>
      </c>
      <c r="BE102">
        <v>1009.7460270561899</v>
      </c>
      <c r="BF102">
        <v>26.130019582761292</v>
      </c>
      <c r="BG102">
        <v>11.193321313965043</v>
      </c>
      <c r="BH102">
        <v>20.343286033399327</v>
      </c>
      <c r="BI102">
        <v>8.4378608649033335</v>
      </c>
      <c r="BJ102">
        <v>9.339657840575299</v>
      </c>
      <c r="BK102">
        <v>1089.9891424750672</v>
      </c>
      <c r="BL102">
        <v>26.302111217417504</v>
      </c>
      <c r="BM102">
        <v>11.232203149719982</v>
      </c>
      <c r="BN102">
        <v>20.830120682960661</v>
      </c>
      <c r="BO102">
        <v>8.5758095170428188</v>
      </c>
      <c r="BP102">
        <v>9.8847832453175801</v>
      </c>
      <c r="BQ102">
        <v>1205.3142612563181</v>
      </c>
      <c r="BR102">
        <v>24.940952648263501</v>
      </c>
      <c r="BS102">
        <v>10.615425143765094</v>
      </c>
      <c r="BU102">
        <v>106</v>
      </c>
      <c r="BV102">
        <v>16.060096176810351</v>
      </c>
      <c r="BW102">
        <v>6.2980936633500857</v>
      </c>
      <c r="BX102">
        <v>7.5046721005552435</v>
      </c>
      <c r="BY102">
        <v>891.34701097317327</v>
      </c>
      <c r="BZ102">
        <v>24.819035939870535</v>
      </c>
      <c r="CA102">
        <v>10.174201219817004</v>
      </c>
      <c r="CB102">
        <v>16.744680984910012</v>
      </c>
      <c r="CC102">
        <v>6.4680971119221411</v>
      </c>
      <c r="CD102">
        <v>7.8718024993548612</v>
      </c>
      <c r="CE102">
        <v>943.36868984136242</v>
      </c>
      <c r="CF102">
        <v>24.713089450456692</v>
      </c>
      <c r="CG102">
        <v>10.038787414070406</v>
      </c>
      <c r="CH102">
        <v>18.27921525666002</v>
      </c>
      <c r="CI102">
        <v>7.0963045069992337</v>
      </c>
      <c r="CJ102">
        <v>8.4041695911973608</v>
      </c>
      <c r="CK102">
        <v>1012.5084227538438</v>
      </c>
      <c r="CL102">
        <v>25.248087713399041</v>
      </c>
      <c r="CM102">
        <v>10.296836567326039</v>
      </c>
      <c r="CN102">
        <v>19.488311753687277</v>
      </c>
      <c r="CO102">
        <v>7.4117151578406038</v>
      </c>
      <c r="CP102">
        <v>9.0465699418084764</v>
      </c>
      <c r="CQ102">
        <v>1093.4823647874355</v>
      </c>
      <c r="CR102">
        <v>25.436204795905912</v>
      </c>
      <c r="CS102">
        <v>10.257900935043216</v>
      </c>
      <c r="CT102">
        <v>19.796494893048369</v>
      </c>
      <c r="CU102">
        <v>7.4242520149219491</v>
      </c>
      <c r="CV102">
        <v>9.431252984040734</v>
      </c>
      <c r="CW102">
        <v>1209.5778064802626</v>
      </c>
      <c r="CX102">
        <v>23.998505900853687</v>
      </c>
      <c r="CY102">
        <v>9.6259750721113218</v>
      </c>
      <c r="DA102">
        <v>106</v>
      </c>
      <c r="DB102">
        <v>13.436427765694603</v>
      </c>
      <c r="DC102">
        <v>5.7200285593358</v>
      </c>
      <c r="DD102">
        <v>7.1159842376398101</v>
      </c>
      <c r="DE102">
        <v>907.24085315614832</v>
      </c>
      <c r="DF102">
        <v>21.492313778960334</v>
      </c>
      <c r="DG102">
        <v>9.3587923347713868</v>
      </c>
      <c r="DH102">
        <v>14.05373505094896</v>
      </c>
      <c r="DI102">
        <v>6.2267595231952981</v>
      </c>
      <c r="DJ102">
        <v>7.4996746480893188</v>
      </c>
      <c r="DK102">
        <v>956.2684453270623</v>
      </c>
      <c r="DL102">
        <v>21.56571095033398</v>
      </c>
      <c r="DM102">
        <v>9.6509930728962168</v>
      </c>
      <c r="DN102">
        <v>15.620039613047785</v>
      </c>
      <c r="DO102">
        <v>6.4161451087275765</v>
      </c>
      <c r="DP102">
        <v>8.0542728054918236</v>
      </c>
      <c r="DQ102">
        <v>1028.9151487563333</v>
      </c>
      <c r="DR102">
        <v>22.261044413931941</v>
      </c>
      <c r="DS102">
        <v>9.4716015850726354</v>
      </c>
      <c r="DT102">
        <v>16.793086362845674</v>
      </c>
      <c r="DU102">
        <v>6.8444279917577537</v>
      </c>
      <c r="DV102">
        <v>8.7900991963558202</v>
      </c>
      <c r="DW102">
        <v>1125.2030008585668</v>
      </c>
      <c r="DX102">
        <v>22.323808202996808</v>
      </c>
      <c r="DY102">
        <v>9.4645558161482839</v>
      </c>
      <c r="DZ102">
        <v>17.080891325228777</v>
      </c>
      <c r="EA102">
        <v>7.0067590006759106</v>
      </c>
      <c r="EB102">
        <v>9.1907041830030565</v>
      </c>
      <c r="EC102">
        <v>1245.2712923968588</v>
      </c>
      <c r="ED102">
        <v>21.129898937839691</v>
      </c>
      <c r="EE102">
        <v>9.0148009251099452</v>
      </c>
      <c r="EG102">
        <v>106</v>
      </c>
      <c r="EH102">
        <v>12.604388880962722</v>
      </c>
      <c r="EI102">
        <v>5.2729493974144956</v>
      </c>
      <c r="EJ102">
        <v>6.5452553388790351</v>
      </c>
      <c r="EK102">
        <v>913.62976613309081</v>
      </c>
      <c r="EL102">
        <v>20.431324477745299</v>
      </c>
      <c r="EM102">
        <v>8.8040034142409702</v>
      </c>
      <c r="EN102">
        <v>13.204263095674136</v>
      </c>
      <c r="EO102">
        <v>5.6058871381595701</v>
      </c>
      <c r="EP102">
        <v>6.9358377051961648</v>
      </c>
      <c r="EQ102">
        <v>962.66106756376598</v>
      </c>
      <c r="ER102">
        <v>20.540081648481223</v>
      </c>
      <c r="ES102">
        <v>8.9419506477286639</v>
      </c>
      <c r="ET102">
        <v>14.410070842389631</v>
      </c>
      <c r="EU102">
        <v>5.8069395605389182</v>
      </c>
      <c r="EV102">
        <v>7.443192497427547</v>
      </c>
      <c r="EW102">
        <v>1016.1269802449481</v>
      </c>
      <c r="EX102">
        <v>21.350438946857039</v>
      </c>
      <c r="EY102">
        <v>8.9912668232416006</v>
      </c>
      <c r="EZ102">
        <v>15.160791590535965</v>
      </c>
      <c r="FA102">
        <v>6.2627448333205677</v>
      </c>
      <c r="FB102">
        <v>8.122688062661549</v>
      </c>
      <c r="FC102">
        <v>1120.5196247022488</v>
      </c>
      <c r="FD102">
        <v>20.96038363855909</v>
      </c>
      <c r="FE102">
        <v>8.9849951984210517</v>
      </c>
      <c r="FF102">
        <v>15.329479868426001</v>
      </c>
      <c r="FG102">
        <v>6.3681041001353016</v>
      </c>
      <c r="FH102">
        <v>8.4972836542843542</v>
      </c>
      <c r="FI102">
        <v>1244.7225989147821</v>
      </c>
      <c r="FJ102">
        <v>19.732143630355509</v>
      </c>
      <c r="FK102">
        <v>8.5056846460423987</v>
      </c>
    </row>
    <row r="103" spans="2:167" x14ac:dyDescent="0.2">
      <c r="B103">
        <v>641.4397261154528</v>
      </c>
      <c r="C103">
        <v>1.5589929330632226</v>
      </c>
      <c r="D103">
        <v>695.04423072048803</v>
      </c>
      <c r="E103">
        <v>1.438757356439593</v>
      </c>
      <c r="F103">
        <v>768.52518754849359</v>
      </c>
      <c r="G103">
        <v>1.3011935278138174</v>
      </c>
      <c r="H103">
        <v>878.61295747747113</v>
      </c>
      <c r="I103">
        <v>1.1381575829145922</v>
      </c>
      <c r="J103">
        <v>973.70773076288833</v>
      </c>
      <c r="K103">
        <v>1.0270022188449834</v>
      </c>
      <c r="L103">
        <v>729.00372834586938</v>
      </c>
      <c r="M103">
        <v>1.3717350969782129</v>
      </c>
      <c r="N103">
        <v>735.13191352437468</v>
      </c>
      <c r="O103">
        <v>1.360300078942013</v>
      </c>
      <c r="Q103">
        <v>0.20590291067661609</v>
      </c>
      <c r="R103">
        <v>0.20653888265260564</v>
      </c>
      <c r="S103">
        <v>0.20623429169540272</v>
      </c>
      <c r="T103">
        <v>0.20734094921840535</v>
      </c>
      <c r="U103">
        <v>0.20770506079791545</v>
      </c>
      <c r="V103">
        <v>0.2063944628611418</v>
      </c>
      <c r="W103">
        <v>0.20628482632851045</v>
      </c>
      <c r="Y103">
        <v>2.1483084320713308</v>
      </c>
      <c r="Z103">
        <v>2.2072763178653809</v>
      </c>
      <c r="AA103">
        <v>2.2346100660277814</v>
      </c>
      <c r="AB103">
        <v>2.3806916829090667</v>
      </c>
      <c r="AC103">
        <v>2.4437475160709923</v>
      </c>
      <c r="AD103">
        <v>2.2223131088711146</v>
      </c>
      <c r="AE103">
        <v>2.217886175743085</v>
      </c>
      <c r="AG103">
        <v>0.86391277483795326</v>
      </c>
      <c r="AH103">
        <v>0.89060039031927762</v>
      </c>
      <c r="AI103">
        <v>0.90500022624889842</v>
      </c>
      <c r="AJ103">
        <v>0.95933627808631883</v>
      </c>
      <c r="AK103">
        <v>0.98917399879479007</v>
      </c>
      <c r="AL103">
        <v>0.8988914468182051</v>
      </c>
      <c r="AM103">
        <v>0.89684110421117147</v>
      </c>
      <c r="AO103">
        <v>107</v>
      </c>
      <c r="AP103">
        <v>16.742512490874923</v>
      </c>
      <c r="AQ103">
        <v>7.3310433934032257</v>
      </c>
      <c r="AR103">
        <v>7.7435534434643438</v>
      </c>
      <c r="AS103">
        <v>886.62129012811113</v>
      </c>
      <c r="AT103">
        <v>25.643558918388354</v>
      </c>
      <c r="AU103">
        <v>11.358075714969774</v>
      </c>
      <c r="AV103">
        <v>17.588724761404681</v>
      </c>
      <c r="AW103">
        <v>7.5739944293359907</v>
      </c>
      <c r="AX103">
        <v>8.1439022099880773</v>
      </c>
      <c r="AY103">
        <v>937.63748901135079</v>
      </c>
      <c r="AZ103">
        <v>25.684999091333662</v>
      </c>
      <c r="BA103">
        <v>11.243343979071867</v>
      </c>
      <c r="BB103">
        <v>19.119790125511766</v>
      </c>
      <c r="BC103">
        <v>7.9914932740476763</v>
      </c>
      <c r="BD103">
        <v>8.7055469409511694</v>
      </c>
      <c r="BE103">
        <v>1007.513156014511</v>
      </c>
      <c r="BF103">
        <v>26.104760340803018</v>
      </c>
      <c r="BG103">
        <v>11.18941228724873</v>
      </c>
      <c r="BH103">
        <v>20.364823370663782</v>
      </c>
      <c r="BI103">
        <v>8.4598701419389783</v>
      </c>
      <c r="BJ103">
        <v>9.3381183268237713</v>
      </c>
      <c r="BK103">
        <v>1087.5326201763683</v>
      </c>
      <c r="BL103">
        <v>26.274690354298755</v>
      </c>
      <c r="BM103">
        <v>11.229076305652391</v>
      </c>
      <c r="BN103">
        <v>20.85226758677949</v>
      </c>
      <c r="BO103">
        <v>8.5985777090083388</v>
      </c>
      <c r="BP103">
        <v>9.8828193512114471</v>
      </c>
      <c r="BQ103">
        <v>1201.3789960581414</v>
      </c>
      <c r="BR103">
        <v>24.930178337809426</v>
      </c>
      <c r="BS103">
        <v>10.618461463940793</v>
      </c>
      <c r="BU103">
        <v>107</v>
      </c>
      <c r="BV103">
        <v>16.084113764704757</v>
      </c>
      <c r="BW103">
        <v>6.3172358593975337</v>
      </c>
      <c r="BX103">
        <v>7.5039529043795481</v>
      </c>
      <c r="BY103">
        <v>889.47647069728919</v>
      </c>
      <c r="BZ103">
        <v>24.821034949041554</v>
      </c>
      <c r="CA103">
        <v>10.18183674119439</v>
      </c>
      <c r="CB103">
        <v>16.774164407663662</v>
      </c>
      <c r="CC103">
        <v>6.4908975415137222</v>
      </c>
      <c r="CD103">
        <v>7.8709102035074148</v>
      </c>
      <c r="CE103">
        <v>941.4387293093738</v>
      </c>
      <c r="CF103">
        <v>24.716061677837985</v>
      </c>
      <c r="CG103">
        <v>10.04747694599798</v>
      </c>
      <c r="CH103">
        <v>18.293589471150305</v>
      </c>
      <c r="CI103">
        <v>7.1170274292961375</v>
      </c>
      <c r="CJ103">
        <v>8.4029078771482393</v>
      </c>
      <c r="CK103">
        <v>1009.9514683916466</v>
      </c>
      <c r="CL103">
        <v>25.223676207107271</v>
      </c>
      <c r="CM103">
        <v>10.296548466118345</v>
      </c>
      <c r="CN103">
        <v>19.504236660425867</v>
      </c>
      <c r="CO103">
        <v>7.436084453984579</v>
      </c>
      <c r="CP103">
        <v>9.045086612721537</v>
      </c>
      <c r="CQ103">
        <v>1090.6963516527094</v>
      </c>
      <c r="CR103">
        <v>25.409451579351959</v>
      </c>
      <c r="CS103">
        <v>10.257851391855187</v>
      </c>
      <c r="CT103">
        <v>19.814137999704595</v>
      </c>
      <c r="CU103">
        <v>7.4497906177402102</v>
      </c>
      <c r="CV103">
        <v>9.4293759215267272</v>
      </c>
      <c r="CW103">
        <v>1205.2440681787475</v>
      </c>
      <c r="CX103">
        <v>23.98888640011549</v>
      </c>
      <c r="CY103">
        <v>9.6312521160166895</v>
      </c>
      <c r="DA103">
        <v>107</v>
      </c>
      <c r="DB103">
        <v>13.436628297123264</v>
      </c>
      <c r="DC103">
        <v>5.7394586037470399</v>
      </c>
      <c r="DD103">
        <v>7.116203733803216</v>
      </c>
      <c r="DE103">
        <v>907.67586537208706</v>
      </c>
      <c r="DF103">
        <v>21.406585587665639</v>
      </c>
      <c r="DG103">
        <v>9.3411395825175578</v>
      </c>
      <c r="DH103">
        <v>14.05339825954748</v>
      </c>
      <c r="DI103">
        <v>6.2520305347195251</v>
      </c>
      <c r="DJ103">
        <v>7.4995856865528872</v>
      </c>
      <c r="DK103">
        <v>956.65767213569268</v>
      </c>
      <c r="DL103">
        <v>21.478834226591768</v>
      </c>
      <c r="DM103">
        <v>9.6379480252614034</v>
      </c>
      <c r="DN103">
        <v>15.619757523262523</v>
      </c>
      <c r="DO103">
        <v>6.44072379154085</v>
      </c>
      <c r="DP103">
        <v>8.0544640603251825</v>
      </c>
      <c r="DQ103">
        <v>1029.021364968331</v>
      </c>
      <c r="DR103">
        <v>22.157807069843845</v>
      </c>
      <c r="DS103">
        <v>9.4485021749435845</v>
      </c>
      <c r="DT103">
        <v>16.791722033320042</v>
      </c>
      <c r="DU103">
        <v>6.8836471250029723</v>
      </c>
      <c r="DV103">
        <v>8.7896299748182098</v>
      </c>
      <c r="DW103">
        <v>1125.2073697970225</v>
      </c>
      <c r="DX103">
        <v>22.219443436901397</v>
      </c>
      <c r="DY103">
        <v>9.4522699063276754</v>
      </c>
      <c r="DZ103">
        <v>17.07905998513607</v>
      </c>
      <c r="EA103">
        <v>7.048306504523965</v>
      </c>
      <c r="EB103">
        <v>9.1899644712057373</v>
      </c>
      <c r="EC103">
        <v>1243.7676597576585</v>
      </c>
      <c r="ED103">
        <v>21.046844895842536</v>
      </c>
      <c r="EE103">
        <v>9.0101437200340211</v>
      </c>
      <c r="EG103">
        <v>107</v>
      </c>
      <c r="EH103">
        <v>12.605083337042895</v>
      </c>
      <c r="EI103">
        <v>5.2903458217639132</v>
      </c>
      <c r="EJ103">
        <v>6.5454135935186155</v>
      </c>
      <c r="EK103">
        <v>914.86969991899389</v>
      </c>
      <c r="EL103">
        <v>20.329338855044046</v>
      </c>
      <c r="EM103">
        <v>8.7767844676142719</v>
      </c>
      <c r="EN103">
        <v>13.204341426375015</v>
      </c>
      <c r="EO103">
        <v>5.6287862470097814</v>
      </c>
      <c r="EP103">
        <v>6.9357354678166141</v>
      </c>
      <c r="EQ103">
        <v>963.94617902766004</v>
      </c>
      <c r="ER103">
        <v>20.435616787337256</v>
      </c>
      <c r="ES103">
        <v>8.9185193336970947</v>
      </c>
      <c r="ET103">
        <v>14.408245269465928</v>
      </c>
      <c r="EU103">
        <v>5.8291855615700525</v>
      </c>
      <c r="EV103">
        <v>7.4433222598709392</v>
      </c>
      <c r="EW103">
        <v>1013.0918788004059</v>
      </c>
      <c r="EX103">
        <v>21.310352075354533</v>
      </c>
      <c r="EY103">
        <v>8.9934314603176571</v>
      </c>
      <c r="EZ103">
        <v>15.159364075731103</v>
      </c>
      <c r="FA103">
        <v>6.2983269003540165</v>
      </c>
      <c r="FB103">
        <v>8.1222421941620109</v>
      </c>
      <c r="FC103">
        <v>1119.1591777822609</v>
      </c>
      <c r="FD103">
        <v>20.880964937185365</v>
      </c>
      <c r="FE103">
        <v>8.9803521561406789</v>
      </c>
      <c r="FF103">
        <v>15.327868384097286</v>
      </c>
      <c r="FG103">
        <v>6.405749168860817</v>
      </c>
      <c r="FH103">
        <v>8.4965908431468815</v>
      </c>
      <c r="FI103">
        <v>1242.5492438923432</v>
      </c>
      <c r="FJ103">
        <v>19.65812907650205</v>
      </c>
      <c r="FK103">
        <v>8.5018505986866266</v>
      </c>
    </row>
    <row r="104" spans="2:167" x14ac:dyDescent="0.2">
      <c r="B104">
        <v>633.88422617563799</v>
      </c>
      <c r="C104">
        <v>1.5775751449649069</v>
      </c>
      <c r="D104">
        <v>686.85185640300733</v>
      </c>
      <c r="E104">
        <v>1.4559180275597221</v>
      </c>
      <c r="F104">
        <v>757.12117048161826</v>
      </c>
      <c r="G104">
        <v>1.3207925481252654</v>
      </c>
      <c r="H104">
        <v>865.82870905694165</v>
      </c>
      <c r="I104">
        <v>1.1549628575947746</v>
      </c>
      <c r="J104">
        <v>959.01633795260386</v>
      </c>
      <c r="K104">
        <v>1.0427351030691425</v>
      </c>
      <c r="L104">
        <v>718.6856281870505</v>
      </c>
      <c r="M104">
        <v>1.3914289652940333</v>
      </c>
      <c r="N104">
        <v>725.90447062768339</v>
      </c>
      <c r="O104">
        <v>1.3775917361898991</v>
      </c>
      <c r="Q104">
        <v>0.20771112086565555</v>
      </c>
      <c r="R104">
        <v>0.20834289886647792</v>
      </c>
      <c r="S104">
        <v>0.20801189682017351</v>
      </c>
      <c r="T104">
        <v>0.2091105181686615</v>
      </c>
      <c r="U104">
        <v>0.20946541984871195</v>
      </c>
      <c r="V104">
        <v>0.20817748830864599</v>
      </c>
      <c r="W104">
        <v>0.20808362421781451</v>
      </c>
      <c r="Y104">
        <v>2.1482230580010171</v>
      </c>
      <c r="Z104">
        <v>2.2071570248837271</v>
      </c>
      <c r="AA104">
        <v>2.2344575482030082</v>
      </c>
      <c r="AB104">
        <v>2.3818110572894642</v>
      </c>
      <c r="AC104">
        <v>2.4454022419512333</v>
      </c>
      <c r="AD104">
        <v>2.2221228287768136</v>
      </c>
      <c r="AE104">
        <v>2.2177481000590347</v>
      </c>
      <c r="AG104">
        <v>0.86451716779793586</v>
      </c>
      <c r="AH104">
        <v>0.89194032627888453</v>
      </c>
      <c r="AI104">
        <v>0.90549383765314229</v>
      </c>
      <c r="AJ104">
        <v>0.96126631775228766</v>
      </c>
      <c r="AK104">
        <v>0.99129555210549491</v>
      </c>
      <c r="AL104">
        <v>0.89992658938120551</v>
      </c>
      <c r="AM104">
        <v>0.897680390561861</v>
      </c>
      <c r="AO104">
        <v>108</v>
      </c>
      <c r="AP104">
        <v>16.770560511016534</v>
      </c>
      <c r="AQ104">
        <v>7.3450003829268278</v>
      </c>
      <c r="AR104">
        <v>7.7427979810935232</v>
      </c>
      <c r="AS104">
        <v>884.87613217648982</v>
      </c>
      <c r="AT104">
        <v>25.646046825314787</v>
      </c>
      <c r="AU104">
        <v>11.359785404184688</v>
      </c>
      <c r="AV104">
        <v>17.62131688286614</v>
      </c>
      <c r="AW104">
        <v>7.5920596555792192</v>
      </c>
      <c r="AX104">
        <v>8.1429567983654714</v>
      </c>
      <c r="AY104">
        <v>935.85265077504266</v>
      </c>
      <c r="AZ104">
        <v>25.687014520060725</v>
      </c>
      <c r="BA104">
        <v>11.246706946474518</v>
      </c>
      <c r="BB104">
        <v>19.136334431676456</v>
      </c>
      <c r="BC104">
        <v>8.0087440236487932</v>
      </c>
      <c r="BD104">
        <v>8.7041978860795837</v>
      </c>
      <c r="BE104">
        <v>1005.0211351788421</v>
      </c>
      <c r="BF104">
        <v>26.079923825674086</v>
      </c>
      <c r="BG104">
        <v>11.185864245720605</v>
      </c>
      <c r="BH104">
        <v>20.382813245729491</v>
      </c>
      <c r="BI104">
        <v>8.480673290918018</v>
      </c>
      <c r="BJ104">
        <v>9.3365325377892034</v>
      </c>
      <c r="BK104">
        <v>1084.7866957211033</v>
      </c>
      <c r="BL104">
        <v>26.247664002027857</v>
      </c>
      <c r="BM104">
        <v>11.226349697117486</v>
      </c>
      <c r="BN104">
        <v>20.870781854593808</v>
      </c>
      <c r="BO104">
        <v>8.6201315325419099</v>
      </c>
      <c r="BP104">
        <v>9.880795965862438</v>
      </c>
      <c r="BQ104">
        <v>1197.1009195972708</v>
      </c>
      <c r="BR104">
        <v>24.920063152619562</v>
      </c>
      <c r="BS104">
        <v>10.622004039597844</v>
      </c>
      <c r="BU104">
        <v>108</v>
      </c>
      <c r="BV104">
        <v>16.105674646851394</v>
      </c>
      <c r="BW104">
        <v>6.3356354960058621</v>
      </c>
      <c r="BX104">
        <v>7.5032134506552062</v>
      </c>
      <c r="BY104">
        <v>887.3892475724216</v>
      </c>
      <c r="BZ104">
        <v>24.824155709007226</v>
      </c>
      <c r="CA104">
        <v>10.190159626822542</v>
      </c>
      <c r="CB104">
        <v>16.801136452854013</v>
      </c>
      <c r="CC104">
        <v>6.5129921470157415</v>
      </c>
      <c r="CD104">
        <v>7.8699918874849812</v>
      </c>
      <c r="CE104">
        <v>939.27693457080534</v>
      </c>
      <c r="CF104">
        <v>24.720164356738383</v>
      </c>
      <c r="CG104">
        <v>10.056877425720183</v>
      </c>
      <c r="CH104">
        <v>18.304726432901987</v>
      </c>
      <c r="CI104">
        <v>7.1368399109212319</v>
      </c>
      <c r="CJ104">
        <v>8.4016099600242331</v>
      </c>
      <c r="CK104">
        <v>1007.1265555701391</v>
      </c>
      <c r="CL104">
        <v>25.19967973192297</v>
      </c>
      <c r="CM104">
        <v>10.296745540179312</v>
      </c>
      <c r="CN104">
        <v>19.51663069952366</v>
      </c>
      <c r="CO104">
        <v>7.4595364209620945</v>
      </c>
      <c r="CP104">
        <v>9.043558697171326</v>
      </c>
      <c r="CQ104">
        <v>1087.6116306150304</v>
      </c>
      <c r="CR104">
        <v>25.383081037245212</v>
      </c>
      <c r="CS104">
        <v>10.258310603648647</v>
      </c>
      <c r="CT104">
        <v>19.828232901406576</v>
      </c>
      <c r="CU104">
        <v>7.4744423744362498</v>
      </c>
      <c r="CV104">
        <v>9.4274419981149933</v>
      </c>
      <c r="CW104">
        <v>1200.5576016777743</v>
      </c>
      <c r="CX104">
        <v>23.979925263896376</v>
      </c>
      <c r="CY104">
        <v>9.6371233079478476</v>
      </c>
      <c r="DA104">
        <v>108</v>
      </c>
      <c r="DB104">
        <v>13.436834476906725</v>
      </c>
      <c r="DC104">
        <v>5.758252369663559</v>
      </c>
      <c r="DD104">
        <v>7.1164294124997864</v>
      </c>
      <c r="DE104">
        <v>908.03204998941737</v>
      </c>
      <c r="DF104">
        <v>21.32066669509905</v>
      </c>
      <c r="DG104">
        <v>9.3226389505142233</v>
      </c>
      <c r="DH104">
        <v>14.053051646996177</v>
      </c>
      <c r="DI104">
        <v>6.276674425343594</v>
      </c>
      <c r="DJ104">
        <v>7.4994941308154939</v>
      </c>
      <c r="DK104">
        <v>956.95720959043604</v>
      </c>
      <c r="DL104">
        <v>21.391756275066019</v>
      </c>
      <c r="DM104">
        <v>9.6241244496755822</v>
      </c>
      <c r="DN104">
        <v>15.619467339315491</v>
      </c>
      <c r="DO104">
        <v>6.4646035821231242</v>
      </c>
      <c r="DP104">
        <v>8.0546608029416547</v>
      </c>
      <c r="DQ104">
        <v>1029.0266085421295</v>
      </c>
      <c r="DR104">
        <v>22.053858829216672</v>
      </c>
      <c r="DS104">
        <v>9.4243331126338248</v>
      </c>
      <c r="DT104">
        <v>16.790316694264686</v>
      </c>
      <c r="DU104">
        <v>6.9223846251639873</v>
      </c>
      <c r="DV104">
        <v>8.7891466492432446</v>
      </c>
      <c r="DW104">
        <v>1125.0891728197212</v>
      </c>
      <c r="DX104">
        <v>22.11435391324266</v>
      </c>
      <c r="DY104">
        <v>9.4391683643846953</v>
      </c>
      <c r="DZ104">
        <v>17.077173169191628</v>
      </c>
      <c r="EA104">
        <v>7.0893907916370749</v>
      </c>
      <c r="EB104">
        <v>9.1892023516960784</v>
      </c>
      <c r="EC104">
        <v>1242.0834529855024</v>
      </c>
      <c r="ED104">
        <v>20.963343299063077</v>
      </c>
      <c r="EE104">
        <v>9.0049263887860675</v>
      </c>
      <c r="EG104">
        <v>108</v>
      </c>
      <c r="EH104">
        <v>12.605797353819167</v>
      </c>
      <c r="EI104">
        <v>5.3071391881219849</v>
      </c>
      <c r="EJ104">
        <v>6.5455763057056195</v>
      </c>
      <c r="EK104">
        <v>916.04609918450717</v>
      </c>
      <c r="EL104">
        <v>20.226942268188527</v>
      </c>
      <c r="EM104">
        <v>8.7486227856212544</v>
      </c>
      <c r="EN104">
        <v>13.204422041271826</v>
      </c>
      <c r="EO104">
        <v>5.6511254865267677</v>
      </c>
      <c r="EP104">
        <v>6.9356302491001962</v>
      </c>
      <c r="EQ104">
        <v>965.16199189821464</v>
      </c>
      <c r="ER104">
        <v>20.330644961380628</v>
      </c>
      <c r="ES104">
        <v>8.8941819211226338</v>
      </c>
      <c r="ET104">
        <v>14.40636731434571</v>
      </c>
      <c r="EU104">
        <v>5.8507990625781536</v>
      </c>
      <c r="EV104">
        <v>7.4434557456615185</v>
      </c>
      <c r="EW104">
        <v>1009.8684880938873</v>
      </c>
      <c r="EX104">
        <v>21.270994970712337</v>
      </c>
      <c r="EY104">
        <v>8.9953148634887974</v>
      </c>
      <c r="EZ104">
        <v>15.157893652149642</v>
      </c>
      <c r="FA104">
        <v>6.3334584959063003</v>
      </c>
      <c r="FB104">
        <v>8.1217829235795147</v>
      </c>
      <c r="FC104">
        <v>1117.6222660813501</v>
      </c>
      <c r="FD104">
        <v>20.801479905273737</v>
      </c>
      <c r="FE104">
        <v>8.9752864651712549</v>
      </c>
      <c r="FF104">
        <v>15.326208083895409</v>
      </c>
      <c r="FG104">
        <v>6.4429695323811504</v>
      </c>
      <c r="FH104">
        <v>8.4958770450348471</v>
      </c>
      <c r="FI104">
        <v>1240.1865381225759</v>
      </c>
      <c r="FJ104">
        <v>19.583551344212438</v>
      </c>
      <c r="FK104">
        <v>8.4974707269126633</v>
      </c>
    </row>
    <row r="105" spans="2:167" x14ac:dyDescent="0.2">
      <c r="B105">
        <v>626.12190284271082</v>
      </c>
      <c r="C105">
        <v>1.5971330749807864</v>
      </c>
      <c r="D105">
        <v>678.42757913191463</v>
      </c>
      <c r="E105">
        <v>1.4739966810894614</v>
      </c>
      <c r="F105">
        <v>745.39948349182009</v>
      </c>
      <c r="G105">
        <v>1.3415625072820081</v>
      </c>
      <c r="H105">
        <v>852.6720114974363</v>
      </c>
      <c r="I105">
        <v>1.1727838917145068</v>
      </c>
      <c r="J105">
        <v>943.89388257209021</v>
      </c>
      <c r="K105">
        <v>1.0594411283554692</v>
      </c>
      <c r="L105">
        <v>708.07792856674632</v>
      </c>
      <c r="M105">
        <v>1.4122739315207109</v>
      </c>
      <c r="N105">
        <v>716.41860713424921</v>
      </c>
      <c r="O105">
        <v>1.3958319759450506</v>
      </c>
      <c r="Q105">
        <v>0.20951755872598493</v>
      </c>
      <c r="R105">
        <v>0.21014492172651278</v>
      </c>
      <c r="S105">
        <v>0.20978694133721051</v>
      </c>
      <c r="T105">
        <v>0.21087710340574931</v>
      </c>
      <c r="U105">
        <v>0.21122250292168257</v>
      </c>
      <c r="V105">
        <v>0.20995804743747046</v>
      </c>
      <c r="W105">
        <v>0.2098803496854976</v>
      </c>
      <c r="Y105">
        <v>2.1481353469106454</v>
      </c>
      <c r="Z105">
        <v>2.2070343550550549</v>
      </c>
      <c r="AA105">
        <v>2.2343007818467431</v>
      </c>
      <c r="AB105">
        <v>2.3825332197403211</v>
      </c>
      <c r="AC105">
        <v>2.4466590905578234</v>
      </c>
      <c r="AD105">
        <v>2.2219272080663144</v>
      </c>
      <c r="AE105">
        <v>2.2176061574747963</v>
      </c>
      <c r="AG105">
        <v>0.86500216502086802</v>
      </c>
      <c r="AH105">
        <v>0.89317112555294009</v>
      </c>
      <c r="AI105">
        <v>0.9058550456182749</v>
      </c>
      <c r="AJ105">
        <v>0.96308227731600937</v>
      </c>
      <c r="AK105">
        <v>0.99330118001795276</v>
      </c>
      <c r="AL105">
        <v>0.90084460408890832</v>
      </c>
      <c r="AM105">
        <v>0.89839659650148895</v>
      </c>
      <c r="AO105">
        <v>109</v>
      </c>
      <c r="AP105">
        <v>16.796205027379688</v>
      </c>
      <c r="AQ105">
        <v>7.3578937635807602</v>
      </c>
      <c r="AR105">
        <v>7.7420218387819775</v>
      </c>
      <c r="AS105">
        <v>882.92343189095095</v>
      </c>
      <c r="AT105">
        <v>25.649662552323168</v>
      </c>
      <c r="AU105">
        <v>11.36196751306694</v>
      </c>
      <c r="AV105">
        <v>17.65139419441693</v>
      </c>
      <c r="AW105">
        <v>7.6090890495935479</v>
      </c>
      <c r="AX105">
        <v>8.1419846248129115</v>
      </c>
      <c r="AY105">
        <v>933.84504584947115</v>
      </c>
      <c r="AZ105">
        <v>25.690152344281589</v>
      </c>
      <c r="BA105">
        <v>11.250596737619709</v>
      </c>
      <c r="BB105">
        <v>19.149630271944293</v>
      </c>
      <c r="BC105">
        <v>8.0248347649042255</v>
      </c>
      <c r="BD105">
        <v>8.702811251980032</v>
      </c>
      <c r="BE105">
        <v>1002.2694651747989</v>
      </c>
      <c r="BF105">
        <v>26.055510970931739</v>
      </c>
      <c r="BG105">
        <v>11.182684546018093</v>
      </c>
      <c r="BH105">
        <v>20.397255823487153</v>
      </c>
      <c r="BI105">
        <v>8.5002703666968742</v>
      </c>
      <c r="BJ105">
        <v>9.3349005492643666</v>
      </c>
      <c r="BK105">
        <v>1081.7508546950523</v>
      </c>
      <c r="BL105">
        <v>26.221031373176256</v>
      </c>
      <c r="BM105">
        <v>11.224031983981577</v>
      </c>
      <c r="BN105">
        <v>20.885663749084578</v>
      </c>
      <c r="BO105">
        <v>8.6404710758682395</v>
      </c>
      <c r="BP105">
        <v>9.878713212031462</v>
      </c>
      <c r="BQ105">
        <v>1192.4796269347562</v>
      </c>
      <c r="BR105">
        <v>24.910621126664708</v>
      </c>
      <c r="BS105">
        <v>10.62606824903486</v>
      </c>
      <c r="BU105">
        <v>109</v>
      </c>
      <c r="BV105">
        <v>16.124778849883938</v>
      </c>
      <c r="BW105">
        <v>6.3532925790028241</v>
      </c>
      <c r="BX105">
        <v>7.5024537552090003</v>
      </c>
      <c r="BY105">
        <v>885.08578033763558</v>
      </c>
      <c r="BZ105">
        <v>24.828397877619587</v>
      </c>
      <c r="CA105">
        <v>10.199176583369145</v>
      </c>
      <c r="CB105">
        <v>16.825597162631013</v>
      </c>
      <c r="CC105">
        <v>6.5343809378327746</v>
      </c>
      <c r="CD105">
        <v>7.869047576532421</v>
      </c>
      <c r="CE105">
        <v>936.88377977585742</v>
      </c>
      <c r="CF105">
        <v>24.725398135915679</v>
      </c>
      <c r="CG105">
        <v>10.066996694907084</v>
      </c>
      <c r="CH105">
        <v>18.312626246847067</v>
      </c>
      <c r="CI105">
        <v>7.1557419777438547</v>
      </c>
      <c r="CJ105">
        <v>8.4002758881636712</v>
      </c>
      <c r="CK105">
        <v>1004.0332038114979</v>
      </c>
      <c r="CL105">
        <v>25.176098683425995</v>
      </c>
      <c r="CM105">
        <v>10.297438802568488</v>
      </c>
      <c r="CN105">
        <v>19.525494035705485</v>
      </c>
      <c r="CO105">
        <v>7.4820710990608541</v>
      </c>
      <c r="CP105">
        <v>9.0419862681845498</v>
      </c>
      <c r="CQ105">
        <v>1084.2277062296348</v>
      </c>
      <c r="CR105">
        <v>25.357091645207102</v>
      </c>
      <c r="CS105">
        <v>10.25929042418767</v>
      </c>
      <c r="CT105">
        <v>19.838779854501709</v>
      </c>
      <c r="CU105">
        <v>7.4982073491101451</v>
      </c>
      <c r="CV105">
        <v>9.425451331138694</v>
      </c>
      <c r="CW105">
        <v>1195.5180368551617</v>
      </c>
      <c r="CX105">
        <v>23.971636905322015</v>
      </c>
      <c r="CY105">
        <v>9.6436070550318433</v>
      </c>
      <c r="DA105">
        <v>109</v>
      </c>
      <c r="DB105">
        <v>13.43704630063205</v>
      </c>
      <c r="DC105">
        <v>5.7764098636818169</v>
      </c>
      <c r="DD105">
        <v>7.1166612688992412</v>
      </c>
      <c r="DE105">
        <v>908.30853000799198</v>
      </c>
      <c r="DF105">
        <v>21.234557117529917</v>
      </c>
      <c r="DG105">
        <v>9.3032963696787707</v>
      </c>
      <c r="DH105">
        <v>14.052695222823571</v>
      </c>
      <c r="DI105">
        <v>6.3006912048585688</v>
      </c>
      <c r="DJ105">
        <v>7.4993999833940412</v>
      </c>
      <c r="DK105">
        <v>957.16606079698533</v>
      </c>
      <c r="DL105">
        <v>21.304477203519756</v>
      </c>
      <c r="DM105">
        <v>9.6095302145196779</v>
      </c>
      <c r="DN105">
        <v>15.61916907201401</v>
      </c>
      <c r="DO105">
        <v>6.4877845001447989</v>
      </c>
      <c r="DP105">
        <v>8.0548630260139582</v>
      </c>
      <c r="DQ105">
        <v>1028.9296150336443</v>
      </c>
      <c r="DR105">
        <v>21.949199941167127</v>
      </c>
      <c r="DS105">
        <v>9.3991006314658261</v>
      </c>
      <c r="DT105">
        <v>16.788870412847768</v>
      </c>
      <c r="DU105">
        <v>6.9606405125967949</v>
      </c>
      <c r="DV105">
        <v>8.7886492427314646</v>
      </c>
      <c r="DW105">
        <v>1124.8468835579683</v>
      </c>
      <c r="DX105">
        <v>22.008540051223793</v>
      </c>
      <c r="DY105">
        <v>9.4252617779957859</v>
      </c>
      <c r="DZ105">
        <v>17.075230991870562</v>
      </c>
      <c r="EA105">
        <v>7.1300118960495498</v>
      </c>
      <c r="EB105">
        <v>9.1884178707126711</v>
      </c>
      <c r="EC105">
        <v>1240.2168603157147</v>
      </c>
      <c r="ED105">
        <v>20.879393160347973</v>
      </c>
      <c r="EE105">
        <v>8.999160613517617</v>
      </c>
      <c r="EG105">
        <v>109</v>
      </c>
      <c r="EH105">
        <v>12.60653091600919</v>
      </c>
      <c r="EI105">
        <v>5.3233295028049463</v>
      </c>
      <c r="EJ105">
        <v>6.5457434719574623</v>
      </c>
      <c r="EK105">
        <v>917.15813298659157</v>
      </c>
      <c r="EL105">
        <v>20.124134881810303</v>
      </c>
      <c r="EM105">
        <v>8.7195248030490493</v>
      </c>
      <c r="EN105">
        <v>13.204504938148432</v>
      </c>
      <c r="EO105">
        <v>5.6729048654029599</v>
      </c>
      <c r="EP105">
        <v>6.9355220519394143</v>
      </c>
      <c r="EQ105">
        <v>966.30761489378278</v>
      </c>
      <c r="ER105">
        <v>20.22516633039811</v>
      </c>
      <c r="ES105">
        <v>8.8689457787495911</v>
      </c>
      <c r="ET105">
        <v>14.404437046969663</v>
      </c>
      <c r="EU105">
        <v>5.8717800813648102</v>
      </c>
      <c r="EV105">
        <v>7.443592949827873</v>
      </c>
      <c r="EW105">
        <v>1006.4562791732118</v>
      </c>
      <c r="EX105">
        <v>21.23236772716238</v>
      </c>
      <c r="EY105">
        <v>8.9969219358988699</v>
      </c>
      <c r="EZ105">
        <v>15.156380390070458</v>
      </c>
      <c r="FA105">
        <v>6.3681396390535747</v>
      </c>
      <c r="FB105">
        <v>8.1213102728648909</v>
      </c>
      <c r="FC105">
        <v>1115.907125090208</v>
      </c>
      <c r="FD105">
        <v>20.72192850604231</v>
      </c>
      <c r="FE105">
        <v>8.9698105147811713</v>
      </c>
      <c r="FF105">
        <v>15.324499068552523</v>
      </c>
      <c r="FG105">
        <v>6.4797652218610073</v>
      </c>
      <c r="FH105">
        <v>8.4951423032551325</v>
      </c>
      <c r="FI105">
        <v>1237.632802177264</v>
      </c>
      <c r="FJ105">
        <v>19.508406261397717</v>
      </c>
      <c r="FK105">
        <v>8.4925545193167036</v>
      </c>
    </row>
    <row r="106" spans="2:167" x14ac:dyDescent="0.2">
      <c r="B106">
        <v>618.15292219077298</v>
      </c>
      <c r="C106">
        <v>1.6177226768676218</v>
      </c>
      <c r="D106">
        <v>669.77163038029425</v>
      </c>
      <c r="E106">
        <v>1.4930462185031681</v>
      </c>
      <c r="F106">
        <v>733.36056283579023</v>
      </c>
      <c r="G106">
        <v>1.3635857321440314</v>
      </c>
      <c r="H106">
        <v>839.1434931035833</v>
      </c>
      <c r="I106">
        <v>1.1916912997817415</v>
      </c>
      <c r="J106">
        <v>928.3412811626871</v>
      </c>
      <c r="K106">
        <v>1.0771900596163999</v>
      </c>
      <c r="L106">
        <v>697.18104740619606</v>
      </c>
      <c r="M106">
        <v>1.4343476543437557</v>
      </c>
      <c r="N106">
        <v>706.67459502409758</v>
      </c>
      <c r="O106">
        <v>1.4150784633285141</v>
      </c>
      <c r="Q106">
        <v>0.21132222568074066</v>
      </c>
      <c r="R106">
        <v>0.21194495322236911</v>
      </c>
      <c r="S106">
        <v>0.21155942876300099</v>
      </c>
      <c r="T106">
        <v>0.21264070996305617</v>
      </c>
      <c r="U106">
        <v>0.21297631698233374</v>
      </c>
      <c r="V106">
        <v>0.21173614380676178</v>
      </c>
      <c r="W106">
        <v>0.21167500491272206</v>
      </c>
      <c r="Y106">
        <v>2.1480453006767859</v>
      </c>
      <c r="Z106">
        <v>2.2069083117499511</v>
      </c>
      <c r="AA106">
        <v>2.2341397727935028</v>
      </c>
      <c r="AB106">
        <v>2.3828581799415782</v>
      </c>
      <c r="AC106">
        <v>2.4475180774241938</v>
      </c>
      <c r="AD106">
        <v>2.2217262544466649</v>
      </c>
      <c r="AE106">
        <v>2.2174603520601686</v>
      </c>
      <c r="AG106">
        <v>0.86536776690191519</v>
      </c>
      <c r="AH106">
        <v>0.89429278874712259</v>
      </c>
      <c r="AI106">
        <v>0.90608385163631477</v>
      </c>
      <c r="AJ106">
        <v>0.96478415860429378</v>
      </c>
      <c r="AK106">
        <v>0.9951908859931613</v>
      </c>
      <c r="AL106">
        <v>0.90164549281922213</v>
      </c>
      <c r="AM106">
        <v>0.89898972301530222</v>
      </c>
      <c r="AO106">
        <v>110</v>
      </c>
      <c r="AP106">
        <v>16.819446065507901</v>
      </c>
      <c r="AQ106">
        <v>7.3697235481152132</v>
      </c>
      <c r="AR106">
        <v>7.7412250331351915</v>
      </c>
      <c r="AS106">
        <v>880.76357225276502</v>
      </c>
      <c r="AT106">
        <v>25.654406792353061</v>
      </c>
      <c r="AU106">
        <v>11.364622604371664</v>
      </c>
      <c r="AV106">
        <v>17.678956738512539</v>
      </c>
      <c r="AW106">
        <v>7.6250826287707119</v>
      </c>
      <c r="AX106">
        <v>8.1409857160427155</v>
      </c>
      <c r="AY106">
        <v>931.61509331036655</v>
      </c>
      <c r="AZ106">
        <v>25.694412880031905</v>
      </c>
      <c r="BA106">
        <v>11.255015565550286</v>
      </c>
      <c r="BB106">
        <v>19.159677753593233</v>
      </c>
      <c r="BC106">
        <v>8.0397655336614253</v>
      </c>
      <c r="BD106">
        <v>8.7013870902601393</v>
      </c>
      <c r="BE106">
        <v>999.25767304512499</v>
      </c>
      <c r="BF106">
        <v>26.031522753747403</v>
      </c>
      <c r="BG106">
        <v>11.179880944228861</v>
      </c>
      <c r="BH106">
        <v>20.408151273491082</v>
      </c>
      <c r="BI106">
        <v>8.5186614256834936</v>
      </c>
      <c r="BJ106">
        <v>9.3332224391856808</v>
      </c>
      <c r="BK106">
        <v>1078.4246142786305</v>
      </c>
      <c r="BL106">
        <v>26.194791642387621</v>
      </c>
      <c r="BM106">
        <v>11.222132314809645</v>
      </c>
      <c r="BN106">
        <v>20.896913540359012</v>
      </c>
      <c r="BO106">
        <v>8.6595964297062409</v>
      </c>
      <c r="BP106">
        <v>9.8765712159500048</v>
      </c>
      <c r="BQ106">
        <v>1187.5147519035122</v>
      </c>
      <c r="BR106">
        <v>24.901867049771088</v>
      </c>
      <c r="BS106">
        <v>10.630670356453161</v>
      </c>
      <c r="BU106">
        <v>110</v>
      </c>
      <c r="BV106">
        <v>16.14142640115432</v>
      </c>
      <c r="BW106">
        <v>6.3702071143733452</v>
      </c>
      <c r="BX106">
        <v>7.5016738342945368</v>
      </c>
      <c r="BY106">
        <v>882.56656806461706</v>
      </c>
      <c r="BZ106">
        <v>24.833761099933504</v>
      </c>
      <c r="CA106">
        <v>10.208894710737979</v>
      </c>
      <c r="CB106">
        <v>16.847546580316489</v>
      </c>
      <c r="CC106">
        <v>6.5550639236308621</v>
      </c>
      <c r="CD106">
        <v>7.8680772965964794</v>
      </c>
      <c r="CE106">
        <v>934.2598039137963</v>
      </c>
      <c r="CF106">
        <v>24.731763689066867</v>
      </c>
      <c r="CG106">
        <v>10.077843049360878</v>
      </c>
      <c r="CH106">
        <v>18.317289020767809</v>
      </c>
      <c r="CI106">
        <v>7.1737336563360534</v>
      </c>
      <c r="CJ106">
        <v>8.3989057112179193</v>
      </c>
      <c r="CK106">
        <v>1000.6709612523059</v>
      </c>
      <c r="CL106">
        <v>25.152933476161103</v>
      </c>
      <c r="CM106">
        <v>10.298639951567342</v>
      </c>
      <c r="CN106">
        <v>19.530826838355082</v>
      </c>
      <c r="CO106">
        <v>7.5036885297080298</v>
      </c>
      <c r="CP106">
        <v>9.0403694008533346</v>
      </c>
      <c r="CQ106">
        <v>1080.5441170006018</v>
      </c>
      <c r="CR106">
        <v>25.331481803717715</v>
      </c>
      <c r="CS106">
        <v>10.260803462410326</v>
      </c>
      <c r="CT106">
        <v>19.845779122584595</v>
      </c>
      <c r="CU106">
        <v>7.5210856076741415</v>
      </c>
      <c r="CV106">
        <v>9.4234040412481157</v>
      </c>
      <c r="CW106">
        <v>1190.1250448910419</v>
      </c>
      <c r="CX106">
        <v>23.964036532295498</v>
      </c>
      <c r="CY106">
        <v>9.6507229204061673</v>
      </c>
      <c r="DA106">
        <v>110</v>
      </c>
      <c r="DB106">
        <v>13.437263763767289</v>
      </c>
      <c r="DC106">
        <v>5.7939310925761722</v>
      </c>
      <c r="DD106">
        <v>7.116899298041039</v>
      </c>
      <c r="DE106">
        <v>908.50441182001987</v>
      </c>
      <c r="DF106">
        <v>21.148256870021825</v>
      </c>
      <c r="DG106">
        <v>9.283117436817296</v>
      </c>
      <c r="DH106">
        <v>14.052328996823091</v>
      </c>
      <c r="DI106">
        <v>6.3240808833277402</v>
      </c>
      <c r="DJ106">
        <v>7.4993032468754111</v>
      </c>
      <c r="DK106">
        <v>957.28321050391639</v>
      </c>
      <c r="DL106">
        <v>21.216997110400555</v>
      </c>
      <c r="DM106">
        <v>9.5941728948031244</v>
      </c>
      <c r="DN106">
        <v>15.618862732458968</v>
      </c>
      <c r="DO106">
        <v>6.5102665658105847</v>
      </c>
      <c r="DP106">
        <v>8.0550707220157687</v>
      </c>
      <c r="DQ106">
        <v>1028.7290812136257</v>
      </c>
      <c r="DR106">
        <v>21.84383064692441</v>
      </c>
      <c r="DS106">
        <v>9.37281061212515</v>
      </c>
      <c r="DT106">
        <v>16.787383258137172</v>
      </c>
      <c r="DU106">
        <v>6.9984148082331235</v>
      </c>
      <c r="DV106">
        <v>8.788137779036763</v>
      </c>
      <c r="DW106">
        <v>1124.478929948539</v>
      </c>
      <c r="DX106">
        <v>21.902002253456324</v>
      </c>
      <c r="DY106">
        <v>9.4105605838397111</v>
      </c>
      <c r="DZ106">
        <v>17.073233570884295</v>
      </c>
      <c r="EA106">
        <v>7.1701698527578808</v>
      </c>
      <c r="EB106">
        <v>9.1876110758013159</v>
      </c>
      <c r="EC106">
        <v>1238.1660172563995</v>
      </c>
      <c r="ED106">
        <v>20.794993678732677</v>
      </c>
      <c r="EE106">
        <v>8.9928580972008465</v>
      </c>
      <c r="EG106">
        <v>110</v>
      </c>
      <c r="EH106">
        <v>12.607284007918473</v>
      </c>
      <c r="EI106">
        <v>5.3389167722993642</v>
      </c>
      <c r="EJ106">
        <v>6.5459150886976385</v>
      </c>
      <c r="EK106">
        <v>918.2049475441305</v>
      </c>
      <c r="EL106">
        <v>20.020916857437783</v>
      </c>
      <c r="EM106">
        <v>8.689496661780499</v>
      </c>
      <c r="EN106">
        <v>13.204590114727084</v>
      </c>
      <c r="EO106">
        <v>5.6941243925724692</v>
      </c>
      <c r="EP106">
        <v>6.9354108793071925</v>
      </c>
      <c r="EQ106">
        <v>967.38213046735689</v>
      </c>
      <c r="ER106">
        <v>20.119181051646795</v>
      </c>
      <c r="ES106">
        <v>8.8428180247435044</v>
      </c>
      <c r="ET106">
        <v>14.402454539178304</v>
      </c>
      <c r="EU106">
        <v>5.8921286362151646</v>
      </c>
      <c r="EV106">
        <v>7.4437338672635507</v>
      </c>
      <c r="EW106">
        <v>1002.8547631555421</v>
      </c>
      <c r="EX106">
        <v>21.194470444988347</v>
      </c>
      <c r="EY106">
        <v>8.9982570271801148</v>
      </c>
      <c r="EZ106">
        <v>15.154824361760134</v>
      </c>
      <c r="FA106">
        <v>6.4023703494115294</v>
      </c>
      <c r="FB106">
        <v>8.1208242645898103</v>
      </c>
      <c r="FC106">
        <v>1114.0119679098705</v>
      </c>
      <c r="FD106">
        <v>20.642310696594329</v>
      </c>
      <c r="FE106">
        <v>8.9639365862883587</v>
      </c>
      <c r="FF106">
        <v>15.32274144164858</v>
      </c>
      <c r="FG106">
        <v>6.5161362693461546</v>
      </c>
      <c r="FH106">
        <v>8.494386662338945</v>
      </c>
      <c r="FI106">
        <v>1234.8862893745861</v>
      </c>
      <c r="FJ106">
        <v>19.432689940209965</v>
      </c>
      <c r="FK106">
        <v>8.4871115670572124</v>
      </c>
    </row>
    <row r="107" spans="2:167" x14ac:dyDescent="0.2">
      <c r="B107">
        <v>609.97745464618288</v>
      </c>
      <c r="C107">
        <v>1.6394048540368586</v>
      </c>
      <c r="D107">
        <v>660.88424786695089</v>
      </c>
      <c r="E107">
        <v>1.5131242774019329</v>
      </c>
      <c r="F107">
        <v>732.9125212748321</v>
      </c>
      <c r="G107">
        <v>1.3644193146824597</v>
      </c>
      <c r="H107">
        <v>825.24379938711843</v>
      </c>
      <c r="I107">
        <v>1.2117631186598037</v>
      </c>
      <c r="J107">
        <v>912.35947532711941</v>
      </c>
      <c r="K107">
        <v>1.0960592036833483</v>
      </c>
      <c r="L107">
        <v>690.73753805648187</v>
      </c>
      <c r="M107">
        <v>1.4477278921508818</v>
      </c>
      <c r="N107">
        <v>696.67271353048011</v>
      </c>
      <c r="O107">
        <v>1.4353942397605457</v>
      </c>
      <c r="Q107">
        <v>0.21312512319035487</v>
      </c>
      <c r="R107">
        <v>0.21374299539739169</v>
      </c>
      <c r="S107">
        <v>0.21342534553954556</v>
      </c>
      <c r="T107">
        <v>0.21440134301181668</v>
      </c>
      <c r="U107">
        <v>0.21472686918663278</v>
      </c>
      <c r="V107">
        <v>0.21355216646924649</v>
      </c>
      <c r="W107">
        <v>0.21346759213881802</v>
      </c>
      <c r="Y107">
        <v>2.1479529212251864</v>
      </c>
      <c r="Z107">
        <v>2.2067788984299503</v>
      </c>
      <c r="AA107">
        <v>2.234133780666002</v>
      </c>
      <c r="AB107">
        <v>2.38278594783828</v>
      </c>
      <c r="AC107">
        <v>2.4479792185085132</v>
      </c>
      <c r="AD107">
        <v>2.2216074271870125</v>
      </c>
      <c r="AE107">
        <v>2.2173106879934834</v>
      </c>
      <c r="AG107">
        <v>0.86561397384660099</v>
      </c>
      <c r="AH107">
        <v>0.89530531648345246</v>
      </c>
      <c r="AI107">
        <v>0.90622098202128942</v>
      </c>
      <c r="AJ107">
        <v>0.96637196349397991</v>
      </c>
      <c r="AK107">
        <v>0.99696467358675422</v>
      </c>
      <c r="AL107">
        <v>0.90235056600333441</v>
      </c>
      <c r="AM107">
        <v>0.89945977111482378</v>
      </c>
      <c r="AO107">
        <v>111</v>
      </c>
      <c r="AP107">
        <v>16.840283651614094</v>
      </c>
      <c r="AQ107">
        <v>7.3804897496145108</v>
      </c>
      <c r="AR107">
        <v>7.740407581193824</v>
      </c>
      <c r="AS107">
        <v>878.39699160663497</v>
      </c>
      <c r="AT107">
        <v>25.66028026416771</v>
      </c>
      <c r="AU107">
        <v>11.367751216243589</v>
      </c>
      <c r="AV107">
        <v>17.704004558754011</v>
      </c>
      <c r="AW107">
        <v>7.6400404109717304</v>
      </c>
      <c r="AX107">
        <v>8.1399600994879737</v>
      </c>
      <c r="AY107">
        <v>929.16327225744271</v>
      </c>
      <c r="AZ107">
        <v>25.699796455371061</v>
      </c>
      <c r="BA107">
        <v>11.259965717401654</v>
      </c>
      <c r="BB107">
        <v>19.169405147148918</v>
      </c>
      <c r="BC107">
        <v>8.0545148260728787</v>
      </c>
      <c r="BD107">
        <v>8.7013340885286503</v>
      </c>
      <c r="BE107">
        <v>1000.4164376057421</v>
      </c>
      <c r="BF107">
        <v>26.00690949081984</v>
      </c>
      <c r="BG107">
        <v>11.179762074825842</v>
      </c>
      <c r="BH107">
        <v>20.415499769939093</v>
      </c>
      <c r="BI107">
        <v>8.5358465258306264</v>
      </c>
      <c r="BJ107">
        <v>9.3314982876239814</v>
      </c>
      <c r="BK107">
        <v>1074.8075234501694</v>
      </c>
      <c r="BL107">
        <v>26.168943943679363</v>
      </c>
      <c r="BM107">
        <v>11.220660358238037</v>
      </c>
      <c r="BN107">
        <v>20.904531505910004</v>
      </c>
      <c r="BO107">
        <v>8.6775076872553925</v>
      </c>
      <c r="BP107">
        <v>9.8743701073011518</v>
      </c>
      <c r="BQ107">
        <v>1182.2059672978628</v>
      </c>
      <c r="BR107">
        <v>24.893816523894831</v>
      </c>
      <c r="BS107">
        <v>10.635827575273808</v>
      </c>
      <c r="BU107">
        <v>111</v>
      </c>
      <c r="BV107">
        <v>16.155617328731289</v>
      </c>
      <c r="BW107">
        <v>6.3863791082591872</v>
      </c>
      <c r="BX107">
        <v>7.500873704591374</v>
      </c>
      <c r="BY107">
        <v>879.83216987210653</v>
      </c>
      <c r="BZ107">
        <v>24.840245007320117</v>
      </c>
      <c r="CA107">
        <v>10.219321520867661</v>
      </c>
      <c r="CB107">
        <v>16.866984750401212</v>
      </c>
      <c r="CC107">
        <v>6.5750411143368641</v>
      </c>
      <c r="CD107">
        <v>7.867081074324008</v>
      </c>
      <c r="CE107">
        <v>931.40561050293252</v>
      </c>
      <c r="CF107">
        <v>24.739261716523078</v>
      </c>
      <c r="CG107">
        <v>10.089425261007797</v>
      </c>
      <c r="CH107">
        <v>18.321656792432695</v>
      </c>
      <c r="CI107">
        <v>7.1915402602705187</v>
      </c>
      <c r="CJ107">
        <v>8.3988547185886713</v>
      </c>
      <c r="CK107">
        <v>1001.6011069325656</v>
      </c>
      <c r="CL107">
        <v>25.129755964735907</v>
      </c>
      <c r="CM107">
        <v>10.304943865312238</v>
      </c>
      <c r="CN107">
        <v>19.532629281495044</v>
      </c>
      <c r="CO107">
        <v>7.524388755465333</v>
      </c>
      <c r="CP107">
        <v>9.0387081723263254</v>
      </c>
      <c r="CQ107">
        <v>1076.5604355901387</v>
      </c>
      <c r="CR107">
        <v>25.306249832629305</v>
      </c>
      <c r="CS107">
        <v>10.26286312917631</v>
      </c>
      <c r="CT107">
        <v>19.849230976457399</v>
      </c>
      <c r="CU107">
        <v>7.5430772178427512</v>
      </c>
      <c r="CV107">
        <v>9.4213002523925375</v>
      </c>
      <c r="CW107">
        <v>1184.378338459315</v>
      </c>
      <c r="CX107">
        <v>23.95714020810648</v>
      </c>
      <c r="CY107">
        <v>9.6584917046928673</v>
      </c>
      <c r="DA107">
        <v>111</v>
      </c>
      <c r="DB107">
        <v>13.437486861661732</v>
      </c>
      <c r="DC107">
        <v>5.8108160632985149</v>
      </c>
      <c r="DD107">
        <v>7.1171434948346342</v>
      </c>
      <c r="DE107">
        <v>908.61878478709764</v>
      </c>
      <c r="DF107">
        <v>21.061765966416559</v>
      </c>
      <c r="DG107">
        <v>9.2621074143178337</v>
      </c>
      <c r="DH107">
        <v>14.051952979052421</v>
      </c>
      <c r="DI107">
        <v>6.3468434710859212</v>
      </c>
      <c r="DJ107">
        <v>7.4992039239162818</v>
      </c>
      <c r="DK107">
        <v>957.30762463075632</v>
      </c>
      <c r="DL107">
        <v>21.129316084704829</v>
      </c>
      <c r="DM107">
        <v>9.5780597748172891</v>
      </c>
      <c r="DN107">
        <v>15.618851331698355</v>
      </c>
      <c r="DO107">
        <v>6.5326012893451573</v>
      </c>
      <c r="DP107">
        <v>8.0550784516489742</v>
      </c>
      <c r="DQ107">
        <v>1033.5166177602287</v>
      </c>
      <c r="DR107">
        <v>21.738582180884368</v>
      </c>
      <c r="DS107">
        <v>9.3491522491329562</v>
      </c>
      <c r="DT107">
        <v>16.785855301092322</v>
      </c>
      <c r="DU107">
        <v>7.0357075335779502</v>
      </c>
      <c r="DV107">
        <v>8.7876122825635736</v>
      </c>
      <c r="DW107">
        <v>1123.9836926153957</v>
      </c>
      <c r="DX107">
        <v>21.794740905505204</v>
      </c>
      <c r="DY107">
        <v>9.3950750782591861</v>
      </c>
      <c r="DZ107">
        <v>17.07118102716289</v>
      </c>
      <c r="EA107">
        <v>7.2098646977154868</v>
      </c>
      <c r="EB107">
        <v>9.1867820158078786</v>
      </c>
      <c r="EC107">
        <v>1235.9290046141778</v>
      </c>
      <c r="ED107">
        <v>20.710144247007076</v>
      </c>
      <c r="EE107">
        <v>8.9860305856054907</v>
      </c>
      <c r="EG107">
        <v>111</v>
      </c>
      <c r="EH107">
        <v>12.608056613441232</v>
      </c>
      <c r="EI107">
        <v>5.3539010032618046</v>
      </c>
      <c r="EJ107">
        <v>6.5460911522559151</v>
      </c>
      <c r="EK107">
        <v>919.18566547444073</v>
      </c>
      <c r="EL107">
        <v>19.917288353496673</v>
      </c>
      <c r="EM107">
        <v>8.6585442117620079</v>
      </c>
      <c r="EN107">
        <v>13.204677568668574</v>
      </c>
      <c r="EO107">
        <v>5.7147840772104681</v>
      </c>
      <c r="EP107">
        <v>6.9352967342566698</v>
      </c>
      <c r="EQ107">
        <v>968.38459388089041</v>
      </c>
      <c r="ER107">
        <v>20.01268927985555</v>
      </c>
      <c r="ES107">
        <v>8.81580552981859</v>
      </c>
      <c r="ET107">
        <v>14.402380757988876</v>
      </c>
      <c r="EU107">
        <v>5.9123438404443993</v>
      </c>
      <c r="EV107">
        <v>7.4437391116595935</v>
      </c>
      <c r="EW107">
        <v>1004.4210789765611</v>
      </c>
      <c r="EX107">
        <v>21.157177802793612</v>
      </c>
      <c r="EY107">
        <v>9.0024462367536344</v>
      </c>
      <c r="EZ107">
        <v>15.153225641464386</v>
      </c>
      <c r="FA107">
        <v>6.4361506471330605</v>
      </c>
      <c r="FB107">
        <v>8.1203249219441034</v>
      </c>
      <c r="FC107">
        <v>1111.9349847326653</v>
      </c>
      <c r="FD107">
        <v>20.562626427690578</v>
      </c>
      <c r="FE107">
        <v>8.9576768688597799</v>
      </c>
      <c r="FF107">
        <v>15.320935309595763</v>
      </c>
      <c r="FG107">
        <v>6.552082707758597</v>
      </c>
      <c r="FH107">
        <v>8.4936101680351275</v>
      </c>
      <c r="FI107">
        <v>1231.9451827531118</v>
      </c>
      <c r="FJ107">
        <v>19.356398791837506</v>
      </c>
      <c r="FK107">
        <v>8.4811515913342035</v>
      </c>
    </row>
    <row r="108" spans="2:167" x14ac:dyDescent="0.2">
      <c r="B108">
        <v>601.59567497847854</v>
      </c>
      <c r="C108">
        <v>1.6622459927687709</v>
      </c>
      <c r="D108">
        <v>651.76567554015719</v>
      </c>
      <c r="E108">
        <v>1.5342937462474382</v>
      </c>
      <c r="F108">
        <v>732.9125212748321</v>
      </c>
      <c r="G108">
        <v>1.3644193146824597</v>
      </c>
      <c r="H108">
        <v>821.81558446105635</v>
      </c>
      <c r="I108">
        <v>1.2168180050464683</v>
      </c>
      <c r="J108">
        <v>911.78290900060495</v>
      </c>
      <c r="K108">
        <v>1.0967522972064576</v>
      </c>
      <c r="L108">
        <v>690.73753805648187</v>
      </c>
      <c r="M108">
        <v>1.4477278921508818</v>
      </c>
      <c r="N108">
        <v>688.72549731865342</v>
      </c>
      <c r="O108">
        <v>1.4519572803579956</v>
      </c>
      <c r="Q108">
        <v>0.21492625275247765</v>
      </c>
      <c r="R108">
        <v>0.21553905034847154</v>
      </c>
      <c r="S108">
        <v>0.21529487379644532</v>
      </c>
      <c r="T108">
        <v>0.21624586372707733</v>
      </c>
      <c r="U108">
        <v>0.21659449771933359</v>
      </c>
      <c r="V108">
        <v>0.21542306405239167</v>
      </c>
      <c r="W108">
        <v>0.21527665689343761</v>
      </c>
      <c r="Y108">
        <v>2.1478582105306718</v>
      </c>
      <c r="Z108">
        <v>2.2066461186472974</v>
      </c>
      <c r="AA108">
        <v>2.234133780666002</v>
      </c>
      <c r="AB108">
        <v>2.3827331312248705</v>
      </c>
      <c r="AC108">
        <v>2.4483108740272961</v>
      </c>
      <c r="AD108">
        <v>2.2216074271870125</v>
      </c>
      <c r="AE108">
        <v>2.2171917690982887</v>
      </c>
      <c r="AG108">
        <v>0.8657407862707811</v>
      </c>
      <c r="AH108">
        <v>0.89620870940024988</v>
      </c>
      <c r="AI108">
        <v>0.90622832773697537</v>
      </c>
      <c r="AJ108">
        <v>0.96787721724170883</v>
      </c>
      <c r="AK108">
        <v>0.99868233604098844</v>
      </c>
      <c r="AL108">
        <v>0.90296876622679734</v>
      </c>
      <c r="AM108">
        <v>0.89981511795400937</v>
      </c>
      <c r="AO108">
        <v>112</v>
      </c>
      <c r="AP108">
        <v>16.85871781257919</v>
      </c>
      <c r="AQ108">
        <v>7.3901923814964272</v>
      </c>
      <c r="AR108">
        <v>7.7395695004328022</v>
      </c>
      <c r="AS108">
        <v>875.82418342350331</v>
      </c>
      <c r="AT108">
        <v>25.667283714073825</v>
      </c>
      <c r="AU108">
        <v>11.371353863011811</v>
      </c>
      <c r="AV108">
        <v>17.726537699884961</v>
      </c>
      <c r="AW108">
        <v>7.6539624145256626</v>
      </c>
      <c r="AX108">
        <v>8.138907803300663</v>
      </c>
      <c r="AY108">
        <v>926.49012155440039</v>
      </c>
      <c r="AZ108">
        <v>25.706303411173241</v>
      </c>
      <c r="BA108">
        <v>11.265449559687571</v>
      </c>
      <c r="BB108">
        <v>19.176072367479687</v>
      </c>
      <c r="BC108">
        <v>8.0681670290709668</v>
      </c>
      <c r="BD108">
        <v>8.7013340885286503</v>
      </c>
      <c r="BE108">
        <v>1001.4368497879949</v>
      </c>
      <c r="BF108">
        <v>25.987067453909962</v>
      </c>
      <c r="BG108">
        <v>11.182003092402459</v>
      </c>
      <c r="BH108">
        <v>20.422227311850779</v>
      </c>
      <c r="BI108">
        <v>8.5527990990084994</v>
      </c>
      <c r="BJ108">
        <v>9.3310730435690257</v>
      </c>
      <c r="BK108">
        <v>1074.8571956154456</v>
      </c>
      <c r="BL108">
        <v>26.14419129135063</v>
      </c>
      <c r="BM108">
        <v>11.222293158248553</v>
      </c>
      <c r="BN108">
        <v>20.913184099336085</v>
      </c>
      <c r="BO108">
        <v>8.6957721357422866</v>
      </c>
      <c r="BP108">
        <v>9.8742906991828843</v>
      </c>
      <c r="BQ108">
        <v>1183.3511637377703</v>
      </c>
      <c r="BR108">
        <v>24.872484603868646</v>
      </c>
      <c r="BS108">
        <v>10.638888467277665</v>
      </c>
      <c r="BU108">
        <v>112</v>
      </c>
      <c r="BV108">
        <v>16.167351661398893</v>
      </c>
      <c r="BW108">
        <v>6.40180856695864</v>
      </c>
      <c r="BX108">
        <v>7.5000533832041363</v>
      </c>
      <c r="BY108">
        <v>876.88320459977285</v>
      </c>
      <c r="BZ108">
        <v>24.847849216524317</v>
      </c>
      <c r="CA108">
        <v>10.230464958042777</v>
      </c>
      <c r="CB108">
        <v>16.883911718541821</v>
      </c>
      <c r="CC108">
        <v>6.5943125201377821</v>
      </c>
      <c r="CD108">
        <v>7.8660589370601439</v>
      </c>
      <c r="CE108">
        <v>928.32186723697021</v>
      </c>
      <c r="CF108">
        <v>24.747892947053181</v>
      </c>
      <c r="CG108">
        <v>10.101752601652557</v>
      </c>
      <c r="CH108">
        <v>18.322976594219522</v>
      </c>
      <c r="CI108">
        <v>7.2084830882732689</v>
      </c>
      <c r="CJ108">
        <v>8.3988547185886713</v>
      </c>
      <c r="CK108">
        <v>1002.4490578920933</v>
      </c>
      <c r="CL108">
        <v>25.109815800456438</v>
      </c>
      <c r="CM108">
        <v>10.313128561481768</v>
      </c>
      <c r="CN108">
        <v>19.533824420756684</v>
      </c>
      <c r="CO108">
        <v>7.5448866850229352</v>
      </c>
      <c r="CP108">
        <v>9.0382984475836032</v>
      </c>
      <c r="CQ108">
        <v>1076.3430254536659</v>
      </c>
      <c r="CR108">
        <v>25.282710621449787</v>
      </c>
      <c r="CS108">
        <v>10.270378380353751</v>
      </c>
      <c r="CT108">
        <v>19.853689355647585</v>
      </c>
      <c r="CU108">
        <v>7.5653208993984018</v>
      </c>
      <c r="CV108">
        <v>9.4212243552239254</v>
      </c>
      <c r="CW108">
        <v>1185.3304716319826</v>
      </c>
      <c r="CX108">
        <v>23.937112506931747</v>
      </c>
      <c r="CY108">
        <v>9.6674219439481881</v>
      </c>
      <c r="DA108">
        <v>112</v>
      </c>
      <c r="DB108">
        <v>13.437715589546144</v>
      </c>
      <c r="DC108">
        <v>5.8270647829778994</v>
      </c>
      <c r="DD108">
        <v>7.117393854059757</v>
      </c>
      <c r="DE108">
        <v>908.65072080442508</v>
      </c>
      <c r="DF108">
        <v>20.975084419315884</v>
      </c>
      <c r="DG108">
        <v>9.2402712293458436</v>
      </c>
      <c r="DH108">
        <v>14.051567179832816</v>
      </c>
      <c r="DI108">
        <v>6.3689789787387596</v>
      </c>
      <c r="DJ108">
        <v>7.4991020172429534</v>
      </c>
      <c r="DK108">
        <v>957.2382497817058</v>
      </c>
      <c r="DL108">
        <v>21.041434205824167</v>
      </c>
      <c r="DM108">
        <v>9.5611978503994735</v>
      </c>
      <c r="DN108">
        <v>15.618851331698355</v>
      </c>
      <c r="DO108">
        <v>6.5542726033451313</v>
      </c>
      <c r="DP108">
        <v>8.0550784516489742</v>
      </c>
      <c r="DQ108">
        <v>1034.4747846695127</v>
      </c>
      <c r="DR108">
        <v>21.71844714191662</v>
      </c>
      <c r="DS108">
        <v>9.3614418340251184</v>
      </c>
      <c r="DT108">
        <v>16.785478446374917</v>
      </c>
      <c r="DU108">
        <v>7.0728799074875415</v>
      </c>
      <c r="DV108">
        <v>8.7874826743225789</v>
      </c>
      <c r="DW108">
        <v>1128.0255097252661</v>
      </c>
      <c r="DX108">
        <v>21.687916679772105</v>
      </c>
      <c r="DY108">
        <v>9.3813865641264336</v>
      </c>
      <c r="DZ108">
        <v>17.071106978735219</v>
      </c>
      <c r="EA108">
        <v>7.2497010408505194</v>
      </c>
      <c r="EB108">
        <v>9.1867521062920332</v>
      </c>
      <c r="EC108">
        <v>1241.4060417224425</v>
      </c>
      <c r="ED108">
        <v>20.61437242961199</v>
      </c>
      <c r="EE108">
        <v>8.976490833149251</v>
      </c>
      <c r="EG108">
        <v>112</v>
      </c>
      <c r="EH108">
        <v>12.608848716061235</v>
      </c>
      <c r="EI108">
        <v>5.3682822025184649</v>
      </c>
      <c r="EJ108">
        <v>6.5462716588685268</v>
      </c>
      <c r="EK108">
        <v>920.0993849987558</v>
      </c>
      <c r="EL108">
        <v>19.813249525305132</v>
      </c>
      <c r="EM108">
        <v>8.6266730115516701</v>
      </c>
      <c r="EN108">
        <v>13.204767297572394</v>
      </c>
      <c r="EO108">
        <v>5.7348839287325637</v>
      </c>
      <c r="EP108">
        <v>6.9351796199209952</v>
      </c>
      <c r="EQ108">
        <v>969.31403223979453</v>
      </c>
      <c r="ER108">
        <v>19.90569116722159</v>
      </c>
      <c r="ES108">
        <v>8.7879149200426614</v>
      </c>
      <c r="ET108">
        <v>14.402380757988876</v>
      </c>
      <c r="EU108">
        <v>5.9319586562696465</v>
      </c>
      <c r="EV108">
        <v>7.4437391116595935</v>
      </c>
      <c r="EW108">
        <v>1005.370435597666</v>
      </c>
      <c r="EX108">
        <v>21.137199388748609</v>
      </c>
      <c r="EY108">
        <v>9.0134553966536526</v>
      </c>
      <c r="EZ108">
        <v>15.152831333726944</v>
      </c>
      <c r="FA108">
        <v>6.4698190401947828</v>
      </c>
      <c r="FB108">
        <v>8.1202017642727089</v>
      </c>
      <c r="FC108">
        <v>1114.6716236812204</v>
      </c>
      <c r="FD108">
        <v>20.483051393672721</v>
      </c>
      <c r="FE108">
        <v>8.9527554856726841</v>
      </c>
      <c r="FF108">
        <v>15.320870150818738</v>
      </c>
      <c r="FG108">
        <v>6.5881581693650171</v>
      </c>
      <c r="FH108">
        <v>8.4935821549011354</v>
      </c>
      <c r="FI108">
        <v>1237.9432197602562</v>
      </c>
      <c r="FJ108">
        <v>19.258209320082894</v>
      </c>
      <c r="FK108">
        <v>8.46721151256199</v>
      </c>
    </row>
    <row r="109" spans="2:167" x14ac:dyDescent="0.2">
      <c r="B109">
        <v>601.20625038839387</v>
      </c>
      <c r="C109">
        <v>1.6633226939240497</v>
      </c>
      <c r="D109">
        <v>645.69394725378049</v>
      </c>
      <c r="E109">
        <v>1.5487213474017045</v>
      </c>
      <c r="F109">
        <v>732.9125212748321</v>
      </c>
      <c r="G109">
        <v>1.3644193146824597</v>
      </c>
      <c r="H109">
        <v>821.81558446105635</v>
      </c>
      <c r="I109">
        <v>1.2168180050464683</v>
      </c>
      <c r="J109">
        <v>911.78290900060495</v>
      </c>
      <c r="K109">
        <v>1.0967522972064576</v>
      </c>
      <c r="L109">
        <v>690.73753805648187</v>
      </c>
      <c r="M109">
        <v>1.4477278921508818</v>
      </c>
      <c r="N109">
        <v>688.72549731865342</v>
      </c>
      <c r="O109">
        <v>1.4519572803579956</v>
      </c>
      <c r="Q109">
        <v>0.21679587108732468</v>
      </c>
      <c r="R109">
        <v>0.21736129486792594</v>
      </c>
      <c r="S109">
        <v>0.21716440205334506</v>
      </c>
      <c r="T109">
        <v>0.21811784808488216</v>
      </c>
      <c r="U109">
        <v>0.21846650802542711</v>
      </c>
      <c r="V109">
        <v>0.21729396163553683</v>
      </c>
      <c r="W109">
        <v>0.21714945489111842</v>
      </c>
      <c r="Y109">
        <v>2.1478538101915015</v>
      </c>
      <c r="Z109">
        <v>2.2065577053811301</v>
      </c>
      <c r="AA109">
        <v>2.234133780666002</v>
      </c>
      <c r="AB109">
        <v>2.3827331312248705</v>
      </c>
      <c r="AC109">
        <v>2.4483108740272961</v>
      </c>
      <c r="AD109">
        <v>2.2216074271870125</v>
      </c>
      <c r="AE109">
        <v>2.2171917690982887</v>
      </c>
      <c r="AG109">
        <v>0.86576771256102381</v>
      </c>
      <c r="AH109">
        <v>0.89701154487435297</v>
      </c>
      <c r="AI109">
        <v>0.90622832773697537</v>
      </c>
      <c r="AJ109">
        <v>0.96927944140201916</v>
      </c>
      <c r="AK109">
        <v>1.0002878780552662</v>
      </c>
      <c r="AL109">
        <v>0.90347113989595806</v>
      </c>
      <c r="AM109">
        <v>0.9000771092912937</v>
      </c>
      <c r="AO109">
        <v>113</v>
      </c>
      <c r="AP109">
        <v>16.876009568107257</v>
      </c>
      <c r="AQ109">
        <v>7.3994608889774636</v>
      </c>
      <c r="AR109">
        <v>7.7395305624900557</v>
      </c>
      <c r="AS109">
        <v>876.10270305630775</v>
      </c>
      <c r="AT109">
        <v>25.674707649304814</v>
      </c>
      <c r="AU109">
        <v>11.37641984951223</v>
      </c>
      <c r="AV109">
        <v>17.74715740044903</v>
      </c>
      <c r="AW109">
        <v>7.6670949346493442</v>
      </c>
      <c r="AX109">
        <v>8.1382071172396042</v>
      </c>
      <c r="AY109">
        <v>924.8149276783023</v>
      </c>
      <c r="AZ109">
        <v>25.713816820937424</v>
      </c>
      <c r="BA109">
        <v>11.272018459484466</v>
      </c>
      <c r="BB109">
        <v>19.179569238697606</v>
      </c>
      <c r="BC109">
        <v>8.0806853268350576</v>
      </c>
      <c r="BD109">
        <v>8.7013340885286503</v>
      </c>
      <c r="BE109">
        <v>1002.3371513733175</v>
      </c>
      <c r="BF109">
        <v>25.967214526398038</v>
      </c>
      <c r="BG109">
        <v>11.184448499768195</v>
      </c>
      <c r="BH109">
        <v>20.426433203792449</v>
      </c>
      <c r="BI109">
        <v>8.5688868150289004</v>
      </c>
      <c r="BJ109">
        <v>9.3310730435690257</v>
      </c>
      <c r="BK109">
        <v>1075.8461937466066</v>
      </c>
      <c r="BL109">
        <v>26.124066979425713</v>
      </c>
      <c r="BM109">
        <v>11.226930335094602</v>
      </c>
      <c r="BN109">
        <v>20.918501270408939</v>
      </c>
      <c r="BO109">
        <v>8.7129220387461661</v>
      </c>
      <c r="BP109">
        <v>9.8742906991828843</v>
      </c>
      <c r="BQ109">
        <v>1184.4220348490348</v>
      </c>
      <c r="BR109">
        <v>24.854485906168364</v>
      </c>
      <c r="BS109">
        <v>10.64374908665059</v>
      </c>
      <c r="BU109">
        <v>113</v>
      </c>
      <c r="BV109">
        <v>16.177979696598772</v>
      </c>
      <c r="BW109">
        <v>6.4167909512389008</v>
      </c>
      <c r="BX109">
        <v>7.5000152703769531</v>
      </c>
      <c r="BY109">
        <v>876.84422333678879</v>
      </c>
      <c r="BZ109">
        <v>24.856924776541973</v>
      </c>
      <c r="CA109">
        <v>10.246109861262966</v>
      </c>
      <c r="CB109">
        <v>16.898940992037936</v>
      </c>
      <c r="CC109">
        <v>6.6130150279036286</v>
      </c>
      <c r="CD109">
        <v>7.8653783327379827</v>
      </c>
      <c r="CE109">
        <v>926.28016627076863</v>
      </c>
      <c r="CF109">
        <v>24.757417971609389</v>
      </c>
      <c r="CG109">
        <v>10.116216854104316</v>
      </c>
      <c r="CH109">
        <v>18.322976594219522</v>
      </c>
      <c r="CI109">
        <v>7.2245348504931108</v>
      </c>
      <c r="CJ109">
        <v>8.3988547185886713</v>
      </c>
      <c r="CK109">
        <v>1003.2458319305689</v>
      </c>
      <c r="CL109">
        <v>25.089873679887436</v>
      </c>
      <c r="CM109">
        <v>10.320937743316609</v>
      </c>
      <c r="CN109">
        <v>19.533824420756684</v>
      </c>
      <c r="CO109">
        <v>7.5647179218879428</v>
      </c>
      <c r="CP109">
        <v>9.0382984475836032</v>
      </c>
      <c r="CQ109">
        <v>1077.2046190710705</v>
      </c>
      <c r="CR109">
        <v>25.262488444793217</v>
      </c>
      <c r="CS109">
        <v>10.280573606227954</v>
      </c>
      <c r="CT109">
        <v>19.85488957733952</v>
      </c>
      <c r="CU109">
        <v>7.5867502616570155</v>
      </c>
      <c r="CV109">
        <v>9.4212243552239254</v>
      </c>
      <c r="CW109">
        <v>1186.2765818486002</v>
      </c>
      <c r="CX109">
        <v>23.919033312471228</v>
      </c>
      <c r="CY109">
        <v>9.6777761191692413</v>
      </c>
      <c r="DA109">
        <v>113</v>
      </c>
      <c r="DB109">
        <v>13.437726216437587</v>
      </c>
      <c r="DC109">
        <v>5.8430116848533702</v>
      </c>
      <c r="DD109">
        <v>7.1174054859616307</v>
      </c>
      <c r="DE109">
        <v>912.25134202596053</v>
      </c>
      <c r="DF109">
        <v>20.888319416168606</v>
      </c>
      <c r="DG109">
        <v>9.21945804810629</v>
      </c>
      <c r="DH109">
        <v>14.051310290053296</v>
      </c>
      <c r="DI109">
        <v>6.3906299187190241</v>
      </c>
      <c r="DJ109">
        <v>7.4990341612662892</v>
      </c>
      <c r="DK109">
        <v>958.52988592513498</v>
      </c>
      <c r="DL109">
        <v>20.953623698240445</v>
      </c>
      <c r="DM109">
        <v>9.543850488956787</v>
      </c>
      <c r="DN109">
        <v>15.618851331698355</v>
      </c>
      <c r="DO109">
        <v>6.5752597572930318</v>
      </c>
      <c r="DP109">
        <v>8.0550784516489742</v>
      </c>
      <c r="DQ109">
        <v>1035.4347238672869</v>
      </c>
      <c r="DR109">
        <v>21.698312228294593</v>
      </c>
      <c r="DS109">
        <v>9.3730318828298493</v>
      </c>
      <c r="DT109">
        <v>16.785478446374917</v>
      </c>
      <c r="DU109">
        <v>7.1096972863321231</v>
      </c>
      <c r="DV109">
        <v>8.7874826743225789</v>
      </c>
      <c r="DW109">
        <v>1129.079069511743</v>
      </c>
      <c r="DX109">
        <v>21.667679375332344</v>
      </c>
      <c r="DY109">
        <v>9.4052409849074969</v>
      </c>
      <c r="DZ109">
        <v>17.071106978735219</v>
      </c>
      <c r="EA109">
        <v>7.2891126757926035</v>
      </c>
      <c r="EB109">
        <v>9.1867521062920332</v>
      </c>
      <c r="EC109">
        <v>1242.5081046695275</v>
      </c>
      <c r="ED109">
        <v>20.596088173801743</v>
      </c>
      <c r="EE109">
        <v>9.0002484061494474</v>
      </c>
      <c r="EG109">
        <v>113</v>
      </c>
      <c r="EH109">
        <v>12.608885517820566</v>
      </c>
      <c r="EI109">
        <v>5.3823805960061906</v>
      </c>
      <c r="EJ109">
        <v>6.5462800453587962</v>
      </c>
      <c r="EK109">
        <v>924.77299184028971</v>
      </c>
      <c r="EL109">
        <v>19.709222568426267</v>
      </c>
      <c r="EM109">
        <v>8.5965225611419882</v>
      </c>
      <c r="EN109">
        <v>13.204827044811752</v>
      </c>
      <c r="EO109">
        <v>5.7545504685973352</v>
      </c>
      <c r="EP109">
        <v>6.935101637710714</v>
      </c>
      <c r="EQ109">
        <v>971.70827844972735</v>
      </c>
      <c r="ER109">
        <v>19.798319840028395</v>
      </c>
      <c r="ES109">
        <v>8.7598167671522855</v>
      </c>
      <c r="ET109">
        <v>14.402380757988876</v>
      </c>
      <c r="EU109">
        <v>5.9509543046019484</v>
      </c>
      <c r="EV109">
        <v>7.4437391116595935</v>
      </c>
      <c r="EW109">
        <v>1006.3215895099803</v>
      </c>
      <c r="EX109">
        <v>21.117220954316167</v>
      </c>
      <c r="EY109">
        <v>9.0238123889679898</v>
      </c>
      <c r="EZ109">
        <v>15.152831333726944</v>
      </c>
      <c r="FA109">
        <v>6.5031556376941007</v>
      </c>
      <c r="FB109">
        <v>8.1202017642727089</v>
      </c>
      <c r="FC109">
        <v>1115.7632129097524</v>
      </c>
      <c r="FD109">
        <v>20.463012125474865</v>
      </c>
      <c r="FE109">
        <v>8.9738745419140393</v>
      </c>
      <c r="FF109">
        <v>15.320870150818738</v>
      </c>
      <c r="FG109">
        <v>6.6238441874621019</v>
      </c>
      <c r="FH109">
        <v>8.4935821549011354</v>
      </c>
      <c r="FI109">
        <v>1238.9875510886918</v>
      </c>
      <c r="FJ109">
        <v>19.241976750752507</v>
      </c>
      <c r="FK109">
        <v>8.4888771409425487</v>
      </c>
    </row>
    <row r="110" spans="2:167" x14ac:dyDescent="0.2">
      <c r="B110">
        <v>601.20625038839387</v>
      </c>
      <c r="C110">
        <v>1.6633226939240497</v>
      </c>
      <c r="D110">
        <v>645.69394725378049</v>
      </c>
      <c r="E110">
        <v>1.5487213474017045</v>
      </c>
      <c r="F110">
        <v>732.9125212748321</v>
      </c>
      <c r="G110">
        <v>1.3644193146824597</v>
      </c>
      <c r="H110">
        <v>821.81558446105635</v>
      </c>
      <c r="I110">
        <v>1.2168180050464683</v>
      </c>
      <c r="J110">
        <v>911.78290900060495</v>
      </c>
      <c r="K110">
        <v>1.0967522972064576</v>
      </c>
      <c r="L110">
        <v>690.73753805648187</v>
      </c>
      <c r="M110">
        <v>1.4477278921508818</v>
      </c>
      <c r="N110">
        <v>688.72549731865342</v>
      </c>
      <c r="O110">
        <v>1.4519572803579956</v>
      </c>
      <c r="Q110">
        <v>0.21866882651267691</v>
      </c>
      <c r="R110">
        <v>0.21923572976568595</v>
      </c>
      <c r="S110">
        <v>0.21903393031024482</v>
      </c>
      <c r="T110">
        <v>0.21998983244268697</v>
      </c>
      <c r="U110">
        <v>0.22033851833152063</v>
      </c>
      <c r="V110">
        <v>0.21916485921868201</v>
      </c>
      <c r="W110">
        <v>0.21902225288879923</v>
      </c>
      <c r="Y110">
        <v>2.1478538101915015</v>
      </c>
      <c r="Z110">
        <v>2.2065577053811301</v>
      </c>
      <c r="AA110">
        <v>2.234133780666002</v>
      </c>
      <c r="AB110">
        <v>2.3827331312248705</v>
      </c>
      <c r="AC110">
        <v>2.4483108740272961</v>
      </c>
      <c r="AD110">
        <v>2.2216074271870125</v>
      </c>
      <c r="AE110">
        <v>2.2171917690982887</v>
      </c>
      <c r="AG110">
        <v>0.86576771256102381</v>
      </c>
      <c r="AH110">
        <v>0.89772173788566378</v>
      </c>
      <c r="AI110">
        <v>0.90622832773697537</v>
      </c>
      <c r="AJ110">
        <v>0.9705686683641912</v>
      </c>
      <c r="AK110">
        <v>1.0017791224284063</v>
      </c>
      <c r="AL110">
        <v>0.90385768701081637</v>
      </c>
      <c r="AM110">
        <v>0.90021695634580723</v>
      </c>
      <c r="AO110">
        <v>114</v>
      </c>
      <c r="AP110">
        <v>16.890989527501162</v>
      </c>
      <c r="AQ110">
        <v>7.4077115639853677</v>
      </c>
      <c r="AR110">
        <v>7.7395305624900557</v>
      </c>
      <c r="AS110">
        <v>877.36432494953237</v>
      </c>
      <c r="AT110">
        <v>25.654862057931354</v>
      </c>
      <c r="AU110">
        <v>11.369464853546209</v>
      </c>
      <c r="AV110">
        <v>17.766418467711734</v>
      </c>
      <c r="AW110">
        <v>7.6796652461527559</v>
      </c>
      <c r="AX110">
        <v>8.1382071172396042</v>
      </c>
      <c r="AY110">
        <v>926.28178903324886</v>
      </c>
      <c r="AZ110">
        <v>25.693890339451297</v>
      </c>
      <c r="BA110">
        <v>11.267738793389347</v>
      </c>
      <c r="BB110">
        <v>19.179895760802655</v>
      </c>
      <c r="BC110">
        <v>8.0920697193651439</v>
      </c>
      <c r="BD110">
        <v>8.7013340885286503</v>
      </c>
      <c r="BE110">
        <v>1003.1170655605478</v>
      </c>
      <c r="BF110">
        <v>25.947350766134118</v>
      </c>
      <c r="BG110">
        <v>11.187101712000493</v>
      </c>
      <c r="BH110">
        <v>20.427192307563793</v>
      </c>
      <c r="BI110">
        <v>8.5838018955903017</v>
      </c>
      <c r="BJ110">
        <v>9.3310730435690257</v>
      </c>
      <c r="BK110">
        <v>1076.7042979206815</v>
      </c>
      <c r="BL110">
        <v>26.103951830643133</v>
      </c>
      <c r="BM110">
        <v>11.231835307415237</v>
      </c>
      <c r="BN110">
        <v>20.9203131034675</v>
      </c>
      <c r="BO110">
        <v>8.7289003279517328</v>
      </c>
      <c r="BP110">
        <v>9.8742906991828843</v>
      </c>
      <c r="BQ110">
        <v>1185.3598885312563</v>
      </c>
      <c r="BR110">
        <v>24.836349609946211</v>
      </c>
      <c r="BS110">
        <v>10.648807474394282</v>
      </c>
      <c r="BU110">
        <v>114</v>
      </c>
      <c r="BV110">
        <v>16.186249253051344</v>
      </c>
      <c r="BW110">
        <v>6.4310522692888856</v>
      </c>
      <c r="BX110">
        <v>7.5000152703769531</v>
      </c>
      <c r="BY110">
        <v>877.88570510322461</v>
      </c>
      <c r="BZ110">
        <v>24.836855560960203</v>
      </c>
      <c r="CA110">
        <v>10.250199438564099</v>
      </c>
      <c r="CB110">
        <v>16.912638699443487</v>
      </c>
      <c r="CC110">
        <v>6.6312749532720936</v>
      </c>
      <c r="CD110">
        <v>7.8653783327379827</v>
      </c>
      <c r="CE110">
        <v>927.57743174776022</v>
      </c>
      <c r="CF110">
        <v>24.737560614586631</v>
      </c>
      <c r="CG110">
        <v>10.121754404189161</v>
      </c>
      <c r="CH110">
        <v>18.322976594219522</v>
      </c>
      <c r="CI110">
        <v>7.2396955469300392</v>
      </c>
      <c r="CJ110">
        <v>8.3988547185886713</v>
      </c>
      <c r="CK110">
        <v>1004.0438754127317</v>
      </c>
      <c r="CL110">
        <v>25.069931513365788</v>
      </c>
      <c r="CM110">
        <v>10.327833995074752</v>
      </c>
      <c r="CN110">
        <v>19.533824420756684</v>
      </c>
      <c r="CO110">
        <v>7.5836564272494762</v>
      </c>
      <c r="CP110">
        <v>9.0382984475836032</v>
      </c>
      <c r="CQ110">
        <v>1078.0675855609522</v>
      </c>
      <c r="CR110">
        <v>25.242266446403814</v>
      </c>
      <c r="CS110">
        <v>10.289911346252257</v>
      </c>
      <c r="CT110">
        <v>19.85488957733952</v>
      </c>
      <c r="CU110">
        <v>7.6073238413702056</v>
      </c>
      <c r="CV110">
        <v>9.4212243552239254</v>
      </c>
      <c r="CW110">
        <v>1187.1763884556017</v>
      </c>
      <c r="CX110">
        <v>23.900904157935361</v>
      </c>
      <c r="CY110">
        <v>9.6877708031399337</v>
      </c>
      <c r="DA110">
        <v>114</v>
      </c>
      <c r="DB110">
        <v>13.437726216437587</v>
      </c>
      <c r="DC110">
        <v>5.8583466364842627</v>
      </c>
      <c r="DD110">
        <v>7.1174054859616307</v>
      </c>
      <c r="DE110">
        <v>913.12656387034508</v>
      </c>
      <c r="DF110">
        <v>20.868298190011277</v>
      </c>
      <c r="DG110">
        <v>9.2274151931958031</v>
      </c>
      <c r="DH110">
        <v>14.051310290053296</v>
      </c>
      <c r="DI110">
        <v>6.4119277977871549</v>
      </c>
      <c r="DJ110">
        <v>7.4990341612662892</v>
      </c>
      <c r="DK110">
        <v>959.4523828692445</v>
      </c>
      <c r="DL110">
        <v>20.93347714988143</v>
      </c>
      <c r="DM110">
        <v>9.5568721942337778</v>
      </c>
      <c r="DN110">
        <v>15.618851331698355</v>
      </c>
      <c r="DO110">
        <v>6.5955627511888606</v>
      </c>
      <c r="DP110">
        <v>8.0550784516489742</v>
      </c>
      <c r="DQ110">
        <v>1036.3964402753152</v>
      </c>
      <c r="DR110">
        <v>21.678177440017119</v>
      </c>
      <c r="DS110">
        <v>9.3839242353143284</v>
      </c>
      <c r="DT110">
        <v>16.785478446374917</v>
      </c>
      <c r="DU110">
        <v>7.1460454604484767</v>
      </c>
      <c r="DV110">
        <v>8.7874826743225789</v>
      </c>
      <c r="DW110">
        <v>1130.1345875581835</v>
      </c>
      <c r="DX110">
        <v>21.647442293079543</v>
      </c>
      <c r="DY110">
        <v>9.42861941506664</v>
      </c>
      <c r="DZ110">
        <v>17.071106978735219</v>
      </c>
      <c r="EA110">
        <v>7.3280775873875132</v>
      </c>
      <c r="EB110">
        <v>9.1867521062920332</v>
      </c>
      <c r="EC110">
        <v>1243.6122160297869</v>
      </c>
      <c r="ED110">
        <v>20.577802429550857</v>
      </c>
      <c r="EE110">
        <v>9.0235897940116505</v>
      </c>
      <c r="EG110">
        <v>114</v>
      </c>
      <c r="EH110">
        <v>12.608885517820566</v>
      </c>
      <c r="EI110">
        <v>5.395899226246585</v>
      </c>
      <c r="EJ110">
        <v>6.5462800453587962</v>
      </c>
      <c r="EK110">
        <v>925.7165963255211</v>
      </c>
      <c r="EL110">
        <v>19.689132498863064</v>
      </c>
      <c r="EM110">
        <v>8.6023633476373043</v>
      </c>
      <c r="EN110">
        <v>13.204827044811752</v>
      </c>
      <c r="EO110">
        <v>5.7739004475108064</v>
      </c>
      <c r="EP110">
        <v>6.935101637710714</v>
      </c>
      <c r="EQ110">
        <v>972.6946637917514</v>
      </c>
      <c r="ER110">
        <v>19.778242858819535</v>
      </c>
      <c r="ES110">
        <v>8.7708268245260861</v>
      </c>
      <c r="ET110">
        <v>14.402380757988876</v>
      </c>
      <c r="EU110">
        <v>5.969330785441306</v>
      </c>
      <c r="EV110">
        <v>7.4437391116595935</v>
      </c>
      <c r="EW110">
        <v>1007.2745458222001</v>
      </c>
      <c r="EX110">
        <v>21.097242499496257</v>
      </c>
      <c r="EY110">
        <v>9.0335189599357104</v>
      </c>
      <c r="EZ110">
        <v>15.152831333726944</v>
      </c>
      <c r="FA110">
        <v>6.5360534106613537</v>
      </c>
      <c r="FB110">
        <v>8.1202017642727089</v>
      </c>
      <c r="FC110">
        <v>1116.8569401027667</v>
      </c>
      <c r="FD110">
        <v>20.442972895732016</v>
      </c>
      <c r="FE110">
        <v>8.9945421865560995</v>
      </c>
      <c r="FF110">
        <v>15.320870150818738</v>
      </c>
      <c r="FG110">
        <v>6.6591206031024566</v>
      </c>
      <c r="FH110">
        <v>8.4935821549011354</v>
      </c>
      <c r="FI110">
        <v>1240.0338401537683</v>
      </c>
      <c r="FJ110">
        <v>19.225741169744271</v>
      </c>
      <c r="FK110">
        <v>8.5101625248234729</v>
      </c>
    </row>
    <row r="111" spans="2:167" x14ac:dyDescent="0.2">
      <c r="B111">
        <v>601.20625038839387</v>
      </c>
      <c r="C111">
        <v>1.6633226939240497</v>
      </c>
      <c r="D111">
        <v>645.69394725378049</v>
      </c>
      <c r="E111">
        <v>1.5487213474017045</v>
      </c>
      <c r="F111">
        <v>732.9125212748321</v>
      </c>
      <c r="G111">
        <v>1.3644193146824597</v>
      </c>
      <c r="H111">
        <v>821.81558446105635</v>
      </c>
      <c r="I111">
        <v>1.2168180050464683</v>
      </c>
      <c r="J111">
        <v>911.78290900060495</v>
      </c>
      <c r="K111">
        <v>1.0967522972064576</v>
      </c>
      <c r="L111">
        <v>690.73753805648187</v>
      </c>
      <c r="M111">
        <v>1.4477278921508818</v>
      </c>
      <c r="N111">
        <v>688.72549731865342</v>
      </c>
      <c r="O111">
        <v>1.4519572803579956</v>
      </c>
      <c r="Q111">
        <v>0.22054178193802912</v>
      </c>
      <c r="R111">
        <v>0.22111016466344596</v>
      </c>
      <c r="S111">
        <v>0.22090345856714458</v>
      </c>
      <c r="T111">
        <v>0.2218618168004918</v>
      </c>
      <c r="U111">
        <v>0.22221052863761412</v>
      </c>
      <c r="V111">
        <v>0.22103575680182719</v>
      </c>
      <c r="W111">
        <v>0.22089505088648007</v>
      </c>
      <c r="Y111">
        <v>2.1478538101915015</v>
      </c>
      <c r="Z111">
        <v>2.2065577053811301</v>
      </c>
      <c r="AA111">
        <v>2.234133780666002</v>
      </c>
      <c r="AB111">
        <v>2.3827331312248705</v>
      </c>
      <c r="AC111">
        <v>2.4483108740272961</v>
      </c>
      <c r="AD111">
        <v>2.2216074271870125</v>
      </c>
      <c r="AE111">
        <v>2.2171917690982887</v>
      </c>
      <c r="AG111">
        <v>0.86576771256102381</v>
      </c>
      <c r="AH111">
        <v>0.89832340101388841</v>
      </c>
      <c r="AI111">
        <v>0.90622832773697537</v>
      </c>
      <c r="AJ111">
        <v>0.9717448981282254</v>
      </c>
      <c r="AK111">
        <v>1.0031560691604084</v>
      </c>
      <c r="AL111">
        <v>0.90412840757137225</v>
      </c>
      <c r="AM111">
        <v>0.90023465911755041</v>
      </c>
      <c r="AO111">
        <v>115</v>
      </c>
      <c r="AP111">
        <v>16.903597794186343</v>
      </c>
      <c r="AQ111">
        <v>7.4149145088014743</v>
      </c>
      <c r="AR111">
        <v>7.7395305624900557</v>
      </c>
      <c r="AS111">
        <v>878.53564235981173</v>
      </c>
      <c r="AT111">
        <v>25.635008885150867</v>
      </c>
      <c r="AU111">
        <v>11.362505195886802</v>
      </c>
      <c r="AV111">
        <v>17.78320725939999</v>
      </c>
      <c r="AW111">
        <v>7.6912171494658184</v>
      </c>
      <c r="AX111">
        <v>8.1382071172396042</v>
      </c>
      <c r="AY111">
        <v>927.65475413877505</v>
      </c>
      <c r="AZ111">
        <v>25.673960486140526</v>
      </c>
      <c r="BA111">
        <v>11.263514906376464</v>
      </c>
      <c r="BB111">
        <v>19.179895760802655</v>
      </c>
      <c r="BC111">
        <v>8.1023202066612292</v>
      </c>
      <c r="BD111">
        <v>8.7013340885286503</v>
      </c>
      <c r="BE111">
        <v>1003.8856278079243</v>
      </c>
      <c r="BF111">
        <v>25.927485799781493</v>
      </c>
      <c r="BG111">
        <v>11.188747819103636</v>
      </c>
      <c r="BH111">
        <v>20.427192307563793</v>
      </c>
      <c r="BI111">
        <v>8.5975443406926999</v>
      </c>
      <c r="BJ111">
        <v>9.3310730435690257</v>
      </c>
      <c r="BK111">
        <v>1077.5345371527408</v>
      </c>
      <c r="BL111">
        <v>26.083838763103927</v>
      </c>
      <c r="BM111">
        <v>11.235934790661338</v>
      </c>
      <c r="BN111">
        <v>20.9203131034675</v>
      </c>
      <c r="BO111">
        <v>8.7437070033589936</v>
      </c>
      <c r="BP111">
        <v>9.8742906991828843</v>
      </c>
      <c r="BQ111">
        <v>1186.2295265886437</v>
      </c>
      <c r="BR111">
        <v>24.818141805854957</v>
      </c>
      <c r="BS111">
        <v>10.653482848794788</v>
      </c>
      <c r="BU111">
        <v>115</v>
      </c>
      <c r="BV111">
        <v>16.192096193621293</v>
      </c>
      <c r="BW111">
        <v>6.4445784871582754</v>
      </c>
      <c r="BX111">
        <v>7.5000152703769531</v>
      </c>
      <c r="BY111">
        <v>878.83111145312341</v>
      </c>
      <c r="BZ111">
        <v>24.81679029454088</v>
      </c>
      <c r="CA111">
        <v>10.254563888322938</v>
      </c>
      <c r="CB111">
        <v>16.923868473719249</v>
      </c>
      <c r="CC111">
        <v>6.6488387479524027</v>
      </c>
      <c r="CD111">
        <v>7.8653783327379827</v>
      </c>
      <c r="CE111">
        <v>928.77720603594923</v>
      </c>
      <c r="CF111">
        <v>24.717696092952988</v>
      </c>
      <c r="CG111">
        <v>10.127590006053177</v>
      </c>
      <c r="CH111">
        <v>18.322976594219522</v>
      </c>
      <c r="CI111">
        <v>7.2539651775840603</v>
      </c>
      <c r="CJ111">
        <v>8.3988547185886713</v>
      </c>
      <c r="CK111">
        <v>1004.8431913747725</v>
      </c>
      <c r="CL111">
        <v>25.049989300891333</v>
      </c>
      <c r="CM111">
        <v>10.333819434534435</v>
      </c>
      <c r="CN111">
        <v>19.533824420756684</v>
      </c>
      <c r="CO111">
        <v>7.6017022011075408</v>
      </c>
      <c r="CP111">
        <v>9.0382984475836032</v>
      </c>
      <c r="CQ111">
        <v>1078.9319282072522</v>
      </c>
      <c r="CR111">
        <v>25.222044626279214</v>
      </c>
      <c r="CS111">
        <v>10.298393590975571</v>
      </c>
      <c r="CT111">
        <v>19.85488957733952</v>
      </c>
      <c r="CU111">
        <v>7.6270416385379738</v>
      </c>
      <c r="CV111">
        <v>9.4212243552239254</v>
      </c>
      <c r="CW111">
        <v>1188.0776299672623</v>
      </c>
      <c r="CX111">
        <v>23.882773619618643</v>
      </c>
      <c r="CY111">
        <v>9.6970183267759325</v>
      </c>
      <c r="DA111">
        <v>115</v>
      </c>
      <c r="DB111">
        <v>13.437726216437587</v>
      </c>
      <c r="DC111">
        <v>5.8730537527853697</v>
      </c>
      <c r="DD111">
        <v>7.1174054859616307</v>
      </c>
      <c r="DE111">
        <v>914.00346582574093</v>
      </c>
      <c r="DF111">
        <v>20.848276984214131</v>
      </c>
      <c r="DG111">
        <v>9.2346532159411172</v>
      </c>
      <c r="DH111">
        <v>14.051310290053296</v>
      </c>
      <c r="DI111">
        <v>6.4326086477208042</v>
      </c>
      <c r="DJ111">
        <v>7.4990341612662892</v>
      </c>
      <c r="DK111">
        <v>960.37665067554587</v>
      </c>
      <c r="DL111">
        <v>20.913330742750468</v>
      </c>
      <c r="DM111">
        <v>9.5692087505497287</v>
      </c>
      <c r="DN111">
        <v>15.618851331698355</v>
      </c>
      <c r="DO111">
        <v>6.6151815850326177</v>
      </c>
      <c r="DP111">
        <v>8.0550784516489742</v>
      </c>
      <c r="DQ111">
        <v>1037.3599388336022</v>
      </c>
      <c r="DR111">
        <v>21.658042777083025</v>
      </c>
      <c r="DS111">
        <v>9.394120731222829</v>
      </c>
      <c r="DT111">
        <v>16.785478446374917</v>
      </c>
      <c r="DU111">
        <v>7.1819244298366005</v>
      </c>
      <c r="DV111">
        <v>8.7874826743225789</v>
      </c>
      <c r="DW111">
        <v>1131.1920693294162</v>
      </c>
      <c r="DX111">
        <v>21.627205433010047</v>
      </c>
      <c r="DY111">
        <v>9.4515230199727096</v>
      </c>
      <c r="DZ111">
        <v>17.071106978735219</v>
      </c>
      <c r="EA111">
        <v>7.3665957756352523</v>
      </c>
      <c r="EB111">
        <v>9.1867521062920332</v>
      </c>
      <c r="EC111">
        <v>1244.7183815196361</v>
      </c>
      <c r="ED111">
        <v>20.559515196677573</v>
      </c>
      <c r="EE111">
        <v>9.0465159474667054</v>
      </c>
      <c r="EG111">
        <v>115</v>
      </c>
      <c r="EH111">
        <v>12.608885517820566</v>
      </c>
      <c r="EI111">
        <v>5.4088228829803304</v>
      </c>
      <c r="EJ111">
        <v>6.5462800453587962</v>
      </c>
      <c r="EK111">
        <v>926.66212408404192</v>
      </c>
      <c r="EL111">
        <v>19.669042521259556</v>
      </c>
      <c r="EM111">
        <v>8.607532311896426</v>
      </c>
      <c r="EN111">
        <v>13.204827044811752</v>
      </c>
      <c r="EO111">
        <v>5.792699516484193</v>
      </c>
      <c r="EP111">
        <v>6.935101637710714</v>
      </c>
      <c r="EQ111">
        <v>973.68304988417549</v>
      </c>
      <c r="ER111">
        <v>19.758165955789778</v>
      </c>
      <c r="ES111">
        <v>8.7812307292897245</v>
      </c>
      <c r="ET111">
        <v>14.402380757988876</v>
      </c>
      <c r="EU111">
        <v>5.9870880987877193</v>
      </c>
      <c r="EV111">
        <v>7.4437391116595935</v>
      </c>
      <c r="EW111">
        <v>1008.2293096624016</v>
      </c>
      <c r="EX111">
        <v>21.077264024288837</v>
      </c>
      <c r="EY111">
        <v>9.0425768557994495</v>
      </c>
      <c r="EZ111">
        <v>15.152831333726944</v>
      </c>
      <c r="FA111">
        <v>6.5685123590965455</v>
      </c>
      <c r="FB111">
        <v>8.1202017642727089</v>
      </c>
      <c r="FC111">
        <v>1117.9528115474809</v>
      </c>
      <c r="FD111">
        <v>20.42293370444407</v>
      </c>
      <c r="FE111">
        <v>9.014759575216166</v>
      </c>
      <c r="FF111">
        <v>15.320870150818738</v>
      </c>
      <c r="FG111">
        <v>6.6939874162860802</v>
      </c>
      <c r="FH111">
        <v>8.4935821549011354</v>
      </c>
      <c r="FI111">
        <v>1241.0820924657039</v>
      </c>
      <c r="FJ111">
        <v>19.209502576219954</v>
      </c>
      <c r="FK111">
        <v>8.5310684872892448</v>
      </c>
    </row>
    <row r="112" spans="2:167" x14ac:dyDescent="0.2">
      <c r="B112">
        <v>601.20625038839387</v>
      </c>
      <c r="C112">
        <v>1.6633226939240497</v>
      </c>
      <c r="D112">
        <v>645.69394725378049</v>
      </c>
      <c r="E112">
        <v>1.5487213474017045</v>
      </c>
      <c r="F112">
        <v>732.9125212748321</v>
      </c>
      <c r="G112">
        <v>1.3644193146824597</v>
      </c>
      <c r="H112">
        <v>821.81558446105635</v>
      </c>
      <c r="I112">
        <v>1.2168180050464683</v>
      </c>
      <c r="J112">
        <v>911.78290900060495</v>
      </c>
      <c r="K112">
        <v>1.0967522972064576</v>
      </c>
      <c r="L112">
        <v>690.73753805648187</v>
      </c>
      <c r="M112">
        <v>1.4477278921508818</v>
      </c>
      <c r="N112">
        <v>688.72549731865342</v>
      </c>
      <c r="O112">
        <v>1.4519572803579956</v>
      </c>
      <c r="Q112">
        <v>0.22241473736338133</v>
      </c>
      <c r="R112">
        <v>0.22298459956120598</v>
      </c>
      <c r="S112">
        <v>0.22277298682404434</v>
      </c>
      <c r="T112">
        <v>0.22373380115829661</v>
      </c>
      <c r="U112">
        <v>0.22408253894370764</v>
      </c>
      <c r="V112">
        <v>0.22290665438497237</v>
      </c>
      <c r="W112">
        <v>0.22276784888416087</v>
      </c>
      <c r="Y112">
        <v>2.1478538101915015</v>
      </c>
      <c r="Z112">
        <v>2.2065577053811301</v>
      </c>
      <c r="AA112">
        <v>2.234133780666002</v>
      </c>
      <c r="AB112">
        <v>2.3827331312248705</v>
      </c>
      <c r="AC112">
        <v>2.4483108740272961</v>
      </c>
      <c r="AD112">
        <v>2.2216074271870125</v>
      </c>
      <c r="AE112">
        <v>2.2171917690982887</v>
      </c>
      <c r="AG112">
        <v>0.86576771256102381</v>
      </c>
      <c r="AH112">
        <v>0.89881653425902752</v>
      </c>
      <c r="AI112">
        <v>0.90622832773697537</v>
      </c>
      <c r="AJ112">
        <v>0.97280813069412131</v>
      </c>
      <c r="AK112">
        <v>1.0044187182512729</v>
      </c>
      <c r="AL112">
        <v>0.90428330157762593</v>
      </c>
      <c r="AM112">
        <v>0.90023465911755041</v>
      </c>
      <c r="AO112">
        <v>116</v>
      </c>
      <c r="AP112">
        <v>16.913834368162799</v>
      </c>
      <c r="AQ112">
        <v>7.4210697234257808</v>
      </c>
      <c r="AR112">
        <v>7.7395305624900557</v>
      </c>
      <c r="AS112">
        <v>879.61644433198865</v>
      </c>
      <c r="AT112">
        <v>25.615148189849002</v>
      </c>
      <c r="AU112">
        <v>11.355541475006243</v>
      </c>
      <c r="AV112">
        <v>17.797523775513792</v>
      </c>
      <c r="AW112">
        <v>7.7017506445885315</v>
      </c>
      <c r="AX112">
        <v>8.1382071172396042</v>
      </c>
      <c r="AY112">
        <v>928.93360365364742</v>
      </c>
      <c r="AZ112">
        <v>25.654027289918616</v>
      </c>
      <c r="BA112">
        <v>11.259347928848859</v>
      </c>
      <c r="BB112">
        <v>19.179895760802655</v>
      </c>
      <c r="BC112">
        <v>8.1114367887233119</v>
      </c>
      <c r="BD112">
        <v>8.7013340885286503</v>
      </c>
      <c r="BE112">
        <v>1004.6553726668616</v>
      </c>
      <c r="BF112">
        <v>25.907620730183972</v>
      </c>
      <c r="BG112">
        <v>11.189249584150735</v>
      </c>
      <c r="BH112">
        <v>20.427192307563793</v>
      </c>
      <c r="BI112">
        <v>8.6101141503360985</v>
      </c>
      <c r="BJ112">
        <v>9.3310730435690257</v>
      </c>
      <c r="BK112">
        <v>1078.3660541453928</v>
      </c>
      <c r="BL112">
        <v>26.063725782839256</v>
      </c>
      <c r="BM112">
        <v>11.2389272243755</v>
      </c>
      <c r="BN112">
        <v>20.9203131034675</v>
      </c>
      <c r="BO112">
        <v>8.7573420649679523</v>
      </c>
      <c r="BP112">
        <v>9.8742906991828843</v>
      </c>
      <c r="BQ112">
        <v>1187.1005030424799</v>
      </c>
      <c r="BR112">
        <v>24.799932718178329</v>
      </c>
      <c r="BS112">
        <v>10.657152402371041</v>
      </c>
      <c r="BU112">
        <v>116</v>
      </c>
      <c r="BV112">
        <v>16.195520518308609</v>
      </c>
      <c r="BW112">
        <v>6.4573696048470746</v>
      </c>
      <c r="BX112">
        <v>7.5000152703769531</v>
      </c>
      <c r="BY112">
        <v>879.68020959078569</v>
      </c>
      <c r="BZ112">
        <v>24.796728952314318</v>
      </c>
      <c r="CA112">
        <v>10.259206469279244</v>
      </c>
      <c r="CB112">
        <v>16.932630314865225</v>
      </c>
      <c r="CC112">
        <v>6.6657064119445586</v>
      </c>
      <c r="CD112">
        <v>7.8653783327379827</v>
      </c>
      <c r="CE112">
        <v>929.87925290914745</v>
      </c>
      <c r="CF112">
        <v>24.697824460708134</v>
      </c>
      <c r="CG112">
        <v>10.133726915845601</v>
      </c>
      <c r="CH112">
        <v>18.322976594219522</v>
      </c>
      <c r="CI112">
        <v>7.2673437424551697</v>
      </c>
      <c r="CJ112">
        <v>8.3988547185886713</v>
      </c>
      <c r="CK112">
        <v>1005.6437828625724</v>
      </c>
      <c r="CL112">
        <v>25.030047042463917</v>
      </c>
      <c r="CM112">
        <v>10.338896179483655</v>
      </c>
      <c r="CN112">
        <v>19.533824420756684</v>
      </c>
      <c r="CO112">
        <v>7.6188552434621331</v>
      </c>
      <c r="CP112">
        <v>9.0382984475836032</v>
      </c>
      <c r="CQ112">
        <v>1079.7976503043931</v>
      </c>
      <c r="CR112">
        <v>25.201822984417067</v>
      </c>
      <c r="CS112">
        <v>10.306022330911714</v>
      </c>
      <c r="CT112">
        <v>19.85488957733952</v>
      </c>
      <c r="CU112">
        <v>7.6459036531603184</v>
      </c>
      <c r="CV112">
        <v>9.4212243552239254</v>
      </c>
      <c r="CW112">
        <v>1188.9803098186446</v>
      </c>
      <c r="CX112">
        <v>23.864641697362636</v>
      </c>
      <c r="CY112">
        <v>9.7055203275885606</v>
      </c>
      <c r="DA112">
        <v>116</v>
      </c>
      <c r="DB112">
        <v>13.437726216437587</v>
      </c>
      <c r="DC112">
        <v>5.8871330337566974</v>
      </c>
      <c r="DD112">
        <v>7.1174054859616307</v>
      </c>
      <c r="DE112">
        <v>914.88205273460903</v>
      </c>
      <c r="DF112">
        <v>20.828255798777125</v>
      </c>
      <c r="DG112">
        <v>9.241174095359435</v>
      </c>
      <c r="DH112">
        <v>14.051310290053296</v>
      </c>
      <c r="DI112">
        <v>6.4526724685199683</v>
      </c>
      <c r="DJ112">
        <v>7.4990341612662892</v>
      </c>
      <c r="DK112">
        <v>961.30269444806549</v>
      </c>
      <c r="DL112">
        <v>20.893184476846066</v>
      </c>
      <c r="DM112">
        <v>9.5808620151171482</v>
      </c>
      <c r="DN112">
        <v>15.618851331698355</v>
      </c>
      <c r="DO112">
        <v>6.6341162588242995</v>
      </c>
      <c r="DP112">
        <v>8.0550784516489742</v>
      </c>
      <c r="DQ112">
        <v>1038.3252245004778</v>
      </c>
      <c r="DR112">
        <v>21.63790823949115</v>
      </c>
      <c r="DS112">
        <v>9.4036232102767094</v>
      </c>
      <c r="DT112">
        <v>16.785478446374917</v>
      </c>
      <c r="DU112">
        <v>7.2173341944964982</v>
      </c>
      <c r="DV112">
        <v>8.7874826743225789</v>
      </c>
      <c r="DW112">
        <v>1132.2515203106232</v>
      </c>
      <c r="DX112">
        <v>21.606968795120189</v>
      </c>
      <c r="DY112">
        <v>9.4739529649689604</v>
      </c>
      <c r="DZ112">
        <v>17.071106978735219</v>
      </c>
      <c r="EA112">
        <v>7.4046672405358178</v>
      </c>
      <c r="EB112">
        <v>9.1867521062920332</v>
      </c>
      <c r="EC112">
        <v>1245.8266068767803</v>
      </c>
      <c r="ED112">
        <v>20.541226475000109</v>
      </c>
      <c r="EE112">
        <v>9.0690278174002632</v>
      </c>
      <c r="EG112">
        <v>116</v>
      </c>
      <c r="EH112">
        <v>12.608885517820566</v>
      </c>
      <c r="EI112">
        <v>5.4211515662074277</v>
      </c>
      <c r="EJ112">
        <v>6.5462800453587962</v>
      </c>
      <c r="EK112">
        <v>927.60958100193125</v>
      </c>
      <c r="EL112">
        <v>19.648952635615103</v>
      </c>
      <c r="EM112">
        <v>8.6120314215193847</v>
      </c>
      <c r="EN112">
        <v>13.204827044811752</v>
      </c>
      <c r="EO112">
        <v>5.8109476755174949</v>
      </c>
      <c r="EP112">
        <v>6.935101637710714</v>
      </c>
      <c r="EQ112">
        <v>974.67344282056035</v>
      </c>
      <c r="ER112">
        <v>19.738089130938668</v>
      </c>
      <c r="ES112">
        <v>8.791030206454721</v>
      </c>
      <c r="ET112">
        <v>14.402380757988876</v>
      </c>
      <c r="EU112">
        <v>6.0042262446411883</v>
      </c>
      <c r="EV112">
        <v>7.4437391116595935</v>
      </c>
      <c r="EW112">
        <v>1009.1858861781327</v>
      </c>
      <c r="EX112">
        <v>21.057285528693885</v>
      </c>
      <c r="EY112">
        <v>9.0509878228054017</v>
      </c>
      <c r="EZ112">
        <v>15.152831333726944</v>
      </c>
      <c r="FA112">
        <v>6.6005324829996725</v>
      </c>
      <c r="FB112">
        <v>8.1202017642727089</v>
      </c>
      <c r="FC112">
        <v>1119.0508335557888</v>
      </c>
      <c r="FD112">
        <v>20.402894551610913</v>
      </c>
      <c r="FE112">
        <v>9.034527863507094</v>
      </c>
      <c r="FF112">
        <v>15.320870150818738</v>
      </c>
      <c r="FG112">
        <v>6.7284446270129754</v>
      </c>
      <c r="FH112">
        <v>8.4935821549011354</v>
      </c>
      <c r="FI112">
        <v>1242.1323135554139</v>
      </c>
      <c r="FJ112">
        <v>19.193260969341022</v>
      </c>
      <c r="FK112">
        <v>8.5515958517298341</v>
      </c>
    </row>
    <row r="113" spans="2:167" x14ac:dyDescent="0.2">
      <c r="B113">
        <v>601.20625038839387</v>
      </c>
      <c r="C113">
        <v>1.6633226939240497</v>
      </c>
      <c r="D113">
        <v>645.69394725378049</v>
      </c>
      <c r="E113">
        <v>1.5487213474017045</v>
      </c>
      <c r="F113">
        <v>732.9125212748321</v>
      </c>
      <c r="G113">
        <v>1.3644193146824597</v>
      </c>
      <c r="H113">
        <v>821.81558446105635</v>
      </c>
      <c r="I113">
        <v>1.2168180050464683</v>
      </c>
      <c r="J113">
        <v>911.78290900060495</v>
      </c>
      <c r="K113">
        <v>1.0967522972064576</v>
      </c>
      <c r="L113">
        <v>690.73753805648187</v>
      </c>
      <c r="M113">
        <v>1.4477278921508818</v>
      </c>
      <c r="N113">
        <v>688.72549731865342</v>
      </c>
      <c r="O113">
        <v>1.4519572803579956</v>
      </c>
      <c r="Q113">
        <v>0.22428769278873353</v>
      </c>
      <c r="R113">
        <v>0.22485903445896599</v>
      </c>
      <c r="S113">
        <v>0.22464251508094407</v>
      </c>
      <c r="T113">
        <v>0.22560578551610141</v>
      </c>
      <c r="U113">
        <v>0.22595454924980116</v>
      </c>
      <c r="V113">
        <v>0.22477755196811752</v>
      </c>
      <c r="W113">
        <v>0.22464064688184171</v>
      </c>
      <c r="Y113">
        <v>2.1478538101915015</v>
      </c>
      <c r="Z113">
        <v>2.2065577053811301</v>
      </c>
      <c r="AA113">
        <v>2.234133780666002</v>
      </c>
      <c r="AB113">
        <v>2.3827331312248705</v>
      </c>
      <c r="AC113">
        <v>2.4483108740272961</v>
      </c>
      <c r="AD113">
        <v>2.2216074271870125</v>
      </c>
      <c r="AE113">
        <v>2.2171917690982887</v>
      </c>
      <c r="AG113">
        <v>0.86576771256102381</v>
      </c>
      <c r="AH113">
        <v>0.89920113762108056</v>
      </c>
      <c r="AI113">
        <v>0.90622832773697537</v>
      </c>
      <c r="AJ113">
        <v>0.97375836606187893</v>
      </c>
      <c r="AK113">
        <v>1.005567069701</v>
      </c>
      <c r="AL113">
        <v>0.90432236902957741</v>
      </c>
      <c r="AM113">
        <v>0.90023465911755041</v>
      </c>
      <c r="AO113">
        <v>117</v>
      </c>
      <c r="AP113">
        <v>16.921699249430528</v>
      </c>
      <c r="AQ113">
        <v>7.4261772078582871</v>
      </c>
      <c r="AR113">
        <v>7.7395305624900557</v>
      </c>
      <c r="AS113">
        <v>880.60651925332661</v>
      </c>
      <c r="AT113">
        <v>25.595280026056358</v>
      </c>
      <c r="AU113">
        <v>11.348574285613514</v>
      </c>
      <c r="AV113">
        <v>17.809368016053138</v>
      </c>
      <c r="AW113">
        <v>7.7112657315208937</v>
      </c>
      <c r="AX113">
        <v>8.1382071172396042</v>
      </c>
      <c r="AY113">
        <v>930.11811755292683</v>
      </c>
      <c r="AZ113">
        <v>25.634090777546575</v>
      </c>
      <c r="BA113">
        <v>11.255239023631272</v>
      </c>
      <c r="BB113">
        <v>19.179895760802655</v>
      </c>
      <c r="BC113">
        <v>8.1194194655513954</v>
      </c>
      <c r="BD113">
        <v>8.7013340885286503</v>
      </c>
      <c r="BE113">
        <v>1005.4263028690455</v>
      </c>
      <c r="BF113">
        <v>25.887755557340743</v>
      </c>
      <c r="BG113">
        <v>11.188609603264739</v>
      </c>
      <c r="BH113">
        <v>20.427192307563793</v>
      </c>
      <c r="BI113">
        <v>8.621511324520494</v>
      </c>
      <c r="BJ113">
        <v>9.3310730435690257</v>
      </c>
      <c r="BK113">
        <v>1079.1988518506714</v>
      </c>
      <c r="BL113">
        <v>26.043612889848553</v>
      </c>
      <c r="BM113">
        <v>11.24081512610802</v>
      </c>
      <c r="BN113">
        <v>20.9203131034675</v>
      </c>
      <c r="BO113">
        <v>8.7698055127786052</v>
      </c>
      <c r="BP113">
        <v>9.8742906991828843</v>
      </c>
      <c r="BQ113">
        <v>1187.9728209848863</v>
      </c>
      <c r="BR113">
        <v>24.781722346780604</v>
      </c>
      <c r="BS113">
        <v>10.659818307263107</v>
      </c>
      <c r="BU113">
        <v>117</v>
      </c>
      <c r="BV113">
        <v>16.196522227113306</v>
      </c>
      <c r="BW113">
        <v>6.4694256223552813</v>
      </c>
      <c r="BX113">
        <v>7.5000152703769531</v>
      </c>
      <c r="BY113">
        <v>880.43276596780379</v>
      </c>
      <c r="BZ113">
        <v>24.776671511950717</v>
      </c>
      <c r="CA113">
        <v>10.264130622972957</v>
      </c>
      <c r="CB113">
        <v>16.938924222881397</v>
      </c>
      <c r="CC113">
        <v>6.6818779452485622</v>
      </c>
      <c r="CD113">
        <v>7.8653783327379827</v>
      </c>
      <c r="CE113">
        <v>930.88333537736457</v>
      </c>
      <c r="CF113">
        <v>24.677945767186969</v>
      </c>
      <c r="CG113">
        <v>10.140168577804964</v>
      </c>
      <c r="CH113">
        <v>18.322976594219522</v>
      </c>
      <c r="CI113">
        <v>7.279831241543369</v>
      </c>
      <c r="CJ113">
        <v>8.3988547185886713</v>
      </c>
      <c r="CK113">
        <v>1006.4456529317411</v>
      </c>
      <c r="CL113">
        <v>25.010104738083378</v>
      </c>
      <c r="CM113">
        <v>10.343066347720162</v>
      </c>
      <c r="CN113">
        <v>19.533824420756684</v>
      </c>
      <c r="CO113">
        <v>7.6351155543132512</v>
      </c>
      <c r="CP113">
        <v>9.0382984475836032</v>
      </c>
      <c r="CQ113">
        <v>1080.6647551573217</v>
      </c>
      <c r="CR113">
        <v>25.181601520815015</v>
      </c>
      <c r="CS113">
        <v>10.312799556539407</v>
      </c>
      <c r="CT113">
        <v>19.85488957733952</v>
      </c>
      <c r="CU113">
        <v>7.6639098852372394</v>
      </c>
      <c r="CV113">
        <v>9.4212243552239254</v>
      </c>
      <c r="CW113">
        <v>1189.8844314557834</v>
      </c>
      <c r="CX113">
        <v>23.846508391008882</v>
      </c>
      <c r="CY113">
        <v>9.7132784433391492</v>
      </c>
      <c r="DA113">
        <v>117</v>
      </c>
      <c r="DB113">
        <v>13.437726216437587</v>
      </c>
      <c r="DC113">
        <v>5.9005844793982414</v>
      </c>
      <c r="DD113">
        <v>7.1174054859616307</v>
      </c>
      <c r="DE113">
        <v>915.76232945803736</v>
      </c>
      <c r="DF113">
        <v>20.808234633700238</v>
      </c>
      <c r="DG113">
        <v>9.246979810463916</v>
      </c>
      <c r="DH113">
        <v>14.051310290053296</v>
      </c>
      <c r="DI113">
        <v>6.4721192601846509</v>
      </c>
      <c r="DJ113">
        <v>7.4990341612662892</v>
      </c>
      <c r="DK113">
        <v>962.23051931046302</v>
      </c>
      <c r="DL113">
        <v>20.873038352166745</v>
      </c>
      <c r="DM113">
        <v>9.5918338451225225</v>
      </c>
      <c r="DN113">
        <v>15.618851331698355</v>
      </c>
      <c r="DO113">
        <v>6.6523667725639104</v>
      </c>
      <c r="DP113">
        <v>8.0550784516489742</v>
      </c>
      <c r="DQ113">
        <v>1039.2923022526834</v>
      </c>
      <c r="DR113">
        <v>21.617773827240313</v>
      </c>
      <c r="DS113">
        <v>9.4124335121744362</v>
      </c>
      <c r="DT113">
        <v>16.785478446374917</v>
      </c>
      <c r="DU113">
        <v>7.252274754428166</v>
      </c>
      <c r="DV113">
        <v>8.7874826743225789</v>
      </c>
      <c r="DW113">
        <v>1133.3129460074335</v>
      </c>
      <c r="DX113">
        <v>21.586732379406318</v>
      </c>
      <c r="DY113">
        <v>9.4959104153730536</v>
      </c>
      <c r="DZ113">
        <v>17.071106978735219</v>
      </c>
      <c r="EA113">
        <v>7.4422919820892108</v>
      </c>
      <c r="EB113">
        <v>9.1867521062920332</v>
      </c>
      <c r="EC113">
        <v>1246.9368978603136</v>
      </c>
      <c r="ED113">
        <v>20.52293626433665</v>
      </c>
      <c r="EE113">
        <v>9.0911263548528023</v>
      </c>
      <c r="EG113">
        <v>117</v>
      </c>
      <c r="EH113">
        <v>12.608885517820566</v>
      </c>
      <c r="EI113">
        <v>5.4328852759278741</v>
      </c>
      <c r="EJ113">
        <v>6.5462800453587962</v>
      </c>
      <c r="EK113">
        <v>928.55897298931131</v>
      </c>
      <c r="EL113">
        <v>19.628862841929074</v>
      </c>
      <c r="EM113">
        <v>8.6158626440881978</v>
      </c>
      <c r="EN113">
        <v>13.204827044811752</v>
      </c>
      <c r="EO113">
        <v>5.8286449246107104</v>
      </c>
      <c r="EP113">
        <v>6.935101637710714</v>
      </c>
      <c r="EQ113">
        <v>975.66584871923703</v>
      </c>
      <c r="ER113">
        <v>19.718012384265755</v>
      </c>
      <c r="ES113">
        <v>8.8002269810191507</v>
      </c>
      <c r="ET113">
        <v>14.402380757988876</v>
      </c>
      <c r="EU113">
        <v>6.0207452230017129</v>
      </c>
      <c r="EV113">
        <v>7.4437391116595935</v>
      </c>
      <c r="EW113">
        <v>1010.1442805365056</v>
      </c>
      <c r="EX113">
        <v>21.03730701271137</v>
      </c>
      <c r="EY113">
        <v>9.0587536072033306</v>
      </c>
      <c r="EZ113">
        <v>15.152831333726944</v>
      </c>
      <c r="FA113">
        <v>6.6321137823707401</v>
      </c>
      <c r="FB113">
        <v>8.1202017642727089</v>
      </c>
      <c r="FC113">
        <v>1120.1510124643821</v>
      </c>
      <c r="FD113">
        <v>20.382855437232443</v>
      </c>
      <c r="FE113">
        <v>9.0538482070373156</v>
      </c>
      <c r="FF113">
        <v>15.320870150818738</v>
      </c>
      <c r="FG113">
        <v>6.7624922352831423</v>
      </c>
      <c r="FH113">
        <v>8.4935821549011354</v>
      </c>
      <c r="FI113">
        <v>1243.1845089746093</v>
      </c>
      <c r="FJ113">
        <v>19.177016348268626</v>
      </c>
      <c r="FK113">
        <v>8.5717454418408199</v>
      </c>
    </row>
    <row r="114" spans="2:167" x14ac:dyDescent="0.2">
      <c r="B114">
        <v>601.20625038839387</v>
      </c>
      <c r="C114">
        <v>1.6633226939240497</v>
      </c>
      <c r="D114">
        <v>645.69394725378049</v>
      </c>
      <c r="E114">
        <v>1.5487213474017045</v>
      </c>
      <c r="F114">
        <v>732.9125212748321</v>
      </c>
      <c r="G114">
        <v>1.3644193146824597</v>
      </c>
      <c r="H114">
        <v>821.81558446105635</v>
      </c>
      <c r="I114">
        <v>1.2168180050464683</v>
      </c>
      <c r="J114">
        <v>911.78290900060495</v>
      </c>
      <c r="K114">
        <v>1.0967522972064576</v>
      </c>
      <c r="L114">
        <v>690.73753805648187</v>
      </c>
      <c r="M114">
        <v>1.4477278921508818</v>
      </c>
      <c r="N114">
        <v>688.72549731865342</v>
      </c>
      <c r="O114">
        <v>1.4519572803579956</v>
      </c>
      <c r="Q114">
        <v>0.22616064821408574</v>
      </c>
      <c r="R114">
        <v>0.226733469356726</v>
      </c>
      <c r="S114">
        <v>0.22651204333784383</v>
      </c>
      <c r="T114">
        <v>0.22747776987390625</v>
      </c>
      <c r="U114">
        <v>0.22782655955589465</v>
      </c>
      <c r="V114">
        <v>0.2266484495512627</v>
      </c>
      <c r="W114">
        <v>0.22651344487952252</v>
      </c>
      <c r="Y114">
        <v>2.1478538101915015</v>
      </c>
      <c r="Z114">
        <v>2.2065577053811301</v>
      </c>
      <c r="AA114">
        <v>2.234133780666002</v>
      </c>
      <c r="AB114">
        <v>2.3827331312248705</v>
      </c>
      <c r="AC114">
        <v>2.4483108740272961</v>
      </c>
      <c r="AD114">
        <v>2.2216074271870125</v>
      </c>
      <c r="AE114">
        <v>2.2171917690982887</v>
      </c>
      <c r="AG114">
        <v>0.86576771256102381</v>
      </c>
      <c r="AH114">
        <v>0.89947721110004786</v>
      </c>
      <c r="AI114">
        <v>0.90622832773697537</v>
      </c>
      <c r="AJ114">
        <v>0.97459560423149849</v>
      </c>
      <c r="AK114">
        <v>1.0066011235095891</v>
      </c>
      <c r="AL114">
        <v>0.90432236902957741</v>
      </c>
      <c r="AM114">
        <v>0.90023465911755041</v>
      </c>
      <c r="AO114">
        <v>118</v>
      </c>
      <c r="AP114">
        <v>16.927192437989536</v>
      </c>
      <c r="AQ114">
        <v>7.4302369620989976</v>
      </c>
      <c r="AR114">
        <v>7.7395305624900557</v>
      </c>
      <c r="AS114">
        <v>881.50565485094637</v>
      </c>
      <c r="AT114">
        <v>25.57540444301608</v>
      </c>
      <c r="AU114">
        <v>11.341604219286761</v>
      </c>
      <c r="AV114">
        <v>17.818739981018037</v>
      </c>
      <c r="AW114">
        <v>7.7197624102629083</v>
      </c>
      <c r="AX114">
        <v>8.1382071172396042</v>
      </c>
      <c r="AY114">
        <v>931.2080751253028</v>
      </c>
      <c r="AZ114">
        <v>25.614150973667012</v>
      </c>
      <c r="BA114">
        <v>11.251189387076968</v>
      </c>
      <c r="BB114">
        <v>19.179895760802655</v>
      </c>
      <c r="BC114">
        <v>8.1262682371454797</v>
      </c>
      <c r="BD114">
        <v>8.7013340885286503</v>
      </c>
      <c r="BE114">
        <v>1006.1984211545811</v>
      </c>
      <c r="BF114">
        <v>25.867890281251</v>
      </c>
      <c r="BG114">
        <v>11.186830472595602</v>
      </c>
      <c r="BH114">
        <v>20.427192307563793</v>
      </c>
      <c r="BI114">
        <v>8.6317358632458916</v>
      </c>
      <c r="BJ114">
        <v>9.3310730435690257</v>
      </c>
      <c r="BK114">
        <v>1080.0329332297108</v>
      </c>
      <c r="BL114">
        <v>26.023500084131257</v>
      </c>
      <c r="BM114">
        <v>11.241601013387355</v>
      </c>
      <c r="BN114">
        <v>20.9203131034675</v>
      </c>
      <c r="BO114">
        <v>8.7810973467909488</v>
      </c>
      <c r="BP114">
        <v>9.8742906991828843</v>
      </c>
      <c r="BQ114">
        <v>1188.8464835175178</v>
      </c>
      <c r="BR114">
        <v>24.763510691526008</v>
      </c>
      <c r="BS114">
        <v>10.661482735917321</v>
      </c>
      <c r="BU114">
        <v>118</v>
      </c>
      <c r="BV114">
        <v>16.196522227113306</v>
      </c>
      <c r="BW114">
        <v>6.4807465396828947</v>
      </c>
      <c r="BX114">
        <v>7.5000152703769531</v>
      </c>
      <c r="BY114">
        <v>881.14602131124377</v>
      </c>
      <c r="BZ114">
        <v>24.756615706305407</v>
      </c>
      <c r="CA114">
        <v>10.268670133131623</v>
      </c>
      <c r="CB114">
        <v>16.942750197767776</v>
      </c>
      <c r="CC114">
        <v>6.6973533478644107</v>
      </c>
      <c r="CD114">
        <v>7.8653783327379827</v>
      </c>
      <c r="CE114">
        <v>931.78921568372084</v>
      </c>
      <c r="CF114">
        <v>24.658060057121254</v>
      </c>
      <c r="CG114">
        <v>10.14691862759328</v>
      </c>
      <c r="CH114">
        <v>18.322976594219522</v>
      </c>
      <c r="CI114">
        <v>7.2914276748486575</v>
      </c>
      <c r="CJ114">
        <v>8.3988547185886713</v>
      </c>
      <c r="CK114">
        <v>1007.2488046476561</v>
      </c>
      <c r="CL114">
        <v>24.990162387749553</v>
      </c>
      <c r="CM114">
        <v>10.34633205705148</v>
      </c>
      <c r="CN114">
        <v>19.533824420756684</v>
      </c>
      <c r="CO114">
        <v>7.6504831336609014</v>
      </c>
      <c r="CP114">
        <v>9.0382984475836032</v>
      </c>
      <c r="CQ114">
        <v>1081.5332460815505</v>
      </c>
      <c r="CR114">
        <v>25.161380235470702</v>
      </c>
      <c r="CS114">
        <v>10.31872725830228</v>
      </c>
      <c r="CT114">
        <v>19.85488957733952</v>
      </c>
      <c r="CU114">
        <v>7.6810603347687403</v>
      </c>
      <c r="CV114">
        <v>9.4212243552239254</v>
      </c>
      <c r="CW114">
        <v>1190.7899983357315</v>
      </c>
      <c r="CX114">
        <v>23.828373700398881</v>
      </c>
      <c r="CY114">
        <v>9.7202943120390692</v>
      </c>
      <c r="DA114">
        <v>118</v>
      </c>
      <c r="DB114">
        <v>13.437726216437587</v>
      </c>
      <c r="DC114">
        <v>5.9134080897100043</v>
      </c>
      <c r="DD114">
        <v>7.1174054859616307</v>
      </c>
      <c r="DE114">
        <v>916.64430087583116</v>
      </c>
      <c r="DF114">
        <v>20.78821348898343</v>
      </c>
      <c r="DG114">
        <v>9.2520723402637053</v>
      </c>
      <c r="DH114">
        <v>14.051310290053296</v>
      </c>
      <c r="DI114">
        <v>6.4909490227148554</v>
      </c>
      <c r="DJ114">
        <v>7.4990341612662892</v>
      </c>
      <c r="DK114">
        <v>963.1601304061262</v>
      </c>
      <c r="DL114">
        <v>20.852892368711018</v>
      </c>
      <c r="DM114">
        <v>9.602126097726293</v>
      </c>
      <c r="DN114">
        <v>15.618851331698355</v>
      </c>
      <c r="DO114">
        <v>6.6699331262514479</v>
      </c>
      <c r="DP114">
        <v>8.0550784516489742</v>
      </c>
      <c r="DQ114">
        <v>1040.2611770854555</v>
      </c>
      <c r="DR114">
        <v>21.597639540329354</v>
      </c>
      <c r="DS114">
        <v>9.4205534765915608</v>
      </c>
      <c r="DT114">
        <v>16.785478446374917</v>
      </c>
      <c r="DU114">
        <v>7.286746109631606</v>
      </c>
      <c r="DV114">
        <v>8.7874826743225789</v>
      </c>
      <c r="DW114">
        <v>1134.3763519460199</v>
      </c>
      <c r="DX114">
        <v>21.566496185864768</v>
      </c>
      <c r="DY114">
        <v>9.5173965364770741</v>
      </c>
      <c r="DZ114">
        <v>17.071106978735219</v>
      </c>
      <c r="EA114">
        <v>7.4794700002954322</v>
      </c>
      <c r="EB114">
        <v>9.1867521062920332</v>
      </c>
      <c r="EC114">
        <v>1248.0492602508195</v>
      </c>
      <c r="ED114">
        <v>20.504644564505334</v>
      </c>
      <c r="EE114">
        <v>9.1128125110196727</v>
      </c>
      <c r="EG114">
        <v>118</v>
      </c>
      <c r="EH114">
        <v>12.608885517820566</v>
      </c>
      <c r="EI114">
        <v>5.4440240121416741</v>
      </c>
      <c r="EJ114">
        <v>6.5462800453587962</v>
      </c>
      <c r="EK114">
        <v>929.51030598047032</v>
      </c>
      <c r="EL114">
        <v>19.608773140200846</v>
      </c>
      <c r="EM114">
        <v>8.6190279471668791</v>
      </c>
      <c r="EN114">
        <v>13.204827044811752</v>
      </c>
      <c r="EO114">
        <v>5.8457912637638429</v>
      </c>
      <c r="EP114">
        <v>6.935101637710714</v>
      </c>
      <c r="EQ114">
        <v>976.66027372343285</v>
      </c>
      <c r="ER114">
        <v>19.697935715770573</v>
      </c>
      <c r="ES114">
        <v>8.8088227779676664</v>
      </c>
      <c r="ET114">
        <v>14.402380757988876</v>
      </c>
      <c r="EU114">
        <v>6.0366450338692932</v>
      </c>
      <c r="EV114">
        <v>7.4437391116595935</v>
      </c>
      <c r="EW114">
        <v>1011.1044979242901</v>
      </c>
      <c r="EX114">
        <v>21.017328476341252</v>
      </c>
      <c r="EY114">
        <v>9.0658759552465558</v>
      </c>
      <c r="EZ114">
        <v>15.152831333726944</v>
      </c>
      <c r="FA114">
        <v>6.6632562572097429</v>
      </c>
      <c r="FB114">
        <v>8.1202017642727089</v>
      </c>
      <c r="FC114">
        <v>1121.253354634872</v>
      </c>
      <c r="FD114">
        <v>20.362816361308539</v>
      </c>
      <c r="FE114">
        <v>9.0727217614108167</v>
      </c>
      <c r="FF114">
        <v>15.320870150818738</v>
      </c>
      <c r="FG114">
        <v>6.796130241096578</v>
      </c>
      <c r="FH114">
        <v>8.4935821549011354</v>
      </c>
      <c r="FI114">
        <v>1244.2386842958947</v>
      </c>
      <c r="FJ114">
        <v>19.160768712163609</v>
      </c>
      <c r="FK114">
        <v>8.591518081623537</v>
      </c>
    </row>
    <row r="115" spans="2:167" x14ac:dyDescent="0.2">
      <c r="B115">
        <v>601.20625038839387</v>
      </c>
      <c r="C115">
        <v>1.6633226939240497</v>
      </c>
      <c r="D115">
        <v>645.69394725378049</v>
      </c>
      <c r="E115">
        <v>1.5487213474017045</v>
      </c>
      <c r="F115">
        <v>732.9125212748321</v>
      </c>
      <c r="G115">
        <v>1.3644193146824597</v>
      </c>
      <c r="H115">
        <v>821.81558446105635</v>
      </c>
      <c r="I115">
        <v>1.2168180050464683</v>
      </c>
      <c r="J115">
        <v>911.78290900060495</v>
      </c>
      <c r="K115">
        <v>1.0967522972064576</v>
      </c>
      <c r="L115">
        <v>690.73753805648187</v>
      </c>
      <c r="M115">
        <v>1.4477278921508818</v>
      </c>
      <c r="N115">
        <v>688.72549731865342</v>
      </c>
      <c r="O115">
        <v>1.4519572803579956</v>
      </c>
      <c r="Q115">
        <v>0.22803360363943795</v>
      </c>
      <c r="R115">
        <v>0.22860790425448602</v>
      </c>
      <c r="S115">
        <v>0.22838157159474359</v>
      </c>
      <c r="T115">
        <v>0.22934975423171106</v>
      </c>
      <c r="U115">
        <v>0.22969856986198817</v>
      </c>
      <c r="V115">
        <v>0.22851934713440789</v>
      </c>
      <c r="W115">
        <v>0.22838624287720333</v>
      </c>
      <c r="Y115">
        <v>2.1478538101915015</v>
      </c>
      <c r="Z115">
        <v>2.2065577053811301</v>
      </c>
      <c r="AA115">
        <v>2.234133780666002</v>
      </c>
      <c r="AB115">
        <v>2.3827331312248705</v>
      </c>
      <c r="AC115">
        <v>2.4483108740272961</v>
      </c>
      <c r="AD115">
        <v>2.2216074271870125</v>
      </c>
      <c r="AE115">
        <v>2.2171917690982887</v>
      </c>
      <c r="AG115">
        <v>0.86576771256102381</v>
      </c>
      <c r="AH115">
        <v>0.89964475469592942</v>
      </c>
      <c r="AI115">
        <v>0.90622832773697537</v>
      </c>
      <c r="AJ115">
        <v>0.97531984520297987</v>
      </c>
      <c r="AK115">
        <v>1.0075208796770403</v>
      </c>
      <c r="AL115">
        <v>0.90432236902957741</v>
      </c>
      <c r="AM115">
        <v>0.90023465911755041</v>
      </c>
      <c r="AO115">
        <v>119</v>
      </c>
      <c r="AP115">
        <v>16.930313933839816</v>
      </c>
      <c r="AQ115">
        <v>7.4332489861479072</v>
      </c>
      <c r="AR115">
        <v>7.7395305624900557</v>
      </c>
      <c r="AS115">
        <v>882.31363818924831</v>
      </c>
      <c r="AT115">
        <v>25.555521485243812</v>
      </c>
      <c r="AU115">
        <v>11.334631865099293</v>
      </c>
      <c r="AV115">
        <v>17.825639670408489</v>
      </c>
      <c r="AW115">
        <v>7.7272406808145702</v>
      </c>
      <c r="AX115">
        <v>8.1382071172396042</v>
      </c>
      <c r="AY115">
        <v>932.20325497041392</v>
      </c>
      <c r="AZ115">
        <v>25.594207900834935</v>
      </c>
      <c r="BA115">
        <v>11.247200250222898</v>
      </c>
      <c r="BB115">
        <v>19.179895760802655</v>
      </c>
      <c r="BC115">
        <v>8.1319831035055561</v>
      </c>
      <c r="BD115">
        <v>8.7013340885286503</v>
      </c>
      <c r="BE115">
        <v>1006.9717302720258</v>
      </c>
      <c r="BF115">
        <v>25.848024901913938</v>
      </c>
      <c r="BG115">
        <v>11.183914788320237</v>
      </c>
      <c r="BH115">
        <v>20.427192307563793</v>
      </c>
      <c r="BI115">
        <v>8.6407877665122861</v>
      </c>
      <c r="BJ115">
        <v>9.3310730435690257</v>
      </c>
      <c r="BK115">
        <v>1080.8683012527806</v>
      </c>
      <c r="BL115">
        <v>26.003387365686795</v>
      </c>
      <c r="BM115">
        <v>11.241287403720102</v>
      </c>
      <c r="BN115">
        <v>20.9203131034675</v>
      </c>
      <c r="BO115">
        <v>8.7912175670049866</v>
      </c>
      <c r="BP115">
        <v>9.8742906991828843</v>
      </c>
      <c r="BQ115">
        <v>1189.7214937515969</v>
      </c>
      <c r="BR115">
        <v>24.745297752278788</v>
      </c>
      <c r="BS115">
        <v>10.662147861086369</v>
      </c>
      <c r="BU115">
        <v>119</v>
      </c>
      <c r="BV115">
        <v>16.196522227113306</v>
      </c>
      <c r="BW115">
        <v>6.4913323568299148</v>
      </c>
      <c r="BX115">
        <v>7.5000152703769531</v>
      </c>
      <c r="BY115">
        <v>881.86043162293447</v>
      </c>
      <c r="BZ115">
        <v>24.736559945882412</v>
      </c>
      <c r="CA115">
        <v>10.272355266515577</v>
      </c>
      <c r="CB115">
        <v>16.944108239524365</v>
      </c>
      <c r="CC115">
        <v>6.7121326197921061</v>
      </c>
      <c r="CD115">
        <v>7.8653783327379827</v>
      </c>
      <c r="CE115">
        <v>932.59665530134055</v>
      </c>
      <c r="CF115">
        <v>24.638167370693829</v>
      </c>
      <c r="CG115">
        <v>10.153980895931445</v>
      </c>
      <c r="CH115">
        <v>18.322976594219522</v>
      </c>
      <c r="CI115">
        <v>7.3021330423710369</v>
      </c>
      <c r="CJ115">
        <v>8.3988547185886713</v>
      </c>
      <c r="CK115">
        <v>1008.0532410855019</v>
      </c>
      <c r="CL115">
        <v>24.97021999146229</v>
      </c>
      <c r="CM115">
        <v>10.348695425294876</v>
      </c>
      <c r="CN115">
        <v>19.533824420756684</v>
      </c>
      <c r="CO115">
        <v>7.6649579815050766</v>
      </c>
      <c r="CP115">
        <v>9.0382984475836032</v>
      </c>
      <c r="CQ115">
        <v>1082.4031264032008</v>
      </c>
      <c r="CR115">
        <v>25.141159128381766</v>
      </c>
      <c r="CS115">
        <v>10.323807426608864</v>
      </c>
      <c r="CT115">
        <v>19.85488957733952</v>
      </c>
      <c r="CU115">
        <v>7.6973550017548158</v>
      </c>
      <c r="CV115">
        <v>9.4212243552239254</v>
      </c>
      <c r="CW115">
        <v>1191.6970139266016</v>
      </c>
      <c r="CX115">
        <v>23.810237625374132</v>
      </c>
      <c r="CY115">
        <v>9.7265695719497813</v>
      </c>
      <c r="DA115">
        <v>119</v>
      </c>
      <c r="DB115">
        <v>13.437726216437587</v>
      </c>
      <c r="DC115">
        <v>5.9256038646919826</v>
      </c>
      <c r="DD115">
        <v>7.1174054859616307</v>
      </c>
      <c r="DE115">
        <v>917.52797188660236</v>
      </c>
      <c r="DF115">
        <v>20.768192364626682</v>
      </c>
      <c r="DG115">
        <v>9.256453663763919</v>
      </c>
      <c r="DH115">
        <v>14.051310290053296</v>
      </c>
      <c r="DI115">
        <v>6.509161756110573</v>
      </c>
      <c r="DJ115">
        <v>7.4990341612662892</v>
      </c>
      <c r="DK115">
        <v>964.09153289826565</v>
      </c>
      <c r="DL115">
        <v>20.832746526477404</v>
      </c>
      <c r="DM115">
        <v>9.6117406300628563</v>
      </c>
      <c r="DN115">
        <v>15.618851331698355</v>
      </c>
      <c r="DO115">
        <v>6.6868153198869118</v>
      </c>
      <c r="DP115">
        <v>8.0550784516489742</v>
      </c>
      <c r="DQ115">
        <v>1041.2318540126139</v>
      </c>
      <c r="DR115">
        <v>21.577505378757085</v>
      </c>
      <c r="DS115">
        <v>9.4279849431807321</v>
      </c>
      <c r="DT115">
        <v>16.785478446374917</v>
      </c>
      <c r="DU115">
        <v>7.3207482601068161</v>
      </c>
      <c r="DV115">
        <v>8.7874826743225789</v>
      </c>
      <c r="DW115">
        <v>1135.441743673194</v>
      </c>
      <c r="DX115">
        <v>21.546260214491884</v>
      </c>
      <c r="DY115">
        <v>9.5384124935475061</v>
      </c>
      <c r="DZ115">
        <v>17.071106978735219</v>
      </c>
      <c r="EA115">
        <v>7.5162012951544792</v>
      </c>
      <c r="EB115">
        <v>9.1867521062920332</v>
      </c>
      <c r="EC115">
        <v>1249.1636998504705</v>
      </c>
      <c r="ED115">
        <v>20.486351375324297</v>
      </c>
      <c r="EE115">
        <v>9.1340872372511122</v>
      </c>
      <c r="EG115">
        <v>119</v>
      </c>
      <c r="EH115">
        <v>12.608885517820566</v>
      </c>
      <c r="EI115">
        <v>5.4545677748488224</v>
      </c>
      <c r="EJ115">
        <v>6.5462800453587962</v>
      </c>
      <c r="EK115">
        <v>930.46358593398645</v>
      </c>
      <c r="EL115">
        <v>19.588683530429783</v>
      </c>
      <c r="EM115">
        <v>8.6215292983014127</v>
      </c>
      <c r="EN115">
        <v>13.204827044811752</v>
      </c>
      <c r="EO115">
        <v>5.8623866929768909</v>
      </c>
      <c r="EP115">
        <v>6.935101637710714</v>
      </c>
      <c r="EQ115">
        <v>977.65672400139783</v>
      </c>
      <c r="ER115">
        <v>19.677859125452674</v>
      </c>
      <c r="ES115">
        <v>8.8168193222714812</v>
      </c>
      <c r="ET115">
        <v>14.402380757988876</v>
      </c>
      <c r="EU115">
        <v>6.0519256772439292</v>
      </c>
      <c r="EV115">
        <v>7.4437391116595935</v>
      </c>
      <c r="EW115">
        <v>1012.066543548007</v>
      </c>
      <c r="EX115">
        <v>20.997349919583513</v>
      </c>
      <c r="EY115">
        <v>9.0723566131919675</v>
      </c>
      <c r="EZ115">
        <v>15.152831333726944</v>
      </c>
      <c r="FA115">
        <v>6.6939599075166853</v>
      </c>
      <c r="FB115">
        <v>8.1202017642727089</v>
      </c>
      <c r="FC115">
        <v>1122.3578664539116</v>
      </c>
      <c r="FD115">
        <v>20.342777323839091</v>
      </c>
      <c r="FE115">
        <v>9.0911496822271562</v>
      </c>
      <c r="FF115">
        <v>15.320870150818738</v>
      </c>
      <c r="FG115">
        <v>6.8293586444532854</v>
      </c>
      <c r="FH115">
        <v>8.4935821549011354</v>
      </c>
      <c r="FI115">
        <v>1245.2948451128657</v>
      </c>
      <c r="FJ115">
        <v>19.144518060186488</v>
      </c>
      <c r="FK115">
        <v>8.6109145953852337</v>
      </c>
    </row>
    <row r="116" spans="2:167" x14ac:dyDescent="0.2">
      <c r="B116">
        <v>601.20625038839387</v>
      </c>
      <c r="C116">
        <v>1.6633226939240497</v>
      </c>
      <c r="D116">
        <v>645.69394725378049</v>
      </c>
      <c r="E116">
        <v>1.5487213474017045</v>
      </c>
      <c r="F116">
        <v>732.9125212748321</v>
      </c>
      <c r="G116">
        <v>1.3644193146824597</v>
      </c>
      <c r="H116">
        <v>821.81558446105635</v>
      </c>
      <c r="I116">
        <v>1.2168180050464683</v>
      </c>
      <c r="J116">
        <v>911.78290900060495</v>
      </c>
      <c r="K116">
        <v>1.0967522972064576</v>
      </c>
      <c r="L116">
        <v>690.73753805648187</v>
      </c>
      <c r="M116">
        <v>1.4477278921508818</v>
      </c>
      <c r="N116">
        <v>688.72549731865342</v>
      </c>
      <c r="O116">
        <v>1.4519572803579956</v>
      </c>
      <c r="Q116">
        <v>0.22990655906479018</v>
      </c>
      <c r="R116">
        <v>0.23048233915224603</v>
      </c>
      <c r="S116">
        <v>0.23025109985164335</v>
      </c>
      <c r="T116">
        <v>0.23122173858951589</v>
      </c>
      <c r="U116">
        <v>0.23157058016808169</v>
      </c>
      <c r="V116">
        <v>0.23039024471755304</v>
      </c>
      <c r="W116">
        <v>0.23025904087488416</v>
      </c>
      <c r="Y116">
        <v>2.1478538101915015</v>
      </c>
      <c r="Z116">
        <v>2.2065577053811301</v>
      </c>
      <c r="AA116">
        <v>2.234133780666002</v>
      </c>
      <c r="AB116">
        <v>2.3827331312248705</v>
      </c>
      <c r="AC116">
        <v>2.4483108740272961</v>
      </c>
      <c r="AD116">
        <v>2.2216074271870125</v>
      </c>
      <c r="AE116">
        <v>2.2171917690982887</v>
      </c>
      <c r="AG116">
        <v>0.86576771256102381</v>
      </c>
      <c r="AH116">
        <v>0.89970376840872512</v>
      </c>
      <c r="AI116">
        <v>0.90622832773697537</v>
      </c>
      <c r="AJ116">
        <v>0.97593108897632319</v>
      </c>
      <c r="AK116">
        <v>1.0083263382033543</v>
      </c>
      <c r="AL116">
        <v>0.90432236902957741</v>
      </c>
      <c r="AM116">
        <v>0.90023465911755041</v>
      </c>
      <c r="AO116">
        <v>120</v>
      </c>
      <c r="AP116">
        <v>16.931063736981372</v>
      </c>
      <c r="AQ116">
        <v>7.4352132800050175</v>
      </c>
      <c r="AR116">
        <v>7.7395305624900557</v>
      </c>
      <c r="AS116">
        <v>883.03025566732526</v>
      </c>
      <c r="AT116">
        <v>25.535631192580091</v>
      </c>
      <c r="AU116">
        <v>11.327657810240511</v>
      </c>
      <c r="AV116">
        <v>17.830067084224478</v>
      </c>
      <c r="AW116">
        <v>7.7337005431758845</v>
      </c>
      <c r="AX116">
        <v>8.1382071172396042</v>
      </c>
      <c r="AY116">
        <v>933.10343499615647</v>
      </c>
      <c r="AZ116">
        <v>25.574261579545141</v>
      </c>
      <c r="BA116">
        <v>11.243272879995741</v>
      </c>
      <c r="BB116">
        <v>19.179895760802655</v>
      </c>
      <c r="BC116">
        <v>8.1365640646316368</v>
      </c>
      <c r="BD116">
        <v>8.7013340885286503</v>
      </c>
      <c r="BE116">
        <v>1007.7462329784213</v>
      </c>
      <c r="BF116">
        <v>25.82815941932876</v>
      </c>
      <c r="BG116">
        <v>11.179865146642582</v>
      </c>
      <c r="BH116">
        <v>20.427192307563793</v>
      </c>
      <c r="BI116">
        <v>8.6486670343196828</v>
      </c>
      <c r="BJ116">
        <v>9.3310730435690257</v>
      </c>
      <c r="BK116">
        <v>1081.7049588993216</v>
      </c>
      <c r="BL116">
        <v>25.983274734514609</v>
      </c>
      <c r="BM116">
        <v>11.239876814591028</v>
      </c>
      <c r="BN116">
        <v>20.9203131034675</v>
      </c>
      <c r="BO116">
        <v>8.8001661734207186</v>
      </c>
      <c r="BP116">
        <v>9.8742906991828843</v>
      </c>
      <c r="BQ116">
        <v>1190.5978548079536</v>
      </c>
      <c r="BR116">
        <v>24.727083528903133</v>
      </c>
      <c r="BS116">
        <v>10.66181585582931</v>
      </c>
      <c r="BU116">
        <v>120</v>
      </c>
      <c r="BV116">
        <v>16.196522227113306</v>
      </c>
      <c r="BW116">
        <v>6.5011830737963434</v>
      </c>
      <c r="BX116">
        <v>7.5000152703769531</v>
      </c>
      <c r="BY116">
        <v>882.57599971049444</v>
      </c>
      <c r="BZ116">
        <v>24.716504230681576</v>
      </c>
      <c r="CA116">
        <v>10.275188050722775</v>
      </c>
      <c r="CB116">
        <v>16.944108239524365</v>
      </c>
      <c r="CC116">
        <v>6.7262157610316464</v>
      </c>
      <c r="CD116">
        <v>7.8653783327379827</v>
      </c>
      <c r="CE116">
        <v>933.35038227701716</v>
      </c>
      <c r="CF116">
        <v>24.618270821947341</v>
      </c>
      <c r="CG116">
        <v>10.160869854301062</v>
      </c>
      <c r="CH116">
        <v>18.322976594219522</v>
      </c>
      <c r="CI116">
        <v>7.3119473441105054</v>
      </c>
      <c r="CJ116">
        <v>8.3988547185886713</v>
      </c>
      <c r="CK116">
        <v>1008.8589653303085</v>
      </c>
      <c r="CL116">
        <v>24.950277549221429</v>
      </c>
      <c r="CM116">
        <v>10.350158570277394</v>
      </c>
      <c r="CN116">
        <v>19.533824420756684</v>
      </c>
      <c r="CO116">
        <v>7.6785400978457821</v>
      </c>
      <c r="CP116">
        <v>9.0382984475836032</v>
      </c>
      <c r="CQ116">
        <v>1083.2743994590442</v>
      </c>
      <c r="CR116">
        <v>25.120938199545854</v>
      </c>
      <c r="CS116">
        <v>10.328042051832609</v>
      </c>
      <c r="CT116">
        <v>19.85488957733952</v>
      </c>
      <c r="CU116">
        <v>7.7127938861954712</v>
      </c>
      <c r="CV116">
        <v>9.4212243552239254</v>
      </c>
      <c r="CW116">
        <v>1192.6054817076129</v>
      </c>
      <c r="CX116">
        <v>23.792100165776091</v>
      </c>
      <c r="CY116">
        <v>9.7321058615828964</v>
      </c>
      <c r="DA116">
        <v>120</v>
      </c>
      <c r="DB116">
        <v>13.437726216437587</v>
      </c>
      <c r="DC116">
        <v>5.9371718043441826</v>
      </c>
      <c r="DD116">
        <v>7.1174054859616307</v>
      </c>
      <c r="DE116">
        <v>918.41334740786135</v>
      </c>
      <c r="DF116">
        <v>20.748171260629952</v>
      </c>
      <c r="DG116">
        <v>9.2601257599656481</v>
      </c>
      <c r="DH116">
        <v>14.051310290053296</v>
      </c>
      <c r="DI116">
        <v>6.526757460371809</v>
      </c>
      <c r="DJ116">
        <v>7.4990341612662892</v>
      </c>
      <c r="DK116">
        <v>965.02473197001086</v>
      </c>
      <c r="DL116">
        <v>20.812600825464408</v>
      </c>
      <c r="DM116">
        <v>9.6206792992405852</v>
      </c>
      <c r="DN116">
        <v>15.618851331698355</v>
      </c>
      <c r="DO116">
        <v>6.703013353470304</v>
      </c>
      <c r="DP116">
        <v>8.0550784516489742</v>
      </c>
      <c r="DQ116">
        <v>1042.2043380666457</v>
      </c>
      <c r="DR116">
        <v>21.557371342522352</v>
      </c>
      <c r="DS116">
        <v>9.4347297515716999</v>
      </c>
      <c r="DT116">
        <v>16.785478446374917</v>
      </c>
      <c r="DU116">
        <v>7.3542812058537983</v>
      </c>
      <c r="DV116">
        <v>8.7874826743225789</v>
      </c>
      <c r="DW116">
        <v>1136.5091267565024</v>
      </c>
      <c r="DX116">
        <v>21.526024465284003</v>
      </c>
      <c r="DY116">
        <v>9.5589594518252579</v>
      </c>
      <c r="DZ116">
        <v>17.071106978735219</v>
      </c>
      <c r="EA116">
        <v>7.5524858666663555</v>
      </c>
      <c r="EB116">
        <v>9.1867521062920332</v>
      </c>
      <c r="EC116">
        <v>1250.2802224831282</v>
      </c>
      <c r="ED116">
        <v>20.468056696611633</v>
      </c>
      <c r="EE116">
        <v>9.1549514850523028</v>
      </c>
      <c r="EG116">
        <v>120</v>
      </c>
      <c r="EH116">
        <v>12.608885517820566</v>
      </c>
      <c r="EI116">
        <v>5.4645165640493234</v>
      </c>
      <c r="EJ116">
        <v>6.5462800453587962</v>
      </c>
      <c r="EK116">
        <v>931.41881883285191</v>
      </c>
      <c r="EL116">
        <v>19.568594012615254</v>
      </c>
      <c r="EM116">
        <v>8.6233686650197878</v>
      </c>
      <c r="EN116">
        <v>13.204827044811752</v>
      </c>
      <c r="EO116">
        <v>5.8784312122498523</v>
      </c>
      <c r="EP116">
        <v>6.935101637710714</v>
      </c>
      <c r="EQ116">
        <v>978.65520574653272</v>
      </c>
      <c r="ER116">
        <v>19.6577826133116</v>
      </c>
      <c r="ES116">
        <v>8.8242183388883664</v>
      </c>
      <c r="ET116">
        <v>14.402380757988876</v>
      </c>
      <c r="EU116">
        <v>6.0665871531256217</v>
      </c>
      <c r="EV116">
        <v>7.4437391116595935</v>
      </c>
      <c r="EW116">
        <v>1013.0304226340222</v>
      </c>
      <c r="EX116">
        <v>20.977371342438115</v>
      </c>
      <c r="EY116">
        <v>9.0781973273000194</v>
      </c>
      <c r="EZ116">
        <v>15.152831333726944</v>
      </c>
      <c r="FA116">
        <v>6.724224733291563</v>
      </c>
      <c r="FB116">
        <v>8.1202017642727089</v>
      </c>
      <c r="FC116">
        <v>1123.4645543333193</v>
      </c>
      <c r="FD116">
        <v>20.322738324823995</v>
      </c>
      <c r="FE116">
        <v>9.1091331250814473</v>
      </c>
      <c r="FF116">
        <v>15.320870150818738</v>
      </c>
      <c r="FG116">
        <v>6.8621774453532636</v>
      </c>
      <c r="FH116">
        <v>8.4935821549011354</v>
      </c>
      <c r="FI116">
        <v>1246.3529970402083</v>
      </c>
      <c r="FJ116">
        <v>19.128264391497488</v>
      </c>
      <c r="FK116">
        <v>8.6299358077391872</v>
      </c>
    </row>
    <row r="117" spans="2:167" x14ac:dyDescent="0.2">
      <c r="B117">
        <v>601.20625038839387</v>
      </c>
      <c r="C117">
        <v>1.6633226939240497</v>
      </c>
      <c r="D117">
        <v>645.69394725378049</v>
      </c>
      <c r="E117">
        <v>1.5487213474017045</v>
      </c>
      <c r="F117">
        <v>732.9125212748321</v>
      </c>
      <c r="G117">
        <v>1.3644193146824597</v>
      </c>
      <c r="H117">
        <v>821.81558446105635</v>
      </c>
      <c r="I117">
        <v>1.2168180050464683</v>
      </c>
      <c r="J117">
        <v>911.78290900060495</v>
      </c>
      <c r="K117">
        <v>1.0967522972064576</v>
      </c>
      <c r="L117">
        <v>690.73753805648187</v>
      </c>
      <c r="M117">
        <v>1.4477278921508818</v>
      </c>
      <c r="N117">
        <v>688.72549731865342</v>
      </c>
      <c r="O117">
        <v>1.4519572803579956</v>
      </c>
      <c r="Q117">
        <v>0.23177951449014239</v>
      </c>
      <c r="R117">
        <v>0.23235677405000604</v>
      </c>
      <c r="S117">
        <v>0.23212062810854311</v>
      </c>
      <c r="T117">
        <v>0.2330937229473207</v>
      </c>
      <c r="U117">
        <v>0.23344259047417518</v>
      </c>
      <c r="V117">
        <v>0.23226114230069822</v>
      </c>
      <c r="W117">
        <v>0.23213183887256497</v>
      </c>
      <c r="Y117">
        <v>2.1478538101915015</v>
      </c>
      <c r="Z117">
        <v>2.2065577053811301</v>
      </c>
      <c r="AA117">
        <v>2.234133780666002</v>
      </c>
      <c r="AB117">
        <v>2.3827331312248705</v>
      </c>
      <c r="AC117">
        <v>2.4483108740272961</v>
      </c>
      <c r="AD117">
        <v>2.2216074271870125</v>
      </c>
      <c r="AE117">
        <v>2.2171917690982887</v>
      </c>
      <c r="AG117">
        <v>0.86576771256102381</v>
      </c>
      <c r="AH117">
        <v>0.89970376840872512</v>
      </c>
      <c r="AI117">
        <v>0.90622832773697537</v>
      </c>
      <c r="AJ117">
        <v>0.97642933555152844</v>
      </c>
      <c r="AK117">
        <v>1.0090174990885303</v>
      </c>
      <c r="AL117">
        <v>0.90432236902957741</v>
      </c>
      <c r="AM117">
        <v>0.90023465911755041</v>
      </c>
      <c r="AO117">
        <v>121</v>
      </c>
      <c r="AP117">
        <v>16.931063736981372</v>
      </c>
      <c r="AQ117">
        <v>7.4361298436703311</v>
      </c>
      <c r="AR117">
        <v>7.7395305624900557</v>
      </c>
      <c r="AS117">
        <v>883.71868656319202</v>
      </c>
      <c r="AT117">
        <v>25.515738530213973</v>
      </c>
      <c r="AU117">
        <v>11.31987055163243</v>
      </c>
      <c r="AV117">
        <v>17.832022222466019</v>
      </c>
      <c r="AW117">
        <v>7.7391419973468514</v>
      </c>
      <c r="AX117">
        <v>8.1382071172396042</v>
      </c>
      <c r="AY117">
        <v>933.90839241598269</v>
      </c>
      <c r="AZ117">
        <v>25.554312028256401</v>
      </c>
      <c r="BA117">
        <v>11.23940858047105</v>
      </c>
      <c r="BB117">
        <v>19.179895760802655</v>
      </c>
      <c r="BC117">
        <v>8.1400111205237131</v>
      </c>
      <c r="BD117">
        <v>8.7013340885286503</v>
      </c>
      <c r="BE117">
        <v>1008.5219320393275</v>
      </c>
      <c r="BF117">
        <v>25.808293833494652</v>
      </c>
      <c r="BG117">
        <v>11.174684143793524</v>
      </c>
      <c r="BH117">
        <v>20.427192307563793</v>
      </c>
      <c r="BI117">
        <v>8.6553736666680763</v>
      </c>
      <c r="BJ117">
        <v>9.3310730435690257</v>
      </c>
      <c r="BK117">
        <v>1082.5429091579811</v>
      </c>
      <c r="BL117">
        <v>25.963162190614117</v>
      </c>
      <c r="BM117">
        <v>11.237371763463029</v>
      </c>
      <c r="BN117">
        <v>20.9203131034675</v>
      </c>
      <c r="BO117">
        <v>8.8079431660381449</v>
      </c>
      <c r="BP117">
        <v>9.8742906991828843</v>
      </c>
      <c r="BQ117">
        <v>1191.4755698170607</v>
      </c>
      <c r="BR117">
        <v>24.708868021263225</v>
      </c>
      <c r="BS117">
        <v>10.660488893511641</v>
      </c>
      <c r="BU117">
        <v>121</v>
      </c>
      <c r="BV117">
        <v>16.196522227113306</v>
      </c>
      <c r="BW117">
        <v>6.5102986905821787</v>
      </c>
      <c r="BX117">
        <v>7.5000152703769531</v>
      </c>
      <c r="BY117">
        <v>883.29272839064936</v>
      </c>
      <c r="BZ117">
        <v>24.696448560702748</v>
      </c>
      <c r="CA117">
        <v>10.277170513342032</v>
      </c>
      <c r="CB117">
        <v>16.944108239524365</v>
      </c>
      <c r="CC117">
        <v>6.7396027715830336</v>
      </c>
      <c r="CD117">
        <v>7.8653783327379827</v>
      </c>
      <c r="CE117">
        <v>934.10533173586759</v>
      </c>
      <c r="CF117">
        <v>24.598374189733153</v>
      </c>
      <c r="CG117">
        <v>10.16698915065794</v>
      </c>
      <c r="CH117">
        <v>18.322976594219522</v>
      </c>
      <c r="CI117">
        <v>7.3208705800670621</v>
      </c>
      <c r="CJ117">
        <v>8.3988547185886713</v>
      </c>
      <c r="CK117">
        <v>1009.6659804769916</v>
      </c>
      <c r="CL117">
        <v>24.93033506102681</v>
      </c>
      <c r="CM117">
        <v>10.350723609835821</v>
      </c>
      <c r="CN117">
        <v>19.533824420756684</v>
      </c>
      <c r="CO117">
        <v>7.6912294826830143</v>
      </c>
      <c r="CP117">
        <v>9.0382984475836032</v>
      </c>
      <c r="CQ117">
        <v>1084.1470685965453</v>
      </c>
      <c r="CR117">
        <v>25.100717448960605</v>
      </c>
      <c r="CS117">
        <v>10.331433124311864</v>
      </c>
      <c r="CT117">
        <v>19.85488957733952</v>
      </c>
      <c r="CU117">
        <v>7.7273769880907031</v>
      </c>
      <c r="CV117">
        <v>9.4212243552239254</v>
      </c>
      <c r="CW117">
        <v>1193.5154051691336</v>
      </c>
      <c r="CX117">
        <v>23.773961321446198</v>
      </c>
      <c r="CY117">
        <v>9.7369048197002108</v>
      </c>
      <c r="DA117">
        <v>121</v>
      </c>
      <c r="DB117">
        <v>13.437726216437587</v>
      </c>
      <c r="DC117">
        <v>5.948111908666597</v>
      </c>
      <c r="DD117">
        <v>7.1174054859616307</v>
      </c>
      <c r="DE117">
        <v>919.30043237610698</v>
      </c>
      <c r="DF117">
        <v>20.728150176993214</v>
      </c>
      <c r="DG117">
        <v>9.2630906078659603</v>
      </c>
      <c r="DH117">
        <v>14.051310290053296</v>
      </c>
      <c r="DI117">
        <v>6.5437361354985635</v>
      </c>
      <c r="DJ117">
        <v>7.4990341612662892</v>
      </c>
      <c r="DK117">
        <v>965.95973282450575</v>
      </c>
      <c r="DL117">
        <v>20.792455265670558</v>
      </c>
      <c r="DM117">
        <v>9.6289439623418094</v>
      </c>
      <c r="DN117">
        <v>15.618851331698355</v>
      </c>
      <c r="DO117">
        <v>6.7185272270016219</v>
      </c>
      <c r="DP117">
        <v>8.0550784516489742</v>
      </c>
      <c r="DQ117">
        <v>1043.1786342987948</v>
      </c>
      <c r="DR117">
        <v>21.537237431623982</v>
      </c>
      <c r="DS117">
        <v>9.4407897413713062</v>
      </c>
      <c r="DT117">
        <v>16.785478446374917</v>
      </c>
      <c r="DU117">
        <v>7.3873449468725543</v>
      </c>
      <c r="DV117">
        <v>8.7874826743225789</v>
      </c>
      <c r="DW117">
        <v>1137.5785067843244</v>
      </c>
      <c r="DX117">
        <v>21.505788938237476</v>
      </c>
      <c r="DY117">
        <v>9.5790385765256545</v>
      </c>
      <c r="DZ117">
        <v>17.071106978735219</v>
      </c>
      <c r="EA117">
        <v>7.5883237148310574</v>
      </c>
      <c r="EB117">
        <v>9.1867521062920332</v>
      </c>
      <c r="EC117">
        <v>1251.3988339944472</v>
      </c>
      <c r="ED117">
        <v>20.449760528185394</v>
      </c>
      <c r="EE117">
        <v>9.1754062060833679</v>
      </c>
      <c r="EG117">
        <v>121</v>
      </c>
      <c r="EH117">
        <v>12.608885517820566</v>
      </c>
      <c r="EI117">
        <v>5.4738703797431736</v>
      </c>
      <c r="EJ117">
        <v>6.5462800453587962</v>
      </c>
      <c r="EK117">
        <v>932.37601068459855</v>
      </c>
      <c r="EL117">
        <v>19.548504586756625</v>
      </c>
      <c r="EM117">
        <v>8.6245480148319729</v>
      </c>
      <c r="EN117">
        <v>13.204827044811752</v>
      </c>
      <c r="EO117">
        <v>5.8939248215827291</v>
      </c>
      <c r="EP117">
        <v>6.935101637710714</v>
      </c>
      <c r="EQ117">
        <v>979.65572517751673</v>
      </c>
      <c r="ER117">
        <v>19.637706179346885</v>
      </c>
      <c r="ES117">
        <v>8.8310215527626763</v>
      </c>
      <c r="ET117">
        <v>14.402380757988876</v>
      </c>
      <c r="EU117">
        <v>6.0806294615143699</v>
      </c>
      <c r="EV117">
        <v>7.4437391116595935</v>
      </c>
      <c r="EW117">
        <v>1013.9961404286415</v>
      </c>
      <c r="EX117">
        <v>20.957392744905025</v>
      </c>
      <c r="EY117">
        <v>9.0833998438347265</v>
      </c>
      <c r="EZ117">
        <v>15.152831333726944</v>
      </c>
      <c r="FA117">
        <v>6.7540507345343803</v>
      </c>
      <c r="FB117">
        <v>8.1202017642727089</v>
      </c>
      <c r="FC117">
        <v>1124.573424710203</v>
      </c>
      <c r="FD117">
        <v>20.302699364263137</v>
      </c>
      <c r="FE117">
        <v>9.1266732455643833</v>
      </c>
      <c r="FF117">
        <v>15.320870150818738</v>
      </c>
      <c r="FG117">
        <v>6.8945866437965106</v>
      </c>
      <c r="FH117">
        <v>8.4935821549011354</v>
      </c>
      <c r="FI117">
        <v>1247.4131457137985</v>
      </c>
      <c r="FJ117">
        <v>19.11200770525652</v>
      </c>
      <c r="FK117">
        <v>8.6485825436048689</v>
      </c>
    </row>
    <row r="118" spans="2:167" x14ac:dyDescent="0.2">
      <c r="B118">
        <v>601.20625038839387</v>
      </c>
      <c r="C118">
        <v>1.6633226939240497</v>
      </c>
      <c r="D118">
        <v>645.69394725378049</v>
      </c>
      <c r="E118">
        <v>1.5487213474017045</v>
      </c>
      <c r="F118">
        <v>732.9125212748321</v>
      </c>
      <c r="G118">
        <v>1.3644193146824597</v>
      </c>
      <c r="H118">
        <v>821.81558446105635</v>
      </c>
      <c r="I118">
        <v>1.2168180050464683</v>
      </c>
      <c r="J118">
        <v>911.78290900060495</v>
      </c>
      <c r="K118">
        <v>1.0967522972064576</v>
      </c>
      <c r="L118">
        <v>690.73753805648187</v>
      </c>
      <c r="M118">
        <v>1.4477278921508818</v>
      </c>
      <c r="N118">
        <v>688.72549731865342</v>
      </c>
      <c r="O118">
        <v>1.4519572803579956</v>
      </c>
      <c r="Q118">
        <v>0.2336524699154946</v>
      </c>
      <c r="R118">
        <v>0.23423120894776603</v>
      </c>
      <c r="S118">
        <v>0.23399015636544285</v>
      </c>
      <c r="T118">
        <v>0.23496570730512553</v>
      </c>
      <c r="U118">
        <v>0.2353146007802687</v>
      </c>
      <c r="V118">
        <v>0.2341320398838434</v>
      </c>
      <c r="W118">
        <v>0.23400463687024581</v>
      </c>
      <c r="Y118">
        <v>2.1478538101915015</v>
      </c>
      <c r="Z118">
        <v>2.2065577053811301</v>
      </c>
      <c r="AA118">
        <v>2.234133780666002</v>
      </c>
      <c r="AB118">
        <v>2.3827331312248705</v>
      </c>
      <c r="AC118">
        <v>2.4483108740272961</v>
      </c>
      <c r="AD118">
        <v>2.2216074271870125</v>
      </c>
      <c r="AE118">
        <v>2.2171917690982887</v>
      </c>
      <c r="AG118">
        <v>0.86576771256102381</v>
      </c>
      <c r="AH118">
        <v>0.89970376840872512</v>
      </c>
      <c r="AI118">
        <v>0.90622832773697537</v>
      </c>
      <c r="AJ118">
        <v>0.97681458492859541</v>
      </c>
      <c r="AK118">
        <v>1.0095943623325689</v>
      </c>
      <c r="AL118">
        <v>0.90432236902957741</v>
      </c>
      <c r="AM118">
        <v>0.90023465911755041</v>
      </c>
      <c r="AO118">
        <v>122</v>
      </c>
      <c r="AP118">
        <v>16.931063736981372</v>
      </c>
      <c r="AQ118">
        <v>7.4361298436703311</v>
      </c>
      <c r="AR118">
        <v>7.7395305624900557</v>
      </c>
      <c r="AS118">
        <v>884.40819462781042</v>
      </c>
      <c r="AT118">
        <v>25.495845784309825</v>
      </c>
      <c r="AU118">
        <v>11.31104528058316</v>
      </c>
      <c r="AV118">
        <v>17.832022222466019</v>
      </c>
      <c r="AW118">
        <v>7.7435650433274672</v>
      </c>
      <c r="AX118">
        <v>8.1382071172396042</v>
      </c>
      <c r="AY118">
        <v>934.63813209578359</v>
      </c>
      <c r="AZ118">
        <v>25.534359926114774</v>
      </c>
      <c r="BA118">
        <v>11.235365522191827</v>
      </c>
      <c r="BB118">
        <v>19.179895760802655</v>
      </c>
      <c r="BC118">
        <v>8.1423242711817903</v>
      </c>
      <c r="BD118">
        <v>8.7013340885286503</v>
      </c>
      <c r="BE118">
        <v>1009.2988302288538</v>
      </c>
      <c r="BF118">
        <v>25.788428144410815</v>
      </c>
      <c r="BG118">
        <v>11.168374376030966</v>
      </c>
      <c r="BH118">
        <v>20.427192307563793</v>
      </c>
      <c r="BI118">
        <v>8.6609076635574702</v>
      </c>
      <c r="BJ118">
        <v>9.3310730435690257</v>
      </c>
      <c r="BK118">
        <v>1083.3821550266475</v>
      </c>
      <c r="BL118">
        <v>25.943049733984761</v>
      </c>
      <c r="BM118">
        <v>11.233774767777174</v>
      </c>
      <c r="BN118">
        <v>20.9203131034675</v>
      </c>
      <c r="BO118">
        <v>8.8145485448572689</v>
      </c>
      <c r="BP118">
        <v>9.8742906991828843</v>
      </c>
      <c r="BQ118">
        <v>1192.3546419190707</v>
      </c>
      <c r="BR118">
        <v>24.690651229223253</v>
      </c>
      <c r="BS118">
        <v>10.658169147805364</v>
      </c>
      <c r="BU118">
        <v>122</v>
      </c>
      <c r="BV118">
        <v>16.196522227113306</v>
      </c>
      <c r="BW118">
        <v>6.5186792071874233</v>
      </c>
      <c r="BX118">
        <v>7.5000152703769531</v>
      </c>
      <c r="BY118">
        <v>884.01062048926963</v>
      </c>
      <c r="BZ118">
        <v>24.676392935945778</v>
      </c>
      <c r="CA118">
        <v>10.278304681953026</v>
      </c>
      <c r="CB118">
        <v>16.944108239524365</v>
      </c>
      <c r="CC118">
        <v>6.7522936514462675</v>
      </c>
      <c r="CD118">
        <v>7.8653783327379827</v>
      </c>
      <c r="CE118">
        <v>934.86150665445621</v>
      </c>
      <c r="CF118">
        <v>24.578477474050739</v>
      </c>
      <c r="CG118">
        <v>10.17234059323455</v>
      </c>
      <c r="CH118">
        <v>18.322976594219522</v>
      </c>
      <c r="CI118">
        <v>7.3289027502407107</v>
      </c>
      <c r="CJ118">
        <v>8.3988547185886713</v>
      </c>
      <c r="CK118">
        <v>1010.4742896303924</v>
      </c>
      <c r="CL118">
        <v>24.910392526878269</v>
      </c>
      <c r="CM118">
        <v>10.350392661816725</v>
      </c>
      <c r="CN118">
        <v>19.533824420756684</v>
      </c>
      <c r="CO118">
        <v>7.7030261360167751</v>
      </c>
      <c r="CP118">
        <v>9.0382984475836032</v>
      </c>
      <c r="CQ118">
        <v>1085.0211371739053</v>
      </c>
      <c r="CR118">
        <v>25.08049687662367</v>
      </c>
      <c r="CS118">
        <v>10.333982634349898</v>
      </c>
      <c r="CT118">
        <v>19.85488957733952</v>
      </c>
      <c r="CU118">
        <v>7.7411043074405113</v>
      </c>
      <c r="CV118">
        <v>9.4212243552239254</v>
      </c>
      <c r="CW118">
        <v>1194.4267878127268</v>
      </c>
      <c r="CX118">
        <v>23.755821092225872</v>
      </c>
      <c r="CY118">
        <v>9.740968085313753</v>
      </c>
      <c r="DA118">
        <v>122</v>
      </c>
      <c r="DB118">
        <v>13.437726216437587</v>
      </c>
      <c r="DC118">
        <v>5.9584241776592313</v>
      </c>
      <c r="DD118">
        <v>7.1174054859616307</v>
      </c>
      <c r="DE118">
        <v>920.18923174691929</v>
      </c>
      <c r="DF118">
        <v>20.708129113716435</v>
      </c>
      <c r="DG118">
        <v>9.2653501864578978</v>
      </c>
      <c r="DH118">
        <v>14.051310290053296</v>
      </c>
      <c r="DI118">
        <v>6.5600977814908363</v>
      </c>
      <c r="DJ118">
        <v>7.4990341612662892</v>
      </c>
      <c r="DK118">
        <v>966.8965406850059</v>
      </c>
      <c r="DL118">
        <v>20.772309847094359</v>
      </c>
      <c r="DM118">
        <v>9.6365364764228243</v>
      </c>
      <c r="DN118">
        <v>15.618851331698355</v>
      </c>
      <c r="DO118">
        <v>6.7333569404808689</v>
      </c>
      <c r="DP118">
        <v>8.0550784516489742</v>
      </c>
      <c r="DQ118">
        <v>1044.1547477791473</v>
      </c>
      <c r="DR118">
        <v>21.5171036460608</v>
      </c>
      <c r="DS118">
        <v>9.446166752163494</v>
      </c>
      <c r="DT118">
        <v>16.785478446374917</v>
      </c>
      <c r="DU118">
        <v>7.4199394831630787</v>
      </c>
      <c r="DV118">
        <v>8.7874826743225789</v>
      </c>
      <c r="DW118">
        <v>1138.6498893659698</v>
      </c>
      <c r="DX118">
        <v>21.48555363334863</v>
      </c>
      <c r="DY118">
        <v>9.5986510328384202</v>
      </c>
      <c r="DZ118">
        <v>17.071106978735219</v>
      </c>
      <c r="EA118">
        <v>7.6237148396485885</v>
      </c>
      <c r="EB118">
        <v>9.1867521062920332</v>
      </c>
      <c r="EC118">
        <v>1252.5195402519741</v>
      </c>
      <c r="ED118">
        <v>20.431462869863626</v>
      </c>
      <c r="EE118">
        <v>9.1954523521594371</v>
      </c>
      <c r="EG118">
        <v>122</v>
      </c>
      <c r="EH118">
        <v>12.608885517820566</v>
      </c>
      <c r="EI118">
        <v>5.4826292219303747</v>
      </c>
      <c r="EJ118">
        <v>6.5462800453587962</v>
      </c>
      <c r="EK118">
        <v>933.33516752142316</v>
      </c>
      <c r="EL118">
        <v>19.528415252853268</v>
      </c>
      <c r="EM118">
        <v>8.6250693152299256</v>
      </c>
      <c r="EN118">
        <v>13.204827044811752</v>
      </c>
      <c r="EO118">
        <v>5.9088675209755195</v>
      </c>
      <c r="EP118">
        <v>6.935101637710714</v>
      </c>
      <c r="EQ118">
        <v>980.6582885384372</v>
      </c>
      <c r="ER118">
        <v>19.617629823558083</v>
      </c>
      <c r="ES118">
        <v>8.8372306888253167</v>
      </c>
      <c r="ET118">
        <v>14.402380757988876</v>
      </c>
      <c r="EU118">
        <v>6.094052602410172</v>
      </c>
      <c r="EV118">
        <v>7.4437391116595935</v>
      </c>
      <c r="EW118">
        <v>1014.9637021982056</v>
      </c>
      <c r="EX118">
        <v>20.937414126984212</v>
      </c>
      <c r="EY118">
        <v>9.0879659090636675</v>
      </c>
      <c r="EZ118">
        <v>15.152831333726944</v>
      </c>
      <c r="FA118">
        <v>6.7834379112451328</v>
      </c>
      <c r="FB118">
        <v>8.1202017642727089</v>
      </c>
      <c r="FC118">
        <v>1125.6844840470853</v>
      </c>
      <c r="FD118">
        <v>20.282660442156399</v>
      </c>
      <c r="FE118">
        <v>9.1437711992622042</v>
      </c>
      <c r="FF118">
        <v>15.320870150818738</v>
      </c>
      <c r="FG118">
        <v>6.9265862397830293</v>
      </c>
      <c r="FH118">
        <v>8.4935821549011354</v>
      </c>
      <c r="FI118">
        <v>1248.4752967908032</v>
      </c>
      <c r="FJ118">
        <v>19.095748000623164</v>
      </c>
      <c r="FK118">
        <v>8.6668556282080687</v>
      </c>
    </row>
    <row r="119" spans="2:167" x14ac:dyDescent="0.2">
      <c r="B119">
        <v>601.20625038839387</v>
      </c>
      <c r="C119">
        <v>1.6633226939240497</v>
      </c>
      <c r="D119">
        <v>645.69394725378049</v>
      </c>
      <c r="E119">
        <v>1.5487213474017045</v>
      </c>
      <c r="F119">
        <v>732.9125212748321</v>
      </c>
      <c r="G119">
        <v>1.3644193146824597</v>
      </c>
      <c r="H119">
        <v>821.81558446105635</v>
      </c>
      <c r="I119">
        <v>1.2168180050464683</v>
      </c>
      <c r="J119">
        <v>911.78290900060495</v>
      </c>
      <c r="K119">
        <v>1.0967522972064576</v>
      </c>
      <c r="L119">
        <v>690.73753805648187</v>
      </c>
      <c r="M119">
        <v>1.4477278921508818</v>
      </c>
      <c r="N119">
        <v>688.72549731865342</v>
      </c>
      <c r="O119">
        <v>1.4519572803579956</v>
      </c>
      <c r="Q119">
        <v>0.23552542534084681</v>
      </c>
      <c r="R119">
        <v>0.23610564384552604</v>
      </c>
      <c r="S119">
        <v>0.23585968462234261</v>
      </c>
      <c r="T119">
        <v>0.23683769166293034</v>
      </c>
      <c r="U119">
        <v>0.23718661108636221</v>
      </c>
      <c r="V119">
        <v>0.23600293746698855</v>
      </c>
      <c r="W119">
        <v>0.23587743486792662</v>
      </c>
      <c r="Y119">
        <v>2.1478538101915015</v>
      </c>
      <c r="Z119">
        <v>2.2065577053811301</v>
      </c>
      <c r="AA119">
        <v>2.234133780666002</v>
      </c>
      <c r="AB119">
        <v>2.3827331312248705</v>
      </c>
      <c r="AC119">
        <v>2.4483108740272961</v>
      </c>
      <c r="AD119">
        <v>2.2216074271870125</v>
      </c>
      <c r="AE119">
        <v>2.2171917690982887</v>
      </c>
      <c r="AG119">
        <v>0.86576771256102381</v>
      </c>
      <c r="AH119">
        <v>0.89970376840872512</v>
      </c>
      <c r="AI119">
        <v>0.90622832773697537</v>
      </c>
      <c r="AJ119">
        <v>0.97708683710752431</v>
      </c>
      <c r="AK119">
        <v>1.0100569279354694</v>
      </c>
      <c r="AL119">
        <v>0.90432236902957741</v>
      </c>
      <c r="AM119">
        <v>0.90023465911755041</v>
      </c>
      <c r="AO119">
        <v>123</v>
      </c>
      <c r="AP119">
        <v>16.931063736981372</v>
      </c>
      <c r="AQ119">
        <v>7.4361298436703311</v>
      </c>
      <c r="AR119">
        <v>7.7395305624900557</v>
      </c>
      <c r="AS119">
        <v>885.09878239128409</v>
      </c>
      <c r="AT119">
        <v>25.475952954867118</v>
      </c>
      <c r="AU119">
        <v>11.302219972472619</v>
      </c>
      <c r="AV119">
        <v>17.832022222466019</v>
      </c>
      <c r="AW119">
        <v>7.746969681117732</v>
      </c>
      <c r="AX119">
        <v>8.1382071172396042</v>
      </c>
      <c r="AY119">
        <v>935.36901444973523</v>
      </c>
      <c r="AZ119">
        <v>25.51440778658359</v>
      </c>
      <c r="BA119">
        <v>11.230226274968709</v>
      </c>
      <c r="BB119">
        <v>19.179895760802655</v>
      </c>
      <c r="BC119">
        <v>8.1435035166058629</v>
      </c>
      <c r="BD119">
        <v>8.7013340885286503</v>
      </c>
      <c r="BE119">
        <v>1010.0769303296939</v>
      </c>
      <c r="BF119">
        <v>25.76856235207644</v>
      </c>
      <c r="BG119">
        <v>11.16093843963978</v>
      </c>
      <c r="BH119">
        <v>20.427192307563793</v>
      </c>
      <c r="BI119">
        <v>8.665269024987861</v>
      </c>
      <c r="BJ119">
        <v>9.3310730435690257</v>
      </c>
      <c r="BK119">
        <v>1084.2226995124879</v>
      </c>
      <c r="BL119">
        <v>25.92293736462597</v>
      </c>
      <c r="BM119">
        <v>11.229088344952673</v>
      </c>
      <c r="BN119">
        <v>20.9203131034675</v>
      </c>
      <c r="BO119">
        <v>8.8199823098780801</v>
      </c>
      <c r="BP119">
        <v>9.8742906991828843</v>
      </c>
      <c r="BQ119">
        <v>1193.235074263855</v>
      </c>
      <c r="BR119">
        <v>24.672433152647343</v>
      </c>
      <c r="BS119">
        <v>10.654858792689014</v>
      </c>
      <c r="BU119">
        <v>123</v>
      </c>
      <c r="BV119">
        <v>16.196522227113306</v>
      </c>
      <c r="BW119">
        <v>6.526324623612072</v>
      </c>
      <c r="BX119">
        <v>7.5000152703769531</v>
      </c>
      <c r="BY119">
        <v>884.72967884140701</v>
      </c>
      <c r="BZ119">
        <v>24.656337356410511</v>
      </c>
      <c r="CA119">
        <v>10.278592584126276</v>
      </c>
      <c r="CB119">
        <v>16.944108239524365</v>
      </c>
      <c r="CC119">
        <v>6.7642884006213464</v>
      </c>
      <c r="CD119">
        <v>7.8653783327379827</v>
      </c>
      <c r="CE119">
        <v>935.61891001901893</v>
      </c>
      <c r="CF119">
        <v>24.558580674899581</v>
      </c>
      <c r="CG119">
        <v>10.176925990278523</v>
      </c>
      <c r="CH119">
        <v>18.322976594219522</v>
      </c>
      <c r="CI119">
        <v>7.3360438546314475</v>
      </c>
      <c r="CJ119">
        <v>8.3988547185886713</v>
      </c>
      <c r="CK119">
        <v>1011.2838959053162</v>
      </c>
      <c r="CL119">
        <v>24.890449946775657</v>
      </c>
      <c r="CM119">
        <v>10.349167844076414</v>
      </c>
      <c r="CN119">
        <v>19.533824420756684</v>
      </c>
      <c r="CO119">
        <v>7.7139300578470644</v>
      </c>
      <c r="CP119">
        <v>9.0382984475836032</v>
      </c>
      <c r="CQ119">
        <v>1085.8966085601048</v>
      </c>
      <c r="CR119">
        <v>25.060276482532686</v>
      </c>
      <c r="CS119">
        <v>10.33569257221488</v>
      </c>
      <c r="CT119">
        <v>19.85488957733952</v>
      </c>
      <c r="CU119">
        <v>7.7539758442448994</v>
      </c>
      <c r="CV119">
        <v>9.4212243552239254</v>
      </c>
      <c r="CW119">
        <v>1195.3396331511949</v>
      </c>
      <c r="CX119">
        <v>23.737679477956501</v>
      </c>
      <c r="CY119">
        <v>9.7442972976858471</v>
      </c>
      <c r="DA119">
        <v>123</v>
      </c>
      <c r="DB119">
        <v>13.437726216437587</v>
      </c>
      <c r="DC119">
        <v>5.9681086113220809</v>
      </c>
      <c r="DD119">
        <v>7.1174054859616307</v>
      </c>
      <c r="DE119">
        <v>921.07975049505137</v>
      </c>
      <c r="DF119">
        <v>20.688108070799586</v>
      </c>
      <c r="DG119">
        <v>9.2669064747304688</v>
      </c>
      <c r="DH119">
        <v>14.051310290053296</v>
      </c>
      <c r="DI119">
        <v>6.5758423983486276</v>
      </c>
      <c r="DJ119">
        <v>7.4990341612662892</v>
      </c>
      <c r="DK119">
        <v>967.83516079497542</v>
      </c>
      <c r="DL119">
        <v>20.752164569734333</v>
      </c>
      <c r="DM119">
        <v>9.643458698513891</v>
      </c>
      <c r="DN119">
        <v>15.618851331698355</v>
      </c>
      <c r="DO119">
        <v>6.7475024939080424</v>
      </c>
      <c r="DP119">
        <v>8.0550784516489742</v>
      </c>
      <c r="DQ119">
        <v>1045.1326835967211</v>
      </c>
      <c r="DR119">
        <v>21.49696998583164</v>
      </c>
      <c r="DS119">
        <v>9.4508626235092894</v>
      </c>
      <c r="DT119">
        <v>16.785478446374917</v>
      </c>
      <c r="DU119">
        <v>7.4520648147253752</v>
      </c>
      <c r="DV119">
        <v>8.7874826743225789</v>
      </c>
      <c r="DW119">
        <v>1139.7232801317753</v>
      </c>
      <c r="DX119">
        <v>21.465318550613823</v>
      </c>
      <c r="DY119">
        <v>9.6177979859277158</v>
      </c>
      <c r="DZ119">
        <v>17.071106978735219</v>
      </c>
      <c r="EA119">
        <v>7.6586592411189454</v>
      </c>
      <c r="EB119">
        <v>9.1867521062920332</v>
      </c>
      <c r="EC119">
        <v>1253.6423471452531</v>
      </c>
      <c r="ED119">
        <v>20.413163721464329</v>
      </c>
      <c r="EE119">
        <v>9.2150908752506488</v>
      </c>
      <c r="EG119">
        <v>123</v>
      </c>
      <c r="EH119">
        <v>12.608885517820566</v>
      </c>
      <c r="EI119">
        <v>5.4907930906109286</v>
      </c>
      <c r="EJ119">
        <v>6.5462800453587962</v>
      </c>
      <c r="EK119">
        <v>934.29629540031476</v>
      </c>
      <c r="EL119">
        <v>19.508326010904547</v>
      </c>
      <c r="EM119">
        <v>8.6249345336875987</v>
      </c>
      <c r="EN119">
        <v>13.204827044811752</v>
      </c>
      <c r="EO119">
        <v>5.9232593104282287</v>
      </c>
      <c r="EP119">
        <v>6.935101637710714</v>
      </c>
      <c r="EQ119">
        <v>981.66290209891929</v>
      </c>
      <c r="ER119">
        <v>19.597553545944734</v>
      </c>
      <c r="ES119">
        <v>8.8428474719937711</v>
      </c>
      <c r="ET119">
        <v>14.402380757988876</v>
      </c>
      <c r="EU119">
        <v>6.1068565758130315</v>
      </c>
      <c r="EV119">
        <v>7.4437391116595935</v>
      </c>
      <c r="EW119">
        <v>1015.9331132291859</v>
      </c>
      <c r="EX119">
        <v>20.917435488675647</v>
      </c>
      <c r="EY119">
        <v>9.0918972692579896</v>
      </c>
      <c r="EZ119">
        <v>15.152831333726944</v>
      </c>
      <c r="FA119">
        <v>6.8123862634238259</v>
      </c>
      <c r="FB119">
        <v>8.1202017642727089</v>
      </c>
      <c r="FC119">
        <v>1126.797738832028</v>
      </c>
      <c r="FD119">
        <v>20.262621558503685</v>
      </c>
      <c r="FE119">
        <v>9.1604281417567357</v>
      </c>
      <c r="FF119">
        <v>15.320870150818738</v>
      </c>
      <c r="FG119">
        <v>6.9581762333128188</v>
      </c>
      <c r="FH119">
        <v>8.4935821549011354</v>
      </c>
      <c r="FI119">
        <v>1249.5394559497786</v>
      </c>
      <c r="FJ119">
        <v>19.07948527675671</v>
      </c>
      <c r="FK119">
        <v>8.6847558870810584</v>
      </c>
    </row>
    <row r="120" spans="2:167" x14ac:dyDescent="0.2">
      <c r="B120">
        <v>601.20625038839387</v>
      </c>
      <c r="C120">
        <v>1.6633226939240497</v>
      </c>
      <c r="D120">
        <v>645.69394725378049</v>
      </c>
      <c r="E120">
        <v>1.5487213474017045</v>
      </c>
      <c r="F120">
        <v>732.9125212748321</v>
      </c>
      <c r="G120">
        <v>1.3644193146824597</v>
      </c>
      <c r="H120">
        <v>821.81558446105635</v>
      </c>
      <c r="I120">
        <v>1.2168180050464683</v>
      </c>
      <c r="J120">
        <v>911.78290900060495</v>
      </c>
      <c r="K120">
        <v>1.0967522972064576</v>
      </c>
      <c r="L120">
        <v>690.73753805648187</v>
      </c>
      <c r="M120">
        <v>1.4477278921508818</v>
      </c>
      <c r="N120">
        <v>688.72549731865342</v>
      </c>
      <c r="O120">
        <v>1.4519572803579956</v>
      </c>
      <c r="Q120">
        <v>0.23739838076619901</v>
      </c>
      <c r="R120">
        <v>0.23798007874328606</v>
      </c>
      <c r="S120">
        <v>0.23772921287924237</v>
      </c>
      <c r="T120">
        <v>0.23870967602073515</v>
      </c>
      <c r="U120">
        <v>0.23905862139245571</v>
      </c>
      <c r="V120">
        <v>0.23787383505013374</v>
      </c>
      <c r="W120">
        <v>0.23775023286560742</v>
      </c>
      <c r="Y120">
        <v>2.1478538101915015</v>
      </c>
      <c r="Z120">
        <v>2.2065577053811301</v>
      </c>
      <c r="AA120">
        <v>2.234133780666002</v>
      </c>
      <c r="AB120">
        <v>2.3827331312248705</v>
      </c>
      <c r="AC120">
        <v>2.4483108740272961</v>
      </c>
      <c r="AD120">
        <v>2.2216074271870125</v>
      </c>
      <c r="AE120">
        <v>2.2171917690982887</v>
      </c>
      <c r="AG120">
        <v>0.86576771256102381</v>
      </c>
      <c r="AH120">
        <v>0.89970376840872512</v>
      </c>
      <c r="AI120">
        <v>0.90622832773697537</v>
      </c>
      <c r="AJ120">
        <v>0.97724609208831492</v>
      </c>
      <c r="AK120">
        <v>1.0104051958972322</v>
      </c>
      <c r="AL120">
        <v>0.90432236902957741</v>
      </c>
      <c r="AM120">
        <v>0.90023465911755041</v>
      </c>
      <c r="AO120">
        <v>124</v>
      </c>
      <c r="AP120">
        <v>16.931063736981372</v>
      </c>
      <c r="AQ120">
        <v>7.4361298436703311</v>
      </c>
      <c r="AR120">
        <v>7.7395305624900557</v>
      </c>
      <c r="AS120">
        <v>885.79045239164634</v>
      </c>
      <c r="AT120">
        <v>25.456060041885333</v>
      </c>
      <c r="AU120">
        <v>11.293394627300577</v>
      </c>
      <c r="AV120">
        <v>17.832022222466019</v>
      </c>
      <c r="AW120">
        <v>7.7493559107176493</v>
      </c>
      <c r="AX120">
        <v>8.1382071172396042</v>
      </c>
      <c r="AY120">
        <v>936.1010421638515</v>
      </c>
      <c r="AZ120">
        <v>25.494455609662744</v>
      </c>
      <c r="BA120">
        <v>11.223993393039992</v>
      </c>
      <c r="BB120">
        <v>19.179895760802655</v>
      </c>
      <c r="BC120">
        <v>8.14354885679594</v>
      </c>
      <c r="BD120">
        <v>8.7013340885286503</v>
      </c>
      <c r="BE120">
        <v>1010.8562351331576</v>
      </c>
      <c r="BF120">
        <v>25.748696456490723</v>
      </c>
      <c r="BG120">
        <v>11.152378930931841</v>
      </c>
      <c r="BH120">
        <v>20.427192307563793</v>
      </c>
      <c r="BI120">
        <v>8.6684577509592522</v>
      </c>
      <c r="BJ120">
        <v>9.3310730435690257</v>
      </c>
      <c r="BK120">
        <v>1085.0645456319821</v>
      </c>
      <c r="BL120">
        <v>25.90282508253717</v>
      </c>
      <c r="BM120">
        <v>11.223315012386898</v>
      </c>
      <c r="BN120">
        <v>20.9203131034675</v>
      </c>
      <c r="BO120">
        <v>8.8242444611005855</v>
      </c>
      <c r="BP120">
        <v>9.8742906991828843</v>
      </c>
      <c r="BQ120">
        <v>1194.1168700110402</v>
      </c>
      <c r="BR120">
        <v>24.654213791399634</v>
      </c>
      <c r="BS120">
        <v>10.650560002447737</v>
      </c>
      <c r="BU120">
        <v>124</v>
      </c>
      <c r="BV120">
        <v>16.196522227113306</v>
      </c>
      <c r="BW120">
        <v>6.5332349398561309</v>
      </c>
      <c r="BX120">
        <v>7.5000152703769531</v>
      </c>
      <c r="BY120">
        <v>885.44990629133235</v>
      </c>
      <c r="BZ120">
        <v>24.636281822096791</v>
      </c>
      <c r="CA120">
        <v>10.278036247423175</v>
      </c>
      <c r="CB120">
        <v>16.944108239524365</v>
      </c>
      <c r="CC120">
        <v>6.7755870191082712</v>
      </c>
      <c r="CD120">
        <v>7.8653783327379827</v>
      </c>
      <c r="CE120">
        <v>936.37754482550213</v>
      </c>
      <c r="CF120">
        <v>24.538683792279148</v>
      </c>
      <c r="CG120">
        <v>10.180747150052664</v>
      </c>
      <c r="CH120">
        <v>18.322976594219522</v>
      </c>
      <c r="CI120">
        <v>7.3422938932392743</v>
      </c>
      <c r="CJ120">
        <v>8.3988547185886713</v>
      </c>
      <c r="CK120">
        <v>1012.0948024265736</v>
      </c>
      <c r="CL120">
        <v>24.870507320718808</v>
      </c>
      <c r="CM120">
        <v>10.34705127448097</v>
      </c>
      <c r="CN120">
        <v>19.533824420756684</v>
      </c>
      <c r="CO120">
        <v>7.7239412481738841</v>
      </c>
      <c r="CP120">
        <v>9.0382984475836032</v>
      </c>
      <c r="CQ120">
        <v>1086.7734861349466</v>
      </c>
      <c r="CR120">
        <v>25.040056266685298</v>
      </c>
      <c r="CS120">
        <v>10.336564928139904</v>
      </c>
      <c r="CT120">
        <v>19.85488957733952</v>
      </c>
      <c r="CU120">
        <v>7.7659915985038621</v>
      </c>
      <c r="CV120">
        <v>9.4212243552239254</v>
      </c>
      <c r="CW120">
        <v>1196.2539447086253</v>
      </c>
      <c r="CX120">
        <v>23.719536478479448</v>
      </c>
      <c r="CY120">
        <v>9.7468940963291395</v>
      </c>
      <c r="DA120">
        <v>124</v>
      </c>
      <c r="DB120">
        <v>13.437726216437587</v>
      </c>
      <c r="DC120">
        <v>5.9771652096551522</v>
      </c>
      <c r="DD120">
        <v>7.1174054859616307</v>
      </c>
      <c r="DE120">
        <v>921.97199361452192</v>
      </c>
      <c r="DF120">
        <v>20.668087048242633</v>
      </c>
      <c r="DG120">
        <v>9.2677614516686777</v>
      </c>
      <c r="DH120">
        <v>14.051310290053296</v>
      </c>
      <c r="DI120">
        <v>6.5909699860719355</v>
      </c>
      <c r="DJ120">
        <v>7.4990341612662892</v>
      </c>
      <c r="DK120">
        <v>968.77559841818527</v>
      </c>
      <c r="DL120">
        <v>20.732019433588988</v>
      </c>
      <c r="DM120">
        <v>9.6497124856192311</v>
      </c>
      <c r="DN120">
        <v>15.618851331698355</v>
      </c>
      <c r="DO120">
        <v>6.7609638872831423</v>
      </c>
      <c r="DP120">
        <v>8.0550784516489742</v>
      </c>
      <c r="DQ120">
        <v>1046.1124468595528</v>
      </c>
      <c r="DR120">
        <v>21.476836450935327</v>
      </c>
      <c r="DS120">
        <v>9.4548791949468338</v>
      </c>
      <c r="DT120">
        <v>16.785478446374917</v>
      </c>
      <c r="DU120">
        <v>7.4837209415594446</v>
      </c>
      <c r="DV120">
        <v>8.7874826743225789</v>
      </c>
      <c r="DW120">
        <v>1140.7986847332052</v>
      </c>
      <c r="DX120">
        <v>21.445083690029382</v>
      </c>
      <c r="DY120">
        <v>9.6364806009320993</v>
      </c>
      <c r="DZ120">
        <v>17.071106978735219</v>
      </c>
      <c r="EA120">
        <v>7.6931569192421314</v>
      </c>
      <c r="EB120">
        <v>9.1867521062920332</v>
      </c>
      <c r="EC120">
        <v>1254.7672605859264</v>
      </c>
      <c r="ED120">
        <v>20.394863082805479</v>
      </c>
      <c r="EE120">
        <v>9.2343227274822119</v>
      </c>
      <c r="EG120">
        <v>124</v>
      </c>
      <c r="EH120">
        <v>12.608885517820566</v>
      </c>
      <c r="EI120">
        <v>5.4983619857848316</v>
      </c>
      <c r="EJ120">
        <v>6.5462800453587962</v>
      </c>
      <c r="EK120">
        <v>935.25940040318187</v>
      </c>
      <c r="EL120">
        <v>19.488236860909833</v>
      </c>
      <c r="EM120">
        <v>8.62414563766092</v>
      </c>
      <c r="EN120">
        <v>13.204827044811752</v>
      </c>
      <c r="EO120">
        <v>5.9371001899408515</v>
      </c>
      <c r="EP120">
        <v>6.935101637710714</v>
      </c>
      <c r="EQ120">
        <v>982.66957215425657</v>
      </c>
      <c r="ER120">
        <v>19.577477346506381</v>
      </c>
      <c r="ES120">
        <v>8.847873627172083</v>
      </c>
      <c r="ET120">
        <v>14.402380757988876</v>
      </c>
      <c r="EU120">
        <v>6.119041381722945</v>
      </c>
      <c r="EV120">
        <v>7.4437391116595935</v>
      </c>
      <c r="EW120">
        <v>1016.9043788282805</v>
      </c>
      <c r="EX120">
        <v>20.897456829979298</v>
      </c>
      <c r="EY120">
        <v>9.0951956706923927</v>
      </c>
      <c r="EZ120">
        <v>15.152831333726944</v>
      </c>
      <c r="FA120">
        <v>6.8408957910704533</v>
      </c>
      <c r="FB120">
        <v>8.1202017642727089</v>
      </c>
      <c r="FC120">
        <v>1127.9131955787593</v>
      </c>
      <c r="FD120">
        <v>20.242582713304877</v>
      </c>
      <c r="FE120">
        <v>9.1766452286253521</v>
      </c>
      <c r="FF120">
        <v>15.320870150818738</v>
      </c>
      <c r="FG120">
        <v>6.989356624385878</v>
      </c>
      <c r="FH120">
        <v>8.4935821549011354</v>
      </c>
      <c r="FI120">
        <v>1250.6056288907739</v>
      </c>
      <c r="FJ120">
        <v>19.06321953281612</v>
      </c>
      <c r="FK120">
        <v>8.7022841460627038</v>
      </c>
    </row>
    <row r="121" spans="2:167" x14ac:dyDescent="0.2">
      <c r="B121">
        <v>601.20625038839387</v>
      </c>
      <c r="C121">
        <v>1.6633226939240497</v>
      </c>
      <c r="D121">
        <v>645.69394725378049</v>
      </c>
      <c r="E121">
        <v>1.5487213474017045</v>
      </c>
      <c r="F121">
        <v>732.9125212748321</v>
      </c>
      <c r="G121">
        <v>1.3644193146824597</v>
      </c>
      <c r="H121">
        <v>821.81558446105635</v>
      </c>
      <c r="I121">
        <v>1.2168180050464683</v>
      </c>
      <c r="J121">
        <v>911.78290900060495</v>
      </c>
      <c r="K121">
        <v>1.0967522972064576</v>
      </c>
      <c r="L121">
        <v>690.73753805648187</v>
      </c>
      <c r="M121">
        <v>1.4477278921508818</v>
      </c>
      <c r="N121">
        <v>688.72549731865342</v>
      </c>
      <c r="O121">
        <v>1.4519572803579956</v>
      </c>
      <c r="Q121">
        <v>0.23927133619155122</v>
      </c>
      <c r="R121">
        <v>0.23985451364104607</v>
      </c>
      <c r="S121">
        <v>0.23959874113614213</v>
      </c>
      <c r="T121">
        <v>0.24058166037853998</v>
      </c>
      <c r="U121">
        <v>0.24093063169854922</v>
      </c>
      <c r="V121">
        <v>0.23974473263327892</v>
      </c>
      <c r="W121">
        <v>0.23962303086328826</v>
      </c>
      <c r="Y121">
        <v>2.1478538101915015</v>
      </c>
      <c r="Z121">
        <v>2.2065577053811301</v>
      </c>
      <c r="AA121">
        <v>2.234133780666002</v>
      </c>
      <c r="AB121">
        <v>2.3827331312248705</v>
      </c>
      <c r="AC121">
        <v>2.4483108740272961</v>
      </c>
      <c r="AD121">
        <v>2.2216074271870125</v>
      </c>
      <c r="AE121">
        <v>2.2171917690982887</v>
      </c>
      <c r="AG121">
        <v>0.86576771256102381</v>
      </c>
      <c r="AH121">
        <v>0.89970376840872512</v>
      </c>
      <c r="AI121">
        <v>0.90622832773697537</v>
      </c>
      <c r="AJ121">
        <v>0.97729234987096747</v>
      </c>
      <c r="AK121">
        <v>1.0106391662178578</v>
      </c>
      <c r="AL121">
        <v>0.90432236902957741</v>
      </c>
      <c r="AM121">
        <v>0.90023465911755041</v>
      </c>
      <c r="AO121">
        <v>125</v>
      </c>
      <c r="AP121">
        <v>16.931063736981372</v>
      </c>
      <c r="AQ121">
        <v>7.4361298436703311</v>
      </c>
      <c r="AR121">
        <v>7.7395305624900557</v>
      </c>
      <c r="AS121">
        <v>886.48320717489207</v>
      </c>
      <c r="AT121">
        <v>25.436167045363938</v>
      </c>
      <c r="AU121">
        <v>11.2845692450668</v>
      </c>
      <c r="AV121">
        <v>17.832022222466019</v>
      </c>
      <c r="AW121">
        <v>7.7507237321272155</v>
      </c>
      <c r="AX121">
        <v>8.1382071172396042</v>
      </c>
      <c r="AY121">
        <v>936.83421793257128</v>
      </c>
      <c r="AZ121">
        <v>25.47450339535213</v>
      </c>
      <c r="BA121">
        <v>11.216669430653537</v>
      </c>
      <c r="BB121">
        <v>19.179895760802655</v>
      </c>
      <c r="BC121">
        <v>8.14354885679594</v>
      </c>
      <c r="BD121">
        <v>8.7013340885286503</v>
      </c>
      <c r="BE121">
        <v>1011.6367474392048</v>
      </c>
      <c r="BF121">
        <v>25.728830457652862</v>
      </c>
      <c r="BG121">
        <v>11.143774489644661</v>
      </c>
      <c r="BH121">
        <v>20.427192307563793</v>
      </c>
      <c r="BI121">
        <v>8.6704738414716438</v>
      </c>
      <c r="BJ121">
        <v>9.3310730435690257</v>
      </c>
      <c r="BK121">
        <v>1085.9076964109602</v>
      </c>
      <c r="BL121">
        <v>25.882712887717798</v>
      </c>
      <c r="BM121">
        <v>11.216457287455368</v>
      </c>
      <c r="BN121">
        <v>20.9203131034675</v>
      </c>
      <c r="BO121">
        <v>8.8273349985247851</v>
      </c>
      <c r="BP121">
        <v>9.8742906991828843</v>
      </c>
      <c r="BQ121">
        <v>1195.0000323300458</v>
      </c>
      <c r="BR121">
        <v>24.635993145344237</v>
      </c>
      <c r="BS121">
        <v>10.64527495167334</v>
      </c>
      <c r="BU121">
        <v>125</v>
      </c>
      <c r="BV121">
        <v>16.196522227113306</v>
      </c>
      <c r="BW121">
        <v>6.5394101559195956</v>
      </c>
      <c r="BX121">
        <v>7.5000152703769531</v>
      </c>
      <c r="BY121">
        <v>886.17130569257267</v>
      </c>
      <c r="BZ121">
        <v>24.616226333004466</v>
      </c>
      <c r="CA121">
        <v>10.276637699395957</v>
      </c>
      <c r="CB121">
        <v>16.944108239524365</v>
      </c>
      <c r="CC121">
        <v>6.7861895069070446</v>
      </c>
      <c r="CD121">
        <v>7.8653783327379827</v>
      </c>
      <c r="CE121">
        <v>937.13741407960208</v>
      </c>
      <c r="CF121">
        <v>24.518786826188908</v>
      </c>
      <c r="CG121">
        <v>10.183805880834955</v>
      </c>
      <c r="CH121">
        <v>18.322976594219522</v>
      </c>
      <c r="CI121">
        <v>7.3476528660641893</v>
      </c>
      <c r="CJ121">
        <v>8.3988547185886713</v>
      </c>
      <c r="CK121">
        <v>1012.9070123290204</v>
      </c>
      <c r="CL121">
        <v>24.850564648707568</v>
      </c>
      <c r="CM121">
        <v>10.34404507090623</v>
      </c>
      <c r="CN121">
        <v>19.533824420756684</v>
      </c>
      <c r="CO121">
        <v>7.7330597069972287</v>
      </c>
      <c r="CP121">
        <v>9.0382984475836032</v>
      </c>
      <c r="CQ121">
        <v>1087.6517732890998</v>
      </c>
      <c r="CR121">
        <v>25.019836229079143</v>
      </c>
      <c r="CS121">
        <v>10.336601692322953</v>
      </c>
      <c r="CT121">
        <v>19.85488957733952</v>
      </c>
      <c r="CU121">
        <v>7.777151570217403</v>
      </c>
      <c r="CV121">
        <v>9.4212243552239254</v>
      </c>
      <c r="CW121">
        <v>1197.1697260204346</v>
      </c>
      <c r="CX121">
        <v>23.701392093636056</v>
      </c>
      <c r="CY121">
        <v>9.7487601210066614</v>
      </c>
      <c r="DA121">
        <v>125</v>
      </c>
      <c r="DB121">
        <v>13.437726216437587</v>
      </c>
      <c r="DC121">
        <v>5.985593972658438</v>
      </c>
      <c r="DD121">
        <v>7.1174054859616307</v>
      </c>
      <c r="DE121">
        <v>922.86596611870914</v>
      </c>
      <c r="DF121">
        <v>20.64806604604555</v>
      </c>
      <c r="DG121">
        <v>9.267917096253484</v>
      </c>
      <c r="DH121">
        <v>14.051310290053296</v>
      </c>
      <c r="DI121">
        <v>6.6054805446607601</v>
      </c>
      <c r="DJ121">
        <v>7.4990341612662892</v>
      </c>
      <c r="DK121">
        <v>969.71785883881114</v>
      </c>
      <c r="DL121">
        <v>20.711874438656846</v>
      </c>
      <c r="DM121">
        <v>9.6552996947170353</v>
      </c>
      <c r="DN121">
        <v>15.618851331698355</v>
      </c>
      <c r="DO121">
        <v>6.7737411206061697</v>
      </c>
      <c r="DP121">
        <v>8.0550784516489742</v>
      </c>
      <c r="DQ121">
        <v>1047.094042694788</v>
      </c>
      <c r="DR121">
        <v>21.456703041370687</v>
      </c>
      <c r="DS121">
        <v>9.4582183059913589</v>
      </c>
      <c r="DT121">
        <v>16.785478446374917</v>
      </c>
      <c r="DU121">
        <v>7.5149078636652842</v>
      </c>
      <c r="DV121">
        <v>8.7874826743225789</v>
      </c>
      <c r="DW121">
        <v>1141.876108842949</v>
      </c>
      <c r="DX121">
        <v>21.424849051591661</v>
      </c>
      <c r="DY121">
        <v>9.6547000429645617</v>
      </c>
      <c r="DZ121">
        <v>17.071106978735219</v>
      </c>
      <c r="EA121">
        <v>7.7272078740181449</v>
      </c>
      <c r="EB121">
        <v>9.1867521062920332</v>
      </c>
      <c r="EC121">
        <v>1255.8942865078395</v>
      </c>
      <c r="ED121">
        <v>20.376560953705024</v>
      </c>
      <c r="EE121">
        <v>9.2531488611344095</v>
      </c>
      <c r="EG121">
        <v>125</v>
      </c>
      <c r="EH121">
        <v>12.608885517820566</v>
      </c>
      <c r="EI121">
        <v>5.5053359074520873</v>
      </c>
      <c r="EJ121">
        <v>6.5462800453587962</v>
      </c>
      <c r="EK121">
        <v>936.2244886369806</v>
      </c>
      <c r="EL121">
        <v>19.468147802868501</v>
      </c>
      <c r="EM121">
        <v>8.6227045945878178</v>
      </c>
      <c r="EN121">
        <v>13.204827044811752</v>
      </c>
      <c r="EO121">
        <v>5.9503901595133879</v>
      </c>
      <c r="EP121">
        <v>6.935101637710714</v>
      </c>
      <c r="EQ121">
        <v>983.67830502554239</v>
      </c>
      <c r="ER121">
        <v>19.557401225242565</v>
      </c>
      <c r="ES121">
        <v>8.8523108792508616</v>
      </c>
      <c r="ET121">
        <v>14.402380757988876</v>
      </c>
      <c r="EU121">
        <v>6.1306070201399159</v>
      </c>
      <c r="EV121">
        <v>7.4437391116595935</v>
      </c>
      <c r="EW121">
        <v>1017.8775043225118</v>
      </c>
      <c r="EX121">
        <v>20.877478150895136</v>
      </c>
      <c r="EY121">
        <v>9.0978628596451596</v>
      </c>
      <c r="EZ121">
        <v>15.152831333726944</v>
      </c>
      <c r="FA121">
        <v>6.8689664941850204</v>
      </c>
      <c r="FB121">
        <v>8.1202017642727089</v>
      </c>
      <c r="FC121">
        <v>1129.030860826801</v>
      </c>
      <c r="FD121">
        <v>20.222543906559856</v>
      </c>
      <c r="FE121">
        <v>9.1924236154409975</v>
      </c>
      <c r="FF121">
        <v>15.320870150818738</v>
      </c>
      <c r="FG121">
        <v>7.0201274130022089</v>
      </c>
      <c r="FH121">
        <v>8.4935821549011354</v>
      </c>
      <c r="FI121">
        <v>1251.6738213354313</v>
      </c>
      <c r="FJ121">
        <v>19.046950767960055</v>
      </c>
      <c r="FK121">
        <v>8.7194412312986422</v>
      </c>
    </row>
    <row r="122" spans="2:167" x14ac:dyDescent="0.2">
      <c r="B122">
        <v>601.20625038839387</v>
      </c>
      <c r="C122">
        <v>1.6633226939240497</v>
      </c>
      <c r="D122">
        <v>645.69394725378049</v>
      </c>
      <c r="E122">
        <v>1.5487213474017045</v>
      </c>
      <c r="F122">
        <v>732.9125212748321</v>
      </c>
      <c r="G122">
        <v>1.3644193146824597</v>
      </c>
      <c r="H122">
        <v>821.81558446105635</v>
      </c>
      <c r="I122">
        <v>1.2168180050464683</v>
      </c>
      <c r="J122">
        <v>911.78290900060495</v>
      </c>
      <c r="K122">
        <v>1.0967522972064576</v>
      </c>
      <c r="L122">
        <v>690.73753805648187</v>
      </c>
      <c r="M122">
        <v>1.4477278921508818</v>
      </c>
      <c r="N122">
        <v>688.72549731865342</v>
      </c>
      <c r="O122">
        <v>1.4519572803579956</v>
      </c>
      <c r="Q122">
        <v>0.24114429161690346</v>
      </c>
      <c r="R122">
        <v>0.24172894853880608</v>
      </c>
      <c r="S122">
        <v>0.24146826939304186</v>
      </c>
      <c r="T122">
        <v>0.24245364473634479</v>
      </c>
      <c r="U122">
        <v>0.24280264200464274</v>
      </c>
      <c r="V122">
        <v>0.2416156302164241</v>
      </c>
      <c r="W122">
        <v>0.24149582886096907</v>
      </c>
      <c r="Y122">
        <v>2.1478538101915015</v>
      </c>
      <c r="Z122">
        <v>2.2065577053811301</v>
      </c>
      <c r="AA122">
        <v>2.234133780666002</v>
      </c>
      <c r="AB122">
        <v>2.3827331312248705</v>
      </c>
      <c r="AC122">
        <v>2.4483108740272961</v>
      </c>
      <c r="AD122">
        <v>2.2216074271870125</v>
      </c>
      <c r="AE122">
        <v>2.2171917690982887</v>
      </c>
      <c r="AG122">
        <v>0.86576771256102381</v>
      </c>
      <c r="AH122">
        <v>0.89970376840872512</v>
      </c>
      <c r="AI122">
        <v>0.90622832773697537</v>
      </c>
      <c r="AJ122">
        <v>0.97729234987096747</v>
      </c>
      <c r="AK122">
        <v>1.0107588388973452</v>
      </c>
      <c r="AL122">
        <v>0.90432236902957741</v>
      </c>
      <c r="AM122">
        <v>0.90023465911755041</v>
      </c>
      <c r="AO122">
        <v>126</v>
      </c>
      <c r="AP122">
        <v>16.931063736981372</v>
      </c>
      <c r="AQ122">
        <v>7.4361298436703311</v>
      </c>
      <c r="AR122">
        <v>7.7395305624900557</v>
      </c>
      <c r="AS122">
        <v>887.17704929500792</v>
      </c>
      <c r="AT122">
        <v>25.416273965302409</v>
      </c>
      <c r="AU122">
        <v>11.275743825771054</v>
      </c>
      <c r="AV122">
        <v>17.832022222466019</v>
      </c>
      <c r="AW122">
        <v>7.7510731453464325</v>
      </c>
      <c r="AX122">
        <v>8.1382071172396042</v>
      </c>
      <c r="AY122">
        <v>937.56854445879185</v>
      </c>
      <c r="AZ122">
        <v>25.454551143651642</v>
      </c>
      <c r="BA122">
        <v>11.208256942066781</v>
      </c>
      <c r="BB122">
        <v>19.179895760802655</v>
      </c>
      <c r="BC122">
        <v>8.14354885679594</v>
      </c>
      <c r="BD122">
        <v>8.7013340885286503</v>
      </c>
      <c r="BE122">
        <v>1012.4184700564792</v>
      </c>
      <c r="BF122">
        <v>25.708964355562049</v>
      </c>
      <c r="BG122">
        <v>11.135170003636148</v>
      </c>
      <c r="BH122">
        <v>20.427192307563793</v>
      </c>
      <c r="BI122">
        <v>8.6713172965250322</v>
      </c>
      <c r="BJ122">
        <v>9.3310730435690257</v>
      </c>
      <c r="BK122">
        <v>1086.7521548846373</v>
      </c>
      <c r="BL122">
        <v>25.862600780167291</v>
      </c>
      <c r="BM122">
        <v>11.208517687511756</v>
      </c>
      <c r="BN122">
        <v>20.9203131034675</v>
      </c>
      <c r="BO122">
        <v>8.8292539221506861</v>
      </c>
      <c r="BP122">
        <v>9.8742906991828843</v>
      </c>
      <c r="BQ122">
        <v>1195.8845644001233</v>
      </c>
      <c r="BR122">
        <v>24.61777121434524</v>
      </c>
      <c r="BS122">
        <v>10.639005815264335</v>
      </c>
      <c r="BU122">
        <v>126</v>
      </c>
      <c r="BV122">
        <v>16.196522227113306</v>
      </c>
      <c r="BW122">
        <v>6.5448502718024688</v>
      </c>
      <c r="BX122">
        <v>7.5000152703769531</v>
      </c>
      <c r="BY122">
        <v>886.89387990794899</v>
      </c>
      <c r="BZ122">
        <v>24.596170889133386</v>
      </c>
      <c r="CA122">
        <v>10.274398967587727</v>
      </c>
      <c r="CB122">
        <v>16.944108239524365</v>
      </c>
      <c r="CC122">
        <v>6.7960958640176621</v>
      </c>
      <c r="CD122">
        <v>7.8653783327379827</v>
      </c>
      <c r="CE122">
        <v>937.89852079680452</v>
      </c>
      <c r="CF122">
        <v>24.498889776628356</v>
      </c>
      <c r="CG122">
        <v>10.186103990918545</v>
      </c>
      <c r="CH122">
        <v>18.322976594219522</v>
      </c>
      <c r="CI122">
        <v>7.352120773106197</v>
      </c>
      <c r="CJ122">
        <v>8.3988547185886713</v>
      </c>
      <c r="CK122">
        <v>1013.7205287575979</v>
      </c>
      <c r="CL122">
        <v>24.830621930741774</v>
      </c>
      <c r="CM122">
        <v>10.340151351237793</v>
      </c>
      <c r="CN122">
        <v>19.533824420756684</v>
      </c>
      <c r="CO122">
        <v>7.7412854343171054</v>
      </c>
      <c r="CP122">
        <v>9.0382984475836032</v>
      </c>
      <c r="CQ122">
        <v>1088.5314734241431</v>
      </c>
      <c r="CR122">
        <v>24.999616369711877</v>
      </c>
      <c r="CS122">
        <v>10.33580485492695</v>
      </c>
      <c r="CT122">
        <v>19.85488957733952</v>
      </c>
      <c r="CU122">
        <v>7.7874557593855203</v>
      </c>
      <c r="CV122">
        <v>9.4212243552239254</v>
      </c>
      <c r="CW122">
        <v>1198.0869806334154</v>
      </c>
      <c r="CX122">
        <v>23.683246323267646</v>
      </c>
      <c r="CY122">
        <v>9.7498970117318766</v>
      </c>
      <c r="DA122">
        <v>126</v>
      </c>
      <c r="DB122">
        <v>13.437726216437587</v>
      </c>
      <c r="DC122">
        <v>5.9933949003319436</v>
      </c>
      <c r="DD122">
        <v>7.1174054859616307</v>
      </c>
      <c r="DE122">
        <v>923.76167304044441</v>
      </c>
      <c r="DF122">
        <v>20.628045064208301</v>
      </c>
      <c r="DG122">
        <v>9.267375387461831</v>
      </c>
      <c r="DH122">
        <v>14.051310290053296</v>
      </c>
      <c r="DI122">
        <v>6.6193740741151066</v>
      </c>
      <c r="DJ122">
        <v>7.4990341612662892</v>
      </c>
      <c r="DK122">
        <v>970.6619473615325</v>
      </c>
      <c r="DL122">
        <v>20.691729584936418</v>
      </c>
      <c r="DM122">
        <v>9.6602221827594654</v>
      </c>
      <c r="DN122">
        <v>15.618851331698355</v>
      </c>
      <c r="DO122">
        <v>6.7858341938771263</v>
      </c>
      <c r="DP122">
        <v>8.0550784516489742</v>
      </c>
      <c r="DQ122">
        <v>1048.0774762487695</v>
      </c>
      <c r="DR122">
        <v>21.436569757136564</v>
      </c>
      <c r="DS122">
        <v>9.4608817961351903</v>
      </c>
      <c r="DT122">
        <v>16.785478446374917</v>
      </c>
      <c r="DU122">
        <v>7.5456255810428967</v>
      </c>
      <c r="DV122">
        <v>8.7874826743225789</v>
      </c>
      <c r="DW122">
        <v>1142.9555581550223</v>
      </c>
      <c r="DX122">
        <v>21.404614635296987</v>
      </c>
      <c r="DY122">
        <v>9.672457477112502</v>
      </c>
      <c r="DZ122">
        <v>17.071106978735219</v>
      </c>
      <c r="EA122">
        <v>7.7608121054469841</v>
      </c>
      <c r="EB122">
        <v>9.1867521062920332</v>
      </c>
      <c r="EC122">
        <v>1257.0234308671461</v>
      </c>
      <c r="ED122">
        <v>20.35825733398087</v>
      </c>
      <c r="EE122">
        <v>9.2715702286426449</v>
      </c>
      <c r="EG122">
        <v>126</v>
      </c>
      <c r="EH122">
        <v>12.608885517820566</v>
      </c>
      <c r="EI122">
        <v>5.5117148556126914</v>
      </c>
      <c r="EJ122">
        <v>6.5462800453587962</v>
      </c>
      <c r="EK122">
        <v>937.19156623384424</v>
      </c>
      <c r="EL122">
        <v>19.448058836779911</v>
      </c>
      <c r="EM122">
        <v>8.6206133718882043</v>
      </c>
      <c r="EN122">
        <v>13.204827044811752</v>
      </c>
      <c r="EO122">
        <v>5.9631292191458414</v>
      </c>
      <c r="EP122">
        <v>6.935101637710714</v>
      </c>
      <c r="EQ122">
        <v>984.68910705980272</v>
      </c>
      <c r="ER122">
        <v>19.537325182152834</v>
      </c>
      <c r="ES122">
        <v>8.8561609531072918</v>
      </c>
      <c r="ET122">
        <v>14.402380757988876</v>
      </c>
      <c r="EU122">
        <v>6.1415534910639407</v>
      </c>
      <c r="EV122">
        <v>7.4437391116595935</v>
      </c>
      <c r="EW122">
        <v>1018.8524950593228</v>
      </c>
      <c r="EX122">
        <v>20.857499451423127</v>
      </c>
      <c r="EY122">
        <v>9.0999005823981207</v>
      </c>
      <c r="EZ122">
        <v>15.152831333726944</v>
      </c>
      <c r="FA122">
        <v>6.8965983727675235</v>
      </c>
      <c r="FB122">
        <v>8.1202017642727089</v>
      </c>
      <c r="FC122">
        <v>1130.1507411415948</v>
      </c>
      <c r="FD122">
        <v>20.202505138268528</v>
      </c>
      <c r="FE122">
        <v>9.2077644577721802</v>
      </c>
      <c r="FF122">
        <v>15.320870150818738</v>
      </c>
      <c r="FG122">
        <v>7.0504885991618105</v>
      </c>
      <c r="FH122">
        <v>8.4935821549011354</v>
      </c>
      <c r="FI122">
        <v>1252.7440390270888</v>
      </c>
      <c r="FJ122">
        <v>19.03067898134686</v>
      </c>
      <c r="FK122">
        <v>8.7362279692413995</v>
      </c>
    </row>
    <row r="123" spans="2:167" x14ac:dyDescent="0.2">
      <c r="B123">
        <v>601.20625038839387</v>
      </c>
      <c r="C123">
        <v>1.6633226939240497</v>
      </c>
      <c r="D123">
        <v>645.69394725378049</v>
      </c>
      <c r="E123">
        <v>1.5487213474017045</v>
      </c>
      <c r="F123">
        <v>732.9125212748321</v>
      </c>
      <c r="G123">
        <v>1.3644193146824597</v>
      </c>
      <c r="H123">
        <v>821.81558446105635</v>
      </c>
      <c r="I123">
        <v>1.2168180050464683</v>
      </c>
      <c r="J123">
        <v>911.78290900060495</v>
      </c>
      <c r="K123">
        <v>1.0967522972064576</v>
      </c>
      <c r="L123">
        <v>690.73753805648187</v>
      </c>
      <c r="M123">
        <v>1.4477278921508818</v>
      </c>
      <c r="N123">
        <v>688.72549731865342</v>
      </c>
      <c r="O123">
        <v>1.4519572803579956</v>
      </c>
      <c r="Q123">
        <v>0.24301724704225566</v>
      </c>
      <c r="R123">
        <v>0.2436033834365661</v>
      </c>
      <c r="S123">
        <v>0.24333779764994162</v>
      </c>
      <c r="T123">
        <v>0.24432562909414962</v>
      </c>
      <c r="U123">
        <v>0.24467465231073623</v>
      </c>
      <c r="V123">
        <v>0.24348652779956925</v>
      </c>
      <c r="W123">
        <v>0.24336862685864991</v>
      </c>
      <c r="Y123">
        <v>2.1478538101915015</v>
      </c>
      <c r="Z123">
        <v>2.2065577053811301</v>
      </c>
      <c r="AA123">
        <v>2.234133780666002</v>
      </c>
      <c r="AB123">
        <v>2.3827331312248705</v>
      </c>
      <c r="AC123">
        <v>2.4483108740272961</v>
      </c>
      <c r="AD123">
        <v>2.2216074271870125</v>
      </c>
      <c r="AE123">
        <v>2.2171917690982887</v>
      </c>
      <c r="AG123">
        <v>0.86576771256102381</v>
      </c>
      <c r="AH123">
        <v>0.89970376840872512</v>
      </c>
      <c r="AI123">
        <v>0.90622832773697537</v>
      </c>
      <c r="AJ123">
        <v>0.97729234987096747</v>
      </c>
      <c r="AK123">
        <v>1.0107642139356952</v>
      </c>
      <c r="AL123">
        <v>0.90432236902957741</v>
      </c>
      <c r="AM123">
        <v>0.90023465911755041</v>
      </c>
      <c r="AO123">
        <v>127</v>
      </c>
      <c r="AP123">
        <v>16.931063736981372</v>
      </c>
      <c r="AQ123">
        <v>7.4361298436703311</v>
      </c>
      <c r="AR123">
        <v>7.7395305624900557</v>
      </c>
      <c r="AS123">
        <v>887.87198131400464</v>
      </c>
      <c r="AT123">
        <v>25.396380801700221</v>
      </c>
      <c r="AU123">
        <v>11.266918369413103</v>
      </c>
      <c r="AV123">
        <v>17.832022222466019</v>
      </c>
      <c r="AW123">
        <v>7.7510731453464325</v>
      </c>
      <c r="AX123">
        <v>8.1382071172396042</v>
      </c>
      <c r="AY123">
        <v>938.30402445390155</v>
      </c>
      <c r="AZ123">
        <v>25.434598854561173</v>
      </c>
      <c r="BA123">
        <v>11.199471464709655</v>
      </c>
      <c r="BB123">
        <v>19.179895760802655</v>
      </c>
      <c r="BC123">
        <v>8.14354885679594</v>
      </c>
      <c r="BD123">
        <v>8.7013340885286503</v>
      </c>
      <c r="BE123">
        <v>1013.2014058023418</v>
      </c>
      <c r="BF123">
        <v>25.689098150217479</v>
      </c>
      <c r="BG123">
        <v>11.126565472905954</v>
      </c>
      <c r="BH123">
        <v>20.427192307563793</v>
      </c>
      <c r="BI123">
        <v>8.6713172965250322</v>
      </c>
      <c r="BJ123">
        <v>9.3310730435690257</v>
      </c>
      <c r="BK123">
        <v>1087.5979240976517</v>
      </c>
      <c r="BL123">
        <v>25.842488759885075</v>
      </c>
      <c r="BM123">
        <v>11.199801397260018</v>
      </c>
      <c r="BN123">
        <v>20.9203131034675</v>
      </c>
      <c r="BO123">
        <v>8.8300012319782741</v>
      </c>
      <c r="BP123">
        <v>9.8742906991828843</v>
      </c>
      <c r="BQ123">
        <v>1196.7704694103932</v>
      </c>
      <c r="BR123">
        <v>24.599547998266711</v>
      </c>
      <c r="BS123">
        <v>10.63175476842599</v>
      </c>
      <c r="BU123">
        <v>127</v>
      </c>
      <c r="BV123">
        <v>16.196522227113306</v>
      </c>
      <c r="BW123">
        <v>6.5495552875047478</v>
      </c>
      <c r="BX123">
        <v>7.5000152703769531</v>
      </c>
      <c r="BY123">
        <v>887.61763180961464</v>
      </c>
      <c r="BZ123">
        <v>24.576115490483396</v>
      </c>
      <c r="CA123">
        <v>10.271322079532432</v>
      </c>
      <c r="CB123">
        <v>16.944108239524365</v>
      </c>
      <c r="CC123">
        <v>6.8053060904401272</v>
      </c>
      <c r="CD123">
        <v>7.8653783327379827</v>
      </c>
      <c r="CE123">
        <v>938.66086800242533</v>
      </c>
      <c r="CF123">
        <v>24.478992643596943</v>
      </c>
      <c r="CG123">
        <v>10.187643288611758</v>
      </c>
      <c r="CH123">
        <v>18.322976594219522</v>
      </c>
      <c r="CI123">
        <v>7.3556976143652912</v>
      </c>
      <c r="CJ123">
        <v>8.3988547185886713</v>
      </c>
      <c r="CK123">
        <v>1014.5353548673731</v>
      </c>
      <c r="CL123">
        <v>24.810679166821267</v>
      </c>
      <c r="CM123">
        <v>10.335372233371018</v>
      </c>
      <c r="CN123">
        <v>19.533824420756684</v>
      </c>
      <c r="CO123">
        <v>7.748618430133507</v>
      </c>
      <c r="CP123">
        <v>9.0382984475836032</v>
      </c>
      <c r="CQ123">
        <v>1089.4125899526089</v>
      </c>
      <c r="CR123">
        <v>24.979396688581133</v>
      </c>
      <c r="CS123">
        <v>10.334176406079717</v>
      </c>
      <c r="CT123">
        <v>19.85488957733952</v>
      </c>
      <c r="CU123">
        <v>7.7969041660082157</v>
      </c>
      <c r="CV123">
        <v>9.4212243552239254</v>
      </c>
      <c r="CW123">
        <v>1199.0057121057814</v>
      </c>
      <c r="CX123">
        <v>23.665099167215516</v>
      </c>
      <c r="CY123">
        <v>9.750306408768715</v>
      </c>
      <c r="DA123">
        <v>127</v>
      </c>
      <c r="DB123">
        <v>13.437726216437587</v>
      </c>
      <c r="DC123">
        <v>6.0005679926756663</v>
      </c>
      <c r="DD123">
        <v>7.1174054859616307</v>
      </c>
      <c r="DE123">
        <v>924.65911943210654</v>
      </c>
      <c r="DF123">
        <v>20.608024102730855</v>
      </c>
      <c r="DG123">
        <v>9.2661383042666383</v>
      </c>
      <c r="DH123">
        <v>14.051310290053296</v>
      </c>
      <c r="DI123">
        <v>6.6326505744349662</v>
      </c>
      <c r="DJ123">
        <v>7.4990341612662892</v>
      </c>
      <c r="DK123">
        <v>971.60786931163261</v>
      </c>
      <c r="DL123">
        <v>20.671584872426223</v>
      </c>
      <c r="DM123">
        <v>9.664481806672633</v>
      </c>
      <c r="DN123">
        <v>15.618851331698355</v>
      </c>
      <c r="DO123">
        <v>6.7972431070960075</v>
      </c>
      <c r="DP123">
        <v>8.0550784516489742</v>
      </c>
      <c r="DQ123">
        <v>1049.0627526871283</v>
      </c>
      <c r="DR123">
        <v>21.416436598231776</v>
      </c>
      <c r="DS123">
        <v>9.4628715048477581</v>
      </c>
      <c r="DT123">
        <v>16.785478446374917</v>
      </c>
      <c r="DU123">
        <v>7.5758740936922804</v>
      </c>
      <c r="DV123">
        <v>8.7874826743225789</v>
      </c>
      <c r="DW123">
        <v>1144.0370383848663</v>
      </c>
      <c r="DX123">
        <v>21.384380441141715</v>
      </c>
      <c r="DY123">
        <v>9.6897540684377397</v>
      </c>
      <c r="DZ123">
        <v>17.071106978735219</v>
      </c>
      <c r="EA123">
        <v>7.7939696135286525</v>
      </c>
      <c r="EB123">
        <v>9.1867521062920332</v>
      </c>
      <c r="EC123">
        <v>1258.1546996424108</v>
      </c>
      <c r="ED123">
        <v>20.339952223450915</v>
      </c>
      <c r="EE123">
        <v>9.2895877825974758</v>
      </c>
      <c r="EG123">
        <v>127</v>
      </c>
      <c r="EH123">
        <v>12.608885517820566</v>
      </c>
      <c r="EI123">
        <v>5.517498830266649</v>
      </c>
      <c r="EJ123">
        <v>6.5462800453587962</v>
      </c>
      <c r="EK123">
        <v>938.16063935121269</v>
      </c>
      <c r="EL123">
        <v>19.427969962643434</v>
      </c>
      <c r="EM123">
        <v>8.617873936963985</v>
      </c>
      <c r="EN123">
        <v>13.204827044811752</v>
      </c>
      <c r="EO123">
        <v>5.9753173688382066</v>
      </c>
      <c r="EP123">
        <v>6.935101637710714</v>
      </c>
      <c r="EQ123">
        <v>985.70198463012889</v>
      </c>
      <c r="ER123">
        <v>19.517249217236728</v>
      </c>
      <c r="ES123">
        <v>8.85942557360511</v>
      </c>
      <c r="ET123">
        <v>14.402380757988876</v>
      </c>
      <c r="EU123">
        <v>6.1518807944950229</v>
      </c>
      <c r="EV123">
        <v>7.4437391116595935</v>
      </c>
      <c r="EW123">
        <v>1019.8293564066761</v>
      </c>
      <c r="EX123">
        <v>20.837520731563238</v>
      </c>
      <c r="EY123">
        <v>9.101310585236682</v>
      </c>
      <c r="EZ123">
        <v>15.152831333726944</v>
      </c>
      <c r="FA123">
        <v>6.9237914268179654</v>
      </c>
      <c r="FB123">
        <v>8.1202017642727089</v>
      </c>
      <c r="FC123">
        <v>1131.2728431146331</v>
      </c>
      <c r="FD123">
        <v>20.18246640843077</v>
      </c>
      <c r="FE123">
        <v>9.2226689111829803</v>
      </c>
      <c r="FF123">
        <v>15.320870150818738</v>
      </c>
      <c r="FG123">
        <v>7.0804401828646801</v>
      </c>
      <c r="FH123">
        <v>8.4935821549011354</v>
      </c>
      <c r="FI123">
        <v>1253.8162877308839</v>
      </c>
      <c r="FJ123">
        <v>19.014404172134565</v>
      </c>
      <c r="FK123">
        <v>8.7526451866505344</v>
      </c>
    </row>
    <row r="124" spans="2:167" x14ac:dyDescent="0.2">
      <c r="B124">
        <v>601.20625038839387</v>
      </c>
      <c r="C124">
        <v>1.6633226939240497</v>
      </c>
      <c r="D124">
        <v>645.69394725378049</v>
      </c>
      <c r="E124">
        <v>1.5487213474017045</v>
      </c>
      <c r="F124">
        <v>732.9125212748321</v>
      </c>
      <c r="G124">
        <v>1.3644193146824597</v>
      </c>
      <c r="H124">
        <v>821.81558446105635</v>
      </c>
      <c r="I124">
        <v>1.2168180050464683</v>
      </c>
      <c r="J124">
        <v>911.78290900060495</v>
      </c>
      <c r="K124">
        <v>1.0967522972064576</v>
      </c>
      <c r="L124">
        <v>690.73753805648187</v>
      </c>
      <c r="M124">
        <v>1.4477278921508818</v>
      </c>
      <c r="N124">
        <v>688.72549731865342</v>
      </c>
      <c r="O124">
        <v>1.4519572803579956</v>
      </c>
      <c r="Q124">
        <v>0.24489020246760787</v>
      </c>
      <c r="R124">
        <v>0.24547781833432611</v>
      </c>
      <c r="S124">
        <v>0.24520732590684138</v>
      </c>
      <c r="T124">
        <v>0.24619761345195443</v>
      </c>
      <c r="U124">
        <v>0.24654666261682975</v>
      </c>
      <c r="V124">
        <v>0.24535742538271443</v>
      </c>
      <c r="W124">
        <v>0.24524142485633071</v>
      </c>
      <c r="Y124">
        <v>2.1478538101915015</v>
      </c>
      <c r="Z124">
        <v>2.2065577053811301</v>
      </c>
      <c r="AA124">
        <v>2.234133780666002</v>
      </c>
      <c r="AB124">
        <v>2.3827331312248705</v>
      </c>
      <c r="AC124">
        <v>2.4483108740272961</v>
      </c>
      <c r="AD124">
        <v>2.2216074271870125</v>
      </c>
      <c r="AE124">
        <v>2.2171917690982887</v>
      </c>
      <c r="AG124">
        <v>0.86576771256102381</v>
      </c>
      <c r="AH124">
        <v>0.89970376840872512</v>
      </c>
      <c r="AI124">
        <v>0.90622832773697537</v>
      </c>
      <c r="AJ124">
        <v>0.97729234987096747</v>
      </c>
      <c r="AK124">
        <v>1.0107642139356952</v>
      </c>
      <c r="AL124">
        <v>0.90432236902957741</v>
      </c>
      <c r="AM124">
        <v>0.90023465911755041</v>
      </c>
      <c r="AO124">
        <v>128</v>
      </c>
      <c r="AP124">
        <v>16.931063736981372</v>
      </c>
      <c r="AQ124">
        <v>7.4361298436703311</v>
      </c>
      <c r="AR124">
        <v>7.7395305624900557</v>
      </c>
      <c r="AS124">
        <v>888.56800580194795</v>
      </c>
      <c r="AT124">
        <v>25.376487554556842</v>
      </c>
      <c r="AU124">
        <v>11.258092875992718</v>
      </c>
      <c r="AV124">
        <v>17.832022222466019</v>
      </c>
      <c r="AW124">
        <v>7.7510731453464325</v>
      </c>
      <c r="AX124">
        <v>8.1382071172396042</v>
      </c>
      <c r="AY124">
        <v>939.04066063781363</v>
      </c>
      <c r="AZ124">
        <v>25.414646528080624</v>
      </c>
      <c r="BA124">
        <v>11.190685970888767</v>
      </c>
      <c r="BB124">
        <v>19.179895760802655</v>
      </c>
      <c r="BC124">
        <v>8.14354885679594</v>
      </c>
      <c r="BD124">
        <v>8.7013340885286503</v>
      </c>
      <c r="BE124">
        <v>1013.9855575029045</v>
      </c>
      <c r="BF124">
        <v>25.669231841618345</v>
      </c>
      <c r="BG124">
        <v>11.117960897453727</v>
      </c>
      <c r="BH124">
        <v>20.427192307563793</v>
      </c>
      <c r="BI124">
        <v>8.6713172965250322</v>
      </c>
      <c r="BJ124">
        <v>9.3310730435690257</v>
      </c>
      <c r="BK124">
        <v>1088.4450071041003</v>
      </c>
      <c r="BL124">
        <v>25.822376826870581</v>
      </c>
      <c r="BM124">
        <v>11.191085144828982</v>
      </c>
      <c r="BN124">
        <v>20.9203131034675</v>
      </c>
      <c r="BO124">
        <v>8.8300012319782741</v>
      </c>
      <c r="BP124">
        <v>9.8742906991828843</v>
      </c>
      <c r="BQ124">
        <v>1197.6577505598839</v>
      </c>
      <c r="BR124">
        <v>24.581323496972708</v>
      </c>
      <c r="BS124">
        <v>10.62387826481916</v>
      </c>
      <c r="BU124">
        <v>128</v>
      </c>
      <c r="BV124">
        <v>16.196522227113306</v>
      </c>
      <c r="BW124">
        <v>6.5535252030264353</v>
      </c>
      <c r="BX124">
        <v>7.5000152703769531</v>
      </c>
      <c r="BY124">
        <v>888.34256427909236</v>
      </c>
      <c r="BZ124">
        <v>24.556060137054345</v>
      </c>
      <c r="CA124">
        <v>10.26740906275489</v>
      </c>
      <c r="CB124">
        <v>16.944108239524365</v>
      </c>
      <c r="CC124">
        <v>6.8138201861744374</v>
      </c>
      <c r="CD124">
        <v>7.8653783327379827</v>
      </c>
      <c r="CE124">
        <v>939.42445873164934</v>
      </c>
      <c r="CF124">
        <v>24.459095427094159</v>
      </c>
      <c r="CG124">
        <v>10.188425582238091</v>
      </c>
      <c r="CH124">
        <v>18.322976594219522</v>
      </c>
      <c r="CI124">
        <v>7.3583833898414772</v>
      </c>
      <c r="CJ124">
        <v>8.3988547185886713</v>
      </c>
      <c r="CK124">
        <v>1015.3514938235804</v>
      </c>
      <c r="CL124">
        <v>24.790736356945889</v>
      </c>
      <c r="CM124">
        <v>10.329709835211027</v>
      </c>
      <c r="CN124">
        <v>19.533824420756684</v>
      </c>
      <c r="CO124">
        <v>7.7550586944464373</v>
      </c>
      <c r="CP124">
        <v>9.0382984475836032</v>
      </c>
      <c r="CQ124">
        <v>1090.2951262980278</v>
      </c>
      <c r="CR124">
        <v>24.959177185684556</v>
      </c>
      <c r="CS124">
        <v>10.331718335873987</v>
      </c>
      <c r="CT124">
        <v>19.85488957733952</v>
      </c>
      <c r="CU124">
        <v>7.8054967900854892</v>
      </c>
      <c r="CV124">
        <v>9.4212243552239254</v>
      </c>
      <c r="CW124">
        <v>1199.9259240072138</v>
      </c>
      <c r="CX124">
        <v>23.646950625320923</v>
      </c>
      <c r="CY124">
        <v>9.7499899526316405</v>
      </c>
      <c r="DA124">
        <v>128</v>
      </c>
      <c r="DB124">
        <v>13.437726216437587</v>
      </c>
      <c r="DC124">
        <v>6.0071132496896071</v>
      </c>
      <c r="DD124">
        <v>7.1174054859616307</v>
      </c>
      <c r="DE124">
        <v>925.55831036571715</v>
      </c>
      <c r="DF124">
        <v>20.58800316161318</v>
      </c>
      <c r="DG124">
        <v>9.2642078256367899</v>
      </c>
      <c r="DH124">
        <v>14.051310290053296</v>
      </c>
      <c r="DI124">
        <v>6.645310045620346</v>
      </c>
      <c r="DJ124">
        <v>7.4990341612662892</v>
      </c>
      <c r="DK124">
        <v>972.55563003509815</v>
      </c>
      <c r="DL124">
        <v>20.651440301124772</v>
      </c>
      <c r="DM124">
        <v>9.6680804233566384</v>
      </c>
      <c r="DN124">
        <v>15.618851331698355</v>
      </c>
      <c r="DO124">
        <v>6.8079678602628171</v>
      </c>
      <c r="DP124">
        <v>8.0550784516489742</v>
      </c>
      <c r="DQ124">
        <v>1050.0498771948735</v>
      </c>
      <c r="DR124">
        <v>21.396303564655163</v>
      </c>
      <c r="DS124">
        <v>9.464189271575588</v>
      </c>
      <c r="DT124">
        <v>16.785478446374917</v>
      </c>
      <c r="DU124">
        <v>7.6056534016134343</v>
      </c>
      <c r="DV124">
        <v>8.7874826743225789</v>
      </c>
      <c r="DW124">
        <v>1145.1205552694487</v>
      </c>
      <c r="DX124">
        <v>21.364146469122186</v>
      </c>
      <c r="DY124">
        <v>9.7065909819765199</v>
      </c>
      <c r="DZ124">
        <v>17.071106978735219</v>
      </c>
      <c r="EA124">
        <v>7.8266803982631465</v>
      </c>
      <c r="EB124">
        <v>9.1867521062920332</v>
      </c>
      <c r="EC124">
        <v>1259.2880988347174</v>
      </c>
      <c r="ED124">
        <v>20.321645621933005</v>
      </c>
      <c r="EE124">
        <v>9.3072024757446297</v>
      </c>
      <c r="EG124">
        <v>128</v>
      </c>
      <c r="EH124">
        <v>12.608885517820566</v>
      </c>
      <c r="EI124">
        <v>5.5226878314139558</v>
      </c>
      <c r="EJ124">
        <v>6.5462800453587962</v>
      </c>
      <c r="EK124">
        <v>939.13171417196327</v>
      </c>
      <c r="EL124">
        <v>19.407881180458439</v>
      </c>
      <c r="EM124">
        <v>8.6144882571990493</v>
      </c>
      <c r="EN124">
        <v>13.204827044811752</v>
      </c>
      <c r="EO124">
        <v>5.9869546085904908</v>
      </c>
      <c r="EP124">
        <v>6.935101637710714</v>
      </c>
      <c r="EQ124">
        <v>986.71694413581122</v>
      </c>
      <c r="ER124">
        <v>19.497173330493794</v>
      </c>
      <c r="ES124">
        <v>8.8621064655946427</v>
      </c>
      <c r="ET124">
        <v>14.402380757988876</v>
      </c>
      <c r="EU124">
        <v>6.161588930433159</v>
      </c>
      <c r="EV124">
        <v>7.4437391116595935</v>
      </c>
      <c r="EW124">
        <v>1020.8080937531518</v>
      </c>
      <c r="EX124">
        <v>20.817541991315444</v>
      </c>
      <c r="EY124">
        <v>9.1020946144498005</v>
      </c>
      <c r="EZ124">
        <v>15.152831333726944</v>
      </c>
      <c r="FA124">
        <v>6.9505456563363426</v>
      </c>
      <c r="FB124">
        <v>8.1202017642727089</v>
      </c>
      <c r="FC124">
        <v>1132.3971733635865</v>
      </c>
      <c r="FD124">
        <v>20.162427717046469</v>
      </c>
      <c r="FE124">
        <v>9.2371381312330278</v>
      </c>
      <c r="FF124">
        <v>15.320870150818738</v>
      </c>
      <c r="FG124">
        <v>7.1099821641108232</v>
      </c>
      <c r="FH124">
        <v>8.4935821549011354</v>
      </c>
      <c r="FI124">
        <v>1254.8905732338565</v>
      </c>
      <c r="FJ124">
        <v>18.99812633948088</v>
      </c>
      <c r="FK124">
        <v>8.768693710592796</v>
      </c>
    </row>
    <row r="125" spans="2:167" x14ac:dyDescent="0.2">
      <c r="B125">
        <v>601.20625038839387</v>
      </c>
      <c r="C125">
        <v>1.6633226939240497</v>
      </c>
      <c r="D125">
        <v>645.69394725378049</v>
      </c>
      <c r="E125">
        <v>1.5487213474017045</v>
      </c>
      <c r="F125">
        <v>732.9125212748321</v>
      </c>
      <c r="G125">
        <v>1.3644193146824597</v>
      </c>
      <c r="H125">
        <v>821.81558446105635</v>
      </c>
      <c r="I125">
        <v>1.2168180050464683</v>
      </c>
      <c r="J125">
        <v>911.78290900060495</v>
      </c>
      <c r="K125">
        <v>1.0967522972064576</v>
      </c>
      <c r="L125">
        <v>690.73753805648187</v>
      </c>
      <c r="M125">
        <v>1.4477278921508818</v>
      </c>
      <c r="N125">
        <v>688.72549731865342</v>
      </c>
      <c r="O125">
        <v>1.4519572803579956</v>
      </c>
      <c r="Q125">
        <v>0.24676315789296008</v>
      </c>
      <c r="R125">
        <v>0.24735225323208612</v>
      </c>
      <c r="S125">
        <v>0.24707685416374114</v>
      </c>
      <c r="T125">
        <v>0.24806959780975923</v>
      </c>
      <c r="U125">
        <v>0.24841867292292327</v>
      </c>
      <c r="V125">
        <v>0.24722832296585961</v>
      </c>
      <c r="W125">
        <v>0.24711422285401152</v>
      </c>
      <c r="Y125">
        <v>2.1478538101915015</v>
      </c>
      <c r="Z125">
        <v>2.2065577053811301</v>
      </c>
      <c r="AA125">
        <v>2.234133780666002</v>
      </c>
      <c r="AB125">
        <v>2.3827331312248705</v>
      </c>
      <c r="AC125">
        <v>2.4483108740272961</v>
      </c>
      <c r="AD125">
        <v>2.2216074271870125</v>
      </c>
      <c r="AE125">
        <v>2.2171917690982887</v>
      </c>
      <c r="AG125">
        <v>0.86576771256102381</v>
      </c>
      <c r="AH125">
        <v>0.89970376840872512</v>
      </c>
      <c r="AI125">
        <v>0.90622832773697537</v>
      </c>
      <c r="AJ125">
        <v>0.97729234987096747</v>
      </c>
      <c r="AK125">
        <v>1.0107642139356952</v>
      </c>
      <c r="AL125">
        <v>0.90432236902957741</v>
      </c>
      <c r="AM125">
        <v>0.90023465911755041</v>
      </c>
      <c r="AO125">
        <v>129</v>
      </c>
      <c r="AP125">
        <v>16.931063736981372</v>
      </c>
      <c r="AQ125">
        <v>7.4361298436703311</v>
      </c>
      <c r="AR125">
        <v>7.7395305624900557</v>
      </c>
      <c r="AS125">
        <v>889.26512533699065</v>
      </c>
      <c r="AT125">
        <v>25.356594223871745</v>
      </c>
      <c r="AU125">
        <v>11.249267345509663</v>
      </c>
      <c r="AV125">
        <v>17.832022222466019</v>
      </c>
      <c r="AW125">
        <v>7.7510731453464325</v>
      </c>
      <c r="AX125">
        <v>8.1382071172396042</v>
      </c>
      <c r="AY125">
        <v>939.77845573899947</v>
      </c>
      <c r="AZ125">
        <v>25.394694164209881</v>
      </c>
      <c r="BA125">
        <v>11.181900460604071</v>
      </c>
      <c r="BB125">
        <v>19.179895760802655</v>
      </c>
      <c r="BC125">
        <v>8.14354885679594</v>
      </c>
      <c r="BD125">
        <v>8.7013340885286503</v>
      </c>
      <c r="BE125">
        <v>1014.7709279930644</v>
      </c>
      <c r="BF125">
        <v>25.649365429763851</v>
      </c>
      <c r="BG125">
        <v>11.109356277279122</v>
      </c>
      <c r="BH125">
        <v>20.427192307563793</v>
      </c>
      <c r="BI125">
        <v>8.6713172965250322</v>
      </c>
      <c r="BJ125">
        <v>9.3310730435690257</v>
      </c>
      <c r="BK125">
        <v>1089.2934069675755</v>
      </c>
      <c r="BL125">
        <v>25.802264981123248</v>
      </c>
      <c r="BM125">
        <v>11.182368930218409</v>
      </c>
      <c r="BN125">
        <v>20.9203131034675</v>
      </c>
      <c r="BO125">
        <v>8.8300012319782741</v>
      </c>
      <c r="BP125">
        <v>9.8742906991828843</v>
      </c>
      <c r="BQ125">
        <v>1198.5464110575699</v>
      </c>
      <c r="BR125">
        <v>24.563097710327263</v>
      </c>
      <c r="BS125">
        <v>10.616001205692314</v>
      </c>
      <c r="BU125">
        <v>129</v>
      </c>
      <c r="BV125">
        <v>16.196522227113306</v>
      </c>
      <c r="BW125">
        <v>6.5567600183675303</v>
      </c>
      <c r="BX125">
        <v>7.5000152703769531</v>
      </c>
      <c r="BY125">
        <v>889.06868020731372</v>
      </c>
      <c r="BZ125">
        <v>24.536004828846075</v>
      </c>
      <c r="CA125">
        <v>10.262661944770763</v>
      </c>
      <c r="CB125">
        <v>16.944108239524365</v>
      </c>
      <c r="CC125">
        <v>6.8216381512205935</v>
      </c>
      <c r="CD125">
        <v>7.8653783327379827</v>
      </c>
      <c r="CE125">
        <v>940.18929602957189</v>
      </c>
      <c r="CF125">
        <v>24.439198127119475</v>
      </c>
      <c r="CG125">
        <v>10.188452680136203</v>
      </c>
      <c r="CH125">
        <v>18.322976594219522</v>
      </c>
      <c r="CI125">
        <v>7.3601780995347532</v>
      </c>
      <c r="CJ125">
        <v>8.3988547185886713</v>
      </c>
      <c r="CK125">
        <v>1016.1689488016616</v>
      </c>
      <c r="CL125">
        <v>24.770793501115485</v>
      </c>
      <c r="CM125">
        <v>10.323166274672699</v>
      </c>
      <c r="CN125">
        <v>19.533824420756684</v>
      </c>
      <c r="CO125">
        <v>7.7606062272558978</v>
      </c>
      <c r="CP125">
        <v>9.0382984475836032</v>
      </c>
      <c r="CQ125">
        <v>1091.1790858949716</v>
      </c>
      <c r="CR125">
        <v>24.938957861019794</v>
      </c>
      <c r="CS125">
        <v>10.328432634367424</v>
      </c>
      <c r="CT125">
        <v>19.85488957733952</v>
      </c>
      <c r="CU125">
        <v>7.8132336316173392</v>
      </c>
      <c r="CV125">
        <v>9.4212243552239254</v>
      </c>
      <c r="CW125">
        <v>1200.8476199189072</v>
      </c>
      <c r="CX125">
        <v>23.628800697425124</v>
      </c>
      <c r="CY125">
        <v>9.7489492840856808</v>
      </c>
      <c r="DA125">
        <v>129</v>
      </c>
      <c r="DB125">
        <v>13.437726216437587</v>
      </c>
      <c r="DC125">
        <v>6.013030671373766</v>
      </c>
      <c r="DD125">
        <v>7.1174054859616307</v>
      </c>
      <c r="DE125">
        <v>926.45925093303572</v>
      </c>
      <c r="DF125">
        <v>20.567982240855255</v>
      </c>
      <c r="DG125">
        <v>9.2615859305371622</v>
      </c>
      <c r="DH125">
        <v>14.051310290053296</v>
      </c>
      <c r="DI125">
        <v>6.6573524876712424</v>
      </c>
      <c r="DJ125">
        <v>7.4990341612662892</v>
      </c>
      <c r="DK125">
        <v>973.50523489872</v>
      </c>
      <c r="DL125">
        <v>20.631295871030581</v>
      </c>
      <c r="DM125">
        <v>9.6710198896855388</v>
      </c>
      <c r="DN125">
        <v>15.618851331698355</v>
      </c>
      <c r="DO125">
        <v>6.818008453377554</v>
      </c>
      <c r="DP125">
        <v>8.0550784516489742</v>
      </c>
      <c r="DQ125">
        <v>1051.0388549764834</v>
      </c>
      <c r="DR125">
        <v>21.376170656405545</v>
      </c>
      <c r="DS125">
        <v>9.4648369357423068</v>
      </c>
      <c r="DT125">
        <v>16.785478446374917</v>
      </c>
      <c r="DU125">
        <v>7.6349635048063611</v>
      </c>
      <c r="DV125">
        <v>8.7874826743225789</v>
      </c>
      <c r="DW125">
        <v>1146.2061145673658</v>
      </c>
      <c r="DX125">
        <v>21.343912719234737</v>
      </c>
      <c r="DY125">
        <v>9.7229693827395014</v>
      </c>
      <c r="DZ125">
        <v>17.071106978735219</v>
      </c>
      <c r="EA125">
        <v>7.8589444596504698</v>
      </c>
      <c r="EB125">
        <v>9.1867521062920332</v>
      </c>
      <c r="EC125">
        <v>1260.4236344677724</v>
      </c>
      <c r="ED125">
        <v>20.30333752924497</v>
      </c>
      <c r="EE125">
        <v>9.3244152609850612</v>
      </c>
      <c r="EG125">
        <v>129</v>
      </c>
      <c r="EH125">
        <v>12.608885517820566</v>
      </c>
      <c r="EI125">
        <v>5.5272818590546136</v>
      </c>
      <c r="EJ125">
        <v>6.5462800453587962</v>
      </c>
      <c r="EK125">
        <v>940.10479690454213</v>
      </c>
      <c r="EL125">
        <v>19.387792490224296</v>
      </c>
      <c r="EM125">
        <v>8.6104582999592836</v>
      </c>
      <c r="EN125">
        <v>13.204827044811752</v>
      </c>
      <c r="EO125">
        <v>5.9980409384026903</v>
      </c>
      <c r="EP125">
        <v>6.935101637710714</v>
      </c>
      <c r="EQ125">
        <v>987.73399200247445</v>
      </c>
      <c r="ER125">
        <v>19.477097521923575</v>
      </c>
      <c r="ES125">
        <v>8.8642053539127623</v>
      </c>
      <c r="ET125">
        <v>14.402380757988876</v>
      </c>
      <c r="EU125">
        <v>6.1706778988783508</v>
      </c>
      <c r="EV125">
        <v>7.4437391116595935</v>
      </c>
      <c r="EW125">
        <v>1021.7887125080466</v>
      </c>
      <c r="EX125">
        <v>20.797563230679707</v>
      </c>
      <c r="EY125">
        <v>9.102254416330009</v>
      </c>
      <c r="EZ125">
        <v>15.152831333726944</v>
      </c>
      <c r="FA125">
        <v>6.9768610613226585</v>
      </c>
      <c r="FB125">
        <v>8.1202017642727089</v>
      </c>
      <c r="FC125">
        <v>1133.5237385324342</v>
      </c>
      <c r="FD125">
        <v>20.142389064115534</v>
      </c>
      <c r="FE125">
        <v>9.2511732734775407</v>
      </c>
      <c r="FF125">
        <v>15.320870150818738</v>
      </c>
      <c r="FG125">
        <v>7.1391145429002361</v>
      </c>
      <c r="FH125">
        <v>8.4935821549011354</v>
      </c>
      <c r="FI125">
        <v>1255.9669013450525</v>
      </c>
      <c r="FJ125">
        <v>18.981845482543218</v>
      </c>
      <c r="FK125">
        <v>8.7843743684422542</v>
      </c>
    </row>
    <row r="126" spans="2:167" x14ac:dyDescent="0.2">
      <c r="B126">
        <v>601.20625038839387</v>
      </c>
      <c r="C126">
        <v>1.6633226939240497</v>
      </c>
      <c r="D126">
        <v>645.69394725378049</v>
      </c>
      <c r="E126">
        <v>1.5487213474017045</v>
      </c>
      <c r="F126">
        <v>732.9125212748321</v>
      </c>
      <c r="G126">
        <v>1.3644193146824597</v>
      </c>
      <c r="H126">
        <v>821.81558446105635</v>
      </c>
      <c r="I126">
        <v>1.2168180050464683</v>
      </c>
      <c r="J126">
        <v>911.78290900060495</v>
      </c>
      <c r="K126">
        <v>1.0967522972064576</v>
      </c>
      <c r="L126">
        <v>690.73753805648187</v>
      </c>
      <c r="M126">
        <v>1.4477278921508818</v>
      </c>
      <c r="N126">
        <v>688.72549731865342</v>
      </c>
      <c r="O126">
        <v>1.4519572803579956</v>
      </c>
      <c r="Q126">
        <v>0.24863611331831229</v>
      </c>
      <c r="R126">
        <v>0.24922668812984614</v>
      </c>
      <c r="S126">
        <v>0.2489463824206409</v>
      </c>
      <c r="T126">
        <v>0.24994158216756407</v>
      </c>
      <c r="U126">
        <v>0.25029068322901676</v>
      </c>
      <c r="V126">
        <v>0.24909922054900477</v>
      </c>
      <c r="W126">
        <v>0.24898702085169236</v>
      </c>
      <c r="Y126">
        <v>2.1478538101915015</v>
      </c>
      <c r="Z126">
        <v>2.2065577053811301</v>
      </c>
      <c r="AA126">
        <v>2.234133780666002</v>
      </c>
      <c r="AB126">
        <v>2.3827331312248705</v>
      </c>
      <c r="AC126">
        <v>2.4483108740272961</v>
      </c>
      <c r="AD126">
        <v>2.2216074271870125</v>
      </c>
      <c r="AE126">
        <v>2.2171917690982887</v>
      </c>
      <c r="AG126">
        <v>0.86576771256102381</v>
      </c>
      <c r="AH126">
        <v>0.89970376840872512</v>
      </c>
      <c r="AI126">
        <v>0.90622832773697537</v>
      </c>
      <c r="AJ126">
        <v>0.97729234987096747</v>
      </c>
      <c r="AK126">
        <v>1.0107642139356952</v>
      </c>
      <c r="AL126">
        <v>0.90432236902957741</v>
      </c>
      <c r="AM126">
        <v>0.90023465911755041</v>
      </c>
      <c r="AO126">
        <v>130</v>
      </c>
      <c r="AP126">
        <v>16.931063736981372</v>
      </c>
      <c r="AQ126">
        <v>7.4361298436703311</v>
      </c>
      <c r="AR126">
        <v>7.7395305624900557</v>
      </c>
      <c r="AS126">
        <v>889.96334250540406</v>
      </c>
      <c r="AT126">
        <v>25.336700809644416</v>
      </c>
      <c r="AU126">
        <v>11.240441777963706</v>
      </c>
      <c r="AV126">
        <v>17.832022222466019</v>
      </c>
      <c r="AW126">
        <v>7.7510731453464325</v>
      </c>
      <c r="AX126">
        <v>8.1382071172396042</v>
      </c>
      <c r="AY126">
        <v>940.51741249452243</v>
      </c>
      <c r="AZ126">
        <v>25.374741762948847</v>
      </c>
      <c r="BA126">
        <v>11.173114933855521</v>
      </c>
      <c r="BB126">
        <v>19.179895760802655</v>
      </c>
      <c r="BC126">
        <v>8.14354885679594</v>
      </c>
      <c r="BD126">
        <v>8.7013340885286503</v>
      </c>
      <c r="BE126">
        <v>1015.5575201165381</v>
      </c>
      <c r="BF126">
        <v>25.62949891465318</v>
      </c>
      <c r="BG126">
        <v>11.100751612381789</v>
      </c>
      <c r="BH126">
        <v>20.427192307563793</v>
      </c>
      <c r="BI126">
        <v>8.6713172965250322</v>
      </c>
      <c r="BJ126">
        <v>9.3310730435690257</v>
      </c>
      <c r="BK126">
        <v>1090.1431267612024</v>
      </c>
      <c r="BL126">
        <v>25.782153222642496</v>
      </c>
      <c r="BM126">
        <v>11.173652753428049</v>
      </c>
      <c r="BN126">
        <v>20.9203131034675</v>
      </c>
      <c r="BO126">
        <v>8.8300012319782741</v>
      </c>
      <c r="BP126">
        <v>9.8742906991828843</v>
      </c>
      <c r="BQ126">
        <v>1199.4364541224111</v>
      </c>
      <c r="BR126">
        <v>24.544870638194382</v>
      </c>
      <c r="BS126">
        <v>10.608123590986677</v>
      </c>
      <c r="BU126">
        <v>130</v>
      </c>
      <c r="BV126">
        <v>16.196522227113306</v>
      </c>
      <c r="BW126">
        <v>6.5592597335280312</v>
      </c>
      <c r="BX126">
        <v>7.5000152703769531</v>
      </c>
      <c r="BY126">
        <v>889.79598249465653</v>
      </c>
      <c r="BZ126">
        <v>24.515949565858438</v>
      </c>
      <c r="CA126">
        <v>10.257082753086575</v>
      </c>
      <c r="CB126">
        <v>16.944108239524365</v>
      </c>
      <c r="CC126">
        <v>6.8287599855785972</v>
      </c>
      <c r="CD126">
        <v>7.8653783327379827</v>
      </c>
      <c r="CE126">
        <v>940.95538295123845</v>
      </c>
      <c r="CF126">
        <v>24.419300743672363</v>
      </c>
      <c r="CG126">
        <v>10.187726390659943</v>
      </c>
      <c r="CH126">
        <v>18.322976594219522</v>
      </c>
      <c r="CI126">
        <v>7.3610817434451166</v>
      </c>
      <c r="CJ126">
        <v>8.3988547185886713</v>
      </c>
      <c r="CK126">
        <v>1016.987722987308</v>
      </c>
      <c r="CL126">
        <v>24.750850599329894</v>
      </c>
      <c r="CM126">
        <v>10.315743669680675</v>
      </c>
      <c r="CN126">
        <v>19.533824420756684</v>
      </c>
      <c r="CO126">
        <v>7.7652610285618833</v>
      </c>
      <c r="CP126">
        <v>9.0382984475836032</v>
      </c>
      <c r="CQ126">
        <v>1092.0644721891001</v>
      </c>
      <c r="CR126">
        <v>24.918738714584482</v>
      </c>
      <c r="CS126">
        <v>10.324321291582585</v>
      </c>
      <c r="CT126">
        <v>19.85488957733952</v>
      </c>
      <c r="CU126">
        <v>7.8201146906037673</v>
      </c>
      <c r="CV126">
        <v>9.4212243552239254</v>
      </c>
      <c r="CW126">
        <v>1201.770803433616</v>
      </c>
      <c r="CX126">
        <v>23.610649383369331</v>
      </c>
      <c r="CY126">
        <v>9.747186044146483</v>
      </c>
      <c r="DA126">
        <v>130</v>
      </c>
      <c r="DB126">
        <v>13.437726216437587</v>
      </c>
      <c r="DC126">
        <v>6.0183202577281421</v>
      </c>
      <c r="DD126">
        <v>7.1174054859616307</v>
      </c>
      <c r="DE126">
        <v>927.3619462456561</v>
      </c>
      <c r="DF126">
        <v>20.547961340457036</v>
      </c>
      <c r="DG126">
        <v>9.2582745979285903</v>
      </c>
      <c r="DH126">
        <v>14.051310290053296</v>
      </c>
      <c r="DI126">
        <v>6.6687779005876555</v>
      </c>
      <c r="DJ126">
        <v>7.4990341612662892</v>
      </c>
      <c r="DK126">
        <v>974.45668929019484</v>
      </c>
      <c r="DL126">
        <v>20.61115158214217</v>
      </c>
      <c r="DM126">
        <v>9.67330206250735</v>
      </c>
      <c r="DN126">
        <v>15.618851331698355</v>
      </c>
      <c r="DO126">
        <v>6.8273648864402166</v>
      </c>
      <c r="DP126">
        <v>8.0550784516489742</v>
      </c>
      <c r="DQ126">
        <v>1052.0296912559972</v>
      </c>
      <c r="DR126">
        <v>21.356037873481746</v>
      </c>
      <c r="DS126">
        <v>9.4648163367486369</v>
      </c>
      <c r="DT126">
        <v>16.785478446374917</v>
      </c>
      <c r="DU126">
        <v>7.6638044032710582</v>
      </c>
      <c r="DV126">
        <v>8.7874826743225789</v>
      </c>
      <c r="DW126">
        <v>1147.2937220589442</v>
      </c>
      <c r="DX126">
        <v>21.323679191475712</v>
      </c>
      <c r="DY126">
        <v>9.7388904357117614</v>
      </c>
      <c r="DZ126">
        <v>17.071106978735219</v>
      </c>
      <c r="EA126">
        <v>7.8907617976906188</v>
      </c>
      <c r="EB126">
        <v>9.1867521062920332</v>
      </c>
      <c r="EC126">
        <v>1261.5613125880136</v>
      </c>
      <c r="ED126">
        <v>20.285027945204618</v>
      </c>
      <c r="EE126">
        <v>9.3412270913749555</v>
      </c>
      <c r="EG126">
        <v>130</v>
      </c>
      <c r="EH126">
        <v>12.608885517820566</v>
      </c>
      <c r="EI126">
        <v>5.5312809131886231</v>
      </c>
      <c r="EJ126">
        <v>6.5462800453587962</v>
      </c>
      <c r="EK126">
        <v>941.07989378309696</v>
      </c>
      <c r="EL126">
        <v>19.367703891940373</v>
      </c>
      <c r="EM126">
        <v>8.6057860325925546</v>
      </c>
      <c r="EN126">
        <v>13.204827044811752</v>
      </c>
      <c r="EO126">
        <v>6.0085763582748015</v>
      </c>
      <c r="EP126">
        <v>6.935101637710714</v>
      </c>
      <c r="EQ126">
        <v>988.75313468221304</v>
      </c>
      <c r="ER126">
        <v>19.457021791525609</v>
      </c>
      <c r="ES126">
        <v>8.8657239633829139</v>
      </c>
      <c r="ET126">
        <v>14.402380757988876</v>
      </c>
      <c r="EU126">
        <v>6.1791476998306001</v>
      </c>
      <c r="EV126">
        <v>7.4437391116595935</v>
      </c>
      <c r="EW126">
        <v>1022.7712181014738</v>
      </c>
      <c r="EX126">
        <v>20.777584449656</v>
      </c>
      <c r="EY126">
        <v>9.1017917371734018</v>
      </c>
      <c r="EZ126">
        <v>15.152831333726944</v>
      </c>
      <c r="FA126">
        <v>7.0027376417769132</v>
      </c>
      <c r="FB126">
        <v>8.1202017642727089</v>
      </c>
      <c r="FC126">
        <v>1134.652545291596</v>
      </c>
      <c r="FD126">
        <v>20.122350449637832</v>
      </c>
      <c r="FE126">
        <v>9.2647754934672815</v>
      </c>
      <c r="FF126">
        <v>15.320870150818738</v>
      </c>
      <c r="FG126">
        <v>7.1678373192329188</v>
      </c>
      <c r="FH126">
        <v>8.4935821549011354</v>
      </c>
      <c r="FI126">
        <v>1257.0452778956292</v>
      </c>
      <c r="FJ126">
        <v>18.965561600478676</v>
      </c>
      <c r="FK126">
        <v>8.7996879878804446</v>
      </c>
    </row>
    <row r="127" spans="2:167" x14ac:dyDescent="0.2">
      <c r="B127">
        <v>601.20625038839387</v>
      </c>
      <c r="C127">
        <v>1.6633226939240497</v>
      </c>
      <c r="D127">
        <v>645.69394725378049</v>
      </c>
      <c r="E127">
        <v>1.5487213474017045</v>
      </c>
      <c r="F127">
        <v>732.9125212748321</v>
      </c>
      <c r="G127">
        <v>1.3644193146824597</v>
      </c>
      <c r="H127">
        <v>821.81558446105635</v>
      </c>
      <c r="I127">
        <v>1.2168180050464683</v>
      </c>
      <c r="J127">
        <v>911.78290900060495</v>
      </c>
      <c r="K127">
        <v>1.0967522972064576</v>
      </c>
      <c r="L127">
        <v>690.73753805648187</v>
      </c>
      <c r="M127">
        <v>1.4477278921508818</v>
      </c>
      <c r="N127">
        <v>688.72549731865342</v>
      </c>
      <c r="O127">
        <v>1.4519572803579956</v>
      </c>
      <c r="Q127">
        <v>0.25050906874366452</v>
      </c>
      <c r="R127">
        <v>0.25110112302760612</v>
      </c>
      <c r="S127">
        <v>0.25081591067754067</v>
      </c>
      <c r="T127">
        <v>0.25181356652536885</v>
      </c>
      <c r="U127">
        <v>0.25216269353511028</v>
      </c>
      <c r="V127">
        <v>0.25097011813214998</v>
      </c>
      <c r="W127">
        <v>0.2508598188493732</v>
      </c>
      <c r="Y127">
        <v>2.1478538101915015</v>
      </c>
      <c r="Z127">
        <v>2.2065577053811301</v>
      </c>
      <c r="AA127">
        <v>2.234133780666002</v>
      </c>
      <c r="AB127">
        <v>2.3827331312248705</v>
      </c>
      <c r="AC127">
        <v>2.4483108740272961</v>
      </c>
      <c r="AD127">
        <v>2.2216074271870125</v>
      </c>
      <c r="AE127">
        <v>2.2171917690982887</v>
      </c>
      <c r="AG127">
        <v>0.86576771256102381</v>
      </c>
      <c r="AH127">
        <v>0.89970376840872512</v>
      </c>
      <c r="AI127">
        <v>0.90622832773697537</v>
      </c>
      <c r="AJ127">
        <v>0.97729234987096747</v>
      </c>
      <c r="AK127">
        <v>1.0107642139356952</v>
      </c>
      <c r="AL127">
        <v>0.90432236902957741</v>
      </c>
      <c r="AM127">
        <v>0.90023465911755041</v>
      </c>
      <c r="AO127">
        <v>131</v>
      </c>
      <c r="AP127">
        <v>16.931063736981372</v>
      </c>
      <c r="AQ127">
        <v>7.4361298436703311</v>
      </c>
      <c r="AR127">
        <v>7.7395305624900557</v>
      </c>
      <c r="AS127">
        <v>890.6626599016106</v>
      </c>
      <c r="AT127">
        <v>25.316807311874314</v>
      </c>
      <c r="AU127">
        <v>11.23161617335461</v>
      </c>
      <c r="AV127">
        <v>17.832022222466019</v>
      </c>
      <c r="AW127">
        <v>7.7510731453464325</v>
      </c>
      <c r="AX127">
        <v>8.1382071172396042</v>
      </c>
      <c r="AY127">
        <v>941.25753365007142</v>
      </c>
      <c r="AZ127">
        <v>25.354789324297414</v>
      </c>
      <c r="BA127">
        <v>11.16432939064307</v>
      </c>
      <c r="BB127">
        <v>19.179895760802655</v>
      </c>
      <c r="BC127">
        <v>8.14354885679594</v>
      </c>
      <c r="BD127">
        <v>8.7013340885286503</v>
      </c>
      <c r="BE127">
        <v>1016.3453367258953</v>
      </c>
      <c r="BF127">
        <v>25.609632296285536</v>
      </c>
      <c r="BG127">
        <v>11.092146902761378</v>
      </c>
      <c r="BH127">
        <v>20.427192307563793</v>
      </c>
      <c r="BI127">
        <v>8.6713172965250322</v>
      </c>
      <c r="BJ127">
        <v>9.3310730435690257</v>
      </c>
      <c r="BK127">
        <v>1090.994169567676</v>
      </c>
      <c r="BL127">
        <v>25.762041551427771</v>
      </c>
      <c r="BM127">
        <v>11.164936614457661</v>
      </c>
      <c r="BN127">
        <v>20.9203131034675</v>
      </c>
      <c r="BO127">
        <v>8.8300012319782741</v>
      </c>
      <c r="BP127">
        <v>9.8742906991828843</v>
      </c>
      <c r="BQ127">
        <v>1200.3278829833905</v>
      </c>
      <c r="BR127">
        <v>24.526642280438072</v>
      </c>
      <c r="BS127">
        <v>10.600245420643471</v>
      </c>
      <c r="BU127">
        <v>131</v>
      </c>
      <c r="BV127">
        <v>16.196522227113306</v>
      </c>
      <c r="BW127">
        <v>6.5610243485079414</v>
      </c>
      <c r="BX127">
        <v>7.5000152703769531</v>
      </c>
      <c r="BY127">
        <v>890.52447405098383</v>
      </c>
      <c r="BZ127">
        <v>24.495894348091284</v>
      </c>
      <c r="CA127">
        <v>10.250673515199718</v>
      </c>
      <c r="CB127">
        <v>16.944108239524365</v>
      </c>
      <c r="CC127">
        <v>6.8351856892484459</v>
      </c>
      <c r="CD127">
        <v>7.8653783327379827</v>
      </c>
      <c r="CE127">
        <v>941.7227225616856</v>
      </c>
      <c r="CF127">
        <v>24.399403276752302</v>
      </c>
      <c r="CG127">
        <v>10.186248522178321</v>
      </c>
      <c r="CH127">
        <v>18.322976594219522</v>
      </c>
      <c r="CI127">
        <v>7.3610943215725717</v>
      </c>
      <c r="CJ127">
        <v>8.3988547185886713</v>
      </c>
      <c r="CK127">
        <v>1017.8078195765009</v>
      </c>
      <c r="CL127">
        <v>24.730907651588954</v>
      </c>
      <c r="CM127">
        <v>10.307444138169359</v>
      </c>
      <c r="CN127">
        <v>19.533824420756684</v>
      </c>
      <c r="CO127">
        <v>7.7690230983644009</v>
      </c>
      <c r="CP127">
        <v>9.0382984475836032</v>
      </c>
      <c r="CQ127">
        <v>1092.9512886372033</v>
      </c>
      <c r="CR127">
        <v>24.898519746376266</v>
      </c>
      <c r="CS127">
        <v>10.31938629750697</v>
      </c>
      <c r="CT127">
        <v>19.85488957733952</v>
      </c>
      <c r="CU127">
        <v>7.8261399670447718</v>
      </c>
      <c r="CV127">
        <v>9.4212243552239254</v>
      </c>
      <c r="CW127">
        <v>1202.6954781557017</v>
      </c>
      <c r="CX127">
        <v>23.592496682994746</v>
      </c>
      <c r="CY127">
        <v>9.7447018740803699</v>
      </c>
      <c r="DA127">
        <v>131</v>
      </c>
      <c r="DB127">
        <v>13.437726216437587</v>
      </c>
      <c r="DC127">
        <v>6.022982008752737</v>
      </c>
      <c r="DD127">
        <v>7.1174054859616307</v>
      </c>
      <c r="DE127">
        <v>928.26640143510326</v>
      </c>
      <c r="DF127">
        <v>20.527940460418503</v>
      </c>
      <c r="DG127">
        <v>9.2542758067678985</v>
      </c>
      <c r="DH127">
        <v>14.051310290053296</v>
      </c>
      <c r="DI127">
        <v>6.6795862843695906</v>
      </c>
      <c r="DJ127">
        <v>7.4990341612662892</v>
      </c>
      <c r="DK127">
        <v>975.40999861822672</v>
      </c>
      <c r="DL127">
        <v>20.591007434458046</v>
      </c>
      <c r="DM127">
        <v>9.6749287986440766</v>
      </c>
      <c r="DN127">
        <v>15.618851331698355</v>
      </c>
      <c r="DO127">
        <v>6.8360371594508091</v>
      </c>
      <c r="DP127">
        <v>8.0550784516489742</v>
      </c>
      <c r="DQ127">
        <v>1053.022391277106</v>
      </c>
      <c r="DR127">
        <v>21.335905215882612</v>
      </c>
      <c r="DS127">
        <v>9.464129313972407</v>
      </c>
      <c r="DT127">
        <v>16.785478446374917</v>
      </c>
      <c r="DU127">
        <v>7.692176097007529</v>
      </c>
      <c r="DV127">
        <v>8.7874826743225789</v>
      </c>
      <c r="DW127">
        <v>1148.3833835463431</v>
      </c>
      <c r="DX127">
        <v>21.303445885841452</v>
      </c>
      <c r="DY127">
        <v>9.7543553058528065</v>
      </c>
      <c r="DZ127">
        <v>17.071106978735219</v>
      </c>
      <c r="EA127">
        <v>7.922132412383597</v>
      </c>
      <c r="EB127">
        <v>9.1867521062920332</v>
      </c>
      <c r="EC127">
        <v>1262.7011392647166</v>
      </c>
      <c r="ED127">
        <v>20.2667168696297</v>
      </c>
      <c r="EE127">
        <v>9.357638920125785</v>
      </c>
      <c r="EG127">
        <v>131</v>
      </c>
      <c r="EH127">
        <v>12.608885517820566</v>
      </c>
      <c r="EI127">
        <v>5.5346849938159819</v>
      </c>
      <c r="EJ127">
        <v>6.5462800453587962</v>
      </c>
      <c r="EK127">
        <v>942.05701106760944</v>
      </c>
      <c r="EL127">
        <v>19.347615385606037</v>
      </c>
      <c r="EM127">
        <v>8.600473422428724</v>
      </c>
      <c r="EN127">
        <v>13.204827044811752</v>
      </c>
      <c r="EO127">
        <v>6.0185608682068317</v>
      </c>
      <c r="EP127">
        <v>6.935101637710714</v>
      </c>
      <c r="EQ127">
        <v>989.77437865372747</v>
      </c>
      <c r="ER127">
        <v>19.436946139299444</v>
      </c>
      <c r="ES127">
        <v>8.866664018815122</v>
      </c>
      <c r="ET127">
        <v>14.402380757988876</v>
      </c>
      <c r="EU127">
        <v>6.1869983332899032</v>
      </c>
      <c r="EV127">
        <v>7.4437391116595935</v>
      </c>
      <c r="EW127">
        <v>1023.7556159844632</v>
      </c>
      <c r="EX127">
        <v>20.75760564824429</v>
      </c>
      <c r="EY127">
        <v>9.1007083232796333</v>
      </c>
      <c r="EZ127">
        <v>15.152831333726944</v>
      </c>
      <c r="FA127">
        <v>7.028175397699103</v>
      </c>
      <c r="FB127">
        <v>8.1202017642727089</v>
      </c>
      <c r="FC127">
        <v>1135.7836003380628</v>
      </c>
      <c r="FD127">
        <v>20.10231187361326</v>
      </c>
      <c r="FE127">
        <v>9.2779459467485843</v>
      </c>
      <c r="FF127">
        <v>15.320870150818738</v>
      </c>
      <c r="FG127">
        <v>7.1961504931088731</v>
      </c>
      <c r="FH127">
        <v>8.4935821549011354</v>
      </c>
      <c r="FI127">
        <v>1258.1257087389611</v>
      </c>
      <c r="FJ127">
        <v>18.949274692444021</v>
      </c>
      <c r="FK127">
        <v>8.8146353968965112</v>
      </c>
    </row>
    <row r="128" spans="2:167" x14ac:dyDescent="0.2">
      <c r="B128">
        <v>601.20625038839387</v>
      </c>
      <c r="C128">
        <v>1.6633226939240497</v>
      </c>
      <c r="D128">
        <v>645.69394725378049</v>
      </c>
      <c r="E128">
        <v>1.5487213474017045</v>
      </c>
      <c r="F128">
        <v>732.9125212748321</v>
      </c>
      <c r="G128">
        <v>1.3644193146824597</v>
      </c>
      <c r="H128">
        <v>821.81558446105635</v>
      </c>
      <c r="I128">
        <v>1.2168180050464683</v>
      </c>
      <c r="J128">
        <v>911.78290900060495</v>
      </c>
      <c r="K128">
        <v>1.0967522972064576</v>
      </c>
      <c r="L128">
        <v>690.73753805648187</v>
      </c>
      <c r="M128">
        <v>1.4477278921508818</v>
      </c>
      <c r="N128">
        <v>688.72549731865342</v>
      </c>
      <c r="O128">
        <v>1.4519572803579956</v>
      </c>
      <c r="Q128">
        <v>0.25238202416901673</v>
      </c>
      <c r="R128">
        <v>0.25297555792536613</v>
      </c>
      <c r="S128">
        <v>0.2526854389344404</v>
      </c>
      <c r="T128">
        <v>0.25368555088317368</v>
      </c>
      <c r="U128">
        <v>0.2540347038412038</v>
      </c>
      <c r="V128">
        <v>0.25284101571529516</v>
      </c>
      <c r="W128">
        <v>0.252732616847054</v>
      </c>
      <c r="Y128">
        <v>2.1478538101915015</v>
      </c>
      <c r="Z128">
        <v>2.2065577053811301</v>
      </c>
      <c r="AA128">
        <v>2.234133780666002</v>
      </c>
      <c r="AB128">
        <v>2.3827331312248705</v>
      </c>
      <c r="AC128">
        <v>2.4483108740272961</v>
      </c>
      <c r="AD128">
        <v>2.2216074271870125</v>
      </c>
      <c r="AE128">
        <v>2.2171917690982887</v>
      </c>
      <c r="AG128">
        <v>0.86576771256102381</v>
      </c>
      <c r="AH128">
        <v>0.89970376840872512</v>
      </c>
      <c r="AI128">
        <v>0.90622832773697537</v>
      </c>
      <c r="AJ128">
        <v>0.97729234987096747</v>
      </c>
      <c r="AK128">
        <v>1.0107642139356952</v>
      </c>
      <c r="AL128">
        <v>0.90432236902957741</v>
      </c>
      <c r="AM128">
        <v>0.90023465911755041</v>
      </c>
      <c r="AO128">
        <v>132</v>
      </c>
      <c r="AP128">
        <v>16.931063736981372</v>
      </c>
      <c r="AQ128">
        <v>7.4361298436703311</v>
      </c>
      <c r="AR128">
        <v>7.7395305624900557</v>
      </c>
      <c r="AS128">
        <v>891.36308012821507</v>
      </c>
      <c r="AT128">
        <v>25.296913730560924</v>
      </c>
      <c r="AU128">
        <v>11.222790531682145</v>
      </c>
      <c r="AV128">
        <v>17.832022222466019</v>
      </c>
      <c r="AW128">
        <v>7.7510731453464325</v>
      </c>
      <c r="AX128">
        <v>8.1382071172396042</v>
      </c>
      <c r="AY128">
        <v>941.99882195999555</v>
      </c>
      <c r="AZ128">
        <v>25.334836848255474</v>
      </c>
      <c r="BA128">
        <v>11.155543830966673</v>
      </c>
      <c r="BB128">
        <v>19.179895760802655</v>
      </c>
      <c r="BC128">
        <v>8.14354885679594</v>
      </c>
      <c r="BD128">
        <v>8.7013340885286503</v>
      </c>
      <c r="BE128">
        <v>1017.1343806825945</v>
      </c>
      <c r="BF128">
        <v>25.58976557466011</v>
      </c>
      <c r="BG128">
        <v>11.083542148417543</v>
      </c>
      <c r="BH128">
        <v>20.427192307563793</v>
      </c>
      <c r="BI128">
        <v>8.6713172965250322</v>
      </c>
      <c r="BJ128">
        <v>9.3310730435690257</v>
      </c>
      <c r="BK128">
        <v>1091.846538479298</v>
      </c>
      <c r="BL128">
        <v>25.741929967478498</v>
      </c>
      <c r="BM128">
        <v>11.156220513306989</v>
      </c>
      <c r="BN128">
        <v>20.9203131034675</v>
      </c>
      <c r="BO128">
        <v>8.8300012319782741</v>
      </c>
      <c r="BP128">
        <v>9.8742906991828843</v>
      </c>
      <c r="BQ128">
        <v>1201.2207008795551</v>
      </c>
      <c r="BR128">
        <v>24.508412636922301</v>
      </c>
      <c r="BS128">
        <v>10.592366694603903</v>
      </c>
      <c r="BU128">
        <v>132</v>
      </c>
      <c r="BV128">
        <v>16.196522227113306</v>
      </c>
      <c r="BW128">
        <v>6.5620538633072583</v>
      </c>
      <c r="BX128">
        <v>7.5000152703769531</v>
      </c>
      <c r="BY128">
        <v>891.25415779568311</v>
      </c>
      <c r="BZ128">
        <v>24.475839175544451</v>
      </c>
      <c r="CA128">
        <v>10.243436258598416</v>
      </c>
      <c r="CB128">
        <v>16.944108239524365</v>
      </c>
      <c r="CC128">
        <v>6.8409152622301423</v>
      </c>
      <c r="CD128">
        <v>7.8653783327379827</v>
      </c>
      <c r="CE128">
        <v>942.49131793598201</v>
      </c>
      <c r="CF128">
        <v>24.379505726358762</v>
      </c>
      <c r="CG128">
        <v>10.184020883075521</v>
      </c>
      <c r="CH128">
        <v>18.322976594219522</v>
      </c>
      <c r="CI128">
        <v>7.3610943215725717</v>
      </c>
      <c r="CJ128">
        <v>8.3988547185886713</v>
      </c>
      <c r="CK128">
        <v>1018.6292417755539</v>
      </c>
      <c r="CL128">
        <v>24.710964657892511</v>
      </c>
      <c r="CM128">
        <v>10.299132219481621</v>
      </c>
      <c r="CN128">
        <v>19.533824420756684</v>
      </c>
      <c r="CO128">
        <v>7.7718924366634434</v>
      </c>
      <c r="CP128">
        <v>9.0382984475836032</v>
      </c>
      <c r="CQ128">
        <v>1093.8395387072483</v>
      </c>
      <c r="CR128">
        <v>24.878300956392799</v>
      </c>
      <c r="CS128">
        <v>10.313629642092977</v>
      </c>
      <c r="CT128">
        <v>19.85488957733952</v>
      </c>
      <c r="CU128">
        <v>7.8313094609403544</v>
      </c>
      <c r="CV128">
        <v>9.4212243552239254</v>
      </c>
      <c r="CW128">
        <v>1203.621647701179</v>
      </c>
      <c r="CX128">
        <v>23.574342596142539</v>
      </c>
      <c r="CY128">
        <v>9.741498415404374</v>
      </c>
      <c r="DA128">
        <v>132</v>
      </c>
      <c r="DB128">
        <v>13.437726216437587</v>
      </c>
      <c r="DC128">
        <v>6.0270159244475474</v>
      </c>
      <c r="DD128">
        <v>7.1174054859616307</v>
      </c>
      <c r="DE128">
        <v>929.17262165293016</v>
      </c>
      <c r="DF128">
        <v>20.507919600739612</v>
      </c>
      <c r="DG128">
        <v>9.2495915360078662</v>
      </c>
      <c r="DH128">
        <v>14.051310290053296</v>
      </c>
      <c r="DI128">
        <v>6.6897776390170405</v>
      </c>
      <c r="DJ128">
        <v>7.4990341612662892</v>
      </c>
      <c r="DK128">
        <v>976.36516831262963</v>
      </c>
      <c r="DL128">
        <v>20.570863427976732</v>
      </c>
      <c r="DM128">
        <v>9.6759019548916729</v>
      </c>
      <c r="DN128">
        <v>15.618851331698355</v>
      </c>
      <c r="DO128">
        <v>6.8440252724093273</v>
      </c>
      <c r="DP128">
        <v>8.0550784516489742</v>
      </c>
      <c r="DQ128">
        <v>1054.0169603032462</v>
      </c>
      <c r="DR128">
        <v>21.315772683606969</v>
      </c>
      <c r="DS128">
        <v>9.4627777067685379</v>
      </c>
      <c r="DT128">
        <v>16.785478446374917</v>
      </c>
      <c r="DU128">
        <v>7.7200785860157692</v>
      </c>
      <c r="DV128">
        <v>8.7874826743225789</v>
      </c>
      <c r="DW128">
        <v>1149.4751048536575</v>
      </c>
      <c r="DX128">
        <v>21.2832128023283</v>
      </c>
      <c r="DY128">
        <v>9.7693651580965586</v>
      </c>
      <c r="DZ128">
        <v>17.071106978735219</v>
      </c>
      <c r="EA128">
        <v>7.9530563037294026</v>
      </c>
      <c r="EB128">
        <v>9.1867521062920332</v>
      </c>
      <c r="EC128">
        <v>1263.8431205901029</v>
      </c>
      <c r="ED128">
        <v>20.248404302337956</v>
      </c>
      <c r="EE128">
        <v>9.3736517006043183</v>
      </c>
      <c r="EG128">
        <v>132</v>
      </c>
      <c r="EH128">
        <v>12.608885517820566</v>
      </c>
      <c r="EI128">
        <v>5.5374941009366943</v>
      </c>
      <c r="EJ128">
        <v>6.5462800453587962</v>
      </c>
      <c r="EK128">
        <v>943.03615504403001</v>
      </c>
      <c r="EL128">
        <v>19.32752697122066</v>
      </c>
      <c r="EM128">
        <v>8.5945224367796502</v>
      </c>
      <c r="EN128">
        <v>13.204827044811752</v>
      </c>
      <c r="EO128">
        <v>6.0279944681987736</v>
      </c>
      <c r="EP128">
        <v>6.935101637710714</v>
      </c>
      <c r="EQ128">
        <v>990.79773042246188</v>
      </c>
      <c r="ER128">
        <v>19.416870565244622</v>
      </c>
      <c r="ES128">
        <v>8.8670272450059624</v>
      </c>
      <c r="ET128">
        <v>14.402380757988876</v>
      </c>
      <c r="EU128">
        <v>6.1942297992562638</v>
      </c>
      <c r="EV128">
        <v>7.4437391116595935</v>
      </c>
      <c r="EW128">
        <v>1024.7419116290623</v>
      </c>
      <c r="EX128">
        <v>20.737626826444547</v>
      </c>
      <c r="EY128">
        <v>9.0990059209519263</v>
      </c>
      <c r="EZ128">
        <v>15.152831333726944</v>
      </c>
      <c r="FA128">
        <v>7.0531743290892326</v>
      </c>
      <c r="FB128">
        <v>8.1202017642727089</v>
      </c>
      <c r="FC128">
        <v>1136.9169103955292</v>
      </c>
      <c r="FD128">
        <v>20.082273336041709</v>
      </c>
      <c r="FE128">
        <v>9.2906857888633549</v>
      </c>
      <c r="FF128">
        <v>15.320870150818738</v>
      </c>
      <c r="FG128">
        <v>7.2240540645280982</v>
      </c>
      <c r="FH128">
        <v>8.4935821549011354</v>
      </c>
      <c r="FI128">
        <v>1259.2081997507441</v>
      </c>
      <c r="FJ128">
        <v>18.932984757595722</v>
      </c>
      <c r="FK128">
        <v>8.8292174237873571</v>
      </c>
    </row>
    <row r="129" spans="2:167" x14ac:dyDescent="0.2">
      <c r="B129">
        <v>601.20625038839387</v>
      </c>
      <c r="C129">
        <v>1.6633226939240497</v>
      </c>
      <c r="D129">
        <v>645.69394725378049</v>
      </c>
      <c r="E129">
        <v>1.5487213474017045</v>
      </c>
      <c r="F129">
        <v>732.9125212748321</v>
      </c>
      <c r="G129">
        <v>1.3644193146824597</v>
      </c>
      <c r="H129">
        <v>821.81558446105635</v>
      </c>
      <c r="I129">
        <v>1.2168180050464683</v>
      </c>
      <c r="J129">
        <v>911.78290900060495</v>
      </c>
      <c r="K129">
        <v>1.0967522972064576</v>
      </c>
      <c r="L129">
        <v>690.73753805648187</v>
      </c>
      <c r="M129">
        <v>1.4477278921508818</v>
      </c>
      <c r="N129">
        <v>688.72549731865342</v>
      </c>
      <c r="O129">
        <v>1.4519572803579956</v>
      </c>
      <c r="Q129">
        <v>0.25425497959436894</v>
      </c>
      <c r="R129">
        <v>0.25484999282312615</v>
      </c>
      <c r="S129">
        <v>0.25455496719134019</v>
      </c>
      <c r="T129">
        <v>0.25555753524097852</v>
      </c>
      <c r="U129">
        <v>0.25590671414729732</v>
      </c>
      <c r="V129">
        <v>0.25471191329844034</v>
      </c>
      <c r="W129">
        <v>0.25460541484473481</v>
      </c>
      <c r="Y129">
        <v>2.1478538101915015</v>
      </c>
      <c r="Z129">
        <v>2.2065577053811301</v>
      </c>
      <c r="AA129">
        <v>2.234133780666002</v>
      </c>
      <c r="AB129">
        <v>2.3827331312248705</v>
      </c>
      <c r="AC129">
        <v>2.4483108740272961</v>
      </c>
      <c r="AD129">
        <v>2.2216074271870125</v>
      </c>
      <c r="AE129">
        <v>2.2171917690982887</v>
      </c>
      <c r="AG129">
        <v>0.86576771256102381</v>
      </c>
      <c r="AH129">
        <v>0.89970376840872512</v>
      </c>
      <c r="AI129">
        <v>0.90622832773697537</v>
      </c>
      <c r="AJ129">
        <v>0.97729234987096747</v>
      </c>
      <c r="AK129">
        <v>1.0107642139356952</v>
      </c>
      <c r="AL129">
        <v>0.90432236902957741</v>
      </c>
      <c r="AM129">
        <v>0.90023465911755041</v>
      </c>
      <c r="AO129">
        <v>133</v>
      </c>
      <c r="AP129">
        <v>16.931063736981372</v>
      </c>
      <c r="AQ129">
        <v>7.4361298436703311</v>
      </c>
      <c r="AR129">
        <v>7.7395305624900557</v>
      </c>
      <c r="AS129">
        <v>892.06460579603777</v>
      </c>
      <c r="AT129">
        <v>25.277020065703717</v>
      </c>
      <c r="AU129">
        <v>11.213964852946081</v>
      </c>
      <c r="AV129">
        <v>17.832022222466019</v>
      </c>
      <c r="AW129">
        <v>7.7510731453464325</v>
      </c>
      <c r="AX129">
        <v>8.1382071172396042</v>
      </c>
      <c r="AY129">
        <v>942.74128018733757</v>
      </c>
      <c r="AZ129">
        <v>25.314884334822924</v>
      </c>
      <c r="BA129">
        <v>11.146758254826281</v>
      </c>
      <c r="BB129">
        <v>19.179895760802655</v>
      </c>
      <c r="BC129">
        <v>8.14354885679594</v>
      </c>
      <c r="BD129">
        <v>8.7013340885286503</v>
      </c>
      <c r="BE129">
        <v>1017.9246548570163</v>
      </c>
      <c r="BF129">
        <v>25.569898749776097</v>
      </c>
      <c r="BG129">
        <v>11.074937349349934</v>
      </c>
      <c r="BH129">
        <v>20.427192307563793</v>
      </c>
      <c r="BI129">
        <v>8.6713172965250322</v>
      </c>
      <c r="BJ129">
        <v>9.3310730435690257</v>
      </c>
      <c r="BK129">
        <v>1092.7002365980147</v>
      </c>
      <c r="BL129">
        <v>25.721818470794105</v>
      </c>
      <c r="BM129">
        <v>11.147504449975795</v>
      </c>
      <c r="BN129">
        <v>20.9203131034675</v>
      </c>
      <c r="BO129">
        <v>8.8300012319782741</v>
      </c>
      <c r="BP129">
        <v>9.8742906991828843</v>
      </c>
      <c r="BQ129">
        <v>1202.1149110600529</v>
      </c>
      <c r="BR129">
        <v>24.490181707511024</v>
      </c>
      <c r="BS129">
        <v>10.58448741280918</v>
      </c>
      <c r="BU129">
        <v>133</v>
      </c>
      <c r="BV129">
        <v>16.196522227113306</v>
      </c>
      <c r="BW129">
        <v>6.5623482779259827</v>
      </c>
      <c r="BX129">
        <v>7.5000152703769531</v>
      </c>
      <c r="BY129">
        <v>891.98503665770477</v>
      </c>
      <c r="BZ129">
        <v>24.45578404821779</v>
      </c>
      <c r="CA129">
        <v>10.235373010761769</v>
      </c>
      <c r="CB129">
        <v>16.944108239524365</v>
      </c>
      <c r="CC129">
        <v>6.8459487045236829</v>
      </c>
      <c r="CD129">
        <v>7.8653783327379827</v>
      </c>
      <c r="CE129">
        <v>943.26117215926922</v>
      </c>
      <c r="CF129">
        <v>24.359608092491221</v>
      </c>
      <c r="CG129">
        <v>10.181045281750901</v>
      </c>
      <c r="CH129">
        <v>18.322976594219522</v>
      </c>
      <c r="CI129">
        <v>7.3610943215725717</v>
      </c>
      <c r="CJ129">
        <v>8.3988547185886713</v>
      </c>
      <c r="CK129">
        <v>1019.4519928011542</v>
      </c>
      <c r="CL129">
        <v>24.691021618240402</v>
      </c>
      <c r="CM129">
        <v>10.290820281640302</v>
      </c>
      <c r="CN129">
        <v>19.533824420756684</v>
      </c>
      <c r="CO129">
        <v>7.7738690434590163</v>
      </c>
      <c r="CP129">
        <v>9.0382984475836032</v>
      </c>
      <c r="CQ129">
        <v>1094.7292258784239</v>
      </c>
      <c r="CR129">
        <v>24.858082344631715</v>
      </c>
      <c r="CS129">
        <v>10.307053315257932</v>
      </c>
      <c r="CT129">
        <v>19.85488957733952</v>
      </c>
      <c r="CU129">
        <v>7.8356231722905134</v>
      </c>
      <c r="CV129">
        <v>9.4212243552239254</v>
      </c>
      <c r="CW129">
        <v>1204.5493156977632</v>
      </c>
      <c r="CX129">
        <v>23.556187122653863</v>
      </c>
      <c r="CY129">
        <v>9.7375773098862908</v>
      </c>
      <c r="DA129">
        <v>133</v>
      </c>
      <c r="DB129">
        <v>13.437726216437587</v>
      </c>
      <c r="DC129">
        <v>6.0304220048125794</v>
      </c>
      <c r="DD129">
        <v>7.1174054859616307</v>
      </c>
      <c r="DE129">
        <v>930.08061207081562</v>
      </c>
      <c r="DF129">
        <v>20.487898761420343</v>
      </c>
      <c r="DG129">
        <v>9.2442237645972778</v>
      </c>
      <c r="DH129">
        <v>14.051310290053296</v>
      </c>
      <c r="DI129">
        <v>6.699351964530007</v>
      </c>
      <c r="DJ129">
        <v>7.4990341612662892</v>
      </c>
      <c r="DK129">
        <v>977.32220382443074</v>
      </c>
      <c r="DL129">
        <v>20.550719562696738</v>
      </c>
      <c r="DM129">
        <v>9.6762233880200696</v>
      </c>
      <c r="DN129">
        <v>15.618851331698355</v>
      </c>
      <c r="DO129">
        <v>6.8513292253157712</v>
      </c>
      <c r="DP129">
        <v>8.0550784516489742</v>
      </c>
      <c r="DQ129">
        <v>1055.013403617693</v>
      </c>
      <c r="DR129">
        <v>21.295640276653643</v>
      </c>
      <c r="DS129">
        <v>9.460763354469055</v>
      </c>
      <c r="DT129">
        <v>16.785478446374917</v>
      </c>
      <c r="DU129">
        <v>7.7475118702957815</v>
      </c>
      <c r="DV129">
        <v>8.7874826743225789</v>
      </c>
      <c r="DW129">
        <v>1150.5688918270225</v>
      </c>
      <c r="DX129">
        <v>21.262979940932595</v>
      </c>
      <c r="DY129">
        <v>9.7839211573513669</v>
      </c>
      <c r="DZ129">
        <v>17.071106978735219</v>
      </c>
      <c r="EA129">
        <v>7.983533471728034</v>
      </c>
      <c r="EB129">
        <v>9.1867521062920332</v>
      </c>
      <c r="EC129">
        <v>1264.9872626794481</v>
      </c>
      <c r="ED129">
        <v>20.23009024314711</v>
      </c>
      <c r="EE129">
        <v>9.38926638633267</v>
      </c>
      <c r="EG129">
        <v>133</v>
      </c>
      <c r="EH129">
        <v>12.608885517820566</v>
      </c>
      <c r="EI129">
        <v>5.5397082345507549</v>
      </c>
      <c r="EJ129">
        <v>6.5462800453587962</v>
      </c>
      <c r="EK129">
        <v>944.01733202441187</v>
      </c>
      <c r="EL129">
        <v>19.307438648783609</v>
      </c>
      <c r="EM129">
        <v>8.5879350429391721</v>
      </c>
      <c r="EN129">
        <v>13.204827044811752</v>
      </c>
      <c r="EO129">
        <v>6.0368771582506326</v>
      </c>
      <c r="EP129">
        <v>6.935101637710714</v>
      </c>
      <c r="EQ129">
        <v>991.82319652074159</v>
      </c>
      <c r="ER129">
        <v>19.396795069360685</v>
      </c>
      <c r="ES129">
        <v>8.8668153667385923</v>
      </c>
      <c r="ET129">
        <v>14.402380757988876</v>
      </c>
      <c r="EU129">
        <v>6.2008420977296783</v>
      </c>
      <c r="EV129">
        <v>7.4437391116595935</v>
      </c>
      <c r="EW129">
        <v>1025.7301105284366</v>
      </c>
      <c r="EX129">
        <v>20.71764798425674</v>
      </c>
      <c r="EY129">
        <v>9.0966862764970671</v>
      </c>
      <c r="EZ129">
        <v>15.152831333726944</v>
      </c>
      <c r="FA129">
        <v>7.0777344359472982</v>
      </c>
      <c r="FB129">
        <v>8.1202017642727089</v>
      </c>
      <c r="FC129">
        <v>1138.0524822145271</v>
      </c>
      <c r="FD129">
        <v>20.062234836923068</v>
      </c>
      <c r="FE129">
        <v>9.3029961753490511</v>
      </c>
      <c r="FF129">
        <v>15.320870150818738</v>
      </c>
      <c r="FG129">
        <v>7.2515480334905913</v>
      </c>
      <c r="FH129">
        <v>8.4935821549011354</v>
      </c>
      <c r="FI129">
        <v>1260.2927568291041</v>
      </c>
      <c r="FJ129">
        <v>18.916691795089939</v>
      </c>
      <c r="FK129">
        <v>8.8434348971577723</v>
      </c>
    </row>
    <row r="130" spans="2:167" x14ac:dyDescent="0.2">
      <c r="B130">
        <v>601.20625038839387</v>
      </c>
      <c r="C130">
        <v>1.6633226939240497</v>
      </c>
      <c r="D130">
        <v>645.69394725378049</v>
      </c>
      <c r="E130">
        <v>1.5487213474017045</v>
      </c>
      <c r="F130">
        <v>732.9125212748321</v>
      </c>
      <c r="G130">
        <v>1.3644193146824597</v>
      </c>
      <c r="H130">
        <v>821.81558446105635</v>
      </c>
      <c r="I130">
        <v>1.2168180050464683</v>
      </c>
      <c r="J130">
        <v>911.78290900060495</v>
      </c>
      <c r="K130">
        <v>1.0967522972064576</v>
      </c>
      <c r="L130">
        <v>690.73753805648187</v>
      </c>
      <c r="M130">
        <v>1.4477278921508818</v>
      </c>
      <c r="N130">
        <v>688.72549731865342</v>
      </c>
      <c r="O130">
        <v>1.4519572803579956</v>
      </c>
      <c r="Q130">
        <v>0.25612793501972114</v>
      </c>
      <c r="R130">
        <v>0.25672442772088616</v>
      </c>
      <c r="S130">
        <v>0.25642449544823992</v>
      </c>
      <c r="T130">
        <v>0.25742951959878335</v>
      </c>
      <c r="U130">
        <v>0.25777872445339078</v>
      </c>
      <c r="V130">
        <v>0.25658281088158547</v>
      </c>
      <c r="W130">
        <v>0.25647821284241568</v>
      </c>
      <c r="Y130">
        <v>2.1478538101915015</v>
      </c>
      <c r="Z130">
        <v>2.2065577053811301</v>
      </c>
      <c r="AA130">
        <v>2.234133780666002</v>
      </c>
      <c r="AB130">
        <v>2.3827331312248705</v>
      </c>
      <c r="AC130">
        <v>2.4483108740272961</v>
      </c>
      <c r="AD130">
        <v>2.2216074271870125</v>
      </c>
      <c r="AE130">
        <v>2.2171917690982887</v>
      </c>
      <c r="AG130">
        <v>0.86576771256102381</v>
      </c>
      <c r="AH130">
        <v>0.89970376840872512</v>
      </c>
      <c r="AI130">
        <v>0.90622832773697537</v>
      </c>
      <c r="AJ130">
        <v>0.97729234987096747</v>
      </c>
      <c r="AK130">
        <v>1.0107642139356952</v>
      </c>
      <c r="AL130">
        <v>0.90432236902957741</v>
      </c>
      <c r="AM130">
        <v>0.90023465911755041</v>
      </c>
      <c r="AO130">
        <v>134</v>
      </c>
      <c r="AP130">
        <v>16.931063736981372</v>
      </c>
      <c r="AQ130">
        <v>7.4361298436703311</v>
      </c>
      <c r="AR130">
        <v>7.7395305624900557</v>
      </c>
      <c r="AS130">
        <v>892.76723952414648</v>
      </c>
      <c r="AT130">
        <v>25.257126317302163</v>
      </c>
      <c r="AU130">
        <v>11.205139137146174</v>
      </c>
      <c r="AV130">
        <v>17.832022222466019</v>
      </c>
      <c r="AW130">
        <v>7.7510731453464325</v>
      </c>
      <c r="AX130">
        <v>8.1382071172396042</v>
      </c>
      <c r="AY130">
        <v>943.48491110386863</v>
      </c>
      <c r="AZ130">
        <v>25.294931783999665</v>
      </c>
      <c r="BA130">
        <v>11.13797266222185</v>
      </c>
      <c r="BB130">
        <v>19.179895760802655</v>
      </c>
      <c r="BC130">
        <v>8.14354885679594</v>
      </c>
      <c r="BD130">
        <v>8.7013340885286503</v>
      </c>
      <c r="BE130">
        <v>1018.7161621284994</v>
      </c>
      <c r="BF130">
        <v>25.55003182163269</v>
      </c>
      <c r="BG130">
        <v>11.066332505558201</v>
      </c>
      <c r="BH130">
        <v>20.427192307563793</v>
      </c>
      <c r="BI130">
        <v>8.6713172965250322</v>
      </c>
      <c r="BJ130">
        <v>9.3310730435690257</v>
      </c>
      <c r="BK130">
        <v>1093.5552670354543</v>
      </c>
      <c r="BL130">
        <v>25.701707061374034</v>
      </c>
      <c r="BM130">
        <v>11.138788424463833</v>
      </c>
      <c r="BN130">
        <v>20.9203131034675</v>
      </c>
      <c r="BO130">
        <v>8.8300012319782741</v>
      </c>
      <c r="BP130">
        <v>9.8742906991828843</v>
      </c>
      <c r="BQ130">
        <v>1203.0105167841739</v>
      </c>
      <c r="BR130">
        <v>24.471949492068187</v>
      </c>
      <c r="BS130">
        <v>10.576607575200496</v>
      </c>
      <c r="BU130">
        <v>134</v>
      </c>
      <c r="BV130">
        <v>16.196522227113306</v>
      </c>
      <c r="BW130">
        <v>6.5623482779259827</v>
      </c>
      <c r="BX130">
        <v>7.5000152703769531</v>
      </c>
      <c r="BY130">
        <v>892.71711357560116</v>
      </c>
      <c r="BZ130">
        <v>24.435728966111153</v>
      </c>
      <c r="CA130">
        <v>10.226979444408789</v>
      </c>
      <c r="CB130">
        <v>16.944108239524365</v>
      </c>
      <c r="CC130">
        <v>6.8502860161290702</v>
      </c>
      <c r="CD130">
        <v>7.8653783327379827</v>
      </c>
      <c r="CE130">
        <v>944.03228832680327</v>
      </c>
      <c r="CF130">
        <v>24.339710375149153</v>
      </c>
      <c r="CG130">
        <v>10.177323526618993</v>
      </c>
      <c r="CH130">
        <v>18.322976594219522</v>
      </c>
      <c r="CI130">
        <v>7.3610943215725717</v>
      </c>
      <c r="CJ130">
        <v>8.3988547185886713</v>
      </c>
      <c r="CK130">
        <v>1020.2760758804051</v>
      </c>
      <c r="CL130">
        <v>24.671078532632464</v>
      </c>
      <c r="CM130">
        <v>10.282508324645336</v>
      </c>
      <c r="CN130">
        <v>19.533824420756684</v>
      </c>
      <c r="CO130">
        <v>7.7749529187511159</v>
      </c>
      <c r="CP130">
        <v>9.0382984475836032</v>
      </c>
      <c r="CQ130">
        <v>1095.6203536411858</v>
      </c>
      <c r="CR130">
        <v>24.837863911090661</v>
      </c>
      <c r="CS130">
        <v>10.299659306884072</v>
      </c>
      <c r="CT130">
        <v>19.85488957733952</v>
      </c>
      <c r="CU130">
        <v>7.8390811010952506</v>
      </c>
      <c r="CV130">
        <v>9.4212243552239254</v>
      </c>
      <c r="CW130">
        <v>1205.4784857849183</v>
      </c>
      <c r="CX130">
        <v>23.538030262369837</v>
      </c>
      <c r="CY130">
        <v>9.7329401995447213</v>
      </c>
      <c r="DA130">
        <v>134</v>
      </c>
      <c r="DB130">
        <v>13.437726216437587</v>
      </c>
      <c r="DC130">
        <v>6.033200249847825</v>
      </c>
      <c r="DD130">
        <v>7.1174054859616307</v>
      </c>
      <c r="DE130">
        <v>930.990377880663</v>
      </c>
      <c r="DF130">
        <v>20.467877942460664</v>
      </c>
      <c r="DG130">
        <v>9.2381744714808605</v>
      </c>
      <c r="DH130">
        <v>14.051310290053296</v>
      </c>
      <c r="DI130">
        <v>6.7083092609084956</v>
      </c>
      <c r="DJ130">
        <v>7.4990341612662892</v>
      </c>
      <c r="DK130">
        <v>978.28111062597395</v>
      </c>
      <c r="DL130">
        <v>20.530575838616585</v>
      </c>
      <c r="DM130">
        <v>9.675894954773181</v>
      </c>
      <c r="DN130">
        <v>15.618851331698355</v>
      </c>
      <c r="DO130">
        <v>6.8579490181701441</v>
      </c>
      <c r="DP130">
        <v>8.0550784516489742</v>
      </c>
      <c r="DQ130">
        <v>1056.0117265236529</v>
      </c>
      <c r="DR130">
        <v>21.275507995021457</v>
      </c>
      <c r="DS130">
        <v>9.4580880963830882</v>
      </c>
      <c r="DT130">
        <v>16.785478446374917</v>
      </c>
      <c r="DU130">
        <v>7.7744759498475648</v>
      </c>
      <c r="DV130">
        <v>8.7874826743225789</v>
      </c>
      <c r="DW130">
        <v>1151.6647503347172</v>
      </c>
      <c r="DX130">
        <v>21.242747301650692</v>
      </c>
      <c r="DY130">
        <v>9.7980244685000031</v>
      </c>
      <c r="DZ130">
        <v>17.071106978735219</v>
      </c>
      <c r="EA130">
        <v>8.0135639163794927</v>
      </c>
      <c r="EB130">
        <v>9.1867521062920332</v>
      </c>
      <c r="EC130">
        <v>1266.1335716711922</v>
      </c>
      <c r="ED130">
        <v>20.211774691874815</v>
      </c>
      <c r="EE130">
        <v>9.4044839309883219</v>
      </c>
      <c r="EG130">
        <v>134</v>
      </c>
      <c r="EH130">
        <v>12.608885517820566</v>
      </c>
      <c r="EI130">
        <v>5.5413273946581691</v>
      </c>
      <c r="EJ130">
        <v>6.5462800453587962</v>
      </c>
      <c r="EK130">
        <v>945.00054834704724</v>
      </c>
      <c r="EL130">
        <v>19.287350418294253</v>
      </c>
      <c r="EM130">
        <v>8.5807132081831252</v>
      </c>
      <c r="EN130">
        <v>13.204827044811752</v>
      </c>
      <c r="EO130">
        <v>6.045208938362407</v>
      </c>
      <c r="EP130">
        <v>6.935101637710714</v>
      </c>
      <c r="EQ130">
        <v>992.85078350791275</v>
      </c>
      <c r="ER130">
        <v>19.376719651647182</v>
      </c>
      <c r="ES130">
        <v>8.8660301087827289</v>
      </c>
      <c r="ET130">
        <v>14.402380757988876</v>
      </c>
      <c r="EU130">
        <v>6.2068352287101503</v>
      </c>
      <c r="EV130">
        <v>7.4437391116595935</v>
      </c>
      <c r="EW130">
        <v>1026.7202181969735</v>
      </c>
      <c r="EX130">
        <v>20.697669121680836</v>
      </c>
      <c r="EY130">
        <v>9.0937511362254018</v>
      </c>
      <c r="EZ130">
        <v>15.152831333726944</v>
      </c>
      <c r="FA130">
        <v>7.1018557182733026</v>
      </c>
      <c r="FB130">
        <v>8.1202017642727089</v>
      </c>
      <c r="FC130">
        <v>1139.1903225725598</v>
      </c>
      <c r="FD130">
        <v>20.042196376257223</v>
      </c>
      <c r="FE130">
        <v>9.3148782617387074</v>
      </c>
      <c r="FF130">
        <v>15.320870150818738</v>
      </c>
      <c r="FG130">
        <v>7.2786323999963578</v>
      </c>
      <c r="FH130">
        <v>8.4935821549011354</v>
      </c>
      <c r="FI130">
        <v>1261.3793858947024</v>
      </c>
      <c r="FJ130">
        <v>18.900395804082496</v>
      </c>
      <c r="FK130">
        <v>8.8572886459205957</v>
      </c>
    </row>
    <row r="131" spans="2:167" x14ac:dyDescent="0.2">
      <c r="B131">
        <v>601.20625038839387</v>
      </c>
      <c r="C131">
        <v>1.6633226939240497</v>
      </c>
      <c r="D131">
        <v>645.69394725378049</v>
      </c>
      <c r="E131">
        <v>1.5487213474017045</v>
      </c>
      <c r="F131">
        <v>732.9125212748321</v>
      </c>
      <c r="G131">
        <v>1.3644193146824597</v>
      </c>
      <c r="H131">
        <v>821.81558446105635</v>
      </c>
      <c r="I131">
        <v>1.2168180050464683</v>
      </c>
      <c r="J131">
        <v>911.78290900060495</v>
      </c>
      <c r="K131">
        <v>1.0967522972064576</v>
      </c>
      <c r="L131">
        <v>690.73753805648187</v>
      </c>
      <c r="M131">
        <v>1.4477278921508818</v>
      </c>
      <c r="N131">
        <v>688.72549731865342</v>
      </c>
      <c r="O131">
        <v>1.4519572803579956</v>
      </c>
      <c r="Q131">
        <v>0.25800089044507335</v>
      </c>
      <c r="R131">
        <v>0.25859886261864617</v>
      </c>
      <c r="S131">
        <v>0.25829402370513971</v>
      </c>
      <c r="T131">
        <v>0.25930150395658813</v>
      </c>
      <c r="U131">
        <v>0.2596507347594843</v>
      </c>
      <c r="V131">
        <v>0.25845370846473065</v>
      </c>
      <c r="W131">
        <v>0.25835101084009648</v>
      </c>
      <c r="Y131">
        <v>2.1478538101915015</v>
      </c>
      <c r="Z131">
        <v>2.2065577053811301</v>
      </c>
      <c r="AA131">
        <v>2.234133780666002</v>
      </c>
      <c r="AB131">
        <v>2.3827331312248705</v>
      </c>
      <c r="AC131">
        <v>2.4483108740272961</v>
      </c>
      <c r="AD131">
        <v>2.2216074271870125</v>
      </c>
      <c r="AE131">
        <v>2.2171917690982887</v>
      </c>
      <c r="AG131">
        <v>0.86576771256102381</v>
      </c>
      <c r="AH131">
        <v>0.89970376840872512</v>
      </c>
      <c r="AI131">
        <v>0.90622832773697537</v>
      </c>
      <c r="AJ131">
        <v>0.97729234987096747</v>
      </c>
      <c r="AK131">
        <v>1.0107642139356952</v>
      </c>
      <c r="AL131">
        <v>0.90432236902957741</v>
      </c>
      <c r="AM131">
        <v>0.90023465911755041</v>
      </c>
      <c r="AO131">
        <v>135</v>
      </c>
      <c r="AP131">
        <v>16.931063736981372</v>
      </c>
      <c r="AQ131">
        <v>7.4361298436703311</v>
      </c>
      <c r="AR131">
        <v>7.7395305624900557</v>
      </c>
      <c r="AS131">
        <v>893.47098393988904</v>
      </c>
      <c r="AT131">
        <v>25.237232485355737</v>
      </c>
      <c r="AU131">
        <v>11.196313384282201</v>
      </c>
      <c r="AV131">
        <v>17.832022222466019</v>
      </c>
      <c r="AW131">
        <v>7.7510731453464325</v>
      </c>
      <c r="AX131">
        <v>8.1382071172396042</v>
      </c>
      <c r="AY131">
        <v>944.22971749012243</v>
      </c>
      <c r="AZ131">
        <v>25.274979195785583</v>
      </c>
      <c r="BA131">
        <v>11.129187053153334</v>
      </c>
      <c r="BB131">
        <v>19.179895760802655</v>
      </c>
      <c r="BC131">
        <v>8.14354885679594</v>
      </c>
      <c r="BD131">
        <v>8.7013340885286503</v>
      </c>
      <c r="BE131">
        <v>1019.5089053853743</v>
      </c>
      <c r="BF131">
        <v>25.530164790229094</v>
      </c>
      <c r="BG131">
        <v>11.057727617041998</v>
      </c>
      <c r="BH131">
        <v>20.427192307563793</v>
      </c>
      <c r="BI131">
        <v>8.6713172965250322</v>
      </c>
      <c r="BJ131">
        <v>9.3310730435690257</v>
      </c>
      <c r="BK131">
        <v>1094.4116329129654</v>
      </c>
      <c r="BL131">
        <v>25.681595739217705</v>
      </c>
      <c r="BM131">
        <v>11.130072436770851</v>
      </c>
      <c r="BN131">
        <v>20.9203131034675</v>
      </c>
      <c r="BO131">
        <v>8.8300012319782741</v>
      </c>
      <c r="BP131">
        <v>9.8742906991828843</v>
      </c>
      <c r="BQ131">
        <v>1203.9075213213894</v>
      </c>
      <c r="BR131">
        <v>24.453715990457699</v>
      </c>
      <c r="BS131">
        <v>10.568727181719035</v>
      </c>
      <c r="BU131">
        <v>135</v>
      </c>
      <c r="BV131">
        <v>16.196522227113306</v>
      </c>
      <c r="BW131">
        <v>6.5623482779259827</v>
      </c>
      <c r="BX131">
        <v>7.5000152703769531</v>
      </c>
      <c r="BY131">
        <v>893.45039149756678</v>
      </c>
      <c r="BZ131">
        <v>24.415673929224379</v>
      </c>
      <c r="CA131">
        <v>10.21858589698148</v>
      </c>
      <c r="CB131">
        <v>16.944108239524365</v>
      </c>
      <c r="CC131">
        <v>6.8539271970463043</v>
      </c>
      <c r="CD131">
        <v>7.8653783327379827</v>
      </c>
      <c r="CE131">
        <v>944.80466954399571</v>
      </c>
      <c r="CF131">
        <v>24.319812574332033</v>
      </c>
      <c r="CG131">
        <v>10.172857426109504</v>
      </c>
      <c r="CH131">
        <v>18.322976594219522</v>
      </c>
      <c r="CI131">
        <v>7.3610943215725717</v>
      </c>
      <c r="CJ131">
        <v>8.3988547185886713</v>
      </c>
      <c r="CK131">
        <v>1021.1014942508675</v>
      </c>
      <c r="CL131">
        <v>24.651135401068551</v>
      </c>
      <c r="CM131">
        <v>10.274196348496654</v>
      </c>
      <c r="CN131">
        <v>19.533824420756684</v>
      </c>
      <c r="CO131">
        <v>7.7751440625397477</v>
      </c>
      <c r="CP131">
        <v>9.0382984475836032</v>
      </c>
      <c r="CQ131">
        <v>1096.5129254973024</v>
      </c>
      <c r="CR131">
        <v>24.817645655767279</v>
      </c>
      <c r="CS131">
        <v>10.291449606818567</v>
      </c>
      <c r="CT131">
        <v>19.85488957733952</v>
      </c>
      <c r="CU131">
        <v>7.8416832473545641</v>
      </c>
      <c r="CV131">
        <v>9.4212243552239254</v>
      </c>
      <c r="CW131">
        <v>1206.4091616139035</v>
      </c>
      <c r="CX131">
        <v>23.519872015131558</v>
      </c>
      <c r="CY131">
        <v>9.7275887266491381</v>
      </c>
      <c r="DA131">
        <v>135</v>
      </c>
      <c r="DB131">
        <v>13.437726216437587</v>
      </c>
      <c r="DC131">
        <v>6.0353506595532913</v>
      </c>
      <c r="DD131">
        <v>7.1174054859616307</v>
      </c>
      <c r="DE131">
        <v>931.9019242946988</v>
      </c>
      <c r="DF131">
        <v>20.447857143860539</v>
      </c>
      <c r="DG131">
        <v>9.2314456355993428</v>
      </c>
      <c r="DH131">
        <v>14.051310290053296</v>
      </c>
      <c r="DI131">
        <v>6.7166495281524989</v>
      </c>
      <c r="DJ131">
        <v>7.4990341612662892</v>
      </c>
      <c r="DK131">
        <v>979.24189421102426</v>
      </c>
      <c r="DL131">
        <v>20.510432255734784</v>
      </c>
      <c r="DM131">
        <v>9.6749185118688601</v>
      </c>
      <c r="DN131">
        <v>15.618851331698355</v>
      </c>
      <c r="DO131">
        <v>6.8638846509724445</v>
      </c>
      <c r="DP131">
        <v>8.0550784516489742</v>
      </c>
      <c r="DQ131">
        <v>1057.0119343443575</v>
      </c>
      <c r="DR131">
        <v>21.255375838709252</v>
      </c>
      <c r="DS131">
        <v>9.4547537717968648</v>
      </c>
      <c r="DT131">
        <v>16.785478446374917</v>
      </c>
      <c r="DU131">
        <v>7.8009708246711202</v>
      </c>
      <c r="DV131">
        <v>8.7874826743225789</v>
      </c>
      <c r="DW131">
        <v>1152.7626862672696</v>
      </c>
      <c r="DX131">
        <v>21.222514884478919</v>
      </c>
      <c r="DY131">
        <v>9.8116762563996627</v>
      </c>
      <c r="DZ131">
        <v>17.071106978735219</v>
      </c>
      <c r="EA131">
        <v>8.0431476376837807</v>
      </c>
      <c r="EB131">
        <v>9.1867521062920332</v>
      </c>
      <c r="EC131">
        <v>1267.2820537270472</v>
      </c>
      <c r="ED131">
        <v>20.193457648338743</v>
      </c>
      <c r="EE131">
        <v>9.4193052884041624</v>
      </c>
      <c r="EG131">
        <v>135</v>
      </c>
      <c r="EH131">
        <v>12.608885517820566</v>
      </c>
      <c r="EI131">
        <v>5.5423515812589317</v>
      </c>
      <c r="EJ131">
        <v>6.5462800453587962</v>
      </c>
      <c r="EK131">
        <v>945.98581037660335</v>
      </c>
      <c r="EL131">
        <v>19.267262279751957</v>
      </c>
      <c r="EM131">
        <v>8.5728588997693311</v>
      </c>
      <c r="EN131">
        <v>13.204827044811752</v>
      </c>
      <c r="EO131">
        <v>6.0529898085340932</v>
      </c>
      <c r="EP131">
        <v>6.935101637710714</v>
      </c>
      <c r="EQ131">
        <v>993.88049797048211</v>
      </c>
      <c r="ER131">
        <v>19.356644312103647</v>
      </c>
      <c r="ES131">
        <v>8.8646731958946532</v>
      </c>
      <c r="ET131">
        <v>14.402380757988876</v>
      </c>
      <c r="EU131">
        <v>6.2122091921976761</v>
      </c>
      <c r="EV131">
        <v>7.4437391116595935</v>
      </c>
      <c r="EW131">
        <v>1027.712240170383</v>
      </c>
      <c r="EX131">
        <v>20.677690238716806</v>
      </c>
      <c r="EY131">
        <v>9.0902022464508452</v>
      </c>
      <c r="EZ131">
        <v>15.152831333726944</v>
      </c>
      <c r="FA131">
        <v>7.1255381760672423</v>
      </c>
      <c r="FB131">
        <v>8.1202017642727089</v>
      </c>
      <c r="FC131">
        <v>1140.330438274236</v>
      </c>
      <c r="FD131">
        <v>20.022157954044072</v>
      </c>
      <c r="FE131">
        <v>9.3263332035609192</v>
      </c>
      <c r="FF131">
        <v>15.320870150818738</v>
      </c>
      <c r="FG131">
        <v>7.3053071640453942</v>
      </c>
      <c r="FH131">
        <v>8.4935821549011354</v>
      </c>
      <c r="FI131">
        <v>1262.4680928908444</v>
      </c>
      <c r="FJ131">
        <v>18.884096783728928</v>
      </c>
      <c r="FK131">
        <v>8.8707794992968374</v>
      </c>
    </row>
    <row r="132" spans="2:167" x14ac:dyDescent="0.2">
      <c r="B132">
        <v>601.20625038839387</v>
      </c>
      <c r="C132">
        <v>1.6633226939240497</v>
      </c>
      <c r="D132">
        <v>645.69394725378049</v>
      </c>
      <c r="E132">
        <v>1.5487213474017045</v>
      </c>
      <c r="F132">
        <v>732.9125212748321</v>
      </c>
      <c r="G132">
        <v>1.3644193146824597</v>
      </c>
      <c r="H132">
        <v>821.81558446105635</v>
      </c>
      <c r="I132">
        <v>1.2168180050464683</v>
      </c>
      <c r="J132">
        <v>911.78290900060495</v>
      </c>
      <c r="K132">
        <v>1.0967522972064576</v>
      </c>
      <c r="L132">
        <v>690.73753805648187</v>
      </c>
      <c r="M132">
        <v>1.4477278921508818</v>
      </c>
      <c r="N132">
        <v>688.72549731865342</v>
      </c>
      <c r="O132">
        <v>1.4519572803579956</v>
      </c>
      <c r="Q132">
        <v>0.25987384587042556</v>
      </c>
      <c r="R132">
        <v>0.26047329751640619</v>
      </c>
      <c r="S132">
        <v>0.26016355196203944</v>
      </c>
      <c r="T132">
        <v>0.26117348831439297</v>
      </c>
      <c r="U132">
        <v>0.26152274506557782</v>
      </c>
      <c r="V132">
        <v>0.26032460604787583</v>
      </c>
      <c r="W132">
        <v>0.26022380883777729</v>
      </c>
      <c r="Y132">
        <v>2.1478538101915015</v>
      </c>
      <c r="Z132">
        <v>2.2065577053811301</v>
      </c>
      <c r="AA132">
        <v>2.234133780666002</v>
      </c>
      <c r="AB132">
        <v>2.3827331312248705</v>
      </c>
      <c r="AC132">
        <v>2.4483108740272961</v>
      </c>
      <c r="AD132">
        <v>2.2216074271870125</v>
      </c>
      <c r="AE132">
        <v>2.2171917690982887</v>
      </c>
      <c r="AG132">
        <v>0.86576771256102381</v>
      </c>
      <c r="AH132">
        <v>0.89970376840872512</v>
      </c>
      <c r="AI132">
        <v>0.90622832773697537</v>
      </c>
      <c r="AJ132">
        <v>0.97729234987096747</v>
      </c>
      <c r="AK132">
        <v>1.0107642139356952</v>
      </c>
      <c r="AL132">
        <v>0.90432236902957741</v>
      </c>
      <c r="AM132">
        <v>0.90023465911755041</v>
      </c>
      <c r="AO132">
        <v>136</v>
      </c>
      <c r="AP132">
        <v>16.931063736981372</v>
      </c>
      <c r="AQ132">
        <v>7.4361298436703311</v>
      </c>
      <c r="AR132">
        <v>7.7395305624900557</v>
      </c>
      <c r="AS132">
        <v>894.17584167892653</v>
      </c>
      <c r="AT132">
        <v>25.217338569863916</v>
      </c>
      <c r="AU132">
        <v>11.187487594353922</v>
      </c>
      <c r="AV132">
        <v>17.832022222466019</v>
      </c>
      <c r="AW132">
        <v>7.7510731453464325</v>
      </c>
      <c r="AX132">
        <v>8.1382071172396042</v>
      </c>
      <c r="AY132">
        <v>944.97570213543054</v>
      </c>
      <c r="AZ132">
        <v>25.255026570180576</v>
      </c>
      <c r="BA132">
        <v>11.120401427620685</v>
      </c>
      <c r="BB132">
        <v>19.179895760802655</v>
      </c>
      <c r="BC132">
        <v>8.14354885679594</v>
      </c>
      <c r="BD132">
        <v>8.7013340885286503</v>
      </c>
      <c r="BE132">
        <v>1020.302887525</v>
      </c>
      <c r="BF132">
        <v>25.510297655564493</v>
      </c>
      <c r="BG132">
        <v>11.049122683800974</v>
      </c>
      <c r="BH132">
        <v>20.427192307563793</v>
      </c>
      <c r="BI132">
        <v>8.6713172965250322</v>
      </c>
      <c r="BJ132">
        <v>9.3310730435690257</v>
      </c>
      <c r="BK132">
        <v>1095.2693373616535</v>
      </c>
      <c r="BL132">
        <v>25.661484504324566</v>
      </c>
      <c r="BM132">
        <v>11.121356486896607</v>
      </c>
      <c r="BN132">
        <v>20.9203131034675</v>
      </c>
      <c r="BO132">
        <v>8.8300012319782741</v>
      </c>
      <c r="BP132">
        <v>9.8742906991828843</v>
      </c>
      <c r="BQ132">
        <v>1204.8059279513914</v>
      </c>
      <c r="BR132">
        <v>24.43548120254346</v>
      </c>
      <c r="BS132">
        <v>10.560846232305977</v>
      </c>
      <c r="BU132">
        <v>136</v>
      </c>
      <c r="BV132">
        <v>16.196522227113306</v>
      </c>
      <c r="BW132">
        <v>6.5623482779259827</v>
      </c>
      <c r="BX132">
        <v>7.5000152703769531</v>
      </c>
      <c r="BY132">
        <v>894.18487338147702</v>
      </c>
      <c r="BZ132">
        <v>24.39561893755732</v>
      </c>
      <c r="CA132">
        <v>10.210192368479783</v>
      </c>
      <c r="CB132">
        <v>16.944108239524365</v>
      </c>
      <c r="CC132">
        <v>6.8568722472753834</v>
      </c>
      <c r="CD132">
        <v>7.8653783327379827</v>
      </c>
      <c r="CE132">
        <v>945.57831892645606</v>
      </c>
      <c r="CF132">
        <v>24.299914690039333</v>
      </c>
      <c r="CG132">
        <v>10.167648788667309</v>
      </c>
      <c r="CH132">
        <v>18.322976594219522</v>
      </c>
      <c r="CI132">
        <v>7.3610943215725717</v>
      </c>
      <c r="CJ132">
        <v>8.3988547185886713</v>
      </c>
      <c r="CK132">
        <v>1021.9282511606028</v>
      </c>
      <c r="CL132">
        <v>24.631192223548496</v>
      </c>
      <c r="CM132">
        <v>10.265884353194195</v>
      </c>
      <c r="CN132">
        <v>19.533824420756684</v>
      </c>
      <c r="CO132">
        <v>7.7751440625397477</v>
      </c>
      <c r="CP132">
        <v>9.0382984475836032</v>
      </c>
      <c r="CQ132">
        <v>1097.406944959901</v>
      </c>
      <c r="CR132">
        <v>24.797427578659207</v>
      </c>
      <c r="CS132">
        <v>10.283065518956626</v>
      </c>
      <c r="CT132">
        <v>19.85488957733952</v>
      </c>
      <c r="CU132">
        <v>7.8434296110684558</v>
      </c>
      <c r="CV132">
        <v>9.4212243552239254</v>
      </c>
      <c r="CW132">
        <v>1207.3413468478216</v>
      </c>
      <c r="CX132">
        <v>23.501712380780102</v>
      </c>
      <c r="CY132">
        <v>9.7215245337199114</v>
      </c>
      <c r="DA132">
        <v>136</v>
      </c>
      <c r="DB132">
        <v>13.437726216437587</v>
      </c>
      <c r="DC132">
        <v>6.0368732339289739</v>
      </c>
      <c r="DD132">
        <v>7.1174054859616307</v>
      </c>
      <c r="DE132">
        <v>932.81525654557265</v>
      </c>
      <c r="DF132">
        <v>20.427836365619939</v>
      </c>
      <c r="DG132">
        <v>9.2240392358894123</v>
      </c>
      <c r="DH132">
        <v>14.051310290053296</v>
      </c>
      <c r="DI132">
        <v>6.724372766262019</v>
      </c>
      <c r="DJ132">
        <v>7.4990341612662892</v>
      </c>
      <c r="DK132">
        <v>980.20456009487248</v>
      </c>
      <c r="DL132">
        <v>20.490288814049851</v>
      </c>
      <c r="DM132">
        <v>9.6732959159989615</v>
      </c>
      <c r="DN132">
        <v>15.618851331698355</v>
      </c>
      <c r="DO132">
        <v>6.8691361237226713</v>
      </c>
      <c r="DP132">
        <v>8.0550784516489742</v>
      </c>
      <c r="DQ132">
        <v>1058.01403242316</v>
      </c>
      <c r="DR132">
        <v>21.235243807715854</v>
      </c>
      <c r="DS132">
        <v>9.4507622199737114</v>
      </c>
      <c r="DT132">
        <v>16.785478446374917</v>
      </c>
      <c r="DU132">
        <v>7.8269964947664485</v>
      </c>
      <c r="DV132">
        <v>8.7874826743225789</v>
      </c>
      <c r="DW132">
        <v>1153.8627055375623</v>
      </c>
      <c r="DX132">
        <v>21.202282689413625</v>
      </c>
      <c r="DY132">
        <v>9.8248776858819653</v>
      </c>
      <c r="DZ132">
        <v>17.071106978735219</v>
      </c>
      <c r="EA132">
        <v>8.0722846356408962</v>
      </c>
      <c r="EB132">
        <v>9.1867521062920332</v>
      </c>
      <c r="EC132">
        <v>1268.4327150321103</v>
      </c>
      <c r="ED132">
        <v>20.175139112356497</v>
      </c>
      <c r="EE132">
        <v>9.433731412568509</v>
      </c>
      <c r="EG132">
        <v>136</v>
      </c>
      <c r="EH132">
        <v>12.608885517820566</v>
      </c>
      <c r="EI132">
        <v>5.5427807943530443</v>
      </c>
      <c r="EJ132">
        <v>6.5462800453587962</v>
      </c>
      <c r="EK132">
        <v>946.97312450426034</v>
      </c>
      <c r="EL132">
        <v>19.247174233156095</v>
      </c>
      <c r="EM132">
        <v>8.5643740849376044</v>
      </c>
      <c r="EN132">
        <v>13.204827044811752</v>
      </c>
      <c r="EO132">
        <v>6.0602197687656982</v>
      </c>
      <c r="EP132">
        <v>6.935101637710714</v>
      </c>
      <c r="EQ132">
        <v>994.91234652225717</v>
      </c>
      <c r="ER132">
        <v>19.336569050729633</v>
      </c>
      <c r="ES132">
        <v>8.862746352817231</v>
      </c>
      <c r="ET132">
        <v>14.402380757988876</v>
      </c>
      <c r="EU132">
        <v>6.2169639881922585</v>
      </c>
      <c r="EV132">
        <v>7.4437391116595935</v>
      </c>
      <c r="EW132">
        <v>1028.7061820058018</v>
      </c>
      <c r="EX132">
        <v>20.657711335364617</v>
      </c>
      <c r="EY132">
        <v>9.0860413534908773</v>
      </c>
      <c r="EZ132">
        <v>15.152831333726944</v>
      </c>
      <c r="FA132">
        <v>7.1487818093291233</v>
      </c>
      <c r="FB132">
        <v>8.1202017642727089</v>
      </c>
      <c r="FC132">
        <v>1141.4728361514069</v>
      </c>
      <c r="FD132">
        <v>20.00211957028349</v>
      </c>
      <c r="FE132">
        <v>9.3373621563398483</v>
      </c>
      <c r="FF132">
        <v>15.320870150818738</v>
      </c>
      <c r="FG132">
        <v>7.3315723256377003</v>
      </c>
      <c r="FH132">
        <v>8.4935821549011354</v>
      </c>
      <c r="FI132">
        <v>1263.5588837835876</v>
      </c>
      <c r="FJ132">
        <v>18.867794733184443</v>
      </c>
      <c r="FK132">
        <v>8.8839082868158386</v>
      </c>
    </row>
    <row r="133" spans="2:167" x14ac:dyDescent="0.2">
      <c r="B133">
        <v>601.20625038839387</v>
      </c>
      <c r="C133">
        <v>1.6633226939240497</v>
      </c>
      <c r="D133">
        <v>645.69394725378049</v>
      </c>
      <c r="E133">
        <v>1.5487213474017045</v>
      </c>
      <c r="F133">
        <v>732.9125212748321</v>
      </c>
      <c r="G133">
        <v>1.3644193146824597</v>
      </c>
      <c r="H133">
        <v>821.81558446105635</v>
      </c>
      <c r="I133">
        <v>1.2168180050464683</v>
      </c>
      <c r="J133">
        <v>911.78290900060495</v>
      </c>
      <c r="K133">
        <v>1.0967522972064576</v>
      </c>
      <c r="L133">
        <v>690.73753805648187</v>
      </c>
      <c r="M133">
        <v>1.4477278921508818</v>
      </c>
      <c r="N133">
        <v>688.72549731865342</v>
      </c>
      <c r="O133">
        <v>1.4519572803579956</v>
      </c>
      <c r="Q133">
        <v>0.26174680129577776</v>
      </c>
      <c r="R133">
        <v>0.2623477324141662</v>
      </c>
      <c r="S133">
        <v>0.26203308021893923</v>
      </c>
      <c r="T133">
        <v>0.2630454726721978</v>
      </c>
      <c r="U133">
        <v>0.26339475537167134</v>
      </c>
      <c r="V133">
        <v>0.26219550363102101</v>
      </c>
      <c r="W133">
        <v>0.2620966068354581</v>
      </c>
      <c r="Y133">
        <v>2.1478538101915015</v>
      </c>
      <c r="Z133">
        <v>2.2065577053811301</v>
      </c>
      <c r="AA133">
        <v>2.234133780666002</v>
      </c>
      <c r="AB133">
        <v>2.3827331312248705</v>
      </c>
      <c r="AC133">
        <v>2.4483108740272961</v>
      </c>
      <c r="AD133">
        <v>2.2216074271870125</v>
      </c>
      <c r="AE133">
        <v>2.2171917690982887</v>
      </c>
      <c r="AG133">
        <v>0.86576771256102381</v>
      </c>
      <c r="AH133">
        <v>0.89970376840872512</v>
      </c>
      <c r="AI133">
        <v>0.90622832773697537</v>
      </c>
      <c r="AJ133">
        <v>0.97729234987096747</v>
      </c>
      <c r="AK133">
        <v>1.0107642139356952</v>
      </c>
      <c r="AL133">
        <v>0.90432236902957741</v>
      </c>
      <c r="AM133">
        <v>0.90023465911755041</v>
      </c>
      <c r="AO133">
        <v>137</v>
      </c>
      <c r="AP133">
        <v>16.931063736981372</v>
      </c>
      <c r="AQ133">
        <v>7.4361298436703311</v>
      </c>
      <c r="AR133">
        <v>7.7395305624900557</v>
      </c>
      <c r="AS133">
        <v>894.88181538526544</v>
      </c>
      <c r="AT133">
        <v>25.197444570826168</v>
      </c>
      <c r="AU133">
        <v>11.178661767361106</v>
      </c>
      <c r="AV133">
        <v>17.832022222466019</v>
      </c>
      <c r="AW133">
        <v>7.7510731453464325</v>
      </c>
      <c r="AX133">
        <v>8.1382071172396042</v>
      </c>
      <c r="AY133">
        <v>945.7228678379563</v>
      </c>
      <c r="AZ133">
        <v>25.235073907184539</v>
      </c>
      <c r="BA133">
        <v>11.111615785623858</v>
      </c>
      <c r="BB133">
        <v>19.179895760802655</v>
      </c>
      <c r="BC133">
        <v>8.14354885679594</v>
      </c>
      <c r="BD133">
        <v>8.7013340885286503</v>
      </c>
      <c r="BE133">
        <v>1021.0981114537977</v>
      </c>
      <c r="BF133">
        <v>25.49043041763808</v>
      </c>
      <c r="BG133">
        <v>11.04051770583478</v>
      </c>
      <c r="BH133">
        <v>20.427192307563793</v>
      </c>
      <c r="BI133">
        <v>8.6713172965250322</v>
      </c>
      <c r="BJ133">
        <v>9.3310730435690257</v>
      </c>
      <c r="BK133">
        <v>1096.128383522421</v>
      </c>
      <c r="BL133">
        <v>25.641373356694032</v>
      </c>
      <c r="BM133">
        <v>11.112640574840855</v>
      </c>
      <c r="BN133">
        <v>20.9203131034675</v>
      </c>
      <c r="BO133">
        <v>8.8300012319782741</v>
      </c>
      <c r="BP133">
        <v>9.8742906991828843</v>
      </c>
      <c r="BQ133">
        <v>1205.7057399641326</v>
      </c>
      <c r="BR133">
        <v>24.41724512818935</v>
      </c>
      <c r="BS133">
        <v>10.55296472690249</v>
      </c>
      <c r="BU133">
        <v>137</v>
      </c>
      <c r="BV133">
        <v>16.196522227113306</v>
      </c>
      <c r="BW133">
        <v>6.5623482779259827</v>
      </c>
      <c r="BX133">
        <v>7.5000152703769531</v>
      </c>
      <c r="BY133">
        <v>894.92056219492849</v>
      </c>
      <c r="BZ133">
        <v>24.375563991109821</v>
      </c>
      <c r="CA133">
        <v>10.201798858903633</v>
      </c>
      <c r="CB133">
        <v>16.944108239524365</v>
      </c>
      <c r="CC133">
        <v>6.8591211668163092</v>
      </c>
      <c r="CD133">
        <v>7.8653783327379827</v>
      </c>
      <c r="CE133">
        <v>946.35323960003268</v>
      </c>
      <c r="CF133">
        <v>24.280016722270538</v>
      </c>
      <c r="CG133">
        <v>10.161699422752465</v>
      </c>
      <c r="CH133">
        <v>18.322976594219522</v>
      </c>
      <c r="CI133">
        <v>7.3610943215725717</v>
      </c>
      <c r="CJ133">
        <v>8.3988547185886713</v>
      </c>
      <c r="CK133">
        <v>1022.7563498682157</v>
      </c>
      <c r="CL133">
        <v>24.611249000072139</v>
      </c>
      <c r="CM133">
        <v>10.257572338737889</v>
      </c>
      <c r="CN133">
        <v>19.533824420756684</v>
      </c>
      <c r="CO133">
        <v>7.7751440625397477</v>
      </c>
      <c r="CP133">
        <v>9.0382984475836032</v>
      </c>
      <c r="CQ133">
        <v>1098.3024155535129</v>
      </c>
      <c r="CR133">
        <v>24.777209679764105</v>
      </c>
      <c r="CS133">
        <v>10.274681504996526</v>
      </c>
      <c r="CT133">
        <v>19.85488957733952</v>
      </c>
      <c r="CU133">
        <v>7.8443201922369239</v>
      </c>
      <c r="CV133">
        <v>9.4212243552239254</v>
      </c>
      <c r="CW133">
        <v>1208.2750451616666</v>
      </c>
      <c r="CX133">
        <v>23.483551359156529</v>
      </c>
      <c r="CY133">
        <v>9.7147492635283701</v>
      </c>
      <c r="DA133">
        <v>137</v>
      </c>
      <c r="DB133">
        <v>13.437726216437587</v>
      </c>
      <c r="DC133">
        <v>6.0377679729748763</v>
      </c>
      <c r="DD133">
        <v>7.1174054859616307</v>
      </c>
      <c r="DE133">
        <v>933.73037988645672</v>
      </c>
      <c r="DF133">
        <v>20.407815607738829</v>
      </c>
      <c r="DG133">
        <v>9.21595725128374</v>
      </c>
      <c r="DH133">
        <v>14.051310290053296</v>
      </c>
      <c r="DI133">
        <v>6.7314789752370574</v>
      </c>
      <c r="DJ133">
        <v>7.4990341612662892</v>
      </c>
      <c r="DK133">
        <v>981.16911381444118</v>
      </c>
      <c r="DL133">
        <v>20.470145513560301</v>
      </c>
      <c r="DM133">
        <v>9.6710290238292895</v>
      </c>
      <c r="DN133">
        <v>15.618851331698355</v>
      </c>
      <c r="DO133">
        <v>6.8737034364208256</v>
      </c>
      <c r="DP133">
        <v>8.0550784516489742</v>
      </c>
      <c r="DQ133">
        <v>1059.0180261236283</v>
      </c>
      <c r="DR133">
        <v>21.215111902040089</v>
      </c>
      <c r="DS133">
        <v>9.4461152801540571</v>
      </c>
      <c r="DT133">
        <v>16.785478446374917</v>
      </c>
      <c r="DU133">
        <v>7.8525529601335471</v>
      </c>
      <c r="DV133">
        <v>8.7874826743225789</v>
      </c>
      <c r="DW133">
        <v>1154.9648140809393</v>
      </c>
      <c r="DX133">
        <v>21.182050716451148</v>
      </c>
      <c r="DY133">
        <v>9.8376299217529581</v>
      </c>
      <c r="DZ133">
        <v>17.071106978735219</v>
      </c>
      <c r="EA133">
        <v>8.1009749102508373</v>
      </c>
      <c r="EB133">
        <v>9.1867521062920332</v>
      </c>
      <c r="EC133">
        <v>1269.5855617949724</v>
      </c>
      <c r="ED133">
        <v>20.156819083745674</v>
      </c>
      <c r="EE133">
        <v>9.4477632576251462</v>
      </c>
      <c r="EG133">
        <v>137</v>
      </c>
      <c r="EH133">
        <v>12.608885517820566</v>
      </c>
      <c r="EI133">
        <v>5.5427807943530443</v>
      </c>
      <c r="EJ133">
        <v>6.5462800453587962</v>
      </c>
      <c r="EK133">
        <v>947.96249714784869</v>
      </c>
      <c r="EL133">
        <v>19.227086278506036</v>
      </c>
      <c r="EM133">
        <v>8.5554355905830413</v>
      </c>
      <c r="EN133">
        <v>13.204827044811752</v>
      </c>
      <c r="EO133">
        <v>6.0668988190572168</v>
      </c>
      <c r="EP133">
        <v>6.935101637710714</v>
      </c>
      <c r="EQ133">
        <v>995.94633580448829</v>
      </c>
      <c r="ER133">
        <v>19.316493867524681</v>
      </c>
      <c r="ES133">
        <v>8.8602513042798829</v>
      </c>
      <c r="ET133">
        <v>14.402380757988876</v>
      </c>
      <c r="EU133">
        <v>6.2210996166938983</v>
      </c>
      <c r="EV133">
        <v>7.4437391116595935</v>
      </c>
      <c r="EW133">
        <v>1029.7020492818972</v>
      </c>
      <c r="EX133">
        <v>20.637732411624238</v>
      </c>
      <c r="EY133">
        <v>9.0812702036665396</v>
      </c>
      <c r="EZ133">
        <v>15.152831333726944</v>
      </c>
      <c r="FA133">
        <v>7.1715866180589378</v>
      </c>
      <c r="FB133">
        <v>8.1202017642727089</v>
      </c>
      <c r="FC133">
        <v>1142.6175230633007</v>
      </c>
      <c r="FD133">
        <v>19.982081224975381</v>
      </c>
      <c r="FE133">
        <v>9.3479662755952191</v>
      </c>
      <c r="FF133">
        <v>15.320870150818738</v>
      </c>
      <c r="FG133">
        <v>7.3574278847732772</v>
      </c>
      <c r="FH133">
        <v>8.4935821549011354</v>
      </c>
      <c r="FI133">
        <v>1264.6517645618508</v>
      </c>
      <c r="FJ133">
        <v>18.851489651603941</v>
      </c>
      <c r="FK133">
        <v>8.8966758383154048</v>
      </c>
    </row>
    <row r="134" spans="2:167" x14ac:dyDescent="0.2">
      <c r="B134">
        <v>601.20625038839387</v>
      </c>
      <c r="C134">
        <v>1.6633226939240497</v>
      </c>
      <c r="D134">
        <v>645.69394725378049</v>
      </c>
      <c r="E134">
        <v>1.5487213474017045</v>
      </c>
      <c r="F134">
        <v>732.9125212748321</v>
      </c>
      <c r="G134">
        <v>1.3644193146824597</v>
      </c>
      <c r="H134">
        <v>821.81558446105635</v>
      </c>
      <c r="I134">
        <v>1.2168180050464683</v>
      </c>
      <c r="J134">
        <v>911.78290900060495</v>
      </c>
      <c r="K134">
        <v>1.0967522972064576</v>
      </c>
      <c r="L134">
        <v>690.73753805648187</v>
      </c>
      <c r="M134">
        <v>1.4477278921508818</v>
      </c>
      <c r="N134">
        <v>688.72549731865342</v>
      </c>
      <c r="O134">
        <v>1.4519572803579956</v>
      </c>
      <c r="Q134">
        <v>0.26361975672112997</v>
      </c>
      <c r="R134">
        <v>0.26422216731192621</v>
      </c>
      <c r="S134">
        <v>0.26390260847583896</v>
      </c>
      <c r="T134">
        <v>0.26491745703000263</v>
      </c>
      <c r="U134">
        <v>0.26526676567776486</v>
      </c>
      <c r="V134">
        <v>0.26406640121416619</v>
      </c>
      <c r="W134">
        <v>0.26396940483313891</v>
      </c>
      <c r="Y134">
        <v>2.1478538101915015</v>
      </c>
      <c r="Z134">
        <v>2.2065577053811301</v>
      </c>
      <c r="AA134">
        <v>2.234133780666002</v>
      </c>
      <c r="AB134">
        <v>2.3827331312248705</v>
      </c>
      <c r="AC134">
        <v>2.4483108740272961</v>
      </c>
      <c r="AD134">
        <v>2.2216074271870125</v>
      </c>
      <c r="AE134">
        <v>2.2171917690982887</v>
      </c>
      <c r="AG134">
        <v>0.86576771256102381</v>
      </c>
      <c r="AH134">
        <v>0.89970376840872512</v>
      </c>
      <c r="AI134">
        <v>0.90622832773697537</v>
      </c>
      <c r="AJ134">
        <v>0.97729234987096747</v>
      </c>
      <c r="AK134">
        <v>1.0107642139356952</v>
      </c>
      <c r="AL134">
        <v>0.90432236902957741</v>
      </c>
      <c r="AM134">
        <v>0.90023465911755041</v>
      </c>
      <c r="AO134">
        <v>138</v>
      </c>
      <c r="AP134">
        <v>16.931063736981372</v>
      </c>
      <c r="AQ134">
        <v>7.4361298436703311</v>
      </c>
      <c r="AR134">
        <v>7.7395305624900557</v>
      </c>
      <c r="AS134">
        <v>895.58890771129154</v>
      </c>
      <c r="AT134">
        <v>25.17755048824197</v>
      </c>
      <c r="AU134">
        <v>11.16983590330352</v>
      </c>
      <c r="AV134">
        <v>17.832022222466019</v>
      </c>
      <c r="AW134">
        <v>7.7510731453464325</v>
      </c>
      <c r="AX134">
        <v>8.1382071172396042</v>
      </c>
      <c r="AY134">
        <v>946.47121740473051</v>
      </c>
      <c r="AZ134">
        <v>25.21512120679737</v>
      </c>
      <c r="BA134">
        <v>11.102830127162807</v>
      </c>
      <c r="BB134">
        <v>19.179895760802655</v>
      </c>
      <c r="BC134">
        <v>8.14354885679594</v>
      </c>
      <c r="BD134">
        <v>8.7013340885286503</v>
      </c>
      <c r="BE134">
        <v>1021.8945800872876</v>
      </c>
      <c r="BF134">
        <v>25.470563076449061</v>
      </c>
      <c r="BG134">
        <v>11.031912683143069</v>
      </c>
      <c r="BH134">
        <v>20.427192307563793</v>
      </c>
      <c r="BI134">
        <v>8.6713172965250322</v>
      </c>
      <c r="BJ134">
        <v>9.3310730435690257</v>
      </c>
      <c r="BK134">
        <v>1096.9887745460044</v>
      </c>
      <c r="BL134">
        <v>25.621262296325543</v>
      </c>
      <c r="BM134">
        <v>11.103924700603347</v>
      </c>
      <c r="BN134">
        <v>20.9203131034675</v>
      </c>
      <c r="BO134">
        <v>8.8300012319782741</v>
      </c>
      <c r="BP134">
        <v>9.8742906991828843</v>
      </c>
      <c r="BQ134">
        <v>1206.6069606598671</v>
      </c>
      <c r="BR134">
        <v>24.399007767259231</v>
      </c>
      <c r="BS134">
        <v>10.545082665449735</v>
      </c>
      <c r="BU134">
        <v>138</v>
      </c>
      <c r="BV134">
        <v>16.196522227113306</v>
      </c>
      <c r="BW134">
        <v>6.5623482779259827</v>
      </c>
      <c r="BX134">
        <v>7.5000152703769531</v>
      </c>
      <c r="BY134">
        <v>895.65746091527842</v>
      </c>
      <c r="BZ134">
        <v>24.355509089881732</v>
      </c>
      <c r="CA134">
        <v>10.193405368252964</v>
      </c>
      <c r="CB134">
        <v>16.944108239524365</v>
      </c>
      <c r="CC134">
        <v>6.8606739556690819</v>
      </c>
      <c r="CD134">
        <v>7.8653783327379827</v>
      </c>
      <c r="CE134">
        <v>947.12943470085588</v>
      </c>
      <c r="CF134">
        <v>24.260118671025108</v>
      </c>
      <c r="CG134">
        <v>10.155011136840196</v>
      </c>
      <c r="CH134">
        <v>18.322976594219522</v>
      </c>
      <c r="CI134">
        <v>7.3610943215725717</v>
      </c>
      <c r="CJ134">
        <v>8.3988547185886713</v>
      </c>
      <c r="CK134">
        <v>1023.5857936428962</v>
      </c>
      <c r="CL134">
        <v>24.591305730639323</v>
      </c>
      <c r="CM134">
        <v>10.249260305127672</v>
      </c>
      <c r="CN134">
        <v>19.533824420756684</v>
      </c>
      <c r="CO134">
        <v>7.7751440625397477</v>
      </c>
      <c r="CP134">
        <v>9.0382984475836032</v>
      </c>
      <c r="CQ134">
        <v>1099.1993408141213</v>
      </c>
      <c r="CR134">
        <v>24.756991959079595</v>
      </c>
      <c r="CS134">
        <v>10.26629756493729</v>
      </c>
      <c r="CT134">
        <v>19.85488957733952</v>
      </c>
      <c r="CU134">
        <v>7.8443549908599701</v>
      </c>
      <c r="CV134">
        <v>9.4212243552239254</v>
      </c>
      <c r="CW134">
        <v>1209.2102602423731</v>
      </c>
      <c r="CX134">
        <v>23.465388950101854</v>
      </c>
      <c r="CY134">
        <v>9.7072645590968367</v>
      </c>
      <c r="DA134">
        <v>138</v>
      </c>
      <c r="DB134">
        <v>13.437726216437587</v>
      </c>
      <c r="DC134">
        <v>6.0380348766909941</v>
      </c>
      <c r="DD134">
        <v>7.1174054859616307</v>
      </c>
      <c r="DE134">
        <v>934.64729959114732</v>
      </c>
      <c r="DF134">
        <v>20.387794870217189</v>
      </c>
      <c r="DG134">
        <v>9.2072016607109628</v>
      </c>
      <c r="DH134">
        <v>14.051310290053296</v>
      </c>
      <c r="DI134">
        <v>6.7379681550776143</v>
      </c>
      <c r="DJ134">
        <v>7.4990341612662892</v>
      </c>
      <c r="DK134">
        <v>982.13556092839053</v>
      </c>
      <c r="DL134">
        <v>20.450002354264651</v>
      </c>
      <c r="DM134">
        <v>9.6681196919996371</v>
      </c>
      <c r="DN134">
        <v>15.618851331698355</v>
      </c>
      <c r="DO134">
        <v>6.8775865890669055</v>
      </c>
      <c r="DP134">
        <v>8.0550784516489742</v>
      </c>
      <c r="DQ134">
        <v>1060.0239208296414</v>
      </c>
      <c r="DR134">
        <v>21.194980121680796</v>
      </c>
      <c r="DS134">
        <v>9.440814791555443</v>
      </c>
      <c r="DT134">
        <v>16.785478446374917</v>
      </c>
      <c r="DU134">
        <v>7.8776402207724168</v>
      </c>
      <c r="DV134">
        <v>8.7874826743225789</v>
      </c>
      <c r="DW134">
        <v>1156.0690178553111</v>
      </c>
      <c r="DX134">
        <v>21.161818965587837</v>
      </c>
      <c r="DY134">
        <v>9.849934128793107</v>
      </c>
      <c r="DZ134">
        <v>17.071106978735219</v>
      </c>
      <c r="EA134">
        <v>8.1292184615136076</v>
      </c>
      <c r="EB134">
        <v>9.1867521062920332</v>
      </c>
      <c r="EC134">
        <v>1270.7406002478313</v>
      </c>
      <c r="ED134">
        <v>20.138497562323831</v>
      </c>
      <c r="EE134">
        <v>9.461401777873359</v>
      </c>
      <c r="EG134">
        <v>138</v>
      </c>
      <c r="EH134">
        <v>12.608885517820566</v>
      </c>
      <c r="EI134">
        <v>5.5427807943530443</v>
      </c>
      <c r="EJ134">
        <v>6.5462800453587962</v>
      </c>
      <c r="EK134">
        <v>948.95393475198921</v>
      </c>
      <c r="EL134">
        <v>19.206998415801142</v>
      </c>
      <c r="EM134">
        <v>8.5464971371411238</v>
      </c>
      <c r="EN134">
        <v>13.204827044811752</v>
      </c>
      <c r="EO134">
        <v>6.0730269594086508</v>
      </c>
      <c r="EP134">
        <v>6.935101637710714</v>
      </c>
      <c r="EQ134">
        <v>996.98247248601137</v>
      </c>
      <c r="ER134">
        <v>19.296418762488329</v>
      </c>
      <c r="ES134">
        <v>8.8571897749985968</v>
      </c>
      <c r="ET134">
        <v>14.402380757988876</v>
      </c>
      <c r="EU134">
        <v>6.2246160777025912</v>
      </c>
      <c r="EV134">
        <v>7.4437391116595935</v>
      </c>
      <c r="EW134">
        <v>1030.699847598971</v>
      </c>
      <c r="EX134">
        <v>20.617753467495636</v>
      </c>
      <c r="EY134">
        <v>9.0758905433024335</v>
      </c>
      <c r="EZ134">
        <v>15.152831333726944</v>
      </c>
      <c r="FA134">
        <v>7.1939526022566929</v>
      </c>
      <c r="FB134">
        <v>8.1202017642727089</v>
      </c>
      <c r="FC134">
        <v>1143.7645058966621</v>
      </c>
      <c r="FD134">
        <v>19.962042918119625</v>
      </c>
      <c r="FE134">
        <v>9.3581467168423256</v>
      </c>
      <c r="FF134">
        <v>15.320870150818738</v>
      </c>
      <c r="FG134">
        <v>7.3828738414521258</v>
      </c>
      <c r="FH134">
        <v>8.4935821549011354</v>
      </c>
      <c r="FI134">
        <v>1265.7467412375236</v>
      </c>
      <c r="FJ134">
        <v>18.835181538141988</v>
      </c>
      <c r="FK134">
        <v>8.9090829839419587</v>
      </c>
    </row>
    <row r="135" spans="2:167" x14ac:dyDescent="0.2">
      <c r="B135">
        <v>601.20625038839387</v>
      </c>
      <c r="C135">
        <v>1.6633226939240497</v>
      </c>
      <c r="D135">
        <v>645.69394725378049</v>
      </c>
      <c r="E135">
        <v>1.5487213474017045</v>
      </c>
      <c r="F135">
        <v>732.9125212748321</v>
      </c>
      <c r="G135">
        <v>1.3644193146824597</v>
      </c>
      <c r="H135">
        <v>821.81558446105635</v>
      </c>
      <c r="I135">
        <v>1.2168180050464683</v>
      </c>
      <c r="J135">
        <v>911.78290900060495</v>
      </c>
      <c r="K135">
        <v>1.0967522972064576</v>
      </c>
      <c r="L135">
        <v>690.73753805648187</v>
      </c>
      <c r="M135">
        <v>1.4477278921508818</v>
      </c>
      <c r="N135">
        <v>688.72549731865342</v>
      </c>
      <c r="O135">
        <v>1.4519572803579956</v>
      </c>
      <c r="Q135">
        <v>0.26549271214648218</v>
      </c>
      <c r="R135">
        <v>0.26609660220968623</v>
      </c>
      <c r="S135">
        <v>0.2657721367327387</v>
      </c>
      <c r="T135">
        <v>0.26678944138780741</v>
      </c>
      <c r="U135">
        <v>0.26713877598385838</v>
      </c>
      <c r="V135">
        <v>0.26593729879731132</v>
      </c>
      <c r="W135">
        <v>0.26584220283081977</v>
      </c>
      <c r="Y135">
        <v>2.1478538101915015</v>
      </c>
      <c r="Z135">
        <v>2.2065577053811301</v>
      </c>
      <c r="AA135">
        <v>2.234133780666002</v>
      </c>
      <c r="AB135">
        <v>2.3827331312248705</v>
      </c>
      <c r="AC135">
        <v>2.4483108740272961</v>
      </c>
      <c r="AD135">
        <v>2.2216074271870125</v>
      </c>
      <c r="AE135">
        <v>2.2171917690982887</v>
      </c>
      <c r="AG135">
        <v>0.86576771256102381</v>
      </c>
      <c r="AH135">
        <v>0.89970376840872512</v>
      </c>
      <c r="AI135">
        <v>0.90622832773697537</v>
      </c>
      <c r="AJ135">
        <v>0.97729234987096747</v>
      </c>
      <c r="AK135">
        <v>1.0107642139356952</v>
      </c>
      <c r="AL135">
        <v>0.90432236902957741</v>
      </c>
      <c r="AM135">
        <v>0.90023465911755041</v>
      </c>
      <c r="AO135">
        <v>139</v>
      </c>
      <c r="AP135">
        <v>16.931063736981372</v>
      </c>
      <c r="AQ135">
        <v>7.4361298436703311</v>
      </c>
      <c r="AR135">
        <v>7.7395305624900557</v>
      </c>
      <c r="AS135">
        <v>896.29712131780252</v>
      </c>
      <c r="AT135">
        <v>25.157656322110796</v>
      </c>
      <c r="AU135">
        <v>11.161010002180928</v>
      </c>
      <c r="AV135">
        <v>17.832022222466019</v>
      </c>
      <c r="AW135">
        <v>7.7510731453464325</v>
      </c>
      <c r="AX135">
        <v>8.1382071172396042</v>
      </c>
      <c r="AY135">
        <v>947.22075365168644</v>
      </c>
      <c r="AZ135">
        <v>25.195168469018956</v>
      </c>
      <c r="BA135">
        <v>11.094044452237485</v>
      </c>
      <c r="BB135">
        <v>19.179895760802655</v>
      </c>
      <c r="BC135">
        <v>8.14354885679594</v>
      </c>
      <c r="BD135">
        <v>8.7013340885286503</v>
      </c>
      <c r="BE135">
        <v>1022.6922963501236</v>
      </c>
      <c r="BF135">
        <v>25.450695631996624</v>
      </c>
      <c r="BG135">
        <v>11.023307615725493</v>
      </c>
      <c r="BH135">
        <v>20.427192307563793</v>
      </c>
      <c r="BI135">
        <v>8.6713172965250322</v>
      </c>
      <c r="BJ135">
        <v>9.3310730435690257</v>
      </c>
      <c r="BK135">
        <v>1097.8505135930129</v>
      </c>
      <c r="BL135">
        <v>25.601151323218531</v>
      </c>
      <c r="BM135">
        <v>11.095208864183837</v>
      </c>
      <c r="BN135">
        <v>20.9203131034675</v>
      </c>
      <c r="BO135">
        <v>8.8300012319782741</v>
      </c>
      <c r="BP135">
        <v>9.8742906991828843</v>
      </c>
      <c r="BQ135">
        <v>1207.5095933491903</v>
      </c>
      <c r="BR135">
        <v>24.380769119616946</v>
      </c>
      <c r="BS135">
        <v>10.53720004788887</v>
      </c>
      <c r="BU135">
        <v>139</v>
      </c>
      <c r="BV135">
        <v>16.196522227113306</v>
      </c>
      <c r="BW135">
        <v>6.5623482779259827</v>
      </c>
      <c r="BX135">
        <v>7.5000152703769531</v>
      </c>
      <c r="BY135">
        <v>896.39557252968552</v>
      </c>
      <c r="BZ135">
        <v>24.335454233872898</v>
      </c>
      <c r="CA135">
        <v>10.185011896527714</v>
      </c>
      <c r="CB135">
        <v>16.944108239524365</v>
      </c>
      <c r="CC135">
        <v>6.8615306138337004</v>
      </c>
      <c r="CD135">
        <v>7.8653783327379827</v>
      </c>
      <c r="CE135">
        <v>947.90690737537943</v>
      </c>
      <c r="CF135">
        <v>24.240220536302527</v>
      </c>
      <c r="CG135">
        <v>10.147585739420903</v>
      </c>
      <c r="CH135">
        <v>18.322976594219522</v>
      </c>
      <c r="CI135">
        <v>7.3610943215725717</v>
      </c>
      <c r="CJ135">
        <v>8.3988547185886713</v>
      </c>
      <c r="CK135">
        <v>1024.4165857644632</v>
      </c>
      <c r="CL135">
        <v>24.571362415249897</v>
      </c>
      <c r="CM135">
        <v>10.240948252363479</v>
      </c>
      <c r="CN135">
        <v>19.533824420756684</v>
      </c>
      <c r="CO135">
        <v>7.7751440625397477</v>
      </c>
      <c r="CP135">
        <v>9.0382984475836032</v>
      </c>
      <c r="CQ135">
        <v>1100.0977242892063</v>
      </c>
      <c r="CR135">
        <v>24.736774416603343</v>
      </c>
      <c r="CS135">
        <v>10.257913698777942</v>
      </c>
      <c r="CT135">
        <v>19.85488957733952</v>
      </c>
      <c r="CU135">
        <v>7.8443549908599701</v>
      </c>
      <c r="CV135">
        <v>9.4212243552239254</v>
      </c>
      <c r="CW135">
        <v>1210.1469957888635</v>
      </c>
      <c r="CX135">
        <v>23.44722515345709</v>
      </c>
      <c r="CY135">
        <v>9.6997504803912467</v>
      </c>
      <c r="DA135">
        <v>139</v>
      </c>
      <c r="DB135">
        <v>13.437726216437587</v>
      </c>
      <c r="DC135">
        <v>6.0380348766909941</v>
      </c>
      <c r="DD135">
        <v>7.1174054859616307</v>
      </c>
      <c r="DE135">
        <v>935.56602095416542</v>
      </c>
      <c r="DF135">
        <v>20.367774153054977</v>
      </c>
      <c r="DG135">
        <v>9.1981602326664902</v>
      </c>
      <c r="DH135">
        <v>14.051310290053296</v>
      </c>
      <c r="DI135">
        <v>6.7438403057836913</v>
      </c>
      <c r="DJ135">
        <v>7.4990341612662892</v>
      </c>
      <c r="DK135">
        <v>983.10390701722497</v>
      </c>
      <c r="DL135">
        <v>20.429859336161417</v>
      </c>
      <c r="DM135">
        <v>9.6645697771237629</v>
      </c>
      <c r="DN135">
        <v>15.618851331698355</v>
      </c>
      <c r="DO135">
        <v>6.8807855816609145</v>
      </c>
      <c r="DP135">
        <v>8.0550784516489742</v>
      </c>
      <c r="DQ135">
        <v>1061.0317219454867</v>
      </c>
      <c r="DR135">
        <v>21.174848466636796</v>
      </c>
      <c r="DS135">
        <v>9.4348625933725003</v>
      </c>
      <c r="DT135">
        <v>16.785478446374917</v>
      </c>
      <c r="DU135">
        <v>7.9022582766830576</v>
      </c>
      <c r="DV135">
        <v>8.7874826743225789</v>
      </c>
      <c r="DW135">
        <v>1157.1753228412636</v>
      </c>
      <c r="DX135">
        <v>21.141587436820039</v>
      </c>
      <c r="DY135">
        <v>9.8617914717573232</v>
      </c>
      <c r="DZ135">
        <v>17.071106978735219</v>
      </c>
      <c r="EA135">
        <v>8.1570152894292036</v>
      </c>
      <c r="EB135">
        <v>9.1867521062920332</v>
      </c>
      <c r="EC135">
        <v>1271.8978366466035</v>
      </c>
      <c r="ED135">
        <v>20.120174547908498</v>
      </c>
      <c r="EE135">
        <v>9.4746479277679541</v>
      </c>
      <c r="EG135">
        <v>139</v>
      </c>
      <c r="EH135">
        <v>12.608885517820566</v>
      </c>
      <c r="EI135">
        <v>5.5427807943530443</v>
      </c>
      <c r="EJ135">
        <v>6.5462800453587962</v>
      </c>
      <c r="EK135">
        <v>949.94744378823214</v>
      </c>
      <c r="EL135">
        <v>19.18691064504079</v>
      </c>
      <c r="EM135">
        <v>8.5375587246115696</v>
      </c>
      <c r="EN135">
        <v>13.204827044811752</v>
      </c>
      <c r="EO135">
        <v>6.0786041898200018</v>
      </c>
      <c r="EP135">
        <v>6.935101637710714</v>
      </c>
      <c r="EQ135">
        <v>998.02076326339045</v>
      </c>
      <c r="ER135">
        <v>19.276343735620127</v>
      </c>
      <c r="ES135">
        <v>8.8535634896759419</v>
      </c>
      <c r="ET135">
        <v>14.402380757988876</v>
      </c>
      <c r="EU135">
        <v>6.2275133712183406</v>
      </c>
      <c r="EV135">
        <v>7.4437391116595935</v>
      </c>
      <c r="EW135">
        <v>1031.6995825790643</v>
      </c>
      <c r="EX135">
        <v>20.597774502978787</v>
      </c>
      <c r="EY135">
        <v>9.0699041187267362</v>
      </c>
      <c r="EZ135">
        <v>15.152831333726944</v>
      </c>
      <c r="FA135">
        <v>7.2158797619223831</v>
      </c>
      <c r="FB135">
        <v>8.1202017642727089</v>
      </c>
      <c r="FC135">
        <v>1144.9137915658885</v>
      </c>
      <c r="FD135">
        <v>19.942004649716118</v>
      </c>
      <c r="FE135">
        <v>9.367904635592021</v>
      </c>
      <c r="FF135">
        <v>15.320870150818738</v>
      </c>
      <c r="FG135">
        <v>7.4079101956742432</v>
      </c>
      <c r="FH135">
        <v>8.4935821549011354</v>
      </c>
      <c r="FI135">
        <v>1266.8438198455763</v>
      </c>
      <c r="FJ135">
        <v>18.818870391952871</v>
      </c>
      <c r="FK135">
        <v>8.9211305541506771</v>
      </c>
    </row>
    <row r="136" spans="2:167" x14ac:dyDescent="0.2">
      <c r="B136">
        <v>601.20625038839387</v>
      </c>
      <c r="C136">
        <v>1.6633226939240497</v>
      </c>
      <c r="D136">
        <v>645.69394725378049</v>
      </c>
      <c r="E136">
        <v>1.5487213474017045</v>
      </c>
      <c r="F136">
        <v>732.9125212748321</v>
      </c>
      <c r="G136">
        <v>1.3644193146824597</v>
      </c>
      <c r="H136">
        <v>821.81558446105635</v>
      </c>
      <c r="I136">
        <v>1.2168180050464683</v>
      </c>
      <c r="J136">
        <v>911.78290900060495</v>
      </c>
      <c r="K136">
        <v>1.0967522972064576</v>
      </c>
      <c r="L136">
        <v>690.73753805648187</v>
      </c>
      <c r="M136">
        <v>1.4477278921508818</v>
      </c>
      <c r="N136">
        <v>688.72549731865342</v>
      </c>
      <c r="O136">
        <v>1.4519572803579956</v>
      </c>
      <c r="Q136">
        <v>0.26736566757183439</v>
      </c>
      <c r="R136">
        <v>0.26797103710744624</v>
      </c>
      <c r="S136">
        <v>0.26764166498963848</v>
      </c>
      <c r="T136">
        <v>0.26866142574561225</v>
      </c>
      <c r="U136">
        <v>0.26901078628995184</v>
      </c>
      <c r="V136">
        <v>0.2678081963804565</v>
      </c>
      <c r="W136">
        <v>0.26771500082850058</v>
      </c>
      <c r="Y136">
        <v>2.1478538101915015</v>
      </c>
      <c r="Z136">
        <v>2.2065577053811301</v>
      </c>
      <c r="AA136">
        <v>2.234133780666002</v>
      </c>
      <c r="AB136">
        <v>2.3827331312248705</v>
      </c>
      <c r="AC136">
        <v>2.4483108740272961</v>
      </c>
      <c r="AD136">
        <v>2.2216074271870125</v>
      </c>
      <c r="AE136">
        <v>2.2171917690982887</v>
      </c>
      <c r="AG136">
        <v>0.86576771256102381</v>
      </c>
      <c r="AH136">
        <v>0.89970376840872512</v>
      </c>
      <c r="AI136">
        <v>0.90622832773697537</v>
      </c>
      <c r="AJ136">
        <v>0.97729234987096747</v>
      </c>
      <c r="AK136">
        <v>1.0107642139356952</v>
      </c>
      <c r="AL136">
        <v>0.90432236902957741</v>
      </c>
      <c r="AM136">
        <v>0.90023465911755041</v>
      </c>
      <c r="AO136">
        <v>140</v>
      </c>
      <c r="AP136">
        <v>16.931063736981372</v>
      </c>
      <c r="AQ136">
        <v>7.4361298436703311</v>
      </c>
      <c r="AR136">
        <v>7.7395305624900557</v>
      </c>
      <c r="AS136">
        <v>897.00645887404141</v>
      </c>
      <c r="AT136">
        <v>25.137762072432125</v>
      </c>
      <c r="AU136">
        <v>11.152184063993099</v>
      </c>
      <c r="AV136">
        <v>17.832022222466019</v>
      </c>
      <c r="AW136">
        <v>7.7510731453464325</v>
      </c>
      <c r="AX136">
        <v>8.1382071172396042</v>
      </c>
      <c r="AY136">
        <v>947.97147940369484</v>
      </c>
      <c r="AZ136">
        <v>25.1752156938492</v>
      </c>
      <c r="BA136">
        <v>11.085258760847845</v>
      </c>
      <c r="BB136">
        <v>19.179895760802655</v>
      </c>
      <c r="BC136">
        <v>8.14354885679594</v>
      </c>
      <c r="BD136">
        <v>8.7013340885286503</v>
      </c>
      <c r="BE136">
        <v>1023.4912631761292</v>
      </c>
      <c r="BF136">
        <v>25.430828084279966</v>
      </c>
      <c r="BG136">
        <v>11.014702503581704</v>
      </c>
      <c r="BH136">
        <v>20.427192307563793</v>
      </c>
      <c r="BI136">
        <v>8.6713172965250322</v>
      </c>
      <c r="BJ136">
        <v>9.3310730435690257</v>
      </c>
      <c r="BK136">
        <v>1098.7136038339672</v>
      </c>
      <c r="BL136">
        <v>25.581040437372426</v>
      </c>
      <c r="BM136">
        <v>11.086493065582079</v>
      </c>
      <c r="BN136">
        <v>20.9203131034675</v>
      </c>
      <c r="BO136">
        <v>8.8300012319782741</v>
      </c>
      <c r="BP136">
        <v>9.8742906991828843</v>
      </c>
      <c r="BQ136">
        <v>1208.4136413530791</v>
      </c>
      <c r="BR136">
        <v>24.362529185126313</v>
      </c>
      <c r="BS136">
        <v>10.529316874161035</v>
      </c>
      <c r="BU136">
        <v>140</v>
      </c>
      <c r="BV136">
        <v>16.196522227113306</v>
      </c>
      <c r="BW136">
        <v>6.5623482779259827</v>
      </c>
      <c r="BX136">
        <v>7.5000152703769531</v>
      </c>
      <c r="BY136">
        <v>897.13490003514983</v>
      </c>
      <c r="BZ136">
        <v>24.315399423083168</v>
      </c>
      <c r="CA136">
        <v>10.176618443727818</v>
      </c>
      <c r="CB136">
        <v>16.944108239524365</v>
      </c>
      <c r="CC136">
        <v>6.8616911413101667</v>
      </c>
      <c r="CD136">
        <v>7.8653783327379827</v>
      </c>
      <c r="CE136">
        <v>948.68566078042352</v>
      </c>
      <c r="CF136">
        <v>24.220322318102269</v>
      </c>
      <c r="CG136">
        <v>10.139425039000157</v>
      </c>
      <c r="CH136">
        <v>18.322976594219522</v>
      </c>
      <c r="CI136">
        <v>7.3610943215725717</v>
      </c>
      <c r="CJ136">
        <v>8.3988547185886713</v>
      </c>
      <c r="CK136">
        <v>1025.2487295234082</v>
      </c>
      <c r="CL136">
        <v>24.55141905390369</v>
      </c>
      <c r="CM136">
        <v>10.232636180445239</v>
      </c>
      <c r="CN136">
        <v>19.533824420756684</v>
      </c>
      <c r="CO136">
        <v>7.7751440625397477</v>
      </c>
      <c r="CP136">
        <v>9.0382984475836032</v>
      </c>
      <c r="CQ136">
        <v>1100.9975695377927</v>
      </c>
      <c r="CR136">
        <v>24.716557052332973</v>
      </c>
      <c r="CS136">
        <v>10.2495299065175</v>
      </c>
      <c r="CT136">
        <v>19.85488957733952</v>
      </c>
      <c r="CU136">
        <v>7.8443549908599701</v>
      </c>
      <c r="CV136">
        <v>9.4212243552239254</v>
      </c>
      <c r="CW136">
        <v>1211.0852555120975</v>
      </c>
      <c r="CX136">
        <v>23.429059969063211</v>
      </c>
      <c r="CY136">
        <v>9.6922358275955407</v>
      </c>
      <c r="DA136">
        <v>140</v>
      </c>
      <c r="DB136">
        <v>13.437726216437587</v>
      </c>
      <c r="DC136">
        <v>6.0380348766909941</v>
      </c>
      <c r="DD136">
        <v>7.1174054859616307</v>
      </c>
      <c r="DE136">
        <v>936.48654929085899</v>
      </c>
      <c r="DF136">
        <v>20.347753456252164</v>
      </c>
      <c r="DG136">
        <v>9.1891188138163979</v>
      </c>
      <c r="DH136">
        <v>14.051310290053296</v>
      </c>
      <c r="DI136">
        <v>6.7490954273552832</v>
      </c>
      <c r="DJ136">
        <v>7.4990341612662892</v>
      </c>
      <c r="DK136">
        <v>984.07415768340127</v>
      </c>
      <c r="DL136">
        <v>20.409716459249108</v>
      </c>
      <c r="DM136">
        <v>9.660381135789379</v>
      </c>
      <c r="DN136">
        <v>15.618851331698355</v>
      </c>
      <c r="DO136">
        <v>6.8833004142028509</v>
      </c>
      <c r="DP136">
        <v>8.0550784516489742</v>
      </c>
      <c r="DQ136">
        <v>1062.0414348959548</v>
      </c>
      <c r="DR136">
        <v>21.154716936906922</v>
      </c>
      <c r="DS136">
        <v>9.4282605247769684</v>
      </c>
      <c r="DT136">
        <v>16.785478446374917</v>
      </c>
      <c r="DU136">
        <v>7.9264071278654704</v>
      </c>
      <c r="DV136">
        <v>8.7874826743225789</v>
      </c>
      <c r="DW136">
        <v>1158.2837350421655</v>
      </c>
      <c r="DX136">
        <v>21.121356130144083</v>
      </c>
      <c r="DY136">
        <v>9.873203115374924</v>
      </c>
      <c r="DZ136">
        <v>17.071106978735219</v>
      </c>
      <c r="EA136">
        <v>8.1843653939976289</v>
      </c>
      <c r="EB136">
        <v>9.1867521062920332</v>
      </c>
      <c r="EC136">
        <v>1273.0572772710375</v>
      </c>
      <c r="ED136">
        <v>20.101850040317171</v>
      </c>
      <c r="EE136">
        <v>9.4875026619193061</v>
      </c>
      <c r="EG136">
        <v>140</v>
      </c>
      <c r="EH136">
        <v>12.608885517820566</v>
      </c>
      <c r="EI136">
        <v>5.5427807943530443</v>
      </c>
      <c r="EJ136">
        <v>6.5462800453587962</v>
      </c>
      <c r="EK136">
        <v>950.94303075519838</v>
      </c>
      <c r="EL136">
        <v>19.166822966224345</v>
      </c>
      <c r="EM136">
        <v>8.5286203529940998</v>
      </c>
      <c r="EN136">
        <v>13.204827044811752</v>
      </c>
      <c r="EO136">
        <v>6.0836305102912647</v>
      </c>
      <c r="EP136">
        <v>6.935101637710714</v>
      </c>
      <c r="EQ136">
        <v>999.06121486106281</v>
      </c>
      <c r="ER136">
        <v>19.256268786919616</v>
      </c>
      <c r="ES136">
        <v>8.849374173001042</v>
      </c>
      <c r="ET136">
        <v>14.402380757988876</v>
      </c>
      <c r="EU136">
        <v>6.2297914972411457</v>
      </c>
      <c r="EV136">
        <v>7.4437391116595935</v>
      </c>
      <c r="EW136">
        <v>1032.7012598660642</v>
      </c>
      <c r="EX136">
        <v>20.57779551807365</v>
      </c>
      <c r="EY136">
        <v>9.0633126762711775</v>
      </c>
      <c r="EZ136">
        <v>15.152831333726944</v>
      </c>
      <c r="FA136">
        <v>7.237368097056013</v>
      </c>
      <c r="FB136">
        <v>8.1202017642727089</v>
      </c>
      <c r="FC136">
        <v>1146.06538701317</v>
      </c>
      <c r="FD136">
        <v>19.921966419764743</v>
      </c>
      <c r="FE136">
        <v>9.377241187350732</v>
      </c>
      <c r="FF136">
        <v>15.320870150818738</v>
      </c>
      <c r="FG136">
        <v>7.4325369474396323</v>
      </c>
      <c r="FH136">
        <v>8.4935821549011354</v>
      </c>
      <c r="FI136">
        <v>1267.9430064441713</v>
      </c>
      <c r="FJ136">
        <v>18.802556212190531</v>
      </c>
      <c r="FK136">
        <v>8.9328193797056308</v>
      </c>
    </row>
    <row r="137" spans="2:167" x14ac:dyDescent="0.2">
      <c r="B137">
        <v>601.20625038839387</v>
      </c>
      <c r="C137">
        <v>1.6633226939240497</v>
      </c>
      <c r="D137">
        <v>645.69394725378049</v>
      </c>
      <c r="E137">
        <v>1.5487213474017045</v>
      </c>
      <c r="F137">
        <v>732.9125212748321</v>
      </c>
      <c r="G137">
        <v>1.3644193146824597</v>
      </c>
      <c r="H137">
        <v>821.81558446105635</v>
      </c>
      <c r="I137">
        <v>1.2168180050464683</v>
      </c>
      <c r="J137">
        <v>911.78290900060495</v>
      </c>
      <c r="K137">
        <v>1.0967522972064576</v>
      </c>
      <c r="L137">
        <v>690.73753805648187</v>
      </c>
      <c r="M137">
        <v>1.4477278921508818</v>
      </c>
      <c r="N137">
        <v>688.72549731865342</v>
      </c>
      <c r="O137">
        <v>1.4519572803579956</v>
      </c>
      <c r="Q137">
        <v>0.26923862299718659</v>
      </c>
      <c r="R137">
        <v>0.2698454720052062</v>
      </c>
      <c r="S137">
        <v>0.26951119324653822</v>
      </c>
      <c r="T137">
        <v>0.27053341010341708</v>
      </c>
      <c r="U137">
        <v>0.27088279659604536</v>
      </c>
      <c r="V137">
        <v>0.26967909396360168</v>
      </c>
      <c r="W137">
        <v>0.26958779882618139</v>
      </c>
      <c r="Y137">
        <v>2.1478538101915015</v>
      </c>
      <c r="Z137">
        <v>2.2065577053811301</v>
      </c>
      <c r="AA137">
        <v>2.234133780666002</v>
      </c>
      <c r="AB137">
        <v>2.3827331312248705</v>
      </c>
      <c r="AC137">
        <v>2.4483108740272961</v>
      </c>
      <c r="AD137">
        <v>2.2216074271870125</v>
      </c>
      <c r="AE137">
        <v>2.2171917690982887</v>
      </c>
      <c r="AG137">
        <v>0.86576771256102381</v>
      </c>
      <c r="AH137">
        <v>0.89970376840872512</v>
      </c>
      <c r="AI137">
        <v>0.90622832773697537</v>
      </c>
      <c r="AJ137">
        <v>0.97729234987096747</v>
      </c>
      <c r="AK137">
        <v>1.0107642139356952</v>
      </c>
      <c r="AL137">
        <v>0.90432236902957741</v>
      </c>
      <c r="AM137">
        <v>0.90023465911755041</v>
      </c>
      <c r="AO137">
        <v>141</v>
      </c>
      <c r="AP137">
        <v>16.931063736981372</v>
      </c>
      <c r="AQ137">
        <v>7.4361298436703311</v>
      </c>
      <c r="AR137">
        <v>7.7395305624900557</v>
      </c>
      <c r="AS137">
        <v>897.71692305773058</v>
      </c>
      <c r="AT137">
        <v>25.117867739205419</v>
      </c>
      <c r="AU137">
        <v>11.143358088739799</v>
      </c>
      <c r="AV137">
        <v>17.832022222466019</v>
      </c>
      <c r="AW137">
        <v>7.7510731453464325</v>
      </c>
      <c r="AX137">
        <v>8.1382071172396042</v>
      </c>
      <c r="AY137">
        <v>948.72339749459979</v>
      </c>
      <c r="AZ137">
        <v>25.155262881287996</v>
      </c>
      <c r="BA137">
        <v>11.076473052993844</v>
      </c>
      <c r="BB137">
        <v>19.179895760802655</v>
      </c>
      <c r="BC137">
        <v>8.14354885679594</v>
      </c>
      <c r="BD137">
        <v>8.7013340885286503</v>
      </c>
      <c r="BE137">
        <v>1024.2914835083345</v>
      </c>
      <c r="BF137">
        <v>25.410960433298282</v>
      </c>
      <c r="BG137">
        <v>11.006097346711346</v>
      </c>
      <c r="BH137">
        <v>20.427192307563793</v>
      </c>
      <c r="BI137">
        <v>8.6713172965250322</v>
      </c>
      <c r="BJ137">
        <v>9.3310730435690257</v>
      </c>
      <c r="BK137">
        <v>1099.5780484493387</v>
      </c>
      <c r="BL137">
        <v>25.560929638786668</v>
      </c>
      <c r="BM137">
        <v>11.077777304797831</v>
      </c>
      <c r="BN137">
        <v>20.9203131034675</v>
      </c>
      <c r="BO137">
        <v>8.8300012319782741</v>
      </c>
      <c r="BP137">
        <v>9.8742906991828843</v>
      </c>
      <c r="BQ137">
        <v>1209.3191080029339</v>
      </c>
      <c r="BR137">
        <v>24.344287963651134</v>
      </c>
      <c r="BS137">
        <v>10.521433144207366</v>
      </c>
      <c r="BU137">
        <v>141</v>
      </c>
      <c r="BV137">
        <v>16.196522227113306</v>
      </c>
      <c r="BW137">
        <v>6.5623482779259827</v>
      </c>
      <c r="BX137">
        <v>7.5000152703769531</v>
      </c>
      <c r="BY137">
        <v>897.87544643855347</v>
      </c>
      <c r="BZ137">
        <v>24.295344657512384</v>
      </c>
      <c r="CA137">
        <v>10.168225009853213</v>
      </c>
      <c r="CB137">
        <v>16.944108239524365</v>
      </c>
      <c r="CC137">
        <v>6.8616911413101667</v>
      </c>
      <c r="CD137">
        <v>7.8653783327379827</v>
      </c>
      <c r="CE137">
        <v>949.4656980832176</v>
      </c>
      <c r="CF137">
        <v>24.200424016423803</v>
      </c>
      <c r="CG137">
        <v>10.131094954221666</v>
      </c>
      <c r="CH137">
        <v>18.322976594219522</v>
      </c>
      <c r="CI137">
        <v>7.3610943215725717</v>
      </c>
      <c r="CJ137">
        <v>8.3988547185886713</v>
      </c>
      <c r="CK137">
        <v>1026.0822282209376</v>
      </c>
      <c r="CL137">
        <v>24.531475646600544</v>
      </c>
      <c r="CM137">
        <v>10.224324089372887</v>
      </c>
      <c r="CN137">
        <v>19.533824420756684</v>
      </c>
      <c r="CO137">
        <v>7.7751440625397477</v>
      </c>
      <c r="CP137">
        <v>9.0382984475836032</v>
      </c>
      <c r="CQ137">
        <v>1101.8988801304963</v>
      </c>
      <c r="CR137">
        <v>24.696339866266143</v>
      </c>
      <c r="CS137">
        <v>10.241146188154993</v>
      </c>
      <c r="CT137">
        <v>19.85488957733952</v>
      </c>
      <c r="CU137">
        <v>7.8443549908599701</v>
      </c>
      <c r="CV137">
        <v>9.4212243552239254</v>
      </c>
      <c r="CW137">
        <v>1212.025043135121</v>
      </c>
      <c r="CX137">
        <v>23.410893396761168</v>
      </c>
      <c r="CY137">
        <v>9.6847206006439279</v>
      </c>
      <c r="DA137">
        <v>141</v>
      </c>
      <c r="DB137">
        <v>13.437726216437587</v>
      </c>
      <c r="DC137">
        <v>6.0380348766909941</v>
      </c>
      <c r="DD137">
        <v>7.1174054859616307</v>
      </c>
      <c r="DE137">
        <v>937.40888993750548</v>
      </c>
      <c r="DF137">
        <v>20.327732779808727</v>
      </c>
      <c r="DG137">
        <v>9.1800774041606683</v>
      </c>
      <c r="DH137">
        <v>14.051310290053296</v>
      </c>
      <c r="DI137">
        <v>6.7537335197923936</v>
      </c>
      <c r="DJ137">
        <v>7.4990341612662892</v>
      </c>
      <c r="DK137">
        <v>985.04631855143543</v>
      </c>
      <c r="DL137">
        <v>20.389573723526254</v>
      </c>
      <c r="DM137">
        <v>9.6555556245582039</v>
      </c>
      <c r="DN137">
        <v>15.618851331698355</v>
      </c>
      <c r="DO137">
        <v>6.885131086692712</v>
      </c>
      <c r="DP137">
        <v>8.0550784516489742</v>
      </c>
      <c r="DQ137">
        <v>1063.0530651264387</v>
      </c>
      <c r="DR137">
        <v>21.134585532490007</v>
      </c>
      <c r="DS137">
        <v>9.4210104249176876</v>
      </c>
      <c r="DT137">
        <v>16.785478446374917</v>
      </c>
      <c r="DU137">
        <v>7.950086774319657</v>
      </c>
      <c r="DV137">
        <v>8.7874826743225789</v>
      </c>
      <c r="DW137">
        <v>1159.3942604842771</v>
      </c>
      <c r="DX137">
        <v>21.101125045556319</v>
      </c>
      <c r="DY137">
        <v>9.8841702243496705</v>
      </c>
      <c r="DZ137">
        <v>17.071106978735219</v>
      </c>
      <c r="EA137">
        <v>8.2112687752188798</v>
      </c>
      <c r="EB137">
        <v>9.1867521062920332</v>
      </c>
      <c r="EC137">
        <v>1274.2189284248263</v>
      </c>
      <c r="ED137">
        <v>20.083524039367322</v>
      </c>
      <c r="EE137">
        <v>9.4999669350933758</v>
      </c>
      <c r="EG137">
        <v>141</v>
      </c>
      <c r="EH137">
        <v>12.608885517820566</v>
      </c>
      <c r="EI137">
        <v>5.5427807943530443</v>
      </c>
      <c r="EJ137">
        <v>6.5462800453587962</v>
      </c>
      <c r="EK137">
        <v>951.94070217872115</v>
      </c>
      <c r="EL137">
        <v>19.146735379351174</v>
      </c>
      <c r="EM137">
        <v>8.5196820222884355</v>
      </c>
      <c r="EN137">
        <v>13.204827044811752</v>
      </c>
      <c r="EO137">
        <v>6.0881059208224446</v>
      </c>
      <c r="EP137">
        <v>6.935101637710714</v>
      </c>
      <c r="EQ137">
        <v>1000.1038340314835</v>
      </c>
      <c r="ER137">
        <v>19.236193916386338</v>
      </c>
      <c r="ES137">
        <v>8.8446235496495991</v>
      </c>
      <c r="ET137">
        <v>14.402380757988876</v>
      </c>
      <c r="EU137">
        <v>6.2314504557710064</v>
      </c>
      <c r="EV137">
        <v>7.4437391116595935</v>
      </c>
      <c r="EW137">
        <v>1033.7048851258085</v>
      </c>
      <c r="EX137">
        <v>20.557816512780203</v>
      </c>
      <c r="EY137">
        <v>9.0561179622710579</v>
      </c>
      <c r="EZ137">
        <v>15.152831333726944</v>
      </c>
      <c r="FA137">
        <v>7.2584176076575782</v>
      </c>
      <c r="FB137">
        <v>8.1202017642727089</v>
      </c>
      <c r="FC137">
        <v>1147.2192992086291</v>
      </c>
      <c r="FD137">
        <v>19.90192822826539</v>
      </c>
      <c r="FE137">
        <v>9.3861575276204388</v>
      </c>
      <c r="FF137">
        <v>15.320870150818738</v>
      </c>
      <c r="FG137">
        <v>7.4567540967482921</v>
      </c>
      <c r="FH137">
        <v>8.4935821549011354</v>
      </c>
      <c r="FI137">
        <v>1269.0443071147745</v>
      </c>
      <c r="FJ137">
        <v>18.78623899800861</v>
      </c>
      <c r="FK137">
        <v>8.9441502916799376</v>
      </c>
    </row>
    <row r="138" spans="2:167" x14ac:dyDescent="0.2">
      <c r="B138">
        <v>601.20625038839387</v>
      </c>
      <c r="C138">
        <v>1.6633226939240497</v>
      </c>
      <c r="D138">
        <v>645.69394725378049</v>
      </c>
      <c r="E138">
        <v>1.5487213474017045</v>
      </c>
      <c r="F138">
        <v>732.9125212748321</v>
      </c>
      <c r="G138">
        <v>1.3644193146824597</v>
      </c>
      <c r="H138">
        <v>821.81558446105635</v>
      </c>
      <c r="I138">
        <v>1.2168180050464683</v>
      </c>
      <c r="J138">
        <v>911.78290900060495</v>
      </c>
      <c r="K138">
        <v>1.0967522972064576</v>
      </c>
      <c r="L138">
        <v>690.73753805648187</v>
      </c>
      <c r="M138">
        <v>1.4477278921508818</v>
      </c>
      <c r="N138">
        <v>688.72549731865342</v>
      </c>
      <c r="O138">
        <v>1.4519572803579956</v>
      </c>
      <c r="Q138">
        <v>0.2711115784225388</v>
      </c>
      <c r="R138">
        <v>0.27171990690296621</v>
      </c>
      <c r="S138">
        <v>0.27138072150343795</v>
      </c>
      <c r="T138">
        <v>0.27240539446122186</v>
      </c>
      <c r="U138">
        <v>0.27275480690213888</v>
      </c>
      <c r="V138">
        <v>0.27154999154674686</v>
      </c>
      <c r="W138">
        <v>0.2714605968238622</v>
      </c>
      <c r="Y138">
        <v>2.1478538101915015</v>
      </c>
      <c r="Z138">
        <v>2.2065577053811301</v>
      </c>
      <c r="AA138">
        <v>2.234133780666002</v>
      </c>
      <c r="AB138">
        <v>2.3827331312248705</v>
      </c>
      <c r="AC138">
        <v>2.4483108740272961</v>
      </c>
      <c r="AD138">
        <v>2.2216074271870125</v>
      </c>
      <c r="AE138">
        <v>2.2171917690982887</v>
      </c>
      <c r="AG138">
        <v>0.86576771256102381</v>
      </c>
      <c r="AH138">
        <v>0.89970376840872512</v>
      </c>
      <c r="AI138">
        <v>0.90622832773697537</v>
      </c>
      <c r="AJ138">
        <v>0.97729234987096747</v>
      </c>
      <c r="AK138">
        <v>1.0107642139356952</v>
      </c>
      <c r="AL138">
        <v>0.90432236902957741</v>
      </c>
      <c r="AM138">
        <v>0.90023465911755041</v>
      </c>
      <c r="AO138">
        <v>142</v>
      </c>
      <c r="AP138">
        <v>16.931063736981372</v>
      </c>
      <c r="AQ138">
        <v>7.4361298436703311</v>
      </c>
      <c r="AR138">
        <v>7.7395305624900557</v>
      </c>
      <c r="AS138">
        <v>898.42851655510492</v>
      </c>
      <c r="AT138">
        <v>25.097973322430153</v>
      </c>
      <c r="AU138">
        <v>11.134532076420793</v>
      </c>
      <c r="AV138">
        <v>17.832022222466019</v>
      </c>
      <c r="AW138">
        <v>7.7510731453464325</v>
      </c>
      <c r="AX138">
        <v>8.1382071172396042</v>
      </c>
      <c r="AY138">
        <v>949.47651076725435</v>
      </c>
      <c r="AZ138">
        <v>25.135310031335234</v>
      </c>
      <c r="BA138">
        <v>11.067687328675429</v>
      </c>
      <c r="BB138">
        <v>19.179895760802655</v>
      </c>
      <c r="BC138">
        <v>8.14354885679594</v>
      </c>
      <c r="BD138">
        <v>8.7013340885286503</v>
      </c>
      <c r="BE138">
        <v>1025.0929602990107</v>
      </c>
      <c r="BF138">
        <v>25.391092679050768</v>
      </c>
      <c r="BG138">
        <v>10.997492145114082</v>
      </c>
      <c r="BH138">
        <v>20.427192307563793</v>
      </c>
      <c r="BI138">
        <v>8.6713172965250322</v>
      </c>
      <c r="BJ138">
        <v>9.3310730435690257</v>
      </c>
      <c r="BK138">
        <v>1100.4438506295885</v>
      </c>
      <c r="BL138">
        <v>25.540818927460677</v>
      </c>
      <c r="BM138">
        <v>11.069061581830841</v>
      </c>
      <c r="BN138">
        <v>20.9203131034675</v>
      </c>
      <c r="BO138">
        <v>8.8300012319782741</v>
      </c>
      <c r="BP138">
        <v>9.8742906991828843</v>
      </c>
      <c r="BQ138">
        <v>1210.2259966406182</v>
      </c>
      <c r="BR138">
        <v>24.326045455055194</v>
      </c>
      <c r="BS138">
        <v>10.513548857968992</v>
      </c>
      <c r="BU138">
        <v>142</v>
      </c>
      <c r="BV138">
        <v>16.196522227113306</v>
      </c>
      <c r="BW138">
        <v>6.5623482779259827</v>
      </c>
      <c r="BX138">
        <v>7.5000152703769531</v>
      </c>
      <c r="BY138">
        <v>898.6172147567014</v>
      </c>
      <c r="BZ138">
        <v>24.275289937160398</v>
      </c>
      <c r="CA138">
        <v>10.159831594903833</v>
      </c>
      <c r="CB138">
        <v>16.944108239524365</v>
      </c>
      <c r="CC138">
        <v>6.8616911413101667</v>
      </c>
      <c r="CD138">
        <v>7.8653783327379827</v>
      </c>
      <c r="CE138">
        <v>950.24702246144261</v>
      </c>
      <c r="CF138">
        <v>24.180525631266605</v>
      </c>
      <c r="CG138">
        <v>10.122764834496227</v>
      </c>
      <c r="CH138">
        <v>18.322976594219522</v>
      </c>
      <c r="CI138">
        <v>7.3610943215725717</v>
      </c>
      <c r="CJ138">
        <v>8.3988547185886713</v>
      </c>
      <c r="CK138">
        <v>1026.9170851690171</v>
      </c>
      <c r="CL138">
        <v>24.511532193340308</v>
      </c>
      <c r="CM138">
        <v>10.21601197914636</v>
      </c>
      <c r="CN138">
        <v>19.533824420756684</v>
      </c>
      <c r="CO138">
        <v>7.7751440625397477</v>
      </c>
      <c r="CP138">
        <v>9.0382984475836032</v>
      </c>
      <c r="CQ138">
        <v>1102.8016596495718</v>
      </c>
      <c r="CR138">
        <v>24.67612285840049</v>
      </c>
      <c r="CS138">
        <v>10.232762543689439</v>
      </c>
      <c r="CT138">
        <v>19.85488957733952</v>
      </c>
      <c r="CU138">
        <v>7.8443549908599701</v>
      </c>
      <c r="CV138">
        <v>9.4212243552239254</v>
      </c>
      <c r="CW138">
        <v>1212.9663623931153</v>
      </c>
      <c r="CX138">
        <v>23.392725436391892</v>
      </c>
      <c r="CY138">
        <v>9.6772047994706014</v>
      </c>
      <c r="DA138">
        <v>142</v>
      </c>
      <c r="DB138">
        <v>13.437726216437587</v>
      </c>
      <c r="DC138">
        <v>6.0380348766909941</v>
      </c>
      <c r="DD138">
        <v>7.1174054859616307</v>
      </c>
      <c r="DE138">
        <v>938.33304825141488</v>
      </c>
      <c r="DF138">
        <v>20.307712123724624</v>
      </c>
      <c r="DG138">
        <v>9.1710360036992888</v>
      </c>
      <c r="DH138">
        <v>14.051310290053296</v>
      </c>
      <c r="DI138">
        <v>6.7577545830950223</v>
      </c>
      <c r="DJ138">
        <v>7.4990341612662892</v>
      </c>
      <c r="DK138">
        <v>986.02039526801275</v>
      </c>
      <c r="DL138">
        <v>20.369431128991355</v>
      </c>
      <c r="DM138">
        <v>9.6500950999659008</v>
      </c>
      <c r="DN138">
        <v>15.618851331698355</v>
      </c>
      <c r="DO138">
        <v>6.8862775991305041</v>
      </c>
      <c r="DP138">
        <v>8.0550784516489742</v>
      </c>
      <c r="DQ138">
        <v>1064.0666181030301</v>
      </c>
      <c r="DR138">
        <v>21.114454253384878</v>
      </c>
      <c r="DS138">
        <v>9.4131141329206116</v>
      </c>
      <c r="DT138">
        <v>16.785478446374917</v>
      </c>
      <c r="DU138">
        <v>7.9732972160456121</v>
      </c>
      <c r="DV138">
        <v>8.7874826743225789</v>
      </c>
      <c r="DW138">
        <v>1160.5069052168587</v>
      </c>
      <c r="DX138">
        <v>21.080894183053097</v>
      </c>
      <c r="DY138">
        <v>9.8946939633597477</v>
      </c>
      <c r="DZ138">
        <v>17.071106978735219</v>
      </c>
      <c r="EA138">
        <v>8.2377254330929599</v>
      </c>
      <c r="EB138">
        <v>9.1867521062920332</v>
      </c>
      <c r="EC138">
        <v>1275.3827964357231</v>
      </c>
      <c r="ED138">
        <v>20.065196544876397</v>
      </c>
      <c r="EE138">
        <v>9.5120417022117554</v>
      </c>
      <c r="EG138">
        <v>142</v>
      </c>
      <c r="EH138">
        <v>12.608885517820566</v>
      </c>
      <c r="EI138">
        <v>5.5427807943530443</v>
      </c>
      <c r="EJ138">
        <v>6.5462800453587962</v>
      </c>
      <c r="EK138">
        <v>952.94046461198855</v>
      </c>
      <c r="EL138">
        <v>19.126647884420645</v>
      </c>
      <c r="EM138">
        <v>8.5107437324942925</v>
      </c>
      <c r="EN138">
        <v>13.204827044811752</v>
      </c>
      <c r="EO138">
        <v>6.0920304214135399</v>
      </c>
      <c r="EP138">
        <v>6.935101637710714</v>
      </c>
      <c r="EQ138">
        <v>1001.1486275552719</v>
      </c>
      <c r="ER138">
        <v>19.216119124019841</v>
      </c>
      <c r="ES138">
        <v>8.839313344283882</v>
      </c>
      <c r="ET138">
        <v>14.402380757988876</v>
      </c>
      <c r="EU138">
        <v>6.232490246807922</v>
      </c>
      <c r="EV138">
        <v>7.4437391116595935</v>
      </c>
      <c r="EW138">
        <v>1034.7104640461937</v>
      </c>
      <c r="EX138">
        <v>20.537837487098411</v>
      </c>
      <c r="EY138">
        <v>9.0483217230652428</v>
      </c>
      <c r="EZ138">
        <v>15.152831333726944</v>
      </c>
      <c r="FA138">
        <v>7.279028293727082</v>
      </c>
      <c r="FB138">
        <v>8.1202017642727089</v>
      </c>
      <c r="FC138">
        <v>1148.375535150461</v>
      </c>
      <c r="FD138">
        <v>19.881890075217953</v>
      </c>
      <c r="FE138">
        <v>9.3946548118987003</v>
      </c>
      <c r="FF138">
        <v>15.320870150818738</v>
      </c>
      <c r="FG138">
        <v>7.4805616436002218</v>
      </c>
      <c r="FH138">
        <v>8.4935821549011354</v>
      </c>
      <c r="FI138">
        <v>1270.1477279622673</v>
      </c>
      <c r="FJ138">
        <v>18.769918748560428</v>
      </c>
      <c r="FK138">
        <v>8.9551241214558992</v>
      </c>
    </row>
    <row r="139" spans="2:167" x14ac:dyDescent="0.2">
      <c r="B139">
        <v>601.20625038839387</v>
      </c>
      <c r="C139">
        <v>1.6633226939240497</v>
      </c>
      <c r="D139">
        <v>645.69394725378049</v>
      </c>
      <c r="E139">
        <v>1.5487213474017045</v>
      </c>
      <c r="F139">
        <v>732.9125212748321</v>
      </c>
      <c r="G139">
        <v>1.3644193146824597</v>
      </c>
      <c r="H139">
        <v>821.81558446105635</v>
      </c>
      <c r="I139">
        <v>1.2168180050464683</v>
      </c>
      <c r="J139">
        <v>911.78290900060495</v>
      </c>
      <c r="K139">
        <v>1.0967522972064576</v>
      </c>
      <c r="L139">
        <v>690.73753805648187</v>
      </c>
      <c r="M139">
        <v>1.4477278921508818</v>
      </c>
      <c r="N139">
        <v>688.72549731865342</v>
      </c>
      <c r="O139">
        <v>1.4519572803579956</v>
      </c>
      <c r="Q139">
        <v>0.27298453384789101</v>
      </c>
      <c r="R139">
        <v>0.27359434180072623</v>
      </c>
      <c r="S139">
        <v>0.27325024976033774</v>
      </c>
      <c r="T139">
        <v>0.2742773788190267</v>
      </c>
      <c r="U139">
        <v>0.2746268172082324</v>
      </c>
      <c r="V139">
        <v>0.27342088912989204</v>
      </c>
      <c r="W139">
        <v>0.27333339482154301</v>
      </c>
      <c r="Y139">
        <v>2.1478538101915015</v>
      </c>
      <c r="Z139">
        <v>2.2065577053811301</v>
      </c>
      <c r="AA139">
        <v>2.234133780666002</v>
      </c>
      <c r="AB139">
        <v>2.3827331312248705</v>
      </c>
      <c r="AC139">
        <v>2.4483108740272961</v>
      </c>
      <c r="AD139">
        <v>2.2216074271870125</v>
      </c>
      <c r="AE139">
        <v>2.2171917690982887</v>
      </c>
      <c r="AG139">
        <v>0.86576771256102381</v>
      </c>
      <c r="AH139">
        <v>0.89970376840872512</v>
      </c>
      <c r="AI139">
        <v>0.90622832773697537</v>
      </c>
      <c r="AJ139">
        <v>0.97729234987096747</v>
      </c>
      <c r="AK139">
        <v>1.0107642139356952</v>
      </c>
      <c r="AL139">
        <v>0.90432236902957741</v>
      </c>
      <c r="AM139">
        <v>0.90023465911755041</v>
      </c>
      <c r="AO139">
        <v>143</v>
      </c>
      <c r="AP139">
        <v>16.931063736981372</v>
      </c>
      <c r="AQ139">
        <v>7.4361298436703311</v>
      </c>
      <c r="AR139">
        <v>7.7395305624900557</v>
      </c>
      <c r="AS139">
        <v>899.14124206094584</v>
      </c>
      <c r="AT139">
        <v>25.078078822105812</v>
      </c>
      <c r="AU139">
        <v>11.125706027035852</v>
      </c>
      <c r="AV139">
        <v>17.832022222466019</v>
      </c>
      <c r="AW139">
        <v>7.7510731453464325</v>
      </c>
      <c r="AX139">
        <v>8.1382071172396042</v>
      </c>
      <c r="AY139">
        <v>950.23082207355583</v>
      </c>
      <c r="AZ139">
        <v>25.115357143990813</v>
      </c>
      <c r="BA139">
        <v>11.058901587892562</v>
      </c>
      <c r="BB139">
        <v>19.179895760802655</v>
      </c>
      <c r="BC139">
        <v>8.14354885679594</v>
      </c>
      <c r="BD139">
        <v>8.7013340885286503</v>
      </c>
      <c r="BE139">
        <v>1025.8956965097077</v>
      </c>
      <c r="BF139">
        <v>25.371224821536611</v>
      </c>
      <c r="BG139">
        <v>10.988886898789554</v>
      </c>
      <c r="BH139">
        <v>20.427192307563793</v>
      </c>
      <c r="BI139">
        <v>8.6713172965250322</v>
      </c>
      <c r="BJ139">
        <v>9.3310730435690257</v>
      </c>
      <c r="BK139">
        <v>1101.3110135752058</v>
      </c>
      <c r="BL139">
        <v>25.520708303393896</v>
      </c>
      <c r="BM139">
        <v>11.060345896680866</v>
      </c>
      <c r="BN139">
        <v>20.9203131034675</v>
      </c>
      <c r="BO139">
        <v>8.8300012319782741</v>
      </c>
      <c r="BP139">
        <v>9.8742906991828843</v>
      </c>
      <c r="BQ139">
        <v>1211.1343106184997</v>
      </c>
      <c r="BR139">
        <v>24.307801659202259</v>
      </c>
      <c r="BS139">
        <v>10.505664015387035</v>
      </c>
      <c r="BU139">
        <v>143</v>
      </c>
      <c r="BV139">
        <v>16.196522227113306</v>
      </c>
      <c r="BW139">
        <v>6.5623482779259827</v>
      </c>
      <c r="BX139">
        <v>7.5000152703769531</v>
      </c>
      <c r="BY139">
        <v>899.36020801636221</v>
      </c>
      <c r="BZ139">
        <v>24.255235262027057</v>
      </c>
      <c r="CA139">
        <v>10.151438198879617</v>
      </c>
      <c r="CB139">
        <v>16.944108239524365</v>
      </c>
      <c r="CC139">
        <v>6.8616911413101667</v>
      </c>
      <c r="CD139">
        <v>7.8653783327379827</v>
      </c>
      <c r="CE139">
        <v>951.02963710327492</v>
      </c>
      <c r="CF139">
        <v>24.16062716263016</v>
      </c>
      <c r="CG139">
        <v>10.114434679823621</v>
      </c>
      <c r="CH139">
        <v>18.322976594219522</v>
      </c>
      <c r="CI139">
        <v>7.3610943215725717</v>
      </c>
      <c r="CJ139">
        <v>8.3988547185886713</v>
      </c>
      <c r="CK139">
        <v>1027.7533036904156</v>
      </c>
      <c r="CL139">
        <v>24.491588694122818</v>
      </c>
      <c r="CM139">
        <v>10.207699849765588</v>
      </c>
      <c r="CN139">
        <v>19.533824420756684</v>
      </c>
      <c r="CO139">
        <v>7.7751440625397477</v>
      </c>
      <c r="CP139">
        <v>9.0382984475836032</v>
      </c>
      <c r="CQ139">
        <v>1103.7059116889593</v>
      </c>
      <c r="CR139">
        <v>24.655906028733664</v>
      </c>
      <c r="CS139">
        <v>10.224378973119867</v>
      </c>
      <c r="CT139">
        <v>19.85488957733952</v>
      </c>
      <c r="CU139">
        <v>7.8443549908599701</v>
      </c>
      <c r="CV139">
        <v>9.4212243552239254</v>
      </c>
      <c r="CW139">
        <v>1213.9092170334466</v>
      </c>
      <c r="CX139">
        <v>23.374556087796286</v>
      </c>
      <c r="CY139">
        <v>9.6696884240097454</v>
      </c>
      <c r="DA139">
        <v>143</v>
      </c>
      <c r="DB139">
        <v>13.437726216437587</v>
      </c>
      <c r="DC139">
        <v>6.0380348766909941</v>
      </c>
      <c r="DD139">
        <v>7.1174054859616307</v>
      </c>
      <c r="DE139">
        <v>939.25902961103327</v>
      </c>
      <c r="DF139">
        <v>20.28769148799983</v>
      </c>
      <c r="DG139">
        <v>9.1619946124322489</v>
      </c>
      <c r="DH139">
        <v>14.051310290053296</v>
      </c>
      <c r="DI139">
        <v>6.7611586172631677</v>
      </c>
      <c r="DJ139">
        <v>7.4990341612662892</v>
      </c>
      <c r="DK139">
        <v>986.996393502096</v>
      </c>
      <c r="DL139">
        <v>20.349288675642935</v>
      </c>
      <c r="DM139">
        <v>9.6440014185221266</v>
      </c>
      <c r="DN139">
        <v>15.618851331698355</v>
      </c>
      <c r="DO139">
        <v>6.8867399515162218</v>
      </c>
      <c r="DP139">
        <v>8.0550784516489742</v>
      </c>
      <c r="DQ139">
        <v>1065.0820993126194</v>
      </c>
      <c r="DR139">
        <v>21.094323099590365</v>
      </c>
      <c r="DS139">
        <v>9.4045734878887863</v>
      </c>
      <c r="DT139">
        <v>16.785478446374917</v>
      </c>
      <c r="DU139">
        <v>7.9960384530433402</v>
      </c>
      <c r="DV139">
        <v>8.7874826743225789</v>
      </c>
      <c r="DW139">
        <v>1161.6216753122819</v>
      </c>
      <c r="DX139">
        <v>21.060663542630749</v>
      </c>
      <c r="DY139">
        <v>9.9047754970577664</v>
      </c>
      <c r="DZ139">
        <v>17.071106978735219</v>
      </c>
      <c r="EA139">
        <v>8.2637353676198657</v>
      </c>
      <c r="EB139">
        <v>9.1867521062920332</v>
      </c>
      <c r="EC139">
        <v>1276.5488876556553</v>
      </c>
      <c r="ED139">
        <v>20.046867556661802</v>
      </c>
      <c r="EE139">
        <v>9.5237279183516819</v>
      </c>
      <c r="EG139">
        <v>143</v>
      </c>
      <c r="EH139">
        <v>12.608885517820566</v>
      </c>
      <c r="EI139">
        <v>5.5427807943530443</v>
      </c>
      <c r="EJ139">
        <v>6.5462800453587962</v>
      </c>
      <c r="EK139">
        <v>953.94232463568699</v>
      </c>
      <c r="EL139">
        <v>19.106560481432133</v>
      </c>
      <c r="EM139">
        <v>8.5018054836113901</v>
      </c>
      <c r="EN139">
        <v>13.204827044811752</v>
      </c>
      <c r="EO139">
        <v>6.0954040120645487</v>
      </c>
      <c r="EP139">
        <v>6.935101637710714</v>
      </c>
      <c r="EQ139">
        <v>1002.1956022413584</v>
      </c>
      <c r="ER139">
        <v>19.19604440981966</v>
      </c>
      <c r="ES139">
        <v>8.8334452815527236</v>
      </c>
      <c r="ET139">
        <v>14.402380757988876</v>
      </c>
      <c r="EU139">
        <v>6.2329108703518949</v>
      </c>
      <c r="EV139">
        <v>7.4437391116595935</v>
      </c>
      <c r="EW139">
        <v>1035.7180023372821</v>
      </c>
      <c r="EX139">
        <v>20.517858441028238</v>
      </c>
      <c r="EY139">
        <v>9.0399257049961559</v>
      </c>
      <c r="EZ139">
        <v>15.152831333726944</v>
      </c>
      <c r="FA139">
        <v>7.2992001552645229</v>
      </c>
      <c r="FB139">
        <v>8.1202017642727089</v>
      </c>
      <c r="FC139">
        <v>1149.5341018650749</v>
      </c>
      <c r="FD139">
        <v>19.861851960622321</v>
      </c>
      <c r="FE139">
        <v>9.402734195678633</v>
      </c>
      <c r="FF139">
        <v>15.320870150818738</v>
      </c>
      <c r="FG139">
        <v>7.5039595879954222</v>
      </c>
      <c r="FH139">
        <v>8.4935821549011354</v>
      </c>
      <c r="FI139">
        <v>1271.2532751150593</v>
      </c>
      <c r="FJ139">
        <v>18.753595462998994</v>
      </c>
      <c r="FK139">
        <v>8.965741700725145</v>
      </c>
    </row>
    <row r="140" spans="2:167" x14ac:dyDescent="0.2">
      <c r="B140">
        <v>601.20625038839387</v>
      </c>
      <c r="C140">
        <v>1.6633226939240497</v>
      </c>
      <c r="D140">
        <v>645.69394725378049</v>
      </c>
      <c r="E140">
        <v>1.5487213474017045</v>
      </c>
      <c r="F140">
        <v>732.9125212748321</v>
      </c>
      <c r="G140">
        <v>1.3644193146824597</v>
      </c>
      <c r="H140">
        <v>821.81558446105635</v>
      </c>
      <c r="I140">
        <v>1.2168180050464683</v>
      </c>
      <c r="J140">
        <v>911.78290900060495</v>
      </c>
      <c r="K140">
        <v>1.0967522972064576</v>
      </c>
      <c r="L140">
        <v>690.73753805648187</v>
      </c>
      <c r="M140">
        <v>1.4477278921508818</v>
      </c>
      <c r="N140">
        <v>688.72549731865342</v>
      </c>
      <c r="O140">
        <v>1.4519572803579956</v>
      </c>
      <c r="Q140">
        <v>0.27485748927324322</v>
      </c>
      <c r="R140">
        <v>0.27546877669848624</v>
      </c>
      <c r="S140">
        <v>0.27511977801723747</v>
      </c>
      <c r="T140">
        <v>0.27614936317683153</v>
      </c>
      <c r="U140">
        <v>0.27649882751432592</v>
      </c>
      <c r="V140">
        <v>0.27529178671303722</v>
      </c>
      <c r="W140">
        <v>0.27520619281922387</v>
      </c>
      <c r="Y140">
        <v>2.1478538101915015</v>
      </c>
      <c r="Z140">
        <v>2.2065577053811301</v>
      </c>
      <c r="AA140">
        <v>2.234133780666002</v>
      </c>
      <c r="AB140">
        <v>2.3827331312248705</v>
      </c>
      <c r="AC140">
        <v>2.4483108740272961</v>
      </c>
      <c r="AD140">
        <v>2.2216074271870125</v>
      </c>
      <c r="AE140">
        <v>2.2171917690982887</v>
      </c>
      <c r="AG140">
        <v>0.86576771256102381</v>
      </c>
      <c r="AH140">
        <v>0.89970376840872512</v>
      </c>
      <c r="AI140">
        <v>0.90622832773697537</v>
      </c>
      <c r="AJ140">
        <v>0.97729234987096747</v>
      </c>
      <c r="AK140">
        <v>1.0107642139356952</v>
      </c>
      <c r="AL140">
        <v>0.90432236902957741</v>
      </c>
      <c r="AM140">
        <v>0.90023465911755041</v>
      </c>
      <c r="AO140">
        <v>144</v>
      </c>
      <c r="AP140">
        <v>16.931063736981372</v>
      </c>
      <c r="AQ140">
        <v>7.4361298436703311</v>
      </c>
      <c r="AR140">
        <v>7.7395305624900557</v>
      </c>
      <c r="AS140">
        <v>899.85510227861539</v>
      </c>
      <c r="AT140">
        <v>25.058184238231867</v>
      </c>
      <c r="AU140">
        <v>11.116879940584738</v>
      </c>
      <c r="AV140">
        <v>17.832022222466019</v>
      </c>
      <c r="AW140">
        <v>7.7510731453464325</v>
      </c>
      <c r="AX140">
        <v>8.1382071172396042</v>
      </c>
      <c r="AY140">
        <v>950.98633427448283</v>
      </c>
      <c r="AZ140">
        <v>25.095404219254622</v>
      </c>
      <c r="BA140">
        <v>11.05011583064519</v>
      </c>
      <c r="BB140">
        <v>19.179895760802655</v>
      </c>
      <c r="BC140">
        <v>8.14354885679594</v>
      </c>
      <c r="BD140">
        <v>8.7013340885286503</v>
      </c>
      <c r="BE140">
        <v>1026.6996951112901</v>
      </c>
      <c r="BF140">
        <v>25.351356860755015</v>
      </c>
      <c r="BG140">
        <v>10.980281607737416</v>
      </c>
      <c r="BH140">
        <v>20.427192307563793</v>
      </c>
      <c r="BI140">
        <v>8.6713172965250322</v>
      </c>
      <c r="BJ140">
        <v>9.3310730435690257</v>
      </c>
      <c r="BK140">
        <v>1102.179540496749</v>
      </c>
      <c r="BL140">
        <v>25.500597766585749</v>
      </c>
      <c r="BM140">
        <v>11.051630249347658</v>
      </c>
      <c r="BN140">
        <v>20.9203131034675</v>
      </c>
      <c r="BO140">
        <v>8.8300012319782741</v>
      </c>
      <c r="BP140">
        <v>9.8742906991828843</v>
      </c>
      <c r="BQ140">
        <v>1212.0440532994928</v>
      </c>
      <c r="BR140">
        <v>24.289556575956073</v>
      </c>
      <c r="BS140">
        <v>10.497778616402607</v>
      </c>
      <c r="BU140">
        <v>144</v>
      </c>
      <c r="BV140">
        <v>16.196522227113306</v>
      </c>
      <c r="BW140">
        <v>6.5623482779259827</v>
      </c>
      <c r="BX140">
        <v>7.5000152703769531</v>
      </c>
      <c r="BY140">
        <v>900.10442925430982</v>
      </c>
      <c r="BZ140">
        <v>24.235180632112201</v>
      </c>
      <c r="CA140">
        <v>10.143044821780498</v>
      </c>
      <c r="CB140">
        <v>16.944108239524365</v>
      </c>
      <c r="CC140">
        <v>6.8616911413101667</v>
      </c>
      <c r="CD140">
        <v>7.8653783327379827</v>
      </c>
      <c r="CE140">
        <v>951.81354520742946</v>
      </c>
      <c r="CF140">
        <v>24.140728610513936</v>
      </c>
      <c r="CG140">
        <v>10.106104490203629</v>
      </c>
      <c r="CH140">
        <v>18.322976594219522</v>
      </c>
      <c r="CI140">
        <v>7.3610943215725717</v>
      </c>
      <c r="CJ140">
        <v>8.3988547185886713</v>
      </c>
      <c r="CK140">
        <v>1028.5908871187485</v>
      </c>
      <c r="CL140">
        <v>24.471645148947918</v>
      </c>
      <c r="CM140">
        <v>10.199387701230508</v>
      </c>
      <c r="CN140">
        <v>19.533824420756684</v>
      </c>
      <c r="CO140">
        <v>7.7751440625397477</v>
      </c>
      <c r="CP140">
        <v>9.0382984475836032</v>
      </c>
      <c r="CQ140">
        <v>1104.6116398543336</v>
      </c>
      <c r="CR140">
        <v>24.635689377263297</v>
      </c>
      <c r="CS140">
        <v>10.215995476445293</v>
      </c>
      <c r="CT140">
        <v>19.85488957733952</v>
      </c>
      <c r="CU140">
        <v>7.8443549908599701</v>
      </c>
      <c r="CV140">
        <v>9.4212243552239254</v>
      </c>
      <c r="CW140">
        <v>1214.8536108157155</v>
      </c>
      <c r="CX140">
        <v>23.356385350815238</v>
      </c>
      <c r="CY140">
        <v>9.6621714741955351</v>
      </c>
      <c r="DA140">
        <v>144</v>
      </c>
      <c r="DB140">
        <v>13.437726216437587</v>
      </c>
      <c r="DC140">
        <v>6.0380348766909941</v>
      </c>
      <c r="DD140">
        <v>7.1174054859616307</v>
      </c>
      <c r="DE140">
        <v>940.18683941604752</v>
      </c>
      <c r="DF140">
        <v>20.267670872634312</v>
      </c>
      <c r="DG140">
        <v>9.1529532303595307</v>
      </c>
      <c r="DH140">
        <v>14.051310290053296</v>
      </c>
      <c r="DI140">
        <v>6.7639456222968315</v>
      </c>
      <c r="DJ140">
        <v>7.4990341612662892</v>
      </c>
      <c r="DK140">
        <v>987.97431894503598</v>
      </c>
      <c r="DL140">
        <v>20.329146363479506</v>
      </c>
      <c r="DM140">
        <v>9.6372764367105006</v>
      </c>
      <c r="DN140">
        <v>15.618851331698355</v>
      </c>
      <c r="DO140">
        <v>6.8867399515162218</v>
      </c>
      <c r="DP140">
        <v>8.0550784516489742</v>
      </c>
      <c r="DQ140">
        <v>1066.0995142629936</v>
      </c>
      <c r="DR140">
        <v>21.074192071105298</v>
      </c>
      <c r="DS140">
        <v>9.3955983842136988</v>
      </c>
      <c r="DT140">
        <v>16.785478446374917</v>
      </c>
      <c r="DU140">
        <v>8.0183104853128384</v>
      </c>
      <c r="DV140">
        <v>8.7874826743225789</v>
      </c>
      <c r="DW140">
        <v>1162.7385768661386</v>
      </c>
      <c r="DX140">
        <v>21.040433124285624</v>
      </c>
      <c r="DY140">
        <v>9.9144159900707738</v>
      </c>
      <c r="DZ140">
        <v>17.071106978735219</v>
      </c>
      <c r="EA140">
        <v>8.2892985787996025</v>
      </c>
      <c r="EB140">
        <v>9.1867521062920332</v>
      </c>
      <c r="EC140">
        <v>1277.7172084608405</v>
      </c>
      <c r="ED140">
        <v>20.028537074540917</v>
      </c>
      <c r="EE140">
        <v>9.5350265387460915</v>
      </c>
      <c r="EG140">
        <v>144</v>
      </c>
      <c r="EH140">
        <v>12.608885517820566</v>
      </c>
      <c r="EI140">
        <v>5.5427807943530443</v>
      </c>
      <c r="EJ140">
        <v>6.5462800453587962</v>
      </c>
      <c r="EK140">
        <v>954.94628885814541</v>
      </c>
      <c r="EL140">
        <v>19.086473170385002</v>
      </c>
      <c r="EM140">
        <v>8.4928672756394494</v>
      </c>
      <c r="EN140">
        <v>13.204827044811752</v>
      </c>
      <c r="EO140">
        <v>6.0982266927754747</v>
      </c>
      <c r="EP140">
        <v>6.935101637710714</v>
      </c>
      <c r="EQ140">
        <v>1003.2447649271323</v>
      </c>
      <c r="ER140">
        <v>19.175969773785347</v>
      </c>
      <c r="ES140">
        <v>8.8270210860915359</v>
      </c>
      <c r="ET140">
        <v>14.402380757988876</v>
      </c>
      <c r="EU140">
        <v>6.2329108703518949</v>
      </c>
      <c r="EV140">
        <v>7.4437391116595935</v>
      </c>
      <c r="EW140">
        <v>1036.7275057314096</v>
      </c>
      <c r="EX140">
        <v>20.49787937456966</v>
      </c>
      <c r="EY140">
        <v>9.0311231646647734</v>
      </c>
      <c r="EZ140">
        <v>15.152831333726944</v>
      </c>
      <c r="FA140">
        <v>7.3189331922699026</v>
      </c>
      <c r="FB140">
        <v>8.1202017642727089</v>
      </c>
      <c r="FC140">
        <v>1150.6950064072373</v>
      </c>
      <c r="FD140">
        <v>19.841813884478377</v>
      </c>
      <c r="FE140">
        <v>9.4103968344489193</v>
      </c>
      <c r="FF140">
        <v>15.320870150818738</v>
      </c>
      <c r="FG140">
        <v>7.5269479299338942</v>
      </c>
      <c r="FH140">
        <v>8.4935821549011354</v>
      </c>
      <c r="FI140">
        <v>1272.360954725202</v>
      </c>
      <c r="FJ140">
        <v>18.737269140477011</v>
      </c>
      <c r="FK140">
        <v>8.97600386148879</v>
      </c>
    </row>
    <row r="141" spans="2:167" x14ac:dyDescent="0.2">
      <c r="B141">
        <v>601.20625038839387</v>
      </c>
      <c r="C141">
        <v>1.6633226939240497</v>
      </c>
      <c r="D141">
        <v>645.69394725378049</v>
      </c>
      <c r="E141">
        <v>1.5487213474017045</v>
      </c>
      <c r="F141">
        <v>732.9125212748321</v>
      </c>
      <c r="G141">
        <v>1.3644193146824597</v>
      </c>
      <c r="H141">
        <v>821.81558446105635</v>
      </c>
      <c r="I141">
        <v>1.2168180050464683</v>
      </c>
      <c r="J141">
        <v>911.78290900060495</v>
      </c>
      <c r="K141">
        <v>1.0967522972064576</v>
      </c>
      <c r="L141">
        <v>690.73753805648187</v>
      </c>
      <c r="M141">
        <v>1.4477278921508818</v>
      </c>
      <c r="N141">
        <v>688.72549731865342</v>
      </c>
      <c r="O141">
        <v>1.4519572803579956</v>
      </c>
      <c r="Q141">
        <v>0.27673044469859542</v>
      </c>
      <c r="R141">
        <v>0.27734321159624625</v>
      </c>
      <c r="S141">
        <v>0.27698930627413726</v>
      </c>
      <c r="T141">
        <v>0.27802134753463636</v>
      </c>
      <c r="U141">
        <v>0.27837083782041944</v>
      </c>
      <c r="V141">
        <v>0.27716268429618235</v>
      </c>
      <c r="W141">
        <v>0.27707899081690468</v>
      </c>
      <c r="Y141">
        <v>2.1478538101915015</v>
      </c>
      <c r="Z141">
        <v>2.2065577053811301</v>
      </c>
      <c r="AA141">
        <v>2.234133780666002</v>
      </c>
      <c r="AB141">
        <v>2.3827331312248705</v>
      </c>
      <c r="AC141">
        <v>2.4483108740272961</v>
      </c>
      <c r="AD141">
        <v>2.2216074271870125</v>
      </c>
      <c r="AE141">
        <v>2.2171917690982887</v>
      </c>
      <c r="AG141">
        <v>0.86576771256102381</v>
      </c>
      <c r="AH141">
        <v>0.89970376840872512</v>
      </c>
      <c r="AI141">
        <v>0.90622832773697537</v>
      </c>
      <c r="AJ141">
        <v>0.97729234987096747</v>
      </c>
      <c r="AK141">
        <v>1.0107642139356952</v>
      </c>
      <c r="AL141">
        <v>0.90432236902957741</v>
      </c>
      <c r="AM141">
        <v>0.90023465911755041</v>
      </c>
      <c r="AO141">
        <v>145</v>
      </c>
      <c r="AP141">
        <v>16.931063736981372</v>
      </c>
      <c r="AQ141">
        <v>7.4361298436703311</v>
      </c>
      <c r="AR141">
        <v>7.7395305624900557</v>
      </c>
      <c r="AS141">
        <v>900.57009992009046</v>
      </c>
      <c r="AT141">
        <v>25.03828957080778</v>
      </c>
      <c r="AU141">
        <v>11.108053817067217</v>
      </c>
      <c r="AV141">
        <v>17.832022222466019</v>
      </c>
      <c r="AW141">
        <v>7.7510731453464325</v>
      </c>
      <c r="AX141">
        <v>8.1382071172396042</v>
      </c>
      <c r="AY141">
        <v>951.74305024013017</v>
      </c>
      <c r="AZ141">
        <v>25.075451257126566</v>
      </c>
      <c r="BA141">
        <v>11.041330056933271</v>
      </c>
      <c r="BB141">
        <v>19.179895760802655</v>
      </c>
      <c r="BC141">
        <v>8.14354885679594</v>
      </c>
      <c r="BD141">
        <v>8.7013340885286503</v>
      </c>
      <c r="BE141">
        <v>1027.5049590839737</v>
      </c>
      <c r="BF141">
        <v>25.331488796705173</v>
      </c>
      <c r="BG141">
        <v>10.971676271957319</v>
      </c>
      <c r="BH141">
        <v>20.427192307563793</v>
      </c>
      <c r="BI141">
        <v>8.6713172965250322</v>
      </c>
      <c r="BJ141">
        <v>9.3310730435690257</v>
      </c>
      <c r="BK141">
        <v>1103.0494346148835</v>
      </c>
      <c r="BL141">
        <v>25.480487317035671</v>
      </c>
      <c r="BM141">
        <v>11.042914639830972</v>
      </c>
      <c r="BN141">
        <v>20.9203131034675</v>
      </c>
      <c r="BO141">
        <v>8.8300012319782741</v>
      </c>
      <c r="BP141">
        <v>9.8742906991828843</v>
      </c>
      <c r="BQ141">
        <v>1212.9552280570995</v>
      </c>
      <c r="BR141">
        <v>24.271310205180363</v>
      </c>
      <c r="BS141">
        <v>10.489892660956805</v>
      </c>
      <c r="BU141">
        <v>145</v>
      </c>
      <c r="BV141">
        <v>16.196522227113306</v>
      </c>
      <c r="BW141">
        <v>6.5623482779259827</v>
      </c>
      <c r="BX141">
        <v>7.5000152703769531</v>
      </c>
      <c r="BY141">
        <v>900.849881517364</v>
      </c>
      <c r="BZ141">
        <v>24.215126047415687</v>
      </c>
      <c r="CA141">
        <v>10.134651463606415</v>
      </c>
      <c r="CB141">
        <v>16.944108239524365</v>
      </c>
      <c r="CC141">
        <v>6.8616911413101667</v>
      </c>
      <c r="CD141">
        <v>7.8653783327379827</v>
      </c>
      <c r="CE141">
        <v>952.59874998320311</v>
      </c>
      <c r="CF141">
        <v>24.120829974917395</v>
      </c>
      <c r="CG141">
        <v>10.097774265636028</v>
      </c>
      <c r="CH141">
        <v>18.322976594219522</v>
      </c>
      <c r="CI141">
        <v>7.3610943215725717</v>
      </c>
      <c r="CJ141">
        <v>8.3988547185886713</v>
      </c>
      <c r="CK141">
        <v>1029.4298387985234</v>
      </c>
      <c r="CL141">
        <v>24.451701557815444</v>
      </c>
      <c r="CM141">
        <v>10.191075533541053</v>
      </c>
      <c r="CN141">
        <v>19.533824420756684</v>
      </c>
      <c r="CO141">
        <v>7.7751440625397477</v>
      </c>
      <c r="CP141">
        <v>9.0382984475836032</v>
      </c>
      <c r="CQ141">
        <v>1105.51884776315</v>
      </c>
      <c r="CR141">
        <v>24.615472903987044</v>
      </c>
      <c r="CS141">
        <v>10.207612053664745</v>
      </c>
      <c r="CT141">
        <v>19.85488957733952</v>
      </c>
      <c r="CU141">
        <v>7.8443549908599701</v>
      </c>
      <c r="CV141">
        <v>9.4212243552239254</v>
      </c>
      <c r="CW141">
        <v>1215.7995475118073</v>
      </c>
      <c r="CX141">
        <v>23.3382132252896</v>
      </c>
      <c r="CY141">
        <v>9.6546539499621389</v>
      </c>
      <c r="DA141">
        <v>145</v>
      </c>
      <c r="DB141">
        <v>13.437726216437587</v>
      </c>
      <c r="DC141">
        <v>6.0380348766909941</v>
      </c>
      <c r="DD141">
        <v>7.1174054859616307</v>
      </c>
      <c r="DE141">
        <v>941.11648308749</v>
      </c>
      <c r="DF141">
        <v>20.247650277628036</v>
      </c>
      <c r="DG141">
        <v>9.1439118574811182</v>
      </c>
      <c r="DH141">
        <v>14.051310290053296</v>
      </c>
      <c r="DI141">
        <v>6.7661155981960119</v>
      </c>
      <c r="DJ141">
        <v>7.4990341612662892</v>
      </c>
      <c r="DK141">
        <v>988.95417731068198</v>
      </c>
      <c r="DL141">
        <v>20.309004192499586</v>
      </c>
      <c r="DM141">
        <v>9.6299220109886221</v>
      </c>
      <c r="DN141">
        <v>15.618851331698355</v>
      </c>
      <c r="DO141">
        <v>6.8867399515162218</v>
      </c>
      <c r="DP141">
        <v>8.0550784516489742</v>
      </c>
      <c r="DQ141">
        <v>1067.118868482936</v>
      </c>
      <c r="DR141">
        <v>21.054061167928502</v>
      </c>
      <c r="DS141">
        <v>9.3866233364053429</v>
      </c>
      <c r="DT141">
        <v>16.785478446374917</v>
      </c>
      <c r="DU141">
        <v>8.0401133128541069</v>
      </c>
      <c r="DV141">
        <v>8.7874826743225789</v>
      </c>
      <c r="DW141">
        <v>1163.8576159973532</v>
      </c>
      <c r="DX141">
        <v>21.020202928014061</v>
      </c>
      <c r="DY141">
        <v>9.9236166070002447</v>
      </c>
      <c r="DZ141">
        <v>17.071106978735219</v>
      </c>
      <c r="EA141">
        <v>8.3144150666321632</v>
      </c>
      <c r="EB141">
        <v>9.1867521062920332</v>
      </c>
      <c r="EC141">
        <v>1278.887765251902</v>
      </c>
      <c r="ED141">
        <v>20.010205098331095</v>
      </c>
      <c r="EE141">
        <v>9.545938518783629</v>
      </c>
      <c r="EG141">
        <v>145</v>
      </c>
      <c r="EH141">
        <v>12.608885517820566</v>
      </c>
      <c r="EI141">
        <v>5.5427807943530443</v>
      </c>
      <c r="EJ141">
        <v>6.5462800453587962</v>
      </c>
      <c r="EK141">
        <v>955.95236391548121</v>
      </c>
      <c r="EL141">
        <v>19.066385951278619</v>
      </c>
      <c r="EM141">
        <v>8.483929108578188</v>
      </c>
      <c r="EN141">
        <v>13.204827044811752</v>
      </c>
      <c r="EO141">
        <v>6.1004984635463124</v>
      </c>
      <c r="EP141">
        <v>6.935101637710714</v>
      </c>
      <c r="EQ141">
        <v>1004.2961224785912</v>
      </c>
      <c r="ER141">
        <v>19.155895215916441</v>
      </c>
      <c r="ES141">
        <v>8.8200424825222878</v>
      </c>
      <c r="ET141">
        <v>14.402380757988876</v>
      </c>
      <c r="EU141">
        <v>6.2329108703518949</v>
      </c>
      <c r="EV141">
        <v>7.4437391116595935</v>
      </c>
      <c r="EW141">
        <v>1037.7389799832947</v>
      </c>
      <c r="EX141">
        <v>20.477900287722637</v>
      </c>
      <c r="EY141">
        <v>9.022320615350484</v>
      </c>
      <c r="EZ141">
        <v>15.152831333726944</v>
      </c>
      <c r="FA141">
        <v>7.3382274047432183</v>
      </c>
      <c r="FB141">
        <v>8.1202017642727089</v>
      </c>
      <c r="FC141">
        <v>1151.8582558602141</v>
      </c>
      <c r="FD141">
        <v>19.821775846786014</v>
      </c>
      <c r="FE141">
        <v>9.4176438836938061</v>
      </c>
      <c r="FF141">
        <v>15.320870150818738</v>
      </c>
      <c r="FG141">
        <v>7.5495266694156351</v>
      </c>
      <c r="FH141">
        <v>8.4935821549011354</v>
      </c>
      <c r="FI141">
        <v>1273.4707729685028</v>
      </c>
      <c r="FJ141">
        <v>18.720939780146839</v>
      </c>
      <c r="FK141">
        <v>8.9859114360575507</v>
      </c>
    </row>
    <row r="142" spans="2:167" x14ac:dyDescent="0.2">
      <c r="B142">
        <v>601.20625038839387</v>
      </c>
      <c r="C142">
        <v>1.6633226939240497</v>
      </c>
      <c r="D142">
        <v>645.69394725378049</v>
      </c>
      <c r="E142">
        <v>1.5487213474017045</v>
      </c>
      <c r="F142">
        <v>732.9125212748321</v>
      </c>
      <c r="G142">
        <v>1.3644193146824597</v>
      </c>
      <c r="H142">
        <v>821.81558446105635</v>
      </c>
      <c r="I142">
        <v>1.2168180050464683</v>
      </c>
      <c r="J142">
        <v>911.78290900060495</v>
      </c>
      <c r="K142">
        <v>1.0967522972064576</v>
      </c>
      <c r="L142">
        <v>690.73753805648187</v>
      </c>
      <c r="M142">
        <v>1.4477278921508818</v>
      </c>
      <c r="N142">
        <v>688.72549731865342</v>
      </c>
      <c r="O142">
        <v>1.4519572803579956</v>
      </c>
      <c r="Q142">
        <v>0.27860340012394769</v>
      </c>
      <c r="R142">
        <v>0.27921764649400627</v>
      </c>
      <c r="S142">
        <v>0.27885883453103699</v>
      </c>
      <c r="T142">
        <v>0.27989333189244114</v>
      </c>
      <c r="U142">
        <v>0.2802428481265129</v>
      </c>
      <c r="V142">
        <v>0.27903358187932753</v>
      </c>
      <c r="W142">
        <v>0.27895178881458549</v>
      </c>
      <c r="Y142">
        <v>2.1478538101915015</v>
      </c>
      <c r="Z142">
        <v>2.2065577053811301</v>
      </c>
      <c r="AA142">
        <v>2.234133780666002</v>
      </c>
      <c r="AB142">
        <v>2.3827331312248705</v>
      </c>
      <c r="AC142">
        <v>2.4483108740272961</v>
      </c>
      <c r="AD142">
        <v>2.2216074271870125</v>
      </c>
      <c r="AE142">
        <v>2.2171917690982887</v>
      </c>
      <c r="AG142">
        <v>0.86576771256102381</v>
      </c>
      <c r="AH142">
        <v>0.89970376840872512</v>
      </c>
      <c r="AI142">
        <v>0.90622832773697537</v>
      </c>
      <c r="AJ142">
        <v>0.97729234987096747</v>
      </c>
      <c r="AK142">
        <v>1.0107642139356952</v>
      </c>
      <c r="AL142">
        <v>0.90432236902957741</v>
      </c>
      <c r="AM142">
        <v>0.90023465911755041</v>
      </c>
      <c r="AO142">
        <v>146</v>
      </c>
      <c r="AP142">
        <v>16.931063736981372</v>
      </c>
      <c r="AQ142">
        <v>7.4361298436703311</v>
      </c>
      <c r="AR142">
        <v>7.7395305624900557</v>
      </c>
      <c r="AS142">
        <v>901.286237705997</v>
      </c>
      <c r="AT142">
        <v>25.018394819833038</v>
      </c>
      <c r="AU142">
        <v>11.099227656483061</v>
      </c>
      <c r="AV142">
        <v>17.832022222466019</v>
      </c>
      <c r="AW142">
        <v>7.7510731453464325</v>
      </c>
      <c r="AX142">
        <v>8.1382071172396042</v>
      </c>
      <c r="AY142">
        <v>952.50097284974629</v>
      </c>
      <c r="AZ142">
        <v>25.055498257606533</v>
      </c>
      <c r="BA142">
        <v>11.032544266756755</v>
      </c>
      <c r="BB142">
        <v>19.179895760802655</v>
      </c>
      <c r="BC142">
        <v>8.14354885679594</v>
      </c>
      <c r="BD142">
        <v>8.7013340885286503</v>
      </c>
      <c r="BE142">
        <v>1028.311491417363</v>
      </c>
      <c r="BF142">
        <v>25.311620629386272</v>
      </c>
      <c r="BG142">
        <v>10.963070891448913</v>
      </c>
      <c r="BH142">
        <v>20.427192307563793</v>
      </c>
      <c r="BI142">
        <v>8.6713172965250322</v>
      </c>
      <c r="BJ142">
        <v>9.3310730435690257</v>
      </c>
      <c r="BK142">
        <v>1103.9206991604224</v>
      </c>
      <c r="BL142">
        <v>25.460376954743097</v>
      </c>
      <c r="BM142">
        <v>11.034199068130565</v>
      </c>
      <c r="BN142">
        <v>20.9203131034675</v>
      </c>
      <c r="BO142">
        <v>8.8300012319782741</v>
      </c>
      <c r="BP142">
        <v>9.8742906991828843</v>
      </c>
      <c r="BQ142">
        <v>1213.8678382754504</v>
      </c>
      <c r="BR142">
        <v>24.253062546738832</v>
      </c>
      <c r="BS142">
        <v>10.482006148990731</v>
      </c>
      <c r="BU142">
        <v>146</v>
      </c>
      <c r="BV142">
        <v>16.196522227113306</v>
      </c>
      <c r="BW142">
        <v>6.5623482779259827</v>
      </c>
      <c r="BX142">
        <v>7.5000152703769531</v>
      </c>
      <c r="BY142">
        <v>901.59656786243283</v>
      </c>
      <c r="BZ142">
        <v>24.195071507937353</v>
      </c>
      <c r="CA142">
        <v>10.1262581243573</v>
      </c>
      <c r="CB142">
        <v>16.944108239524365</v>
      </c>
      <c r="CC142">
        <v>6.8616911413101667</v>
      </c>
      <c r="CD142">
        <v>7.8653783327379827</v>
      </c>
      <c r="CE142">
        <v>953.38525465051839</v>
      </c>
      <c r="CF142">
        <v>24.100931255840035</v>
      </c>
      <c r="CG142">
        <v>10.089444006120601</v>
      </c>
      <c r="CH142">
        <v>18.322976594219522</v>
      </c>
      <c r="CI142">
        <v>7.3610943215725717</v>
      </c>
      <c r="CJ142">
        <v>8.3988547185886713</v>
      </c>
      <c r="CK142">
        <v>1030.2701620851833</v>
      </c>
      <c r="CL142">
        <v>24.431757920725239</v>
      </c>
      <c r="CM142">
        <v>10.182763346697154</v>
      </c>
      <c r="CN142">
        <v>19.533824420756684</v>
      </c>
      <c r="CO142">
        <v>7.7751440625397477</v>
      </c>
      <c r="CP142">
        <v>9.0382984475836032</v>
      </c>
      <c r="CQ142">
        <v>1106.4275390446942</v>
      </c>
      <c r="CR142">
        <v>24.595256608902545</v>
      </c>
      <c r="CS142">
        <v>10.199228704777243</v>
      </c>
      <c r="CT142">
        <v>19.85488957733952</v>
      </c>
      <c r="CU142">
        <v>7.8443549908599701</v>
      </c>
      <c r="CV142">
        <v>9.4212243552239254</v>
      </c>
      <c r="CW142">
        <v>1216.7470309059424</v>
      </c>
      <c r="CX142">
        <v>23.3200397110602</v>
      </c>
      <c r="CY142">
        <v>9.6471358512437071</v>
      </c>
      <c r="DA142">
        <v>146</v>
      </c>
      <c r="DB142">
        <v>13.437726216437587</v>
      </c>
      <c r="DC142">
        <v>6.0380348766909941</v>
      </c>
      <c r="DD142">
        <v>7.1174054859616307</v>
      </c>
      <c r="DE142">
        <v>942.04796606784396</v>
      </c>
      <c r="DF142">
        <v>20.22762970298098</v>
      </c>
      <c r="DG142">
        <v>9.1348704937970027</v>
      </c>
      <c r="DH142">
        <v>14.051310290053296</v>
      </c>
      <c r="DI142">
        <v>6.7676685449607108</v>
      </c>
      <c r="DJ142">
        <v>7.4990341612662892</v>
      </c>
      <c r="DK142">
        <v>989.93597433549326</v>
      </c>
      <c r="DL142">
        <v>20.288862162701687</v>
      </c>
      <c r="DM142">
        <v>9.6219399977880613</v>
      </c>
      <c r="DN142">
        <v>15.618851331698355</v>
      </c>
      <c r="DO142">
        <v>6.8867399515162218</v>
      </c>
      <c r="DP142">
        <v>8.0550784516489742</v>
      </c>
      <c r="DQ142">
        <v>1068.1401675223267</v>
      </c>
      <c r="DR142">
        <v>21.033930390058821</v>
      </c>
      <c r="DS142">
        <v>9.3776483444631999</v>
      </c>
      <c r="DT142">
        <v>16.785478446374917</v>
      </c>
      <c r="DU142">
        <v>8.061446935667151</v>
      </c>
      <c r="DV142">
        <v>8.7874826743225789</v>
      </c>
      <c r="DW142">
        <v>1164.9787988482933</v>
      </c>
      <c r="DX142">
        <v>20.99997295381241</v>
      </c>
      <c r="DY142">
        <v>9.9323785124220958</v>
      </c>
      <c r="DZ142">
        <v>17.071106978735219</v>
      </c>
      <c r="EA142">
        <v>8.3390848311175532</v>
      </c>
      <c r="EB142">
        <v>9.1867521062920332</v>
      </c>
      <c r="EC142">
        <v>1280.0605644539864</v>
      </c>
      <c r="ED142">
        <v>19.991871627849658</v>
      </c>
      <c r="EE142">
        <v>9.5564648140086987</v>
      </c>
      <c r="EG142">
        <v>146</v>
      </c>
      <c r="EH142">
        <v>12.608885517820566</v>
      </c>
      <c r="EI142">
        <v>5.5427807943530443</v>
      </c>
      <c r="EJ142">
        <v>6.5462800453587962</v>
      </c>
      <c r="EK142">
        <v>956.96055647174569</v>
      </c>
      <c r="EL142">
        <v>19.046298824112359</v>
      </c>
      <c r="EM142">
        <v>8.4749909824273253</v>
      </c>
      <c r="EN142">
        <v>13.204827044811752</v>
      </c>
      <c r="EO142">
        <v>6.102219324377069</v>
      </c>
      <c r="EP142">
        <v>6.935101637710714</v>
      </c>
      <c r="EQ142">
        <v>1005.3496817904896</v>
      </c>
      <c r="ER142">
        <v>19.135820736212484</v>
      </c>
      <c r="ES142">
        <v>8.8125111954535331</v>
      </c>
      <c r="ET142">
        <v>14.402380757988876</v>
      </c>
      <c r="EU142">
        <v>6.2329108703518949</v>
      </c>
      <c r="EV142">
        <v>7.4437391116595935</v>
      </c>
      <c r="EW142">
        <v>1038.7524308701477</v>
      </c>
      <c r="EX142">
        <v>20.457921180487151</v>
      </c>
      <c r="EY142">
        <v>9.0135180570532789</v>
      </c>
      <c r="EZ142">
        <v>15.152831333726944</v>
      </c>
      <c r="FA142">
        <v>7.357082792684472</v>
      </c>
      <c r="FB142">
        <v>8.1202017642727089</v>
      </c>
      <c r="FC142">
        <v>1153.023857335915</v>
      </c>
      <c r="FD142">
        <v>19.801737847545123</v>
      </c>
      <c r="FE142">
        <v>9.4244764988931102</v>
      </c>
      <c r="FF142">
        <v>15.320870150818738</v>
      </c>
      <c r="FG142">
        <v>7.5716958064406477</v>
      </c>
      <c r="FH142">
        <v>8.4935821549011354</v>
      </c>
      <c r="FI142">
        <v>1274.5827360446403</v>
      </c>
      <c r="FJ142">
        <v>18.704607381160553</v>
      </c>
      <c r="FK142">
        <v>8.9954652570519116</v>
      </c>
    </row>
    <row r="143" spans="2:167" x14ac:dyDescent="0.2">
      <c r="B143">
        <v>601.20625038839387</v>
      </c>
      <c r="C143">
        <v>1.6633226939240497</v>
      </c>
      <c r="D143">
        <v>645.69394725378049</v>
      </c>
      <c r="E143">
        <v>1.5487213474017045</v>
      </c>
      <c r="F143">
        <v>732.9125212748321</v>
      </c>
      <c r="G143">
        <v>1.3644193146824597</v>
      </c>
      <c r="H143">
        <v>821.81558446105635</v>
      </c>
      <c r="I143">
        <v>1.2168180050464683</v>
      </c>
      <c r="J143">
        <v>911.78290900060495</v>
      </c>
      <c r="K143">
        <v>1.0967522972064576</v>
      </c>
      <c r="L143">
        <v>690.73753805648187</v>
      </c>
      <c r="M143">
        <v>1.4477278921508818</v>
      </c>
      <c r="N143">
        <v>688.72549731865342</v>
      </c>
      <c r="O143">
        <v>1.4519572803579956</v>
      </c>
      <c r="Q143">
        <v>0.28047635554929989</v>
      </c>
      <c r="R143">
        <v>0.28109208139176628</v>
      </c>
      <c r="S143">
        <v>0.28072836278793672</v>
      </c>
      <c r="T143">
        <v>0.28176531625024598</v>
      </c>
      <c r="U143">
        <v>0.28211485843260642</v>
      </c>
      <c r="V143">
        <v>0.28090447946247271</v>
      </c>
      <c r="W143">
        <v>0.2808245868122663</v>
      </c>
      <c r="Y143">
        <v>2.1478538101915015</v>
      </c>
      <c r="Z143">
        <v>2.2065577053811301</v>
      </c>
      <c r="AA143">
        <v>2.234133780666002</v>
      </c>
      <c r="AB143">
        <v>2.3827331312248705</v>
      </c>
      <c r="AC143">
        <v>2.4483108740272961</v>
      </c>
      <c r="AD143">
        <v>2.2216074271870125</v>
      </c>
      <c r="AE143">
        <v>2.2171917690982887</v>
      </c>
      <c r="AG143">
        <v>0.86576771256102381</v>
      </c>
      <c r="AH143">
        <v>0.89970376840872512</v>
      </c>
      <c r="AI143">
        <v>0.90622832773697537</v>
      </c>
      <c r="AJ143">
        <v>0.97729234987096747</v>
      </c>
      <c r="AK143">
        <v>1.0107642139356952</v>
      </c>
      <c r="AL143">
        <v>0.90432236902957741</v>
      </c>
      <c r="AM143">
        <v>0.90023465911755041</v>
      </c>
      <c r="AO143">
        <v>147</v>
      </c>
      <c r="AP143">
        <v>16.931063736981372</v>
      </c>
      <c r="AQ143">
        <v>7.4361298436703311</v>
      </c>
      <c r="AR143">
        <v>7.7395305624900557</v>
      </c>
      <c r="AS143">
        <v>902.0035183656446</v>
      </c>
      <c r="AT143">
        <v>24.998499985307102</v>
      </c>
      <c r="AU143">
        <v>11.090401458832028</v>
      </c>
      <c r="AV143">
        <v>17.832022222466019</v>
      </c>
      <c r="AW143">
        <v>7.7510731453464325</v>
      </c>
      <c r="AX143">
        <v>8.1382071172396042</v>
      </c>
      <c r="AY143">
        <v>953.26010499176914</v>
      </c>
      <c r="AZ143">
        <v>25.035545220694416</v>
      </c>
      <c r="BA143">
        <v>11.0237584601156</v>
      </c>
      <c r="BB143">
        <v>19.179895760802655</v>
      </c>
      <c r="BC143">
        <v>8.14354885679594</v>
      </c>
      <c r="BD143">
        <v>8.7013340885286503</v>
      </c>
      <c r="BE143">
        <v>1029.1192951104865</v>
      </c>
      <c r="BF143">
        <v>25.29175235879752</v>
      </c>
      <c r="BG143">
        <v>10.954465466211854</v>
      </c>
      <c r="BH143">
        <v>20.427192307563793</v>
      </c>
      <c r="BI143">
        <v>8.6713172965250322</v>
      </c>
      <c r="BJ143">
        <v>9.3310730435690257</v>
      </c>
      <c r="BK143">
        <v>1104.7933373743672</v>
      </c>
      <c r="BL143">
        <v>25.440266679707449</v>
      </c>
      <c r="BM143">
        <v>11.025483534246183</v>
      </c>
      <c r="BN143">
        <v>20.9203131034675</v>
      </c>
      <c r="BO143">
        <v>8.8300012319782741</v>
      </c>
      <c r="BP143">
        <v>9.8742906991828843</v>
      </c>
      <c r="BQ143">
        <v>1214.7818873493475</v>
      </c>
      <c r="BR143">
        <v>24.234813600495166</v>
      </c>
      <c r="BS143">
        <v>10.474119080445469</v>
      </c>
      <c r="BU143">
        <v>147</v>
      </c>
      <c r="BV143">
        <v>16.196522227113306</v>
      </c>
      <c r="BW143">
        <v>6.5623482779259827</v>
      </c>
      <c r="BX143">
        <v>7.5000152703769531</v>
      </c>
      <c r="BY143">
        <v>902.3444913565537</v>
      </c>
      <c r="BZ143">
        <v>24.175017013677056</v>
      </c>
      <c r="CA143">
        <v>10.117864804033093</v>
      </c>
      <c r="CB143">
        <v>16.944108239524365</v>
      </c>
      <c r="CC143">
        <v>6.8616911413101667</v>
      </c>
      <c r="CD143">
        <v>7.8653783327379827</v>
      </c>
      <c r="CE143">
        <v>954.17306243996813</v>
      </c>
      <c r="CF143">
        <v>24.081032453281313</v>
      </c>
      <c r="CG143">
        <v>10.081113711657128</v>
      </c>
      <c r="CH143">
        <v>18.322976594219522</v>
      </c>
      <c r="CI143">
        <v>7.3610943215725717</v>
      </c>
      <c r="CJ143">
        <v>8.3988547185886713</v>
      </c>
      <c r="CK143">
        <v>1031.1118603451521</v>
      </c>
      <c r="CL143">
        <v>24.411814237677149</v>
      </c>
      <c r="CM143">
        <v>10.174451140698748</v>
      </c>
      <c r="CN143">
        <v>19.533824420756684</v>
      </c>
      <c r="CO143">
        <v>7.7751440625397477</v>
      </c>
      <c r="CP143">
        <v>9.0382984475836032</v>
      </c>
      <c r="CQ143">
        <v>1107.3377173401302</v>
      </c>
      <c r="CR143">
        <v>24.575040492007446</v>
      </c>
      <c r="CS143">
        <v>10.190845429781811</v>
      </c>
      <c r="CT143">
        <v>19.85488957733952</v>
      </c>
      <c r="CU143">
        <v>7.8443549908599701</v>
      </c>
      <c r="CV143">
        <v>9.4212243552239254</v>
      </c>
      <c r="CW143">
        <v>1217.696064794726</v>
      </c>
      <c r="CX143">
        <v>23.301864807967856</v>
      </c>
      <c r="CY143">
        <v>9.6396171779743867</v>
      </c>
      <c r="DA143">
        <v>147</v>
      </c>
      <c r="DB143">
        <v>13.437726216437587</v>
      </c>
      <c r="DC143">
        <v>6.0380348766909941</v>
      </c>
      <c r="DD143">
        <v>7.1174054859616307</v>
      </c>
      <c r="DE143">
        <v>942.9812938211503</v>
      </c>
      <c r="DF143">
        <v>20.207609148693109</v>
      </c>
      <c r="DG143">
        <v>9.125829139307168</v>
      </c>
      <c r="DH143">
        <v>14.051310290053296</v>
      </c>
      <c r="DI143">
        <v>6.7686044625909281</v>
      </c>
      <c r="DJ143">
        <v>7.4990341612662892</v>
      </c>
      <c r="DK143">
        <v>990.9197157786507</v>
      </c>
      <c r="DL143">
        <v>20.26872027408433</v>
      </c>
      <c r="DM143">
        <v>9.6133322535143737</v>
      </c>
      <c r="DN143">
        <v>15.618851331698355</v>
      </c>
      <c r="DO143">
        <v>6.8867399515162218</v>
      </c>
      <c r="DP143">
        <v>8.0550784516489742</v>
      </c>
      <c r="DQ143">
        <v>1069.1634169522436</v>
      </c>
      <c r="DR143">
        <v>21.01379973749507</v>
      </c>
      <c r="DS143">
        <v>9.3686734083867425</v>
      </c>
      <c r="DT143">
        <v>16.785478446374917</v>
      </c>
      <c r="DU143">
        <v>8.0823113537519635</v>
      </c>
      <c r="DV143">
        <v>8.7874826743225789</v>
      </c>
      <c r="DW143">
        <v>1166.1021315848834</v>
      </c>
      <c r="DX143">
        <v>20.97974320167701</v>
      </c>
      <c r="DY143">
        <v>9.9407028708866605</v>
      </c>
      <c r="DZ143">
        <v>17.071106978735219</v>
      </c>
      <c r="EA143">
        <v>8.3633078722557688</v>
      </c>
      <c r="EB143">
        <v>9.1867521062920332</v>
      </c>
      <c r="EC143">
        <v>1281.2356125168815</v>
      </c>
      <c r="ED143">
        <v>19.973536662913894</v>
      </c>
      <c r="EE143">
        <v>9.5666063801214811</v>
      </c>
      <c r="EG143">
        <v>147</v>
      </c>
      <c r="EH143">
        <v>12.608885517820566</v>
      </c>
      <c r="EI143">
        <v>5.5427807943530443</v>
      </c>
      <c r="EJ143">
        <v>6.5462800453587962</v>
      </c>
      <c r="EK143">
        <v>957.97087321907156</v>
      </c>
      <c r="EL143">
        <v>19.026211788885586</v>
      </c>
      <c r="EM143">
        <v>8.4660528971865823</v>
      </c>
      <c r="EN143">
        <v>13.204827044811752</v>
      </c>
      <c r="EO143">
        <v>6.1033892752677392</v>
      </c>
      <c r="EP143">
        <v>6.935101637710714</v>
      </c>
      <c r="EQ143">
        <v>1006.4054497864911</v>
      </c>
      <c r="ER143">
        <v>19.115746334673023</v>
      </c>
      <c r="ES143">
        <v>8.804428949480382</v>
      </c>
      <c r="ET143">
        <v>14.402380757988876</v>
      </c>
      <c r="EU143">
        <v>6.2329108703518949</v>
      </c>
      <c r="EV143">
        <v>7.4437391116595935</v>
      </c>
      <c r="EW143">
        <v>1039.7678641917807</v>
      </c>
      <c r="EX143">
        <v>20.437942052863164</v>
      </c>
      <c r="EY143">
        <v>9.0047154897731421</v>
      </c>
      <c r="EZ143">
        <v>15.152831333726944</v>
      </c>
      <c r="FA143">
        <v>7.3754993560936626</v>
      </c>
      <c r="FB143">
        <v>8.1202017642727089</v>
      </c>
      <c r="FC143">
        <v>1154.1918179750389</v>
      </c>
      <c r="FD143">
        <v>19.78169988675559</v>
      </c>
      <c r="FE143">
        <v>9.430895835522211</v>
      </c>
      <c r="FF143">
        <v>15.320870150818738</v>
      </c>
      <c r="FG143">
        <v>7.5934553410089309</v>
      </c>
      <c r="FH143">
        <v>8.4935821549011354</v>
      </c>
      <c r="FI143">
        <v>1275.6968501772783</v>
      </c>
      <c r="FJ143">
        <v>18.688271942669893</v>
      </c>
      <c r="FK143">
        <v>9.0046661574022711</v>
      </c>
    </row>
    <row r="144" spans="2:167" x14ac:dyDescent="0.2">
      <c r="B144">
        <v>601.20625038839387</v>
      </c>
      <c r="C144">
        <v>1.6633226939240497</v>
      </c>
      <c r="D144">
        <v>645.69394725378049</v>
      </c>
      <c r="E144">
        <v>1.5487213474017045</v>
      </c>
      <c r="F144">
        <v>732.9125212748321</v>
      </c>
      <c r="G144">
        <v>1.3644193146824597</v>
      </c>
      <c r="H144">
        <v>821.81558446105635</v>
      </c>
      <c r="I144">
        <v>1.2168180050464683</v>
      </c>
      <c r="J144">
        <v>911.78290900060495</v>
      </c>
      <c r="K144">
        <v>1.0967522972064576</v>
      </c>
      <c r="L144">
        <v>690.73753805648187</v>
      </c>
      <c r="M144">
        <v>1.4477278921508818</v>
      </c>
      <c r="N144">
        <v>688.72549731865342</v>
      </c>
      <c r="O144">
        <v>1.4519572803579956</v>
      </c>
      <c r="Q144">
        <v>0.2823493109746521</v>
      </c>
      <c r="R144">
        <v>0.28296651628952629</v>
      </c>
      <c r="S144">
        <v>0.28259789104483651</v>
      </c>
      <c r="T144">
        <v>0.28363730060805081</v>
      </c>
      <c r="U144">
        <v>0.28398686873869994</v>
      </c>
      <c r="V144">
        <v>0.28277537704561789</v>
      </c>
      <c r="W144">
        <v>0.28269738480994711</v>
      </c>
      <c r="Y144">
        <v>2.1478538101915015</v>
      </c>
      <c r="Z144">
        <v>2.2065577053811301</v>
      </c>
      <c r="AA144">
        <v>2.234133780666002</v>
      </c>
      <c r="AB144">
        <v>2.3827331312248705</v>
      </c>
      <c r="AC144">
        <v>2.4483108740272961</v>
      </c>
      <c r="AD144">
        <v>2.2216074271870125</v>
      </c>
      <c r="AE144">
        <v>2.2171917690982887</v>
      </c>
      <c r="AG144">
        <v>0.86576771256102381</v>
      </c>
      <c r="AH144">
        <v>0.89970376840872512</v>
      </c>
      <c r="AI144">
        <v>0.90622832773697537</v>
      </c>
      <c r="AJ144">
        <v>0.97729234987096747</v>
      </c>
      <c r="AK144">
        <v>1.0107642139356952</v>
      </c>
      <c r="AL144">
        <v>0.90432236902957741</v>
      </c>
      <c r="AM144">
        <v>0.90023465911755041</v>
      </c>
      <c r="AO144">
        <v>148</v>
      </c>
      <c r="AP144">
        <v>16.931063736981372</v>
      </c>
      <c r="AQ144">
        <v>7.4361298436703311</v>
      </c>
      <c r="AR144">
        <v>7.7395305624900557</v>
      </c>
      <c r="AS144">
        <v>902.72194463706091</v>
      </c>
      <c r="AT144">
        <v>24.978605067229459</v>
      </c>
      <c r="AU144">
        <v>11.081575224113893</v>
      </c>
      <c r="AV144">
        <v>17.832022222466019</v>
      </c>
      <c r="AW144">
        <v>7.7510731453464325</v>
      </c>
      <c r="AX144">
        <v>8.1382071172396042</v>
      </c>
      <c r="AY144">
        <v>954.02044956386317</v>
      </c>
      <c r="AZ144">
        <v>25.015592146390116</v>
      </c>
      <c r="BA144">
        <v>11.014972637009759</v>
      </c>
      <c r="BB144">
        <v>19.179895760802655</v>
      </c>
      <c r="BC144">
        <v>8.14354885679594</v>
      </c>
      <c r="BD144">
        <v>8.7013340885286503</v>
      </c>
      <c r="BE144">
        <v>1029.9283731718365</v>
      </c>
      <c r="BF144">
        <v>25.271883984938103</v>
      </c>
      <c r="BG144">
        <v>10.94585999624579</v>
      </c>
      <c r="BH144">
        <v>20.427192307563793</v>
      </c>
      <c r="BI144">
        <v>8.6713172965250322</v>
      </c>
      <c r="BJ144">
        <v>9.3310730435690257</v>
      </c>
      <c r="BK144">
        <v>1105.6673525079461</v>
      </c>
      <c r="BL144">
        <v>25.420156491928175</v>
      </c>
      <c r="BM144">
        <v>11.01676803817759</v>
      </c>
      <c r="BN144">
        <v>20.9203131034675</v>
      </c>
      <c r="BO144">
        <v>8.8300012319782741</v>
      </c>
      <c r="BP144">
        <v>9.8742906991828843</v>
      </c>
      <c r="BQ144">
        <v>1215.6973786843059</v>
      </c>
      <c r="BR144">
        <v>24.216563366313039</v>
      </c>
      <c r="BS144">
        <v>10.466231455262095</v>
      </c>
      <c r="BU144">
        <v>148</v>
      </c>
      <c r="BV144">
        <v>16.196522227113306</v>
      </c>
      <c r="BW144">
        <v>6.5623482779259827</v>
      </c>
      <c r="BX144">
        <v>7.5000152703769531</v>
      </c>
      <c r="BY144">
        <v>903.0936550769361</v>
      </c>
      <c r="BZ144">
        <v>24.154962564634637</v>
      </c>
      <c r="CA144">
        <v>10.109471502633728</v>
      </c>
      <c r="CB144">
        <v>16.944108239524365</v>
      </c>
      <c r="CC144">
        <v>6.8616911413101667</v>
      </c>
      <c r="CD144">
        <v>7.8653783327379827</v>
      </c>
      <c r="CE144">
        <v>954.9621765928589</v>
      </c>
      <c r="CF144">
        <v>24.061133567240709</v>
      </c>
      <c r="CG144">
        <v>10.07278338224539</v>
      </c>
      <c r="CH144">
        <v>18.322976594219522</v>
      </c>
      <c r="CI144">
        <v>7.3610943215725717</v>
      </c>
      <c r="CJ144">
        <v>8.3988547185886713</v>
      </c>
      <c r="CK144">
        <v>1031.9549369558788</v>
      </c>
      <c r="CL144">
        <v>24.391870508671015</v>
      </c>
      <c r="CM144">
        <v>10.166138915545769</v>
      </c>
      <c r="CN144">
        <v>19.533824420756684</v>
      </c>
      <c r="CO144">
        <v>7.7751440625397477</v>
      </c>
      <c r="CP144">
        <v>9.0382984475836032</v>
      </c>
      <c r="CQ144">
        <v>1108.2493863025484</v>
      </c>
      <c r="CR144">
        <v>24.55482455329939</v>
      </c>
      <c r="CS144">
        <v>10.182462228677473</v>
      </c>
      <c r="CT144">
        <v>19.85488957733952</v>
      </c>
      <c r="CU144">
        <v>7.8443549908599701</v>
      </c>
      <c r="CV144">
        <v>9.4212243552239254</v>
      </c>
      <c r="CW144">
        <v>1218.6466529871993</v>
      </c>
      <c r="CX144">
        <v>23.283688515853346</v>
      </c>
      <c r="CY144">
        <v>9.6320979300883121</v>
      </c>
      <c r="DA144">
        <v>148</v>
      </c>
      <c r="DB144">
        <v>13.437726216437587</v>
      </c>
      <c r="DC144">
        <v>6.0380348766909941</v>
      </c>
      <c r="DD144">
        <v>7.1174054859616307</v>
      </c>
      <c r="DE144">
        <v>943.91647183311397</v>
      </c>
      <c r="DF144">
        <v>20.187588614764383</v>
      </c>
      <c r="DG144">
        <v>9.1167877940116</v>
      </c>
      <c r="DH144">
        <v>14.051310290053296</v>
      </c>
      <c r="DI144">
        <v>6.7689233510866638</v>
      </c>
      <c r="DJ144">
        <v>7.4990341612662892</v>
      </c>
      <c r="DK144">
        <v>991.90540742216945</v>
      </c>
      <c r="DL144">
        <v>20.248578526646025</v>
      </c>
      <c r="DM144">
        <v>9.6041006345470734</v>
      </c>
      <c r="DN144">
        <v>15.618851331698355</v>
      </c>
      <c r="DO144">
        <v>6.8867399515162218</v>
      </c>
      <c r="DP144">
        <v>8.0550784516489742</v>
      </c>
      <c r="DQ144">
        <v>1070.1886223650624</v>
      </c>
      <c r="DR144">
        <v>20.993669210236089</v>
      </c>
      <c r="DS144">
        <v>9.3596985281754552</v>
      </c>
      <c r="DT144">
        <v>16.785478446374917</v>
      </c>
      <c r="DU144">
        <v>8.1027065671085499</v>
      </c>
      <c r="DV144">
        <v>8.7874826743225789</v>
      </c>
      <c r="DW144">
        <v>1167.2276203967167</v>
      </c>
      <c r="DX144">
        <v>20.959513671604206</v>
      </c>
      <c r="DY144">
        <v>9.9485908469187176</v>
      </c>
      <c r="DZ144">
        <v>17.071106978735219</v>
      </c>
      <c r="EA144">
        <v>8.3870841900468136</v>
      </c>
      <c r="EB144">
        <v>9.1867521062920332</v>
      </c>
      <c r="EC144">
        <v>1282.4129159151328</v>
      </c>
      <c r="ED144">
        <v>19.955200203341068</v>
      </c>
      <c r="EE144">
        <v>9.5763641729779785</v>
      </c>
      <c r="EG144">
        <v>148</v>
      </c>
      <c r="EH144">
        <v>12.608885517820566</v>
      </c>
      <c r="EI144">
        <v>5.5427807943530443</v>
      </c>
      <c r="EJ144">
        <v>6.5462800453587962</v>
      </c>
      <c r="EK144">
        <v>958.98332087782103</v>
      </c>
      <c r="EL144">
        <v>19.006124845597672</v>
      </c>
      <c r="EM144">
        <v>8.4571148528556748</v>
      </c>
      <c r="EN144">
        <v>13.204827044811752</v>
      </c>
      <c r="EO144">
        <v>6.104008316218323</v>
      </c>
      <c r="EP144">
        <v>6.935101637710714</v>
      </c>
      <c r="EQ144">
        <v>1007.4634334193189</v>
      </c>
      <c r="ER144">
        <v>19.095672011297602</v>
      </c>
      <c r="ES144">
        <v>8.7957974691845209</v>
      </c>
      <c r="ET144">
        <v>14.402380757988876</v>
      </c>
      <c r="EU144">
        <v>6.2329108703518949</v>
      </c>
      <c r="EV144">
        <v>7.4437391116595935</v>
      </c>
      <c r="EW144">
        <v>1040.7852857707189</v>
      </c>
      <c r="EX144">
        <v>20.417962904850636</v>
      </c>
      <c r="EY144">
        <v>8.9959129135100557</v>
      </c>
      <c r="EZ144">
        <v>15.152831333726944</v>
      </c>
      <c r="FA144">
        <v>7.393477094970792</v>
      </c>
      <c r="FB144">
        <v>8.1202017642727089</v>
      </c>
      <c r="FC144">
        <v>1155.3621449472191</v>
      </c>
      <c r="FD144">
        <v>19.761661964417307</v>
      </c>
      <c r="FE144">
        <v>9.436903049052054</v>
      </c>
      <c r="FF144">
        <v>15.320870150818738</v>
      </c>
      <c r="FG144">
        <v>7.6148052731204841</v>
      </c>
      <c r="FH144">
        <v>8.4935821549011354</v>
      </c>
      <c r="FI144">
        <v>1276.8131216141835</v>
      </c>
      <c r="FJ144">
        <v>18.671933463826299</v>
      </c>
      <c r="FK144">
        <v>9.0135149703490676</v>
      </c>
    </row>
    <row r="145" spans="2:167" x14ac:dyDescent="0.2">
      <c r="B145">
        <v>601.20625038839387</v>
      </c>
      <c r="C145">
        <v>1.6633226939240497</v>
      </c>
      <c r="D145">
        <v>645.69394725378049</v>
      </c>
      <c r="E145">
        <v>1.5487213474017045</v>
      </c>
      <c r="F145">
        <v>732.9125212748321</v>
      </c>
      <c r="G145">
        <v>1.3644193146824597</v>
      </c>
      <c r="H145">
        <v>821.81558446105635</v>
      </c>
      <c r="I145">
        <v>1.2168180050464683</v>
      </c>
      <c r="J145">
        <v>911.78290900060495</v>
      </c>
      <c r="K145">
        <v>1.0967522972064576</v>
      </c>
      <c r="L145">
        <v>690.73753805648187</v>
      </c>
      <c r="M145">
        <v>1.4477278921508818</v>
      </c>
      <c r="N145">
        <v>688.72549731865342</v>
      </c>
      <c r="O145">
        <v>1.4519572803579956</v>
      </c>
      <c r="Q145">
        <v>0.28422226640000431</v>
      </c>
      <c r="R145">
        <v>0.28484095118728631</v>
      </c>
      <c r="S145">
        <v>0.28446741930173625</v>
      </c>
      <c r="T145">
        <v>0.28550928496585559</v>
      </c>
      <c r="U145">
        <v>0.28585887904479346</v>
      </c>
      <c r="V145">
        <v>0.28464627462876307</v>
      </c>
      <c r="W145">
        <v>0.28457018280762797</v>
      </c>
      <c r="Y145">
        <v>2.1478538101915015</v>
      </c>
      <c r="Z145">
        <v>2.2065577053811301</v>
      </c>
      <c r="AA145">
        <v>2.234133780666002</v>
      </c>
      <c r="AB145">
        <v>2.3827331312248705</v>
      </c>
      <c r="AC145">
        <v>2.4483108740272961</v>
      </c>
      <c r="AD145">
        <v>2.2216074271870125</v>
      </c>
      <c r="AE145">
        <v>2.2171917690982887</v>
      </c>
      <c r="AG145">
        <v>0.86576771256102381</v>
      </c>
      <c r="AH145">
        <v>0.89970376840872512</v>
      </c>
      <c r="AI145">
        <v>0.90622832773697537</v>
      </c>
      <c r="AJ145">
        <v>0.97729234987096747</v>
      </c>
      <c r="AK145">
        <v>1.0107642139356952</v>
      </c>
      <c r="AL145">
        <v>0.90432236902957741</v>
      </c>
      <c r="AM145">
        <v>0.90023465911755041</v>
      </c>
      <c r="AO145">
        <v>149</v>
      </c>
      <c r="AP145">
        <v>16.931063736981372</v>
      </c>
      <c r="AQ145">
        <v>7.4361298436703311</v>
      </c>
      <c r="AR145">
        <v>7.7395305624900557</v>
      </c>
      <c r="AS145">
        <v>903.44151926702716</v>
      </c>
      <c r="AT145">
        <v>24.958710065599572</v>
      </c>
      <c r="AU145">
        <v>11.072748952328416</v>
      </c>
      <c r="AV145">
        <v>17.832022222466019</v>
      </c>
      <c r="AW145">
        <v>7.7510731453464325</v>
      </c>
      <c r="AX145">
        <v>8.1382071172396042</v>
      </c>
      <c r="AY145">
        <v>954.78200947295613</v>
      </c>
      <c r="AZ145">
        <v>24.995639034693522</v>
      </c>
      <c r="BA145">
        <v>11.006186797439181</v>
      </c>
      <c r="BB145">
        <v>19.179895760802655</v>
      </c>
      <c r="BC145">
        <v>8.14354885679594</v>
      </c>
      <c r="BD145">
        <v>8.7013340885286503</v>
      </c>
      <c r="BE145">
        <v>1030.7387286194041</v>
      </c>
      <c r="BF145">
        <v>25.252015507807215</v>
      </c>
      <c r="BG145">
        <v>10.93725448155037</v>
      </c>
      <c r="BH145">
        <v>20.427192307563793</v>
      </c>
      <c r="BI145">
        <v>8.6713172965250322</v>
      </c>
      <c r="BJ145">
        <v>9.3310730435690257</v>
      </c>
      <c r="BK145">
        <v>1106.5427478226566</v>
      </c>
      <c r="BL145">
        <v>25.400046391404697</v>
      </c>
      <c r="BM145">
        <v>11.008052579924531</v>
      </c>
      <c r="BN145">
        <v>20.9203131034675</v>
      </c>
      <c r="BO145">
        <v>8.8300012319782741</v>
      </c>
      <c r="BP145">
        <v>9.8742906991828843</v>
      </c>
      <c r="BQ145">
        <v>1216.6143156965966</v>
      </c>
      <c r="BR145">
        <v>24.198311844056093</v>
      </c>
      <c r="BS145">
        <v>10.458343273381681</v>
      </c>
      <c r="BU145">
        <v>149</v>
      </c>
      <c r="BV145">
        <v>16.196522227113306</v>
      </c>
      <c r="BW145">
        <v>6.5623482779259827</v>
      </c>
      <c r="BX145">
        <v>7.5000152703769531</v>
      </c>
      <c r="BY145">
        <v>903.84406211100304</v>
      </c>
      <c r="BZ145">
        <v>24.134908160809943</v>
      </c>
      <c r="CA145">
        <v>10.10107822015914</v>
      </c>
      <c r="CB145">
        <v>16.944108239524365</v>
      </c>
      <c r="CC145">
        <v>6.8616911413101667</v>
      </c>
      <c r="CD145">
        <v>7.8653783327379827</v>
      </c>
      <c r="CE145">
        <v>955.75260036125599</v>
      </c>
      <c r="CF145">
        <v>24.041234597717704</v>
      </c>
      <c r="CG145">
        <v>10.064453017885166</v>
      </c>
      <c r="CH145">
        <v>18.322976594219522</v>
      </c>
      <c r="CI145">
        <v>7.3610943215725717</v>
      </c>
      <c r="CJ145">
        <v>8.3988547185886713</v>
      </c>
      <c r="CK145">
        <v>1032.799395305884</v>
      </c>
      <c r="CL145">
        <v>24.371926733706665</v>
      </c>
      <c r="CM145">
        <v>10.15782667123815</v>
      </c>
      <c r="CN145">
        <v>19.533824420756684</v>
      </c>
      <c r="CO145">
        <v>7.7751440625397477</v>
      </c>
      <c r="CP145">
        <v>9.0382984475836032</v>
      </c>
      <c r="CQ145">
        <v>1109.162549597015</v>
      </c>
      <c r="CR145">
        <v>24.534608792776027</v>
      </c>
      <c r="CS145">
        <v>10.174079101463253</v>
      </c>
      <c r="CT145">
        <v>19.85488957733952</v>
      </c>
      <c r="CU145">
        <v>7.8443549908599701</v>
      </c>
      <c r="CV145">
        <v>9.4212243552239254</v>
      </c>
      <c r="CW145">
        <v>1219.5987993048909</v>
      </c>
      <c r="CX145">
        <v>23.265510834557428</v>
      </c>
      <c r="CY145">
        <v>9.6245781075196071</v>
      </c>
      <c r="DA145">
        <v>149</v>
      </c>
      <c r="DB145">
        <v>13.437726216437587</v>
      </c>
      <c r="DC145">
        <v>6.0380348766909941</v>
      </c>
      <c r="DD145">
        <v>7.1174054859616307</v>
      </c>
      <c r="DE145">
        <v>944.85350561121152</v>
      </c>
      <c r="DF145">
        <v>20.167568101194789</v>
      </c>
      <c r="DG145">
        <v>9.1077464579102863</v>
      </c>
      <c r="DH145">
        <v>14.051310290053296</v>
      </c>
      <c r="DI145">
        <v>6.7689233510866638</v>
      </c>
      <c r="DJ145">
        <v>7.4990341612662892</v>
      </c>
      <c r="DK145">
        <v>992.89305507101244</v>
      </c>
      <c r="DL145">
        <v>20.228436920385295</v>
      </c>
      <c r="DM145">
        <v>9.5945472719139939</v>
      </c>
      <c r="DN145">
        <v>15.618851331698355</v>
      </c>
      <c r="DO145">
        <v>6.8867399515162218</v>
      </c>
      <c r="DP145">
        <v>8.0550784516489742</v>
      </c>
      <c r="DQ145">
        <v>1071.2157893745602</v>
      </c>
      <c r="DR145">
        <v>20.973538808280704</v>
      </c>
      <c r="DS145">
        <v>9.3507237038288107</v>
      </c>
      <c r="DT145">
        <v>16.785478446374917</v>
      </c>
      <c r="DU145">
        <v>8.1226325757369064</v>
      </c>
      <c r="DV145">
        <v>8.7874826743225789</v>
      </c>
      <c r="DW145">
        <v>1168.3552714971695</v>
      </c>
      <c r="DX145">
        <v>20.939284363590343</v>
      </c>
      <c r="DY145">
        <v>9.9560436050174737</v>
      </c>
      <c r="DZ145">
        <v>17.071106978735219</v>
      </c>
      <c r="EA145">
        <v>8.4104137844906859</v>
      </c>
      <c r="EB145">
        <v>9.1867521062920332</v>
      </c>
      <c r="EC145">
        <v>1283.5924811481648</v>
      </c>
      <c r="ED145">
        <v>19.936862248948412</v>
      </c>
      <c r="EE145">
        <v>9.5857391485900276</v>
      </c>
      <c r="EG145">
        <v>149</v>
      </c>
      <c r="EH145">
        <v>12.608885517820566</v>
      </c>
      <c r="EI145">
        <v>5.5427807943530443</v>
      </c>
      <c r="EJ145">
        <v>6.5462800453587962</v>
      </c>
      <c r="EK145">
        <v>959.9979061967349</v>
      </c>
      <c r="EL145">
        <v>18.98603799424798</v>
      </c>
      <c r="EM145">
        <v>8.4481768494343257</v>
      </c>
      <c r="EN145">
        <v>13.204827044811752</v>
      </c>
      <c r="EO145">
        <v>6.1040764472288256</v>
      </c>
      <c r="EP145">
        <v>6.935101637710714</v>
      </c>
      <c r="EQ145">
        <v>1008.5236396709089</v>
      </c>
      <c r="ER145">
        <v>19.075597766085764</v>
      </c>
      <c r="ES145">
        <v>8.786618479134205</v>
      </c>
      <c r="ET145">
        <v>14.402380757988876</v>
      </c>
      <c r="EU145">
        <v>6.2329108703518949</v>
      </c>
      <c r="EV145">
        <v>7.4437391116595935</v>
      </c>
      <c r="EW145">
        <v>1041.8047014523106</v>
      </c>
      <c r="EX145">
        <v>20.39798373644955</v>
      </c>
      <c r="EY145">
        <v>8.987110328264011</v>
      </c>
      <c r="EZ145">
        <v>15.152831333726944</v>
      </c>
      <c r="FA145">
        <v>7.4110160093158575</v>
      </c>
      <c r="FB145">
        <v>8.1202017642727089</v>
      </c>
      <c r="FC145">
        <v>1156.5348454511702</v>
      </c>
      <c r="FD145">
        <v>19.741624080530165</v>
      </c>
      <c r="FE145">
        <v>9.4424992949491511</v>
      </c>
      <c r="FF145">
        <v>15.320870150818738</v>
      </c>
      <c r="FG145">
        <v>7.6357456027753079</v>
      </c>
      <c r="FH145">
        <v>8.4935821549011354</v>
      </c>
      <c r="FI145">
        <v>1277.9315566273417</v>
      </c>
      <c r="FJ145">
        <v>18.655591943780877</v>
      </c>
      <c r="FK145">
        <v>9.0220125294429376</v>
      </c>
    </row>
    <row r="146" spans="2:167" x14ac:dyDescent="0.2">
      <c r="B146">
        <v>601.20625038839387</v>
      </c>
      <c r="C146">
        <v>1.6633226939240497</v>
      </c>
      <c r="D146">
        <v>645.69394725378049</v>
      </c>
      <c r="E146">
        <v>1.5487213474017045</v>
      </c>
      <c r="F146">
        <v>732.9125212748321</v>
      </c>
      <c r="G146">
        <v>1.3644193146824597</v>
      </c>
      <c r="H146">
        <v>821.81558446105635</v>
      </c>
      <c r="I146">
        <v>1.2168180050464683</v>
      </c>
      <c r="J146">
        <v>911.78290900060495</v>
      </c>
      <c r="K146">
        <v>1.0967522972064576</v>
      </c>
      <c r="L146">
        <v>690.73753805648187</v>
      </c>
      <c r="M146">
        <v>1.4477278921508818</v>
      </c>
      <c r="N146">
        <v>688.72549731865342</v>
      </c>
      <c r="O146">
        <v>1.4519572803579956</v>
      </c>
      <c r="Q146">
        <v>0.28609522182535652</v>
      </c>
      <c r="R146">
        <v>0.28671538608504632</v>
      </c>
      <c r="S146">
        <v>0.28633694755863603</v>
      </c>
      <c r="T146">
        <v>0.28738126932366043</v>
      </c>
      <c r="U146">
        <v>0.28773088935088698</v>
      </c>
      <c r="V146">
        <v>0.28651717221190826</v>
      </c>
      <c r="W146">
        <v>0.28644298080530878</v>
      </c>
      <c r="Y146">
        <v>2.1478538101915015</v>
      </c>
      <c r="Z146">
        <v>2.2065577053811301</v>
      </c>
      <c r="AA146">
        <v>2.234133780666002</v>
      </c>
      <c r="AB146">
        <v>2.3827331312248705</v>
      </c>
      <c r="AC146">
        <v>2.4483108740272961</v>
      </c>
      <c r="AD146">
        <v>2.2216074271870125</v>
      </c>
      <c r="AE146">
        <v>2.2171917690982887</v>
      </c>
      <c r="AG146">
        <v>0.86576771256102381</v>
      </c>
      <c r="AH146">
        <v>0.89970376840872512</v>
      </c>
      <c r="AI146">
        <v>0.90622832773697537</v>
      </c>
      <c r="AJ146">
        <v>0.97729234987096747</v>
      </c>
      <c r="AK146">
        <v>1.0107642139356952</v>
      </c>
      <c r="AL146">
        <v>0.90432236902957741</v>
      </c>
      <c r="AM146">
        <v>0.90023465911755041</v>
      </c>
      <c r="AO146">
        <v>150</v>
      </c>
      <c r="AP146">
        <v>16.931063736981372</v>
      </c>
      <c r="AQ146">
        <v>7.4361298436703311</v>
      </c>
      <c r="AR146">
        <v>7.7395305624900557</v>
      </c>
      <c r="AS146">
        <v>904.16224501111219</v>
      </c>
      <c r="AT146">
        <v>24.938814980416925</v>
      </c>
      <c r="AU146">
        <v>11.063922643475367</v>
      </c>
      <c r="AV146">
        <v>17.832022222466019</v>
      </c>
      <c r="AW146">
        <v>7.7510731453464325</v>
      </c>
      <c r="AX146">
        <v>8.1382071172396042</v>
      </c>
      <c r="AY146">
        <v>955.54478763527595</v>
      </c>
      <c r="AZ146">
        <v>24.975685885604534</v>
      </c>
      <c r="BA146">
        <v>10.997400941403823</v>
      </c>
      <c r="BB146">
        <v>19.179895760802655</v>
      </c>
      <c r="BC146">
        <v>8.14354885679594</v>
      </c>
      <c r="BD146">
        <v>8.7013340885286503</v>
      </c>
      <c r="BE146">
        <v>1031.5503644807181</v>
      </c>
      <c r="BF146">
        <v>25.232146927404056</v>
      </c>
      <c r="BG146">
        <v>10.92864892212525</v>
      </c>
      <c r="BH146">
        <v>20.427192307563793</v>
      </c>
      <c r="BI146">
        <v>8.6713172965250322</v>
      </c>
      <c r="BJ146">
        <v>9.3310730435690257</v>
      </c>
      <c r="BK146">
        <v>1107.4195265903045</v>
      </c>
      <c r="BL146">
        <v>25.379936378136442</v>
      </c>
      <c r="BM146">
        <v>10.999337159486762</v>
      </c>
      <c r="BN146">
        <v>20.9203131034675</v>
      </c>
      <c r="BO146">
        <v>8.8300012319782741</v>
      </c>
      <c r="BP146">
        <v>9.8742906991828843</v>
      </c>
      <c r="BQ146">
        <v>1217.532701813288</v>
      </c>
      <c r="BR146">
        <v>24.180059033587963</v>
      </c>
      <c r="BS146">
        <v>10.450454534745287</v>
      </c>
      <c r="BU146">
        <v>150</v>
      </c>
      <c r="BV146">
        <v>16.196522227113306</v>
      </c>
      <c r="BW146">
        <v>6.5623482779259827</v>
      </c>
      <c r="BX146">
        <v>7.5000152703769531</v>
      </c>
      <c r="BY146">
        <v>904.59571555643413</v>
      </c>
      <c r="BZ146">
        <v>24.11485380220282</v>
      </c>
      <c r="CA146">
        <v>10.092684956609267</v>
      </c>
      <c r="CB146">
        <v>16.944108239524365</v>
      </c>
      <c r="CC146">
        <v>6.8616911413101667</v>
      </c>
      <c r="CD146">
        <v>7.8653783327379827</v>
      </c>
      <c r="CE146">
        <v>956.54433700802804</v>
      </c>
      <c r="CF146">
        <v>24.021335544711761</v>
      </c>
      <c r="CG146">
        <v>10.056122618576232</v>
      </c>
      <c r="CH146">
        <v>18.322976594219522</v>
      </c>
      <c r="CI146">
        <v>7.3610943215725717</v>
      </c>
      <c r="CJ146">
        <v>8.3988547185886713</v>
      </c>
      <c r="CK146">
        <v>1033.6452387948036</v>
      </c>
      <c r="CL146">
        <v>24.35198291278396</v>
      </c>
      <c r="CM146">
        <v>10.149514407775824</v>
      </c>
      <c r="CN146">
        <v>19.533824420756684</v>
      </c>
      <c r="CO146">
        <v>7.7751440625397477</v>
      </c>
      <c r="CP146">
        <v>9.0382984475836032</v>
      </c>
      <c r="CQ146">
        <v>1110.0772109006214</v>
      </c>
      <c r="CR146">
        <v>24.514393210434985</v>
      </c>
      <c r="CS146">
        <v>10.165696048138171</v>
      </c>
      <c r="CT146">
        <v>19.85488957733952</v>
      </c>
      <c r="CU146">
        <v>7.8443549908599701</v>
      </c>
      <c r="CV146">
        <v>9.4212243552239254</v>
      </c>
      <c r="CW146">
        <v>1220.5525075818673</v>
      </c>
      <c r="CX146">
        <v>23.247331763920837</v>
      </c>
      <c r="CY146">
        <v>9.6170577102023849</v>
      </c>
      <c r="DA146">
        <v>150</v>
      </c>
      <c r="DB146">
        <v>13.437726216437587</v>
      </c>
      <c r="DC146">
        <v>6.0380348766909941</v>
      </c>
      <c r="DD146">
        <v>7.1174054859616307</v>
      </c>
      <c r="DE146">
        <v>945.79240068479953</v>
      </c>
      <c r="DF146">
        <v>20.147547607984276</v>
      </c>
      <c r="DG146">
        <v>9.0987051310032108</v>
      </c>
      <c r="DH146">
        <v>14.051310290053296</v>
      </c>
      <c r="DI146">
        <v>6.7689233510866638</v>
      </c>
      <c r="DJ146">
        <v>7.4990341612662892</v>
      </c>
      <c r="DK146">
        <v>993.88266455320434</v>
      </c>
      <c r="DL146">
        <v>20.20829545530065</v>
      </c>
      <c r="DM146">
        <v>9.5849939762421208</v>
      </c>
      <c r="DN146">
        <v>15.618851331698355</v>
      </c>
      <c r="DO146">
        <v>6.8867399515162218</v>
      </c>
      <c r="DP146">
        <v>8.0550784516489742</v>
      </c>
      <c r="DQ146">
        <v>1072.2449236160171</v>
      </c>
      <c r="DR146">
        <v>20.953408531627741</v>
      </c>
      <c r="DS146">
        <v>9.3417489353462884</v>
      </c>
      <c r="DT146">
        <v>16.785478446374917</v>
      </c>
      <c r="DU146">
        <v>8.1420893796370333</v>
      </c>
      <c r="DV146">
        <v>8.7874826743225789</v>
      </c>
      <c r="DW146">
        <v>1169.4850911235153</v>
      </c>
      <c r="DX146">
        <v>20.919055277631756</v>
      </c>
      <c r="DY146">
        <v>9.9630623096565696</v>
      </c>
      <c r="DZ146">
        <v>17.071106978735219</v>
      </c>
      <c r="EA146">
        <v>8.4332966555873838</v>
      </c>
      <c r="EB146">
        <v>9.1867521062920332</v>
      </c>
      <c r="EC146">
        <v>1284.7743147403987</v>
      </c>
      <c r="ED146">
        <v>19.918522799553124</v>
      </c>
      <c r="EE146">
        <v>9.5947322631253495</v>
      </c>
      <c r="EG146">
        <v>150</v>
      </c>
      <c r="EH146">
        <v>12.608885517820566</v>
      </c>
      <c r="EI146">
        <v>5.5427807943530443</v>
      </c>
      <c r="EJ146">
        <v>6.5462800453587962</v>
      </c>
      <c r="EK146">
        <v>961.01463595308223</v>
      </c>
      <c r="EL146">
        <v>18.965951234835885</v>
      </c>
      <c r="EM146">
        <v>8.439238886922249</v>
      </c>
      <c r="EN146">
        <v>13.204827044811752</v>
      </c>
      <c r="EO146">
        <v>6.1040764472288256</v>
      </c>
      <c r="EP146">
        <v>6.935101637710714</v>
      </c>
      <c r="EQ146">
        <v>1009.5860755525633</v>
      </c>
      <c r="ER146">
        <v>19.055523599037056</v>
      </c>
      <c r="ES146">
        <v>8.7773718988012384</v>
      </c>
      <c r="ET146">
        <v>14.402380757988876</v>
      </c>
      <c r="EU146">
        <v>6.2329108703518949</v>
      </c>
      <c r="EV146">
        <v>7.4437391116595935</v>
      </c>
      <c r="EW146">
        <v>1042.82611710484</v>
      </c>
      <c r="EX146">
        <v>20.378004547659863</v>
      </c>
      <c r="EY146">
        <v>8.9783077340349902</v>
      </c>
      <c r="EZ146">
        <v>15.152831333726944</v>
      </c>
      <c r="FA146">
        <v>7.42811609912886</v>
      </c>
      <c r="FB146">
        <v>8.1202017642727089</v>
      </c>
      <c r="FC146">
        <v>1157.7099267148365</v>
      </c>
      <c r="FD146">
        <v>19.721586235094048</v>
      </c>
      <c r="FE146">
        <v>9.4476857286755695</v>
      </c>
      <c r="FF146">
        <v>15.320870150818738</v>
      </c>
      <c r="FG146">
        <v>7.6562763299734033</v>
      </c>
      <c r="FH146">
        <v>8.4935821549011354</v>
      </c>
      <c r="FI146">
        <v>1279.0521615130751</v>
      </c>
      <c r="FJ146">
        <v>18.639247381684424</v>
      </c>
      <c r="FK146">
        <v>9.0301596685448509</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A1:FK360"/>
  <sheetViews>
    <sheetView showGridLines="0" zoomScaleNormal="100" zoomScaleSheetLayoutView="100" workbookViewId="0">
      <selection sqref="A1:I1"/>
    </sheetView>
  </sheetViews>
  <sheetFormatPr baseColWidth="10" defaultColWidth="11.42578125" defaultRowHeight="12.75" x14ac:dyDescent="0.2"/>
  <cols>
    <col min="1" max="1" width="14.7109375" style="6" customWidth="1"/>
    <col min="2" max="2" width="14" style="6" customWidth="1"/>
    <col min="3" max="3" width="5.42578125" style="6" customWidth="1"/>
    <col min="4" max="7" width="7.5703125" style="6" customWidth="1"/>
    <col min="8" max="9" width="6.140625" style="6" customWidth="1"/>
    <col min="10" max="10" width="6.7109375" style="6" customWidth="1"/>
    <col min="11" max="12" width="3.7109375" style="6" customWidth="1"/>
    <col min="13" max="13" width="6.5703125" style="6" customWidth="1"/>
    <col min="14" max="14" width="0.85546875" style="6" customWidth="1"/>
    <col min="15" max="15" width="5.140625" style="92" hidden="1" customWidth="1"/>
    <col min="16" max="16" width="12.42578125" style="146" hidden="1" customWidth="1"/>
    <col min="17" max="17" width="8.85546875" style="146" hidden="1" customWidth="1"/>
    <col min="18" max="18" width="8.7109375" style="146" hidden="1" customWidth="1"/>
    <col min="19" max="23" width="9.42578125" style="146" hidden="1" customWidth="1"/>
    <col min="24" max="24" width="7.85546875" style="146" hidden="1" customWidth="1"/>
    <col min="25" max="26" width="12.28515625" style="146" hidden="1" customWidth="1"/>
    <col min="27" max="28" width="7.5703125" style="146" hidden="1" customWidth="1"/>
    <col min="29" max="29" width="9.28515625" style="146" hidden="1" customWidth="1"/>
    <col min="30" max="30" width="9.42578125" style="146" hidden="1" customWidth="1"/>
    <col min="31" max="31" width="8" style="146" hidden="1" customWidth="1"/>
    <col min="32" max="32" width="7.28515625" style="146" hidden="1" customWidth="1"/>
    <col min="33" max="33" width="8.28515625" style="146" hidden="1" customWidth="1"/>
    <col min="34" max="34" width="7.28515625" style="146" hidden="1" customWidth="1"/>
    <col min="35" max="35" width="8.5703125" style="146" hidden="1" customWidth="1"/>
    <col min="36" max="37" width="7" style="146" hidden="1" customWidth="1"/>
    <col min="38" max="38" width="9.5703125" style="146" hidden="1" customWidth="1"/>
    <col min="39" max="40" width="6.28515625" style="146" hidden="1" customWidth="1"/>
    <col min="41" max="41" width="7.7109375" style="146" hidden="1" customWidth="1"/>
    <col min="42" max="42" width="10.28515625" style="146" hidden="1" customWidth="1"/>
    <col min="43" max="43" width="5.7109375" style="146" hidden="1" customWidth="1"/>
    <col min="44" max="44" width="9.42578125" style="146" hidden="1" customWidth="1"/>
    <col min="45" max="45" width="12.85546875" style="146" hidden="1" customWidth="1"/>
    <col min="46" max="47" width="13.42578125" style="146" hidden="1" customWidth="1"/>
    <col min="48" max="48" width="7.5703125" style="146" hidden="1" customWidth="1"/>
    <col min="49" max="50" width="9.85546875" style="146" hidden="1" customWidth="1"/>
    <col min="51" max="52" width="5.7109375" style="146" hidden="1" customWidth="1"/>
    <col min="53" max="54" width="7" style="146" hidden="1" customWidth="1"/>
    <col min="55" max="55" width="7.7109375" style="146" hidden="1" customWidth="1"/>
    <col min="56" max="58" width="5.7109375" style="146" hidden="1" customWidth="1"/>
    <col min="59" max="59" width="9.5703125" style="146" hidden="1" customWidth="1"/>
    <col min="60" max="61" width="5.7109375" style="146" hidden="1" customWidth="1"/>
    <col min="62" max="62" width="7.42578125" style="146" hidden="1" customWidth="1"/>
    <col min="63" max="64" width="5.7109375" style="146" hidden="1" customWidth="1"/>
    <col min="65" max="65" width="11" style="146" hidden="1" customWidth="1"/>
    <col min="66" max="66" width="11.85546875" style="146" hidden="1" customWidth="1"/>
    <col min="67" max="67" width="13.5703125" style="146" hidden="1" customWidth="1"/>
    <col min="68" max="72" width="11.85546875" style="146" hidden="1" customWidth="1"/>
    <col min="73" max="76" width="11.85546875" style="147" hidden="1" customWidth="1"/>
    <col min="77" max="77" width="11.85546875" style="146" hidden="1" customWidth="1"/>
    <col min="78" max="78" width="12.42578125" style="146" hidden="1" customWidth="1"/>
    <col min="79" max="82" width="11.85546875" style="146" hidden="1" customWidth="1"/>
    <col min="83" max="96" width="11.85546875" style="92" hidden="1" customWidth="1"/>
    <col min="97" max="127" width="11.42578125" style="92" hidden="1" customWidth="1"/>
    <col min="128" max="128" width="11.42578125" style="2171" hidden="1" customWidth="1"/>
    <col min="129" max="145" width="11.42578125" style="92" hidden="1" customWidth="1"/>
    <col min="146" max="146" width="19.85546875" style="92" hidden="1" customWidth="1"/>
    <col min="147" max="147" width="14.28515625" style="92" hidden="1" customWidth="1"/>
    <col min="148" max="158" width="11.42578125" style="92" hidden="1" customWidth="1"/>
    <col min="159" max="161" width="11.28515625" style="92" hidden="1" customWidth="1"/>
    <col min="162" max="167" width="11.42578125" style="92" hidden="1" customWidth="1"/>
    <col min="168" max="172" width="11.42578125" style="92" customWidth="1"/>
    <col min="173" max="16384" width="11.42578125" style="92"/>
  </cols>
  <sheetData>
    <row r="1" spans="1:161" ht="21" customHeight="1" x14ac:dyDescent="0.2">
      <c r="A1" s="2681" t="s">
        <v>875</v>
      </c>
      <c r="B1" s="2682"/>
      <c r="C1" s="2682"/>
      <c r="D1" s="2682"/>
      <c r="E1" s="2682"/>
      <c r="F1" s="2682"/>
      <c r="G1" s="2682"/>
      <c r="H1" s="2682"/>
      <c r="I1" s="2682"/>
      <c r="J1" s="5"/>
      <c r="K1" s="5"/>
      <c r="L1" s="4"/>
      <c r="M1" s="4"/>
      <c r="N1" s="4"/>
      <c r="BU1" s="146"/>
      <c r="BV1" s="146"/>
      <c r="BW1" s="146"/>
      <c r="BX1" s="146"/>
      <c r="BY1" s="147"/>
      <c r="BZ1" s="147"/>
      <c r="CA1" s="147"/>
      <c r="CB1" s="147"/>
      <c r="CE1" s="146"/>
      <c r="CF1" s="146"/>
      <c r="CG1" s="146"/>
      <c r="CH1" s="146"/>
      <c r="CI1" s="146"/>
      <c r="CJ1" s="146"/>
      <c r="FC1" s="805"/>
      <c r="FD1" s="805"/>
      <c r="FE1" s="805"/>
    </row>
    <row r="2" spans="1:161" ht="15.75" customHeight="1" x14ac:dyDescent="0.2">
      <c r="A2" s="2690" t="s">
        <v>732</v>
      </c>
      <c r="B2" s="2690"/>
      <c r="C2" s="2690"/>
      <c r="D2" s="2690"/>
      <c r="E2" s="2690"/>
      <c r="F2" s="2690"/>
      <c r="G2" s="2690"/>
      <c r="H2" s="2690"/>
      <c r="I2" s="2690"/>
      <c r="J2" s="7"/>
      <c r="K2" s="7"/>
      <c r="L2" s="4"/>
      <c r="M2" s="4"/>
      <c r="N2" s="4"/>
      <c r="BU2" s="146"/>
      <c r="BV2" s="146"/>
      <c r="BW2" s="146"/>
      <c r="BX2" s="146"/>
      <c r="BY2" s="147"/>
      <c r="BZ2" s="147"/>
      <c r="CA2" s="147"/>
      <c r="CB2" s="147"/>
      <c r="CE2" s="146"/>
      <c r="CF2" s="146"/>
      <c r="CG2" s="146"/>
      <c r="CH2" s="146"/>
      <c r="CI2" s="146"/>
      <c r="CJ2" s="146"/>
    </row>
    <row r="3" spans="1:161" ht="15" customHeight="1" x14ac:dyDescent="0.2">
      <c r="A3" s="2694" t="s">
        <v>867</v>
      </c>
      <c r="B3" s="2694"/>
      <c r="C3" s="2694"/>
      <c r="D3" s="2694"/>
      <c r="E3" s="2694"/>
      <c r="F3" s="2694"/>
      <c r="G3" s="2694"/>
      <c r="H3" s="2694"/>
      <c r="I3" s="2694"/>
      <c r="J3" s="112"/>
      <c r="K3" s="112"/>
      <c r="L3" s="4"/>
      <c r="M3" s="4"/>
      <c r="N3" s="4"/>
      <c r="Z3" s="146" t="s">
        <v>877</v>
      </c>
      <c r="BU3" s="146"/>
      <c r="BV3" s="146"/>
      <c r="BW3" s="146"/>
      <c r="BX3" s="146"/>
      <c r="BY3" s="147"/>
      <c r="BZ3" s="147"/>
      <c r="CA3" s="147"/>
      <c r="CB3" s="147"/>
      <c r="CE3" s="146"/>
      <c r="CF3" s="146"/>
      <c r="CG3" s="146"/>
      <c r="CH3" s="146"/>
      <c r="CI3" s="146"/>
      <c r="CJ3" s="146"/>
    </row>
    <row r="4" spans="1:161" ht="12" customHeight="1" x14ac:dyDescent="0.2">
      <c r="A4" s="4"/>
      <c r="B4" s="4"/>
      <c r="C4" s="4"/>
      <c r="D4" s="4"/>
      <c r="E4" s="4"/>
      <c r="F4" s="4"/>
      <c r="G4" s="4"/>
      <c r="H4" s="4"/>
      <c r="I4" s="4"/>
      <c r="J4" s="8"/>
      <c r="K4" s="8"/>
      <c r="L4" s="4"/>
      <c r="M4" s="4"/>
      <c r="N4" s="4"/>
      <c r="S4" s="146" t="s">
        <v>402</v>
      </c>
      <c r="BU4" s="146"/>
      <c r="BV4" s="146"/>
      <c r="BW4" s="146"/>
      <c r="BX4" s="146"/>
      <c r="BY4" s="147"/>
      <c r="BZ4" s="147"/>
      <c r="CA4" s="147"/>
      <c r="CB4" s="147"/>
      <c r="CE4" s="146"/>
      <c r="CF4" s="146"/>
      <c r="CG4" s="146"/>
      <c r="CH4" s="146"/>
      <c r="CI4" s="146"/>
      <c r="CJ4" s="146"/>
    </row>
    <row r="5" spans="1:161" ht="20.25" customHeight="1" x14ac:dyDescent="0.2">
      <c r="A5" s="9" t="s">
        <v>779</v>
      </c>
      <c r="B5" s="2088"/>
      <c r="C5" s="439"/>
      <c r="D5" s="10" t="s">
        <v>17</v>
      </c>
      <c r="E5" s="63">
        <v>2024</v>
      </c>
      <c r="F5" s="11"/>
      <c r="G5" s="1504"/>
      <c r="H5" s="873" t="s">
        <v>298</v>
      </c>
      <c r="I5" s="874"/>
      <c r="J5" s="874"/>
      <c r="K5" s="874"/>
      <c r="L5" s="874"/>
      <c r="M5" s="874"/>
      <c r="N5" s="4"/>
      <c r="P5" s="146" t="s">
        <v>631</v>
      </c>
      <c r="S5" s="247">
        <f>+B5</f>
        <v>0</v>
      </c>
      <c r="T5" s="146" t="str">
        <f>LEFT(S5,3)</f>
        <v>0</v>
      </c>
      <c r="U5" s="146">
        <f>IF(T5=Niederschläge!A2:A97,Niederschläge!D2:D97,0)</f>
        <v>0</v>
      </c>
      <c r="W5" s="640">
        <v>2018</v>
      </c>
      <c r="X5" s="640">
        <v>3</v>
      </c>
      <c r="Z5" s="377">
        <f>IF(G5=0,0.000001,G5)</f>
        <v>9.9999999999999995E-7</v>
      </c>
      <c r="BU5" s="146"/>
      <c r="BV5" s="146"/>
      <c r="BW5" s="146"/>
      <c r="BX5" s="146"/>
      <c r="BY5" s="147"/>
      <c r="BZ5" s="147"/>
      <c r="CA5" s="147"/>
      <c r="CB5" s="147"/>
      <c r="CE5" s="146"/>
      <c r="CF5" s="146"/>
      <c r="CG5" s="146"/>
      <c r="CH5" s="146"/>
      <c r="CI5" s="146"/>
      <c r="CJ5" s="146"/>
    </row>
    <row r="6" spans="1:161" ht="20.25" customHeight="1" x14ac:dyDescent="0.2">
      <c r="A6" s="9" t="s">
        <v>13</v>
      </c>
      <c r="B6" s="2691"/>
      <c r="C6" s="2692"/>
      <c r="D6" s="2693"/>
      <c r="E6" s="2693"/>
      <c r="F6" s="74"/>
      <c r="G6" s="1504"/>
      <c r="H6" s="873" t="s">
        <v>22</v>
      </c>
      <c r="I6" s="874"/>
      <c r="J6" s="874"/>
      <c r="K6" s="874"/>
      <c r="L6" s="874"/>
      <c r="M6" s="874"/>
      <c r="N6" s="4"/>
      <c r="P6" s="146">
        <f>+Z5-H7-H8-H10-H11</f>
        <v>9.9999999999999995E-7</v>
      </c>
      <c r="Q6" s="146" t="s">
        <v>294</v>
      </c>
      <c r="W6" s="640">
        <v>2019</v>
      </c>
      <c r="X6" s="640"/>
      <c r="BU6" s="146"/>
      <c r="BV6" s="146"/>
      <c r="BW6" s="146"/>
      <c r="BX6" s="146"/>
      <c r="BY6" s="147"/>
      <c r="BZ6" s="147"/>
      <c r="CA6" s="147"/>
      <c r="CB6" s="147"/>
      <c r="CE6" s="146"/>
      <c r="CF6" s="146"/>
      <c r="CG6" s="146"/>
      <c r="CH6" s="146"/>
      <c r="CI6" s="146"/>
      <c r="CJ6" s="146"/>
    </row>
    <row r="7" spans="1:161" ht="20.25" customHeight="1" x14ac:dyDescent="0.2">
      <c r="A7" s="6" t="s">
        <v>8742</v>
      </c>
      <c r="B7" s="2838"/>
      <c r="C7" s="2839"/>
      <c r="D7" s="2840"/>
      <c r="E7" s="2840"/>
      <c r="F7" s="74"/>
      <c r="G7" s="874"/>
      <c r="H7" s="1504"/>
      <c r="I7" s="875" t="s">
        <v>650</v>
      </c>
      <c r="J7" s="874"/>
      <c r="K7" s="874"/>
      <c r="L7" s="874"/>
      <c r="M7" s="874"/>
      <c r="N7" s="4"/>
      <c r="P7" s="146">
        <f>((G45+AE339+AG339)*-1)*1000</f>
        <v>0</v>
      </c>
      <c r="Q7" s="807" t="s">
        <v>8262</v>
      </c>
      <c r="W7" s="640">
        <v>2020</v>
      </c>
      <c r="X7" s="640"/>
      <c r="BU7" s="146"/>
      <c r="BV7" s="146"/>
      <c r="BW7" s="146"/>
      <c r="BX7" s="146"/>
      <c r="BY7" s="147"/>
      <c r="BZ7" s="147"/>
      <c r="CA7" s="147"/>
      <c r="CB7" s="147"/>
      <c r="CE7" s="146"/>
      <c r="CF7" s="146"/>
      <c r="CG7" s="146"/>
      <c r="CH7" s="146"/>
      <c r="CI7" s="146"/>
      <c r="CJ7" s="146"/>
    </row>
    <row r="8" spans="1:161" ht="20.25" customHeight="1" x14ac:dyDescent="0.2">
      <c r="A8" s="9" t="s">
        <v>14</v>
      </c>
      <c r="B8" s="2678"/>
      <c r="C8" s="2683"/>
      <c r="D8" s="2684"/>
      <c r="E8" s="2684"/>
      <c r="F8" s="74"/>
      <c r="G8" s="874"/>
      <c r="H8" s="1505"/>
      <c r="I8" s="873" t="s">
        <v>651</v>
      </c>
      <c r="J8" s="874"/>
      <c r="K8" s="874"/>
      <c r="L8" s="874"/>
      <c r="M8" s="874"/>
      <c r="N8" s="4"/>
      <c r="P8" s="371">
        <f>IF(P6=0,P7/0.01,P7/P6)</f>
        <v>0</v>
      </c>
      <c r="Q8" s="146" t="s">
        <v>632</v>
      </c>
      <c r="BU8" s="146"/>
      <c r="BV8" s="146"/>
      <c r="BW8" s="146"/>
      <c r="BX8" s="146"/>
      <c r="BY8" s="147"/>
      <c r="BZ8" s="147"/>
      <c r="CA8" s="147"/>
      <c r="CB8" s="147"/>
      <c r="CE8" s="146"/>
      <c r="CF8" s="146"/>
      <c r="CG8" s="146"/>
      <c r="CH8" s="146"/>
      <c r="CI8" s="146"/>
      <c r="CJ8" s="146"/>
    </row>
    <row r="9" spans="1:161" ht="20.25" customHeight="1" x14ac:dyDescent="0.2">
      <c r="A9" s="9" t="s">
        <v>15</v>
      </c>
      <c r="B9" s="2678"/>
      <c r="C9" s="2678"/>
      <c r="D9" s="2678"/>
      <c r="E9" s="2678"/>
      <c r="F9" s="74"/>
      <c r="G9" s="1504"/>
      <c r="H9" s="873" t="s">
        <v>23</v>
      </c>
      <c r="I9" s="874"/>
      <c r="J9" s="874"/>
      <c r="K9" s="874"/>
      <c r="L9" s="874"/>
      <c r="M9" s="874"/>
      <c r="N9" s="4"/>
      <c r="Z9" s="377">
        <f>IF(AND(G9=0,Z5=0.000001,G6=0),0.000001,G9)</f>
        <v>9.9999999999999995E-7</v>
      </c>
      <c r="BU9" s="146"/>
      <c r="BV9" s="146"/>
      <c r="BW9" s="146"/>
      <c r="BX9" s="146"/>
      <c r="BY9" s="147"/>
      <c r="BZ9" s="147"/>
      <c r="CA9" s="147"/>
      <c r="CB9" s="147"/>
      <c r="CE9" s="146"/>
      <c r="CF9" s="146"/>
      <c r="CG9" s="146"/>
      <c r="CH9" s="146"/>
      <c r="CI9" s="146"/>
      <c r="CJ9" s="146"/>
    </row>
    <row r="10" spans="1:161" ht="18.75" customHeight="1" x14ac:dyDescent="0.2">
      <c r="A10" s="9" t="s">
        <v>16</v>
      </c>
      <c r="B10" s="2678"/>
      <c r="C10" s="2678"/>
      <c r="D10" s="2678"/>
      <c r="E10" s="2678"/>
      <c r="F10" s="74"/>
      <c r="G10" s="874"/>
      <c r="H10" s="1504"/>
      <c r="I10" s="875" t="s">
        <v>650</v>
      </c>
      <c r="J10" s="874"/>
      <c r="K10" s="874"/>
      <c r="L10" s="874"/>
      <c r="M10" s="874"/>
      <c r="N10" s="4"/>
      <c r="BU10" s="146"/>
      <c r="BV10" s="146"/>
      <c r="BW10" s="146"/>
      <c r="BX10" s="146"/>
      <c r="BY10" s="147"/>
      <c r="BZ10" s="147"/>
      <c r="CA10" s="147"/>
      <c r="CB10" s="147"/>
      <c r="CE10" s="146"/>
      <c r="CF10" s="146"/>
      <c r="CG10" s="146"/>
      <c r="CH10" s="146"/>
      <c r="CI10" s="146"/>
      <c r="CJ10" s="146"/>
    </row>
    <row r="11" spans="1:161" ht="18.75" customHeight="1" x14ac:dyDescent="0.2">
      <c r="A11" s="117"/>
      <c r="B11" s="137" t="str">
        <f>IF(BM88=2,IF(B12&lt;3000,"Milchleistung nicht plausibel"," ")," ")</f>
        <v xml:space="preserve"> </v>
      </c>
      <c r="C11" s="137"/>
      <c r="D11" s="136"/>
      <c r="E11" s="136"/>
      <c r="F11" s="136"/>
      <c r="G11" s="874"/>
      <c r="H11" s="1505"/>
      <c r="I11" s="873" t="s">
        <v>651</v>
      </c>
      <c r="J11" s="874"/>
      <c r="K11" s="874"/>
      <c r="L11" s="874"/>
      <c r="M11" s="874"/>
      <c r="N11" s="4"/>
      <c r="U11" s="146" t="s">
        <v>197</v>
      </c>
      <c r="BU11" s="146"/>
      <c r="BV11" s="146"/>
      <c r="BW11" s="146"/>
      <c r="BX11" s="146"/>
      <c r="BY11" s="147"/>
      <c r="BZ11" s="147"/>
      <c r="CA11" s="147"/>
      <c r="CB11" s="147"/>
      <c r="CE11" s="146"/>
      <c r="CF11" s="146"/>
      <c r="CG11" s="146"/>
      <c r="CH11" s="146"/>
      <c r="CI11" s="146"/>
      <c r="CJ11" s="146"/>
    </row>
    <row r="12" spans="1:161" ht="20.25" customHeight="1" thickBot="1" x14ac:dyDescent="0.25">
      <c r="A12" s="9" t="s">
        <v>18</v>
      </c>
      <c r="B12" s="1506"/>
      <c r="C12" s="4" t="s">
        <v>19</v>
      </c>
      <c r="D12" s="4"/>
      <c r="E12" s="4"/>
      <c r="F12" s="117"/>
      <c r="G12" s="1504"/>
      <c r="H12" s="2679" t="s">
        <v>290</v>
      </c>
      <c r="I12" s="2680"/>
      <c r="J12" s="2680"/>
      <c r="K12" s="2680"/>
      <c r="L12" s="2680"/>
      <c r="M12" s="2680"/>
      <c r="N12" s="4"/>
      <c r="BU12" s="146"/>
      <c r="BV12" s="146"/>
      <c r="BW12" s="146"/>
      <c r="BX12" s="146"/>
      <c r="BY12" s="147"/>
      <c r="BZ12" s="147"/>
      <c r="CA12" s="147"/>
      <c r="CB12" s="147"/>
      <c r="CE12" s="146"/>
      <c r="CF12" s="146"/>
      <c r="CG12" s="146"/>
      <c r="CH12" s="146"/>
      <c r="CI12" s="146"/>
      <c r="CJ12" s="146"/>
    </row>
    <row r="13" spans="1:161" ht="20.25" customHeight="1" thickBot="1" x14ac:dyDescent="0.25">
      <c r="A13" s="9" t="s">
        <v>24</v>
      </c>
      <c r="B13" s="1507"/>
      <c r="C13" s="251">
        <f>IF(B13&gt;0,B13,+Niederschläge!L98)</f>
        <v>0</v>
      </c>
      <c r="D13" s="248" t="s">
        <v>883</v>
      </c>
      <c r="E13" s="248"/>
      <c r="F13" s="4"/>
      <c r="G13" s="15"/>
      <c r="I13" s="2695" t="s">
        <v>884</v>
      </c>
      <c r="J13" s="2695"/>
      <c r="K13" s="2695"/>
      <c r="L13" s="2695"/>
      <c r="M13" s="2695"/>
      <c r="N13" s="4"/>
      <c r="Q13" s="148" t="s">
        <v>263</v>
      </c>
      <c r="W13" s="149">
        <f>IF(Z13=1,0,100)</f>
        <v>0</v>
      </c>
      <c r="Z13" s="146">
        <v>1</v>
      </c>
      <c r="AA13" s="150" t="s">
        <v>284</v>
      </c>
      <c r="BG13" s="151">
        <f>IF(Z5=0,0,+(Z9-H11)/(Z5-H8-H11))</f>
        <v>1</v>
      </c>
      <c r="BH13" s="151"/>
      <c r="BI13" s="151"/>
      <c r="BJ13" s="146" t="s">
        <v>25</v>
      </c>
      <c r="BU13" s="146"/>
      <c r="BV13" s="146"/>
      <c r="BW13" s="146"/>
      <c r="BX13" s="146"/>
      <c r="BY13" s="147"/>
      <c r="BZ13" s="147"/>
      <c r="CA13" s="147"/>
      <c r="CB13" s="147"/>
      <c r="CE13" s="146"/>
      <c r="CF13" s="146"/>
      <c r="CG13" s="146"/>
      <c r="CH13" s="146"/>
      <c r="CI13" s="146"/>
      <c r="CJ13" s="146"/>
    </row>
    <row r="14" spans="1:161" ht="6" customHeight="1" x14ac:dyDescent="0.2">
      <c r="A14" s="92"/>
      <c r="B14" s="92"/>
      <c r="C14" s="92"/>
      <c r="D14" s="92"/>
      <c r="E14" s="92"/>
      <c r="F14" s="92"/>
      <c r="G14" s="4"/>
      <c r="H14" s="4"/>
      <c r="I14" s="4"/>
      <c r="J14" s="4"/>
      <c r="K14" s="4"/>
      <c r="L14" s="4"/>
      <c r="M14" s="4"/>
      <c r="N14" s="4"/>
      <c r="AA14" s="150" t="s">
        <v>283</v>
      </c>
      <c r="BU14" s="146"/>
      <c r="BV14" s="146"/>
      <c r="BW14" s="146"/>
      <c r="BX14" s="146"/>
      <c r="BY14" s="147"/>
      <c r="BZ14" s="147"/>
      <c r="CA14" s="147"/>
      <c r="CB14" s="147"/>
      <c r="CE14" s="146"/>
      <c r="CF14" s="146"/>
      <c r="CG14" s="146"/>
      <c r="CH14" s="146"/>
      <c r="CI14" s="146"/>
      <c r="CJ14" s="146"/>
    </row>
    <row r="15" spans="1:161" ht="17.25" customHeight="1" thickBot="1" x14ac:dyDescent="0.25">
      <c r="A15" s="252"/>
      <c r="B15" s="92"/>
      <c r="C15" s="106"/>
      <c r="D15" s="92"/>
      <c r="E15" s="92"/>
      <c r="F15" s="92"/>
      <c r="G15" s="376" t="str">
        <f>IF(G6+Z9&lt;&gt;Z5,"Flächenangaben nicht plausibel",IF(H8+H7&gt;G6,"Flächenangaben nicht plausibel",IF(H10+H11&gt;Z9,"Flächenangaben nicht plausibel"," ")))</f>
        <v xml:space="preserve"> </v>
      </c>
      <c r="H15" s="92"/>
      <c r="I15" s="92"/>
      <c r="J15" s="92"/>
      <c r="K15" s="92"/>
      <c r="L15" s="92"/>
      <c r="M15" s="92"/>
      <c r="N15" s="4"/>
      <c r="BU15" s="146"/>
      <c r="BV15" s="146"/>
      <c r="BW15" s="146"/>
      <c r="BX15" s="146"/>
      <c r="BY15" s="147"/>
      <c r="BZ15" s="147"/>
      <c r="CA15" s="147"/>
      <c r="CB15" s="147"/>
      <c r="CE15" s="146"/>
      <c r="CF15" s="146"/>
      <c r="CG15" s="146"/>
      <c r="CH15" s="146"/>
      <c r="CI15" s="146"/>
      <c r="CJ15" s="146"/>
    </row>
    <row r="16" spans="1:161" ht="16.5" customHeight="1" thickBot="1" x14ac:dyDescent="0.25">
      <c r="A16" s="1211" t="s">
        <v>778</v>
      </c>
      <c r="B16" s="1212"/>
      <c r="C16" s="1212"/>
      <c r="D16" s="1212"/>
      <c r="E16" s="1212"/>
      <c r="F16" s="1212"/>
      <c r="G16" s="1212"/>
      <c r="H16" s="1212"/>
      <c r="I16" s="1212"/>
      <c r="J16" s="1212"/>
      <c r="K16" s="1212"/>
      <c r="L16" s="1212"/>
      <c r="M16" s="1213"/>
      <c r="N16" s="4"/>
      <c r="BU16" s="146"/>
      <c r="BV16" s="146"/>
      <c r="BW16" s="146"/>
      <c r="BX16" s="146"/>
      <c r="BY16" s="147"/>
      <c r="BZ16" s="147"/>
      <c r="CA16" s="147"/>
      <c r="CB16" s="147"/>
      <c r="CE16" s="146"/>
      <c r="CF16" s="146"/>
      <c r="CG16" s="146"/>
      <c r="CH16" s="146"/>
      <c r="CI16" s="146"/>
      <c r="CJ16" s="146"/>
    </row>
    <row r="17" spans="1:128" ht="12.75" customHeight="1" x14ac:dyDescent="0.2">
      <c r="A17" s="252"/>
      <c r="B17" s="106"/>
      <c r="C17" s="106"/>
      <c r="D17" s="92"/>
      <c r="E17" s="92"/>
      <c r="F17" s="92"/>
      <c r="G17" s="92"/>
      <c r="H17" s="92"/>
      <c r="I17" s="92"/>
      <c r="J17" s="92"/>
      <c r="K17" s="92"/>
      <c r="L17" s="92"/>
      <c r="M17" s="92"/>
      <c r="N17" s="4"/>
      <c r="BU17" s="146"/>
      <c r="BV17" s="146"/>
      <c r="BW17" s="146"/>
      <c r="BX17" s="146"/>
      <c r="BY17" s="147"/>
      <c r="BZ17" s="147"/>
      <c r="CA17" s="147"/>
      <c r="CB17" s="147"/>
      <c r="CE17" s="146"/>
      <c r="CF17" s="146"/>
      <c r="CG17" s="146"/>
      <c r="CH17" s="146"/>
      <c r="CI17" s="146"/>
      <c r="CJ17" s="146"/>
    </row>
    <row r="18" spans="1:128" ht="12" customHeight="1" x14ac:dyDescent="0.2">
      <c r="A18" s="106"/>
      <c r="B18" s="92"/>
      <c r="C18" s="92"/>
      <c r="D18" s="92"/>
      <c r="E18" s="92"/>
      <c r="F18" s="92"/>
      <c r="G18" s="92"/>
      <c r="H18" s="92"/>
      <c r="I18" s="92"/>
      <c r="J18" s="92"/>
      <c r="K18" s="92"/>
      <c r="L18" s="92"/>
      <c r="M18" s="92"/>
      <c r="N18" s="4"/>
      <c r="BU18" s="146"/>
      <c r="BV18" s="146"/>
      <c r="BW18" s="146"/>
      <c r="BX18" s="146"/>
      <c r="BY18" s="147"/>
      <c r="BZ18" s="147"/>
      <c r="CA18" s="147"/>
      <c r="CB18" s="147"/>
      <c r="CE18" s="146"/>
      <c r="CF18" s="146"/>
      <c r="CG18" s="146"/>
      <c r="CH18" s="146"/>
      <c r="CI18" s="146"/>
      <c r="CJ18" s="146"/>
    </row>
    <row r="19" spans="1:128" ht="12" customHeight="1" x14ac:dyDescent="0.2">
      <c r="A19" s="106"/>
      <c r="B19" s="92"/>
      <c r="C19" s="92"/>
      <c r="D19" s="92"/>
      <c r="E19" s="92"/>
      <c r="F19" s="92"/>
      <c r="G19" s="92"/>
      <c r="H19" s="92"/>
      <c r="I19" s="92"/>
      <c r="J19" s="92"/>
      <c r="K19" s="92"/>
      <c r="L19" s="92"/>
      <c r="M19" s="92"/>
      <c r="N19" s="4"/>
      <c r="T19" s="263"/>
      <c r="U19" s="263"/>
      <c r="BU19" s="146"/>
      <c r="BV19" s="146"/>
      <c r="BW19" s="146"/>
      <c r="BX19" s="146"/>
      <c r="BY19" s="147"/>
      <c r="BZ19" s="147"/>
      <c r="CA19" s="147"/>
      <c r="CB19" s="147"/>
      <c r="CE19" s="146"/>
      <c r="CF19" s="146"/>
      <c r="CG19" s="146"/>
      <c r="CH19" s="146"/>
      <c r="CI19" s="146"/>
      <c r="CJ19" s="146"/>
    </row>
    <row r="20" spans="1:128" ht="12" customHeight="1" x14ac:dyDescent="0.2">
      <c r="A20" s="106"/>
      <c r="B20" s="92"/>
      <c r="C20" s="92"/>
      <c r="D20" s="92"/>
      <c r="E20" s="92"/>
      <c r="F20" s="92"/>
      <c r="G20" s="92"/>
      <c r="H20" s="92"/>
      <c r="I20" s="92"/>
      <c r="J20" s="92"/>
      <c r="K20" s="92"/>
      <c r="L20" s="92"/>
      <c r="M20" s="92"/>
      <c r="N20" s="4"/>
      <c r="T20" s="263"/>
      <c r="U20" s="263"/>
      <c r="BU20" s="146"/>
      <c r="BV20" s="146"/>
      <c r="BW20" s="146"/>
      <c r="BX20" s="146"/>
      <c r="BY20" s="147"/>
      <c r="BZ20" s="147"/>
      <c r="CA20" s="147"/>
      <c r="CB20" s="147"/>
      <c r="CE20" s="146"/>
      <c r="CF20" s="146"/>
      <c r="CG20" s="146"/>
      <c r="CH20" s="146"/>
      <c r="CI20" s="146"/>
      <c r="CJ20" s="146"/>
    </row>
    <row r="21" spans="1:128" ht="12" customHeight="1" x14ac:dyDescent="0.2">
      <c r="A21" s="106"/>
      <c r="B21" s="92"/>
      <c r="C21" s="1214"/>
      <c r="D21" s="1214"/>
      <c r="E21" s="1214"/>
      <c r="F21" s="1214"/>
      <c r="G21" s="92"/>
      <c r="H21" s="92"/>
      <c r="I21" s="92"/>
      <c r="J21" s="92"/>
      <c r="K21" s="92"/>
      <c r="L21" s="92"/>
      <c r="M21" s="92"/>
      <c r="N21" s="4"/>
      <c r="T21" s="263"/>
      <c r="BU21" s="146"/>
      <c r="BV21" s="146"/>
      <c r="BW21" s="146"/>
      <c r="BX21" s="146"/>
      <c r="BY21" s="147"/>
      <c r="BZ21" s="147"/>
      <c r="CA21" s="147"/>
      <c r="CB21" s="147"/>
      <c r="CE21" s="146"/>
      <c r="CF21" s="146"/>
      <c r="CG21" s="146"/>
      <c r="CH21" s="146"/>
      <c r="CI21" s="146"/>
      <c r="CJ21" s="146"/>
    </row>
    <row r="22" spans="1:128" ht="12" customHeight="1" x14ac:dyDescent="0.2">
      <c r="A22" s="106"/>
      <c r="B22" s="92"/>
      <c r="C22" s="1214"/>
      <c r="D22" s="440" t="s">
        <v>420</v>
      </c>
      <c r="E22" s="1400">
        <f>+F41</f>
        <v>0</v>
      </c>
      <c r="F22" s="1215" t="s">
        <v>744</v>
      </c>
      <c r="G22" s="92"/>
      <c r="H22" s="92"/>
      <c r="I22" s="92"/>
      <c r="J22" s="92"/>
      <c r="K22" s="92"/>
      <c r="L22" s="92"/>
      <c r="M22" s="92"/>
      <c r="N22" s="4"/>
      <c r="T22" s="263"/>
      <c r="BU22" s="146"/>
      <c r="BV22" s="146"/>
      <c r="BW22" s="146"/>
      <c r="BX22" s="146"/>
      <c r="BY22" s="147"/>
      <c r="BZ22" s="147"/>
      <c r="CA22" s="147"/>
      <c r="CB22" s="147"/>
      <c r="CE22" s="146"/>
      <c r="CF22" s="146"/>
      <c r="CG22" s="146"/>
      <c r="CH22" s="146"/>
      <c r="CI22" s="146"/>
      <c r="CJ22" s="146"/>
    </row>
    <row r="23" spans="1:128" ht="12" customHeight="1" x14ac:dyDescent="0.2">
      <c r="A23" s="106"/>
      <c r="B23" s="92"/>
      <c r="C23" s="1214"/>
      <c r="D23" s="440" t="s">
        <v>421</v>
      </c>
      <c r="E23" s="2105">
        <f>IF(F41=0,0,J41/F41*100)</f>
        <v>0</v>
      </c>
      <c r="F23" s="1215" t="s">
        <v>2</v>
      </c>
      <c r="G23" s="92"/>
      <c r="H23" s="92"/>
      <c r="I23" s="92"/>
      <c r="J23" s="92"/>
      <c r="K23" s="92"/>
      <c r="L23" s="92"/>
      <c r="M23" s="92"/>
      <c r="N23" s="4"/>
      <c r="P23" s="146" t="s">
        <v>197</v>
      </c>
      <c r="T23" s="263"/>
      <c r="BU23" s="146"/>
      <c r="BV23" s="146"/>
      <c r="BW23" s="146"/>
      <c r="BX23" s="146"/>
      <c r="BY23" s="147"/>
      <c r="BZ23" s="147"/>
      <c r="CA23" s="147"/>
      <c r="CB23" s="147"/>
      <c r="CE23" s="146"/>
      <c r="CF23" s="146"/>
      <c r="CG23" s="146"/>
      <c r="CH23" s="146"/>
      <c r="CI23" s="146"/>
      <c r="CJ23" s="146"/>
    </row>
    <row r="24" spans="1:128" ht="12" customHeight="1" x14ac:dyDescent="0.2">
      <c r="A24" s="106"/>
      <c r="B24" s="92"/>
      <c r="C24" s="1214"/>
      <c r="D24" s="440" t="s">
        <v>422</v>
      </c>
      <c r="E24" s="2105">
        <f>IF(F41=0,0,G41/F41*1000)</f>
        <v>0</v>
      </c>
      <c r="F24" s="2700" t="s">
        <v>745</v>
      </c>
      <c r="G24" s="92"/>
      <c r="H24" s="92"/>
      <c r="I24" s="92"/>
      <c r="J24" s="92"/>
      <c r="K24" s="92"/>
      <c r="L24" s="92"/>
      <c r="M24" s="92"/>
      <c r="N24" s="4"/>
      <c r="T24" s="263"/>
      <c r="BU24" s="146"/>
      <c r="BV24" s="146"/>
      <c r="BW24" s="146"/>
      <c r="BX24" s="146"/>
      <c r="BY24" s="147"/>
      <c r="BZ24" s="147"/>
      <c r="CA24" s="147"/>
      <c r="CB24" s="147"/>
      <c r="CE24" s="146"/>
      <c r="CF24" s="146"/>
      <c r="CG24" s="146"/>
      <c r="CH24" s="146"/>
      <c r="CI24" s="146"/>
      <c r="CJ24" s="146"/>
    </row>
    <row r="25" spans="1:128" ht="12" customHeight="1" x14ac:dyDescent="0.2">
      <c r="A25" s="106"/>
      <c r="B25" s="92"/>
      <c r="C25" s="1214"/>
      <c r="D25" s="440" t="s">
        <v>720</v>
      </c>
      <c r="E25" s="2105">
        <f>+E24*U34</f>
        <v>0</v>
      </c>
      <c r="F25" s="2700"/>
      <c r="G25" s="92"/>
      <c r="H25" s="92"/>
      <c r="I25" s="92"/>
      <c r="J25" s="92"/>
      <c r="K25" s="92"/>
      <c r="L25" s="92"/>
      <c r="M25" s="92"/>
      <c r="N25" s="4"/>
      <c r="BU25" s="146"/>
      <c r="BV25" s="146"/>
      <c r="BW25" s="146"/>
      <c r="BX25" s="146"/>
      <c r="BY25" s="147"/>
      <c r="BZ25" s="147"/>
      <c r="CA25" s="147"/>
      <c r="CB25" s="147"/>
      <c r="CE25" s="146"/>
      <c r="CF25" s="146"/>
      <c r="CG25" s="146"/>
      <c r="CH25" s="146"/>
      <c r="CI25" s="146"/>
      <c r="CJ25" s="146"/>
    </row>
    <row r="26" spans="1:128" ht="12" customHeight="1" x14ac:dyDescent="0.2">
      <c r="A26" s="106"/>
      <c r="B26" s="92"/>
      <c r="C26" s="1214"/>
      <c r="D26" s="440" t="s">
        <v>721</v>
      </c>
      <c r="E26" s="2105">
        <f>IF(F41=0,0,H41/F41*1000)</f>
        <v>0</v>
      </c>
      <c r="F26" s="2700"/>
      <c r="G26" s="92"/>
      <c r="H26" s="92"/>
      <c r="I26" s="92"/>
      <c r="J26" s="92"/>
      <c r="K26" s="92"/>
      <c r="L26" s="92"/>
      <c r="M26" s="92"/>
      <c r="N26" s="4"/>
      <c r="BU26" s="146"/>
      <c r="BV26" s="146"/>
      <c r="BW26" s="146"/>
      <c r="BX26" s="146"/>
      <c r="BY26" s="147"/>
      <c r="BZ26" s="147"/>
      <c r="CA26" s="147"/>
      <c r="CB26" s="147"/>
      <c r="CE26" s="146"/>
      <c r="CF26" s="146"/>
      <c r="CG26" s="146"/>
      <c r="CH26" s="146"/>
      <c r="CI26" s="146"/>
      <c r="CJ26" s="146"/>
    </row>
    <row r="27" spans="1:128" ht="12" customHeight="1" x14ac:dyDescent="0.2">
      <c r="A27" s="106"/>
      <c r="B27" s="92"/>
      <c r="C27" s="1214"/>
      <c r="D27" s="440" t="s">
        <v>722</v>
      </c>
      <c r="E27" s="2105">
        <f>IF(F41=0,0,I41/F41*1000)</f>
        <v>0</v>
      </c>
      <c r="F27" s="2700"/>
      <c r="G27" s="92"/>
      <c r="H27" s="92"/>
      <c r="I27" s="92"/>
      <c r="J27" s="92"/>
      <c r="K27" s="92"/>
      <c r="L27" s="92"/>
      <c r="M27" s="92"/>
      <c r="N27" s="4"/>
      <c r="Q27" s="2104"/>
      <c r="BU27" s="146"/>
      <c r="BV27" s="146"/>
      <c r="BW27" s="146"/>
      <c r="BX27" s="146"/>
      <c r="BY27" s="147"/>
      <c r="BZ27" s="147"/>
      <c r="CA27" s="147"/>
      <c r="CB27" s="147"/>
      <c r="CE27" s="146"/>
      <c r="CF27" s="146"/>
      <c r="CG27" s="146"/>
      <c r="CH27" s="146"/>
      <c r="CI27" s="146"/>
      <c r="CJ27" s="146"/>
    </row>
    <row r="28" spans="1:128" ht="9" customHeight="1" x14ac:dyDescent="0.2">
      <c r="A28" s="106"/>
      <c r="B28" s="92"/>
      <c r="C28" s="92"/>
      <c r="D28" s="92"/>
      <c r="E28" s="92"/>
      <c r="F28" s="92"/>
      <c r="G28" s="92"/>
      <c r="H28" s="92"/>
      <c r="I28" s="92"/>
      <c r="J28" s="92"/>
      <c r="K28" s="92"/>
      <c r="L28" s="92"/>
      <c r="M28" s="92"/>
      <c r="N28" s="4"/>
      <c r="BU28" s="146"/>
      <c r="BV28" s="146"/>
      <c r="BW28" s="146"/>
      <c r="BX28" s="146"/>
      <c r="BY28" s="147"/>
      <c r="BZ28" s="147"/>
      <c r="CA28" s="147"/>
      <c r="CB28" s="147"/>
      <c r="CE28" s="146"/>
      <c r="CF28" s="146"/>
      <c r="CG28" s="146"/>
      <c r="CH28" s="146"/>
      <c r="CI28" s="146"/>
      <c r="CJ28" s="146"/>
    </row>
    <row r="29" spans="1:128" ht="7.5" customHeight="1" x14ac:dyDescent="0.2">
      <c r="A29" s="252"/>
      <c r="B29" s="106"/>
      <c r="C29" s="106"/>
      <c r="D29" s="92"/>
      <c r="E29" s="92"/>
      <c r="F29" s="92"/>
      <c r="G29" s="92"/>
      <c r="H29" s="92"/>
      <c r="I29" s="92"/>
      <c r="J29" s="92"/>
      <c r="K29" s="92"/>
      <c r="L29" s="92"/>
      <c r="M29" s="92"/>
      <c r="N29" s="4"/>
      <c r="BU29" s="146"/>
      <c r="BV29" s="146"/>
      <c r="BW29" s="146"/>
      <c r="BX29" s="146"/>
      <c r="BY29" s="147"/>
      <c r="BZ29" s="147"/>
      <c r="CA29" s="147"/>
      <c r="CB29" s="147"/>
      <c r="CE29" s="146"/>
      <c r="CF29" s="146"/>
      <c r="CG29" s="146"/>
      <c r="CH29" s="146"/>
      <c r="CI29" s="146"/>
      <c r="CJ29" s="146"/>
    </row>
    <row r="30" spans="1:128" ht="3" customHeight="1" thickBot="1" x14ac:dyDescent="0.25">
      <c r="A30" s="252"/>
      <c r="B30" s="106"/>
      <c r="C30" s="106"/>
      <c r="D30" s="92"/>
      <c r="E30" s="92"/>
      <c r="F30" s="92"/>
      <c r="G30" s="92"/>
      <c r="H30" s="92"/>
      <c r="I30" s="92"/>
      <c r="J30" s="92"/>
      <c r="K30" s="92"/>
      <c r="L30" s="92"/>
      <c r="M30" s="92"/>
      <c r="N30" s="4"/>
      <c r="AD30" s="146">
        <v>3</v>
      </c>
      <c r="BU30" s="146"/>
      <c r="BV30" s="146"/>
      <c r="BW30" s="146"/>
      <c r="BX30" s="146"/>
      <c r="BY30" s="147"/>
      <c r="BZ30" s="147"/>
      <c r="CA30" s="147"/>
      <c r="CB30" s="147"/>
      <c r="CE30" s="146"/>
      <c r="CF30" s="146"/>
      <c r="CG30" s="146"/>
      <c r="CH30" s="146"/>
      <c r="CI30" s="146"/>
      <c r="CJ30" s="146"/>
    </row>
    <row r="31" spans="1:128" s="100" customFormat="1" ht="12.75" customHeight="1" x14ac:dyDescent="0.2">
      <c r="A31" s="1216"/>
      <c r="B31" s="540"/>
      <c r="C31" s="540"/>
      <c r="D31" s="1217"/>
      <c r="E31" s="1218"/>
      <c r="F31" s="1219" t="s">
        <v>275</v>
      </c>
      <c r="G31" s="2701" t="s">
        <v>415</v>
      </c>
      <c r="H31" s="2696"/>
      <c r="I31" s="2696"/>
      <c r="J31" s="2698" t="s">
        <v>276</v>
      </c>
      <c r="K31" s="2699"/>
      <c r="L31" s="2696" t="s">
        <v>277</v>
      </c>
      <c r="M31" s="2697"/>
      <c r="N31" s="441"/>
      <c r="P31" s="234"/>
      <c r="Q31" s="234"/>
      <c r="R31" s="234"/>
      <c r="S31" s="234"/>
      <c r="T31" s="234"/>
      <c r="U31" s="234"/>
      <c r="V31" s="234"/>
      <c r="W31" s="234"/>
      <c r="X31" s="234"/>
      <c r="Y31" s="234"/>
      <c r="Z31" s="234"/>
      <c r="AA31" s="234"/>
      <c r="AB31" s="234"/>
      <c r="AC31" s="234"/>
      <c r="AD31" s="234"/>
      <c r="AE31" s="234"/>
      <c r="AF31" s="234"/>
      <c r="AG31" s="234"/>
      <c r="AH31" s="234"/>
      <c r="AI31" s="234"/>
      <c r="AJ31" s="234"/>
      <c r="AK31" s="234"/>
      <c r="AL31" s="234"/>
      <c r="AM31" s="234"/>
      <c r="AN31" s="234"/>
      <c r="AO31" s="234"/>
      <c r="AP31" s="234"/>
      <c r="AQ31" s="234"/>
      <c r="AR31" s="234"/>
      <c r="AS31" s="234"/>
      <c r="AT31" s="234"/>
      <c r="AU31" s="234"/>
      <c r="AV31" s="234"/>
      <c r="AW31" s="234"/>
      <c r="AX31" s="234"/>
      <c r="AY31" s="234"/>
      <c r="AZ31" s="234"/>
      <c r="BA31" s="234"/>
      <c r="BB31" s="234"/>
      <c r="BC31" s="234"/>
      <c r="BD31" s="234"/>
      <c r="BE31" s="234"/>
      <c r="BF31" s="234"/>
      <c r="BG31" s="234"/>
      <c r="BH31" s="234"/>
      <c r="BI31" s="234"/>
      <c r="BJ31" s="234"/>
      <c r="BK31" s="234"/>
      <c r="BL31" s="234"/>
      <c r="BM31" s="234"/>
      <c r="BN31" s="234"/>
      <c r="BO31" s="234"/>
      <c r="BP31" s="234"/>
      <c r="BQ31" s="234"/>
      <c r="BR31" s="234"/>
      <c r="BS31" s="234"/>
      <c r="BT31" s="234"/>
      <c r="BU31" s="234"/>
      <c r="BV31" s="234"/>
      <c r="BW31" s="234"/>
      <c r="BX31" s="234"/>
      <c r="BY31" s="262"/>
      <c r="BZ31" s="262"/>
      <c r="CA31" s="262"/>
      <c r="CB31" s="262"/>
      <c r="CC31" s="234"/>
      <c r="CD31" s="234"/>
      <c r="CE31" s="234"/>
      <c r="CF31" s="234"/>
      <c r="CG31" s="234"/>
      <c r="CH31" s="234"/>
      <c r="CI31" s="234"/>
      <c r="CJ31" s="234"/>
      <c r="DX31" s="2172"/>
    </row>
    <row r="32" spans="1:128" s="259" customFormat="1" ht="15" customHeight="1" x14ac:dyDescent="0.2">
      <c r="A32" s="1220" t="s">
        <v>423</v>
      </c>
      <c r="B32" s="541"/>
      <c r="C32" s="541"/>
      <c r="D32" s="1221"/>
      <c r="E32" s="1222"/>
      <c r="F32" s="1223" t="s">
        <v>38</v>
      </c>
      <c r="G32" s="1224" t="s">
        <v>4</v>
      </c>
      <c r="H32" s="1225" t="s">
        <v>713</v>
      </c>
      <c r="I32" s="1144" t="s">
        <v>714</v>
      </c>
      <c r="J32" s="542"/>
      <c r="K32" s="543"/>
      <c r="L32" s="2702"/>
      <c r="M32" s="2703"/>
      <c r="N32" s="442"/>
      <c r="P32" s="260" t="s">
        <v>594</v>
      </c>
      <c r="Q32" s="260"/>
      <c r="R32" s="260"/>
      <c r="S32" s="260"/>
      <c r="T32" s="260" t="s">
        <v>692</v>
      </c>
      <c r="U32" s="260" t="s">
        <v>8214</v>
      </c>
      <c r="V32" s="260"/>
      <c r="W32" s="260"/>
      <c r="X32" s="260"/>
      <c r="Y32" s="260"/>
      <c r="Z32" s="260"/>
      <c r="AA32" s="260"/>
      <c r="AB32" s="260"/>
      <c r="AC32" s="260"/>
      <c r="AD32" s="260"/>
      <c r="AE32" s="260"/>
      <c r="AF32" s="260"/>
      <c r="AG32" s="260"/>
      <c r="AH32" s="260"/>
      <c r="AI32" s="260"/>
      <c r="AJ32" s="260"/>
      <c r="AK32" s="260"/>
      <c r="AL32" s="260"/>
      <c r="AM32" s="260"/>
      <c r="AN32" s="260"/>
      <c r="AO32" s="260"/>
      <c r="AP32" s="260"/>
      <c r="AQ32" s="260"/>
      <c r="AR32" s="260"/>
      <c r="AS32" s="260"/>
      <c r="AT32" s="260"/>
      <c r="AU32" s="260"/>
      <c r="AV32" s="260"/>
      <c r="AW32" s="260"/>
      <c r="AX32" s="260"/>
      <c r="AY32" s="260"/>
      <c r="AZ32" s="260"/>
      <c r="BA32" s="260"/>
      <c r="BB32" s="260"/>
      <c r="BC32" s="260"/>
      <c r="BD32" s="260"/>
      <c r="BE32" s="260"/>
      <c r="BF32" s="260"/>
      <c r="BG32" s="260"/>
      <c r="BH32" s="260"/>
      <c r="BI32" s="260"/>
      <c r="BJ32" s="260"/>
      <c r="BK32" s="260"/>
      <c r="BL32" s="260"/>
      <c r="BM32" s="260"/>
      <c r="BN32" s="260"/>
      <c r="BO32" s="260"/>
      <c r="BP32" s="260"/>
      <c r="BQ32" s="260"/>
      <c r="BR32" s="260"/>
      <c r="BS32" s="260"/>
      <c r="BT32" s="260"/>
      <c r="BU32" s="260"/>
      <c r="BV32" s="260"/>
      <c r="BW32" s="260"/>
      <c r="BX32" s="260"/>
      <c r="BY32" s="261"/>
      <c r="BZ32" s="261"/>
      <c r="CA32" s="261"/>
      <c r="CB32" s="261"/>
      <c r="CC32" s="260"/>
      <c r="CD32" s="260"/>
      <c r="CE32" s="260"/>
      <c r="CF32" s="260"/>
      <c r="CG32" s="260"/>
      <c r="CH32" s="260"/>
      <c r="CI32" s="260"/>
      <c r="CJ32" s="260"/>
      <c r="DX32" s="2171"/>
    </row>
    <row r="33" spans="1:128" s="259" customFormat="1" ht="15" customHeight="1" thickBot="1" x14ac:dyDescent="0.25">
      <c r="A33" s="1226"/>
      <c r="B33" s="544"/>
      <c r="C33" s="544"/>
      <c r="D33" s="1227"/>
      <c r="E33" s="1228"/>
      <c r="F33" s="545" t="s">
        <v>416</v>
      </c>
      <c r="G33" s="2706" t="s">
        <v>414</v>
      </c>
      <c r="H33" s="2707"/>
      <c r="I33" s="2707"/>
      <c r="J33" s="2707"/>
      <c r="K33" s="2707"/>
      <c r="L33" s="2707"/>
      <c r="M33" s="2708"/>
      <c r="N33" s="442"/>
      <c r="P33" s="260"/>
      <c r="Q33" s="260"/>
      <c r="R33" s="260"/>
      <c r="S33" s="260"/>
      <c r="T33" s="260"/>
      <c r="U33" s="260"/>
      <c r="V33" s="260"/>
      <c r="W33" s="260"/>
      <c r="X33" s="260"/>
      <c r="Y33" s="260"/>
      <c r="Z33" s="260"/>
      <c r="AA33" s="260"/>
      <c r="AB33" s="260"/>
      <c r="AC33" s="260"/>
      <c r="AD33" s="260"/>
      <c r="AE33" s="260"/>
      <c r="AF33" s="260"/>
      <c r="AG33" s="260"/>
      <c r="AH33" s="260"/>
      <c r="AI33" s="260"/>
      <c r="AJ33" s="260"/>
      <c r="AK33" s="260"/>
      <c r="AL33" s="260"/>
      <c r="AM33" s="260"/>
      <c r="AN33" s="260"/>
      <c r="AO33" s="260"/>
      <c r="AP33" s="260"/>
      <c r="AQ33" s="260"/>
      <c r="AR33" s="260"/>
      <c r="AS33" s="260"/>
      <c r="AT33" s="260"/>
      <c r="AU33" s="260"/>
      <c r="AV33" s="260"/>
      <c r="AW33" s="260"/>
      <c r="AX33" s="260"/>
      <c r="AY33" s="260"/>
      <c r="AZ33" s="260"/>
      <c r="BA33" s="260"/>
      <c r="BB33" s="260"/>
      <c r="BC33" s="260"/>
      <c r="BD33" s="260"/>
      <c r="BE33" s="260"/>
      <c r="BF33" s="260"/>
      <c r="BG33" s="260"/>
      <c r="BH33" s="260"/>
      <c r="BI33" s="260"/>
      <c r="BJ33" s="260"/>
      <c r="BK33" s="260"/>
      <c r="BL33" s="260"/>
      <c r="BM33" s="260"/>
      <c r="BN33" s="260"/>
      <c r="BO33" s="260"/>
      <c r="BP33" s="260"/>
      <c r="BQ33" s="260"/>
      <c r="BR33" s="260"/>
      <c r="BS33" s="260"/>
      <c r="BT33" s="260"/>
      <c r="BU33" s="260"/>
      <c r="BV33" s="260"/>
      <c r="BW33" s="260"/>
      <c r="BX33" s="260"/>
      <c r="BY33" s="261"/>
      <c r="BZ33" s="261"/>
      <c r="CA33" s="261"/>
      <c r="CB33" s="261"/>
      <c r="CC33" s="260"/>
      <c r="CD33" s="260"/>
      <c r="CE33" s="260"/>
      <c r="CF33" s="260"/>
      <c r="CG33" s="260"/>
      <c r="CH33" s="260"/>
      <c r="CI33" s="260"/>
      <c r="CJ33" s="260"/>
      <c r="DX33" s="2171"/>
    </row>
    <row r="34" spans="1:128" s="259" customFormat="1" ht="15" customHeight="1" x14ac:dyDescent="0.2">
      <c r="A34" s="475" t="s">
        <v>417</v>
      </c>
      <c r="B34" s="476"/>
      <c r="C34" s="476"/>
      <c r="D34" s="1229"/>
      <c r="E34" s="1229"/>
      <c r="F34" s="1368">
        <f>SUM(F35:F38)</f>
        <v>0</v>
      </c>
      <c r="G34" s="1369">
        <f>SUM(G35:G37)</f>
        <v>0</v>
      </c>
      <c r="H34" s="1370">
        <f>SUM(H35:H37)</f>
        <v>0</v>
      </c>
      <c r="I34" s="1370">
        <f>SUM(I35:I37)</f>
        <v>0</v>
      </c>
      <c r="J34" s="2685">
        <f>SUM(J35:K37)</f>
        <v>0</v>
      </c>
      <c r="K34" s="2685"/>
      <c r="L34" s="2687">
        <f>SUM(L35:M38)</f>
        <v>0</v>
      </c>
      <c r="M34" s="2688"/>
      <c r="N34" s="442"/>
      <c r="P34" s="260"/>
      <c r="Q34" s="260"/>
      <c r="R34" s="260"/>
      <c r="S34" s="260" t="s">
        <v>700</v>
      </c>
      <c r="T34" s="1854">
        <f>IF(G34=0,0,(T35*G35+T36*(G36+G37))/G34)</f>
        <v>0</v>
      </c>
      <c r="U34" s="260">
        <f>+T34+H179/100/2</f>
        <v>0</v>
      </c>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c r="AZ34" s="260"/>
      <c r="BA34" s="260"/>
      <c r="BB34" s="260"/>
      <c r="BC34" s="260"/>
      <c r="BD34" s="260"/>
      <c r="BE34" s="260"/>
      <c r="BF34" s="260"/>
      <c r="BG34" s="260"/>
      <c r="BH34" s="260"/>
      <c r="BI34" s="260"/>
      <c r="BJ34" s="260"/>
      <c r="BK34" s="260"/>
      <c r="BL34" s="260"/>
      <c r="BM34" s="260"/>
      <c r="BN34" s="260"/>
      <c r="BO34" s="260"/>
      <c r="BP34" s="260"/>
      <c r="BQ34" s="260"/>
      <c r="BR34" s="260"/>
      <c r="BS34" s="260"/>
      <c r="BT34" s="260"/>
      <c r="BU34" s="260"/>
      <c r="BV34" s="260"/>
      <c r="BW34" s="260"/>
      <c r="BX34" s="260"/>
      <c r="BY34" s="261"/>
      <c r="BZ34" s="261"/>
      <c r="CA34" s="261"/>
      <c r="CB34" s="261"/>
      <c r="CC34" s="260"/>
      <c r="CD34" s="260"/>
      <c r="CE34" s="260"/>
      <c r="CF34" s="260"/>
      <c r="CG34" s="260"/>
      <c r="CH34" s="260"/>
      <c r="CI34" s="260"/>
      <c r="CJ34" s="260"/>
      <c r="DX34" s="2171"/>
    </row>
    <row r="35" spans="1:128" s="94" customFormat="1" ht="10.5" customHeight="1" x14ac:dyDescent="0.2">
      <c r="A35" s="2704" t="s">
        <v>441</v>
      </c>
      <c r="B35" s="2705"/>
      <c r="C35" s="2705"/>
      <c r="D35" s="2705"/>
      <c r="E35" s="2705"/>
      <c r="F35" s="1371">
        <f>+J35+L35</f>
        <v>0</v>
      </c>
      <c r="G35" s="1372">
        <f>+DJ88/1000</f>
        <v>0</v>
      </c>
      <c r="H35" s="1373">
        <f>+DK88/1000</f>
        <v>0</v>
      </c>
      <c r="I35" s="1373">
        <f>+DL88/1000</f>
        <v>0</v>
      </c>
      <c r="J35" s="2686">
        <f>+EL88</f>
        <v>0</v>
      </c>
      <c r="K35" s="2686"/>
      <c r="L35" s="2643">
        <f>+EM88</f>
        <v>0</v>
      </c>
      <c r="M35" s="2644"/>
      <c r="N35" s="1"/>
      <c r="P35" s="370" t="e">
        <f>+J35/F35*100</f>
        <v>#DIV/0!</v>
      </c>
      <c r="Q35" s="155"/>
      <c r="R35" s="155"/>
      <c r="S35" s="155"/>
      <c r="T35" s="155">
        <f>+DP89/100</f>
        <v>0</v>
      </c>
      <c r="U35" s="155"/>
      <c r="V35" s="155"/>
      <c r="W35" s="155"/>
      <c r="X35" s="155"/>
      <c r="Y35" s="155"/>
      <c r="Z35" s="155"/>
      <c r="AA35" s="155"/>
      <c r="AB35" s="155"/>
      <c r="AC35" s="155"/>
      <c r="AD35" s="155"/>
      <c r="AE35" s="155"/>
      <c r="AF35" s="155"/>
      <c r="AG35" s="155"/>
      <c r="AH35" s="155"/>
      <c r="AI35" s="155"/>
      <c r="AJ35" s="155"/>
      <c r="AK35" s="155"/>
      <c r="AL35" s="155"/>
      <c r="AM35" s="155"/>
      <c r="AN35" s="155"/>
      <c r="AO35" s="155"/>
      <c r="AP35" s="155"/>
      <c r="AQ35" s="155"/>
      <c r="AR35" s="155"/>
      <c r="AS35" s="155"/>
      <c r="AT35" s="155"/>
      <c r="AU35" s="155"/>
      <c r="AV35" s="155"/>
      <c r="AW35" s="155"/>
      <c r="AX35" s="155"/>
      <c r="AY35" s="155"/>
      <c r="AZ35" s="155"/>
      <c r="BA35" s="155"/>
      <c r="BB35" s="155"/>
      <c r="BC35" s="155"/>
      <c r="BD35" s="155"/>
      <c r="BE35" s="155"/>
      <c r="BF35" s="155"/>
      <c r="BG35" s="155"/>
      <c r="BH35" s="155"/>
      <c r="BI35" s="155"/>
      <c r="BJ35" s="155"/>
      <c r="BK35" s="155"/>
      <c r="BL35" s="155"/>
      <c r="BM35" s="155"/>
      <c r="BN35" s="155"/>
      <c r="BO35" s="155"/>
      <c r="BP35" s="155"/>
      <c r="BQ35" s="155"/>
      <c r="BR35" s="155"/>
      <c r="BS35" s="155"/>
      <c r="BT35" s="155"/>
      <c r="BU35" s="155"/>
      <c r="BV35" s="155"/>
      <c r="BW35" s="155"/>
      <c r="BX35" s="155"/>
      <c r="BY35" s="156"/>
      <c r="BZ35" s="156"/>
      <c r="CA35" s="156"/>
      <c r="CB35" s="156"/>
      <c r="CC35" s="155"/>
      <c r="CD35" s="155"/>
      <c r="CE35" s="155"/>
      <c r="CF35" s="155"/>
      <c r="CG35" s="155"/>
      <c r="CH35" s="155"/>
      <c r="CI35" s="155"/>
      <c r="CJ35" s="155"/>
      <c r="DX35" s="2171"/>
    </row>
    <row r="36" spans="1:128" s="94" customFormat="1" ht="10.5" customHeight="1" x14ac:dyDescent="0.2">
      <c r="A36" s="1230" t="s">
        <v>1048</v>
      </c>
      <c r="B36" s="842"/>
      <c r="C36" s="842"/>
      <c r="D36" s="1231"/>
      <c r="E36" s="1231"/>
      <c r="F36" s="1371">
        <f>+J36+L36</f>
        <v>0</v>
      </c>
      <c r="G36" s="1372">
        <f>AS156</f>
        <v>0</v>
      </c>
      <c r="H36" s="1373">
        <f>AT156</f>
        <v>0</v>
      </c>
      <c r="I36" s="1373">
        <f>+AU156</f>
        <v>0</v>
      </c>
      <c r="J36" s="2686">
        <f>+AQ156</f>
        <v>0</v>
      </c>
      <c r="K36" s="2686"/>
      <c r="L36" s="2643">
        <f>+AR156</f>
        <v>0</v>
      </c>
      <c r="M36" s="2644"/>
      <c r="N36" s="1"/>
      <c r="P36" s="370" t="e">
        <f t="shared" ref="P36:P45" si="0">+J36/F36*100</f>
        <v>#DIV/0!</v>
      </c>
      <c r="Q36" s="155"/>
      <c r="R36" s="155"/>
      <c r="S36" s="155"/>
      <c r="T36" s="2620">
        <f>+BP157</f>
        <v>0</v>
      </c>
      <c r="U36" s="155"/>
      <c r="V36" s="155"/>
      <c r="W36" s="155"/>
      <c r="X36" s="155"/>
      <c r="Y36" s="155"/>
      <c r="Z36" s="155"/>
      <c r="AA36" s="155"/>
      <c r="AB36" s="155"/>
      <c r="AC36" s="155"/>
      <c r="AD36" s="155"/>
      <c r="AE36" s="155"/>
      <c r="AF36" s="155"/>
      <c r="AG36" s="155"/>
      <c r="AH36" s="155"/>
      <c r="AI36" s="155"/>
      <c r="AJ36" s="155"/>
      <c r="AK36" s="155"/>
      <c r="AL36" s="155"/>
      <c r="AM36" s="155"/>
      <c r="AN36" s="155"/>
      <c r="AO36" s="155"/>
      <c r="AP36" s="155"/>
      <c r="AQ36" s="155"/>
      <c r="AR36" s="155"/>
      <c r="AS36" s="155"/>
      <c r="AT36" s="155"/>
      <c r="AU36" s="155"/>
      <c r="AV36" s="155"/>
      <c r="AW36" s="155"/>
      <c r="AX36" s="155"/>
      <c r="AY36" s="155"/>
      <c r="AZ36" s="155"/>
      <c r="BA36" s="155"/>
      <c r="BB36" s="155"/>
      <c r="BC36" s="155"/>
      <c r="BD36" s="155"/>
      <c r="BE36" s="155"/>
      <c r="BF36" s="155"/>
      <c r="BG36" s="155"/>
      <c r="BH36" s="155"/>
      <c r="BI36" s="155"/>
      <c r="BJ36" s="155"/>
      <c r="BK36" s="155"/>
      <c r="BL36" s="155"/>
      <c r="BM36" s="155"/>
      <c r="BN36" s="155"/>
      <c r="BO36" s="155"/>
      <c r="BP36" s="155"/>
      <c r="BQ36" s="155"/>
      <c r="BR36" s="155"/>
      <c r="BS36" s="155"/>
      <c r="BT36" s="155"/>
      <c r="BU36" s="155"/>
      <c r="BV36" s="155"/>
      <c r="BW36" s="155"/>
      <c r="BX36" s="155"/>
      <c r="BY36" s="156"/>
      <c r="BZ36" s="156"/>
      <c r="CA36" s="156"/>
      <c r="CB36" s="156"/>
      <c r="CC36" s="155"/>
      <c r="CD36" s="155"/>
      <c r="CE36" s="155"/>
      <c r="CF36" s="155"/>
      <c r="CG36" s="155"/>
      <c r="CH36" s="155"/>
      <c r="CI36" s="155"/>
      <c r="CJ36" s="155"/>
      <c r="DX36" s="2171"/>
    </row>
    <row r="37" spans="1:128" s="94" customFormat="1" ht="10.5" customHeight="1" x14ac:dyDescent="0.2">
      <c r="A37" s="1230" t="s">
        <v>1050</v>
      </c>
      <c r="B37" s="842"/>
      <c r="C37" s="842"/>
      <c r="D37" s="1231"/>
      <c r="E37" s="1231"/>
      <c r="F37" s="1371">
        <f>+J37+L37</f>
        <v>0</v>
      </c>
      <c r="G37" s="1372">
        <f>+AN156</f>
        <v>0</v>
      </c>
      <c r="H37" s="1373">
        <f>+AO156</f>
        <v>0</v>
      </c>
      <c r="I37" s="1373">
        <f>+AP156</f>
        <v>0</v>
      </c>
      <c r="J37" s="2686">
        <f>+AL156</f>
        <v>0</v>
      </c>
      <c r="K37" s="2686"/>
      <c r="L37" s="2643">
        <f>+AM156</f>
        <v>0</v>
      </c>
      <c r="M37" s="2644"/>
      <c r="N37" s="1"/>
      <c r="P37" s="370" t="e">
        <f t="shared" si="0"/>
        <v>#DIV/0!</v>
      </c>
      <c r="Q37" s="155"/>
      <c r="R37" s="155"/>
      <c r="S37" s="155"/>
      <c r="T37" s="2621"/>
      <c r="U37" s="155"/>
      <c r="V37" s="155"/>
      <c r="W37" s="155"/>
      <c r="X37" s="155"/>
      <c r="Y37" s="155"/>
      <c r="Z37" s="155"/>
      <c r="AA37" s="155"/>
      <c r="AB37" s="155"/>
      <c r="AC37" s="155"/>
      <c r="AD37" s="155"/>
      <c r="AE37" s="155"/>
      <c r="AF37" s="155"/>
      <c r="AG37" s="155"/>
      <c r="AH37" s="155"/>
      <c r="AI37" s="155"/>
      <c r="AJ37" s="155"/>
      <c r="AK37" s="155"/>
      <c r="AL37" s="155"/>
      <c r="AM37" s="155"/>
      <c r="AN37" s="155"/>
      <c r="AO37" s="155"/>
      <c r="AP37" s="155"/>
      <c r="AQ37" s="155"/>
      <c r="AR37" s="155"/>
      <c r="AS37" s="155"/>
      <c r="AT37" s="155"/>
      <c r="AU37" s="155"/>
      <c r="AV37" s="155"/>
      <c r="AW37" s="155"/>
      <c r="AX37" s="155"/>
      <c r="AY37" s="155"/>
      <c r="AZ37" s="155"/>
      <c r="BA37" s="155"/>
      <c r="BB37" s="155"/>
      <c r="BC37" s="155"/>
      <c r="BD37" s="155"/>
      <c r="BE37" s="155"/>
      <c r="BF37" s="155"/>
      <c r="BG37" s="155"/>
      <c r="BH37" s="155"/>
      <c r="BI37" s="155"/>
      <c r="BJ37" s="155"/>
      <c r="BK37" s="155"/>
      <c r="BL37" s="155"/>
      <c r="BM37" s="155"/>
      <c r="BN37" s="155"/>
      <c r="BO37" s="155"/>
      <c r="BP37" s="155"/>
      <c r="BQ37" s="155"/>
      <c r="BR37" s="155"/>
      <c r="BS37" s="155"/>
      <c r="BT37" s="155"/>
      <c r="BU37" s="155"/>
      <c r="BV37" s="155"/>
      <c r="BW37" s="155"/>
      <c r="BX37" s="155"/>
      <c r="BY37" s="156"/>
      <c r="BZ37" s="156"/>
      <c r="CA37" s="156"/>
      <c r="CB37" s="156"/>
      <c r="CC37" s="155"/>
      <c r="CD37" s="155"/>
      <c r="CE37" s="155"/>
      <c r="CF37" s="155"/>
      <c r="CG37" s="155"/>
      <c r="CH37" s="155"/>
      <c r="CI37" s="155"/>
      <c r="CJ37" s="155"/>
      <c r="DX37" s="2171"/>
    </row>
    <row r="38" spans="1:128" s="94" customFormat="1" ht="10.5" customHeight="1" x14ac:dyDescent="0.2">
      <c r="A38" s="1232" t="s">
        <v>733</v>
      </c>
      <c r="B38" s="471"/>
      <c r="C38" s="471"/>
      <c r="D38" s="1233"/>
      <c r="E38" s="1233"/>
      <c r="F38" s="1371">
        <f>SUM(J164:K170)</f>
        <v>0</v>
      </c>
      <c r="G38" s="1374"/>
      <c r="H38" s="1375"/>
      <c r="I38" s="1375"/>
      <c r="J38" s="2689"/>
      <c r="K38" s="2689"/>
      <c r="L38" s="2643">
        <f>+F38</f>
        <v>0</v>
      </c>
      <c r="M38" s="2644"/>
      <c r="N38" s="1"/>
      <c r="P38" s="370" t="e">
        <f t="shared" si="0"/>
        <v>#DIV/0!</v>
      </c>
      <c r="Q38" s="155"/>
      <c r="R38" s="155"/>
      <c r="S38" s="155"/>
      <c r="T38" s="155"/>
      <c r="U38" s="155"/>
      <c r="V38" s="155"/>
      <c r="W38" s="155"/>
      <c r="X38" s="155"/>
      <c r="Y38" s="155"/>
      <c r="Z38" s="155"/>
      <c r="AA38" s="155"/>
      <c r="AB38" s="155"/>
      <c r="AC38" s="155"/>
      <c r="AD38" s="155"/>
      <c r="AE38" s="155"/>
      <c r="AF38" s="155"/>
      <c r="AG38" s="155"/>
      <c r="AH38" s="155"/>
      <c r="AI38" s="155"/>
      <c r="AJ38" s="155"/>
      <c r="AK38" s="155"/>
      <c r="AL38" s="155"/>
      <c r="AM38" s="155"/>
      <c r="AN38" s="155"/>
      <c r="AO38" s="155"/>
      <c r="AP38" s="155"/>
      <c r="AQ38" s="155"/>
      <c r="AR38" s="155"/>
      <c r="AS38" s="155"/>
      <c r="AT38" s="155"/>
      <c r="AU38" s="155"/>
      <c r="AV38" s="155"/>
      <c r="AW38" s="155"/>
      <c r="AX38" s="155"/>
      <c r="AY38" s="155"/>
      <c r="AZ38" s="155"/>
      <c r="BA38" s="155"/>
      <c r="BB38" s="155"/>
      <c r="BC38" s="155"/>
      <c r="BD38" s="155"/>
      <c r="BE38" s="155"/>
      <c r="BF38" s="155"/>
      <c r="BG38" s="155"/>
      <c r="BH38" s="155"/>
      <c r="BI38" s="155"/>
      <c r="BJ38" s="155"/>
      <c r="BK38" s="155"/>
      <c r="BL38" s="155"/>
      <c r="BM38" s="155"/>
      <c r="BN38" s="155"/>
      <c r="BO38" s="155"/>
      <c r="BP38" s="155"/>
      <c r="BQ38" s="155"/>
      <c r="BR38" s="155"/>
      <c r="BS38" s="155"/>
      <c r="BT38" s="155"/>
      <c r="BU38" s="155"/>
      <c r="BV38" s="155"/>
      <c r="BW38" s="155"/>
      <c r="BX38" s="155"/>
      <c r="BY38" s="156"/>
      <c r="BZ38" s="156"/>
      <c r="CA38" s="156"/>
      <c r="CB38" s="156"/>
      <c r="CC38" s="155"/>
      <c r="CD38" s="155"/>
      <c r="CE38" s="155"/>
      <c r="CF38" s="155"/>
      <c r="CG38" s="155"/>
      <c r="CH38" s="155"/>
      <c r="CI38" s="155"/>
      <c r="CJ38" s="155"/>
      <c r="DX38" s="2171"/>
    </row>
    <row r="39" spans="1:128" s="259" customFormat="1" ht="15" customHeight="1" x14ac:dyDescent="0.2">
      <c r="A39" s="1234" t="s">
        <v>920</v>
      </c>
      <c r="B39" s="474"/>
      <c r="C39" s="474"/>
      <c r="D39" s="1235"/>
      <c r="E39" s="1235"/>
      <c r="F39" s="1376">
        <f>+J39+L39</f>
        <v>0</v>
      </c>
      <c r="G39" s="1377"/>
      <c r="H39" s="1378"/>
      <c r="I39" s="1378"/>
      <c r="J39" s="2716">
        <f>+S159*-1</f>
        <v>0</v>
      </c>
      <c r="K39" s="2716"/>
      <c r="L39" s="2712">
        <f>+T159*-1</f>
        <v>0</v>
      </c>
      <c r="M39" s="2713"/>
      <c r="N39" s="442"/>
      <c r="P39" s="370" t="e">
        <f t="shared" si="0"/>
        <v>#DIV/0!</v>
      </c>
      <c r="Q39" s="260"/>
      <c r="R39" s="260"/>
      <c r="S39" s="260"/>
      <c r="T39" s="260"/>
      <c r="U39" s="260"/>
      <c r="V39" s="260"/>
      <c r="W39" s="260"/>
      <c r="X39" s="260"/>
      <c r="Y39" s="260"/>
      <c r="Z39" s="260"/>
      <c r="AA39" s="260"/>
      <c r="AB39" s="260"/>
      <c r="AC39" s="260"/>
      <c r="AD39" s="260"/>
      <c r="AE39" s="260"/>
      <c r="AF39" s="260"/>
      <c r="AG39" s="260"/>
      <c r="AH39" s="260"/>
      <c r="AI39" s="260"/>
      <c r="AJ39" s="260"/>
      <c r="AK39" s="260"/>
      <c r="AL39" s="260"/>
      <c r="AM39" s="260"/>
      <c r="AN39" s="260"/>
      <c r="AO39" s="260"/>
      <c r="AP39" s="260"/>
      <c r="AQ39" s="260"/>
      <c r="AR39" s="260"/>
      <c r="AS39" s="260"/>
      <c r="AT39" s="260"/>
      <c r="AU39" s="260"/>
      <c r="AV39" s="260"/>
      <c r="AW39" s="260"/>
      <c r="AX39" s="260"/>
      <c r="AY39" s="260"/>
      <c r="AZ39" s="260"/>
      <c r="BA39" s="260"/>
      <c r="BB39" s="260"/>
      <c r="BC39" s="260"/>
      <c r="BD39" s="260"/>
      <c r="BE39" s="260"/>
      <c r="BF39" s="260"/>
      <c r="BG39" s="260"/>
      <c r="BH39" s="260"/>
      <c r="BI39" s="260"/>
      <c r="BJ39" s="260"/>
      <c r="BK39" s="260"/>
      <c r="BL39" s="260"/>
      <c r="BM39" s="260"/>
      <c r="BN39" s="260"/>
      <c r="BO39" s="260"/>
      <c r="BP39" s="260"/>
      <c r="BQ39" s="260"/>
      <c r="BR39" s="260"/>
      <c r="BS39" s="260"/>
      <c r="BT39" s="260"/>
      <c r="BU39" s="260"/>
      <c r="BV39" s="260"/>
      <c r="BW39" s="260"/>
      <c r="BX39" s="260"/>
      <c r="BY39" s="261"/>
      <c r="BZ39" s="261"/>
      <c r="CA39" s="261"/>
      <c r="CB39" s="261"/>
      <c r="CC39" s="260"/>
      <c r="CD39" s="260"/>
      <c r="CE39" s="260"/>
      <c r="CF39" s="260"/>
      <c r="CG39" s="260"/>
      <c r="CH39" s="260"/>
      <c r="CI39" s="260"/>
      <c r="CJ39" s="260"/>
      <c r="DX39" s="2171"/>
    </row>
    <row r="40" spans="1:128" s="259" customFormat="1" ht="15" customHeight="1" x14ac:dyDescent="0.2">
      <c r="A40" s="2645" t="s">
        <v>868</v>
      </c>
      <c r="B40" s="2646"/>
      <c r="C40" s="2646"/>
      <c r="D40" s="2646"/>
      <c r="E40" s="2646"/>
      <c r="F40" s="1379"/>
      <c r="G40" s="1380">
        <f>+U156*0.05*-1</f>
        <v>0</v>
      </c>
      <c r="H40" s="1381"/>
      <c r="I40" s="1381"/>
      <c r="J40" s="2719"/>
      <c r="K40" s="2719"/>
      <c r="L40" s="2720"/>
      <c r="M40" s="2721"/>
      <c r="N40" s="442"/>
      <c r="P40" s="370" t="e">
        <f t="shared" si="0"/>
        <v>#DIV/0!</v>
      </c>
      <c r="Q40" s="260"/>
      <c r="R40" s="260"/>
      <c r="S40" s="260"/>
      <c r="T40" s="260"/>
      <c r="U40" s="260"/>
      <c r="V40" s="260"/>
      <c r="W40" s="260"/>
      <c r="X40" s="260"/>
      <c r="Y40" s="260"/>
      <c r="Z40" s="260"/>
      <c r="AA40" s="260"/>
      <c r="AB40" s="260"/>
      <c r="AC40" s="260"/>
      <c r="AD40" s="260"/>
      <c r="AE40" s="260"/>
      <c r="AF40" s="260"/>
      <c r="AG40" s="260"/>
      <c r="AH40" s="260"/>
      <c r="AI40" s="260"/>
      <c r="AJ40" s="260"/>
      <c r="AK40" s="260"/>
      <c r="AL40" s="260"/>
      <c r="AM40" s="260"/>
      <c r="AN40" s="260"/>
      <c r="AO40" s="260"/>
      <c r="AP40" s="260"/>
      <c r="AQ40" s="260"/>
      <c r="AR40" s="260"/>
      <c r="AS40" s="260"/>
      <c r="AT40" s="260"/>
      <c r="AU40" s="260"/>
      <c r="AV40" s="260"/>
      <c r="AW40" s="260"/>
      <c r="AX40" s="260"/>
      <c r="AY40" s="260"/>
      <c r="AZ40" s="260"/>
      <c r="BA40" s="260"/>
      <c r="BB40" s="260"/>
      <c r="BC40" s="260"/>
      <c r="BD40" s="260"/>
      <c r="BE40" s="260"/>
      <c r="BF40" s="260"/>
      <c r="BG40" s="260"/>
      <c r="BH40" s="260"/>
      <c r="BI40" s="260"/>
      <c r="BJ40" s="260"/>
      <c r="BK40" s="260"/>
      <c r="BL40" s="260"/>
      <c r="BM40" s="260"/>
      <c r="BN40" s="260"/>
      <c r="BO40" s="260"/>
      <c r="BP40" s="260"/>
      <c r="BQ40" s="260"/>
      <c r="BR40" s="260"/>
      <c r="BS40" s="260"/>
      <c r="BT40" s="260"/>
      <c r="BU40" s="260"/>
      <c r="BV40" s="260"/>
      <c r="BW40" s="260"/>
      <c r="BX40" s="260"/>
      <c r="BY40" s="261"/>
      <c r="BZ40" s="261"/>
      <c r="CA40" s="261"/>
      <c r="CB40" s="261"/>
      <c r="CC40" s="260"/>
      <c r="CD40" s="260"/>
      <c r="CE40" s="260"/>
      <c r="CF40" s="260"/>
      <c r="CG40" s="260"/>
      <c r="CH40" s="260"/>
      <c r="CI40" s="260"/>
      <c r="CJ40" s="260"/>
      <c r="DX40" s="2171"/>
    </row>
    <row r="41" spans="1:128" s="259" customFormat="1" ht="15" customHeight="1" x14ac:dyDescent="0.2">
      <c r="A41" s="1236" t="s">
        <v>418</v>
      </c>
      <c r="B41" s="473"/>
      <c r="C41" s="473"/>
      <c r="D41" s="1237"/>
      <c r="E41" s="1237"/>
      <c r="F41" s="1382">
        <f>+F34+F39</f>
        <v>0</v>
      </c>
      <c r="G41" s="1383">
        <f>+G34+G40</f>
        <v>0</v>
      </c>
      <c r="H41" s="1384">
        <f>+H34</f>
        <v>0</v>
      </c>
      <c r="I41" s="1384">
        <f>+I34</f>
        <v>0</v>
      </c>
      <c r="J41" s="2711">
        <f>+J34+J39</f>
        <v>0</v>
      </c>
      <c r="K41" s="2711"/>
      <c r="L41" s="2717">
        <f>+L34+L39</f>
        <v>0</v>
      </c>
      <c r="M41" s="2718"/>
      <c r="N41" s="442"/>
      <c r="P41" s="370" t="e">
        <f t="shared" si="0"/>
        <v>#DIV/0!</v>
      </c>
      <c r="Q41" s="260"/>
      <c r="R41" s="260"/>
      <c r="S41" s="260"/>
      <c r="T41" s="260"/>
      <c r="U41" s="260"/>
      <c r="V41" s="260"/>
      <c r="W41" s="260"/>
      <c r="X41" s="260"/>
      <c r="Y41" s="260"/>
      <c r="Z41" s="260"/>
      <c r="AA41" s="260"/>
      <c r="AB41" s="260"/>
      <c r="AC41" s="260"/>
      <c r="AD41" s="260"/>
      <c r="AE41" s="260"/>
      <c r="AF41" s="260"/>
      <c r="AG41" s="260"/>
      <c r="AH41" s="260"/>
      <c r="AI41" s="260"/>
      <c r="AJ41" s="260"/>
      <c r="AK41" s="260"/>
      <c r="AL41" s="260"/>
      <c r="AM41" s="260"/>
      <c r="AN41" s="260"/>
      <c r="AO41" s="260"/>
      <c r="AP41" s="260"/>
      <c r="AQ41" s="260"/>
      <c r="AR41" s="260"/>
      <c r="AS41" s="260"/>
      <c r="AT41" s="260"/>
      <c r="AU41" s="260"/>
      <c r="AV41" s="260"/>
      <c r="AW41" s="260"/>
      <c r="AX41" s="260"/>
      <c r="AY41" s="260"/>
      <c r="AZ41" s="260"/>
      <c r="BA41" s="260"/>
      <c r="BB41" s="260"/>
      <c r="BC41" s="260"/>
      <c r="BD41" s="260"/>
      <c r="BE41" s="260"/>
      <c r="BF41" s="260"/>
      <c r="BG41" s="260"/>
      <c r="BH41" s="260"/>
      <c r="BI41" s="260"/>
      <c r="BJ41" s="260"/>
      <c r="BK41" s="260"/>
      <c r="BL41" s="260"/>
      <c r="BM41" s="260"/>
      <c r="BN41" s="260"/>
      <c r="BO41" s="260"/>
      <c r="BP41" s="260"/>
      <c r="BQ41" s="260"/>
      <c r="BR41" s="260"/>
      <c r="BS41" s="260"/>
      <c r="BT41" s="260"/>
      <c r="BU41" s="260"/>
      <c r="BV41" s="260"/>
      <c r="BW41" s="260"/>
      <c r="BX41" s="260"/>
      <c r="BY41" s="261"/>
      <c r="BZ41" s="261"/>
      <c r="CA41" s="261"/>
      <c r="CB41" s="261"/>
      <c r="CC41" s="260"/>
      <c r="CD41" s="260"/>
      <c r="CE41" s="260"/>
      <c r="CF41" s="260"/>
      <c r="CG41" s="260"/>
      <c r="CH41" s="260"/>
      <c r="CI41" s="260"/>
      <c r="CJ41" s="260"/>
      <c r="DX41" s="2171"/>
    </row>
    <row r="42" spans="1:128" s="259" customFormat="1" ht="10.5" customHeight="1" x14ac:dyDescent="0.2">
      <c r="A42" s="2647" t="s">
        <v>633</v>
      </c>
      <c r="B42" s="2648"/>
      <c r="C42" s="2648"/>
      <c r="D42" s="2648"/>
      <c r="E42" s="2648"/>
      <c r="F42" s="1385">
        <f>+J42+L42</f>
        <v>0</v>
      </c>
      <c r="G42" s="1386">
        <f>+J95+J99</f>
        <v>0</v>
      </c>
      <c r="H42" s="1387">
        <f>+K95+K99</f>
        <v>0</v>
      </c>
      <c r="I42" s="1387">
        <f>+M95+M99</f>
        <v>0</v>
      </c>
      <c r="J42" s="2725">
        <f>+ED95-EL88</f>
        <v>0</v>
      </c>
      <c r="K42" s="2725"/>
      <c r="L42" s="2726">
        <f>+EE95-EM88</f>
        <v>0</v>
      </c>
      <c r="M42" s="2727"/>
      <c r="N42" s="442"/>
      <c r="P42" s="370"/>
      <c r="Q42" s="260"/>
      <c r="R42" s="260"/>
      <c r="S42" s="260"/>
      <c r="T42" s="260"/>
      <c r="U42" s="260"/>
      <c r="V42" s="260"/>
      <c r="W42" s="260"/>
      <c r="X42" s="260"/>
      <c r="Y42" s="260"/>
      <c r="Z42" s="260"/>
      <c r="AA42" s="260"/>
      <c r="AB42" s="260"/>
      <c r="AC42" s="260"/>
      <c r="AD42" s="260"/>
      <c r="AE42" s="260"/>
      <c r="AF42" s="260"/>
      <c r="AG42" s="260"/>
      <c r="AH42" s="260"/>
      <c r="AI42" s="260"/>
      <c r="AJ42" s="260"/>
      <c r="AK42" s="260"/>
      <c r="AL42" s="260"/>
      <c r="AM42" s="260"/>
      <c r="AN42" s="260"/>
      <c r="AO42" s="260"/>
      <c r="AP42" s="260"/>
      <c r="AQ42" s="260"/>
      <c r="AR42" s="260"/>
      <c r="AS42" s="260"/>
      <c r="AT42" s="260"/>
      <c r="AU42" s="260"/>
      <c r="AV42" s="260"/>
      <c r="AW42" s="260"/>
      <c r="AX42" s="260"/>
      <c r="AY42" s="260"/>
      <c r="AZ42" s="260"/>
      <c r="BA42" s="260"/>
      <c r="BB42" s="260"/>
      <c r="BC42" s="260"/>
      <c r="BD42" s="260"/>
      <c r="BE42" s="260"/>
      <c r="BF42" s="260"/>
      <c r="BG42" s="260"/>
      <c r="BH42" s="260"/>
      <c r="BI42" s="260"/>
      <c r="BJ42" s="260"/>
      <c r="BK42" s="260"/>
      <c r="BL42" s="260"/>
      <c r="BM42" s="260"/>
      <c r="BN42" s="260"/>
      <c r="BO42" s="260"/>
      <c r="BP42" s="260"/>
      <c r="BQ42" s="260"/>
      <c r="BR42" s="260"/>
      <c r="BS42" s="260"/>
      <c r="BT42" s="260"/>
      <c r="BU42" s="260"/>
      <c r="BV42" s="260"/>
      <c r="BW42" s="260"/>
      <c r="BX42" s="260"/>
      <c r="BY42" s="261"/>
      <c r="BZ42" s="261"/>
      <c r="CA42" s="261"/>
      <c r="CB42" s="261"/>
      <c r="CC42" s="260"/>
      <c r="CD42" s="260"/>
      <c r="CE42" s="260"/>
      <c r="CF42" s="260"/>
      <c r="CG42" s="260"/>
      <c r="CH42" s="260"/>
      <c r="CI42" s="260"/>
      <c r="CJ42" s="260"/>
      <c r="DX42" s="2171"/>
    </row>
    <row r="43" spans="1:128" s="94" customFormat="1" ht="10.5" customHeight="1" x14ac:dyDescent="0.2">
      <c r="A43" s="1232" t="s">
        <v>439</v>
      </c>
      <c r="B43" s="472"/>
      <c r="C43" s="472"/>
      <c r="D43" s="1233"/>
      <c r="E43" s="1233"/>
      <c r="F43" s="1388"/>
      <c r="G43" s="1374"/>
      <c r="H43" s="1375"/>
      <c r="I43" s="1375"/>
      <c r="J43" s="1389"/>
      <c r="K43" s="1390"/>
      <c r="L43" s="1391"/>
      <c r="M43" s="1392"/>
      <c r="N43" s="1"/>
      <c r="P43" s="370" t="e">
        <f t="shared" si="0"/>
        <v>#DIV/0!</v>
      </c>
      <c r="Q43" s="155"/>
      <c r="R43" s="155"/>
      <c r="S43" s="155"/>
      <c r="T43" s="155"/>
      <c r="U43" s="155"/>
      <c r="V43" s="155"/>
      <c r="W43" s="155"/>
      <c r="X43" s="155"/>
      <c r="Y43" s="155"/>
      <c r="Z43" s="155"/>
      <c r="AA43" s="155"/>
      <c r="AB43" s="155"/>
      <c r="AC43" s="155"/>
      <c r="AD43" s="155"/>
      <c r="AE43" s="155"/>
      <c r="AF43" s="155"/>
      <c r="AG43" s="155"/>
      <c r="AH43" s="155"/>
      <c r="AI43" s="155"/>
      <c r="AJ43" s="155"/>
      <c r="AK43" s="155"/>
      <c r="AL43" s="155"/>
      <c r="AM43" s="155"/>
      <c r="AN43" s="155"/>
      <c r="AO43" s="155"/>
      <c r="AP43" s="155"/>
      <c r="AQ43" s="155"/>
      <c r="AR43" s="155"/>
      <c r="AS43" s="155"/>
      <c r="AT43" s="155"/>
      <c r="AU43" s="155"/>
      <c r="AV43" s="155"/>
      <c r="AW43" s="155"/>
      <c r="AX43" s="155"/>
      <c r="AY43" s="155"/>
      <c r="AZ43" s="155"/>
      <c r="BA43" s="155"/>
      <c r="BB43" s="155"/>
      <c r="BC43" s="155"/>
      <c r="BD43" s="155"/>
      <c r="BE43" s="155"/>
      <c r="BF43" s="155"/>
      <c r="BG43" s="155"/>
      <c r="BH43" s="155"/>
      <c r="BI43" s="155"/>
      <c r="BJ43" s="155"/>
      <c r="BK43" s="155"/>
      <c r="BL43" s="155"/>
      <c r="BM43" s="155"/>
      <c r="BN43" s="155"/>
      <c r="BO43" s="155"/>
      <c r="BP43" s="155"/>
      <c r="BQ43" s="155"/>
      <c r="BR43" s="155"/>
      <c r="BS43" s="155"/>
      <c r="BT43" s="155"/>
      <c r="BU43" s="155"/>
      <c r="BV43" s="155"/>
      <c r="BW43" s="155"/>
      <c r="BX43" s="155"/>
      <c r="BY43" s="156"/>
      <c r="BZ43" s="156"/>
      <c r="CA43" s="156"/>
      <c r="CB43" s="156"/>
      <c r="CC43" s="155"/>
      <c r="CD43" s="155"/>
      <c r="CE43" s="155"/>
      <c r="CF43" s="155"/>
      <c r="CG43" s="155"/>
      <c r="CH43" s="155"/>
      <c r="CI43" s="155"/>
      <c r="CJ43" s="155"/>
      <c r="DX43" s="2171"/>
    </row>
    <row r="44" spans="1:128" s="259" customFormat="1" ht="15" customHeight="1" x14ac:dyDescent="0.2">
      <c r="A44" s="1234" t="s">
        <v>629</v>
      </c>
      <c r="B44" s="474"/>
      <c r="C44" s="474"/>
      <c r="D44" s="1235"/>
      <c r="E44" s="1235"/>
      <c r="F44" s="1376">
        <f>+J44+L44</f>
        <v>0</v>
      </c>
      <c r="G44" s="1393">
        <f>+T339*-1</f>
        <v>0</v>
      </c>
      <c r="H44" s="1394">
        <f>+U339*-1</f>
        <v>0</v>
      </c>
      <c r="I44" s="1394">
        <f>+V339*-1</f>
        <v>0</v>
      </c>
      <c r="J44" s="2716">
        <f>+R339*-1</f>
        <v>0</v>
      </c>
      <c r="K44" s="2716"/>
      <c r="L44" s="2712">
        <f>+S339*-1</f>
        <v>0</v>
      </c>
      <c r="M44" s="2713"/>
      <c r="N44" s="442"/>
      <c r="P44" s="370" t="e">
        <f t="shared" si="0"/>
        <v>#DIV/0!</v>
      </c>
      <c r="Q44" s="260"/>
      <c r="R44" s="260" t="s">
        <v>635</v>
      </c>
      <c r="S44" s="260"/>
      <c r="T44" s="260"/>
      <c r="U44" s="260"/>
      <c r="V44" s="260"/>
      <c r="W44" s="260"/>
      <c r="X44" s="260"/>
      <c r="Y44" s="260"/>
      <c r="Z44" s="260"/>
      <c r="AA44" s="260"/>
      <c r="AB44" s="260"/>
      <c r="AC44" s="260"/>
      <c r="AD44" s="260"/>
      <c r="AE44" s="260"/>
      <c r="AF44" s="260"/>
      <c r="AG44" s="260"/>
      <c r="AH44" s="260"/>
      <c r="AI44" s="260"/>
      <c r="AJ44" s="260"/>
      <c r="AK44" s="260"/>
      <c r="AL44" s="260"/>
      <c r="AM44" s="260"/>
      <c r="AN44" s="260"/>
      <c r="AO44" s="260"/>
      <c r="AP44" s="260"/>
      <c r="AQ44" s="260"/>
      <c r="AR44" s="260"/>
      <c r="AS44" s="260"/>
      <c r="AT44" s="260"/>
      <c r="AU44" s="260"/>
      <c r="AV44" s="260"/>
      <c r="AW44" s="260"/>
      <c r="AX44" s="260"/>
      <c r="AY44" s="260"/>
      <c r="AZ44" s="260"/>
      <c r="BA44" s="260"/>
      <c r="BB44" s="260"/>
      <c r="BC44" s="260"/>
      <c r="BD44" s="260"/>
      <c r="BE44" s="260"/>
      <c r="BF44" s="260"/>
      <c r="BG44" s="260"/>
      <c r="BH44" s="260"/>
      <c r="BI44" s="260"/>
      <c r="BJ44" s="260"/>
      <c r="BK44" s="260"/>
      <c r="BL44" s="260"/>
      <c r="BM44" s="260"/>
      <c r="BN44" s="260"/>
      <c r="BO44" s="260"/>
      <c r="BP44" s="260"/>
      <c r="BQ44" s="260"/>
      <c r="BR44" s="260"/>
      <c r="BS44" s="260"/>
      <c r="BT44" s="260"/>
      <c r="BU44" s="260"/>
      <c r="BV44" s="260"/>
      <c r="BW44" s="260"/>
      <c r="BX44" s="260"/>
      <c r="BY44" s="261"/>
      <c r="BZ44" s="261"/>
      <c r="CA44" s="261"/>
      <c r="CB44" s="261"/>
      <c r="CC44" s="260"/>
      <c r="CD44" s="260"/>
      <c r="CE44" s="260"/>
      <c r="CF44" s="260"/>
      <c r="CG44" s="260"/>
      <c r="CH44" s="260"/>
      <c r="CI44" s="260"/>
      <c r="CJ44" s="260"/>
      <c r="DX44" s="2171"/>
    </row>
    <row r="45" spans="1:128" s="259" customFormat="1" ht="15" customHeight="1" x14ac:dyDescent="0.2">
      <c r="A45" s="1234" t="s">
        <v>715</v>
      </c>
      <c r="B45" s="1238"/>
      <c r="C45" s="1238"/>
      <c r="D45" s="1238"/>
      <c r="E45" s="1239" t="str">
        <f>IF(P8&gt;170,"!!zu hoch!!"," ")</f>
        <v xml:space="preserve"> </v>
      </c>
      <c r="F45" s="1395">
        <f>+J45+L45</f>
        <v>0</v>
      </c>
      <c r="G45" s="1393">
        <f>+(AA339+J99)*-1</f>
        <v>0</v>
      </c>
      <c r="H45" s="1394">
        <f>+(AB339+K99)*-1</f>
        <v>0</v>
      </c>
      <c r="I45" s="1394">
        <f>+(AC339+M99)*-1</f>
        <v>0</v>
      </c>
      <c r="J45" s="2716">
        <f>Y339*-1</f>
        <v>0</v>
      </c>
      <c r="K45" s="2716"/>
      <c r="L45" s="2712">
        <f>+Z339*-1</f>
        <v>0</v>
      </c>
      <c r="M45" s="2713"/>
      <c r="N45" s="442"/>
      <c r="P45" s="370" t="e">
        <f t="shared" si="0"/>
        <v>#DIV/0!</v>
      </c>
      <c r="Q45" s="260"/>
      <c r="R45" s="259" t="s">
        <v>4</v>
      </c>
      <c r="S45" s="260" t="s">
        <v>5</v>
      </c>
      <c r="T45" s="260" t="s">
        <v>2</v>
      </c>
      <c r="U45" s="261"/>
      <c r="V45" s="260"/>
      <c r="W45" s="260"/>
      <c r="X45" s="260"/>
      <c r="Y45" s="260"/>
      <c r="Z45" s="260"/>
      <c r="AA45" s="260"/>
      <c r="AB45" s="260"/>
      <c r="AC45" s="260"/>
      <c r="AD45" s="260"/>
      <c r="AE45" s="260"/>
      <c r="AF45" s="260"/>
      <c r="AG45" s="260"/>
      <c r="AH45" s="260"/>
      <c r="AI45" s="260"/>
      <c r="AJ45" s="260"/>
      <c r="AK45" s="260"/>
      <c r="AL45" s="260"/>
      <c r="AM45" s="260"/>
      <c r="AN45" s="260"/>
      <c r="AO45" s="260"/>
      <c r="AP45" s="260"/>
      <c r="AQ45" s="260"/>
      <c r="AR45" s="260"/>
      <c r="AS45" s="260"/>
      <c r="AT45" s="260"/>
      <c r="AU45" s="260"/>
      <c r="AV45" s="260"/>
      <c r="AW45" s="260"/>
      <c r="AX45" s="260"/>
      <c r="AY45" s="260"/>
      <c r="AZ45" s="260"/>
      <c r="BA45" s="260"/>
      <c r="BB45" s="260"/>
      <c r="BC45" s="260"/>
      <c r="BD45" s="260"/>
      <c r="BE45" s="260"/>
      <c r="BF45" s="260"/>
      <c r="BG45" s="260"/>
      <c r="BH45" s="260"/>
      <c r="BI45" s="260"/>
      <c r="BJ45" s="260"/>
      <c r="BK45" s="260"/>
      <c r="BL45" s="260"/>
      <c r="BM45" s="260"/>
      <c r="BN45" s="260"/>
      <c r="BO45" s="260"/>
      <c r="BP45" s="260"/>
      <c r="BQ45" s="260"/>
      <c r="BR45" s="260"/>
      <c r="BS45" s="260"/>
      <c r="BT45" s="260"/>
      <c r="BU45" s="260"/>
      <c r="BV45" s="260"/>
      <c r="BW45" s="260"/>
      <c r="BX45" s="260"/>
      <c r="BY45" s="261"/>
      <c r="BZ45" s="261"/>
      <c r="CA45" s="261"/>
      <c r="CB45" s="261"/>
      <c r="CC45" s="260"/>
      <c r="CD45" s="260"/>
      <c r="CE45" s="260"/>
      <c r="CF45" s="260"/>
      <c r="CG45" s="260"/>
      <c r="CH45" s="260"/>
      <c r="CI45" s="260"/>
      <c r="CJ45" s="260"/>
      <c r="DX45" s="2171"/>
    </row>
    <row r="46" spans="1:128" s="259" customFormat="1" ht="15" customHeight="1" x14ac:dyDescent="0.2">
      <c r="A46" s="2645" t="s">
        <v>443</v>
      </c>
      <c r="B46" s="2646"/>
      <c r="C46" s="2646"/>
      <c r="D46" s="2646"/>
      <c r="E46" s="472" t="s">
        <v>450</v>
      </c>
      <c r="F46" s="1382">
        <f>+F45+F44+F42+F41</f>
        <v>0</v>
      </c>
      <c r="G46" s="1383">
        <f>+G45+G44+G42+G41</f>
        <v>0</v>
      </c>
      <c r="H46" s="1384">
        <f>+H45+H44+H42+H41</f>
        <v>0</v>
      </c>
      <c r="I46" s="1384">
        <f>+I45+I44+I42+I41</f>
        <v>0</v>
      </c>
      <c r="J46" s="2711">
        <f>+J45+J44+J42+J41</f>
        <v>0</v>
      </c>
      <c r="K46" s="2711"/>
      <c r="L46" s="2717">
        <f>+L45+L44+L42+L41</f>
        <v>0</v>
      </c>
      <c r="M46" s="2718"/>
      <c r="N46" s="442"/>
      <c r="P46" s="370" t="e">
        <f>+J46/F46*100</f>
        <v>#DIV/0!</v>
      </c>
      <c r="Q46" s="260"/>
      <c r="R46" s="260">
        <f>+(G42+G34+G40-AS156*0.95-J98)*T46</f>
        <v>0</v>
      </c>
      <c r="S46" s="260">
        <f>+(H42+H34-AT156-K98-K94)*T46</f>
        <v>0</v>
      </c>
      <c r="T46" s="260">
        <v>0.2</v>
      </c>
      <c r="U46" s="260"/>
      <c r="V46" s="260"/>
      <c r="W46" s="260"/>
      <c r="X46" s="260"/>
      <c r="Y46" s="260"/>
      <c r="Z46" s="260"/>
      <c r="AA46" s="260"/>
      <c r="AB46" s="260"/>
      <c r="AC46" s="260"/>
      <c r="AD46" s="260"/>
      <c r="AE46" s="260"/>
      <c r="AF46" s="260"/>
      <c r="AG46" s="260"/>
      <c r="AH46" s="260"/>
      <c r="AI46" s="260"/>
      <c r="AJ46" s="260"/>
      <c r="AK46" s="260"/>
      <c r="AL46" s="260"/>
      <c r="AM46" s="260"/>
      <c r="AN46" s="260"/>
      <c r="AO46" s="260"/>
      <c r="AP46" s="260"/>
      <c r="AQ46" s="260"/>
      <c r="AR46" s="260"/>
      <c r="AS46" s="260"/>
      <c r="AT46" s="260"/>
      <c r="AU46" s="260"/>
      <c r="AV46" s="260"/>
      <c r="AW46" s="260"/>
      <c r="AX46" s="260"/>
      <c r="AY46" s="260"/>
      <c r="AZ46" s="260"/>
      <c r="BA46" s="260"/>
      <c r="BB46" s="260"/>
      <c r="BC46" s="260"/>
      <c r="BD46" s="260"/>
      <c r="BE46" s="260"/>
      <c r="BF46" s="260"/>
      <c r="BG46" s="260"/>
      <c r="BH46" s="260"/>
      <c r="BI46" s="260"/>
      <c r="BJ46" s="260"/>
      <c r="BK46" s="260"/>
      <c r="BL46" s="260"/>
      <c r="BM46" s="260"/>
      <c r="BN46" s="260"/>
      <c r="BO46" s="260"/>
      <c r="BP46" s="260"/>
      <c r="BQ46" s="260"/>
      <c r="BR46" s="260"/>
      <c r="BS46" s="260"/>
      <c r="BT46" s="260"/>
      <c r="BU46" s="260"/>
      <c r="BV46" s="260"/>
      <c r="BW46" s="260"/>
      <c r="BX46" s="260"/>
      <c r="BY46" s="261"/>
      <c r="BZ46" s="261"/>
      <c r="CA46" s="261"/>
      <c r="CB46" s="261"/>
      <c r="CC46" s="260"/>
      <c r="CD46" s="260"/>
      <c r="CE46" s="260"/>
      <c r="CF46" s="260"/>
      <c r="CG46" s="260"/>
      <c r="CH46" s="260"/>
      <c r="CI46" s="260"/>
      <c r="CJ46" s="260"/>
      <c r="DX46" s="2171"/>
    </row>
    <row r="47" spans="1:128" s="94" customFormat="1" ht="10.5" customHeight="1" thickBot="1" x14ac:dyDescent="0.25">
      <c r="A47" s="2709"/>
      <c r="B47" s="2710"/>
      <c r="C47" s="2710"/>
      <c r="D47" s="2710"/>
      <c r="E47" s="477" t="s">
        <v>716</v>
      </c>
      <c r="F47" s="1396">
        <f>IF(F41+F42=0,0,+F46/(F41+F42)*100)</f>
        <v>0</v>
      </c>
      <c r="G47" s="1397">
        <f>IF(G41+G42=0,0,G46/(G41+G42)*100)</f>
        <v>0</v>
      </c>
      <c r="H47" s="1398">
        <f>IF(H41+H42=0,0,H46/(H41+H42)*100)</f>
        <v>0</v>
      </c>
      <c r="I47" s="1399">
        <f>IF(I41+I42=0,0,I46/(I41+I42)*100)</f>
        <v>0</v>
      </c>
      <c r="J47" s="2722">
        <f>IF(J41+J42=0,0,J46/(J41+J42)*100)</f>
        <v>0</v>
      </c>
      <c r="K47" s="2722"/>
      <c r="L47" s="2723">
        <f>IF(L41+L42=0,0,L46/(L41+L42)*100)</f>
        <v>0</v>
      </c>
      <c r="M47" s="2724"/>
      <c r="N47" s="1"/>
      <c r="P47" s="155"/>
      <c r="Q47" s="155"/>
      <c r="R47" s="155"/>
      <c r="S47" s="155"/>
      <c r="T47" s="155"/>
      <c r="U47" s="155"/>
      <c r="V47" s="155"/>
      <c r="W47" s="155"/>
      <c r="X47" s="155"/>
      <c r="Y47" s="155"/>
      <c r="Z47" s="155"/>
      <c r="AA47" s="155"/>
      <c r="AB47" s="155"/>
      <c r="AC47" s="155"/>
      <c r="AD47" s="155"/>
      <c r="AE47" s="155"/>
      <c r="AF47" s="155"/>
      <c r="AG47" s="155"/>
      <c r="AH47" s="155"/>
      <c r="AI47" s="155"/>
      <c r="AJ47" s="155"/>
      <c r="AK47" s="155"/>
      <c r="AL47" s="155"/>
      <c r="AM47" s="155"/>
      <c r="AN47" s="155"/>
      <c r="AO47" s="155"/>
      <c r="AP47" s="155"/>
      <c r="AQ47" s="155"/>
      <c r="AR47" s="155"/>
      <c r="AS47" s="155"/>
      <c r="AT47" s="155"/>
      <c r="AU47" s="155"/>
      <c r="AV47" s="155"/>
      <c r="AW47" s="155"/>
      <c r="AX47" s="155"/>
      <c r="AY47" s="155"/>
      <c r="AZ47" s="155"/>
      <c r="BA47" s="155"/>
      <c r="BB47" s="155"/>
      <c r="BC47" s="155"/>
      <c r="BD47" s="155"/>
      <c r="BE47" s="155"/>
      <c r="BF47" s="155"/>
      <c r="BG47" s="155"/>
      <c r="BH47" s="155"/>
      <c r="BI47" s="155"/>
      <c r="BJ47" s="155"/>
      <c r="BK47" s="155"/>
      <c r="BL47" s="155"/>
      <c r="BM47" s="155"/>
      <c r="BN47" s="155"/>
      <c r="BO47" s="155"/>
      <c r="BP47" s="155"/>
      <c r="BQ47" s="155"/>
      <c r="BR47" s="155"/>
      <c r="BS47" s="155"/>
      <c r="BT47" s="155"/>
      <c r="BU47" s="155"/>
      <c r="BV47" s="155"/>
      <c r="BW47" s="155"/>
      <c r="BX47" s="155"/>
      <c r="BY47" s="156"/>
      <c r="BZ47" s="156"/>
      <c r="CA47" s="156"/>
      <c r="CB47" s="156"/>
      <c r="CC47" s="155"/>
      <c r="CD47" s="155"/>
      <c r="CE47" s="155"/>
      <c r="CF47" s="155"/>
      <c r="CG47" s="155"/>
      <c r="CH47" s="155"/>
      <c r="CI47" s="155"/>
      <c r="CJ47" s="155"/>
      <c r="DX47" s="2171"/>
    </row>
    <row r="48" spans="1:128" s="259" customFormat="1" ht="4.5" customHeight="1" x14ac:dyDescent="0.2">
      <c r="A48" s="1240"/>
      <c r="B48" s="104"/>
      <c r="C48" s="104"/>
      <c r="D48" s="264"/>
      <c r="E48" s="265"/>
      <c r="F48" s="265"/>
      <c r="G48" s="265"/>
      <c r="H48" s="265"/>
      <c r="I48" s="1241"/>
      <c r="J48" s="1241"/>
      <c r="K48" s="1241"/>
      <c r="L48" s="1241"/>
      <c r="M48" s="1241"/>
      <c r="N48" s="442"/>
      <c r="P48" s="260"/>
      <c r="Q48" s="260"/>
      <c r="R48" s="260"/>
      <c r="S48" s="260"/>
      <c r="T48" s="260"/>
      <c r="U48" s="260"/>
      <c r="V48" s="260"/>
      <c r="W48" s="260"/>
      <c r="X48" s="260"/>
      <c r="Y48" s="260"/>
      <c r="Z48" s="260"/>
      <c r="AA48" s="260"/>
      <c r="AB48" s="260"/>
      <c r="AC48" s="260"/>
      <c r="AD48" s="260"/>
      <c r="AE48" s="260"/>
      <c r="AF48" s="260"/>
      <c r="AG48" s="260"/>
      <c r="AH48" s="260"/>
      <c r="AI48" s="260"/>
      <c r="AJ48" s="260"/>
      <c r="AK48" s="260"/>
      <c r="AL48" s="260"/>
      <c r="AM48" s="260"/>
      <c r="AN48" s="260"/>
      <c r="AO48" s="260"/>
      <c r="AP48" s="260"/>
      <c r="AQ48" s="260"/>
      <c r="AR48" s="260"/>
      <c r="AS48" s="260"/>
      <c r="AT48" s="260"/>
      <c r="AU48" s="260"/>
      <c r="AV48" s="260"/>
      <c r="AW48" s="260"/>
      <c r="AX48" s="260"/>
      <c r="AY48" s="260"/>
      <c r="AZ48" s="260"/>
      <c r="BA48" s="260"/>
      <c r="BB48" s="260"/>
      <c r="BC48" s="260"/>
      <c r="BD48" s="260"/>
      <c r="BE48" s="260"/>
      <c r="BF48" s="260"/>
      <c r="BG48" s="260"/>
      <c r="BH48" s="260"/>
      <c r="BI48" s="260"/>
      <c r="BJ48" s="260"/>
      <c r="BK48" s="260"/>
      <c r="BL48" s="260"/>
      <c r="BM48" s="260"/>
      <c r="BN48" s="260"/>
      <c r="BO48" s="260"/>
      <c r="BP48" s="260"/>
      <c r="BQ48" s="260"/>
      <c r="BR48" s="260"/>
      <c r="BS48" s="260"/>
      <c r="BT48" s="260"/>
      <c r="BU48" s="260"/>
      <c r="BV48" s="260"/>
      <c r="BW48" s="260"/>
      <c r="BX48" s="260"/>
      <c r="BY48" s="261"/>
      <c r="BZ48" s="261"/>
      <c r="CA48" s="261"/>
      <c r="CB48" s="261"/>
      <c r="CC48" s="260"/>
      <c r="CD48" s="260"/>
      <c r="CE48" s="260"/>
      <c r="CF48" s="260"/>
      <c r="CG48" s="260"/>
      <c r="CH48" s="260"/>
      <c r="CI48" s="260"/>
      <c r="CJ48" s="260"/>
      <c r="DX48" s="2171"/>
    </row>
    <row r="49" spans="1:154" s="259" customFormat="1" ht="9" customHeight="1" thickBot="1" x14ac:dyDescent="0.25">
      <c r="A49" s="1240"/>
      <c r="B49" s="104"/>
      <c r="C49" s="104"/>
      <c r="D49" s="264"/>
      <c r="E49" s="265"/>
      <c r="F49" s="265"/>
      <c r="G49" s="265"/>
      <c r="H49" s="265"/>
      <c r="I49" s="1241"/>
      <c r="J49" s="1241"/>
      <c r="K49" s="1241"/>
      <c r="L49" s="1241"/>
      <c r="M49" s="1241"/>
      <c r="N49" s="442"/>
      <c r="P49" s="260"/>
      <c r="Q49" s="260"/>
      <c r="R49" s="260"/>
      <c r="S49" s="260"/>
      <c r="T49" s="260"/>
      <c r="U49" s="260"/>
      <c r="V49" s="260"/>
      <c r="W49" s="260"/>
      <c r="X49" s="260"/>
      <c r="Y49" s="260"/>
      <c r="Z49" s="260"/>
      <c r="AA49" s="260"/>
      <c r="AB49" s="260"/>
      <c r="AC49" s="260"/>
      <c r="AD49" s="260"/>
      <c r="AE49" s="260"/>
      <c r="AF49" s="260"/>
      <c r="AG49" s="260"/>
      <c r="AH49" s="260"/>
      <c r="AI49" s="260"/>
      <c r="AJ49" s="260"/>
      <c r="AK49" s="260"/>
      <c r="AL49" s="260"/>
      <c r="AM49" s="260"/>
      <c r="AN49" s="260"/>
      <c r="AO49" s="260"/>
      <c r="AP49" s="260"/>
      <c r="AQ49" s="260"/>
      <c r="AR49" s="260"/>
      <c r="AS49" s="260"/>
      <c r="AT49" s="260"/>
      <c r="AU49" s="260"/>
      <c r="AV49" s="260"/>
      <c r="AW49" s="260"/>
      <c r="AX49" s="260"/>
      <c r="AY49" s="260"/>
      <c r="AZ49" s="260"/>
      <c r="BA49" s="260"/>
      <c r="BB49" s="260"/>
      <c r="BC49" s="260"/>
      <c r="BD49" s="260"/>
      <c r="BE49" s="260"/>
      <c r="BF49" s="260"/>
      <c r="BG49" s="260"/>
      <c r="BH49" s="260"/>
      <c r="BI49" s="260"/>
      <c r="BJ49" s="260"/>
      <c r="BK49" s="260"/>
      <c r="BL49" s="260"/>
      <c r="BM49" s="260"/>
      <c r="BN49" s="260"/>
      <c r="BO49" s="260"/>
      <c r="BP49" s="260"/>
      <c r="BQ49" s="260"/>
      <c r="BR49" s="260"/>
      <c r="BS49" s="260"/>
      <c r="BT49" s="260"/>
      <c r="BU49" s="260"/>
      <c r="BV49" s="260"/>
      <c r="BW49" s="260"/>
      <c r="BX49" s="260"/>
      <c r="BY49" s="261"/>
      <c r="BZ49" s="261"/>
      <c r="CA49" s="261"/>
      <c r="CB49" s="261"/>
      <c r="CC49" s="260"/>
      <c r="CD49" s="260"/>
      <c r="CE49" s="260"/>
      <c r="CF49" s="260"/>
      <c r="CG49" s="260"/>
      <c r="CH49" s="260"/>
      <c r="CI49" s="260"/>
      <c r="CJ49" s="260"/>
      <c r="DX49" s="2171"/>
    </row>
    <row r="50" spans="1:154" s="259" customFormat="1" ht="18" customHeight="1" thickBot="1" x14ac:dyDescent="0.25">
      <c r="A50" s="2638" t="s">
        <v>781</v>
      </c>
      <c r="B50" s="2639"/>
      <c r="C50" s="2639"/>
      <c r="D50" s="2639"/>
      <c r="E50" s="2639"/>
      <c r="F50" s="2639"/>
      <c r="G50" s="2639"/>
      <c r="H50" s="2639"/>
      <c r="I50" s="2640"/>
      <c r="J50" s="2728" t="s">
        <v>239</v>
      </c>
      <c r="K50" s="2729"/>
      <c r="L50" s="2730" t="s">
        <v>240</v>
      </c>
      <c r="M50" s="2731"/>
      <c r="N50" s="442"/>
      <c r="P50" s="260"/>
      <c r="Q50" s="260"/>
      <c r="R50" s="260"/>
      <c r="S50" s="260"/>
      <c r="T50" s="260"/>
      <c r="U50" s="260"/>
      <c r="V50" s="260"/>
      <c r="W50" s="260"/>
      <c r="X50" s="260"/>
      <c r="Y50" s="260"/>
      <c r="Z50" s="260"/>
      <c r="AA50" s="260"/>
      <c r="AB50" s="260"/>
      <c r="AC50" s="260"/>
      <c r="AD50" s="260"/>
      <c r="AE50" s="260"/>
      <c r="AF50" s="260"/>
      <c r="AG50" s="260"/>
      <c r="AH50" s="260"/>
      <c r="AI50" s="260"/>
      <c r="AJ50" s="260"/>
      <c r="AK50" s="260"/>
      <c r="AL50" s="260"/>
      <c r="AM50" s="260"/>
      <c r="AN50" s="260"/>
      <c r="AO50" s="260"/>
      <c r="AP50" s="260"/>
      <c r="AQ50" s="260"/>
      <c r="AR50" s="260"/>
      <c r="AS50" s="260"/>
      <c r="AT50" s="260"/>
      <c r="AU50" s="260"/>
      <c r="AV50" s="260"/>
      <c r="AW50" s="260"/>
      <c r="AX50" s="260"/>
      <c r="AY50" s="260"/>
      <c r="AZ50" s="260"/>
      <c r="BA50" s="260"/>
      <c r="BB50" s="260"/>
      <c r="BC50" s="260"/>
      <c r="BD50" s="260"/>
      <c r="BE50" s="260"/>
      <c r="BF50" s="260"/>
      <c r="BG50" s="260"/>
      <c r="BH50" s="260"/>
      <c r="BI50" s="260"/>
      <c r="BJ50" s="260"/>
      <c r="BK50" s="260"/>
      <c r="BL50" s="260"/>
      <c r="BM50" s="260"/>
      <c r="BN50" s="260"/>
      <c r="BO50" s="260"/>
      <c r="BP50" s="260"/>
      <c r="BQ50" s="260"/>
      <c r="BR50" s="260"/>
      <c r="BS50" s="260"/>
      <c r="BT50" s="260"/>
      <c r="BU50" s="260"/>
      <c r="BV50" s="260"/>
      <c r="BW50" s="260"/>
      <c r="BX50" s="260"/>
      <c r="BY50" s="261"/>
      <c r="BZ50" s="261"/>
      <c r="CA50" s="261"/>
      <c r="CB50" s="261"/>
      <c r="CC50" s="260"/>
      <c r="CD50" s="260"/>
      <c r="CE50" s="260"/>
      <c r="CF50" s="260"/>
      <c r="CG50" s="260"/>
      <c r="CH50" s="260"/>
      <c r="CI50" s="260"/>
      <c r="CJ50" s="260"/>
      <c r="DX50" s="2171"/>
    </row>
    <row r="51" spans="1:154" s="259" customFormat="1" ht="15" customHeight="1" x14ac:dyDescent="0.2">
      <c r="A51" s="1242" t="s">
        <v>413</v>
      </c>
      <c r="B51" s="401"/>
      <c r="C51" s="401"/>
      <c r="D51" s="401"/>
      <c r="E51" s="401"/>
      <c r="F51" s="401"/>
      <c r="G51" s="401"/>
      <c r="H51" s="401"/>
      <c r="I51" s="1143"/>
      <c r="J51" s="2407" t="str">
        <f>+J289</f>
        <v>0 Mo.</v>
      </c>
      <c r="K51" s="2408"/>
      <c r="L51" s="2714" t="str">
        <f>+L289</f>
        <v>0 Mo.</v>
      </c>
      <c r="M51" s="2715"/>
      <c r="N51" s="442"/>
      <c r="P51" s="260"/>
      <c r="Q51" s="260"/>
      <c r="R51" s="260"/>
      <c r="S51" s="260"/>
      <c r="T51" s="260"/>
      <c r="U51" s="260"/>
      <c r="V51" s="260"/>
      <c r="W51" s="260"/>
      <c r="X51" s="260"/>
      <c r="Y51" s="260"/>
      <c r="Z51" s="260"/>
      <c r="AA51" s="260"/>
      <c r="AB51" s="260"/>
      <c r="AC51" s="260"/>
      <c r="AD51" s="260"/>
      <c r="AE51" s="260"/>
      <c r="AF51" s="260"/>
      <c r="AG51" s="260"/>
      <c r="AH51" s="260"/>
      <c r="AI51" s="260"/>
      <c r="AJ51" s="260"/>
      <c r="AK51" s="260"/>
      <c r="AL51" s="260"/>
      <c r="AM51" s="260"/>
      <c r="AN51" s="260"/>
      <c r="AO51" s="260"/>
      <c r="AP51" s="260"/>
      <c r="AQ51" s="260"/>
      <c r="AR51" s="260"/>
      <c r="AS51" s="260"/>
      <c r="AT51" s="260"/>
      <c r="AU51" s="260"/>
      <c r="AV51" s="260"/>
      <c r="AW51" s="260"/>
      <c r="AX51" s="260"/>
      <c r="AY51" s="260"/>
      <c r="AZ51" s="260"/>
      <c r="BA51" s="260"/>
      <c r="BB51" s="260"/>
      <c r="BC51" s="260"/>
      <c r="BD51" s="260"/>
      <c r="BE51" s="260"/>
      <c r="BF51" s="260"/>
      <c r="BG51" s="260"/>
      <c r="BH51" s="260"/>
      <c r="BI51" s="260"/>
      <c r="BJ51" s="260"/>
      <c r="BK51" s="260"/>
      <c r="BL51" s="260"/>
      <c r="BM51" s="260"/>
      <c r="BN51" s="260"/>
      <c r="BO51" s="260"/>
      <c r="BP51" s="260"/>
      <c r="BQ51" s="260"/>
      <c r="BR51" s="260"/>
      <c r="BS51" s="260"/>
      <c r="BT51" s="260"/>
      <c r="BU51" s="260"/>
      <c r="BV51" s="260"/>
      <c r="BW51" s="260"/>
      <c r="BX51" s="260"/>
      <c r="BY51" s="261"/>
      <c r="BZ51" s="261"/>
      <c r="CA51" s="261"/>
      <c r="CB51" s="261"/>
      <c r="CC51" s="260"/>
      <c r="CD51" s="260"/>
      <c r="CE51" s="260"/>
      <c r="CF51" s="260"/>
      <c r="CG51" s="260"/>
      <c r="CH51" s="260"/>
      <c r="CI51" s="260"/>
      <c r="CJ51" s="260"/>
      <c r="DX51" s="2171"/>
    </row>
    <row r="52" spans="1:154" s="259" customFormat="1" ht="15.75" customHeight="1" x14ac:dyDescent="0.2">
      <c r="A52" s="1243" t="s">
        <v>260</v>
      </c>
      <c r="B52" s="401"/>
      <c r="C52" s="401"/>
      <c r="D52" s="401"/>
      <c r="E52" s="401"/>
      <c r="F52" s="401"/>
      <c r="G52" s="401"/>
      <c r="H52" s="401"/>
      <c r="I52" s="1143"/>
      <c r="J52" s="2493">
        <f>+J290</f>
        <v>0</v>
      </c>
      <c r="K52" s="2642"/>
      <c r="L52" s="2641">
        <f>+L290</f>
        <v>0</v>
      </c>
      <c r="M52" s="2642"/>
      <c r="N52" s="442"/>
      <c r="P52" s="260"/>
      <c r="Q52" s="260"/>
      <c r="R52" s="260"/>
      <c r="S52" s="260"/>
      <c r="T52" s="260"/>
      <c r="U52" s="260"/>
      <c r="V52" s="260"/>
      <c r="W52" s="260"/>
      <c r="X52" s="260"/>
      <c r="Y52" s="260"/>
      <c r="Z52" s="260"/>
      <c r="AA52" s="260"/>
      <c r="AB52" s="260"/>
      <c r="AC52" s="260"/>
      <c r="AD52" s="260"/>
      <c r="AE52" s="260"/>
      <c r="AF52" s="260"/>
      <c r="AG52" s="260"/>
      <c r="AH52" s="260"/>
      <c r="AI52" s="260"/>
      <c r="AJ52" s="260"/>
      <c r="AK52" s="260"/>
      <c r="AL52" s="260"/>
      <c r="AM52" s="260"/>
      <c r="AN52" s="260"/>
      <c r="AO52" s="260"/>
      <c r="AP52" s="260"/>
      <c r="AQ52" s="260"/>
      <c r="AR52" s="260"/>
      <c r="AS52" s="260"/>
      <c r="AT52" s="260"/>
      <c r="AU52" s="260"/>
      <c r="AV52" s="260"/>
      <c r="AW52" s="260"/>
      <c r="AX52" s="260"/>
      <c r="AY52" s="260"/>
      <c r="AZ52" s="260"/>
      <c r="BA52" s="260"/>
      <c r="BB52" s="260"/>
      <c r="BC52" s="260"/>
      <c r="BD52" s="260"/>
      <c r="BE52" s="260"/>
      <c r="BF52" s="260"/>
      <c r="BG52" s="260"/>
      <c r="BH52" s="260"/>
      <c r="BI52" s="260"/>
      <c r="BJ52" s="260"/>
      <c r="BK52" s="260"/>
      <c r="BL52" s="260"/>
      <c r="BM52" s="260"/>
      <c r="BN52" s="260"/>
      <c r="BO52" s="260"/>
      <c r="BP52" s="260"/>
      <c r="BQ52" s="260"/>
      <c r="BR52" s="260"/>
      <c r="BS52" s="260"/>
      <c r="BT52" s="260"/>
      <c r="BU52" s="260"/>
      <c r="BV52" s="260"/>
      <c r="BW52" s="260"/>
      <c r="BX52" s="260"/>
      <c r="BY52" s="261"/>
      <c r="BZ52" s="261"/>
      <c r="CA52" s="261"/>
      <c r="CB52" s="261"/>
      <c r="CC52" s="260"/>
      <c r="CD52" s="260"/>
      <c r="CE52" s="260"/>
      <c r="CF52" s="260"/>
      <c r="CG52" s="260"/>
      <c r="CH52" s="260"/>
      <c r="CI52" s="260"/>
      <c r="CJ52" s="260"/>
      <c r="DX52" s="2171"/>
    </row>
    <row r="53" spans="1:154" s="259" customFormat="1" ht="15" customHeight="1" thickBot="1" x14ac:dyDescent="0.25">
      <c r="A53" s="2649" t="s">
        <v>8677</v>
      </c>
      <c r="B53" s="2650"/>
      <c r="C53" s="2650"/>
      <c r="D53" s="2650"/>
      <c r="E53" s="2650"/>
      <c r="F53" s="2650"/>
      <c r="G53" s="2650"/>
      <c r="H53" s="2650"/>
      <c r="I53" s="2650"/>
      <c r="J53" s="2589">
        <f>+J293</f>
        <v>0</v>
      </c>
      <c r="K53" s="2590"/>
      <c r="L53" s="2641">
        <f>+L293</f>
        <v>0</v>
      </c>
      <c r="M53" s="2642"/>
      <c r="N53" s="442"/>
      <c r="P53" s="260"/>
      <c r="Q53" s="260"/>
      <c r="R53" s="260"/>
      <c r="S53" s="260"/>
      <c r="T53" s="260"/>
      <c r="U53" s="260" t="s">
        <v>197</v>
      </c>
      <c r="V53" s="260"/>
      <c r="W53" s="260"/>
      <c r="X53" s="260"/>
      <c r="Y53" s="260"/>
      <c r="Z53" s="260"/>
      <c r="AA53" s="260"/>
      <c r="AB53" s="260"/>
      <c r="AC53" s="260"/>
      <c r="AD53" s="260"/>
      <c r="AE53" s="260"/>
      <c r="AF53" s="260"/>
      <c r="AG53" s="260"/>
      <c r="AH53" s="260"/>
      <c r="AI53" s="260"/>
      <c r="AJ53" s="260"/>
      <c r="AK53" s="260"/>
      <c r="AL53" s="260"/>
      <c r="AM53" s="260"/>
      <c r="AN53" s="260"/>
      <c r="AO53" s="260"/>
      <c r="AP53" s="260"/>
      <c r="AQ53" s="260"/>
      <c r="AR53" s="260"/>
      <c r="AS53" s="260"/>
      <c r="AT53" s="260"/>
      <c r="AU53" s="260"/>
      <c r="AV53" s="260"/>
      <c r="AW53" s="260"/>
      <c r="AX53" s="260"/>
      <c r="AY53" s="260"/>
      <c r="AZ53" s="260"/>
      <c r="BA53" s="260"/>
      <c r="BB53" s="260"/>
      <c r="BC53" s="260"/>
      <c r="BD53" s="260"/>
      <c r="BE53" s="260"/>
      <c r="BF53" s="260"/>
      <c r="BG53" s="260"/>
      <c r="BH53" s="260"/>
      <c r="BI53" s="260"/>
      <c r="BJ53" s="260"/>
      <c r="BK53" s="260"/>
      <c r="BL53" s="260"/>
      <c r="BM53" s="260"/>
      <c r="BN53" s="260"/>
      <c r="BO53" s="260"/>
      <c r="BP53" s="260"/>
      <c r="BQ53" s="260"/>
      <c r="BR53" s="260"/>
      <c r="BS53" s="260"/>
      <c r="BT53" s="260"/>
      <c r="BU53" s="260"/>
      <c r="BV53" s="260"/>
      <c r="BW53" s="260"/>
      <c r="BX53" s="260"/>
      <c r="BY53" s="261"/>
      <c r="BZ53" s="261"/>
      <c r="CA53" s="261"/>
      <c r="CB53" s="261"/>
      <c r="CC53" s="260"/>
      <c r="CD53" s="260"/>
      <c r="CE53" s="260"/>
      <c r="CF53" s="260"/>
      <c r="CG53" s="260"/>
      <c r="CH53" s="260"/>
      <c r="CI53" s="260"/>
      <c r="CJ53" s="260"/>
      <c r="DX53" s="2171"/>
    </row>
    <row r="54" spans="1:154" s="259" customFormat="1" ht="15" customHeight="1" thickBot="1" x14ac:dyDescent="0.25">
      <c r="A54" s="2224" t="s">
        <v>440</v>
      </c>
      <c r="B54" s="2225"/>
      <c r="C54" s="2225"/>
      <c r="D54" s="2225"/>
      <c r="E54" s="2225"/>
      <c r="F54" s="2225"/>
      <c r="G54" s="2225"/>
      <c r="H54" s="2225"/>
      <c r="I54" s="2226"/>
      <c r="J54" s="2624" t="str">
        <f>+J294</f>
        <v xml:space="preserve"> </v>
      </c>
      <c r="K54" s="2625"/>
      <c r="L54" s="2624" t="str">
        <f>+L294</f>
        <v xml:space="preserve"> </v>
      </c>
      <c r="M54" s="2625"/>
      <c r="N54" s="442"/>
      <c r="P54" s="260"/>
      <c r="Q54" s="260"/>
      <c r="R54" s="260"/>
      <c r="S54" s="260"/>
      <c r="T54" s="260"/>
      <c r="U54" s="260"/>
      <c r="V54" s="260"/>
      <c r="W54" s="260"/>
      <c r="X54" s="260"/>
      <c r="Y54" s="260"/>
      <c r="Z54" s="260"/>
      <c r="AA54" s="260"/>
      <c r="AB54" s="260"/>
      <c r="AC54" s="260"/>
      <c r="AD54" s="260"/>
      <c r="AE54" s="260"/>
      <c r="AF54" s="260"/>
      <c r="AG54" s="260"/>
      <c r="AH54" s="260"/>
      <c r="AI54" s="260"/>
      <c r="AJ54" s="260"/>
      <c r="AK54" s="260"/>
      <c r="AL54" s="260"/>
      <c r="AM54" s="260"/>
      <c r="AN54" s="260"/>
      <c r="AO54" s="260"/>
      <c r="AP54" s="260"/>
      <c r="AQ54" s="260"/>
      <c r="AR54" s="260"/>
      <c r="AS54" s="260"/>
      <c r="AT54" s="260"/>
      <c r="AU54" s="260"/>
      <c r="AV54" s="260"/>
      <c r="AW54" s="260"/>
      <c r="AX54" s="260"/>
      <c r="AY54" s="260"/>
      <c r="AZ54" s="260"/>
      <c r="BA54" s="260"/>
      <c r="BB54" s="260"/>
      <c r="BC54" s="260"/>
      <c r="BD54" s="260"/>
      <c r="BE54" s="260"/>
      <c r="BF54" s="260"/>
      <c r="BG54" s="260"/>
      <c r="BH54" s="260"/>
      <c r="BI54" s="260"/>
      <c r="BJ54" s="260"/>
      <c r="BK54" s="260"/>
      <c r="BL54" s="260"/>
      <c r="BM54" s="260"/>
      <c r="BN54" s="260"/>
      <c r="BO54" s="260"/>
      <c r="BP54" s="260"/>
      <c r="BQ54" s="260"/>
      <c r="BR54" s="260"/>
      <c r="BS54" s="260"/>
      <c r="BT54" s="260"/>
      <c r="BU54" s="260"/>
      <c r="BV54" s="260"/>
      <c r="BW54" s="260"/>
      <c r="BX54" s="260"/>
      <c r="BY54" s="261"/>
      <c r="BZ54" s="261"/>
      <c r="CA54" s="261"/>
      <c r="CB54" s="261"/>
      <c r="CC54" s="260"/>
      <c r="CD54" s="260"/>
      <c r="CE54" s="260"/>
      <c r="CF54" s="260"/>
      <c r="CG54" s="260"/>
      <c r="CH54" s="260"/>
      <c r="CI54" s="260"/>
      <c r="CJ54" s="260"/>
      <c r="DX54" s="2171"/>
    </row>
    <row r="55" spans="1:154" s="259" customFormat="1" ht="8.25" customHeight="1" thickBot="1" x14ac:dyDescent="0.25">
      <c r="A55" s="1240"/>
      <c r="B55" s="104"/>
      <c r="C55" s="104"/>
      <c r="D55" s="264"/>
      <c r="E55" s="265"/>
      <c r="F55" s="265"/>
      <c r="G55" s="265"/>
      <c r="H55" s="265"/>
      <c r="I55" s="1241"/>
      <c r="J55" s="1241"/>
      <c r="K55" s="1241"/>
      <c r="L55" s="1241"/>
      <c r="M55" s="1241"/>
      <c r="N55" s="442"/>
      <c r="P55" s="260"/>
      <c r="Q55" s="260"/>
      <c r="R55" s="260"/>
      <c r="S55" s="260"/>
      <c r="T55" s="260"/>
      <c r="U55" s="260"/>
      <c r="V55" s="260"/>
      <c r="W55" s="260"/>
      <c r="X55" s="260"/>
      <c r="Y55" s="260"/>
      <c r="Z55" s="260"/>
      <c r="AA55" s="260"/>
      <c r="AB55" s="260"/>
      <c r="AC55" s="260"/>
      <c r="AD55" s="260"/>
      <c r="AE55" s="260"/>
      <c r="AF55" s="260"/>
      <c r="AG55" s="260"/>
      <c r="AH55" s="260"/>
      <c r="AI55" s="260"/>
      <c r="AJ55" s="260"/>
      <c r="AK55" s="260"/>
      <c r="AL55" s="260"/>
      <c r="AM55" s="260"/>
      <c r="AN55" s="260"/>
      <c r="AO55" s="260"/>
      <c r="AP55" s="260"/>
      <c r="AQ55" s="260"/>
      <c r="AR55" s="260"/>
      <c r="AS55" s="260"/>
      <c r="AT55" s="260"/>
      <c r="AU55" s="260"/>
      <c r="AV55" s="260"/>
      <c r="AW55" s="260"/>
      <c r="AX55" s="260"/>
      <c r="AY55" s="260"/>
      <c r="AZ55" s="260"/>
      <c r="BA55" s="260"/>
      <c r="BB55" s="260"/>
      <c r="BC55" s="260"/>
      <c r="BD55" s="260"/>
      <c r="BE55" s="260"/>
      <c r="BF55" s="260"/>
      <c r="BG55" s="260"/>
      <c r="BH55" s="260"/>
      <c r="BI55" s="260"/>
      <c r="BJ55" s="260"/>
      <c r="BK55" s="260"/>
      <c r="BL55" s="260"/>
      <c r="BM55" s="260"/>
      <c r="BN55" s="260"/>
      <c r="BO55" s="260"/>
      <c r="BP55" s="260"/>
      <c r="BQ55" s="260"/>
      <c r="BR55" s="260"/>
      <c r="BS55" s="260"/>
      <c r="BT55" s="260"/>
      <c r="BU55" s="260"/>
      <c r="BV55" s="260"/>
      <c r="BW55" s="260"/>
      <c r="BX55" s="260"/>
      <c r="BY55" s="261"/>
      <c r="BZ55" s="261"/>
      <c r="CA55" s="261"/>
      <c r="CB55" s="261"/>
      <c r="CC55" s="260"/>
      <c r="CD55" s="260"/>
      <c r="CE55" s="260"/>
      <c r="CF55" s="260"/>
      <c r="CG55" s="260"/>
      <c r="CH55" s="260"/>
      <c r="CI55" s="260"/>
      <c r="CJ55" s="260"/>
      <c r="DX55" s="2171"/>
    </row>
    <row r="56" spans="1:154" s="259" customFormat="1" ht="15.75" customHeight="1" thickBot="1" x14ac:dyDescent="0.25">
      <c r="A56" s="2638" t="s">
        <v>734</v>
      </c>
      <c r="B56" s="2639"/>
      <c r="C56" s="2639"/>
      <c r="D56" s="2639"/>
      <c r="E56" s="2639"/>
      <c r="F56" s="2639"/>
      <c r="G56" s="2639"/>
      <c r="H56" s="2639"/>
      <c r="I56" s="2640"/>
      <c r="J56" s="2606" t="s">
        <v>4</v>
      </c>
      <c r="K56" s="2607"/>
      <c r="L56" s="2744" t="s">
        <v>729</v>
      </c>
      <c r="M56" s="2607"/>
      <c r="N56" s="442"/>
      <c r="P56" s="260"/>
      <c r="Q56" s="260"/>
      <c r="R56" s="260"/>
      <c r="S56" s="260"/>
      <c r="T56" s="260"/>
      <c r="U56" s="260"/>
      <c r="V56" s="260"/>
      <c r="W56" s="260"/>
      <c r="X56" s="260"/>
      <c r="Y56" s="260"/>
      <c r="Z56" s="260"/>
      <c r="AA56" s="260"/>
      <c r="AB56" s="260"/>
      <c r="AC56" s="260"/>
      <c r="AD56" s="260"/>
      <c r="AE56" s="260"/>
      <c r="AF56" s="260"/>
      <c r="AG56" s="260"/>
      <c r="AH56" s="260"/>
      <c r="AI56" s="260"/>
      <c r="AJ56" s="260"/>
      <c r="AK56" s="260"/>
      <c r="AL56" s="260"/>
      <c r="AM56" s="260"/>
      <c r="AN56" s="260"/>
      <c r="AO56" s="260"/>
      <c r="AP56" s="260"/>
      <c r="AQ56" s="260"/>
      <c r="AR56" s="260"/>
      <c r="AS56" s="260"/>
      <c r="AT56" s="260"/>
      <c r="AU56" s="260"/>
      <c r="AV56" s="260"/>
      <c r="AW56" s="260"/>
      <c r="AX56" s="260"/>
      <c r="AY56" s="260"/>
      <c r="AZ56" s="260"/>
      <c r="BA56" s="260"/>
      <c r="BB56" s="260"/>
      <c r="BC56" s="260"/>
      <c r="BD56" s="260"/>
      <c r="BE56" s="260"/>
      <c r="BF56" s="260"/>
      <c r="BG56" s="260"/>
      <c r="BH56" s="260"/>
      <c r="BI56" s="260"/>
      <c r="BJ56" s="260"/>
      <c r="BK56" s="260"/>
      <c r="BL56" s="260"/>
      <c r="BM56" s="260"/>
      <c r="BN56" s="260"/>
      <c r="BO56" s="260"/>
      <c r="BP56" s="260"/>
      <c r="BQ56" s="260"/>
      <c r="BR56" s="260"/>
      <c r="BS56" s="260"/>
      <c r="BT56" s="260"/>
      <c r="BU56" s="260"/>
      <c r="BV56" s="260"/>
      <c r="BW56" s="260"/>
      <c r="BX56" s="260"/>
      <c r="BY56" s="261"/>
      <c r="BZ56" s="261"/>
      <c r="CA56" s="261"/>
      <c r="CB56" s="261"/>
      <c r="CC56" s="260"/>
      <c r="CD56" s="260"/>
      <c r="CE56" s="260"/>
      <c r="CF56" s="260"/>
      <c r="CG56" s="260"/>
      <c r="CH56" s="260"/>
      <c r="CI56" s="260"/>
      <c r="CJ56" s="260"/>
      <c r="DX56" s="2171"/>
    </row>
    <row r="57" spans="1:154" s="259" customFormat="1" ht="15.75" customHeight="1" thickBot="1" x14ac:dyDescent="0.25">
      <c r="A57" s="1244" t="s">
        <v>444</v>
      </c>
      <c r="B57" s="1245"/>
      <c r="C57" s="1245"/>
      <c r="D57" s="1245"/>
      <c r="E57" s="1245"/>
      <c r="F57" s="1245"/>
      <c r="G57" s="1245"/>
      <c r="H57" s="1245"/>
      <c r="I57" s="1246"/>
      <c r="J57" s="2303">
        <f>+G46*1000</f>
        <v>0</v>
      </c>
      <c r="K57" s="2304"/>
      <c r="L57" s="2292">
        <f>+H46*1000</f>
        <v>0</v>
      </c>
      <c r="M57" s="2304"/>
      <c r="N57" s="442"/>
      <c r="P57" s="260"/>
      <c r="Q57" s="260"/>
      <c r="R57" s="260"/>
      <c r="S57" s="260"/>
      <c r="T57" s="260"/>
      <c r="U57" s="260"/>
      <c r="V57" s="260"/>
      <c r="W57" s="260"/>
      <c r="X57" s="260"/>
      <c r="Y57" s="260"/>
      <c r="Z57" s="260"/>
      <c r="AA57" s="260"/>
      <c r="AB57" s="260"/>
      <c r="AC57" s="260"/>
      <c r="AD57" s="260"/>
      <c r="AE57" s="260"/>
      <c r="AF57" s="260"/>
      <c r="AG57" s="260"/>
      <c r="AH57" s="260"/>
      <c r="AI57" s="260"/>
      <c r="AJ57" s="260"/>
      <c r="AK57" s="260"/>
      <c r="AL57" s="260"/>
      <c r="AM57" s="260"/>
      <c r="AN57" s="260"/>
      <c r="AO57" s="260"/>
      <c r="AP57" s="260"/>
      <c r="AQ57" s="260"/>
      <c r="AR57" s="260"/>
      <c r="AS57" s="260"/>
      <c r="AT57" s="260"/>
      <c r="AU57" s="260"/>
      <c r="AV57" s="260"/>
      <c r="AW57" s="260"/>
      <c r="AX57" s="260"/>
      <c r="AY57" s="260"/>
      <c r="AZ57" s="260"/>
      <c r="BA57" s="260"/>
      <c r="BB57" s="260"/>
      <c r="BC57" s="260"/>
      <c r="BD57" s="260"/>
      <c r="BE57" s="260"/>
      <c r="BF57" s="260"/>
      <c r="BG57" s="260"/>
      <c r="BH57" s="260"/>
      <c r="BI57" s="260"/>
      <c r="BJ57" s="260"/>
      <c r="BK57" s="260"/>
      <c r="BL57" s="260"/>
      <c r="BM57" s="260"/>
      <c r="BN57" s="260"/>
      <c r="BO57" s="260"/>
      <c r="BP57" s="260"/>
      <c r="BQ57" s="260"/>
      <c r="BR57" s="260"/>
      <c r="BS57" s="260"/>
      <c r="BT57" s="260"/>
      <c r="BU57" s="260"/>
      <c r="BV57" s="260"/>
      <c r="BW57" s="260"/>
      <c r="BX57" s="260"/>
      <c r="BY57" s="261"/>
      <c r="BZ57" s="261"/>
      <c r="CA57" s="261"/>
      <c r="CB57" s="261"/>
      <c r="CC57" s="260"/>
      <c r="CD57" s="260"/>
      <c r="CE57" s="260"/>
      <c r="CF57" s="260"/>
      <c r="CG57" s="260"/>
      <c r="CH57" s="260"/>
      <c r="CI57" s="260"/>
      <c r="CJ57" s="260"/>
      <c r="DX57" s="2171"/>
    </row>
    <row r="58" spans="1:154" s="259" customFormat="1" ht="15.75" customHeight="1" thickBot="1" x14ac:dyDescent="0.25">
      <c r="A58" s="2224" t="s">
        <v>8261</v>
      </c>
      <c r="B58" s="2225"/>
      <c r="C58" s="2225"/>
      <c r="D58" s="2225"/>
      <c r="E58" s="2225"/>
      <c r="F58" s="2225"/>
      <c r="G58" s="2225"/>
      <c r="H58" s="2225"/>
      <c r="I58" s="2226"/>
      <c r="J58" s="2743" t="str">
        <f>IF(P8&gt;170,"&gt; 170kg",IF(G46&lt;=R46,"ja","nein"))</f>
        <v>ja</v>
      </c>
      <c r="K58" s="2742"/>
      <c r="L58" s="2741" t="str">
        <f>IF(H46&lt;=S46,"ja","nein")</f>
        <v>ja</v>
      </c>
      <c r="M58" s="2742"/>
      <c r="N58" s="442"/>
      <c r="P58" s="260"/>
      <c r="Q58" s="260"/>
      <c r="R58" s="260"/>
      <c r="S58" s="260"/>
      <c r="T58" s="260"/>
      <c r="U58" s="260"/>
      <c r="V58" s="260"/>
      <c r="W58" s="260"/>
      <c r="X58" s="260"/>
      <c r="Y58" s="260"/>
      <c r="Z58" s="260"/>
      <c r="AA58" s="260"/>
      <c r="AB58" s="260"/>
      <c r="AC58" s="260"/>
      <c r="AD58" s="260"/>
      <c r="AE58" s="260"/>
      <c r="AF58" s="260"/>
      <c r="AG58" s="260"/>
      <c r="AH58" s="260"/>
      <c r="AI58" s="260"/>
      <c r="AJ58" s="260"/>
      <c r="AK58" s="260"/>
      <c r="AL58" s="260"/>
      <c r="AM58" s="260"/>
      <c r="AN58" s="260"/>
      <c r="AO58" s="260"/>
      <c r="AP58" s="260"/>
      <c r="AQ58" s="260"/>
      <c r="AR58" s="260"/>
      <c r="AS58" s="260"/>
      <c r="AT58" s="260"/>
      <c r="AU58" s="260"/>
      <c r="AV58" s="260"/>
      <c r="AW58" s="260"/>
      <c r="AX58" s="260"/>
      <c r="AY58" s="260"/>
      <c r="AZ58" s="260"/>
      <c r="BA58" s="260"/>
      <c r="BB58" s="260"/>
      <c r="BC58" s="260"/>
      <c r="BD58" s="260"/>
      <c r="BE58" s="260"/>
      <c r="BF58" s="260"/>
      <c r="BG58" s="260"/>
      <c r="BH58" s="260"/>
      <c r="BI58" s="260"/>
      <c r="BJ58" s="260"/>
      <c r="BK58" s="260"/>
      <c r="BL58" s="260"/>
      <c r="BM58" s="260"/>
      <c r="BN58" s="260"/>
      <c r="BO58" s="260"/>
      <c r="BP58" s="260"/>
      <c r="BQ58" s="260"/>
      <c r="BR58" s="260"/>
      <c r="BS58" s="260"/>
      <c r="BT58" s="260"/>
      <c r="BU58" s="260"/>
      <c r="BV58" s="260"/>
      <c r="BW58" s="260"/>
      <c r="BX58" s="260"/>
      <c r="BY58" s="261"/>
      <c r="BZ58" s="261"/>
      <c r="CA58" s="261"/>
      <c r="CB58" s="261"/>
      <c r="CC58" s="260"/>
      <c r="CD58" s="260"/>
      <c r="CE58" s="260"/>
      <c r="CF58" s="260"/>
      <c r="CG58" s="260"/>
      <c r="CH58" s="260"/>
      <c r="CI58" s="260"/>
      <c r="CJ58" s="260"/>
      <c r="DX58" s="2171"/>
    </row>
    <row r="59" spans="1:154" s="259" customFormat="1" ht="6" customHeight="1" x14ac:dyDescent="0.2">
      <c r="A59" s="1240"/>
      <c r="B59" s="104"/>
      <c r="C59" s="104"/>
      <c r="D59" s="264"/>
      <c r="E59" s="265"/>
      <c r="F59" s="265"/>
      <c r="G59" s="265"/>
      <c r="H59" s="265"/>
      <c r="I59" s="1241"/>
      <c r="J59" s="1241"/>
      <c r="K59" s="1241"/>
      <c r="L59" s="1241"/>
      <c r="M59" s="1241"/>
      <c r="N59" s="442"/>
      <c r="P59" s="260"/>
      <c r="Q59" s="260"/>
      <c r="R59" s="260"/>
      <c r="S59" s="260"/>
      <c r="T59" s="260"/>
      <c r="U59" s="260"/>
      <c r="V59" s="260"/>
      <c r="W59" s="260"/>
      <c r="X59" s="260"/>
      <c r="Y59" s="260"/>
      <c r="Z59" s="260"/>
      <c r="AA59" s="260"/>
      <c r="AB59" s="260"/>
      <c r="AC59" s="260"/>
      <c r="AD59" s="260"/>
      <c r="AE59" s="260"/>
      <c r="AF59" s="260"/>
      <c r="AG59" s="260"/>
      <c r="AH59" s="260"/>
      <c r="AI59" s="260"/>
      <c r="AJ59" s="260"/>
      <c r="AK59" s="260"/>
      <c r="AL59" s="260"/>
      <c r="AM59" s="260"/>
      <c r="AN59" s="260"/>
      <c r="AO59" s="260"/>
      <c r="AP59" s="260"/>
      <c r="AQ59" s="260"/>
      <c r="AR59" s="260"/>
      <c r="AS59" s="260"/>
      <c r="AT59" s="260"/>
      <c r="AU59" s="260"/>
      <c r="AV59" s="260"/>
      <c r="AW59" s="260"/>
      <c r="AX59" s="260"/>
      <c r="AY59" s="260"/>
      <c r="AZ59" s="260"/>
      <c r="BA59" s="260"/>
      <c r="BB59" s="260"/>
      <c r="BC59" s="260"/>
      <c r="BD59" s="260"/>
      <c r="BE59" s="260"/>
      <c r="BF59" s="260"/>
      <c r="BG59" s="260"/>
      <c r="BH59" s="260"/>
      <c r="BI59" s="260"/>
      <c r="BJ59" s="260"/>
      <c r="BK59" s="260"/>
      <c r="BL59" s="260"/>
      <c r="BM59" s="260"/>
      <c r="BN59" s="260"/>
      <c r="BO59" s="260"/>
      <c r="BP59" s="260"/>
      <c r="BQ59" s="260"/>
      <c r="BR59" s="260"/>
      <c r="BS59" s="260"/>
      <c r="BT59" s="260"/>
      <c r="BU59" s="260"/>
      <c r="BV59" s="260"/>
      <c r="BW59" s="260"/>
      <c r="BX59" s="260"/>
      <c r="BY59" s="260"/>
      <c r="BZ59" s="260"/>
      <c r="CA59" s="261"/>
      <c r="CB59" s="261"/>
      <c r="CC59" s="261"/>
      <c r="CD59" s="261"/>
      <c r="CE59" s="260"/>
      <c r="CF59" s="260"/>
      <c r="CG59" s="260"/>
      <c r="CH59" s="260"/>
      <c r="CI59" s="260"/>
      <c r="CJ59" s="260"/>
      <c r="CK59" s="260"/>
      <c r="CL59" s="260"/>
      <c r="CM59" s="260"/>
      <c r="CN59" s="260"/>
      <c r="CO59" s="260"/>
      <c r="DX59" s="2171"/>
    </row>
    <row r="60" spans="1:154" s="259" customFormat="1" ht="4.5" customHeight="1" x14ac:dyDescent="0.2">
      <c r="A60" s="1240"/>
      <c r="B60" s="104"/>
      <c r="C60" s="104"/>
      <c r="D60" s="264"/>
      <c r="E60" s="265"/>
      <c r="F60" s="265"/>
      <c r="G60" s="265"/>
      <c r="H60" s="265"/>
      <c r="I60" s="1241"/>
      <c r="J60" s="1241"/>
      <c r="K60" s="1241"/>
      <c r="L60" s="1241"/>
      <c r="M60" s="1241"/>
      <c r="N60" s="442"/>
      <c r="P60" s="260"/>
      <c r="Q60" s="260"/>
      <c r="R60" s="260"/>
      <c r="S60" s="260"/>
      <c r="T60" s="260"/>
      <c r="U60" s="260"/>
      <c r="V60" s="260"/>
      <c r="W60" s="260"/>
      <c r="X60" s="260"/>
      <c r="Y60" s="260"/>
      <c r="Z60" s="260"/>
      <c r="AA60" s="260"/>
      <c r="AB60" s="260"/>
      <c r="AC60" s="260"/>
      <c r="AD60" s="260"/>
      <c r="AE60" s="260"/>
      <c r="AF60" s="260"/>
      <c r="AG60" s="260"/>
      <c r="AH60" s="260"/>
      <c r="AI60" s="260"/>
      <c r="AJ60" s="260"/>
      <c r="AK60" s="260"/>
      <c r="AL60" s="260"/>
      <c r="AM60" s="260"/>
      <c r="AN60" s="260"/>
      <c r="AO60" s="260"/>
      <c r="AP60" s="260"/>
      <c r="AQ60" s="260"/>
      <c r="AR60" s="260"/>
      <c r="AS60" s="260"/>
      <c r="AT60" s="260"/>
      <c r="AU60" s="260"/>
      <c r="AV60" s="260"/>
      <c r="AW60" s="260"/>
      <c r="AX60" s="260"/>
      <c r="AY60" s="260"/>
      <c r="AZ60" s="260"/>
      <c r="BA60" s="260"/>
      <c r="BB60" s="260"/>
      <c r="BC60" s="260"/>
      <c r="BD60" s="260"/>
      <c r="BE60" s="260"/>
      <c r="BF60" s="260"/>
      <c r="BG60" s="260"/>
      <c r="BH60" s="260"/>
      <c r="BI60" s="260"/>
      <c r="BJ60" s="260"/>
      <c r="BK60" s="260"/>
      <c r="BL60" s="260"/>
      <c r="BM60" s="260"/>
      <c r="BN60" s="260"/>
      <c r="BO60" s="260"/>
      <c r="BP60" s="260"/>
      <c r="BQ60" s="260"/>
      <c r="BR60" s="260"/>
      <c r="BS60" s="260"/>
      <c r="BT60" s="260"/>
      <c r="BU60" s="260"/>
      <c r="BV60" s="260"/>
      <c r="BW60" s="260"/>
      <c r="BX60" s="260"/>
      <c r="BY60" s="260"/>
      <c r="BZ60" s="260"/>
      <c r="CA60" s="261"/>
      <c r="CB60" s="261"/>
      <c r="CC60" s="261"/>
      <c r="CD60" s="261"/>
      <c r="CE60" s="260"/>
      <c r="CF60" s="260"/>
      <c r="CG60" s="260"/>
      <c r="CH60" s="260"/>
      <c r="CI60" s="260"/>
      <c r="CJ60" s="260"/>
      <c r="CK60" s="260"/>
      <c r="CL60" s="260"/>
      <c r="CM60" s="260"/>
      <c r="CN60" s="260"/>
      <c r="CO60" s="260"/>
      <c r="DX60" s="2171"/>
    </row>
    <row r="61" spans="1:154" ht="4.5" customHeight="1" thickBot="1" x14ac:dyDescent="0.25">
      <c r="A61" s="117"/>
      <c r="B61" s="142"/>
      <c r="C61" s="142"/>
      <c r="D61" s="117"/>
      <c r="E61" s="92"/>
      <c r="F61" s="92"/>
      <c r="G61" s="92"/>
      <c r="H61" s="1247"/>
      <c r="I61" s="92"/>
      <c r="J61" s="92"/>
      <c r="K61" s="92"/>
      <c r="L61" s="92"/>
      <c r="M61" s="92"/>
      <c r="N61" s="4"/>
      <c r="U61" s="147"/>
      <c r="V61" s="147"/>
      <c r="W61" s="147"/>
      <c r="X61" s="147"/>
      <c r="AN61" s="152"/>
      <c r="AO61" s="152"/>
      <c r="AP61" s="152"/>
      <c r="AQ61" s="152"/>
      <c r="BU61" s="146"/>
      <c r="BV61" s="146"/>
      <c r="BW61" s="146"/>
      <c r="BX61" s="146"/>
      <c r="CA61" s="147"/>
      <c r="CB61" s="147"/>
      <c r="CC61" s="147"/>
      <c r="CD61" s="147"/>
      <c r="CE61" s="146"/>
      <c r="CF61" s="146"/>
      <c r="CG61" s="146"/>
      <c r="CH61" s="146"/>
      <c r="CI61" s="146"/>
      <c r="CJ61" s="146"/>
      <c r="CK61" s="146"/>
      <c r="CL61" s="146"/>
      <c r="CM61" s="146"/>
      <c r="CN61" s="146"/>
      <c r="CO61" s="146"/>
    </row>
    <row r="62" spans="1:154" s="93" customFormat="1" ht="16.5" customHeight="1" thickBot="1" x14ac:dyDescent="0.25">
      <c r="A62" s="1211" t="s">
        <v>717</v>
      </c>
      <c r="B62" s="1248"/>
      <c r="C62" s="1248"/>
      <c r="D62" s="1248"/>
      <c r="E62" s="1248"/>
      <c r="F62" s="1248"/>
      <c r="G62" s="1248"/>
      <c r="H62" s="1248"/>
      <c r="I62" s="1248"/>
      <c r="J62" s="1248"/>
      <c r="K62" s="1248"/>
      <c r="L62" s="1248"/>
      <c r="M62" s="1249"/>
      <c r="N62" s="444"/>
      <c r="P62" s="153"/>
      <c r="Q62" s="153"/>
      <c r="R62" s="2622" t="s">
        <v>637</v>
      </c>
      <c r="S62" s="2622"/>
      <c r="T62" s="2622"/>
      <c r="U62" s="153"/>
      <c r="V62" s="153"/>
      <c r="W62" s="153"/>
      <c r="X62" s="153"/>
      <c r="Y62" s="153"/>
      <c r="Z62" s="153"/>
      <c r="AA62" s="153"/>
      <c r="AB62" s="159" t="s">
        <v>228</v>
      </c>
      <c r="AC62" s="153"/>
      <c r="AD62" s="153"/>
      <c r="AE62" s="153"/>
      <c r="AF62" s="153"/>
      <c r="AG62" s="153"/>
      <c r="AH62" s="153"/>
      <c r="AI62" s="153"/>
      <c r="AJ62" s="153"/>
      <c r="AK62" s="153"/>
      <c r="AL62" s="153"/>
      <c r="AM62" s="153"/>
      <c r="AN62" s="153"/>
      <c r="AO62" s="153"/>
      <c r="AP62" s="153"/>
      <c r="AQ62" s="153"/>
      <c r="AR62" s="153"/>
      <c r="AS62" s="153"/>
      <c r="AT62" s="153"/>
      <c r="AU62" s="153"/>
      <c r="AV62" s="153"/>
      <c r="AW62" s="153"/>
      <c r="AX62" s="153"/>
      <c r="AY62" s="153"/>
      <c r="AZ62" s="153"/>
      <c r="BA62" s="153"/>
      <c r="BB62" s="153"/>
      <c r="BC62" s="153"/>
      <c r="BD62" s="153"/>
      <c r="BE62" s="153"/>
      <c r="BF62" s="153"/>
      <c r="BG62" s="153"/>
      <c r="BH62" s="153"/>
      <c r="BI62" s="153"/>
      <c r="BJ62" s="153"/>
      <c r="BK62" s="153"/>
      <c r="BL62" s="153"/>
      <c r="BM62" s="153"/>
      <c r="BN62" s="153"/>
      <c r="BO62" s="153"/>
      <c r="BP62" s="153"/>
      <c r="BQ62" s="153"/>
      <c r="BR62" s="153"/>
      <c r="BS62" s="153"/>
      <c r="BT62" s="153"/>
      <c r="BU62" s="153"/>
      <c r="BV62" s="153"/>
      <c r="BW62" s="153"/>
      <c r="BX62" s="153"/>
      <c r="BY62" s="153"/>
      <c r="BZ62" s="153"/>
      <c r="CA62" s="153"/>
      <c r="CB62" s="153"/>
      <c r="CC62" s="153"/>
      <c r="CD62" s="153"/>
      <c r="CE62" s="154"/>
      <c r="CF62" s="154"/>
      <c r="CG62" s="154"/>
      <c r="CH62" s="154"/>
      <c r="CI62" s="154"/>
      <c r="CJ62" s="154"/>
      <c r="CK62" s="154"/>
      <c r="CL62" s="154"/>
      <c r="CM62" s="154"/>
      <c r="CN62" s="154"/>
      <c r="CO62" s="153"/>
      <c r="CP62" s="153"/>
      <c r="CQ62" s="153"/>
      <c r="CR62" s="153"/>
      <c r="DA62" s="93" t="s">
        <v>590</v>
      </c>
      <c r="DD62" s="2622" t="s">
        <v>591</v>
      </c>
      <c r="DE62" s="2622"/>
      <c r="DF62" s="2622"/>
      <c r="DG62" s="2622"/>
      <c r="DH62" s="2622"/>
      <c r="DI62" s="2622"/>
      <c r="DJ62" s="2622" t="s">
        <v>592</v>
      </c>
      <c r="DK62" s="2622"/>
      <c r="DL62" s="2622"/>
      <c r="DM62" s="2622"/>
      <c r="DN62" s="2622"/>
      <c r="DO62" s="388"/>
      <c r="DP62" s="388"/>
      <c r="DQ62" s="93" t="s">
        <v>559</v>
      </c>
      <c r="DR62" s="93" t="s">
        <v>559</v>
      </c>
      <c r="DS62" s="2764" t="s">
        <v>559</v>
      </c>
      <c r="DT62" s="2764"/>
      <c r="DU62" s="2764"/>
      <c r="DV62" s="2764"/>
      <c r="DW62" s="2764"/>
      <c r="DX62" s="2764"/>
      <c r="DY62" s="2764"/>
      <c r="DZ62" s="345"/>
      <c r="EA62" s="345"/>
      <c r="EB62" s="345"/>
      <c r="EC62" s="2764" t="s">
        <v>630</v>
      </c>
      <c r="ED62" s="2764"/>
      <c r="EE62" s="2764"/>
      <c r="EF62" s="2764"/>
      <c r="EG62" s="2622" t="s">
        <v>407</v>
      </c>
      <c r="EH62" s="2622"/>
      <c r="EI62" s="2622" t="s">
        <v>11</v>
      </c>
      <c r="EJ62" s="2622"/>
      <c r="EK62" s="93" t="s">
        <v>622</v>
      </c>
      <c r="EP62" s="271" t="s">
        <v>425</v>
      </c>
      <c r="EQ62" s="335" t="s">
        <v>426</v>
      </c>
      <c r="ER62" s="335" t="s">
        <v>597</v>
      </c>
      <c r="ES62" s="335" t="s">
        <v>426</v>
      </c>
      <c r="ET62" s="146" t="s">
        <v>603</v>
      </c>
      <c r="EU62" s="146"/>
      <c r="EV62" s="207" t="s">
        <v>601</v>
      </c>
      <c r="EW62" s="207" t="s">
        <v>602</v>
      </c>
      <c r="EX62" s="207" t="s">
        <v>607</v>
      </c>
    </row>
    <row r="63" spans="1:154" s="94" customFormat="1" ht="15" customHeight="1" thickBot="1" x14ac:dyDescent="0.25">
      <c r="N63" s="1"/>
      <c r="P63" s="155"/>
      <c r="Q63" s="155"/>
      <c r="R63" s="158" t="s">
        <v>221</v>
      </c>
      <c r="S63" s="158" t="s">
        <v>221</v>
      </c>
      <c r="T63" s="158" t="s">
        <v>221</v>
      </c>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6"/>
      <c r="CF63" s="156"/>
      <c r="CG63" s="156"/>
      <c r="CH63" s="156"/>
      <c r="CI63" s="156"/>
      <c r="CJ63" s="156"/>
      <c r="CK63" s="156"/>
      <c r="CL63" s="156"/>
      <c r="CM63" s="156"/>
      <c r="CN63" s="156"/>
      <c r="CO63" s="155"/>
      <c r="CP63" s="155"/>
      <c r="CQ63" s="155"/>
      <c r="CR63" s="155"/>
      <c r="DX63" s="2171"/>
      <c r="EP63" s="275" t="s">
        <v>433</v>
      </c>
      <c r="EQ63" s="285"/>
      <c r="ER63" s="285"/>
      <c r="ES63" s="285" t="s">
        <v>600</v>
      </c>
      <c r="ET63" s="2206" t="s">
        <v>604</v>
      </c>
      <c r="EU63" s="146"/>
      <c r="EV63" s="335" t="s">
        <v>426</v>
      </c>
      <c r="EW63" s="335" t="s">
        <v>426</v>
      </c>
      <c r="EX63" s="335"/>
    </row>
    <row r="64" spans="1:154" ht="15.75" customHeight="1" x14ac:dyDescent="0.2">
      <c r="A64" s="2608" t="s">
        <v>669</v>
      </c>
      <c r="B64" s="2609"/>
      <c r="C64" s="2609"/>
      <c r="D64" s="2634"/>
      <c r="E64" s="2627" t="s">
        <v>8671</v>
      </c>
      <c r="F64" s="2609"/>
      <c r="G64" s="2609"/>
      <c r="H64" s="2609"/>
      <c r="I64" s="2609"/>
      <c r="J64" s="2608" t="s">
        <v>445</v>
      </c>
      <c r="K64" s="2609"/>
      <c r="L64" s="2610"/>
      <c r="M64" s="1926" t="s">
        <v>446</v>
      </c>
      <c r="N64" s="12"/>
      <c r="O64" s="15"/>
      <c r="P64" s="157"/>
      <c r="Q64" s="158" t="s">
        <v>221</v>
      </c>
      <c r="R64" s="158" t="s">
        <v>653</v>
      </c>
      <c r="S64" s="158" t="s">
        <v>407</v>
      </c>
      <c r="T64" s="158" t="s">
        <v>407</v>
      </c>
      <c r="U64" s="2603" t="s">
        <v>411</v>
      </c>
      <c r="V64" s="2603"/>
      <c r="W64" s="2603"/>
      <c r="X64" s="2603"/>
      <c r="Y64" s="157"/>
      <c r="Z64" s="178"/>
      <c r="AA64" s="179"/>
      <c r="AB64" s="2652" t="s">
        <v>652</v>
      </c>
      <c r="AC64" s="2653"/>
      <c r="AD64" s="2653"/>
      <c r="AE64" s="2653"/>
      <c r="AF64" s="2653"/>
      <c r="AG64" s="2653"/>
      <c r="AH64" s="2653"/>
      <c r="AI64" s="2660"/>
      <c r="AJ64" s="160"/>
      <c r="AK64" s="160"/>
      <c r="AL64" s="160"/>
      <c r="AM64" s="160"/>
      <c r="AN64" s="160"/>
      <c r="AO64" s="160"/>
      <c r="AP64" s="157"/>
      <c r="AQ64" s="157"/>
      <c r="AR64" s="157"/>
      <c r="AS64" s="157"/>
      <c r="AT64" s="157"/>
      <c r="AU64" s="157"/>
      <c r="AV64" s="157"/>
      <c r="AW64" s="157"/>
      <c r="AX64" s="157"/>
      <c r="AY64" s="157"/>
      <c r="AZ64" s="157"/>
      <c r="BA64" s="157"/>
      <c r="BB64" s="157"/>
      <c r="BC64" s="157"/>
      <c r="BD64" s="157"/>
      <c r="BE64" s="157"/>
      <c r="BG64" s="157"/>
      <c r="BH64" s="157"/>
      <c r="BI64" s="157"/>
      <c r="BJ64" s="157"/>
      <c r="BK64" s="157"/>
      <c r="BL64" s="658"/>
      <c r="BM64" s="157"/>
      <c r="BN64" s="157"/>
      <c r="BO64" s="157"/>
      <c r="BP64" s="157"/>
      <c r="BQ64" s="157"/>
      <c r="BR64" s="157"/>
      <c r="BS64" s="157"/>
      <c r="BT64" s="157"/>
      <c r="BU64" s="157"/>
      <c r="BV64" s="157"/>
      <c r="BW64" s="157"/>
      <c r="BX64" s="157"/>
      <c r="BY64" s="157"/>
      <c r="BZ64" s="157"/>
      <c r="CA64" s="157"/>
      <c r="CB64" s="157"/>
      <c r="CC64" s="157"/>
      <c r="CD64" s="157"/>
      <c r="CE64" s="157"/>
      <c r="CF64" s="2121"/>
      <c r="CG64" s="2121"/>
      <c r="CH64" s="2121"/>
      <c r="CI64" s="157"/>
      <c r="CJ64" s="157"/>
      <c r="CK64" s="157"/>
      <c r="CL64" s="2121"/>
      <c r="CM64" s="2121"/>
      <c r="CN64" s="2121"/>
      <c r="CO64" s="2767" t="s">
        <v>638</v>
      </c>
      <c r="CP64" s="2767"/>
      <c r="CQ64" s="157"/>
      <c r="CR64" s="157"/>
      <c r="CS64" s="157"/>
      <c r="CT64" s="157"/>
      <c r="CU64" s="157"/>
      <c r="CV64" s="157"/>
      <c r="CW64" s="15"/>
      <c r="CX64" s="15"/>
      <c r="CY64" s="15"/>
      <c r="CZ64" s="15"/>
      <c r="DA64" s="15"/>
      <c r="DB64" s="15"/>
      <c r="DC64" s="15"/>
      <c r="DD64" s="2672" t="s">
        <v>237</v>
      </c>
      <c r="DE64" s="2672"/>
      <c r="DF64" s="2672"/>
      <c r="DG64" s="2672" t="s">
        <v>659</v>
      </c>
      <c r="DH64" s="2672"/>
      <c r="DI64" s="2672"/>
      <c r="DJ64" s="15"/>
      <c r="DK64" s="15"/>
      <c r="DL64" s="15"/>
      <c r="DM64" s="15"/>
      <c r="DN64" s="15"/>
      <c r="DO64" s="15"/>
      <c r="DP64" s="15"/>
      <c r="DQ64" s="15"/>
      <c r="DR64" s="15"/>
      <c r="DS64" s="52" t="s">
        <v>476</v>
      </c>
      <c r="DT64" s="52" t="s">
        <v>560</v>
      </c>
      <c r="DU64" s="52" t="s">
        <v>469</v>
      </c>
      <c r="DV64" s="52" t="s">
        <v>476</v>
      </c>
      <c r="DW64" s="52" t="s">
        <v>560</v>
      </c>
      <c r="DX64" s="2828" t="s">
        <v>8774</v>
      </c>
      <c r="DY64" s="52" t="s">
        <v>469</v>
      </c>
      <c r="DZ64" s="52" t="s">
        <v>688</v>
      </c>
      <c r="EA64" s="52"/>
      <c r="EB64" s="52"/>
      <c r="EC64" s="52" t="s">
        <v>595</v>
      </c>
      <c r="ED64" s="52"/>
      <c r="EE64" s="2764" t="s">
        <v>11</v>
      </c>
      <c r="EF64" s="2771"/>
      <c r="EG64" s="270" t="s">
        <v>429</v>
      </c>
      <c r="EH64" s="336" t="s">
        <v>426</v>
      </c>
      <c r="EI64" s="270" t="s">
        <v>429</v>
      </c>
      <c r="EJ64" s="336" t="s">
        <v>426</v>
      </c>
      <c r="EK64" s="252" t="s">
        <v>275</v>
      </c>
      <c r="EL64" s="252" t="s">
        <v>198</v>
      </c>
      <c r="EM64" s="252" t="s">
        <v>277</v>
      </c>
      <c r="EN64" s="252" t="s">
        <v>270</v>
      </c>
      <c r="EO64" s="252" t="s">
        <v>598</v>
      </c>
      <c r="EP64" s="275" t="s">
        <v>599</v>
      </c>
      <c r="EQ64" s="146"/>
      <c r="ER64" s="146"/>
      <c r="ES64" s="146"/>
      <c r="ET64" s="2206" t="s">
        <v>605</v>
      </c>
      <c r="EU64" s="146" t="s">
        <v>277</v>
      </c>
      <c r="EV64" s="285" t="s">
        <v>600</v>
      </c>
      <c r="EW64" s="285" t="s">
        <v>600</v>
      </c>
      <c r="EX64" s="175" t="s">
        <v>276</v>
      </c>
    </row>
    <row r="65" spans="1:164" ht="15.75" customHeight="1" x14ac:dyDescent="0.2">
      <c r="A65" s="2635"/>
      <c r="B65" s="2636"/>
      <c r="C65" s="2636"/>
      <c r="D65" s="2637"/>
      <c r="E65" s="1924" t="s">
        <v>0</v>
      </c>
      <c r="F65" s="2636" t="s">
        <v>44</v>
      </c>
      <c r="G65" s="2637"/>
      <c r="H65" s="2739" t="s">
        <v>33</v>
      </c>
      <c r="I65" s="2740"/>
      <c r="J65" s="1250" t="s">
        <v>41</v>
      </c>
      <c r="K65" s="2592" t="s">
        <v>39</v>
      </c>
      <c r="L65" s="2593"/>
      <c r="M65" s="1251" t="s">
        <v>447</v>
      </c>
      <c r="N65" s="12"/>
      <c r="O65" s="15"/>
      <c r="P65" s="157"/>
      <c r="Q65" s="158" t="s">
        <v>245</v>
      </c>
      <c r="R65" s="157" t="s">
        <v>409</v>
      </c>
      <c r="S65" s="157" t="s">
        <v>409</v>
      </c>
      <c r="T65" s="157" t="s">
        <v>408</v>
      </c>
      <c r="U65" s="2604" t="s">
        <v>408</v>
      </c>
      <c r="V65" s="2605"/>
      <c r="W65" s="2652" t="s">
        <v>409</v>
      </c>
      <c r="X65" s="2653"/>
      <c r="Y65" s="2653"/>
      <c r="Z65" s="2652" t="s">
        <v>264</v>
      </c>
      <c r="AA65" s="2660"/>
      <c r="AB65" s="2604" t="s">
        <v>408</v>
      </c>
      <c r="AC65" s="2396"/>
      <c r="AD65" s="2396"/>
      <c r="AE65" s="2396"/>
      <c r="AF65" s="2396" t="s">
        <v>409</v>
      </c>
      <c r="AG65" s="2396"/>
      <c r="AH65" s="2396"/>
      <c r="AI65" s="2396"/>
      <c r="AJ65" s="165" t="s">
        <v>0</v>
      </c>
      <c r="AK65" s="165" t="s">
        <v>9</v>
      </c>
      <c r="AL65" s="2769" t="s">
        <v>589</v>
      </c>
      <c r="AM65" s="2769"/>
      <c r="AN65" s="2769"/>
      <c r="AO65" s="2769"/>
      <c r="AP65" s="2769"/>
      <c r="AQ65" s="2770"/>
      <c r="AR65" s="165" t="s">
        <v>229</v>
      </c>
      <c r="AS65" s="2769" t="s">
        <v>220</v>
      </c>
      <c r="AT65" s="2769"/>
      <c r="AU65" s="2769"/>
      <c r="AV65" s="2769"/>
      <c r="AW65" s="2769"/>
      <c r="AX65" s="2770"/>
      <c r="AY65" s="157"/>
      <c r="AZ65" s="2675" t="s">
        <v>225</v>
      </c>
      <c r="BA65" s="2676"/>
      <c r="BB65" s="2676"/>
      <c r="BC65" s="2676"/>
      <c r="BD65" s="2676"/>
      <c r="BE65" s="2677"/>
      <c r="BF65" s="162" t="s">
        <v>221</v>
      </c>
      <c r="BG65" s="164" t="s">
        <v>221</v>
      </c>
      <c r="BH65" s="162"/>
      <c r="BI65" s="163"/>
      <c r="BJ65" s="164"/>
      <c r="BK65" s="167"/>
      <c r="BL65" s="167"/>
      <c r="BM65" s="168"/>
      <c r="BN65" s="168"/>
      <c r="BO65" s="168"/>
      <c r="BP65" s="168"/>
      <c r="BQ65" s="168"/>
      <c r="BR65" s="2768" t="s">
        <v>235</v>
      </c>
      <c r="BS65" s="2769"/>
      <c r="BT65" s="2770"/>
      <c r="BU65" s="157"/>
      <c r="BV65" s="157"/>
      <c r="BW65" s="157"/>
      <c r="BX65" s="157"/>
      <c r="BY65" s="157"/>
      <c r="BZ65" s="157"/>
      <c r="CA65" s="157"/>
      <c r="CB65" s="157"/>
      <c r="CC65" s="157"/>
      <c r="CD65" s="157"/>
      <c r="CE65" s="157"/>
      <c r="CF65" s="2121"/>
      <c r="CG65" s="2121"/>
      <c r="CH65" s="2121"/>
      <c r="CI65" s="157"/>
      <c r="CJ65" s="157"/>
      <c r="CK65" s="157"/>
      <c r="CL65" s="2121"/>
      <c r="CM65" s="2121"/>
      <c r="CN65" s="2121"/>
      <c r="CO65" s="163" t="s">
        <v>639</v>
      </c>
      <c r="CP65" s="92" t="s">
        <v>468</v>
      </c>
      <c r="CQ65" s="157"/>
      <c r="CR65" s="157"/>
      <c r="CS65" s="157"/>
      <c r="CT65" s="157"/>
      <c r="CU65" s="157"/>
      <c r="CV65" s="157"/>
      <c r="CW65" s="15"/>
      <c r="CX65" s="15"/>
      <c r="CY65" s="15"/>
      <c r="CZ65" s="15"/>
      <c r="DA65" s="15"/>
      <c r="DB65" s="15"/>
      <c r="DC65" s="15"/>
      <c r="DD65" s="15"/>
      <c r="DE65" s="15"/>
      <c r="DF65" s="15"/>
      <c r="DG65" s="15"/>
      <c r="DH65" s="15"/>
      <c r="DI65" s="15"/>
      <c r="DJ65" s="15"/>
      <c r="DK65" s="15"/>
      <c r="DL65" s="15"/>
      <c r="DM65" s="15"/>
      <c r="DN65" s="15"/>
      <c r="DO65" s="2672" t="s">
        <v>697</v>
      </c>
      <c r="DP65" s="2672"/>
      <c r="DQ65" s="15"/>
      <c r="DR65" s="15"/>
      <c r="DS65" s="52"/>
      <c r="DT65" s="52" t="s">
        <v>561</v>
      </c>
      <c r="DU65" s="52" t="s">
        <v>474</v>
      </c>
      <c r="DV65" s="52"/>
      <c r="DW65" s="52" t="s">
        <v>561</v>
      </c>
      <c r="DX65" s="2828"/>
      <c r="DY65" s="52" t="s">
        <v>474</v>
      </c>
      <c r="DZ65" s="52" t="s">
        <v>615</v>
      </c>
      <c r="EA65" s="52"/>
      <c r="EB65" s="52"/>
      <c r="EC65" s="52" t="s">
        <v>594</v>
      </c>
      <c r="ED65" s="52" t="s">
        <v>275</v>
      </c>
      <c r="EE65" s="52" t="s">
        <v>594</v>
      </c>
      <c r="EF65" s="52" t="s">
        <v>275</v>
      </c>
      <c r="EG65" s="274" t="s">
        <v>435</v>
      </c>
      <c r="EH65" s="337" t="s">
        <v>565</v>
      </c>
      <c r="EI65" s="274" t="s">
        <v>435</v>
      </c>
      <c r="EJ65" s="337" t="s">
        <v>565</v>
      </c>
      <c r="EP65" s="275"/>
      <c r="EQ65" s="285" t="s">
        <v>38</v>
      </c>
      <c r="ER65" s="285" t="s">
        <v>38</v>
      </c>
      <c r="ES65" s="358" t="s">
        <v>38</v>
      </c>
      <c r="ET65" s="2206"/>
      <c r="EU65" s="146" t="s">
        <v>2</v>
      </c>
      <c r="EV65" s="207" t="s">
        <v>38</v>
      </c>
      <c r="EW65" s="207" t="s">
        <v>38</v>
      </c>
      <c r="EX65" s="285"/>
      <c r="EZ65" s="93" t="s">
        <v>894</v>
      </c>
      <c r="FA65" s="93"/>
      <c r="FB65" s="93" t="s">
        <v>8770</v>
      </c>
      <c r="FC65" s="93"/>
      <c r="FD65" s="92" t="s">
        <v>8857</v>
      </c>
      <c r="FF65" s="805" t="s">
        <v>999</v>
      </c>
      <c r="FH65" s="805" t="s">
        <v>8241</v>
      </c>
    </row>
    <row r="66" spans="1:164" ht="15.75" customHeight="1" x14ac:dyDescent="0.2">
      <c r="A66" s="2628" t="str">
        <f>IF(FH88=0,"","* Fütterungsverfahren muss belegt werden!")</f>
        <v/>
      </c>
      <c r="B66" s="2629"/>
      <c r="C66" s="2629"/>
      <c r="D66" s="2630"/>
      <c r="E66" s="1252"/>
      <c r="F66" s="1253"/>
      <c r="G66" s="1925" t="s">
        <v>45</v>
      </c>
      <c r="H66" s="1254" t="s">
        <v>43</v>
      </c>
      <c r="I66" s="1255" t="s">
        <v>42</v>
      </c>
      <c r="J66" s="1250" t="s">
        <v>9</v>
      </c>
      <c r="K66" s="2592" t="s">
        <v>40</v>
      </c>
      <c r="L66" s="2593"/>
      <c r="M66" s="1251" t="s">
        <v>448</v>
      </c>
      <c r="N66" s="12"/>
      <c r="O66" s="15"/>
      <c r="P66" s="157"/>
      <c r="Q66" s="157" t="s">
        <v>636</v>
      </c>
      <c r="R66" s="158" t="s">
        <v>226</v>
      </c>
      <c r="S66" s="158" t="s">
        <v>226</v>
      </c>
      <c r="T66" s="158" t="s">
        <v>226</v>
      </c>
      <c r="U66" s="157" t="s">
        <v>0</v>
      </c>
      <c r="V66" s="157" t="s">
        <v>194</v>
      </c>
      <c r="W66" s="157" t="s">
        <v>0</v>
      </c>
      <c r="X66" s="157" t="s">
        <v>194</v>
      </c>
      <c r="Y66" s="158" t="s">
        <v>194</v>
      </c>
      <c r="Z66" s="169" t="s">
        <v>0</v>
      </c>
      <c r="AA66" s="161" t="s">
        <v>11</v>
      </c>
      <c r="AB66" s="169" t="s">
        <v>4</v>
      </c>
      <c r="AC66" s="158" t="s">
        <v>4</v>
      </c>
      <c r="AD66" s="1314" t="s">
        <v>5</v>
      </c>
      <c r="AE66" s="161" t="s">
        <v>6</v>
      </c>
      <c r="AF66" s="169" t="s">
        <v>4</v>
      </c>
      <c r="AG66" s="158" t="s">
        <v>4</v>
      </c>
      <c r="AH66" s="1314" t="s">
        <v>5</v>
      </c>
      <c r="AI66" s="161" t="s">
        <v>6</v>
      </c>
      <c r="AJ66" s="170" t="s">
        <v>270</v>
      </c>
      <c r="AK66" s="170" t="s">
        <v>270</v>
      </c>
      <c r="AL66" s="2603" t="s">
        <v>408</v>
      </c>
      <c r="AM66" s="2603"/>
      <c r="AN66" s="2603"/>
      <c r="AO66" s="2396" t="s">
        <v>409</v>
      </c>
      <c r="AP66" s="2396"/>
      <c r="AQ66" s="2396"/>
      <c r="AR66" s="171" t="s">
        <v>270</v>
      </c>
      <c r="AS66" s="2396" t="s">
        <v>408</v>
      </c>
      <c r="AT66" s="2396"/>
      <c r="AU66" s="2396"/>
      <c r="AV66" s="2396" t="s">
        <v>409</v>
      </c>
      <c r="AW66" s="2396"/>
      <c r="AX66" s="2396"/>
      <c r="AY66" s="157"/>
      <c r="AZ66" s="2604" t="s">
        <v>408</v>
      </c>
      <c r="BA66" s="2661"/>
      <c r="BB66" s="2605"/>
      <c r="BC66" s="2652" t="s">
        <v>409</v>
      </c>
      <c r="BD66" s="2653"/>
      <c r="BE66" s="2660"/>
      <c r="BF66" s="169" t="s">
        <v>9</v>
      </c>
      <c r="BG66" s="161" t="s">
        <v>11</v>
      </c>
      <c r="BH66" s="2652" t="s">
        <v>232</v>
      </c>
      <c r="BI66" s="2653"/>
      <c r="BJ66" s="2660"/>
      <c r="BK66" s="172"/>
      <c r="BL66" s="683" t="s">
        <v>231</v>
      </c>
      <c r="BM66" s="173"/>
      <c r="BN66" s="173"/>
      <c r="BO66" s="172" t="s">
        <v>195</v>
      </c>
      <c r="BP66" s="172" t="s">
        <v>195</v>
      </c>
      <c r="BQ66" s="172" t="s">
        <v>195</v>
      </c>
      <c r="BR66" s="174"/>
      <c r="BS66" s="175"/>
      <c r="BT66" s="176"/>
      <c r="BU66" s="162" t="s">
        <v>0</v>
      </c>
      <c r="BV66" s="164" t="s">
        <v>9</v>
      </c>
      <c r="BW66" s="2768" t="s">
        <v>11</v>
      </c>
      <c r="BX66" s="2769"/>
      <c r="BY66" s="2770"/>
      <c r="BZ66" s="2768" t="s">
        <v>222</v>
      </c>
      <c r="CA66" s="2770"/>
      <c r="CB66" s="167" t="s">
        <v>244</v>
      </c>
      <c r="CC66" s="2768" t="s">
        <v>258</v>
      </c>
      <c r="CD66" s="2769"/>
      <c r="CE66" s="2770"/>
      <c r="CF66" s="2829" t="s">
        <v>8771</v>
      </c>
      <c r="CG66" s="2830"/>
      <c r="CH66" s="2831"/>
      <c r="CI66" s="2768" t="s">
        <v>255</v>
      </c>
      <c r="CJ66" s="2769"/>
      <c r="CK66" s="2770"/>
      <c r="CL66" s="2829" t="s">
        <v>8777</v>
      </c>
      <c r="CM66" s="2830"/>
      <c r="CN66" s="2831"/>
      <c r="CP66" s="164" t="s">
        <v>640</v>
      </c>
      <c r="CQ66" s="177" t="s">
        <v>271</v>
      </c>
      <c r="CR66" s="166" t="s">
        <v>273</v>
      </c>
      <c r="CS66" s="157"/>
      <c r="CT66" s="157"/>
      <c r="CU66" s="157"/>
      <c r="CV66" s="158" t="s">
        <v>403</v>
      </c>
      <c r="CW66" s="15"/>
      <c r="CX66" s="15"/>
      <c r="CY66" s="2672" t="s">
        <v>406</v>
      </c>
      <c r="CZ66" s="2672"/>
      <c r="DA66" s="143" t="s">
        <v>4</v>
      </c>
      <c r="DB66" s="143" t="s">
        <v>5</v>
      </c>
      <c r="DC66" s="143" t="s">
        <v>6</v>
      </c>
      <c r="DD66" s="143" t="s">
        <v>4</v>
      </c>
      <c r="DE66" s="143" t="s">
        <v>5</v>
      </c>
      <c r="DF66" s="143" t="s">
        <v>6</v>
      </c>
      <c r="DG66" s="143" t="s">
        <v>4</v>
      </c>
      <c r="DH66" s="143" t="s">
        <v>5</v>
      </c>
      <c r="DI66" s="143" t="s">
        <v>6</v>
      </c>
      <c r="DJ66" s="143" t="s">
        <v>4</v>
      </c>
      <c r="DK66" s="143" t="s">
        <v>5</v>
      </c>
      <c r="DL66" s="143" t="s">
        <v>6</v>
      </c>
      <c r="DM66" s="143" t="s">
        <v>4</v>
      </c>
      <c r="DN66" s="143" t="s">
        <v>634</v>
      </c>
      <c r="DO66" s="2672" t="s">
        <v>698</v>
      </c>
      <c r="DP66" s="2672"/>
      <c r="DQ66" s="15"/>
      <c r="DR66" s="15"/>
      <c r="DS66" s="52" t="s">
        <v>2</v>
      </c>
      <c r="DT66" s="52" t="s">
        <v>477</v>
      </c>
      <c r="DU66" s="52" t="s">
        <v>2</v>
      </c>
      <c r="DV66" s="52" t="s">
        <v>2</v>
      </c>
      <c r="DW66" s="52" t="s">
        <v>477</v>
      </c>
      <c r="DX66" s="2173" t="s">
        <v>477</v>
      </c>
      <c r="DY66" s="52" t="s">
        <v>2</v>
      </c>
      <c r="DZ66" s="52" t="s">
        <v>614</v>
      </c>
      <c r="EA66" s="52"/>
      <c r="EB66" s="52"/>
      <c r="EC66" s="52" t="s">
        <v>2</v>
      </c>
      <c r="ED66" s="52"/>
      <c r="EE66" s="52" t="s">
        <v>2</v>
      </c>
      <c r="EF66" s="52"/>
      <c r="EG66" s="290" t="s">
        <v>416</v>
      </c>
      <c r="EH66" s="338" t="s">
        <v>434</v>
      </c>
      <c r="EI66" s="290" t="s">
        <v>416</v>
      </c>
      <c r="EJ66" s="338" t="s">
        <v>434</v>
      </c>
      <c r="EK66" s="252" t="s">
        <v>38</v>
      </c>
      <c r="EL66" s="252" t="s">
        <v>623</v>
      </c>
      <c r="EM66" s="252" t="s">
        <v>38</v>
      </c>
      <c r="EO66" s="252" t="s">
        <v>38</v>
      </c>
      <c r="ET66" s="2205"/>
      <c r="EZ66" s="94" t="s">
        <v>408</v>
      </c>
      <c r="FA66" s="94" t="s">
        <v>409</v>
      </c>
      <c r="FB66" s="94" t="s">
        <v>408</v>
      </c>
      <c r="FC66" s="92" t="s">
        <v>409</v>
      </c>
      <c r="FD66" s="92" t="s">
        <v>8858</v>
      </c>
      <c r="FF66" s="805" t="s">
        <v>8308</v>
      </c>
      <c r="FG66" s="805" t="s">
        <v>8309</v>
      </c>
      <c r="FH66" s="805" t="s">
        <v>8242</v>
      </c>
    </row>
    <row r="67" spans="1:164" ht="15.75" customHeight="1" thickBot="1" x14ac:dyDescent="0.25">
      <c r="A67" s="2631"/>
      <c r="B67" s="2632"/>
      <c r="C67" s="2632"/>
      <c r="D67" s="2633"/>
      <c r="E67" s="1256" t="s">
        <v>12</v>
      </c>
      <c r="F67" s="1257" t="s">
        <v>12</v>
      </c>
      <c r="G67" s="1258" t="s">
        <v>32</v>
      </c>
      <c r="H67" s="1259" t="s">
        <v>34</v>
      </c>
      <c r="I67" s="1260" t="s">
        <v>34</v>
      </c>
      <c r="J67" s="1261" t="s">
        <v>1</v>
      </c>
      <c r="K67" s="2654" t="s">
        <v>38</v>
      </c>
      <c r="L67" s="2655"/>
      <c r="M67" s="1262" t="s">
        <v>449</v>
      </c>
      <c r="N67" s="12"/>
      <c r="O67" s="15"/>
      <c r="P67" s="157"/>
      <c r="Q67" s="158" t="s">
        <v>226</v>
      </c>
      <c r="S67" s="158"/>
      <c r="U67" s="157"/>
      <c r="V67" s="157"/>
      <c r="W67" s="157"/>
      <c r="X67" s="157"/>
      <c r="Y67" s="158" t="s">
        <v>1</v>
      </c>
      <c r="Z67" s="169" t="s">
        <v>12</v>
      </c>
      <c r="AA67" s="161" t="s">
        <v>12</v>
      </c>
      <c r="AB67" s="178"/>
      <c r="AC67" s="158" t="s">
        <v>200</v>
      </c>
      <c r="AD67" s="157"/>
      <c r="AE67" s="179"/>
      <c r="AF67" s="178"/>
      <c r="AG67" s="158" t="s">
        <v>200</v>
      </c>
      <c r="AH67" s="157"/>
      <c r="AI67" s="179"/>
      <c r="AJ67" s="180"/>
      <c r="AK67" s="180"/>
      <c r="AL67" s="169" t="s">
        <v>4</v>
      </c>
      <c r="AM67" s="1314" t="s">
        <v>5</v>
      </c>
      <c r="AN67" s="161" t="s">
        <v>6</v>
      </c>
      <c r="AO67" s="169" t="s">
        <v>4</v>
      </c>
      <c r="AP67" s="1314" t="s">
        <v>5</v>
      </c>
      <c r="AQ67" s="161" t="s">
        <v>6</v>
      </c>
      <c r="AR67" s="170"/>
      <c r="AS67" s="169" t="s">
        <v>4</v>
      </c>
      <c r="AT67" s="1314" t="s">
        <v>5</v>
      </c>
      <c r="AU67" s="161" t="s">
        <v>6</v>
      </c>
      <c r="AV67" s="169" t="s">
        <v>4</v>
      </c>
      <c r="AW67" s="1314" t="s">
        <v>5</v>
      </c>
      <c r="AX67" s="161" t="s">
        <v>6</v>
      </c>
      <c r="AY67" s="157"/>
      <c r="AZ67" s="254" t="s">
        <v>410</v>
      </c>
      <c r="BA67" s="255" t="s">
        <v>11</v>
      </c>
      <c r="BB67" s="255" t="s">
        <v>412</v>
      </c>
      <c r="BC67" s="169" t="s">
        <v>0</v>
      </c>
      <c r="BD67" s="158" t="s">
        <v>11</v>
      </c>
      <c r="BE67" s="253" t="s">
        <v>412</v>
      </c>
      <c r="BF67" s="169"/>
      <c r="BG67" s="161"/>
      <c r="BH67" s="169" t="s">
        <v>4</v>
      </c>
      <c r="BI67" s="1314" t="s">
        <v>5</v>
      </c>
      <c r="BJ67" s="161" t="s">
        <v>6</v>
      </c>
      <c r="BK67" s="172" t="s">
        <v>231</v>
      </c>
      <c r="BL67" s="683" t="s">
        <v>914</v>
      </c>
      <c r="BM67" s="172" t="s">
        <v>224</v>
      </c>
      <c r="BN67" s="172" t="s">
        <v>220</v>
      </c>
      <c r="BO67" s="172"/>
      <c r="BP67" s="172"/>
      <c r="BQ67" s="172" t="s">
        <v>237</v>
      </c>
      <c r="BR67" s="169" t="s">
        <v>4</v>
      </c>
      <c r="BS67" s="1314" t="s">
        <v>5</v>
      </c>
      <c r="BT67" s="161" t="s">
        <v>6</v>
      </c>
      <c r="BU67" s="181" t="s">
        <v>221</v>
      </c>
      <c r="BV67" s="182" t="s">
        <v>221</v>
      </c>
      <c r="BW67" s="181" t="s">
        <v>35</v>
      </c>
      <c r="BX67" s="183" t="s">
        <v>36</v>
      </c>
      <c r="BY67" s="182" t="s">
        <v>37</v>
      </c>
      <c r="BZ67" s="181" t="s">
        <v>0</v>
      </c>
      <c r="CA67" s="182" t="s">
        <v>223</v>
      </c>
      <c r="CB67" s="184" t="s">
        <v>11</v>
      </c>
      <c r="CC67" s="181" t="s">
        <v>254</v>
      </c>
      <c r="CD67" s="183" t="s">
        <v>36</v>
      </c>
      <c r="CE67" s="182" t="s">
        <v>37</v>
      </c>
      <c r="CF67" s="2124" t="s">
        <v>254</v>
      </c>
      <c r="CG67" s="2125" t="s">
        <v>36</v>
      </c>
      <c r="CH67" s="2126" t="s">
        <v>37</v>
      </c>
      <c r="CI67" s="181" t="s">
        <v>4</v>
      </c>
      <c r="CJ67" s="2154" t="s">
        <v>5</v>
      </c>
      <c r="CK67" s="182" t="s">
        <v>6</v>
      </c>
      <c r="CL67" s="2124" t="s">
        <v>4</v>
      </c>
      <c r="CM67" s="2125" t="s">
        <v>5</v>
      </c>
      <c r="CN67" s="2126" t="s">
        <v>6</v>
      </c>
      <c r="CO67" s="183" t="s">
        <v>267</v>
      </c>
      <c r="CP67" s="161" t="s">
        <v>267</v>
      </c>
      <c r="CQ67" s="178" t="s">
        <v>272</v>
      </c>
      <c r="CR67" s="179" t="s">
        <v>274</v>
      </c>
      <c r="CS67" s="157"/>
      <c r="CT67" s="158" t="s">
        <v>593</v>
      </c>
      <c r="CU67" s="157"/>
      <c r="CV67" s="158" t="s">
        <v>0</v>
      </c>
      <c r="CW67" s="143" t="s">
        <v>9</v>
      </c>
      <c r="CX67" s="143" t="s">
        <v>11</v>
      </c>
      <c r="CY67" s="252" t="s">
        <v>407</v>
      </c>
      <c r="CZ67" s="143" t="s">
        <v>11</v>
      </c>
      <c r="DM67" s="143" t="s">
        <v>0</v>
      </c>
      <c r="DN67" s="143" t="s">
        <v>11</v>
      </c>
      <c r="DO67" s="143" t="s">
        <v>0</v>
      </c>
      <c r="DP67" s="252" t="s">
        <v>237</v>
      </c>
      <c r="DQ67" s="15"/>
      <c r="DR67" s="15"/>
      <c r="DS67" s="2765" t="s">
        <v>407</v>
      </c>
      <c r="DT67" s="2765"/>
      <c r="DU67" s="2765"/>
      <c r="DV67" s="2766" t="s">
        <v>11</v>
      </c>
      <c r="DW67" s="2766"/>
      <c r="DX67" s="2766"/>
      <c r="DY67" s="2766"/>
      <c r="DZ67" s="345" t="s">
        <v>0</v>
      </c>
      <c r="EA67" s="345" t="s">
        <v>11</v>
      </c>
      <c r="EB67" s="345"/>
      <c r="EC67" s="345"/>
      <c r="ED67" s="345"/>
      <c r="EE67" s="345"/>
      <c r="EF67" s="345"/>
      <c r="ET67" s="2205"/>
      <c r="FD67" s="92" t="s">
        <v>408</v>
      </c>
      <c r="FE67" s="805" t="s">
        <v>409</v>
      </c>
    </row>
    <row r="68" spans="1:164" ht="18" customHeight="1" x14ac:dyDescent="0.2">
      <c r="A68" s="2567"/>
      <c r="B68" s="2568"/>
      <c r="C68" s="2568"/>
      <c r="D68" s="2626"/>
      <c r="E68" s="1508"/>
      <c r="F68" s="1514"/>
      <c r="G68" s="1941"/>
      <c r="H68" s="1508"/>
      <c r="I68" s="1510"/>
      <c r="J68" s="1449" t="str">
        <f t="shared" ref="J68:J81" si="1">IF(U68+W68=0," ",(U68+W68)/2)</f>
        <v xml:space="preserve"> </v>
      </c>
      <c r="K68" s="2656" t="str">
        <f t="shared" ref="K68:K81" si="2">IF(V68+X68=0," ",(V68+X68)/2)</f>
        <v xml:space="preserve"> </v>
      </c>
      <c r="L68" s="2446"/>
      <c r="M68" s="448"/>
      <c r="N68" s="14"/>
      <c r="O68" s="14"/>
      <c r="P68" s="185"/>
      <c r="Q68" s="185" t="str">
        <f t="shared" ref="Q68:Q81" si="3">IF(K68=" "," ",(K68*(1/CB68)))</f>
        <v xml:space="preserve"> </v>
      </c>
      <c r="R68" s="185" t="str">
        <f t="shared" ref="R68:R87" si="4">IF(DR68=1,0,Y68)</f>
        <v xml:space="preserve"> </v>
      </c>
      <c r="S68" s="185">
        <f t="shared" ref="S68:S87" si="5">IF(DR68=1,0,W68)</f>
        <v>0</v>
      </c>
      <c r="T68" s="256">
        <f t="shared" ref="T68:T87" si="6">IF(DR68=1,0,U68)</f>
        <v>0</v>
      </c>
      <c r="U68" s="185">
        <f t="shared" ref="U68:U87" si="7">IF(CT68=FALSE,0,IF(Z68+AA68=0,0,IF(AZ68*BU68+BA68*BF68=0,0,AZ68*BU68+BA68*BF68)))</f>
        <v>0</v>
      </c>
      <c r="V68" s="2194">
        <f>IF(CT68=FALSE,0,IF(AA68=0,0,IF(BD68+BA68=0,0,IF(BK68=4,BA68*BG68-(E68*(1-H68/100)*CE68*365*BO68/1000/AR68*86)+FB68-EZ68,BA68*BG68+FB68-EZ68))))</f>
        <v>0</v>
      </c>
      <c r="W68" s="185">
        <f t="shared" ref="W68:W87" si="8">IF(CT68=FALSE,0,IF(Z68+AA68=0,0,IF(BC68*BU68+BD68*BF68=0,0,BC68*BU68+BD68*BF68)))</f>
        <v>0</v>
      </c>
      <c r="X68" s="2195">
        <f>IF(CT68=FALSE,0,IF(AA68=0,0,IF(BD68+BA68=0,0,IF(BK68=4,BD68*BG68-(E68*(1-I68/100)*CE68*365*BO68/1000/AR68*86)+FC68-FA68,BD68*BG68+FC68-FA68))))</f>
        <v>0</v>
      </c>
      <c r="Y68" s="185" t="str">
        <f>IF(X68=0," ",(X68*(1/CB68)))</f>
        <v xml:space="preserve"> </v>
      </c>
      <c r="Z68" s="186">
        <f t="shared" ref="Z68:Z81" si="9">IF(BU68=0,0,E68)</f>
        <v>0</v>
      </c>
      <c r="AA68" s="187">
        <f t="shared" ref="AA68:AA81" si="10">IF(BU68=0,E68+F68,F68)</f>
        <v>0</v>
      </c>
      <c r="AB68" s="256">
        <f>+(AZ68*BR68*(100-BZ68)/100)+(BF68*BH68*BA68)</f>
        <v>0</v>
      </c>
      <c r="AC68" s="256">
        <f>IF(BK68=2,AB68,0)</f>
        <v>0</v>
      </c>
      <c r="AD68" s="256">
        <f>AZ68*BS68+BA68*BF68*BI68</f>
        <v>0</v>
      </c>
      <c r="AE68" s="256">
        <f>AZ68*BT68+BA68*BF68*BJ68</f>
        <v>0</v>
      </c>
      <c r="AF68" s="188">
        <f t="shared" ref="AF68:AF81" si="11">+(BC68*BR68*(100-BZ68)/100)+(BF68*BH68*BD68)</f>
        <v>0</v>
      </c>
      <c r="AG68" s="185">
        <f t="shared" ref="AG68:AG81" si="12">IF(BK68=2,AF68,0)</f>
        <v>0</v>
      </c>
      <c r="AH68" s="185">
        <f t="shared" ref="AH68:AH81" si="13">BC68*BS68+BD68*BF68*BI68</f>
        <v>0</v>
      </c>
      <c r="AI68" s="189">
        <f t="shared" ref="AI68:AI81" si="14">BC68*BT68+BD68*BF68*BJ68</f>
        <v>0</v>
      </c>
      <c r="AJ68" s="465">
        <f>INDEX(Tiere!L$30:L$114,'Nährstoffe und Lagerraum'!$BM68)</f>
        <v>0</v>
      </c>
      <c r="AK68" s="190">
        <f>INDEX(Tiere!Z$30:Z$114,'Nährstoffe und Lagerraum'!BM68)</f>
        <v>0</v>
      </c>
      <c r="AL68" s="185">
        <f>+(BA68*BR68*(100-CA68)/100)-BF68*BA68*BH68</f>
        <v>0</v>
      </c>
      <c r="AM68" s="185">
        <f>BA68*BS68-BA68*BF68*BI68</f>
        <v>0</v>
      </c>
      <c r="AN68" s="185">
        <f>BA68*BT68-BA68*BF68*BJ68</f>
        <v>0</v>
      </c>
      <c r="AO68" s="188">
        <f t="shared" ref="AO68:AO81" si="15">+(BD68*BR68*(100-CA68)/100)-BF68*BD68*BH68</f>
        <v>0</v>
      </c>
      <c r="AP68" s="185">
        <f t="shared" ref="AP68:AP81" si="16">BD68*BS68-BD68*BF68*BI68</f>
        <v>0</v>
      </c>
      <c r="AQ68" s="189">
        <f t="shared" ref="AQ68:AQ81" si="17">BD68*BT68-BD68*BF68*BJ68</f>
        <v>0</v>
      </c>
      <c r="AR68" s="190" cm="1">
        <f t="array" ref="AR68">IF(BN68=1,INDEX(Tiere!V$30:V$114,'Nährstoffe und Lagerraum'!$BM68),IF(BN68=2,INDEX(Tiere!W$30:W$114,'Nährstoffe und Lagerraum'!$BM68),INDEX(Tiere!X$30:X$114,'Nährstoffe und Lagerraum'!$BM68)))</f>
        <v>0</v>
      </c>
      <c r="AS68" s="2194">
        <f>IF(BN68=1,BB68*CF68*BP68*365/1000*CL68,IF(BN68=2,BB68*CG68*BP68*365/1000*CL68,BB68*CH68*BP68*365/1000*CL68))</f>
        <v>0</v>
      </c>
      <c r="AT68" s="2194">
        <f>IF(BN68=1,BB68*CF68*BP68*365/1000*CM68,IF(BN68=2,BB68*CG68*BP68*365/1000*CM68,BB68*CH68*BP68*365/1000*CM68))</f>
        <v>0</v>
      </c>
      <c r="AU68" s="2194">
        <f>IF(BN68=1,BB68*CF68*BP68*365/1000*CN68,IF(BN68=2,BB68*CG68*BP68*365/1000*CN68,BB68*CH68*BP68*365/1000*CN68))</f>
        <v>0</v>
      </c>
      <c r="AV68" s="2196">
        <f>IF(BN68=1,BE68*CF68*BP68*365/1000*CL68,IF(BN68=2,BE68*CG68*BP68*365/1000*CL68,BE68*CH68*BP68*365/1000*CL68))</f>
        <v>0</v>
      </c>
      <c r="AW68" s="2197">
        <f>IF(BN68=1,BE68*CF68*BP68*365/1000*CM68,IF(BN68=2,BE68*CG68*BP68*365/1000*CM68,BE68*CH68*BP68*365/1000*CM68))</f>
        <v>0</v>
      </c>
      <c r="AX68" s="2198">
        <f>IF(BN68=1,BE68*CF68*BP68*365/1000*CN68,IF(BN68=2,BE68*CG68*BP68*365/1000*CN68,BE68*CH68*BP68*365/1000*CN68))</f>
        <v>0</v>
      </c>
      <c r="AY68" s="185"/>
      <c r="AZ68" s="195">
        <f t="shared" ref="AZ68:AZ81" si="18">+Z68*(100-$H68)/100</f>
        <v>0</v>
      </c>
      <c r="BA68" s="191">
        <f t="shared" ref="BA68:BA81" si="19">+AA68*(100-$H68)/100</f>
        <v>0</v>
      </c>
      <c r="BB68" s="2194">
        <f>IF(BK68=5,(E68+F68)*(100-H68)/100, F68*(100-H68)/100)</f>
        <v>0</v>
      </c>
      <c r="BC68" s="188">
        <f t="shared" ref="BC68:BC81" si="20">+Z68*(100-$I68)/100</f>
        <v>0</v>
      </c>
      <c r="BD68" s="185">
        <f t="shared" ref="BD68:BD81" si="21">+AA68*(100-$I68)/100</f>
        <v>0</v>
      </c>
      <c r="BE68" s="2198">
        <f>IF(BK68=5,(E68+F68)*(100-I68)/100, F68*(100-I68)/100)</f>
        <v>0</v>
      </c>
      <c r="BF68" s="193">
        <f>IF(BN68=1,BV68,IF(BN68=2,BV68/2,0))</f>
        <v>0</v>
      </c>
      <c r="BG68" s="464">
        <f>IF(BN68=1,BW68,IF(BN68=2,BX68,BY68))</f>
        <v>0</v>
      </c>
      <c r="BH68" s="871">
        <f>INDEX(Tiere!BH$30:BH$114,'Nährstoffe und Lagerraum'!$BM68)</f>
        <v>0</v>
      </c>
      <c r="BI68" s="871">
        <f>INDEX(Tiere!BI$30:BI$114,'Nährstoffe und Lagerraum'!$BM68)</f>
        <v>0</v>
      </c>
      <c r="BJ68" s="871">
        <f>INDEX(Tiere!BJ$30:BJ$114,'Nährstoffe und Lagerraum'!$BM68)</f>
        <v>0</v>
      </c>
      <c r="BK68" s="684">
        <f>IF(BL68&lt;4,BL68+1,5)</f>
        <v>1</v>
      </c>
      <c r="BL68" s="684" cm="1">
        <f t="array" ref="BL68">INDEX(Tiere!$C$30:$C$114,BM68)</f>
        <v>0</v>
      </c>
      <c r="BM68" s="197">
        <v>1</v>
      </c>
      <c r="BN68" s="197">
        <v>1</v>
      </c>
      <c r="BO68" s="196">
        <f>INDEX(Tiere!D$30:D$114,'Nährstoffe und Lagerraum'!$BM68)</f>
        <v>0</v>
      </c>
      <c r="BP68" s="196" t="str">
        <f>IF(BO68&gt;0.001,BO68,"1")</f>
        <v>1</v>
      </c>
      <c r="BQ68" s="196">
        <f>Z68*BO68+AA68*BO68</f>
        <v>0</v>
      </c>
      <c r="BR68" s="195">
        <f>INDEX(Tiere!E$30:E$114,'Nährstoffe und Lagerraum'!$BM68)</f>
        <v>0</v>
      </c>
      <c r="BS68" s="191">
        <f>INDEX(Tiere!F$30:F$114,'Nährstoffe und Lagerraum'!$BM68)</f>
        <v>0</v>
      </c>
      <c r="BT68" s="192">
        <f>INDEX(Tiere!G$30:G$114,'Nährstoffe und Lagerraum'!$BM68)</f>
        <v>0</v>
      </c>
      <c r="BU68" s="191">
        <f>INDEX(Tiere!K$30:K$114,'Nährstoffe und Lagerraum'!$BM68)</f>
        <v>0</v>
      </c>
      <c r="BV68" s="191">
        <f>INDEX(Tiere!Y$30:Y$114,'Nährstoffe und Lagerraum'!$BM68)</f>
        <v>0</v>
      </c>
      <c r="BW68" s="195">
        <f>INDEX(Tiere!S$30:S$114,'Nährstoffe und Lagerraum'!$BM68)</f>
        <v>0</v>
      </c>
      <c r="BX68" s="191">
        <f>INDEX(Tiere!T$30:T$114,'Nährstoffe und Lagerraum'!$BM68)</f>
        <v>0</v>
      </c>
      <c r="BY68" s="192">
        <f>INDEX(Tiere!U$30:U$114,'Nährstoffe und Lagerraum'!$BM68)</f>
        <v>0</v>
      </c>
      <c r="BZ68" s="195">
        <f>INDEX(Tiere!AA$30:AA$114,'Nährstoffe und Lagerraum'!$BM68)</f>
        <v>0</v>
      </c>
      <c r="CA68" s="192">
        <f>INDEX(Tiere!AB$30:AB$114,'Nährstoffe und Lagerraum'!$BM68)</f>
        <v>0</v>
      </c>
      <c r="CB68" s="192">
        <f>INDEX(Tiere!AK$30:AK$114,'Nährstoffe und Lagerraum'!$BM68)</f>
        <v>0</v>
      </c>
      <c r="CC68" s="192">
        <f>INDEX(Tiere!M$30:M$114,'Nährstoffe und Lagerraum'!$BM68)</f>
        <v>0</v>
      </c>
      <c r="CD68" s="192">
        <f>INDEX(Tiere!N$30:N$114,'Nährstoffe und Lagerraum'!$BM68)</f>
        <v>0</v>
      </c>
      <c r="CE68" s="192">
        <f>INDEX(Tiere!O$30:O$114,'Nährstoffe und Lagerraum'!$BM68)</f>
        <v>0</v>
      </c>
      <c r="CF68" s="2199">
        <f>CC68*'Eigene, abweichende Tierdaten'!$AH$64</f>
        <v>0</v>
      </c>
      <c r="CG68" s="2200">
        <f>CD68*'Eigene, abweichende Tierdaten'!$AH$64</f>
        <v>0</v>
      </c>
      <c r="CH68" s="2201">
        <f>CE68*'Eigene, abweichende Tierdaten'!$AH$64</f>
        <v>0</v>
      </c>
      <c r="CI68" s="185">
        <v>5</v>
      </c>
      <c r="CJ68" s="185">
        <v>3</v>
      </c>
      <c r="CK68" s="189">
        <v>17</v>
      </c>
      <c r="CL68" s="2197">
        <f>'Eigene, abweichende Tierdaten'!$AE$64</f>
        <v>5</v>
      </c>
      <c r="CM68" s="2197">
        <f>'Eigene, abweichende Tierdaten'!$AF$64</f>
        <v>3</v>
      </c>
      <c r="CN68" s="2197">
        <f>'Eigene, abweichende Tierdaten'!$AG$64</f>
        <v>17</v>
      </c>
      <c r="CO68" s="185">
        <f>INDEX(Tiere!AN$30:AN$114,'Nährstoffe und Lagerraum'!$BM68)</f>
        <v>0</v>
      </c>
      <c r="CP68" s="185">
        <f t="shared" ref="CP68:CP87" si="22">IF(R68=" ",0,CO68*R68)</f>
        <v>0</v>
      </c>
      <c r="CQ68" s="185">
        <f t="shared" ref="CQ68:CQ87" si="23">(AZ68+BC68)/2*BU68</f>
        <v>0</v>
      </c>
      <c r="CR68" s="189">
        <f t="shared" ref="CR68:CR87" si="24">(BA68+BD68)/2*BF68</f>
        <v>0</v>
      </c>
      <c r="CS68" s="185"/>
      <c r="CT68" s="357" t="b">
        <f t="shared" ref="CT68:CT87" si="25">AND(BM68&gt;1)</f>
        <v>0</v>
      </c>
      <c r="CU68" s="185"/>
      <c r="CV68" s="195">
        <f>INDEX(Tiere!AO$30:AO$114,'Nährstoffe und Lagerraum'!$BM68)</f>
        <v>0</v>
      </c>
      <c r="CW68" s="195">
        <f>INDEX(Tiere!AP$30:AP$114,'Nährstoffe und Lagerraum'!$BM68)</f>
        <v>0</v>
      </c>
      <c r="CX68" s="195">
        <f>INDEX(Tiere!AQ$30:AQ$114,'Nährstoffe und Lagerraum'!$BM68)</f>
        <v>0</v>
      </c>
      <c r="CY68" s="92">
        <f t="shared" ref="CY68:CY87" si="26">+((((AZ68*BR68*(100-BZ68)/100)*(CV68/100))+((BF68*BH68*BA68)*(CW68/100)))+(((BC68*BR68*(100-BZ68)/100)*(CV68/100))+((BF68*BH68*BD68)*(CW68/100))))/2</f>
        <v>0</v>
      </c>
      <c r="CZ68" s="95">
        <f t="shared" ref="CZ68:CZ87" si="27">+((AL68+AS68+AO68+AV68)/2)/100*CX68</f>
        <v>0</v>
      </c>
      <c r="DA68" s="95">
        <f t="shared" ref="DA68:DA87" si="28">+($E68+$F68)*($H68+$I68)/2/100*BR68*(100-CA68)/100</f>
        <v>0</v>
      </c>
      <c r="DB68" s="95">
        <f t="shared" ref="DB68:DB87" si="29">+($E68+$F68)*($H68+$I68)/2/100*BS68</f>
        <v>0</v>
      </c>
      <c r="DC68" s="95">
        <f t="shared" ref="DC68:DC87" si="30">+($E68+$F68)*($H68+$I68)/2/100*BT68</f>
        <v>0</v>
      </c>
      <c r="DD68" s="95">
        <f t="shared" ref="DD68:DD87" si="31">IF($DQ68=FALSE,(($E68*(100-BZ68)/100*(100-($H68+$I68)/2)/100+$F68*(100-CA68)/100*(100-($H68+$I68)/2)/100)*BR68+(AS68+AV68)/2),0)</f>
        <v>0</v>
      </c>
      <c r="DE68" s="95">
        <f t="shared" ref="DE68:DE87" si="32">IF($DQ68=FALSE,(($E68*(100-($H68+$I68)/2)/100+$F68*(100-($H68+$I68)/2)/100)*BS68+(AT68+AW68)/2),0)</f>
        <v>0</v>
      </c>
      <c r="DF68" s="95">
        <f t="shared" ref="DF68:DF87" si="33">IF($DQ68=FALSE,(($E68*(100-($H68+$I68)/2)/100+$F68*(100-($H68+$I68)/2)/100)*BT68+(AU68+AX68)/2),0)</f>
        <v>0</v>
      </c>
      <c r="DG68" s="95">
        <f t="shared" ref="DG68:DG87" si="34">IF($DQ68=FALSE,(AF68+AB68)/2,0)</f>
        <v>0</v>
      </c>
      <c r="DH68" s="95">
        <f t="shared" ref="DH68:DH87" si="35">IF($DQ68=FALSE,(AH68+AD68)/2,0)</f>
        <v>0</v>
      </c>
      <c r="DI68" s="95"/>
      <c r="DJ68" s="95">
        <f t="shared" ref="DJ68:DJ87" si="36">IF($DQ68=TRUE,(($E68*(100-BZ68)/100*(100-($H68+$I68)/2)/100+$F68*(100-CA68)/100*(100-($H68+$I68)/2)/100)*BR68+(AS68+AV68)/2),0)</f>
        <v>0</v>
      </c>
      <c r="DK68" s="95">
        <f t="shared" ref="DK68:DK87" si="37">IF($DQ68=TRUE,(($E68*(100-($H68+$I68)/2)/100+$F68*(100-($H68+$I68)/2)/100)*BS68+(AT68+AW68)/2),0)</f>
        <v>0</v>
      </c>
      <c r="DL68" s="95">
        <f t="shared" ref="DL68:DL87" si="38">IF($DQ68=TRUE,(($E68*(100-($H68+$I68)/2)/100+$F68*(100-($H68+$I68)/2)/100)*BT68+(AU68+AX68)/2),0)</f>
        <v>0</v>
      </c>
      <c r="DM68" s="95">
        <f t="shared" ref="DM68:DM87" si="39">IF($DQ68=TRUE,(AF68+AB68)/2,0)</f>
        <v>0</v>
      </c>
      <c r="DN68" s="95">
        <f>+DJ68-DM68</f>
        <v>0</v>
      </c>
      <c r="DO68" s="95">
        <f t="shared" ref="DO68:DO87" si="40">IF(BK68=2,60,IF(BK68=3,70,IF(BK68=4,70,55)))</f>
        <v>55</v>
      </c>
      <c r="DP68" s="95">
        <f t="shared" ref="DP68:DP87" si="41">IF(BK68=4,70,IF(DJ68=0,0,(DN68*55+DM68*DO68)/DJ68))</f>
        <v>0</v>
      </c>
      <c r="DQ68" s="185" t="b">
        <v>0</v>
      </c>
      <c r="DR68" s="185">
        <f>IF(DQ68=TRUE,1,0)</f>
        <v>0</v>
      </c>
      <c r="DS68" s="348">
        <f>INDEX(Tiere!AS$30:AS$114,'Nährstoffe und Lagerraum'!$BM68)</f>
        <v>0</v>
      </c>
      <c r="DT68" s="195">
        <f>INDEX(Tiere!AT$30:AT$114,'Nährstoffe und Lagerraum'!$BM68)</f>
        <v>0</v>
      </c>
      <c r="DU68" s="195">
        <f>INDEX(Tiere!AU$30:AU$114,'Nährstoffe und Lagerraum'!$BM68)</f>
        <v>0</v>
      </c>
      <c r="DV68" s="348">
        <f>INDEX(Tiere!AV$30:AV$114,'Nährstoffe und Lagerraum'!$BM68)</f>
        <v>0</v>
      </c>
      <c r="DW68" s="195">
        <f>INDEX(Tiere!AW$30:AW$114,'Nährstoffe und Lagerraum'!$BM68)</f>
        <v>0</v>
      </c>
      <c r="DX68" s="2177"/>
      <c r="DY68" s="195">
        <f>INDEX(Tiere!AX$30:AX$114,'Nährstoffe und Lagerraum'!$BM68)</f>
        <v>0</v>
      </c>
      <c r="DZ68" s="195">
        <f>INDEX(Tiere!AY$30:AY$114,'Nährstoffe und Lagerraum'!$BM68)</f>
        <v>0</v>
      </c>
      <c r="EA68" s="195">
        <f>INDEX(Tiere!AZ$30:AZ$114,'Nährstoffe und Lagerraum'!$BM68)</f>
        <v>0</v>
      </c>
      <c r="EB68" s="191">
        <f t="shared" ref="EB68:EB87" si="42">IF(DQ68=TRUE,(ED68*DZ68+EF68*EA68),0)</f>
        <v>0</v>
      </c>
      <c r="EC68" s="191">
        <f t="shared" ref="EC68:EC87" si="43">IF(J68=" ",0,(CQ68*AJ68+CR68*AK68)/(CQ68+CR68))</f>
        <v>0</v>
      </c>
      <c r="ED68" s="191">
        <f t="shared" ref="ED68:ED87" si="44">+(U68+W68)/2</f>
        <v>0</v>
      </c>
      <c r="EE68" s="191">
        <f t="shared" ref="EE68:EE87" si="45">+AR68</f>
        <v>0</v>
      </c>
      <c r="EF68" s="191">
        <f t="shared" ref="EF68:EF87" si="46">+(V68+X68)/2</f>
        <v>0</v>
      </c>
      <c r="EG68" s="2203">
        <f>IF(DQ68=TRUE,(ED68*EC68/100*DS68*DT68)/1000,0)</f>
        <v>0</v>
      </c>
      <c r="EH68" s="2203">
        <f t="shared" ref="EH68:EH87" si="47">+EG68*DU68/100</f>
        <v>0</v>
      </c>
      <c r="EI68" s="2204">
        <f>IF(DQ68=TRUE,((V68+X68)/2*AR68/100*DV68*DW68)/1000,0)</f>
        <v>0</v>
      </c>
      <c r="EJ68" s="355">
        <f>+EI68*DY68/100</f>
        <v>0</v>
      </c>
      <c r="EK68" s="355">
        <f t="shared" ref="EK68:EK87" si="48">+((U68+W68)/2+(V68+X68)/2)*DR68</f>
        <v>0</v>
      </c>
      <c r="EL68" s="92">
        <f t="shared" ref="EL68:EL87" si="49">+((U68+W68)/2*EC68/100+((V68+X68)/2)*AR68/100)*DR68</f>
        <v>0</v>
      </c>
      <c r="EM68" s="355">
        <f>+EK68-EL68</f>
        <v>0</v>
      </c>
      <c r="EN68" s="92" t="e">
        <f>+EL68/EK68</f>
        <v>#DIV/0!</v>
      </c>
      <c r="EO68" s="92">
        <f t="shared" ref="EO68:EO87" si="50">+((U68+W68)/2*EC68/100*DS68+((V68+X68)/2)*AR68/100*DV68)*DR68</f>
        <v>0</v>
      </c>
      <c r="EP68" s="2205" t="e">
        <f>+((U68+W68)/2*EC68/100*DS68*DT68+((V68+X68)/2)*AR68/100*DV68*DW68)*DR68/EK68</f>
        <v>#DIV/0!</v>
      </c>
      <c r="EQ68" s="117" t="e">
        <f>(ED68+EF68)*EP68*((EH68+EJ68)/(EG68+EI68))/22.26*0.01605</f>
        <v>#DIV/0!</v>
      </c>
      <c r="ER68" s="117" t="e">
        <f t="shared" ref="ER68:ER87" si="51">(ED68+EF68)*EP68*(1-(DU68*EG68+DY68*EI68)/(EG68+EI68)/100)/22.26*0.04401</f>
        <v>#DIV/0!</v>
      </c>
      <c r="ES68" s="92">
        <f>IF(EK68=0,0,EQ68+ER68)</f>
        <v>0</v>
      </c>
      <c r="ET68" s="2207">
        <f>IF(EO68=0,0,(EG68+EI68)/EO68*1000/887*100)</f>
        <v>0</v>
      </c>
      <c r="EU68" s="146">
        <f>15.44*ET68/100</f>
        <v>0</v>
      </c>
      <c r="EV68" s="283">
        <f>+ES68-EW68</f>
        <v>0</v>
      </c>
      <c r="EW68" s="283">
        <f>+ES68*EU68/100</f>
        <v>0</v>
      </c>
      <c r="EZ68" s="92">
        <f t="shared" ref="EZ68:EZ87" si="52">IF(BN68=1,BB68*CC68*BP68*365/1000,IF(BN68=2,BB68*CD68*BP68*365/1000,BB68*CE68*BP68*365/1000))</f>
        <v>0</v>
      </c>
      <c r="FA68" s="92">
        <f t="shared" ref="FA68:FA87" si="53">IF(BN68=1,BE68*CC68*BP68*365/1000,IF(BN68=2,BE68*CD68*BP68*365/1000,BE68*CE68*BP68*365/1000))</f>
        <v>0</v>
      </c>
      <c r="FB68" s="2205">
        <f>IF(BN68=1,BB68*CF68*BP68*365/1000,IF(BN68=2,BB68*CG68*BP68*365/1000,BB68*CH68*BP68*365/1000))</f>
        <v>0</v>
      </c>
      <c r="FC68" s="2205">
        <f t="shared" ref="FC68:FC87" si="54">IF(BN68=1,BE68*CF68*BP68*365/1000,IF(BN68=2,BE68*CG68*BP68*365/1000,BE68*CH68*BP68*365/1000))</f>
        <v>0</v>
      </c>
      <c r="FD68" s="92">
        <f>IF(DQ68=TRUE,0,IF(AA68=0,0,IF(BA68+BD68=0,0,IF(BK68=4,BA68*BG68-(E68*(1-H68/100)*CE68*365*BO68/1000/AR68*86),BA68*BG68))))</f>
        <v>0</v>
      </c>
      <c r="FE68" s="92">
        <f>IF(DQ68=TRUE,0,IF(AA68=0,0,IF(BD68+BB68=0,0,IF(BK68=4,BD68*BG68-(E68*(1-I68/100)*CE68*365*BO68/1000/AR68*86),BD68*BG68))))</f>
        <v>0</v>
      </c>
      <c r="FF68" s="92">
        <f t="shared" ref="FF68:FF87" si="55">+($E68+$F68)*BR68</f>
        <v>0</v>
      </c>
      <c r="FG68" s="92">
        <f t="shared" ref="FG68:FG87" si="56">+($E68+$F68)*BS68</f>
        <v>0</v>
      </c>
      <c r="FH68" s="92" cm="1">
        <f t="array" ref="FH68">INDEX(Tiere!$AJ$30:$AJ$114,BM68)</f>
        <v>0</v>
      </c>
    </row>
    <row r="69" spans="1:164" ht="18" customHeight="1" x14ac:dyDescent="0.2">
      <c r="A69" s="2567"/>
      <c r="B69" s="2568"/>
      <c r="C69" s="2568"/>
      <c r="D69" s="2626"/>
      <c r="E69" s="1509"/>
      <c r="F69" s="1515"/>
      <c r="G69" s="1942"/>
      <c r="H69" s="1509"/>
      <c r="I69" s="1511"/>
      <c r="J69" s="1450" t="str">
        <f t="shared" si="1"/>
        <v xml:space="preserve"> </v>
      </c>
      <c r="K69" s="2583" t="str">
        <f t="shared" si="2"/>
        <v xml:space="preserve"> </v>
      </c>
      <c r="L69" s="2440"/>
      <c r="M69" s="449"/>
      <c r="N69" s="14"/>
      <c r="P69" s="185"/>
      <c r="Q69" s="185" t="str">
        <f t="shared" si="3"/>
        <v xml:space="preserve"> </v>
      </c>
      <c r="R69" s="185" t="str">
        <f t="shared" si="4"/>
        <v xml:space="preserve"> </v>
      </c>
      <c r="S69" s="185">
        <f t="shared" si="5"/>
        <v>0</v>
      </c>
      <c r="T69" s="256">
        <f t="shared" si="6"/>
        <v>0</v>
      </c>
      <c r="U69" s="185">
        <f t="shared" si="7"/>
        <v>0</v>
      </c>
      <c r="V69" s="2194">
        <f t="shared" ref="V69:V87" si="57">IF(CT69=FALSE,0,IF(AA69=0,0,IF(BD69+BA69=0,0,IF(BK69=4,BA69*BG69-(E69*(1-H69/100)*CE69*365*BO69/1000/AR69*86)+FB69-EZ69,BA69*BG69+FB69-EZ69))))</f>
        <v>0</v>
      </c>
      <c r="W69" s="185">
        <f t="shared" si="8"/>
        <v>0</v>
      </c>
      <c r="X69" s="2195">
        <f t="shared" ref="X69:X87" si="58">IF(CT69=FALSE,0,IF(AA69=0,0,IF(BD69+BA69=0,0,IF(BK69=4,BD69*BG69-(E69*(1-I69/100)*CE69*365*BO69/1000/AR69*86)+FC69-FA69,BD69*BG69+FC69-FA69))))</f>
        <v>0</v>
      </c>
      <c r="Y69" s="185" t="str">
        <f t="shared" ref="Y69:Y81" si="59">IF(X69=0," ",(X69*(1/CB69)))</f>
        <v xml:space="preserve"> </v>
      </c>
      <c r="Z69" s="186">
        <f t="shared" si="9"/>
        <v>0</v>
      </c>
      <c r="AA69" s="187">
        <f t="shared" si="10"/>
        <v>0</v>
      </c>
      <c r="AB69" s="256">
        <f t="shared" ref="AB69:AB81" si="60">+(AZ69*BR69*(100-BZ69)/100)+(BF69*BH69*BA69)</f>
        <v>0</v>
      </c>
      <c r="AC69" s="256">
        <f t="shared" ref="AC69:AC81" si="61">IF(BK69=2,AB69,0)</f>
        <v>0</v>
      </c>
      <c r="AD69" s="256">
        <f t="shared" ref="AD69:AD81" si="62">AZ69*BS69+BA69*BF69*BI69</f>
        <v>0</v>
      </c>
      <c r="AE69" s="256">
        <f t="shared" ref="AE69:AE81" si="63">AZ69*BT69+BA69*BF69*BJ69</f>
        <v>0</v>
      </c>
      <c r="AF69" s="188">
        <f>+(BC69*BR69*(100-BZ69)/100)+(BF69*BH69*BD69)</f>
        <v>0</v>
      </c>
      <c r="AG69" s="185">
        <f t="shared" si="12"/>
        <v>0</v>
      </c>
      <c r="AH69" s="185">
        <f t="shared" si="13"/>
        <v>0</v>
      </c>
      <c r="AI69" s="189">
        <f t="shared" si="14"/>
        <v>0</v>
      </c>
      <c r="AJ69" s="190">
        <f>INDEX(Tiere!L$30:L$114,'Nährstoffe und Lagerraum'!$BM69)</f>
        <v>0</v>
      </c>
      <c r="AK69" s="190">
        <f>INDEX(Tiere!Z$30:Z$114,'Nährstoffe und Lagerraum'!BM69)</f>
        <v>0</v>
      </c>
      <c r="AL69" s="185">
        <f t="shared" ref="AL69:AL81" si="64">+(BA69*BR69*(100-CA69)/100)-BF69*BA69*BH69</f>
        <v>0</v>
      </c>
      <c r="AM69" s="185">
        <f t="shared" ref="AM69:AM81" si="65">BA69*BS69-BA69*BF69*BI69</f>
        <v>0</v>
      </c>
      <c r="AN69" s="185">
        <f t="shared" ref="AN69:AN81" si="66">BA69*BT69-BA69*BF69*BJ69</f>
        <v>0</v>
      </c>
      <c r="AO69" s="188">
        <f t="shared" si="15"/>
        <v>0</v>
      </c>
      <c r="AP69" s="185">
        <f t="shared" si="16"/>
        <v>0</v>
      </c>
      <c r="AQ69" s="189">
        <f t="shared" si="17"/>
        <v>0</v>
      </c>
      <c r="AR69" s="190" cm="1">
        <f t="array" ref="AR69">IF(BN69=1,INDEX(Tiere!V$30:V$114,'Nährstoffe und Lagerraum'!$BM69),IF(BN69=2,INDEX(Tiere!W$30:W$114,'Nährstoffe und Lagerraum'!$BM69),INDEX(Tiere!X$30:X$114,'Nährstoffe und Lagerraum'!$BM69)))</f>
        <v>0</v>
      </c>
      <c r="AS69" s="2194">
        <f t="shared" ref="AS69:AS87" si="67">IF(BN69=1,BB69*CF69*BP69*365/1000*CL69,IF(BN69=2,BB69*CG69*BP69*365/1000*CL69,BB69*CH69*BP69*365/1000*CL69))</f>
        <v>0</v>
      </c>
      <c r="AT69" s="2194">
        <f t="shared" ref="AT69:AT87" si="68">IF(BN69=1,BB69*CF69*BP69*365/1000*CM69,IF(BN69=2,BB69*CG69*BP69*365/1000*CM69,BB69*CH69*BP69*365/1000*CM69))</f>
        <v>0</v>
      </c>
      <c r="AU69" s="2194">
        <f t="shared" ref="AU69:AU87" si="69">IF(BN69=1,BB69*CF69*BP69*365/1000*CN69,IF(BN69=2,BB69*CG69*BP69*365/1000*CN69,BB69*CH69*BP69*365/1000*CN69))</f>
        <v>0</v>
      </c>
      <c r="AV69" s="2196">
        <f t="shared" ref="AV69:AV87" si="70">IF(BN69=1,BE69*CF69*BP69*365/1000*CL69,IF(BN69=2,BE69*CG69*BP69*365/1000*CL69,BE69*CH69*BP69*365/1000*CL69))</f>
        <v>0</v>
      </c>
      <c r="AW69" s="2197">
        <f t="shared" ref="AW69:AW87" si="71">IF(BN69=1,BE69*CF69*BP69*365/1000*CM69,IF(BN69=2,BE69*CG69*BP69*365/1000*CM69,BE69*CH69*BP69*365/1000*CM69))</f>
        <v>0</v>
      </c>
      <c r="AX69" s="2198">
        <f t="shared" ref="AX69:AX87" si="72">IF(BN69=1,BE69*CF69*BP69*365/1000*CN69,IF(BN69=2,BE69*CG69*BP69*365/1000*CN69,BE69*CH69*BP69*365/1000*CN69))</f>
        <v>0</v>
      </c>
      <c r="AY69" s="185"/>
      <c r="AZ69" s="195">
        <f t="shared" si="18"/>
        <v>0</v>
      </c>
      <c r="BA69" s="191">
        <f t="shared" si="19"/>
        <v>0</v>
      </c>
      <c r="BB69" s="2194">
        <f t="shared" ref="BB69:BB87" si="73">IF(BK69=5,(E69+F69)*(100-H69)/100, F69*(100-H69)/100)</f>
        <v>0</v>
      </c>
      <c r="BC69" s="188">
        <f t="shared" si="20"/>
        <v>0</v>
      </c>
      <c r="BD69" s="185">
        <f t="shared" si="21"/>
        <v>0</v>
      </c>
      <c r="BE69" s="2198">
        <f t="shared" ref="BE69:BE87" si="74">IF(BK69=5,(E69+F69)*(100-I69)/100, F69*(100-I69)/100)</f>
        <v>0</v>
      </c>
      <c r="BF69" s="193">
        <f t="shared" ref="BF69:BF81" si="75">IF(BN69=1,BV69,IF(BN69=2,BV69/2,0))</f>
        <v>0</v>
      </c>
      <c r="BG69" s="194">
        <f t="shared" ref="BG69:BG81" si="76">IF(BN69=1,BW69,IF(BN69=2,BX69,BY69))</f>
        <v>0</v>
      </c>
      <c r="BH69" s="871">
        <f>INDEX(Tiere!BH$30:BH$114,'Nährstoffe und Lagerraum'!$BM69)</f>
        <v>0</v>
      </c>
      <c r="BI69" s="871">
        <f>INDEX(Tiere!BI$30:BI$114,'Nährstoffe und Lagerraum'!$BM69)</f>
        <v>0</v>
      </c>
      <c r="BJ69" s="871">
        <f>INDEX(Tiere!BJ$30:BJ$114,'Nährstoffe und Lagerraum'!$BM69)</f>
        <v>0</v>
      </c>
      <c r="BK69" s="684">
        <f t="shared" ref="BK69:BK81" si="77">IF(BL69&lt;4,BL69+1,5)</f>
        <v>1</v>
      </c>
      <c r="BL69" s="684" cm="1">
        <f t="array" ref="BL69">INDEX(Tiere!$C$30:$C$114,BM69)</f>
        <v>0</v>
      </c>
      <c r="BM69" s="197">
        <v>1</v>
      </c>
      <c r="BN69" s="197">
        <v>1</v>
      </c>
      <c r="BO69" s="196">
        <f>INDEX(Tiere!D$30:D$114,'Nährstoffe und Lagerraum'!$BM69)</f>
        <v>0</v>
      </c>
      <c r="BP69" s="196" t="str">
        <f t="shared" ref="BP69:BP81" si="78">IF(BO69&gt;0.001,BO69,"1")</f>
        <v>1</v>
      </c>
      <c r="BQ69" s="196">
        <f t="shared" ref="BQ69:BQ81" si="79">E69*BO69+F69*BO69</f>
        <v>0</v>
      </c>
      <c r="BR69" s="195">
        <f>INDEX(Tiere!E$30:E$114,'Nährstoffe und Lagerraum'!$BM69)</f>
        <v>0</v>
      </c>
      <c r="BS69" s="191">
        <f>INDEX(Tiere!F$30:F$114,'Nährstoffe und Lagerraum'!$BM69)</f>
        <v>0</v>
      </c>
      <c r="BT69" s="192">
        <f>INDEX(Tiere!G$30:G$114,'Nährstoffe und Lagerraum'!$BM69)</f>
        <v>0</v>
      </c>
      <c r="BU69" s="191">
        <f>INDEX(Tiere!K$30:K$114,'Nährstoffe und Lagerraum'!$BM69)</f>
        <v>0</v>
      </c>
      <c r="BV69" s="191">
        <f>INDEX(Tiere!Y$30:Y$114,'Nährstoffe und Lagerraum'!$BM69)</f>
        <v>0</v>
      </c>
      <c r="BW69" s="195">
        <f>INDEX(Tiere!S$30:S$114,'Nährstoffe und Lagerraum'!$BM69)</f>
        <v>0</v>
      </c>
      <c r="BX69" s="191">
        <f>INDEX(Tiere!T$30:T$114,'Nährstoffe und Lagerraum'!$BM69)</f>
        <v>0</v>
      </c>
      <c r="BY69" s="192">
        <f>INDEX(Tiere!U$30:U$114,'Nährstoffe und Lagerraum'!$BM69)</f>
        <v>0</v>
      </c>
      <c r="BZ69" s="195">
        <f>INDEX(Tiere!AA$30:AA$114,'Nährstoffe und Lagerraum'!$BM69)</f>
        <v>0</v>
      </c>
      <c r="CA69" s="192">
        <f>INDEX(Tiere!AB$30:AB$114,'Nährstoffe und Lagerraum'!$BM69)</f>
        <v>0</v>
      </c>
      <c r="CB69" s="192">
        <f>INDEX(Tiere!AK$30:AK$114,'Nährstoffe und Lagerraum'!$BM69)</f>
        <v>0</v>
      </c>
      <c r="CC69" s="192">
        <f>INDEX(Tiere!M$30:M$114,'Nährstoffe und Lagerraum'!$BM69)</f>
        <v>0</v>
      </c>
      <c r="CD69" s="192">
        <f>INDEX(Tiere!N$30:N$114,'Nährstoffe und Lagerraum'!$BM69)</f>
        <v>0</v>
      </c>
      <c r="CE69" s="192">
        <f>INDEX(Tiere!O$30:O$114,'Nährstoffe und Lagerraum'!$BM69)</f>
        <v>0</v>
      </c>
      <c r="CF69" s="2199">
        <f>CC69*'Eigene, abweichende Tierdaten'!$AH$64</f>
        <v>0</v>
      </c>
      <c r="CG69" s="2200">
        <f>CD69*'Eigene, abweichende Tierdaten'!$AH$64</f>
        <v>0</v>
      </c>
      <c r="CH69" s="2201">
        <f>CE69*'Eigene, abweichende Tierdaten'!$AH$64</f>
        <v>0</v>
      </c>
      <c r="CI69" s="185">
        <v>5</v>
      </c>
      <c r="CJ69" s="185">
        <v>3</v>
      </c>
      <c r="CK69" s="189">
        <v>17</v>
      </c>
      <c r="CL69" s="2197">
        <f>'Eigene, abweichende Tierdaten'!$AE$64</f>
        <v>5</v>
      </c>
      <c r="CM69" s="2197">
        <f>'Eigene, abweichende Tierdaten'!$AF$64</f>
        <v>3</v>
      </c>
      <c r="CN69" s="2197">
        <f>'Eigene, abweichende Tierdaten'!$AG$64</f>
        <v>17</v>
      </c>
      <c r="CO69" s="185">
        <f>INDEX(Tiere!AN$30:AN$114,'Nährstoffe und Lagerraum'!$BM69)</f>
        <v>0</v>
      </c>
      <c r="CP69" s="185">
        <f t="shared" si="22"/>
        <v>0</v>
      </c>
      <c r="CQ69" s="185">
        <f t="shared" si="23"/>
        <v>0</v>
      </c>
      <c r="CR69" s="189">
        <f t="shared" si="24"/>
        <v>0</v>
      </c>
      <c r="CS69" s="185"/>
      <c r="CT69" s="357" t="b">
        <f t="shared" si="25"/>
        <v>0</v>
      </c>
      <c r="CU69" s="185"/>
      <c r="CV69" s="195">
        <f>INDEX(Tiere!AO$30:AO$114,'Nährstoffe und Lagerraum'!$BM69)</f>
        <v>0</v>
      </c>
      <c r="CW69" s="195">
        <f>INDEX(Tiere!AP$30:AP$114,'Nährstoffe und Lagerraum'!$BM69)</f>
        <v>0</v>
      </c>
      <c r="CX69" s="195">
        <f>INDEX(Tiere!AQ$30:AQ$114,'Nährstoffe und Lagerraum'!$BM69)</f>
        <v>0</v>
      </c>
      <c r="CY69" s="92">
        <f t="shared" si="26"/>
        <v>0</v>
      </c>
      <c r="CZ69" s="95">
        <f t="shared" si="27"/>
        <v>0</v>
      </c>
      <c r="DA69" s="95">
        <f t="shared" si="28"/>
        <v>0</v>
      </c>
      <c r="DB69" s="95">
        <f t="shared" si="29"/>
        <v>0</v>
      </c>
      <c r="DC69" s="95">
        <f t="shared" si="30"/>
        <v>0</v>
      </c>
      <c r="DD69" s="95">
        <f t="shared" si="31"/>
        <v>0</v>
      </c>
      <c r="DE69" s="95">
        <f t="shared" si="32"/>
        <v>0</v>
      </c>
      <c r="DF69" s="95">
        <f t="shared" si="33"/>
        <v>0</v>
      </c>
      <c r="DG69" s="95">
        <f t="shared" si="34"/>
        <v>0</v>
      </c>
      <c r="DH69" s="95">
        <f t="shared" si="35"/>
        <v>0</v>
      </c>
      <c r="DI69" s="95"/>
      <c r="DJ69" s="95">
        <f t="shared" si="36"/>
        <v>0</v>
      </c>
      <c r="DK69" s="95">
        <f t="shared" si="37"/>
        <v>0</v>
      </c>
      <c r="DL69" s="95">
        <f t="shared" si="38"/>
        <v>0</v>
      </c>
      <c r="DM69" s="95">
        <f t="shared" si="39"/>
        <v>0</v>
      </c>
      <c r="DN69" s="95">
        <f t="shared" ref="DN69:DN81" si="80">+DJ69-DM69</f>
        <v>0</v>
      </c>
      <c r="DO69" s="95">
        <f t="shared" si="40"/>
        <v>55</v>
      </c>
      <c r="DP69" s="95">
        <f t="shared" si="41"/>
        <v>0</v>
      </c>
      <c r="DQ69" s="185" t="b">
        <v>0</v>
      </c>
      <c r="DR69" s="185">
        <f t="shared" ref="DR69:DR81" si="81">IF(DQ69=TRUE,1,0)</f>
        <v>0</v>
      </c>
      <c r="DS69" s="348">
        <f>INDEX(Tiere!AS$30:AS$114,'Nährstoffe und Lagerraum'!$BM69)</f>
        <v>0</v>
      </c>
      <c r="DT69" s="195">
        <f>INDEX(Tiere!AT$30:AT$114,'Nährstoffe und Lagerraum'!$BM69)</f>
        <v>0</v>
      </c>
      <c r="DU69" s="195">
        <f>INDEX(Tiere!AU$30:AU$114,'Nährstoffe und Lagerraum'!$BM69)</f>
        <v>0</v>
      </c>
      <c r="DV69" s="348">
        <f>INDEX(Tiere!AV$30:AV$114,'Nährstoffe und Lagerraum'!$BM69)</f>
        <v>0</v>
      </c>
      <c r="DW69" s="195">
        <f>INDEX(Tiere!AW$30:AW$114,'Nährstoffe und Lagerraum'!$BM69)</f>
        <v>0</v>
      </c>
      <c r="DX69" s="2177">
        <f>DW69+('Eigene, abweichende Tierdaten'!$AH$67*'Eigene, abweichende Tierdaten'!$M$55)/1000</f>
        <v>0</v>
      </c>
      <c r="DY69" s="195">
        <f>INDEX(Tiere!AX$30:AX$114,'Nährstoffe und Lagerraum'!$BM69)</f>
        <v>0</v>
      </c>
      <c r="DZ69" s="195">
        <f>INDEX(Tiere!AY$30:AY$114,'Nährstoffe und Lagerraum'!$BM69)</f>
        <v>0</v>
      </c>
      <c r="EA69" s="195">
        <f>INDEX(Tiere!AZ$30:AZ$114,'Nährstoffe und Lagerraum'!$BM69)</f>
        <v>0</v>
      </c>
      <c r="EB69" s="191">
        <f t="shared" si="42"/>
        <v>0</v>
      </c>
      <c r="EC69" s="191">
        <f t="shared" si="43"/>
        <v>0</v>
      </c>
      <c r="ED69" s="191">
        <f t="shared" si="44"/>
        <v>0</v>
      </c>
      <c r="EE69" s="191">
        <f t="shared" si="45"/>
        <v>0</v>
      </c>
      <c r="EF69" s="191">
        <f t="shared" si="46"/>
        <v>0</v>
      </c>
      <c r="EG69" s="2203">
        <f t="shared" ref="EG69:EG87" si="82">IF(DQ69=TRUE,(ED69*EC69/100*DS69*DT69)/1000,0)</f>
        <v>0</v>
      </c>
      <c r="EH69" s="2203">
        <f t="shared" si="47"/>
        <v>0</v>
      </c>
      <c r="EI69" s="2204">
        <f t="shared" ref="EI69:EI87" si="83">IF(DQ69=TRUE,((V69+X69)/2*AR69/100*DV69*DW69)/1000,0)</f>
        <v>0</v>
      </c>
      <c r="EJ69" s="355">
        <f t="shared" ref="EJ69:EJ81" si="84">+EI69*DY69/100</f>
        <v>0</v>
      </c>
      <c r="EK69" s="355">
        <f t="shared" si="48"/>
        <v>0</v>
      </c>
      <c r="EL69" s="92">
        <f t="shared" si="49"/>
        <v>0</v>
      </c>
      <c r="EM69" s="355">
        <f t="shared" ref="EM69:EM81" si="85">+EK69-EL69</f>
        <v>0</v>
      </c>
      <c r="EN69" s="92" t="e">
        <f t="shared" ref="EN69:EN81" si="86">+EL69/EK69</f>
        <v>#DIV/0!</v>
      </c>
      <c r="EO69" s="92">
        <f t="shared" si="50"/>
        <v>0</v>
      </c>
      <c r="EP69" s="2205" t="e">
        <f t="shared" ref="EP69:EP87" si="87">+((U69+W69)/2*EC69/100*DS69*DT69+((V69+X69)/2)*AR69/100*DV69*DW69)*DR69/EK69</f>
        <v>#DIV/0!</v>
      </c>
      <c r="EQ69" s="117" t="e">
        <f>(ED69+EF69)*EP69*((EH69+EJ69)/(EG69+EI69))/22.26*0.01605</f>
        <v>#DIV/0!</v>
      </c>
      <c r="ER69" s="117" t="e">
        <f t="shared" si="51"/>
        <v>#DIV/0!</v>
      </c>
      <c r="ES69" s="92">
        <f t="shared" ref="ES69:ES81" si="88">IF(EK69=0,0,EQ69+ER69)</f>
        <v>0</v>
      </c>
      <c r="ET69" s="2207">
        <f t="shared" ref="ET69:ET87" si="89">IF(EO69=0,0,(EG69+EI69)/EO69*1000/887*100)</f>
        <v>0</v>
      </c>
      <c r="EU69" s="146">
        <f t="shared" ref="EU69:EU81" si="90">15.44*ET69/100</f>
        <v>0</v>
      </c>
      <c r="EV69" s="283">
        <f t="shared" ref="EV69:EV81" si="91">+ES69-EW69</f>
        <v>0</v>
      </c>
      <c r="EW69" s="283">
        <f t="shared" ref="EW69:EW81" si="92">+ES69*EU69/100</f>
        <v>0</v>
      </c>
      <c r="EZ69" s="92">
        <f t="shared" si="52"/>
        <v>0</v>
      </c>
      <c r="FA69" s="92">
        <f t="shared" si="53"/>
        <v>0</v>
      </c>
      <c r="FB69" s="2205">
        <f t="shared" ref="FB69:FB87" si="93">IF(BN69=1,BB69*CF69*BP69*365/1000,IF(BN69=2,BB69*CG69*BP69*365/1000,BB69*CH69*BP69*365/1000))</f>
        <v>0</v>
      </c>
      <c r="FC69" s="2205">
        <f>IF(BN69=1,BE69*CF69*BP69*365/1000,IF(BN69=2,BE69*CG69*BP69*365/1000,BE69*CH69*BP69*365/1000))</f>
        <v>0</v>
      </c>
      <c r="FD69" s="92">
        <f t="shared" ref="FD69:FD87" si="94">IF(DQ69=TRUE,0,IF(AA69=0,0,IF(BA69+BD69=0,0,IF(BK69=4,BA69*BG69-(E69*(1-H69/100)*CE69*365*BO69/1000/AR69*86),BA69*BG69))))</f>
        <v>0</v>
      </c>
      <c r="FE69" s="92">
        <f t="shared" ref="FE69:FE87" si="95">IF(DQ69=TRUE,0,IF(AA69=0,0,IF(BB69+BD69=0,0,IF(BK69=4,BB69*BG69-(E69*(1-I69/100)*CE69*365*BO69/1000/AR69*86),BB69*BG69))))</f>
        <v>0</v>
      </c>
      <c r="FF69" s="92">
        <f t="shared" si="55"/>
        <v>0</v>
      </c>
      <c r="FG69" s="92">
        <f t="shared" si="56"/>
        <v>0</v>
      </c>
      <c r="FH69" s="92" cm="1">
        <f t="array" ref="FH69">INDEX(Tiere!$AJ$30:$AJ$114,BM69)</f>
        <v>0</v>
      </c>
    </row>
    <row r="70" spans="1:164" ht="18" customHeight="1" x14ac:dyDescent="0.2">
      <c r="A70" s="2567"/>
      <c r="B70" s="2568"/>
      <c r="C70" s="2568"/>
      <c r="D70" s="2568"/>
      <c r="E70" s="1509"/>
      <c r="F70" s="1515"/>
      <c r="G70" s="1942"/>
      <c r="H70" s="1509"/>
      <c r="I70" s="1511"/>
      <c r="J70" s="1450" t="str">
        <f t="shared" si="1"/>
        <v xml:space="preserve"> </v>
      </c>
      <c r="K70" s="2583" t="str">
        <f t="shared" si="2"/>
        <v xml:space="preserve"> </v>
      </c>
      <c r="L70" s="2440"/>
      <c r="M70" s="449"/>
      <c r="N70" s="14"/>
      <c r="O70" s="14"/>
      <c r="P70" s="185"/>
      <c r="Q70" s="185" t="str">
        <f t="shared" si="3"/>
        <v xml:space="preserve"> </v>
      </c>
      <c r="R70" s="185" t="str">
        <f t="shared" si="4"/>
        <v xml:space="preserve"> </v>
      </c>
      <c r="S70" s="185">
        <f t="shared" si="5"/>
        <v>0</v>
      </c>
      <c r="T70" s="256">
        <f t="shared" si="6"/>
        <v>0</v>
      </c>
      <c r="U70" s="185">
        <f t="shared" si="7"/>
        <v>0</v>
      </c>
      <c r="V70" s="2194">
        <f t="shared" si="57"/>
        <v>0</v>
      </c>
      <c r="W70" s="185">
        <f t="shared" si="8"/>
        <v>0</v>
      </c>
      <c r="X70" s="2195">
        <f t="shared" si="58"/>
        <v>0</v>
      </c>
      <c r="Y70" s="185" t="str">
        <f t="shared" si="59"/>
        <v xml:space="preserve"> </v>
      </c>
      <c r="Z70" s="186">
        <f t="shared" si="9"/>
        <v>0</v>
      </c>
      <c r="AA70" s="187">
        <f t="shared" si="10"/>
        <v>0</v>
      </c>
      <c r="AB70" s="256">
        <f t="shared" si="60"/>
        <v>0</v>
      </c>
      <c r="AC70" s="256">
        <f t="shared" si="61"/>
        <v>0</v>
      </c>
      <c r="AD70" s="256">
        <f t="shared" si="62"/>
        <v>0</v>
      </c>
      <c r="AE70" s="256">
        <f t="shared" si="63"/>
        <v>0</v>
      </c>
      <c r="AF70" s="188">
        <f t="shared" si="11"/>
        <v>0</v>
      </c>
      <c r="AG70" s="185">
        <f t="shared" si="12"/>
        <v>0</v>
      </c>
      <c r="AH70" s="185">
        <f t="shared" si="13"/>
        <v>0</v>
      </c>
      <c r="AI70" s="189">
        <f t="shared" si="14"/>
        <v>0</v>
      </c>
      <c r="AJ70" s="190">
        <f>INDEX(Tiere!L$30:L$114,'Nährstoffe und Lagerraum'!$BM70)</f>
        <v>0</v>
      </c>
      <c r="AK70" s="190">
        <f>INDEX(Tiere!Z$30:Z$114,'Nährstoffe und Lagerraum'!BM70)</f>
        <v>0</v>
      </c>
      <c r="AL70" s="185">
        <f t="shared" si="64"/>
        <v>0</v>
      </c>
      <c r="AM70" s="185">
        <f t="shared" si="65"/>
        <v>0</v>
      </c>
      <c r="AN70" s="185">
        <f t="shared" si="66"/>
        <v>0</v>
      </c>
      <c r="AO70" s="188">
        <f t="shared" si="15"/>
        <v>0</v>
      </c>
      <c r="AP70" s="185">
        <f t="shared" si="16"/>
        <v>0</v>
      </c>
      <c r="AQ70" s="189">
        <f t="shared" si="17"/>
        <v>0</v>
      </c>
      <c r="AR70" s="190" cm="1">
        <f t="array" ref="AR70">IF(BN70=1,INDEX(Tiere!V$30:V$114,'Nährstoffe und Lagerraum'!$BM70),IF(BN70=2,INDEX(Tiere!W$30:W$114,'Nährstoffe und Lagerraum'!$BM70),INDEX(Tiere!X$30:X$114,'Nährstoffe und Lagerraum'!$BM70)))</f>
        <v>0</v>
      </c>
      <c r="AS70" s="2194">
        <f t="shared" si="67"/>
        <v>0</v>
      </c>
      <c r="AT70" s="2194">
        <f t="shared" si="68"/>
        <v>0</v>
      </c>
      <c r="AU70" s="2194">
        <f t="shared" si="69"/>
        <v>0</v>
      </c>
      <c r="AV70" s="2196">
        <f t="shared" si="70"/>
        <v>0</v>
      </c>
      <c r="AW70" s="2197">
        <f t="shared" si="71"/>
        <v>0</v>
      </c>
      <c r="AX70" s="2198">
        <f t="shared" si="72"/>
        <v>0</v>
      </c>
      <c r="AY70" s="185"/>
      <c r="AZ70" s="195">
        <f t="shared" si="18"/>
        <v>0</v>
      </c>
      <c r="BA70" s="191">
        <f t="shared" si="19"/>
        <v>0</v>
      </c>
      <c r="BB70" s="2194">
        <f t="shared" si="73"/>
        <v>0</v>
      </c>
      <c r="BC70" s="188">
        <f t="shared" si="20"/>
        <v>0</v>
      </c>
      <c r="BD70" s="185">
        <f t="shared" si="21"/>
        <v>0</v>
      </c>
      <c r="BE70" s="2198">
        <f t="shared" si="74"/>
        <v>0</v>
      </c>
      <c r="BF70" s="195">
        <f t="shared" si="75"/>
        <v>0</v>
      </c>
      <c r="BG70" s="192">
        <f t="shared" si="76"/>
        <v>0</v>
      </c>
      <c r="BH70" s="871">
        <f>INDEX(Tiere!BH$30:BH$114,'Nährstoffe und Lagerraum'!$BM70)</f>
        <v>0</v>
      </c>
      <c r="BI70" s="871">
        <f>INDEX(Tiere!BI$30:BI$114,'Nährstoffe und Lagerraum'!$BM70)</f>
        <v>0</v>
      </c>
      <c r="BJ70" s="871">
        <f>INDEX(Tiere!BJ$30:BJ$114,'Nährstoffe und Lagerraum'!$BM70)</f>
        <v>0</v>
      </c>
      <c r="BK70" s="684">
        <f t="shared" si="77"/>
        <v>1</v>
      </c>
      <c r="BL70" s="684" cm="1">
        <f t="array" ref="BL70">INDEX(Tiere!$C$30:$C$114,BM70)</f>
        <v>0</v>
      </c>
      <c r="BM70" s="197">
        <v>1</v>
      </c>
      <c r="BN70" s="197">
        <v>1</v>
      </c>
      <c r="BO70" s="196">
        <f>INDEX(Tiere!D$30:D$114,'Nährstoffe und Lagerraum'!$BM70)</f>
        <v>0</v>
      </c>
      <c r="BP70" s="196" t="str">
        <f t="shared" si="78"/>
        <v>1</v>
      </c>
      <c r="BQ70" s="196">
        <f t="shared" si="79"/>
        <v>0</v>
      </c>
      <c r="BR70" s="195">
        <f>INDEX(Tiere!E$30:E$114,'Nährstoffe und Lagerraum'!$BM70)</f>
        <v>0</v>
      </c>
      <c r="BS70" s="191">
        <f>INDEX(Tiere!F$30:F$114,'Nährstoffe und Lagerraum'!$BM70)</f>
        <v>0</v>
      </c>
      <c r="BT70" s="192">
        <f>INDEX(Tiere!G$30:G$114,'Nährstoffe und Lagerraum'!$BM70)</f>
        <v>0</v>
      </c>
      <c r="BU70" s="191">
        <f>INDEX(Tiere!K$30:K$114,'Nährstoffe und Lagerraum'!$BM70)</f>
        <v>0</v>
      </c>
      <c r="BV70" s="191">
        <f>INDEX(Tiere!Y$30:Y$114,'Nährstoffe und Lagerraum'!$BM70)</f>
        <v>0</v>
      </c>
      <c r="BW70" s="195">
        <f>INDEX(Tiere!S$30:S$114,'Nährstoffe und Lagerraum'!$BM70)</f>
        <v>0</v>
      </c>
      <c r="BX70" s="191">
        <f>INDEX(Tiere!T$30:T$114,'Nährstoffe und Lagerraum'!$BM70)</f>
        <v>0</v>
      </c>
      <c r="BY70" s="192">
        <f>INDEX(Tiere!U$30:U$114,'Nährstoffe und Lagerraum'!$BM70)</f>
        <v>0</v>
      </c>
      <c r="BZ70" s="195">
        <f>INDEX(Tiere!AA$30:AA$114,'Nährstoffe und Lagerraum'!$BM70)</f>
        <v>0</v>
      </c>
      <c r="CA70" s="192">
        <f>INDEX(Tiere!AB$30:AB$114,'Nährstoffe und Lagerraum'!$BM70)</f>
        <v>0</v>
      </c>
      <c r="CB70" s="192">
        <f>INDEX(Tiere!AK$30:AK$114,'Nährstoffe und Lagerraum'!$BM70)</f>
        <v>0</v>
      </c>
      <c r="CC70" s="192">
        <f>INDEX(Tiere!M$30:M$114,'Nährstoffe und Lagerraum'!$BM70)</f>
        <v>0</v>
      </c>
      <c r="CD70" s="192">
        <f>INDEX(Tiere!N$30:N$114,'Nährstoffe und Lagerraum'!$BM70)</f>
        <v>0</v>
      </c>
      <c r="CE70" s="192">
        <f>INDEX(Tiere!O$30:O$114,'Nährstoffe und Lagerraum'!$BM70)</f>
        <v>0</v>
      </c>
      <c r="CF70" s="2199">
        <f>CC70*'Eigene, abweichende Tierdaten'!$AH$64</f>
        <v>0</v>
      </c>
      <c r="CG70" s="2200">
        <f>CD70*'Eigene, abweichende Tierdaten'!$AH$64</f>
        <v>0</v>
      </c>
      <c r="CH70" s="2201">
        <f>CE70*'Eigene, abweichende Tierdaten'!$AH$64</f>
        <v>0</v>
      </c>
      <c r="CI70" s="185">
        <v>5</v>
      </c>
      <c r="CJ70" s="185">
        <v>3</v>
      </c>
      <c r="CK70" s="189">
        <v>17</v>
      </c>
      <c r="CL70" s="2197">
        <f>'Eigene, abweichende Tierdaten'!$AE$64</f>
        <v>5</v>
      </c>
      <c r="CM70" s="2197">
        <f>'Eigene, abweichende Tierdaten'!$AF$64</f>
        <v>3</v>
      </c>
      <c r="CN70" s="2197">
        <f>'Eigene, abweichende Tierdaten'!$AG$64</f>
        <v>17</v>
      </c>
      <c r="CO70" s="185">
        <f>INDEX(Tiere!AN$30:AN$114,'Nährstoffe und Lagerraum'!$BM70)</f>
        <v>0</v>
      </c>
      <c r="CP70" s="185">
        <f t="shared" si="22"/>
        <v>0</v>
      </c>
      <c r="CQ70" s="185">
        <f t="shared" si="23"/>
        <v>0</v>
      </c>
      <c r="CR70" s="189">
        <f t="shared" si="24"/>
        <v>0</v>
      </c>
      <c r="CS70" s="185"/>
      <c r="CT70" s="357" t="b">
        <f t="shared" si="25"/>
        <v>0</v>
      </c>
      <c r="CU70" s="185"/>
      <c r="CV70" s="195">
        <f>INDEX(Tiere!AO$30:AO$114,'Nährstoffe und Lagerraum'!$BM70)</f>
        <v>0</v>
      </c>
      <c r="CW70" s="195">
        <f>INDEX(Tiere!AP$30:AP$114,'Nährstoffe und Lagerraum'!$BM70)</f>
        <v>0</v>
      </c>
      <c r="CX70" s="195">
        <f>INDEX(Tiere!AQ$30:AQ$114,'Nährstoffe und Lagerraum'!$BM70)</f>
        <v>0</v>
      </c>
      <c r="CY70" s="92">
        <f t="shared" si="26"/>
        <v>0</v>
      </c>
      <c r="CZ70" s="95">
        <f t="shared" si="27"/>
        <v>0</v>
      </c>
      <c r="DA70" s="95">
        <f t="shared" si="28"/>
        <v>0</v>
      </c>
      <c r="DB70" s="95">
        <f t="shared" si="29"/>
        <v>0</v>
      </c>
      <c r="DC70" s="95">
        <f t="shared" si="30"/>
        <v>0</v>
      </c>
      <c r="DD70" s="95">
        <f t="shared" si="31"/>
        <v>0</v>
      </c>
      <c r="DE70" s="95">
        <f t="shared" si="32"/>
        <v>0</v>
      </c>
      <c r="DF70" s="95">
        <f t="shared" si="33"/>
        <v>0</v>
      </c>
      <c r="DG70" s="95">
        <f t="shared" si="34"/>
        <v>0</v>
      </c>
      <c r="DH70" s="95">
        <f t="shared" si="35"/>
        <v>0</v>
      </c>
      <c r="DI70" s="95"/>
      <c r="DJ70" s="95">
        <f t="shared" si="36"/>
        <v>0</v>
      </c>
      <c r="DK70" s="95">
        <f t="shared" si="37"/>
        <v>0</v>
      </c>
      <c r="DL70" s="95">
        <f t="shared" si="38"/>
        <v>0</v>
      </c>
      <c r="DM70" s="95">
        <f t="shared" si="39"/>
        <v>0</v>
      </c>
      <c r="DN70" s="95">
        <f t="shared" si="80"/>
        <v>0</v>
      </c>
      <c r="DO70" s="95">
        <f t="shared" si="40"/>
        <v>55</v>
      </c>
      <c r="DP70" s="95">
        <f t="shared" si="41"/>
        <v>0</v>
      </c>
      <c r="DQ70" s="185" t="b">
        <v>0</v>
      </c>
      <c r="DR70" s="185">
        <f t="shared" si="81"/>
        <v>0</v>
      </c>
      <c r="DS70" s="348">
        <f>INDEX(Tiere!AS$30:AS$114,'Nährstoffe und Lagerraum'!$BM70)</f>
        <v>0</v>
      </c>
      <c r="DT70" s="195">
        <f>INDEX(Tiere!AT$30:AT$114,'Nährstoffe und Lagerraum'!$BM70)</f>
        <v>0</v>
      </c>
      <c r="DU70" s="195">
        <f>INDEX(Tiere!AU$30:AU$114,'Nährstoffe und Lagerraum'!$BM70)</f>
        <v>0</v>
      </c>
      <c r="DV70" s="348">
        <f>INDEX(Tiere!AV$30:AV$114,'Nährstoffe und Lagerraum'!$BM70)</f>
        <v>0</v>
      </c>
      <c r="DW70" s="195">
        <f>INDEX(Tiere!AW$30:AW$114,'Nährstoffe und Lagerraum'!$BM70)</f>
        <v>0</v>
      </c>
      <c r="DX70" s="2177">
        <f>DW70+('Eigene, abweichende Tierdaten'!$AH$67*'Eigene, abweichende Tierdaten'!$M$55)/1000</f>
        <v>0</v>
      </c>
      <c r="DY70" s="195">
        <f>INDEX(Tiere!AX$30:AX$114,'Nährstoffe und Lagerraum'!$BM70)</f>
        <v>0</v>
      </c>
      <c r="DZ70" s="195">
        <f>INDEX(Tiere!AY$30:AY$114,'Nährstoffe und Lagerraum'!$BM70)</f>
        <v>0</v>
      </c>
      <c r="EA70" s="195">
        <f>INDEX(Tiere!AZ$30:AZ$114,'Nährstoffe und Lagerraum'!$BM70)</f>
        <v>0</v>
      </c>
      <c r="EB70" s="191">
        <f t="shared" si="42"/>
        <v>0</v>
      </c>
      <c r="EC70" s="191">
        <f t="shared" si="43"/>
        <v>0</v>
      </c>
      <c r="ED70" s="191">
        <f t="shared" si="44"/>
        <v>0</v>
      </c>
      <c r="EE70" s="191">
        <f t="shared" si="45"/>
        <v>0</v>
      </c>
      <c r="EF70" s="191">
        <f t="shared" si="46"/>
        <v>0</v>
      </c>
      <c r="EG70" s="2203">
        <f t="shared" si="82"/>
        <v>0</v>
      </c>
      <c r="EH70" s="2203">
        <f t="shared" si="47"/>
        <v>0</v>
      </c>
      <c r="EI70" s="2204">
        <f t="shared" si="83"/>
        <v>0</v>
      </c>
      <c r="EJ70" s="355">
        <f>+EI70*DY70/100</f>
        <v>0</v>
      </c>
      <c r="EK70" s="355">
        <f t="shared" si="48"/>
        <v>0</v>
      </c>
      <c r="EL70" s="92">
        <f t="shared" si="49"/>
        <v>0</v>
      </c>
      <c r="EM70" s="355">
        <f t="shared" si="85"/>
        <v>0</v>
      </c>
      <c r="EN70" s="92" t="e">
        <f t="shared" si="86"/>
        <v>#DIV/0!</v>
      </c>
      <c r="EO70" s="92">
        <f t="shared" si="50"/>
        <v>0</v>
      </c>
      <c r="EP70" s="2205" t="e">
        <f t="shared" si="87"/>
        <v>#DIV/0!</v>
      </c>
      <c r="EQ70" s="117" t="e">
        <f t="shared" ref="EQ70:EQ81" si="96">(ED70+EF70)*EP70*((EH70+EJ70)/(EG70+EI70))/22.26*0.01605</f>
        <v>#DIV/0!</v>
      </c>
      <c r="ER70" s="117" t="e">
        <f t="shared" si="51"/>
        <v>#DIV/0!</v>
      </c>
      <c r="ES70" s="92">
        <f t="shared" si="88"/>
        <v>0</v>
      </c>
      <c r="ET70" s="2207">
        <f t="shared" si="89"/>
        <v>0</v>
      </c>
      <c r="EU70" s="146">
        <f t="shared" si="90"/>
        <v>0</v>
      </c>
      <c r="EV70" s="283">
        <f t="shared" si="91"/>
        <v>0</v>
      </c>
      <c r="EW70" s="283">
        <f t="shared" si="92"/>
        <v>0</v>
      </c>
      <c r="EZ70" s="92">
        <f t="shared" si="52"/>
        <v>0</v>
      </c>
      <c r="FA70" s="92">
        <f t="shared" si="53"/>
        <v>0</v>
      </c>
      <c r="FB70" s="2205">
        <f t="shared" si="93"/>
        <v>0</v>
      </c>
      <c r="FC70" s="2205">
        <f>IF(BN70=1,BE70*CF70*BP70*365/1000,IF(BN70=2,BE70*CG70*BP70*365/1000,BE70*CH70*BP70*365/1000))</f>
        <v>0</v>
      </c>
      <c r="FD70" s="92">
        <f t="shared" si="94"/>
        <v>0</v>
      </c>
      <c r="FE70" s="92">
        <f t="shared" si="95"/>
        <v>0</v>
      </c>
      <c r="FF70" s="92">
        <f t="shared" si="55"/>
        <v>0</v>
      </c>
      <c r="FG70" s="92">
        <f t="shared" si="56"/>
        <v>0</v>
      </c>
      <c r="FH70" s="92" cm="1">
        <f t="array" ref="FH70">INDEX(Tiere!$AJ$30:$AJ$114,BM70)</f>
        <v>0</v>
      </c>
    </row>
    <row r="71" spans="1:164" ht="18" customHeight="1" x14ac:dyDescent="0.2">
      <c r="A71" s="2567"/>
      <c r="B71" s="2568"/>
      <c r="C71" s="2568"/>
      <c r="D71" s="2568"/>
      <c r="E71" s="1509"/>
      <c r="F71" s="1515"/>
      <c r="G71" s="1942"/>
      <c r="H71" s="1509"/>
      <c r="I71" s="1511"/>
      <c r="J71" s="1450" t="str">
        <f t="shared" si="1"/>
        <v xml:space="preserve"> </v>
      </c>
      <c r="K71" s="2583" t="str">
        <f t="shared" si="2"/>
        <v xml:space="preserve"> </v>
      </c>
      <c r="L71" s="2440"/>
      <c r="M71" s="449"/>
      <c r="N71" s="14"/>
      <c r="O71" s="14"/>
      <c r="P71" s="185"/>
      <c r="Q71" s="185" t="str">
        <f t="shared" si="3"/>
        <v xml:space="preserve"> </v>
      </c>
      <c r="R71" s="185" t="str">
        <f t="shared" si="4"/>
        <v xml:space="preserve"> </v>
      </c>
      <c r="S71" s="185">
        <f t="shared" si="5"/>
        <v>0</v>
      </c>
      <c r="T71" s="256">
        <f t="shared" si="6"/>
        <v>0</v>
      </c>
      <c r="U71" s="185">
        <f t="shared" si="7"/>
        <v>0</v>
      </c>
      <c r="V71" s="2194">
        <f t="shared" si="57"/>
        <v>0</v>
      </c>
      <c r="W71" s="185">
        <f t="shared" si="8"/>
        <v>0</v>
      </c>
      <c r="X71" s="2195">
        <f t="shared" si="58"/>
        <v>0</v>
      </c>
      <c r="Y71" s="185" t="str">
        <f t="shared" si="59"/>
        <v xml:space="preserve"> </v>
      </c>
      <c r="Z71" s="186">
        <f t="shared" si="9"/>
        <v>0</v>
      </c>
      <c r="AA71" s="187">
        <f t="shared" si="10"/>
        <v>0</v>
      </c>
      <c r="AB71" s="256">
        <f t="shared" si="60"/>
        <v>0</v>
      </c>
      <c r="AC71" s="256">
        <f t="shared" si="61"/>
        <v>0</v>
      </c>
      <c r="AD71" s="256">
        <f t="shared" si="62"/>
        <v>0</v>
      </c>
      <c r="AE71" s="256">
        <f t="shared" si="63"/>
        <v>0</v>
      </c>
      <c r="AF71" s="188">
        <f t="shared" si="11"/>
        <v>0</v>
      </c>
      <c r="AG71" s="185">
        <f t="shared" si="12"/>
        <v>0</v>
      </c>
      <c r="AH71" s="185">
        <f t="shared" si="13"/>
        <v>0</v>
      </c>
      <c r="AI71" s="189">
        <f t="shared" si="14"/>
        <v>0</v>
      </c>
      <c r="AJ71" s="190">
        <f>INDEX(Tiere!L$30:L$114,'Nährstoffe und Lagerraum'!$BM71)</f>
        <v>0</v>
      </c>
      <c r="AK71" s="190">
        <f>INDEX(Tiere!Z$30:Z$114,'Nährstoffe und Lagerraum'!BM71)</f>
        <v>0</v>
      </c>
      <c r="AL71" s="185">
        <f t="shared" si="64"/>
        <v>0</v>
      </c>
      <c r="AM71" s="185">
        <f t="shared" si="65"/>
        <v>0</v>
      </c>
      <c r="AN71" s="185">
        <f t="shared" si="66"/>
        <v>0</v>
      </c>
      <c r="AO71" s="188">
        <f t="shared" si="15"/>
        <v>0</v>
      </c>
      <c r="AP71" s="185">
        <f t="shared" si="16"/>
        <v>0</v>
      </c>
      <c r="AQ71" s="189">
        <f t="shared" si="17"/>
        <v>0</v>
      </c>
      <c r="AR71" s="190" cm="1">
        <f t="array" ref="AR71">IF(BN71=1,INDEX(Tiere!V$30:V$114,'Nährstoffe und Lagerraum'!$BM71),IF(BN71=2,INDEX(Tiere!W$30:W$114,'Nährstoffe und Lagerraum'!$BM71),INDEX(Tiere!X$30:X$114,'Nährstoffe und Lagerraum'!$BM71)))</f>
        <v>0</v>
      </c>
      <c r="AS71" s="2194">
        <f t="shared" si="67"/>
        <v>0</v>
      </c>
      <c r="AT71" s="2194">
        <f t="shared" si="68"/>
        <v>0</v>
      </c>
      <c r="AU71" s="2194">
        <f t="shared" si="69"/>
        <v>0</v>
      </c>
      <c r="AV71" s="2196">
        <f t="shared" si="70"/>
        <v>0</v>
      </c>
      <c r="AW71" s="2197">
        <f t="shared" si="71"/>
        <v>0</v>
      </c>
      <c r="AX71" s="2198">
        <f t="shared" si="72"/>
        <v>0</v>
      </c>
      <c r="AY71" s="185"/>
      <c r="AZ71" s="195">
        <f t="shared" si="18"/>
        <v>0</v>
      </c>
      <c r="BA71" s="191">
        <f t="shared" si="19"/>
        <v>0</v>
      </c>
      <c r="BB71" s="2194">
        <f t="shared" si="73"/>
        <v>0</v>
      </c>
      <c r="BC71" s="188">
        <f t="shared" si="20"/>
        <v>0</v>
      </c>
      <c r="BD71" s="185">
        <f t="shared" si="21"/>
        <v>0</v>
      </c>
      <c r="BE71" s="2198">
        <f t="shared" si="74"/>
        <v>0</v>
      </c>
      <c r="BF71" s="195">
        <f t="shared" si="75"/>
        <v>0</v>
      </c>
      <c r="BG71" s="464">
        <f t="shared" si="76"/>
        <v>0</v>
      </c>
      <c r="BH71" s="871">
        <f>INDEX(Tiere!BH$30:BH$114,'Nährstoffe und Lagerraum'!$BM71)</f>
        <v>0</v>
      </c>
      <c r="BI71" s="871">
        <f>INDEX(Tiere!BI$30:BI$114,'Nährstoffe und Lagerraum'!$BM71)</f>
        <v>0</v>
      </c>
      <c r="BJ71" s="871">
        <f>INDEX(Tiere!BJ$30:BJ$114,'Nährstoffe und Lagerraum'!$BM71)</f>
        <v>0</v>
      </c>
      <c r="BK71" s="684">
        <f t="shared" si="77"/>
        <v>1</v>
      </c>
      <c r="BL71" s="684" cm="1">
        <f t="array" ref="BL71">INDEX(Tiere!$C$30:$C$114,BM71)</f>
        <v>0</v>
      </c>
      <c r="BM71" s="197">
        <v>1</v>
      </c>
      <c r="BN71" s="197">
        <v>1</v>
      </c>
      <c r="BO71" s="196">
        <f>INDEX(Tiere!D$30:D$114,'Nährstoffe und Lagerraum'!$BM71)</f>
        <v>0</v>
      </c>
      <c r="BP71" s="196" t="str">
        <f t="shared" si="78"/>
        <v>1</v>
      </c>
      <c r="BQ71" s="196">
        <f t="shared" si="79"/>
        <v>0</v>
      </c>
      <c r="BR71" s="195">
        <f>INDEX(Tiere!E$30:E$114,'Nährstoffe und Lagerraum'!$BM71)</f>
        <v>0</v>
      </c>
      <c r="BS71" s="191">
        <f>INDEX(Tiere!F$30:F$114,'Nährstoffe und Lagerraum'!$BM71)</f>
        <v>0</v>
      </c>
      <c r="BT71" s="192">
        <f>INDEX(Tiere!G$30:G$114,'Nährstoffe und Lagerraum'!$BM71)</f>
        <v>0</v>
      </c>
      <c r="BU71" s="191">
        <f>INDEX(Tiere!K$30:K$114,'Nährstoffe und Lagerraum'!$BM71)</f>
        <v>0</v>
      </c>
      <c r="BV71" s="191">
        <f>INDEX(Tiere!Y$30:Y$114,'Nährstoffe und Lagerraum'!$BM71)</f>
        <v>0</v>
      </c>
      <c r="BW71" s="195">
        <f>INDEX(Tiere!S$30:S$114,'Nährstoffe und Lagerraum'!$BM71)</f>
        <v>0</v>
      </c>
      <c r="BX71" s="191">
        <f>INDEX(Tiere!T$30:T$114,'Nährstoffe und Lagerraum'!$BM71)</f>
        <v>0</v>
      </c>
      <c r="BY71" s="192">
        <f>INDEX(Tiere!U$30:U$114,'Nährstoffe und Lagerraum'!$BM71)</f>
        <v>0</v>
      </c>
      <c r="BZ71" s="195">
        <f>INDEX(Tiere!AA$30:AA$114,'Nährstoffe und Lagerraum'!$BM71)</f>
        <v>0</v>
      </c>
      <c r="CA71" s="192">
        <f>INDEX(Tiere!AB$30:AB$114,'Nährstoffe und Lagerraum'!$BM71)</f>
        <v>0</v>
      </c>
      <c r="CB71" s="192">
        <f>INDEX(Tiere!AK$30:AK$114,'Nährstoffe und Lagerraum'!$BM71)</f>
        <v>0</v>
      </c>
      <c r="CC71" s="192">
        <f>INDEX(Tiere!M$30:M$114,'Nährstoffe und Lagerraum'!$BM71)</f>
        <v>0</v>
      </c>
      <c r="CD71" s="192">
        <f>INDEX(Tiere!N$30:N$114,'Nährstoffe und Lagerraum'!$BM71)</f>
        <v>0</v>
      </c>
      <c r="CE71" s="192">
        <f>INDEX(Tiere!O$30:O$114,'Nährstoffe und Lagerraum'!$BM71)</f>
        <v>0</v>
      </c>
      <c r="CF71" s="2199">
        <f>CC71*'Eigene, abweichende Tierdaten'!$AH$64</f>
        <v>0</v>
      </c>
      <c r="CG71" s="2200">
        <f>CD71*'Eigene, abweichende Tierdaten'!$AH$64</f>
        <v>0</v>
      </c>
      <c r="CH71" s="2201">
        <f>CE71*'Eigene, abweichende Tierdaten'!$AH$64</f>
        <v>0</v>
      </c>
      <c r="CI71" s="185">
        <v>5</v>
      </c>
      <c r="CJ71" s="185">
        <v>3</v>
      </c>
      <c r="CK71" s="189">
        <v>17</v>
      </c>
      <c r="CL71" s="2197">
        <f>'Eigene, abweichende Tierdaten'!$AE$64</f>
        <v>5</v>
      </c>
      <c r="CM71" s="2197">
        <f>'Eigene, abweichende Tierdaten'!$AF$64</f>
        <v>3</v>
      </c>
      <c r="CN71" s="2197">
        <f>'Eigene, abweichende Tierdaten'!$AG$64</f>
        <v>17</v>
      </c>
      <c r="CO71" s="185">
        <f>INDEX(Tiere!AN$30:AN$114,'Nährstoffe und Lagerraum'!$BM71)</f>
        <v>0</v>
      </c>
      <c r="CP71" s="185">
        <f t="shared" si="22"/>
        <v>0</v>
      </c>
      <c r="CQ71" s="185">
        <f t="shared" si="23"/>
        <v>0</v>
      </c>
      <c r="CR71" s="189">
        <f t="shared" si="24"/>
        <v>0</v>
      </c>
      <c r="CS71" s="185"/>
      <c r="CT71" s="357" t="b">
        <f t="shared" si="25"/>
        <v>0</v>
      </c>
      <c r="CU71" s="185"/>
      <c r="CV71" s="195">
        <f>INDEX(Tiere!AO$30:AO$114,'Nährstoffe und Lagerraum'!$BM71)</f>
        <v>0</v>
      </c>
      <c r="CW71" s="195">
        <f>INDEX(Tiere!AP$30:AP$114,'Nährstoffe und Lagerraum'!$BM71)</f>
        <v>0</v>
      </c>
      <c r="CX71" s="195">
        <f>INDEX(Tiere!AQ$30:AQ$114,'Nährstoffe und Lagerraum'!$BM71)</f>
        <v>0</v>
      </c>
      <c r="CY71" s="92">
        <f t="shared" si="26"/>
        <v>0</v>
      </c>
      <c r="CZ71" s="95">
        <f t="shared" si="27"/>
        <v>0</v>
      </c>
      <c r="DA71" s="95">
        <f t="shared" si="28"/>
        <v>0</v>
      </c>
      <c r="DB71" s="95">
        <f t="shared" si="29"/>
        <v>0</v>
      </c>
      <c r="DC71" s="95">
        <f t="shared" si="30"/>
        <v>0</v>
      </c>
      <c r="DD71" s="95">
        <f t="shared" si="31"/>
        <v>0</v>
      </c>
      <c r="DE71" s="95">
        <f t="shared" si="32"/>
        <v>0</v>
      </c>
      <c r="DF71" s="95">
        <f t="shared" si="33"/>
        <v>0</v>
      </c>
      <c r="DG71" s="95">
        <f t="shared" si="34"/>
        <v>0</v>
      </c>
      <c r="DH71" s="95">
        <f t="shared" si="35"/>
        <v>0</v>
      </c>
      <c r="DI71" s="95"/>
      <c r="DJ71" s="95">
        <f t="shared" si="36"/>
        <v>0</v>
      </c>
      <c r="DK71" s="95">
        <f t="shared" si="37"/>
        <v>0</v>
      </c>
      <c r="DL71" s="95">
        <f t="shared" si="38"/>
        <v>0</v>
      </c>
      <c r="DM71" s="95">
        <f t="shared" si="39"/>
        <v>0</v>
      </c>
      <c r="DN71" s="95">
        <f t="shared" si="80"/>
        <v>0</v>
      </c>
      <c r="DO71" s="95">
        <f t="shared" si="40"/>
        <v>55</v>
      </c>
      <c r="DP71" s="95">
        <f t="shared" si="41"/>
        <v>0</v>
      </c>
      <c r="DQ71" s="185" t="b">
        <v>0</v>
      </c>
      <c r="DR71" s="185">
        <f t="shared" si="81"/>
        <v>0</v>
      </c>
      <c r="DS71" s="348">
        <f>INDEX(Tiere!AS$30:AS$114,'Nährstoffe und Lagerraum'!$BM71)</f>
        <v>0</v>
      </c>
      <c r="DT71" s="195">
        <f>INDEX(Tiere!AT$30:AT$114,'Nährstoffe und Lagerraum'!$BM71)</f>
        <v>0</v>
      </c>
      <c r="DU71" s="195">
        <f>INDEX(Tiere!AU$30:AU$114,'Nährstoffe und Lagerraum'!$BM71)</f>
        <v>0</v>
      </c>
      <c r="DV71" s="348">
        <f>INDEX(Tiere!AV$30:AV$114,'Nährstoffe und Lagerraum'!$BM71)</f>
        <v>0</v>
      </c>
      <c r="DW71" s="195">
        <f>INDEX(Tiere!AW$30:AW$114,'Nährstoffe und Lagerraum'!$BM71)</f>
        <v>0</v>
      </c>
      <c r="DX71" s="2177">
        <f>DW71+('Eigene, abweichende Tierdaten'!$AH$67*'Eigene, abweichende Tierdaten'!$M$55)/1000</f>
        <v>0</v>
      </c>
      <c r="DY71" s="195">
        <f>INDEX(Tiere!AX$30:AX$114,'Nährstoffe und Lagerraum'!$BM71)</f>
        <v>0</v>
      </c>
      <c r="DZ71" s="195">
        <f>INDEX(Tiere!AY$30:AY$114,'Nährstoffe und Lagerraum'!$BM71)</f>
        <v>0</v>
      </c>
      <c r="EA71" s="195">
        <f>INDEX(Tiere!AZ$30:AZ$114,'Nährstoffe und Lagerraum'!$BM71)</f>
        <v>0</v>
      </c>
      <c r="EB71" s="191">
        <f t="shared" si="42"/>
        <v>0</v>
      </c>
      <c r="EC71" s="191">
        <f t="shared" si="43"/>
        <v>0</v>
      </c>
      <c r="ED71" s="191">
        <f t="shared" si="44"/>
        <v>0</v>
      </c>
      <c r="EE71" s="191">
        <f t="shared" si="45"/>
        <v>0</v>
      </c>
      <c r="EF71" s="191">
        <f t="shared" si="46"/>
        <v>0</v>
      </c>
      <c r="EG71" s="2203">
        <f t="shared" si="82"/>
        <v>0</v>
      </c>
      <c r="EH71" s="2203">
        <f t="shared" si="47"/>
        <v>0</v>
      </c>
      <c r="EI71" s="2204">
        <f t="shared" si="83"/>
        <v>0</v>
      </c>
      <c r="EJ71" s="355">
        <f t="shared" si="84"/>
        <v>0</v>
      </c>
      <c r="EK71" s="355">
        <f t="shared" si="48"/>
        <v>0</v>
      </c>
      <c r="EL71" s="92">
        <f t="shared" si="49"/>
        <v>0</v>
      </c>
      <c r="EM71" s="355">
        <f t="shared" si="85"/>
        <v>0</v>
      </c>
      <c r="EN71" s="92" t="e">
        <f t="shared" si="86"/>
        <v>#DIV/0!</v>
      </c>
      <c r="EO71" s="92">
        <f t="shared" si="50"/>
        <v>0</v>
      </c>
      <c r="EP71" s="2205" t="e">
        <f t="shared" si="87"/>
        <v>#DIV/0!</v>
      </c>
      <c r="EQ71" s="117" t="e">
        <f t="shared" si="96"/>
        <v>#DIV/0!</v>
      </c>
      <c r="ER71" s="117" t="e">
        <f t="shared" si="51"/>
        <v>#DIV/0!</v>
      </c>
      <c r="ES71" s="92">
        <f t="shared" si="88"/>
        <v>0</v>
      </c>
      <c r="ET71" s="2207">
        <f t="shared" si="89"/>
        <v>0</v>
      </c>
      <c r="EU71" s="146">
        <f t="shared" si="90"/>
        <v>0</v>
      </c>
      <c r="EV71" s="283">
        <f t="shared" si="91"/>
        <v>0</v>
      </c>
      <c r="EW71" s="283">
        <f t="shared" si="92"/>
        <v>0</v>
      </c>
      <c r="EZ71" s="92">
        <f t="shared" si="52"/>
        <v>0</v>
      </c>
      <c r="FA71" s="92">
        <f t="shared" si="53"/>
        <v>0</v>
      </c>
      <c r="FB71" s="2205">
        <f t="shared" si="93"/>
        <v>0</v>
      </c>
      <c r="FC71" s="2205">
        <f t="shared" si="54"/>
        <v>0</v>
      </c>
      <c r="FD71" s="92">
        <f t="shared" si="94"/>
        <v>0</v>
      </c>
      <c r="FE71" s="92">
        <f t="shared" si="95"/>
        <v>0</v>
      </c>
      <c r="FF71" s="92">
        <f t="shared" si="55"/>
        <v>0</v>
      </c>
      <c r="FG71" s="92">
        <f t="shared" si="56"/>
        <v>0</v>
      </c>
      <c r="FH71" s="92" cm="1">
        <f t="array" ref="FH71">INDEX(Tiere!$AJ$30:$AJ$114,BM71)</f>
        <v>0</v>
      </c>
    </row>
    <row r="72" spans="1:164" ht="18" customHeight="1" x14ac:dyDescent="0.2">
      <c r="A72" s="2567"/>
      <c r="B72" s="2568"/>
      <c r="C72" s="2568"/>
      <c r="D72" s="2568"/>
      <c r="E72" s="1509"/>
      <c r="F72" s="1515"/>
      <c r="G72" s="1942"/>
      <c r="H72" s="1509"/>
      <c r="I72" s="1511"/>
      <c r="J72" s="1450" t="str">
        <f t="shared" si="1"/>
        <v xml:space="preserve"> </v>
      </c>
      <c r="K72" s="2583" t="str">
        <f t="shared" si="2"/>
        <v xml:space="preserve"> </v>
      </c>
      <c r="L72" s="2440"/>
      <c r="M72" s="449"/>
      <c r="N72" s="15"/>
      <c r="O72" s="15"/>
      <c r="P72" s="157"/>
      <c r="Q72" s="185" t="str">
        <f t="shared" si="3"/>
        <v xml:space="preserve"> </v>
      </c>
      <c r="R72" s="185" t="str">
        <f t="shared" si="4"/>
        <v xml:space="preserve"> </v>
      </c>
      <c r="S72" s="185">
        <f t="shared" si="5"/>
        <v>0</v>
      </c>
      <c r="T72" s="256">
        <f t="shared" si="6"/>
        <v>0</v>
      </c>
      <c r="U72" s="185">
        <f t="shared" si="7"/>
        <v>0</v>
      </c>
      <c r="V72" s="2194">
        <f t="shared" si="57"/>
        <v>0</v>
      </c>
      <c r="W72" s="185">
        <f t="shared" si="8"/>
        <v>0</v>
      </c>
      <c r="X72" s="2195">
        <f t="shared" si="58"/>
        <v>0</v>
      </c>
      <c r="Y72" s="185" t="str">
        <f t="shared" si="59"/>
        <v xml:space="preserve"> </v>
      </c>
      <c r="Z72" s="186">
        <f t="shared" si="9"/>
        <v>0</v>
      </c>
      <c r="AA72" s="187">
        <f t="shared" si="10"/>
        <v>0</v>
      </c>
      <c r="AB72" s="256">
        <f t="shared" si="60"/>
        <v>0</v>
      </c>
      <c r="AC72" s="256">
        <f t="shared" si="61"/>
        <v>0</v>
      </c>
      <c r="AD72" s="256">
        <f t="shared" si="62"/>
        <v>0</v>
      </c>
      <c r="AE72" s="256">
        <f t="shared" si="63"/>
        <v>0</v>
      </c>
      <c r="AF72" s="188">
        <f t="shared" si="11"/>
        <v>0</v>
      </c>
      <c r="AG72" s="185">
        <f t="shared" si="12"/>
        <v>0</v>
      </c>
      <c r="AH72" s="185">
        <f t="shared" si="13"/>
        <v>0</v>
      </c>
      <c r="AI72" s="189">
        <f t="shared" si="14"/>
        <v>0</v>
      </c>
      <c r="AJ72" s="190">
        <f>INDEX(Tiere!L$30:L$114,'Nährstoffe und Lagerraum'!$BM72)</f>
        <v>0</v>
      </c>
      <c r="AK72" s="190">
        <f>INDEX(Tiere!Z$30:Z$114,'Nährstoffe und Lagerraum'!BM72)</f>
        <v>0</v>
      </c>
      <c r="AL72" s="185">
        <f t="shared" si="64"/>
        <v>0</v>
      </c>
      <c r="AM72" s="185">
        <f t="shared" si="65"/>
        <v>0</v>
      </c>
      <c r="AN72" s="185">
        <f t="shared" si="66"/>
        <v>0</v>
      </c>
      <c r="AO72" s="188">
        <f t="shared" si="15"/>
        <v>0</v>
      </c>
      <c r="AP72" s="185">
        <f t="shared" si="16"/>
        <v>0</v>
      </c>
      <c r="AQ72" s="189">
        <f t="shared" si="17"/>
        <v>0</v>
      </c>
      <c r="AR72" s="190" cm="1">
        <f t="array" ref="AR72">IF(BN72=1,INDEX(Tiere!V$30:V$114,'Nährstoffe und Lagerraum'!$BM72),IF(BN72=2,INDEX(Tiere!W$30:W$114,'Nährstoffe und Lagerraum'!$BM72),INDEX(Tiere!X$30:X$114,'Nährstoffe und Lagerraum'!$BM72)))</f>
        <v>0</v>
      </c>
      <c r="AS72" s="2194">
        <f t="shared" si="67"/>
        <v>0</v>
      </c>
      <c r="AT72" s="2194">
        <f t="shared" si="68"/>
        <v>0</v>
      </c>
      <c r="AU72" s="2194">
        <f t="shared" si="69"/>
        <v>0</v>
      </c>
      <c r="AV72" s="2196">
        <f t="shared" si="70"/>
        <v>0</v>
      </c>
      <c r="AW72" s="2197">
        <f t="shared" si="71"/>
        <v>0</v>
      </c>
      <c r="AX72" s="2198">
        <f t="shared" si="72"/>
        <v>0</v>
      </c>
      <c r="AY72" s="185"/>
      <c r="AZ72" s="195">
        <f t="shared" si="18"/>
        <v>0</v>
      </c>
      <c r="BA72" s="191">
        <f t="shared" si="19"/>
        <v>0</v>
      </c>
      <c r="BB72" s="2194">
        <f t="shared" si="73"/>
        <v>0</v>
      </c>
      <c r="BC72" s="188">
        <f t="shared" si="20"/>
        <v>0</v>
      </c>
      <c r="BD72" s="185">
        <f t="shared" si="21"/>
        <v>0</v>
      </c>
      <c r="BE72" s="2198">
        <f t="shared" si="74"/>
        <v>0</v>
      </c>
      <c r="BF72" s="195">
        <f t="shared" si="75"/>
        <v>0</v>
      </c>
      <c r="BG72" s="192">
        <f t="shared" si="76"/>
        <v>0</v>
      </c>
      <c r="BH72" s="871">
        <f>INDEX(Tiere!BH$30:BH$114,'Nährstoffe und Lagerraum'!$BM72)</f>
        <v>0</v>
      </c>
      <c r="BI72" s="871">
        <f>INDEX(Tiere!BI$30:BI$114,'Nährstoffe und Lagerraum'!$BM72)</f>
        <v>0</v>
      </c>
      <c r="BJ72" s="871">
        <f>INDEX(Tiere!BJ$30:BJ$114,'Nährstoffe und Lagerraum'!$BM72)</f>
        <v>0</v>
      </c>
      <c r="BK72" s="684">
        <f t="shared" si="77"/>
        <v>1</v>
      </c>
      <c r="BL72" s="684" cm="1">
        <f t="array" ref="BL72">INDEX(Tiere!$C$30:$C$114,BM72)</f>
        <v>0</v>
      </c>
      <c r="BM72" s="197">
        <v>1</v>
      </c>
      <c r="BN72" s="197">
        <v>1</v>
      </c>
      <c r="BO72" s="196">
        <f>INDEX(Tiere!D$30:D$114,'Nährstoffe und Lagerraum'!$BM72)</f>
        <v>0</v>
      </c>
      <c r="BP72" s="196" t="str">
        <f t="shared" si="78"/>
        <v>1</v>
      </c>
      <c r="BQ72" s="196">
        <f t="shared" si="79"/>
        <v>0</v>
      </c>
      <c r="BR72" s="195">
        <f>INDEX(Tiere!E$30:E$114,'Nährstoffe und Lagerraum'!$BM72)</f>
        <v>0</v>
      </c>
      <c r="BS72" s="191">
        <f>INDEX(Tiere!F$30:F$114,'Nährstoffe und Lagerraum'!$BM72)</f>
        <v>0</v>
      </c>
      <c r="BT72" s="192">
        <f>INDEX(Tiere!G$30:G$114,'Nährstoffe und Lagerraum'!$BM72)</f>
        <v>0</v>
      </c>
      <c r="BU72" s="191">
        <f>INDEX(Tiere!K$30:K$114,'Nährstoffe und Lagerraum'!$BM72)</f>
        <v>0</v>
      </c>
      <c r="BV72" s="191">
        <f>INDEX(Tiere!Y$30:Y$114,'Nährstoffe und Lagerraum'!$BM72)</f>
        <v>0</v>
      </c>
      <c r="BW72" s="195">
        <f>INDEX(Tiere!S$30:S$114,'Nährstoffe und Lagerraum'!$BM72)</f>
        <v>0</v>
      </c>
      <c r="BX72" s="191">
        <f>INDEX(Tiere!T$30:T$114,'Nährstoffe und Lagerraum'!$BM72)</f>
        <v>0</v>
      </c>
      <c r="BY72" s="192">
        <f>INDEX(Tiere!U$30:U$114,'Nährstoffe und Lagerraum'!$BM72)</f>
        <v>0</v>
      </c>
      <c r="BZ72" s="195">
        <f>INDEX(Tiere!AA$30:AA$114,'Nährstoffe und Lagerraum'!$BM72)</f>
        <v>0</v>
      </c>
      <c r="CA72" s="192">
        <f>INDEX(Tiere!AB$30:AB$114,'Nährstoffe und Lagerraum'!$BM72)</f>
        <v>0</v>
      </c>
      <c r="CB72" s="192">
        <f>INDEX(Tiere!AK$30:AK$114,'Nährstoffe und Lagerraum'!$BM72)</f>
        <v>0</v>
      </c>
      <c r="CC72" s="192">
        <f>INDEX(Tiere!M$30:M$114,'Nährstoffe und Lagerraum'!$BM72)</f>
        <v>0</v>
      </c>
      <c r="CD72" s="192">
        <f>INDEX(Tiere!N$30:N$114,'Nährstoffe und Lagerraum'!$BM72)</f>
        <v>0</v>
      </c>
      <c r="CE72" s="192">
        <f>INDEX(Tiere!O$30:O$114,'Nährstoffe und Lagerraum'!$BM72)</f>
        <v>0</v>
      </c>
      <c r="CF72" s="2199">
        <f>CC72*'Eigene, abweichende Tierdaten'!$AH$64</f>
        <v>0</v>
      </c>
      <c r="CG72" s="2200">
        <f>CD72*'Eigene, abweichende Tierdaten'!$AH$64</f>
        <v>0</v>
      </c>
      <c r="CH72" s="2201">
        <f>CE72*'Eigene, abweichende Tierdaten'!$AH$64</f>
        <v>0</v>
      </c>
      <c r="CI72" s="2192">
        <v>5</v>
      </c>
      <c r="CJ72" s="2192">
        <v>3</v>
      </c>
      <c r="CK72" s="179">
        <v>17</v>
      </c>
      <c r="CL72" s="2197">
        <f>'Eigene, abweichende Tierdaten'!$AE$64</f>
        <v>5</v>
      </c>
      <c r="CM72" s="2197">
        <f>'Eigene, abweichende Tierdaten'!$AF$64</f>
        <v>3</v>
      </c>
      <c r="CN72" s="2197">
        <f>'Eigene, abweichende Tierdaten'!$AG$64</f>
        <v>17</v>
      </c>
      <c r="CO72" s="185">
        <f>INDEX(Tiere!AN$30:AN$114,'Nährstoffe und Lagerraum'!$BM72)</f>
        <v>0</v>
      </c>
      <c r="CP72" s="185">
        <f t="shared" si="22"/>
        <v>0</v>
      </c>
      <c r="CQ72" s="185">
        <f t="shared" si="23"/>
        <v>0</v>
      </c>
      <c r="CR72" s="189">
        <f t="shared" si="24"/>
        <v>0</v>
      </c>
      <c r="CS72" s="157"/>
      <c r="CT72" s="357" t="b">
        <f t="shared" si="25"/>
        <v>0</v>
      </c>
      <c r="CU72" s="157"/>
      <c r="CV72" s="195">
        <f>INDEX(Tiere!AO$30:AO$114,'Nährstoffe und Lagerraum'!$BM72)</f>
        <v>0</v>
      </c>
      <c r="CW72" s="195">
        <f>INDEX(Tiere!AP$30:AP$114,'Nährstoffe und Lagerraum'!$BM72)</f>
        <v>0</v>
      </c>
      <c r="CX72" s="195">
        <f>INDEX(Tiere!AQ$30:AQ$114,'Nährstoffe und Lagerraum'!$BM72)</f>
        <v>0</v>
      </c>
      <c r="CY72" s="92">
        <f t="shared" si="26"/>
        <v>0</v>
      </c>
      <c r="CZ72" s="95">
        <f t="shared" si="27"/>
        <v>0</v>
      </c>
      <c r="DA72" s="95">
        <f t="shared" si="28"/>
        <v>0</v>
      </c>
      <c r="DB72" s="95">
        <f t="shared" si="29"/>
        <v>0</v>
      </c>
      <c r="DC72" s="95">
        <f t="shared" si="30"/>
        <v>0</v>
      </c>
      <c r="DD72" s="95">
        <f t="shared" si="31"/>
        <v>0</v>
      </c>
      <c r="DE72" s="95">
        <f t="shared" si="32"/>
        <v>0</v>
      </c>
      <c r="DF72" s="95">
        <f t="shared" si="33"/>
        <v>0</v>
      </c>
      <c r="DG72" s="95">
        <f t="shared" si="34"/>
        <v>0</v>
      </c>
      <c r="DH72" s="95">
        <f t="shared" si="35"/>
        <v>0</v>
      </c>
      <c r="DI72" s="95"/>
      <c r="DJ72" s="95">
        <f t="shared" si="36"/>
        <v>0</v>
      </c>
      <c r="DK72" s="95">
        <f t="shared" si="37"/>
        <v>0</v>
      </c>
      <c r="DL72" s="95">
        <f t="shared" si="38"/>
        <v>0</v>
      </c>
      <c r="DM72" s="95">
        <f t="shared" si="39"/>
        <v>0</v>
      </c>
      <c r="DN72" s="95">
        <f t="shared" si="80"/>
        <v>0</v>
      </c>
      <c r="DO72" s="95">
        <f t="shared" si="40"/>
        <v>55</v>
      </c>
      <c r="DP72" s="95">
        <f t="shared" si="41"/>
        <v>0</v>
      </c>
      <c r="DQ72" s="157" t="b">
        <v>0</v>
      </c>
      <c r="DR72" s="185">
        <f t="shared" si="81"/>
        <v>0</v>
      </c>
      <c r="DS72" s="348">
        <f>INDEX(Tiere!AS$30:AS$114,'Nährstoffe und Lagerraum'!$BM72)</f>
        <v>0</v>
      </c>
      <c r="DT72" s="195">
        <f>INDEX(Tiere!AT$30:AT$114,'Nährstoffe und Lagerraum'!$BM72)</f>
        <v>0</v>
      </c>
      <c r="DU72" s="195">
        <f>INDEX(Tiere!AU$30:AU$114,'Nährstoffe und Lagerraum'!$BM72)</f>
        <v>0</v>
      </c>
      <c r="DV72" s="348">
        <f>INDEX(Tiere!AV$30:AV$114,'Nährstoffe und Lagerraum'!$BM72)</f>
        <v>0</v>
      </c>
      <c r="DW72" s="195">
        <f>INDEX(Tiere!AW$30:AW$114,'Nährstoffe und Lagerraum'!$BM72)</f>
        <v>0</v>
      </c>
      <c r="DX72" s="2177">
        <f>DW72+('Eigene, abweichende Tierdaten'!$AH$67*'Eigene, abweichende Tierdaten'!$M$55)/1000</f>
        <v>0</v>
      </c>
      <c r="DY72" s="195">
        <f>INDEX(Tiere!AX$30:AX$114,'Nährstoffe und Lagerraum'!$BM72)</f>
        <v>0</v>
      </c>
      <c r="DZ72" s="195">
        <f>INDEX(Tiere!AY$30:AY$114,'Nährstoffe und Lagerraum'!$BM72)</f>
        <v>0</v>
      </c>
      <c r="EA72" s="195">
        <f>INDEX(Tiere!AZ$30:AZ$114,'Nährstoffe und Lagerraum'!$BM72)</f>
        <v>0</v>
      </c>
      <c r="EB72" s="191">
        <f t="shared" si="42"/>
        <v>0</v>
      </c>
      <c r="EC72" s="191">
        <f t="shared" si="43"/>
        <v>0</v>
      </c>
      <c r="ED72" s="191">
        <f t="shared" si="44"/>
        <v>0</v>
      </c>
      <c r="EE72" s="191">
        <f t="shared" si="45"/>
        <v>0</v>
      </c>
      <c r="EF72" s="191">
        <f t="shared" si="46"/>
        <v>0</v>
      </c>
      <c r="EG72" s="2203">
        <f t="shared" si="82"/>
        <v>0</v>
      </c>
      <c r="EH72" s="2203">
        <f t="shared" si="47"/>
        <v>0</v>
      </c>
      <c r="EI72" s="2204">
        <f t="shared" si="83"/>
        <v>0</v>
      </c>
      <c r="EJ72" s="355">
        <f t="shared" si="84"/>
        <v>0</v>
      </c>
      <c r="EK72" s="355">
        <f t="shared" si="48"/>
        <v>0</v>
      </c>
      <c r="EL72" s="92">
        <f t="shared" si="49"/>
        <v>0</v>
      </c>
      <c r="EM72" s="355">
        <f t="shared" si="85"/>
        <v>0</v>
      </c>
      <c r="EN72" s="92" t="e">
        <f t="shared" si="86"/>
        <v>#DIV/0!</v>
      </c>
      <c r="EO72" s="92">
        <f t="shared" si="50"/>
        <v>0</v>
      </c>
      <c r="EP72" s="2205" t="e">
        <f t="shared" si="87"/>
        <v>#DIV/0!</v>
      </c>
      <c r="EQ72" s="117" t="e">
        <f t="shared" si="96"/>
        <v>#DIV/0!</v>
      </c>
      <c r="ER72" s="117" t="e">
        <f t="shared" si="51"/>
        <v>#DIV/0!</v>
      </c>
      <c r="ES72" s="92">
        <f t="shared" si="88"/>
        <v>0</v>
      </c>
      <c r="ET72" s="2207">
        <f t="shared" si="89"/>
        <v>0</v>
      </c>
      <c r="EU72" s="146">
        <f t="shared" si="90"/>
        <v>0</v>
      </c>
      <c r="EV72" s="283">
        <f t="shared" si="91"/>
        <v>0</v>
      </c>
      <c r="EW72" s="283">
        <f t="shared" si="92"/>
        <v>0</v>
      </c>
      <c r="EZ72" s="92">
        <f t="shared" si="52"/>
        <v>0</v>
      </c>
      <c r="FA72" s="92">
        <f t="shared" si="53"/>
        <v>0</v>
      </c>
      <c r="FB72" s="2205">
        <f t="shared" si="93"/>
        <v>0</v>
      </c>
      <c r="FC72" s="2205">
        <f t="shared" si="54"/>
        <v>0</v>
      </c>
      <c r="FD72" s="92">
        <f t="shared" si="94"/>
        <v>0</v>
      </c>
      <c r="FE72" s="92">
        <f t="shared" si="95"/>
        <v>0</v>
      </c>
      <c r="FF72" s="92">
        <f t="shared" si="55"/>
        <v>0</v>
      </c>
      <c r="FG72" s="92">
        <f t="shared" si="56"/>
        <v>0</v>
      </c>
      <c r="FH72" s="92" cm="1">
        <f t="array" ref="FH72">INDEX(Tiere!$AJ$30:$AJ$114,BM72)</f>
        <v>0</v>
      </c>
    </row>
    <row r="73" spans="1:164" ht="18" customHeight="1" x14ac:dyDescent="0.2">
      <c r="A73" s="2567"/>
      <c r="B73" s="2568"/>
      <c r="C73" s="2568"/>
      <c r="D73" s="2568"/>
      <c r="E73" s="1509"/>
      <c r="F73" s="1515"/>
      <c r="G73" s="1942"/>
      <c r="H73" s="1509"/>
      <c r="I73" s="1511"/>
      <c r="J73" s="1450" t="str">
        <f t="shared" si="1"/>
        <v xml:space="preserve"> </v>
      </c>
      <c r="K73" s="2583" t="str">
        <f t="shared" si="2"/>
        <v xml:space="preserve"> </v>
      </c>
      <c r="L73" s="2440"/>
      <c r="M73" s="449"/>
      <c r="N73" s="15"/>
      <c r="O73" s="15"/>
      <c r="P73" s="157"/>
      <c r="Q73" s="185" t="str">
        <f t="shared" si="3"/>
        <v xml:space="preserve"> </v>
      </c>
      <c r="R73" s="185" t="str">
        <f t="shared" si="4"/>
        <v xml:space="preserve"> </v>
      </c>
      <c r="S73" s="185">
        <f t="shared" si="5"/>
        <v>0</v>
      </c>
      <c r="T73" s="256">
        <f t="shared" si="6"/>
        <v>0</v>
      </c>
      <c r="U73" s="185">
        <f t="shared" si="7"/>
        <v>0</v>
      </c>
      <c r="V73" s="2194">
        <f t="shared" si="57"/>
        <v>0</v>
      </c>
      <c r="W73" s="185">
        <f t="shared" si="8"/>
        <v>0</v>
      </c>
      <c r="X73" s="2195">
        <f t="shared" si="58"/>
        <v>0</v>
      </c>
      <c r="Y73" s="185" t="str">
        <f t="shared" si="59"/>
        <v xml:space="preserve"> </v>
      </c>
      <c r="Z73" s="186">
        <f t="shared" si="9"/>
        <v>0</v>
      </c>
      <c r="AA73" s="187">
        <f t="shared" si="10"/>
        <v>0</v>
      </c>
      <c r="AB73" s="256">
        <f t="shared" si="60"/>
        <v>0</v>
      </c>
      <c r="AC73" s="256">
        <f t="shared" si="61"/>
        <v>0</v>
      </c>
      <c r="AD73" s="256">
        <f t="shared" si="62"/>
        <v>0</v>
      </c>
      <c r="AE73" s="256">
        <f t="shared" si="63"/>
        <v>0</v>
      </c>
      <c r="AF73" s="188">
        <f t="shared" si="11"/>
        <v>0</v>
      </c>
      <c r="AG73" s="185">
        <f t="shared" si="12"/>
        <v>0</v>
      </c>
      <c r="AH73" s="185">
        <f t="shared" si="13"/>
        <v>0</v>
      </c>
      <c r="AI73" s="189">
        <f t="shared" si="14"/>
        <v>0</v>
      </c>
      <c r="AJ73" s="190">
        <f>INDEX(Tiere!L$30:L$114,'Nährstoffe und Lagerraum'!$BM73)</f>
        <v>0</v>
      </c>
      <c r="AK73" s="190">
        <f>INDEX(Tiere!Z$30:Z$114,'Nährstoffe und Lagerraum'!BM73)</f>
        <v>0</v>
      </c>
      <c r="AL73" s="185">
        <f t="shared" si="64"/>
        <v>0</v>
      </c>
      <c r="AM73" s="185">
        <f t="shared" si="65"/>
        <v>0</v>
      </c>
      <c r="AN73" s="185">
        <f t="shared" si="66"/>
        <v>0</v>
      </c>
      <c r="AO73" s="188">
        <f t="shared" si="15"/>
        <v>0</v>
      </c>
      <c r="AP73" s="185">
        <f t="shared" si="16"/>
        <v>0</v>
      </c>
      <c r="AQ73" s="189">
        <f t="shared" si="17"/>
        <v>0</v>
      </c>
      <c r="AR73" s="190" cm="1">
        <f t="array" ref="AR73">IF(BN73=1,INDEX(Tiere!V$30:V$114,'Nährstoffe und Lagerraum'!$BM73),IF(BN73=2,INDEX(Tiere!W$30:W$114,'Nährstoffe und Lagerraum'!$BM73),INDEX(Tiere!X$30:X$114,'Nährstoffe und Lagerraum'!$BM73)))</f>
        <v>0</v>
      </c>
      <c r="AS73" s="2194">
        <f t="shared" si="67"/>
        <v>0</v>
      </c>
      <c r="AT73" s="2194">
        <f t="shared" si="68"/>
        <v>0</v>
      </c>
      <c r="AU73" s="2194">
        <f t="shared" si="69"/>
        <v>0</v>
      </c>
      <c r="AV73" s="2196">
        <f t="shared" si="70"/>
        <v>0</v>
      </c>
      <c r="AW73" s="2197">
        <f t="shared" si="71"/>
        <v>0</v>
      </c>
      <c r="AX73" s="2198">
        <f t="shared" si="72"/>
        <v>0</v>
      </c>
      <c r="AY73" s="185"/>
      <c r="AZ73" s="195">
        <f t="shared" si="18"/>
        <v>0</v>
      </c>
      <c r="BA73" s="191">
        <f t="shared" si="19"/>
        <v>0</v>
      </c>
      <c r="BB73" s="2194">
        <f t="shared" si="73"/>
        <v>0</v>
      </c>
      <c r="BC73" s="188">
        <f t="shared" si="20"/>
        <v>0</v>
      </c>
      <c r="BD73" s="185">
        <f t="shared" si="21"/>
        <v>0</v>
      </c>
      <c r="BE73" s="2198">
        <f t="shared" si="74"/>
        <v>0</v>
      </c>
      <c r="BF73" s="195">
        <f t="shared" si="75"/>
        <v>0</v>
      </c>
      <c r="BG73" s="192">
        <f t="shared" si="76"/>
        <v>0</v>
      </c>
      <c r="BH73" s="871">
        <f>INDEX(Tiere!BH$30:BH$114,'Nährstoffe und Lagerraum'!$BM73)</f>
        <v>0</v>
      </c>
      <c r="BI73" s="871">
        <f>INDEX(Tiere!BI$30:BI$114,'Nährstoffe und Lagerraum'!$BM73)</f>
        <v>0</v>
      </c>
      <c r="BJ73" s="871">
        <f>INDEX(Tiere!BJ$30:BJ$114,'Nährstoffe und Lagerraum'!$BM73)</f>
        <v>0</v>
      </c>
      <c r="BK73" s="684">
        <f t="shared" si="77"/>
        <v>1</v>
      </c>
      <c r="BL73" s="684" cm="1">
        <f t="array" ref="BL73">INDEX(Tiere!$C$30:$C$114,BM73)</f>
        <v>0</v>
      </c>
      <c r="BM73" s="197">
        <v>1</v>
      </c>
      <c r="BN73" s="197">
        <v>1</v>
      </c>
      <c r="BO73" s="196">
        <f>INDEX(Tiere!D$30:D$114,'Nährstoffe und Lagerraum'!$BM73)</f>
        <v>0</v>
      </c>
      <c r="BP73" s="196" t="str">
        <f t="shared" si="78"/>
        <v>1</v>
      </c>
      <c r="BQ73" s="196">
        <f t="shared" si="79"/>
        <v>0</v>
      </c>
      <c r="BR73" s="195">
        <f>INDEX(Tiere!E$30:E$114,'Nährstoffe und Lagerraum'!$BM73)</f>
        <v>0</v>
      </c>
      <c r="BS73" s="191">
        <f>INDEX(Tiere!F$30:F$114,'Nährstoffe und Lagerraum'!$BM73)</f>
        <v>0</v>
      </c>
      <c r="BT73" s="192">
        <f>INDEX(Tiere!G$30:G$114,'Nährstoffe und Lagerraum'!$BM73)</f>
        <v>0</v>
      </c>
      <c r="BU73" s="191">
        <f>INDEX(Tiere!K$30:K$114,'Nährstoffe und Lagerraum'!$BM73)</f>
        <v>0</v>
      </c>
      <c r="BV73" s="191">
        <f>INDEX(Tiere!Y$30:Y$114,'Nährstoffe und Lagerraum'!$BM73)</f>
        <v>0</v>
      </c>
      <c r="BW73" s="195">
        <f>INDEX(Tiere!S$30:S$114,'Nährstoffe und Lagerraum'!$BM73)</f>
        <v>0</v>
      </c>
      <c r="BX73" s="191">
        <f>INDEX(Tiere!T$30:T$114,'Nährstoffe und Lagerraum'!$BM73)</f>
        <v>0</v>
      </c>
      <c r="BY73" s="192">
        <f>INDEX(Tiere!U$30:U$114,'Nährstoffe und Lagerraum'!$BM73)</f>
        <v>0</v>
      </c>
      <c r="BZ73" s="195">
        <f>INDEX(Tiere!AA$30:AA$114,'Nährstoffe und Lagerraum'!$BM73)</f>
        <v>0</v>
      </c>
      <c r="CA73" s="192">
        <f>INDEX(Tiere!AB$30:AB$114,'Nährstoffe und Lagerraum'!$BM73)</f>
        <v>0</v>
      </c>
      <c r="CB73" s="192">
        <f>INDEX(Tiere!AK$30:AK$114,'Nährstoffe und Lagerraum'!$BM73)</f>
        <v>0</v>
      </c>
      <c r="CC73" s="192">
        <f>INDEX(Tiere!M$30:M$114,'Nährstoffe und Lagerraum'!$BM73)</f>
        <v>0</v>
      </c>
      <c r="CD73" s="192">
        <f>INDEX(Tiere!N$30:N$114,'Nährstoffe und Lagerraum'!$BM73)</f>
        <v>0</v>
      </c>
      <c r="CE73" s="192">
        <f>INDEX(Tiere!O$30:O$114,'Nährstoffe und Lagerraum'!$BM73)</f>
        <v>0</v>
      </c>
      <c r="CF73" s="2199">
        <f>CC73*'Eigene, abweichende Tierdaten'!$AH$64</f>
        <v>0</v>
      </c>
      <c r="CG73" s="2200">
        <f>CD73*'Eigene, abweichende Tierdaten'!$AH$64</f>
        <v>0</v>
      </c>
      <c r="CH73" s="2201">
        <f>CE73*'Eigene, abweichende Tierdaten'!$AH$64</f>
        <v>0</v>
      </c>
      <c r="CI73" s="2192">
        <v>5</v>
      </c>
      <c r="CJ73" s="2192">
        <v>3</v>
      </c>
      <c r="CK73" s="179">
        <v>17</v>
      </c>
      <c r="CL73" s="2197">
        <f>'Eigene, abweichende Tierdaten'!$AE$64</f>
        <v>5</v>
      </c>
      <c r="CM73" s="2197">
        <f>'Eigene, abweichende Tierdaten'!$AF$64</f>
        <v>3</v>
      </c>
      <c r="CN73" s="2197">
        <f>'Eigene, abweichende Tierdaten'!$AG$64</f>
        <v>17</v>
      </c>
      <c r="CO73" s="185">
        <f>INDEX(Tiere!AN$30:AN$114,'Nährstoffe und Lagerraum'!$BM73)</f>
        <v>0</v>
      </c>
      <c r="CP73" s="185">
        <f t="shared" si="22"/>
        <v>0</v>
      </c>
      <c r="CQ73" s="185">
        <f t="shared" si="23"/>
        <v>0</v>
      </c>
      <c r="CR73" s="189">
        <f t="shared" si="24"/>
        <v>0</v>
      </c>
      <c r="CS73" s="157"/>
      <c r="CT73" s="357" t="b">
        <f t="shared" si="25"/>
        <v>0</v>
      </c>
      <c r="CU73" s="157"/>
      <c r="CV73" s="195">
        <f>INDEX(Tiere!AO$30:AO$114,'Nährstoffe und Lagerraum'!$BM73)</f>
        <v>0</v>
      </c>
      <c r="CW73" s="195">
        <f>INDEX(Tiere!AP$30:AP$114,'Nährstoffe und Lagerraum'!$BM73)</f>
        <v>0</v>
      </c>
      <c r="CX73" s="195">
        <f>INDEX(Tiere!AQ$30:AQ$114,'Nährstoffe und Lagerraum'!$BM73)</f>
        <v>0</v>
      </c>
      <c r="CY73" s="92">
        <f t="shared" si="26"/>
        <v>0</v>
      </c>
      <c r="CZ73" s="95">
        <f t="shared" si="27"/>
        <v>0</v>
      </c>
      <c r="DA73" s="95">
        <f t="shared" si="28"/>
        <v>0</v>
      </c>
      <c r="DB73" s="95">
        <f t="shared" si="29"/>
        <v>0</v>
      </c>
      <c r="DC73" s="95">
        <f t="shared" si="30"/>
        <v>0</v>
      </c>
      <c r="DD73" s="95">
        <f t="shared" si="31"/>
        <v>0</v>
      </c>
      <c r="DE73" s="95">
        <f t="shared" si="32"/>
        <v>0</v>
      </c>
      <c r="DF73" s="95">
        <f t="shared" si="33"/>
        <v>0</v>
      </c>
      <c r="DG73" s="95">
        <f t="shared" si="34"/>
        <v>0</v>
      </c>
      <c r="DH73" s="95">
        <f t="shared" si="35"/>
        <v>0</v>
      </c>
      <c r="DI73" s="95"/>
      <c r="DJ73" s="95">
        <f t="shared" si="36"/>
        <v>0</v>
      </c>
      <c r="DK73" s="95">
        <f t="shared" si="37"/>
        <v>0</v>
      </c>
      <c r="DL73" s="95">
        <f t="shared" si="38"/>
        <v>0</v>
      </c>
      <c r="DM73" s="95">
        <f t="shared" si="39"/>
        <v>0</v>
      </c>
      <c r="DN73" s="95">
        <f t="shared" si="80"/>
        <v>0</v>
      </c>
      <c r="DO73" s="95">
        <f t="shared" si="40"/>
        <v>55</v>
      </c>
      <c r="DP73" s="95">
        <f t="shared" si="41"/>
        <v>0</v>
      </c>
      <c r="DQ73" s="157" t="b">
        <v>0</v>
      </c>
      <c r="DR73" s="185">
        <f t="shared" si="81"/>
        <v>0</v>
      </c>
      <c r="DS73" s="348">
        <f>INDEX(Tiere!AS$30:AS$114,'Nährstoffe und Lagerraum'!$BM73)</f>
        <v>0</v>
      </c>
      <c r="DT73" s="195">
        <f>INDEX(Tiere!AT$30:AT$114,'Nährstoffe und Lagerraum'!$BM73)</f>
        <v>0</v>
      </c>
      <c r="DU73" s="195">
        <f>INDEX(Tiere!AU$30:AU$114,'Nährstoffe und Lagerraum'!$BM73)</f>
        <v>0</v>
      </c>
      <c r="DV73" s="348">
        <f>INDEX(Tiere!AV$30:AV$114,'Nährstoffe und Lagerraum'!$BM73)</f>
        <v>0</v>
      </c>
      <c r="DW73" s="195">
        <f>INDEX(Tiere!AW$30:AW$114,'Nährstoffe und Lagerraum'!$BM73)</f>
        <v>0</v>
      </c>
      <c r="DX73" s="2177">
        <f>DW73+('Eigene, abweichende Tierdaten'!$AH$67*'Eigene, abweichende Tierdaten'!$M$55)/1000</f>
        <v>0</v>
      </c>
      <c r="DY73" s="195">
        <f>INDEX(Tiere!AX$30:AX$114,'Nährstoffe und Lagerraum'!$BM73)</f>
        <v>0</v>
      </c>
      <c r="DZ73" s="195">
        <f>INDEX(Tiere!AY$30:AY$114,'Nährstoffe und Lagerraum'!$BM73)</f>
        <v>0</v>
      </c>
      <c r="EA73" s="195">
        <f>INDEX(Tiere!AZ$30:AZ$114,'Nährstoffe und Lagerraum'!$BM73)</f>
        <v>0</v>
      </c>
      <c r="EB73" s="191">
        <f t="shared" si="42"/>
        <v>0</v>
      </c>
      <c r="EC73" s="191">
        <f t="shared" si="43"/>
        <v>0</v>
      </c>
      <c r="ED73" s="191">
        <f t="shared" si="44"/>
        <v>0</v>
      </c>
      <c r="EE73" s="191">
        <f t="shared" si="45"/>
        <v>0</v>
      </c>
      <c r="EF73" s="191">
        <f t="shared" si="46"/>
        <v>0</v>
      </c>
      <c r="EG73" s="2203">
        <f t="shared" si="82"/>
        <v>0</v>
      </c>
      <c r="EH73" s="2203">
        <f t="shared" si="47"/>
        <v>0</v>
      </c>
      <c r="EI73" s="2204">
        <f t="shared" si="83"/>
        <v>0</v>
      </c>
      <c r="EJ73" s="355">
        <f t="shared" si="84"/>
        <v>0</v>
      </c>
      <c r="EK73" s="355">
        <f t="shared" si="48"/>
        <v>0</v>
      </c>
      <c r="EL73" s="92">
        <f t="shared" si="49"/>
        <v>0</v>
      </c>
      <c r="EM73" s="355">
        <f t="shared" si="85"/>
        <v>0</v>
      </c>
      <c r="EN73" s="92" t="e">
        <f t="shared" si="86"/>
        <v>#DIV/0!</v>
      </c>
      <c r="EO73" s="92">
        <f t="shared" si="50"/>
        <v>0</v>
      </c>
      <c r="EP73" s="2205" t="e">
        <f t="shared" si="87"/>
        <v>#DIV/0!</v>
      </c>
      <c r="EQ73" s="117" t="e">
        <f t="shared" si="96"/>
        <v>#DIV/0!</v>
      </c>
      <c r="ER73" s="117" t="e">
        <f t="shared" si="51"/>
        <v>#DIV/0!</v>
      </c>
      <c r="ES73" s="92">
        <f t="shared" si="88"/>
        <v>0</v>
      </c>
      <c r="ET73" s="2207">
        <f t="shared" si="89"/>
        <v>0</v>
      </c>
      <c r="EU73" s="146">
        <f t="shared" si="90"/>
        <v>0</v>
      </c>
      <c r="EV73" s="283">
        <f t="shared" si="91"/>
        <v>0</v>
      </c>
      <c r="EW73" s="283">
        <f t="shared" si="92"/>
        <v>0</v>
      </c>
      <c r="EZ73" s="92">
        <f t="shared" si="52"/>
        <v>0</v>
      </c>
      <c r="FA73" s="92">
        <f t="shared" si="53"/>
        <v>0</v>
      </c>
      <c r="FB73" s="2205">
        <f t="shared" si="93"/>
        <v>0</v>
      </c>
      <c r="FC73" s="2205">
        <f t="shared" si="54"/>
        <v>0</v>
      </c>
      <c r="FD73" s="92">
        <f t="shared" si="94"/>
        <v>0</v>
      </c>
      <c r="FE73" s="92">
        <f t="shared" si="95"/>
        <v>0</v>
      </c>
      <c r="FF73" s="92">
        <f t="shared" si="55"/>
        <v>0</v>
      </c>
      <c r="FG73" s="92">
        <f t="shared" si="56"/>
        <v>0</v>
      </c>
      <c r="FH73" s="92" cm="1">
        <f t="array" ref="FH73">INDEX(Tiere!$AJ$30:$AJ$114,BM73)</f>
        <v>0</v>
      </c>
    </row>
    <row r="74" spans="1:164" ht="18" customHeight="1" x14ac:dyDescent="0.2">
      <c r="A74" s="2567"/>
      <c r="B74" s="2568"/>
      <c r="C74" s="2568"/>
      <c r="D74" s="2568"/>
      <c r="E74" s="1509"/>
      <c r="F74" s="1515"/>
      <c r="G74" s="1942"/>
      <c r="H74" s="1509"/>
      <c r="I74" s="1511"/>
      <c r="J74" s="1450" t="str">
        <f t="shared" si="1"/>
        <v xml:space="preserve"> </v>
      </c>
      <c r="K74" s="2583" t="str">
        <f t="shared" si="2"/>
        <v xml:space="preserve"> </v>
      </c>
      <c r="L74" s="2440"/>
      <c r="M74" s="449"/>
      <c r="N74" s="15"/>
      <c r="O74" s="15"/>
      <c r="P74" s="157"/>
      <c r="Q74" s="185" t="str">
        <f t="shared" si="3"/>
        <v xml:space="preserve"> </v>
      </c>
      <c r="R74" s="185" t="str">
        <f t="shared" si="4"/>
        <v xml:space="preserve"> </v>
      </c>
      <c r="S74" s="185">
        <f t="shared" si="5"/>
        <v>0</v>
      </c>
      <c r="T74" s="256">
        <f t="shared" si="6"/>
        <v>0</v>
      </c>
      <c r="U74" s="185">
        <f t="shared" si="7"/>
        <v>0</v>
      </c>
      <c r="V74" s="2194">
        <f t="shared" si="57"/>
        <v>0</v>
      </c>
      <c r="W74" s="185">
        <f t="shared" si="8"/>
        <v>0</v>
      </c>
      <c r="X74" s="2195">
        <f t="shared" si="58"/>
        <v>0</v>
      </c>
      <c r="Y74" s="185" t="str">
        <f t="shared" si="59"/>
        <v xml:space="preserve"> </v>
      </c>
      <c r="Z74" s="186">
        <f t="shared" si="9"/>
        <v>0</v>
      </c>
      <c r="AA74" s="187">
        <f t="shared" si="10"/>
        <v>0</v>
      </c>
      <c r="AB74" s="256">
        <f t="shared" si="60"/>
        <v>0</v>
      </c>
      <c r="AC74" s="256">
        <f t="shared" si="61"/>
        <v>0</v>
      </c>
      <c r="AD74" s="256">
        <f t="shared" si="62"/>
        <v>0</v>
      </c>
      <c r="AE74" s="256">
        <f t="shared" si="63"/>
        <v>0</v>
      </c>
      <c r="AF74" s="188">
        <f t="shared" si="11"/>
        <v>0</v>
      </c>
      <c r="AG74" s="185">
        <f t="shared" si="12"/>
        <v>0</v>
      </c>
      <c r="AH74" s="185">
        <f t="shared" si="13"/>
        <v>0</v>
      </c>
      <c r="AI74" s="189">
        <f t="shared" si="14"/>
        <v>0</v>
      </c>
      <c r="AJ74" s="190">
        <f>INDEX(Tiere!L$30:L$114,'Nährstoffe und Lagerraum'!$BM74)</f>
        <v>0</v>
      </c>
      <c r="AK74" s="190">
        <f>INDEX(Tiere!Z$30:Z$114,'Nährstoffe und Lagerraum'!BM74)</f>
        <v>0</v>
      </c>
      <c r="AL74" s="185">
        <f t="shared" si="64"/>
        <v>0</v>
      </c>
      <c r="AM74" s="185">
        <f t="shared" si="65"/>
        <v>0</v>
      </c>
      <c r="AN74" s="185">
        <f t="shared" si="66"/>
        <v>0</v>
      </c>
      <c r="AO74" s="188">
        <f t="shared" si="15"/>
        <v>0</v>
      </c>
      <c r="AP74" s="185">
        <f t="shared" si="16"/>
        <v>0</v>
      </c>
      <c r="AQ74" s="189">
        <f t="shared" si="17"/>
        <v>0</v>
      </c>
      <c r="AR74" s="190" cm="1">
        <f t="array" ref="AR74">IF(BN74=1,INDEX(Tiere!V$30:V$114,'Nährstoffe und Lagerraum'!$BM74),IF(BN74=2,INDEX(Tiere!W$30:W$114,'Nährstoffe und Lagerraum'!$BM74),INDEX(Tiere!X$30:X$114,'Nährstoffe und Lagerraum'!$BM74)))</f>
        <v>0</v>
      </c>
      <c r="AS74" s="2194">
        <f t="shared" si="67"/>
        <v>0</v>
      </c>
      <c r="AT74" s="2194">
        <f t="shared" si="68"/>
        <v>0</v>
      </c>
      <c r="AU74" s="2194">
        <f t="shared" si="69"/>
        <v>0</v>
      </c>
      <c r="AV74" s="2196">
        <f t="shared" si="70"/>
        <v>0</v>
      </c>
      <c r="AW74" s="2197">
        <f t="shared" si="71"/>
        <v>0</v>
      </c>
      <c r="AX74" s="2198">
        <f t="shared" si="72"/>
        <v>0</v>
      </c>
      <c r="AY74" s="185"/>
      <c r="AZ74" s="195">
        <f t="shared" si="18"/>
        <v>0</v>
      </c>
      <c r="BA74" s="191">
        <f t="shared" si="19"/>
        <v>0</v>
      </c>
      <c r="BB74" s="2194">
        <f t="shared" si="73"/>
        <v>0</v>
      </c>
      <c r="BC74" s="188">
        <f t="shared" si="20"/>
        <v>0</v>
      </c>
      <c r="BD74" s="185">
        <f t="shared" si="21"/>
        <v>0</v>
      </c>
      <c r="BE74" s="2198">
        <f t="shared" si="74"/>
        <v>0</v>
      </c>
      <c r="BF74" s="195">
        <f t="shared" si="75"/>
        <v>0</v>
      </c>
      <c r="BG74" s="192">
        <f t="shared" si="76"/>
        <v>0</v>
      </c>
      <c r="BH74" s="871">
        <f>INDEX(Tiere!BH$30:BH$114,'Nährstoffe und Lagerraum'!$BM74)</f>
        <v>0</v>
      </c>
      <c r="BI74" s="871">
        <f>INDEX(Tiere!BI$30:BI$114,'Nährstoffe und Lagerraum'!$BM74)</f>
        <v>0</v>
      </c>
      <c r="BJ74" s="871">
        <f>INDEX(Tiere!BJ$30:BJ$114,'Nährstoffe und Lagerraum'!$BM74)</f>
        <v>0</v>
      </c>
      <c r="BK74" s="684">
        <f t="shared" si="77"/>
        <v>1</v>
      </c>
      <c r="BL74" s="684" cm="1">
        <f t="array" ref="BL74">INDEX(Tiere!$C$30:$C$114,BM74)</f>
        <v>0</v>
      </c>
      <c r="BM74" s="197">
        <v>1</v>
      </c>
      <c r="BN74" s="197">
        <v>1</v>
      </c>
      <c r="BO74" s="196">
        <f>INDEX(Tiere!D$30:D$114,'Nährstoffe und Lagerraum'!$BM74)</f>
        <v>0</v>
      </c>
      <c r="BP74" s="196" t="str">
        <f t="shared" si="78"/>
        <v>1</v>
      </c>
      <c r="BQ74" s="196">
        <f t="shared" si="79"/>
        <v>0</v>
      </c>
      <c r="BR74" s="195">
        <f>INDEX(Tiere!E$30:E$114,'Nährstoffe und Lagerraum'!$BM74)</f>
        <v>0</v>
      </c>
      <c r="BS74" s="191">
        <f>INDEX(Tiere!F$30:F$114,'Nährstoffe und Lagerraum'!$BM74)</f>
        <v>0</v>
      </c>
      <c r="BT74" s="192">
        <f>INDEX(Tiere!G$30:G$114,'Nährstoffe und Lagerraum'!$BM74)</f>
        <v>0</v>
      </c>
      <c r="BU74" s="191">
        <f>INDEX(Tiere!K$30:K$114,'Nährstoffe und Lagerraum'!$BM74)</f>
        <v>0</v>
      </c>
      <c r="BV74" s="191">
        <f>INDEX(Tiere!Y$30:Y$114,'Nährstoffe und Lagerraum'!$BM74)</f>
        <v>0</v>
      </c>
      <c r="BW74" s="195">
        <f>INDEX(Tiere!S$30:S$114,'Nährstoffe und Lagerraum'!$BM74)</f>
        <v>0</v>
      </c>
      <c r="BX74" s="191">
        <f>INDEX(Tiere!T$30:T$114,'Nährstoffe und Lagerraum'!$BM74)</f>
        <v>0</v>
      </c>
      <c r="BY74" s="192">
        <f>INDEX(Tiere!U$30:U$114,'Nährstoffe und Lagerraum'!$BM74)</f>
        <v>0</v>
      </c>
      <c r="BZ74" s="195">
        <f>INDEX(Tiere!AA$30:AA$114,'Nährstoffe und Lagerraum'!$BM74)</f>
        <v>0</v>
      </c>
      <c r="CA74" s="192">
        <f>INDEX(Tiere!AB$30:AB$114,'Nährstoffe und Lagerraum'!$BM74)</f>
        <v>0</v>
      </c>
      <c r="CB74" s="192">
        <f>INDEX(Tiere!AK$30:AK$114,'Nährstoffe und Lagerraum'!$BM74)</f>
        <v>0</v>
      </c>
      <c r="CC74" s="192">
        <f>INDEX(Tiere!M$30:M$114,'Nährstoffe und Lagerraum'!$BM74)</f>
        <v>0</v>
      </c>
      <c r="CD74" s="192">
        <f>INDEX(Tiere!N$30:N$114,'Nährstoffe und Lagerraum'!$BM74)</f>
        <v>0</v>
      </c>
      <c r="CE74" s="192">
        <f>INDEX(Tiere!O$30:O$114,'Nährstoffe und Lagerraum'!$BM74)</f>
        <v>0</v>
      </c>
      <c r="CF74" s="2199">
        <f>CC74*'Eigene, abweichende Tierdaten'!$AH$64</f>
        <v>0</v>
      </c>
      <c r="CG74" s="2200">
        <f>CD74*'Eigene, abweichende Tierdaten'!$AH$64</f>
        <v>0</v>
      </c>
      <c r="CH74" s="2201">
        <f>CE74*'Eigene, abweichende Tierdaten'!$AH$64</f>
        <v>0</v>
      </c>
      <c r="CI74" s="2192">
        <v>5</v>
      </c>
      <c r="CJ74" s="2192">
        <v>3</v>
      </c>
      <c r="CK74" s="179">
        <v>17</v>
      </c>
      <c r="CL74" s="2197">
        <f>'Eigene, abweichende Tierdaten'!$AE$64</f>
        <v>5</v>
      </c>
      <c r="CM74" s="2197">
        <f>'Eigene, abweichende Tierdaten'!$AF$64</f>
        <v>3</v>
      </c>
      <c r="CN74" s="2197">
        <f>'Eigene, abweichende Tierdaten'!$AG$64</f>
        <v>17</v>
      </c>
      <c r="CO74" s="185">
        <f>INDEX(Tiere!AN$30:AN$114,'Nährstoffe und Lagerraum'!$BM74)</f>
        <v>0</v>
      </c>
      <c r="CP74" s="185">
        <f t="shared" si="22"/>
        <v>0</v>
      </c>
      <c r="CQ74" s="185">
        <f t="shared" si="23"/>
        <v>0</v>
      </c>
      <c r="CR74" s="189">
        <f t="shared" si="24"/>
        <v>0</v>
      </c>
      <c r="CS74" s="157"/>
      <c r="CT74" s="357" t="b">
        <f t="shared" si="25"/>
        <v>0</v>
      </c>
      <c r="CU74" s="157"/>
      <c r="CV74" s="195">
        <f>INDEX(Tiere!AO$30:AO$114,'Nährstoffe und Lagerraum'!$BM74)</f>
        <v>0</v>
      </c>
      <c r="CW74" s="195">
        <f>INDEX(Tiere!AP$30:AP$114,'Nährstoffe und Lagerraum'!$BM74)</f>
        <v>0</v>
      </c>
      <c r="CX74" s="195">
        <f>INDEX(Tiere!AQ$30:AQ$114,'Nährstoffe und Lagerraum'!$BM74)</f>
        <v>0</v>
      </c>
      <c r="CY74" s="92">
        <f t="shared" si="26"/>
        <v>0</v>
      </c>
      <c r="CZ74" s="95">
        <f t="shared" si="27"/>
        <v>0</v>
      </c>
      <c r="DA74" s="95">
        <f t="shared" si="28"/>
        <v>0</v>
      </c>
      <c r="DB74" s="95">
        <f t="shared" si="29"/>
        <v>0</v>
      </c>
      <c r="DC74" s="95">
        <f t="shared" si="30"/>
        <v>0</v>
      </c>
      <c r="DD74" s="95">
        <f t="shared" si="31"/>
        <v>0</v>
      </c>
      <c r="DE74" s="95">
        <f t="shared" si="32"/>
        <v>0</v>
      </c>
      <c r="DF74" s="95">
        <f t="shared" si="33"/>
        <v>0</v>
      </c>
      <c r="DG74" s="95">
        <f t="shared" si="34"/>
        <v>0</v>
      </c>
      <c r="DH74" s="95">
        <f t="shared" si="35"/>
        <v>0</v>
      </c>
      <c r="DI74" s="95"/>
      <c r="DJ74" s="95">
        <f t="shared" si="36"/>
        <v>0</v>
      </c>
      <c r="DK74" s="95">
        <f t="shared" si="37"/>
        <v>0</v>
      </c>
      <c r="DL74" s="95">
        <f t="shared" si="38"/>
        <v>0</v>
      </c>
      <c r="DM74" s="95">
        <f t="shared" si="39"/>
        <v>0</v>
      </c>
      <c r="DN74" s="95">
        <f t="shared" si="80"/>
        <v>0</v>
      </c>
      <c r="DO74" s="95">
        <f t="shared" si="40"/>
        <v>55</v>
      </c>
      <c r="DP74" s="95">
        <f t="shared" si="41"/>
        <v>0</v>
      </c>
      <c r="DQ74" s="157" t="b">
        <v>0</v>
      </c>
      <c r="DR74" s="185">
        <f t="shared" si="81"/>
        <v>0</v>
      </c>
      <c r="DS74" s="348">
        <f>INDEX(Tiere!AS$30:AS$114,'Nährstoffe und Lagerraum'!$BM74)</f>
        <v>0</v>
      </c>
      <c r="DT74" s="195">
        <f>INDEX(Tiere!AT$30:AT$114,'Nährstoffe und Lagerraum'!$BM74)</f>
        <v>0</v>
      </c>
      <c r="DU74" s="195">
        <f>INDEX(Tiere!AU$30:AU$114,'Nährstoffe und Lagerraum'!$BM74)</f>
        <v>0</v>
      </c>
      <c r="DV74" s="348">
        <f>INDEX(Tiere!AV$30:AV$114,'Nährstoffe und Lagerraum'!$BM74)</f>
        <v>0</v>
      </c>
      <c r="DW74" s="195">
        <f>INDEX(Tiere!AW$30:AW$114,'Nährstoffe und Lagerraum'!$BM74)</f>
        <v>0</v>
      </c>
      <c r="DX74" s="2177">
        <f>DW74+('Eigene, abweichende Tierdaten'!$AH$67*'Eigene, abweichende Tierdaten'!$M$55)/1000</f>
        <v>0</v>
      </c>
      <c r="DY74" s="195">
        <f>INDEX(Tiere!AX$30:AX$114,'Nährstoffe und Lagerraum'!$BM74)</f>
        <v>0</v>
      </c>
      <c r="DZ74" s="195">
        <f>INDEX(Tiere!AY$30:AY$114,'Nährstoffe und Lagerraum'!$BM74)</f>
        <v>0</v>
      </c>
      <c r="EA74" s="195">
        <f>INDEX(Tiere!AZ$30:AZ$114,'Nährstoffe und Lagerraum'!$BM74)</f>
        <v>0</v>
      </c>
      <c r="EB74" s="191">
        <f t="shared" si="42"/>
        <v>0</v>
      </c>
      <c r="EC74" s="191">
        <f t="shared" si="43"/>
        <v>0</v>
      </c>
      <c r="ED74" s="191">
        <f t="shared" si="44"/>
        <v>0</v>
      </c>
      <c r="EE74" s="191">
        <f t="shared" si="45"/>
        <v>0</v>
      </c>
      <c r="EF74" s="191">
        <f t="shared" si="46"/>
        <v>0</v>
      </c>
      <c r="EG74" s="2203">
        <f t="shared" si="82"/>
        <v>0</v>
      </c>
      <c r="EH74" s="2203">
        <f t="shared" si="47"/>
        <v>0</v>
      </c>
      <c r="EI74" s="2204">
        <f t="shared" si="83"/>
        <v>0</v>
      </c>
      <c r="EJ74" s="355">
        <f t="shared" si="84"/>
        <v>0</v>
      </c>
      <c r="EK74" s="355">
        <f t="shared" si="48"/>
        <v>0</v>
      </c>
      <c r="EL74" s="92">
        <f t="shared" si="49"/>
        <v>0</v>
      </c>
      <c r="EM74" s="355">
        <f t="shared" si="85"/>
        <v>0</v>
      </c>
      <c r="EN74" s="92" t="e">
        <f t="shared" si="86"/>
        <v>#DIV/0!</v>
      </c>
      <c r="EO74" s="92">
        <f t="shared" si="50"/>
        <v>0</v>
      </c>
      <c r="EP74" s="2205" t="e">
        <f t="shared" si="87"/>
        <v>#DIV/0!</v>
      </c>
      <c r="EQ74" s="117" t="e">
        <f t="shared" si="96"/>
        <v>#DIV/0!</v>
      </c>
      <c r="ER74" s="117" t="e">
        <f t="shared" si="51"/>
        <v>#DIV/0!</v>
      </c>
      <c r="ES74" s="92">
        <f t="shared" si="88"/>
        <v>0</v>
      </c>
      <c r="ET74" s="2207">
        <f t="shared" si="89"/>
        <v>0</v>
      </c>
      <c r="EU74" s="146">
        <f t="shared" si="90"/>
        <v>0</v>
      </c>
      <c r="EV74" s="283">
        <f t="shared" si="91"/>
        <v>0</v>
      </c>
      <c r="EW74" s="283">
        <f t="shared" si="92"/>
        <v>0</v>
      </c>
      <c r="EZ74" s="92">
        <f t="shared" si="52"/>
        <v>0</v>
      </c>
      <c r="FA74" s="92">
        <f t="shared" si="53"/>
        <v>0</v>
      </c>
      <c r="FB74" s="2205">
        <f t="shared" si="93"/>
        <v>0</v>
      </c>
      <c r="FC74" s="2205">
        <f t="shared" si="54"/>
        <v>0</v>
      </c>
      <c r="FD74" s="92">
        <f t="shared" si="94"/>
        <v>0</v>
      </c>
      <c r="FE74" s="92">
        <f t="shared" si="95"/>
        <v>0</v>
      </c>
      <c r="FF74" s="92">
        <f t="shared" si="55"/>
        <v>0</v>
      </c>
      <c r="FG74" s="92">
        <f t="shared" si="56"/>
        <v>0</v>
      </c>
      <c r="FH74" s="92" cm="1">
        <f t="array" ref="FH74">INDEX(Tiere!$AJ$30:$AJ$114,BM74)</f>
        <v>0</v>
      </c>
    </row>
    <row r="75" spans="1:164" ht="18" customHeight="1" x14ac:dyDescent="0.2">
      <c r="A75" s="2567"/>
      <c r="B75" s="2568"/>
      <c r="C75" s="2568"/>
      <c r="D75" s="2568"/>
      <c r="E75" s="1509"/>
      <c r="F75" s="1515"/>
      <c r="G75" s="1942"/>
      <c r="H75" s="1509"/>
      <c r="I75" s="1511"/>
      <c r="J75" s="1450" t="str">
        <f t="shared" si="1"/>
        <v xml:space="preserve"> </v>
      </c>
      <c r="K75" s="2583" t="str">
        <f t="shared" si="2"/>
        <v xml:space="preserve"> </v>
      </c>
      <c r="L75" s="2440"/>
      <c r="M75" s="450"/>
      <c r="N75" s="15"/>
      <c r="O75" s="15"/>
      <c r="P75" s="157"/>
      <c r="Q75" s="185" t="str">
        <f t="shared" si="3"/>
        <v xml:space="preserve"> </v>
      </c>
      <c r="R75" s="185" t="str">
        <f t="shared" si="4"/>
        <v xml:space="preserve"> </v>
      </c>
      <c r="S75" s="185">
        <f t="shared" si="5"/>
        <v>0</v>
      </c>
      <c r="T75" s="256">
        <f t="shared" si="6"/>
        <v>0</v>
      </c>
      <c r="U75" s="185">
        <f t="shared" si="7"/>
        <v>0</v>
      </c>
      <c r="V75" s="2194">
        <f t="shared" si="57"/>
        <v>0</v>
      </c>
      <c r="W75" s="185">
        <f t="shared" si="8"/>
        <v>0</v>
      </c>
      <c r="X75" s="2195">
        <f t="shared" si="58"/>
        <v>0</v>
      </c>
      <c r="Y75" s="185" t="str">
        <f t="shared" si="59"/>
        <v xml:space="preserve"> </v>
      </c>
      <c r="Z75" s="186">
        <f t="shared" si="9"/>
        <v>0</v>
      </c>
      <c r="AA75" s="187">
        <f t="shared" si="10"/>
        <v>0</v>
      </c>
      <c r="AB75" s="256">
        <f t="shared" si="60"/>
        <v>0</v>
      </c>
      <c r="AC75" s="256">
        <f t="shared" si="61"/>
        <v>0</v>
      </c>
      <c r="AD75" s="256">
        <f t="shared" si="62"/>
        <v>0</v>
      </c>
      <c r="AE75" s="256">
        <f t="shared" si="63"/>
        <v>0</v>
      </c>
      <c r="AF75" s="188">
        <f t="shared" si="11"/>
        <v>0</v>
      </c>
      <c r="AG75" s="185">
        <f t="shared" si="12"/>
        <v>0</v>
      </c>
      <c r="AH75" s="185">
        <f t="shared" si="13"/>
        <v>0</v>
      </c>
      <c r="AI75" s="189">
        <f t="shared" si="14"/>
        <v>0</v>
      </c>
      <c r="AJ75" s="190">
        <f>INDEX(Tiere!L$30:L$114,'Nährstoffe und Lagerraum'!$BM75)</f>
        <v>0</v>
      </c>
      <c r="AK75" s="190">
        <f>INDEX(Tiere!Z$30:Z$114,'Nährstoffe und Lagerraum'!BM75)</f>
        <v>0</v>
      </c>
      <c r="AL75" s="185">
        <f t="shared" si="64"/>
        <v>0</v>
      </c>
      <c r="AM75" s="185">
        <f t="shared" si="65"/>
        <v>0</v>
      </c>
      <c r="AN75" s="185">
        <f t="shared" si="66"/>
        <v>0</v>
      </c>
      <c r="AO75" s="188">
        <f t="shared" si="15"/>
        <v>0</v>
      </c>
      <c r="AP75" s="185">
        <f t="shared" si="16"/>
        <v>0</v>
      </c>
      <c r="AQ75" s="189">
        <f t="shared" si="17"/>
        <v>0</v>
      </c>
      <c r="AR75" s="190" cm="1">
        <f t="array" ref="AR75">IF(BN75=1,INDEX(Tiere!V$30:V$114,'Nährstoffe und Lagerraum'!$BM75),IF(BN75=2,INDEX(Tiere!W$30:W$114,'Nährstoffe und Lagerraum'!$BM75),INDEX(Tiere!X$30:X$114,'Nährstoffe und Lagerraum'!$BM75)))</f>
        <v>0</v>
      </c>
      <c r="AS75" s="2194">
        <f t="shared" si="67"/>
        <v>0</v>
      </c>
      <c r="AT75" s="2194">
        <f t="shared" si="68"/>
        <v>0</v>
      </c>
      <c r="AU75" s="2194">
        <f t="shared" si="69"/>
        <v>0</v>
      </c>
      <c r="AV75" s="2196">
        <f t="shared" si="70"/>
        <v>0</v>
      </c>
      <c r="AW75" s="2197">
        <f t="shared" si="71"/>
        <v>0</v>
      </c>
      <c r="AX75" s="2198">
        <f t="shared" si="72"/>
        <v>0</v>
      </c>
      <c r="AY75" s="185"/>
      <c r="AZ75" s="195">
        <f t="shared" si="18"/>
        <v>0</v>
      </c>
      <c r="BA75" s="191">
        <f t="shared" si="19"/>
        <v>0</v>
      </c>
      <c r="BB75" s="2194">
        <f t="shared" si="73"/>
        <v>0</v>
      </c>
      <c r="BC75" s="188">
        <f t="shared" si="20"/>
        <v>0</v>
      </c>
      <c r="BD75" s="185">
        <f t="shared" si="21"/>
        <v>0</v>
      </c>
      <c r="BE75" s="2198">
        <f t="shared" si="74"/>
        <v>0</v>
      </c>
      <c r="BF75" s="195">
        <f t="shared" si="75"/>
        <v>0</v>
      </c>
      <c r="BG75" s="192">
        <f t="shared" si="76"/>
        <v>0</v>
      </c>
      <c r="BH75" s="871">
        <f>INDEX(Tiere!BH$30:BH$114,'Nährstoffe und Lagerraum'!$BM75)</f>
        <v>0</v>
      </c>
      <c r="BI75" s="871">
        <f>INDEX(Tiere!BI$30:BI$114,'Nährstoffe und Lagerraum'!$BM75)</f>
        <v>0</v>
      </c>
      <c r="BJ75" s="871">
        <f>INDEX(Tiere!BJ$30:BJ$114,'Nährstoffe und Lagerraum'!$BM75)</f>
        <v>0</v>
      </c>
      <c r="BK75" s="684">
        <f t="shared" si="77"/>
        <v>1</v>
      </c>
      <c r="BL75" s="684" cm="1">
        <f t="array" ref="BL75">INDEX(Tiere!$C$30:$C$114,BM75)</f>
        <v>0</v>
      </c>
      <c r="BM75" s="197">
        <v>1</v>
      </c>
      <c r="BN75" s="197">
        <v>1</v>
      </c>
      <c r="BO75" s="196">
        <f>INDEX(Tiere!D$30:D$114,'Nährstoffe und Lagerraum'!$BM75)</f>
        <v>0</v>
      </c>
      <c r="BP75" s="196" t="str">
        <f t="shared" si="78"/>
        <v>1</v>
      </c>
      <c r="BQ75" s="196">
        <f t="shared" si="79"/>
        <v>0</v>
      </c>
      <c r="BR75" s="195">
        <f>INDEX(Tiere!E$30:E$114,'Nährstoffe und Lagerraum'!$BM75)</f>
        <v>0</v>
      </c>
      <c r="BS75" s="191">
        <f>INDEX(Tiere!F$30:F$114,'Nährstoffe und Lagerraum'!$BM75)</f>
        <v>0</v>
      </c>
      <c r="BT75" s="192">
        <f>INDEX(Tiere!G$30:G$114,'Nährstoffe und Lagerraum'!$BM75)</f>
        <v>0</v>
      </c>
      <c r="BU75" s="191">
        <f>INDEX(Tiere!K$30:K$114,'Nährstoffe und Lagerraum'!$BM75)</f>
        <v>0</v>
      </c>
      <c r="BV75" s="191">
        <f>INDEX(Tiere!Y$30:Y$114,'Nährstoffe und Lagerraum'!$BM75)</f>
        <v>0</v>
      </c>
      <c r="BW75" s="195">
        <f>INDEX(Tiere!S$30:S$114,'Nährstoffe und Lagerraum'!$BM75)</f>
        <v>0</v>
      </c>
      <c r="BX75" s="191">
        <f>INDEX(Tiere!T$30:T$114,'Nährstoffe und Lagerraum'!$BM75)</f>
        <v>0</v>
      </c>
      <c r="BY75" s="192">
        <f>INDEX(Tiere!U$30:U$114,'Nährstoffe und Lagerraum'!$BM75)</f>
        <v>0</v>
      </c>
      <c r="BZ75" s="195">
        <f>INDEX(Tiere!AA$30:AA$114,'Nährstoffe und Lagerraum'!$BM75)</f>
        <v>0</v>
      </c>
      <c r="CA75" s="192">
        <f>INDEX(Tiere!AB$30:AB$114,'Nährstoffe und Lagerraum'!$BM75)</f>
        <v>0</v>
      </c>
      <c r="CB75" s="192">
        <f>INDEX(Tiere!AK$30:AK$114,'Nährstoffe und Lagerraum'!$BM75)</f>
        <v>0</v>
      </c>
      <c r="CC75" s="192">
        <f>INDEX(Tiere!M$30:M$114,'Nährstoffe und Lagerraum'!$BM75)</f>
        <v>0</v>
      </c>
      <c r="CD75" s="192">
        <f>INDEX(Tiere!N$30:N$114,'Nährstoffe und Lagerraum'!$BM75)</f>
        <v>0</v>
      </c>
      <c r="CE75" s="192">
        <f>INDEX(Tiere!O$30:O$114,'Nährstoffe und Lagerraum'!$BM75)</f>
        <v>0</v>
      </c>
      <c r="CF75" s="2199">
        <f>CC75*'Eigene, abweichende Tierdaten'!$AH$64</f>
        <v>0</v>
      </c>
      <c r="CG75" s="2200">
        <f>CD75*'Eigene, abweichende Tierdaten'!$AH$64</f>
        <v>0</v>
      </c>
      <c r="CH75" s="2201">
        <f>CE75*'Eigene, abweichende Tierdaten'!$AH$64</f>
        <v>0</v>
      </c>
      <c r="CI75" s="2192">
        <v>5</v>
      </c>
      <c r="CJ75" s="2192">
        <v>3</v>
      </c>
      <c r="CK75" s="179">
        <v>17</v>
      </c>
      <c r="CL75" s="2197">
        <f>'Eigene, abweichende Tierdaten'!$AE$64</f>
        <v>5</v>
      </c>
      <c r="CM75" s="2197">
        <f>'Eigene, abweichende Tierdaten'!$AF$64</f>
        <v>3</v>
      </c>
      <c r="CN75" s="2197">
        <f>'Eigene, abweichende Tierdaten'!$AG$64</f>
        <v>17</v>
      </c>
      <c r="CO75" s="185">
        <f>INDEX(Tiere!AN$30:AN$114,'Nährstoffe und Lagerraum'!$BM75)</f>
        <v>0</v>
      </c>
      <c r="CP75" s="185">
        <f t="shared" si="22"/>
        <v>0</v>
      </c>
      <c r="CQ75" s="185">
        <f t="shared" si="23"/>
        <v>0</v>
      </c>
      <c r="CR75" s="189">
        <f t="shared" si="24"/>
        <v>0</v>
      </c>
      <c r="CS75" s="157"/>
      <c r="CT75" s="357" t="b">
        <f t="shared" si="25"/>
        <v>0</v>
      </c>
      <c r="CU75" s="157"/>
      <c r="CV75" s="195">
        <f>INDEX(Tiere!AO$30:AO$114,'Nährstoffe und Lagerraum'!$BM75)</f>
        <v>0</v>
      </c>
      <c r="CW75" s="195">
        <f>INDEX(Tiere!AP$30:AP$114,'Nährstoffe und Lagerraum'!$BM75)</f>
        <v>0</v>
      </c>
      <c r="CX75" s="195">
        <f>INDEX(Tiere!AQ$30:AQ$114,'Nährstoffe und Lagerraum'!$BM75)</f>
        <v>0</v>
      </c>
      <c r="CY75" s="92">
        <f t="shared" si="26"/>
        <v>0</v>
      </c>
      <c r="CZ75" s="95">
        <f t="shared" si="27"/>
        <v>0</v>
      </c>
      <c r="DA75" s="95">
        <f t="shared" si="28"/>
        <v>0</v>
      </c>
      <c r="DB75" s="95">
        <f t="shared" si="29"/>
        <v>0</v>
      </c>
      <c r="DC75" s="95">
        <f t="shared" si="30"/>
        <v>0</v>
      </c>
      <c r="DD75" s="95">
        <f t="shared" si="31"/>
        <v>0</v>
      </c>
      <c r="DE75" s="95">
        <f t="shared" si="32"/>
        <v>0</v>
      </c>
      <c r="DF75" s="95">
        <f t="shared" si="33"/>
        <v>0</v>
      </c>
      <c r="DG75" s="95">
        <f t="shared" si="34"/>
        <v>0</v>
      </c>
      <c r="DH75" s="95">
        <f t="shared" si="35"/>
        <v>0</v>
      </c>
      <c r="DI75" s="95"/>
      <c r="DJ75" s="95">
        <f t="shared" si="36"/>
        <v>0</v>
      </c>
      <c r="DK75" s="95">
        <f t="shared" si="37"/>
        <v>0</v>
      </c>
      <c r="DL75" s="95">
        <f t="shared" si="38"/>
        <v>0</v>
      </c>
      <c r="DM75" s="95">
        <f t="shared" si="39"/>
        <v>0</v>
      </c>
      <c r="DN75" s="95">
        <f t="shared" si="80"/>
        <v>0</v>
      </c>
      <c r="DO75" s="95">
        <f t="shared" si="40"/>
        <v>55</v>
      </c>
      <c r="DP75" s="95">
        <f t="shared" si="41"/>
        <v>0</v>
      </c>
      <c r="DQ75" s="157" t="b">
        <v>0</v>
      </c>
      <c r="DR75" s="185">
        <f t="shared" si="81"/>
        <v>0</v>
      </c>
      <c r="DS75" s="348">
        <f>INDEX(Tiere!AS$30:AS$114,'Nährstoffe und Lagerraum'!$BM75)</f>
        <v>0</v>
      </c>
      <c r="DT75" s="195">
        <f>INDEX(Tiere!AT$30:AT$114,'Nährstoffe und Lagerraum'!$BM75)</f>
        <v>0</v>
      </c>
      <c r="DU75" s="195">
        <f>INDEX(Tiere!AU$30:AU$114,'Nährstoffe und Lagerraum'!$BM75)</f>
        <v>0</v>
      </c>
      <c r="DV75" s="348">
        <f>INDEX(Tiere!AV$30:AV$114,'Nährstoffe und Lagerraum'!$BM75)</f>
        <v>0</v>
      </c>
      <c r="DW75" s="195">
        <f>INDEX(Tiere!AW$30:AW$114,'Nährstoffe und Lagerraum'!$BM75)</f>
        <v>0</v>
      </c>
      <c r="DX75" s="2177">
        <f>DW75+('Eigene, abweichende Tierdaten'!$AH$67*'Eigene, abweichende Tierdaten'!$M$55)/1000</f>
        <v>0</v>
      </c>
      <c r="DY75" s="195">
        <f>INDEX(Tiere!AX$30:AX$114,'Nährstoffe und Lagerraum'!$BM75)</f>
        <v>0</v>
      </c>
      <c r="DZ75" s="195">
        <f>INDEX(Tiere!AY$30:AY$114,'Nährstoffe und Lagerraum'!$BM75)</f>
        <v>0</v>
      </c>
      <c r="EA75" s="195">
        <f>INDEX(Tiere!AZ$30:AZ$114,'Nährstoffe und Lagerraum'!$BM75)</f>
        <v>0</v>
      </c>
      <c r="EB75" s="191">
        <f t="shared" si="42"/>
        <v>0</v>
      </c>
      <c r="EC75" s="191">
        <f t="shared" si="43"/>
        <v>0</v>
      </c>
      <c r="ED75" s="191">
        <f t="shared" si="44"/>
        <v>0</v>
      </c>
      <c r="EE75" s="191">
        <f t="shared" si="45"/>
        <v>0</v>
      </c>
      <c r="EF75" s="191">
        <f t="shared" si="46"/>
        <v>0</v>
      </c>
      <c r="EG75" s="2203">
        <f t="shared" si="82"/>
        <v>0</v>
      </c>
      <c r="EH75" s="2203">
        <f t="shared" si="47"/>
        <v>0</v>
      </c>
      <c r="EI75" s="2204">
        <f t="shared" si="83"/>
        <v>0</v>
      </c>
      <c r="EJ75" s="355">
        <f t="shared" si="84"/>
        <v>0</v>
      </c>
      <c r="EK75" s="355">
        <f t="shared" si="48"/>
        <v>0</v>
      </c>
      <c r="EL75" s="92">
        <f t="shared" si="49"/>
        <v>0</v>
      </c>
      <c r="EM75" s="355">
        <f t="shared" si="85"/>
        <v>0</v>
      </c>
      <c r="EN75" s="92" t="e">
        <f t="shared" si="86"/>
        <v>#DIV/0!</v>
      </c>
      <c r="EO75" s="92">
        <f t="shared" si="50"/>
        <v>0</v>
      </c>
      <c r="EP75" s="2205" t="e">
        <f t="shared" si="87"/>
        <v>#DIV/0!</v>
      </c>
      <c r="EQ75" s="117" t="e">
        <f t="shared" si="96"/>
        <v>#DIV/0!</v>
      </c>
      <c r="ER75" s="117" t="e">
        <f t="shared" si="51"/>
        <v>#DIV/0!</v>
      </c>
      <c r="ES75" s="92">
        <f t="shared" si="88"/>
        <v>0</v>
      </c>
      <c r="ET75" s="2207">
        <f t="shared" si="89"/>
        <v>0</v>
      </c>
      <c r="EU75" s="146">
        <f t="shared" si="90"/>
        <v>0</v>
      </c>
      <c r="EV75" s="283">
        <f t="shared" si="91"/>
        <v>0</v>
      </c>
      <c r="EW75" s="283">
        <f t="shared" si="92"/>
        <v>0</v>
      </c>
      <c r="EZ75" s="92">
        <f t="shared" si="52"/>
        <v>0</v>
      </c>
      <c r="FA75" s="92">
        <f t="shared" si="53"/>
        <v>0</v>
      </c>
      <c r="FB75" s="2205">
        <f t="shared" si="93"/>
        <v>0</v>
      </c>
      <c r="FC75" s="2205">
        <f t="shared" si="54"/>
        <v>0</v>
      </c>
      <c r="FD75" s="92">
        <f t="shared" si="94"/>
        <v>0</v>
      </c>
      <c r="FE75" s="92">
        <f t="shared" si="95"/>
        <v>0</v>
      </c>
      <c r="FF75" s="92">
        <f t="shared" si="55"/>
        <v>0</v>
      </c>
      <c r="FG75" s="92">
        <f t="shared" si="56"/>
        <v>0</v>
      </c>
      <c r="FH75" s="92" cm="1">
        <f t="array" ref="FH75">INDEX(Tiere!$AJ$30:$AJ$114,BM75)</f>
        <v>0</v>
      </c>
    </row>
    <row r="76" spans="1:164" ht="18" customHeight="1" x14ac:dyDescent="0.2">
      <c r="A76" s="2567"/>
      <c r="B76" s="2568"/>
      <c r="C76" s="2568"/>
      <c r="D76" s="2568"/>
      <c r="E76" s="1509"/>
      <c r="F76" s="1515"/>
      <c r="G76" s="1942"/>
      <c r="H76" s="1509"/>
      <c r="I76" s="1511"/>
      <c r="J76" s="1450" t="str">
        <f t="shared" si="1"/>
        <v xml:space="preserve"> </v>
      </c>
      <c r="K76" s="2583" t="str">
        <f t="shared" si="2"/>
        <v xml:space="preserve"> </v>
      </c>
      <c r="L76" s="2440"/>
      <c r="M76" s="450"/>
      <c r="N76" s="15"/>
      <c r="O76" s="15"/>
      <c r="P76" s="157"/>
      <c r="Q76" s="185" t="str">
        <f t="shared" si="3"/>
        <v xml:space="preserve"> </v>
      </c>
      <c r="R76" s="185" t="str">
        <f t="shared" si="4"/>
        <v xml:space="preserve"> </v>
      </c>
      <c r="S76" s="185">
        <f t="shared" si="5"/>
        <v>0</v>
      </c>
      <c r="T76" s="256">
        <f t="shared" si="6"/>
        <v>0</v>
      </c>
      <c r="U76" s="185">
        <f t="shared" si="7"/>
        <v>0</v>
      </c>
      <c r="V76" s="2194">
        <f t="shared" si="57"/>
        <v>0</v>
      </c>
      <c r="W76" s="185">
        <f t="shared" si="8"/>
        <v>0</v>
      </c>
      <c r="X76" s="2195">
        <f t="shared" si="58"/>
        <v>0</v>
      </c>
      <c r="Y76" s="185" t="str">
        <f t="shared" si="59"/>
        <v xml:space="preserve"> </v>
      </c>
      <c r="Z76" s="186">
        <f t="shared" si="9"/>
        <v>0</v>
      </c>
      <c r="AA76" s="187">
        <f t="shared" si="10"/>
        <v>0</v>
      </c>
      <c r="AB76" s="256">
        <f t="shared" si="60"/>
        <v>0</v>
      </c>
      <c r="AC76" s="256">
        <f t="shared" si="61"/>
        <v>0</v>
      </c>
      <c r="AD76" s="256">
        <f t="shared" si="62"/>
        <v>0</v>
      </c>
      <c r="AE76" s="256">
        <f t="shared" si="63"/>
        <v>0</v>
      </c>
      <c r="AF76" s="188">
        <f t="shared" si="11"/>
        <v>0</v>
      </c>
      <c r="AG76" s="185">
        <f t="shared" si="12"/>
        <v>0</v>
      </c>
      <c r="AH76" s="185">
        <f t="shared" si="13"/>
        <v>0</v>
      </c>
      <c r="AI76" s="189">
        <f t="shared" si="14"/>
        <v>0</v>
      </c>
      <c r="AJ76" s="190">
        <f>INDEX(Tiere!L$30:L$114,'Nährstoffe und Lagerraum'!$BM76)</f>
        <v>0</v>
      </c>
      <c r="AK76" s="190">
        <f>INDEX(Tiere!Z$30:Z$114,'Nährstoffe und Lagerraum'!BM76)</f>
        <v>0</v>
      </c>
      <c r="AL76" s="185">
        <f t="shared" si="64"/>
        <v>0</v>
      </c>
      <c r="AM76" s="185">
        <f t="shared" si="65"/>
        <v>0</v>
      </c>
      <c r="AN76" s="185">
        <f t="shared" si="66"/>
        <v>0</v>
      </c>
      <c r="AO76" s="188">
        <f t="shared" si="15"/>
        <v>0</v>
      </c>
      <c r="AP76" s="185">
        <f t="shared" si="16"/>
        <v>0</v>
      </c>
      <c r="AQ76" s="189">
        <f t="shared" si="17"/>
        <v>0</v>
      </c>
      <c r="AR76" s="190" cm="1">
        <f t="array" ref="AR76">IF(BN76=1,INDEX(Tiere!V$30:V$114,'Nährstoffe und Lagerraum'!$BM76),IF(BN76=2,INDEX(Tiere!W$30:W$114,'Nährstoffe und Lagerraum'!$BM76),INDEX(Tiere!X$30:X$114,'Nährstoffe und Lagerraum'!$BM76)))</f>
        <v>0</v>
      </c>
      <c r="AS76" s="2194">
        <f t="shared" si="67"/>
        <v>0</v>
      </c>
      <c r="AT76" s="2194">
        <f t="shared" si="68"/>
        <v>0</v>
      </c>
      <c r="AU76" s="2194">
        <f t="shared" si="69"/>
        <v>0</v>
      </c>
      <c r="AV76" s="2196">
        <f t="shared" si="70"/>
        <v>0</v>
      </c>
      <c r="AW76" s="2197">
        <f t="shared" si="71"/>
        <v>0</v>
      </c>
      <c r="AX76" s="2198">
        <f t="shared" si="72"/>
        <v>0</v>
      </c>
      <c r="AY76" s="185"/>
      <c r="AZ76" s="195">
        <f t="shared" si="18"/>
        <v>0</v>
      </c>
      <c r="BA76" s="191">
        <f t="shared" si="19"/>
        <v>0</v>
      </c>
      <c r="BB76" s="2194">
        <f t="shared" si="73"/>
        <v>0</v>
      </c>
      <c r="BC76" s="188">
        <f t="shared" si="20"/>
        <v>0</v>
      </c>
      <c r="BD76" s="185">
        <f t="shared" si="21"/>
        <v>0</v>
      </c>
      <c r="BE76" s="2198">
        <f t="shared" si="74"/>
        <v>0</v>
      </c>
      <c r="BF76" s="195">
        <f t="shared" si="75"/>
        <v>0</v>
      </c>
      <c r="BG76" s="192">
        <f t="shared" si="76"/>
        <v>0</v>
      </c>
      <c r="BH76" s="871">
        <f>INDEX(Tiere!BH$30:BH$114,'Nährstoffe und Lagerraum'!$BM76)</f>
        <v>0</v>
      </c>
      <c r="BI76" s="871">
        <f>INDEX(Tiere!BI$30:BI$114,'Nährstoffe und Lagerraum'!$BM76)</f>
        <v>0</v>
      </c>
      <c r="BJ76" s="871">
        <f>INDEX(Tiere!BJ$30:BJ$114,'Nährstoffe und Lagerraum'!$BM76)</f>
        <v>0</v>
      </c>
      <c r="BK76" s="684">
        <f t="shared" si="77"/>
        <v>1</v>
      </c>
      <c r="BL76" s="684" cm="1">
        <f t="array" ref="BL76">INDEX(Tiere!$C$30:$C$114,BM76)</f>
        <v>0</v>
      </c>
      <c r="BM76" s="197">
        <v>1</v>
      </c>
      <c r="BN76" s="197">
        <v>1</v>
      </c>
      <c r="BO76" s="196">
        <f>INDEX(Tiere!D$30:D$114,'Nährstoffe und Lagerraum'!$BM76)</f>
        <v>0</v>
      </c>
      <c r="BP76" s="196" t="str">
        <f t="shared" si="78"/>
        <v>1</v>
      </c>
      <c r="BQ76" s="196">
        <f t="shared" si="79"/>
        <v>0</v>
      </c>
      <c r="BR76" s="195">
        <f>INDEX(Tiere!E$30:E$114,'Nährstoffe und Lagerraum'!$BM76)</f>
        <v>0</v>
      </c>
      <c r="BS76" s="191">
        <f>INDEX(Tiere!F$30:F$114,'Nährstoffe und Lagerraum'!$BM76)</f>
        <v>0</v>
      </c>
      <c r="BT76" s="192">
        <f>INDEX(Tiere!G$30:G$114,'Nährstoffe und Lagerraum'!$BM76)</f>
        <v>0</v>
      </c>
      <c r="BU76" s="191">
        <f>INDEX(Tiere!K$30:K$114,'Nährstoffe und Lagerraum'!$BM76)</f>
        <v>0</v>
      </c>
      <c r="BV76" s="191">
        <f>INDEX(Tiere!Y$30:Y$114,'Nährstoffe und Lagerraum'!$BM76)</f>
        <v>0</v>
      </c>
      <c r="BW76" s="195">
        <f>INDEX(Tiere!S$30:S$114,'Nährstoffe und Lagerraum'!$BM76)</f>
        <v>0</v>
      </c>
      <c r="BX76" s="191">
        <f>INDEX(Tiere!T$30:T$114,'Nährstoffe und Lagerraum'!$BM76)</f>
        <v>0</v>
      </c>
      <c r="BY76" s="192">
        <f>INDEX(Tiere!U$30:U$114,'Nährstoffe und Lagerraum'!$BM76)</f>
        <v>0</v>
      </c>
      <c r="BZ76" s="195">
        <f>INDEX(Tiere!AA$30:AA$114,'Nährstoffe und Lagerraum'!$BM76)</f>
        <v>0</v>
      </c>
      <c r="CA76" s="192">
        <f>INDEX(Tiere!AB$30:AB$114,'Nährstoffe und Lagerraum'!$BM76)</f>
        <v>0</v>
      </c>
      <c r="CB76" s="192">
        <f>INDEX(Tiere!AK$30:AK$114,'Nährstoffe und Lagerraum'!$BM76)</f>
        <v>0</v>
      </c>
      <c r="CC76" s="192">
        <f>INDEX(Tiere!M$30:M$114,'Nährstoffe und Lagerraum'!$BM76)</f>
        <v>0</v>
      </c>
      <c r="CD76" s="192">
        <f>INDEX(Tiere!N$30:N$114,'Nährstoffe und Lagerraum'!$BM76)</f>
        <v>0</v>
      </c>
      <c r="CE76" s="192">
        <f>INDEX(Tiere!O$30:O$114,'Nährstoffe und Lagerraum'!$BM76)</f>
        <v>0</v>
      </c>
      <c r="CF76" s="2199">
        <f>CC76*'Eigene, abweichende Tierdaten'!$AH$64</f>
        <v>0</v>
      </c>
      <c r="CG76" s="2200">
        <f>CD76*'Eigene, abweichende Tierdaten'!$AH$64</f>
        <v>0</v>
      </c>
      <c r="CH76" s="2201">
        <f>CE76*'Eigene, abweichende Tierdaten'!$AH$64</f>
        <v>0</v>
      </c>
      <c r="CI76" s="2192">
        <v>5</v>
      </c>
      <c r="CJ76" s="2192">
        <v>3</v>
      </c>
      <c r="CK76" s="179">
        <v>17</v>
      </c>
      <c r="CL76" s="2197">
        <f>'Eigene, abweichende Tierdaten'!$AE$64</f>
        <v>5</v>
      </c>
      <c r="CM76" s="2197">
        <f>'Eigene, abweichende Tierdaten'!$AF$64</f>
        <v>3</v>
      </c>
      <c r="CN76" s="2197">
        <f>'Eigene, abweichende Tierdaten'!$AG$64</f>
        <v>17</v>
      </c>
      <c r="CO76" s="185">
        <f>INDEX(Tiere!AN$30:AN$114,'Nährstoffe und Lagerraum'!$BM76)</f>
        <v>0</v>
      </c>
      <c r="CP76" s="185">
        <f t="shared" si="22"/>
        <v>0</v>
      </c>
      <c r="CQ76" s="185">
        <f t="shared" si="23"/>
        <v>0</v>
      </c>
      <c r="CR76" s="189">
        <f t="shared" si="24"/>
        <v>0</v>
      </c>
      <c r="CS76" s="157"/>
      <c r="CT76" s="357" t="b">
        <f t="shared" si="25"/>
        <v>0</v>
      </c>
      <c r="CU76" s="157"/>
      <c r="CV76" s="195">
        <f>INDEX(Tiere!AO$30:AO$114,'Nährstoffe und Lagerraum'!$BM76)</f>
        <v>0</v>
      </c>
      <c r="CW76" s="195">
        <f>INDEX(Tiere!AP$30:AP$114,'Nährstoffe und Lagerraum'!$BM76)</f>
        <v>0</v>
      </c>
      <c r="CX76" s="195">
        <f>INDEX(Tiere!AQ$30:AQ$114,'Nährstoffe und Lagerraum'!$BM76)</f>
        <v>0</v>
      </c>
      <c r="CY76" s="92">
        <f t="shared" si="26"/>
        <v>0</v>
      </c>
      <c r="CZ76" s="95">
        <f t="shared" si="27"/>
        <v>0</v>
      </c>
      <c r="DA76" s="95">
        <f t="shared" si="28"/>
        <v>0</v>
      </c>
      <c r="DB76" s="95">
        <f t="shared" si="29"/>
        <v>0</v>
      </c>
      <c r="DC76" s="95">
        <f t="shared" si="30"/>
        <v>0</v>
      </c>
      <c r="DD76" s="95">
        <f t="shared" si="31"/>
        <v>0</v>
      </c>
      <c r="DE76" s="95">
        <f t="shared" si="32"/>
        <v>0</v>
      </c>
      <c r="DF76" s="95">
        <f t="shared" si="33"/>
        <v>0</v>
      </c>
      <c r="DG76" s="95">
        <f t="shared" si="34"/>
        <v>0</v>
      </c>
      <c r="DH76" s="95">
        <f t="shared" si="35"/>
        <v>0</v>
      </c>
      <c r="DI76" s="95"/>
      <c r="DJ76" s="95">
        <f t="shared" si="36"/>
        <v>0</v>
      </c>
      <c r="DK76" s="95">
        <f t="shared" si="37"/>
        <v>0</v>
      </c>
      <c r="DL76" s="95">
        <f t="shared" si="38"/>
        <v>0</v>
      </c>
      <c r="DM76" s="95">
        <f t="shared" si="39"/>
        <v>0</v>
      </c>
      <c r="DN76" s="95">
        <f t="shared" si="80"/>
        <v>0</v>
      </c>
      <c r="DO76" s="95">
        <f t="shared" si="40"/>
        <v>55</v>
      </c>
      <c r="DP76" s="95">
        <f t="shared" si="41"/>
        <v>0</v>
      </c>
      <c r="DQ76" s="157" t="b">
        <v>0</v>
      </c>
      <c r="DR76" s="185">
        <f t="shared" si="81"/>
        <v>0</v>
      </c>
      <c r="DS76" s="348">
        <f>INDEX(Tiere!AS$30:AS$114,'Nährstoffe und Lagerraum'!$BM76)</f>
        <v>0</v>
      </c>
      <c r="DT76" s="195">
        <f>INDEX(Tiere!AT$30:AT$114,'Nährstoffe und Lagerraum'!$BM76)</f>
        <v>0</v>
      </c>
      <c r="DU76" s="195">
        <f>INDEX(Tiere!AU$30:AU$114,'Nährstoffe und Lagerraum'!$BM76)</f>
        <v>0</v>
      </c>
      <c r="DV76" s="348">
        <f>INDEX(Tiere!AV$30:AV$114,'Nährstoffe und Lagerraum'!$BM76)</f>
        <v>0</v>
      </c>
      <c r="DW76" s="195">
        <f>INDEX(Tiere!AW$30:AW$114,'Nährstoffe und Lagerraum'!$BM76)</f>
        <v>0</v>
      </c>
      <c r="DX76" s="2177">
        <f>DW76+('Eigene, abweichende Tierdaten'!$AH$67*'Eigene, abweichende Tierdaten'!$M$55)/1000</f>
        <v>0</v>
      </c>
      <c r="DY76" s="195">
        <f>INDEX(Tiere!AX$30:AX$114,'Nährstoffe und Lagerraum'!$BM76)</f>
        <v>0</v>
      </c>
      <c r="DZ76" s="195">
        <f>INDEX(Tiere!AY$30:AY$114,'Nährstoffe und Lagerraum'!$BM76)</f>
        <v>0</v>
      </c>
      <c r="EA76" s="195">
        <f>INDEX(Tiere!AZ$30:AZ$114,'Nährstoffe und Lagerraum'!$BM76)</f>
        <v>0</v>
      </c>
      <c r="EB76" s="191">
        <f t="shared" si="42"/>
        <v>0</v>
      </c>
      <c r="EC76" s="191">
        <f t="shared" si="43"/>
        <v>0</v>
      </c>
      <c r="ED76" s="191">
        <f t="shared" si="44"/>
        <v>0</v>
      </c>
      <c r="EE76" s="191">
        <f t="shared" si="45"/>
        <v>0</v>
      </c>
      <c r="EF76" s="191">
        <f t="shared" si="46"/>
        <v>0</v>
      </c>
      <c r="EG76" s="2203">
        <f t="shared" si="82"/>
        <v>0</v>
      </c>
      <c r="EH76" s="2203">
        <f t="shared" si="47"/>
        <v>0</v>
      </c>
      <c r="EI76" s="2204">
        <f t="shared" si="83"/>
        <v>0</v>
      </c>
      <c r="EJ76" s="355">
        <f t="shared" si="84"/>
        <v>0</v>
      </c>
      <c r="EK76" s="355">
        <f t="shared" si="48"/>
        <v>0</v>
      </c>
      <c r="EL76" s="92">
        <f t="shared" si="49"/>
        <v>0</v>
      </c>
      <c r="EM76" s="355">
        <f t="shared" si="85"/>
        <v>0</v>
      </c>
      <c r="EN76" s="92" t="e">
        <f t="shared" si="86"/>
        <v>#DIV/0!</v>
      </c>
      <c r="EO76" s="92">
        <f t="shared" si="50"/>
        <v>0</v>
      </c>
      <c r="EP76" s="2205" t="e">
        <f t="shared" si="87"/>
        <v>#DIV/0!</v>
      </c>
      <c r="EQ76" s="117" t="e">
        <f t="shared" si="96"/>
        <v>#DIV/0!</v>
      </c>
      <c r="ER76" s="117" t="e">
        <f t="shared" si="51"/>
        <v>#DIV/0!</v>
      </c>
      <c r="ES76" s="92">
        <f t="shared" si="88"/>
        <v>0</v>
      </c>
      <c r="ET76" s="2207">
        <f t="shared" si="89"/>
        <v>0</v>
      </c>
      <c r="EU76" s="146">
        <f t="shared" si="90"/>
        <v>0</v>
      </c>
      <c r="EV76" s="283">
        <f t="shared" si="91"/>
        <v>0</v>
      </c>
      <c r="EW76" s="283">
        <f t="shared" si="92"/>
        <v>0</v>
      </c>
      <c r="EZ76" s="92">
        <f t="shared" si="52"/>
        <v>0</v>
      </c>
      <c r="FA76" s="92">
        <f t="shared" si="53"/>
        <v>0</v>
      </c>
      <c r="FB76" s="2205">
        <f t="shared" si="93"/>
        <v>0</v>
      </c>
      <c r="FC76" s="2205">
        <f t="shared" si="54"/>
        <v>0</v>
      </c>
      <c r="FD76" s="92">
        <f t="shared" si="94"/>
        <v>0</v>
      </c>
      <c r="FE76" s="92">
        <f t="shared" si="95"/>
        <v>0</v>
      </c>
      <c r="FF76" s="92">
        <f t="shared" si="55"/>
        <v>0</v>
      </c>
      <c r="FG76" s="92">
        <f t="shared" si="56"/>
        <v>0</v>
      </c>
      <c r="FH76" s="92" cm="1">
        <f t="array" ref="FH76">INDEX(Tiere!$AJ$30:$AJ$114,BM76)</f>
        <v>0</v>
      </c>
    </row>
    <row r="77" spans="1:164" ht="18" customHeight="1" x14ac:dyDescent="0.2">
      <c r="A77" s="2567"/>
      <c r="B77" s="2568"/>
      <c r="C77" s="2568"/>
      <c r="D77" s="2568"/>
      <c r="E77" s="1509"/>
      <c r="F77" s="1515"/>
      <c r="G77" s="1942"/>
      <c r="H77" s="1509"/>
      <c r="I77" s="1511"/>
      <c r="J77" s="1450" t="str">
        <f t="shared" si="1"/>
        <v xml:space="preserve"> </v>
      </c>
      <c r="K77" s="2583" t="str">
        <f t="shared" si="2"/>
        <v xml:space="preserve"> </v>
      </c>
      <c r="L77" s="2440"/>
      <c r="M77" s="450"/>
      <c r="N77" s="15"/>
      <c r="O77" s="15"/>
      <c r="P77" s="157"/>
      <c r="Q77" s="185" t="str">
        <f t="shared" si="3"/>
        <v xml:space="preserve"> </v>
      </c>
      <c r="R77" s="185" t="str">
        <f t="shared" si="4"/>
        <v xml:space="preserve"> </v>
      </c>
      <c r="S77" s="185">
        <f t="shared" si="5"/>
        <v>0</v>
      </c>
      <c r="T77" s="256">
        <f t="shared" si="6"/>
        <v>0</v>
      </c>
      <c r="U77" s="185">
        <f t="shared" si="7"/>
        <v>0</v>
      </c>
      <c r="V77" s="2194">
        <f t="shared" si="57"/>
        <v>0</v>
      </c>
      <c r="W77" s="185">
        <f t="shared" si="8"/>
        <v>0</v>
      </c>
      <c r="X77" s="2195">
        <f t="shared" si="58"/>
        <v>0</v>
      </c>
      <c r="Y77" s="185" t="str">
        <f>IF(X77=0," ",(X77*(1/CB77)))</f>
        <v xml:space="preserve"> </v>
      </c>
      <c r="Z77" s="186">
        <f t="shared" si="9"/>
        <v>0</v>
      </c>
      <c r="AA77" s="187">
        <f t="shared" si="10"/>
        <v>0</v>
      </c>
      <c r="AB77" s="256">
        <f>+(AZ77*BR77*(100-BZ77)/100)+(BF77*BH77*BA77)</f>
        <v>0</v>
      </c>
      <c r="AC77" s="256">
        <f>IF(BK77=2,AB77,0)</f>
        <v>0</v>
      </c>
      <c r="AD77" s="256">
        <f>AZ77*BS77+BA77*BF77*BI77</f>
        <v>0</v>
      </c>
      <c r="AE77" s="256">
        <f>AZ77*BT77+BA77*BF77*BJ77</f>
        <v>0</v>
      </c>
      <c r="AF77" s="188">
        <f>+(BC77*BR77*(100-BZ77)/100)+(BF77*BH77*BD77)</f>
        <v>0</v>
      </c>
      <c r="AG77" s="185">
        <f>IF(BK77=2,AF77,0)</f>
        <v>0</v>
      </c>
      <c r="AH77" s="185">
        <f>BC77*BS77+BD77*BF77*BI77</f>
        <v>0</v>
      </c>
      <c r="AI77" s="189">
        <f>BC77*BT77+BD77*BF77*BJ77</f>
        <v>0</v>
      </c>
      <c r="AJ77" s="190">
        <f>INDEX(Tiere!L$30:L$114,'Nährstoffe und Lagerraum'!$BM77)</f>
        <v>0</v>
      </c>
      <c r="AK77" s="190">
        <f>INDEX(Tiere!Z$30:Z$114,'Nährstoffe und Lagerraum'!BM77)</f>
        <v>0</v>
      </c>
      <c r="AL77" s="185">
        <f>+(BA77*BR77*(100-CA77)/100)-BF77*BA77*BH77</f>
        <v>0</v>
      </c>
      <c r="AM77" s="185">
        <f>BA77*BS77-BA77*BF77*BI77</f>
        <v>0</v>
      </c>
      <c r="AN77" s="185">
        <f>BA77*BT77-BA77*BF77*BJ77</f>
        <v>0</v>
      </c>
      <c r="AO77" s="188">
        <f>+(BD77*BR77*(100-CA77)/100)-BF77*BD77*BH77</f>
        <v>0</v>
      </c>
      <c r="AP77" s="185">
        <f>BD77*BS77-BD77*BF77*BI77</f>
        <v>0</v>
      </c>
      <c r="AQ77" s="189">
        <f>BD77*BT77-BD77*BF77*BJ77</f>
        <v>0</v>
      </c>
      <c r="AR77" s="190" cm="1">
        <f t="array" ref="AR77">IF(BN77=1,INDEX(Tiere!V$30:V$114,'Nährstoffe und Lagerraum'!$BM77),IF(BN77=2,INDEX(Tiere!W$30:W$114,'Nährstoffe und Lagerraum'!$BM77),INDEX(Tiere!X$30:X$114,'Nährstoffe und Lagerraum'!$BM77)))</f>
        <v>0</v>
      </c>
      <c r="AS77" s="2194">
        <f t="shared" si="67"/>
        <v>0</v>
      </c>
      <c r="AT77" s="2194">
        <f t="shared" si="68"/>
        <v>0</v>
      </c>
      <c r="AU77" s="2194">
        <f t="shared" si="69"/>
        <v>0</v>
      </c>
      <c r="AV77" s="2196">
        <f t="shared" si="70"/>
        <v>0</v>
      </c>
      <c r="AW77" s="2197">
        <f t="shared" si="71"/>
        <v>0</v>
      </c>
      <c r="AX77" s="2198">
        <f t="shared" si="72"/>
        <v>0</v>
      </c>
      <c r="AY77" s="185"/>
      <c r="AZ77" s="195">
        <f>+Z77*(100-$H77)/100</f>
        <v>0</v>
      </c>
      <c r="BA77" s="191">
        <f>+AA77*(100-$H77)/100</f>
        <v>0</v>
      </c>
      <c r="BB77" s="2194">
        <f t="shared" si="73"/>
        <v>0</v>
      </c>
      <c r="BC77" s="188">
        <f>+Z77*(100-$I77)/100</f>
        <v>0</v>
      </c>
      <c r="BD77" s="185">
        <f>+AA77*(100-$I77)/100</f>
        <v>0</v>
      </c>
      <c r="BE77" s="2198">
        <f t="shared" si="74"/>
        <v>0</v>
      </c>
      <c r="BF77" s="195">
        <f>IF(BN77=1,BV77,IF(BN77=2,BV77/2,0))</f>
        <v>0</v>
      </c>
      <c r="BG77" s="192">
        <f>IF(BN77=1,BW77,IF(BN77=2,BX77,BY77))</f>
        <v>0</v>
      </c>
      <c r="BH77" s="871">
        <f>INDEX(Tiere!BH$30:BH$114,'Nährstoffe und Lagerraum'!$BM77)</f>
        <v>0</v>
      </c>
      <c r="BI77" s="871">
        <f>INDEX(Tiere!BI$30:BI$114,'Nährstoffe und Lagerraum'!$BM77)</f>
        <v>0</v>
      </c>
      <c r="BJ77" s="871">
        <f>INDEX(Tiere!BJ$30:BJ$114,'Nährstoffe und Lagerraum'!$BM77)</f>
        <v>0</v>
      </c>
      <c r="BK77" s="684">
        <f t="shared" si="77"/>
        <v>1</v>
      </c>
      <c r="BL77" s="684" cm="1">
        <f t="array" ref="BL77">INDEX(Tiere!$C$30:$C$114,BM77)</f>
        <v>0</v>
      </c>
      <c r="BM77" s="197">
        <v>1</v>
      </c>
      <c r="BN77" s="197">
        <v>1</v>
      </c>
      <c r="BO77" s="196">
        <f>INDEX(Tiere!D$30:D$114,'Nährstoffe und Lagerraum'!$BM77)</f>
        <v>0</v>
      </c>
      <c r="BP77" s="196" t="str">
        <f>IF(BO77&gt;0.001,BO77,"1")</f>
        <v>1</v>
      </c>
      <c r="BQ77" s="196">
        <f t="shared" si="79"/>
        <v>0</v>
      </c>
      <c r="BR77" s="195">
        <f>INDEX(Tiere!E$30:E$114,'Nährstoffe und Lagerraum'!$BM77)</f>
        <v>0</v>
      </c>
      <c r="BS77" s="191">
        <f>INDEX(Tiere!F$30:F$114,'Nährstoffe und Lagerraum'!$BM77)</f>
        <v>0</v>
      </c>
      <c r="BT77" s="192">
        <f>INDEX(Tiere!G$30:G$114,'Nährstoffe und Lagerraum'!$BM77)</f>
        <v>0</v>
      </c>
      <c r="BU77" s="191">
        <f>INDEX(Tiere!K$30:K$114,'Nährstoffe und Lagerraum'!$BM77)</f>
        <v>0</v>
      </c>
      <c r="BV77" s="191">
        <f>INDEX(Tiere!Y$30:Y$114,'Nährstoffe und Lagerraum'!$BM77)</f>
        <v>0</v>
      </c>
      <c r="BW77" s="195">
        <f>INDEX(Tiere!S$30:S$114,'Nährstoffe und Lagerraum'!$BM77)</f>
        <v>0</v>
      </c>
      <c r="BX77" s="191">
        <f>INDEX(Tiere!T$30:T$114,'Nährstoffe und Lagerraum'!$BM77)</f>
        <v>0</v>
      </c>
      <c r="BY77" s="192">
        <f>INDEX(Tiere!U$30:U$114,'Nährstoffe und Lagerraum'!$BM77)</f>
        <v>0</v>
      </c>
      <c r="BZ77" s="195">
        <f>INDEX(Tiere!AA$30:AA$114,'Nährstoffe und Lagerraum'!$BM77)</f>
        <v>0</v>
      </c>
      <c r="CA77" s="192">
        <f>INDEX(Tiere!AB$30:AB$114,'Nährstoffe und Lagerraum'!$BM77)</f>
        <v>0</v>
      </c>
      <c r="CB77" s="192">
        <f>INDEX(Tiere!AK$30:AK$114,'Nährstoffe und Lagerraum'!$BM77)</f>
        <v>0</v>
      </c>
      <c r="CC77" s="192">
        <f>INDEX(Tiere!M$30:M$114,'Nährstoffe und Lagerraum'!$BM77)</f>
        <v>0</v>
      </c>
      <c r="CD77" s="192">
        <f>INDEX(Tiere!N$30:N$114,'Nährstoffe und Lagerraum'!$BM77)</f>
        <v>0</v>
      </c>
      <c r="CE77" s="192">
        <f>INDEX(Tiere!O$30:O$114,'Nährstoffe und Lagerraum'!$BM77)</f>
        <v>0</v>
      </c>
      <c r="CF77" s="2199">
        <f>CC77*'Eigene, abweichende Tierdaten'!$AH$64</f>
        <v>0</v>
      </c>
      <c r="CG77" s="2200">
        <f>CD77*'Eigene, abweichende Tierdaten'!$AH$64</f>
        <v>0</v>
      </c>
      <c r="CH77" s="2201">
        <f>CE77*'Eigene, abweichende Tierdaten'!$AH$64</f>
        <v>0</v>
      </c>
      <c r="CI77" s="2192">
        <v>5</v>
      </c>
      <c r="CJ77" s="2192">
        <v>3</v>
      </c>
      <c r="CK77" s="179">
        <v>17</v>
      </c>
      <c r="CL77" s="2197">
        <f>'Eigene, abweichende Tierdaten'!$AE$64</f>
        <v>5</v>
      </c>
      <c r="CM77" s="2197">
        <f>'Eigene, abweichende Tierdaten'!$AF$64</f>
        <v>3</v>
      </c>
      <c r="CN77" s="2197">
        <f>'Eigene, abweichende Tierdaten'!$AG$64</f>
        <v>17</v>
      </c>
      <c r="CO77" s="185">
        <f>INDEX(Tiere!AN$30:AN$114,'Nährstoffe und Lagerraum'!$BM77)</f>
        <v>0</v>
      </c>
      <c r="CP77" s="185">
        <f t="shared" si="22"/>
        <v>0</v>
      </c>
      <c r="CQ77" s="185">
        <f t="shared" si="23"/>
        <v>0</v>
      </c>
      <c r="CR77" s="189">
        <f t="shared" si="24"/>
        <v>0</v>
      </c>
      <c r="CS77" s="157"/>
      <c r="CT77" s="357" t="b">
        <f t="shared" si="25"/>
        <v>0</v>
      </c>
      <c r="CU77" s="157"/>
      <c r="CV77" s="195">
        <f>INDEX(Tiere!AO$30:AO$114,'Nährstoffe und Lagerraum'!$BM77)</f>
        <v>0</v>
      </c>
      <c r="CW77" s="195">
        <f>INDEX(Tiere!AP$30:AP$114,'Nährstoffe und Lagerraum'!$BM77)</f>
        <v>0</v>
      </c>
      <c r="CX77" s="195">
        <f>INDEX(Tiere!AQ$30:AQ$114,'Nährstoffe und Lagerraum'!$BM77)</f>
        <v>0</v>
      </c>
      <c r="CY77" s="92">
        <f t="shared" si="26"/>
        <v>0</v>
      </c>
      <c r="CZ77" s="95">
        <f t="shared" si="27"/>
        <v>0</v>
      </c>
      <c r="DA77" s="95">
        <f t="shared" si="28"/>
        <v>0</v>
      </c>
      <c r="DB77" s="95">
        <f t="shared" si="29"/>
        <v>0</v>
      </c>
      <c r="DC77" s="95">
        <f t="shared" si="30"/>
        <v>0</v>
      </c>
      <c r="DD77" s="95">
        <f t="shared" si="31"/>
        <v>0</v>
      </c>
      <c r="DE77" s="95">
        <f t="shared" si="32"/>
        <v>0</v>
      </c>
      <c r="DF77" s="95">
        <f t="shared" si="33"/>
        <v>0</v>
      </c>
      <c r="DG77" s="95">
        <f t="shared" si="34"/>
        <v>0</v>
      </c>
      <c r="DH77" s="95">
        <f t="shared" si="35"/>
        <v>0</v>
      </c>
      <c r="DI77" s="95"/>
      <c r="DJ77" s="95">
        <f t="shared" si="36"/>
        <v>0</v>
      </c>
      <c r="DK77" s="95">
        <f t="shared" si="37"/>
        <v>0</v>
      </c>
      <c r="DL77" s="95">
        <f t="shared" si="38"/>
        <v>0</v>
      </c>
      <c r="DM77" s="95">
        <f t="shared" si="39"/>
        <v>0</v>
      </c>
      <c r="DN77" s="95">
        <f>+DJ77-DM77</f>
        <v>0</v>
      </c>
      <c r="DO77" s="95">
        <f t="shared" si="40"/>
        <v>55</v>
      </c>
      <c r="DP77" s="95">
        <f t="shared" si="41"/>
        <v>0</v>
      </c>
      <c r="DQ77" s="157" t="b">
        <v>0</v>
      </c>
      <c r="DR77" s="185">
        <f>IF(DQ77=TRUE,1,0)</f>
        <v>0</v>
      </c>
      <c r="DS77" s="348">
        <f>INDEX(Tiere!AS$30:AS$114,'Nährstoffe und Lagerraum'!$BM77)</f>
        <v>0</v>
      </c>
      <c r="DT77" s="195">
        <f>INDEX(Tiere!AT$30:AT$114,'Nährstoffe und Lagerraum'!$BM77)</f>
        <v>0</v>
      </c>
      <c r="DU77" s="195">
        <f>INDEX(Tiere!AU$30:AU$114,'Nährstoffe und Lagerraum'!$BM77)</f>
        <v>0</v>
      </c>
      <c r="DV77" s="348">
        <f>INDEX(Tiere!AV$30:AV$114,'Nährstoffe und Lagerraum'!$BM77)</f>
        <v>0</v>
      </c>
      <c r="DW77" s="195">
        <f>INDEX(Tiere!AW$30:AW$114,'Nährstoffe und Lagerraum'!$BM77)</f>
        <v>0</v>
      </c>
      <c r="DX77" s="2177">
        <f>DW77+('Eigene, abweichende Tierdaten'!$AH$67*'Eigene, abweichende Tierdaten'!$M$55)/1000</f>
        <v>0</v>
      </c>
      <c r="DY77" s="195">
        <f>INDEX(Tiere!AX$30:AX$114,'Nährstoffe und Lagerraum'!$BM77)</f>
        <v>0</v>
      </c>
      <c r="DZ77" s="195">
        <f>INDEX(Tiere!AY$30:AY$114,'Nährstoffe und Lagerraum'!$BM77)</f>
        <v>0</v>
      </c>
      <c r="EA77" s="195">
        <f>INDEX(Tiere!AZ$30:AZ$114,'Nährstoffe und Lagerraum'!$BM77)</f>
        <v>0</v>
      </c>
      <c r="EB77" s="191">
        <f t="shared" si="42"/>
        <v>0</v>
      </c>
      <c r="EC77" s="191">
        <f t="shared" si="43"/>
        <v>0</v>
      </c>
      <c r="ED77" s="191">
        <f t="shared" si="44"/>
        <v>0</v>
      </c>
      <c r="EE77" s="191">
        <f t="shared" si="45"/>
        <v>0</v>
      </c>
      <c r="EF77" s="191">
        <f t="shared" si="46"/>
        <v>0</v>
      </c>
      <c r="EG77" s="2203">
        <f t="shared" si="82"/>
        <v>0</v>
      </c>
      <c r="EH77" s="2203">
        <f t="shared" si="47"/>
        <v>0</v>
      </c>
      <c r="EI77" s="2204">
        <f t="shared" si="83"/>
        <v>0</v>
      </c>
      <c r="EJ77" s="355">
        <f>+EI77*DY77/100</f>
        <v>0</v>
      </c>
      <c r="EK77" s="355">
        <f t="shared" si="48"/>
        <v>0</v>
      </c>
      <c r="EL77" s="92">
        <f t="shared" si="49"/>
        <v>0</v>
      </c>
      <c r="EM77" s="355">
        <f>+EK77-EL77</f>
        <v>0</v>
      </c>
      <c r="EN77" s="92" t="e">
        <f>+EL77/EK77</f>
        <v>#DIV/0!</v>
      </c>
      <c r="EO77" s="92">
        <f t="shared" si="50"/>
        <v>0</v>
      </c>
      <c r="EP77" s="2205" t="e">
        <f t="shared" si="87"/>
        <v>#DIV/0!</v>
      </c>
      <c r="EQ77" s="117" t="e">
        <f>(ED77+EF77)*EP77*((EH77+EJ77)/(EG77+EI77))/22.26*0.01605</f>
        <v>#DIV/0!</v>
      </c>
      <c r="ER77" s="117" t="e">
        <f t="shared" si="51"/>
        <v>#DIV/0!</v>
      </c>
      <c r="ES77" s="92">
        <f>IF(EK77=0,0,EQ77+ER77)</f>
        <v>0</v>
      </c>
      <c r="ET77" s="2207">
        <f t="shared" si="89"/>
        <v>0</v>
      </c>
      <c r="EU77" s="146">
        <f>15.44*ET77/100</f>
        <v>0</v>
      </c>
      <c r="EV77" s="283">
        <f>+ES77-EW77</f>
        <v>0</v>
      </c>
      <c r="EW77" s="283">
        <f>+ES77*EU77/100</f>
        <v>0</v>
      </c>
      <c r="EZ77" s="92">
        <f t="shared" si="52"/>
        <v>0</v>
      </c>
      <c r="FA77" s="92">
        <f t="shared" si="53"/>
        <v>0</v>
      </c>
      <c r="FB77" s="2205">
        <f t="shared" si="93"/>
        <v>0</v>
      </c>
      <c r="FC77" s="2205">
        <f t="shared" si="54"/>
        <v>0</v>
      </c>
      <c r="FD77" s="92">
        <f t="shared" si="94"/>
        <v>0</v>
      </c>
      <c r="FE77" s="92">
        <f t="shared" si="95"/>
        <v>0</v>
      </c>
      <c r="FF77" s="92">
        <f t="shared" si="55"/>
        <v>0</v>
      </c>
      <c r="FG77" s="92">
        <f t="shared" si="56"/>
        <v>0</v>
      </c>
      <c r="FH77" s="92" cm="1">
        <f t="array" ref="FH77">INDEX(Tiere!$AJ$30:$AJ$114,BM77)</f>
        <v>0</v>
      </c>
    </row>
    <row r="78" spans="1:164" ht="18" customHeight="1" x14ac:dyDescent="0.2">
      <c r="A78" s="2567"/>
      <c r="B78" s="2568"/>
      <c r="C78" s="2568"/>
      <c r="D78" s="2568"/>
      <c r="E78" s="1509"/>
      <c r="F78" s="1515"/>
      <c r="G78" s="1942"/>
      <c r="H78" s="1509"/>
      <c r="I78" s="1511"/>
      <c r="J78" s="1450" t="str">
        <f t="shared" si="1"/>
        <v xml:space="preserve"> </v>
      </c>
      <c r="K78" s="2583" t="str">
        <f t="shared" si="2"/>
        <v xml:space="preserve"> </v>
      </c>
      <c r="L78" s="2440"/>
      <c r="M78" s="450"/>
      <c r="N78" s="15"/>
      <c r="O78" s="15"/>
      <c r="P78" s="157"/>
      <c r="Q78" s="185" t="str">
        <f t="shared" si="3"/>
        <v xml:space="preserve"> </v>
      </c>
      <c r="R78" s="185" t="str">
        <f t="shared" si="4"/>
        <v xml:space="preserve"> </v>
      </c>
      <c r="S78" s="185">
        <f t="shared" si="5"/>
        <v>0</v>
      </c>
      <c r="T78" s="256">
        <f t="shared" si="6"/>
        <v>0</v>
      </c>
      <c r="U78" s="185">
        <f t="shared" si="7"/>
        <v>0</v>
      </c>
      <c r="V78" s="2194">
        <f t="shared" si="57"/>
        <v>0</v>
      </c>
      <c r="W78" s="185">
        <f t="shared" si="8"/>
        <v>0</v>
      </c>
      <c r="X78" s="2195">
        <f t="shared" si="58"/>
        <v>0</v>
      </c>
      <c r="Y78" s="185" t="str">
        <f>IF(X78=0," ",(X78*(1/CB78)))</f>
        <v xml:space="preserve"> </v>
      </c>
      <c r="Z78" s="186">
        <f t="shared" si="9"/>
        <v>0</v>
      </c>
      <c r="AA78" s="187">
        <f t="shared" si="10"/>
        <v>0</v>
      </c>
      <c r="AB78" s="256">
        <f>+(AZ78*BR78*(100-BZ78)/100)+(BF78*BH78*BA78)</f>
        <v>0</v>
      </c>
      <c r="AC78" s="256">
        <f>IF(BK78=2,AB78,0)</f>
        <v>0</v>
      </c>
      <c r="AD78" s="256">
        <f>AZ78*BS78+BA78*BF78*BI78</f>
        <v>0</v>
      </c>
      <c r="AE78" s="256">
        <f>AZ78*BT78+BA78*BF78*BJ78</f>
        <v>0</v>
      </c>
      <c r="AF78" s="188">
        <f>+(BC78*BR78*(100-BZ78)/100)+(BF78*BH78*BD78)</f>
        <v>0</v>
      </c>
      <c r="AG78" s="185">
        <f>IF(BK78=2,AF78,0)</f>
        <v>0</v>
      </c>
      <c r="AH78" s="185">
        <f>BC78*BS78+BD78*BF78*BI78</f>
        <v>0</v>
      </c>
      <c r="AI78" s="189">
        <f>BC78*BT78+BD78*BF78*BJ78</f>
        <v>0</v>
      </c>
      <c r="AJ78" s="190">
        <f>INDEX(Tiere!L$30:L$114,'Nährstoffe und Lagerraum'!$BM78)</f>
        <v>0</v>
      </c>
      <c r="AK78" s="190">
        <f>INDEX(Tiere!Z$30:Z$114,'Nährstoffe und Lagerraum'!BM78)</f>
        <v>0</v>
      </c>
      <c r="AL78" s="185">
        <f>+(BA78*BR78*(100-CA78)/100)-BF78*BA78*BH78</f>
        <v>0</v>
      </c>
      <c r="AM78" s="185">
        <f>BA78*BS78-BA78*BF78*BI78</f>
        <v>0</v>
      </c>
      <c r="AN78" s="185">
        <f>BA78*BT78-BA78*BF78*BJ78</f>
        <v>0</v>
      </c>
      <c r="AO78" s="188">
        <f>+(BD78*BR78*(100-CA78)/100)-BF78*BD78*BH78</f>
        <v>0</v>
      </c>
      <c r="AP78" s="185">
        <f>BD78*BS78-BD78*BF78*BI78</f>
        <v>0</v>
      </c>
      <c r="AQ78" s="189">
        <f>BD78*BT78-BD78*BF78*BJ78</f>
        <v>0</v>
      </c>
      <c r="AR78" s="190" cm="1">
        <f t="array" ref="AR78">IF(BN78=1,INDEX(Tiere!V$30:V$114,'Nährstoffe und Lagerraum'!$BM78),IF(BN78=2,INDEX(Tiere!W$30:W$114,'Nährstoffe und Lagerraum'!$BM78),INDEX(Tiere!X$30:X$114,'Nährstoffe und Lagerraum'!$BM78)))</f>
        <v>0</v>
      </c>
      <c r="AS78" s="2194">
        <f t="shared" si="67"/>
        <v>0</v>
      </c>
      <c r="AT78" s="2194">
        <f t="shared" si="68"/>
        <v>0</v>
      </c>
      <c r="AU78" s="2194">
        <f t="shared" si="69"/>
        <v>0</v>
      </c>
      <c r="AV78" s="2196">
        <f t="shared" si="70"/>
        <v>0</v>
      </c>
      <c r="AW78" s="2197">
        <f t="shared" si="71"/>
        <v>0</v>
      </c>
      <c r="AX78" s="2198">
        <f t="shared" si="72"/>
        <v>0</v>
      </c>
      <c r="AY78" s="185"/>
      <c r="AZ78" s="195">
        <f>+Z78*(100-$H78)/100</f>
        <v>0</v>
      </c>
      <c r="BA78" s="191">
        <f>+AA78*(100-$H78)/100</f>
        <v>0</v>
      </c>
      <c r="BB78" s="2194">
        <f t="shared" si="73"/>
        <v>0</v>
      </c>
      <c r="BC78" s="188">
        <f>+Z78*(100-$I78)/100</f>
        <v>0</v>
      </c>
      <c r="BD78" s="185">
        <f>+AA78*(100-$I78)/100</f>
        <v>0</v>
      </c>
      <c r="BE78" s="2198">
        <f t="shared" si="74"/>
        <v>0</v>
      </c>
      <c r="BF78" s="195">
        <f>IF(BN78=1,BV78,IF(BN78=2,BV78/2,0))</f>
        <v>0</v>
      </c>
      <c r="BG78" s="192">
        <f>IF(BN78=1,BW78,IF(BN78=2,BX78,BY78))</f>
        <v>0</v>
      </c>
      <c r="BH78" s="871">
        <f>INDEX(Tiere!BH$30:BH$114,'Nährstoffe und Lagerraum'!$BM78)</f>
        <v>0</v>
      </c>
      <c r="BI78" s="871">
        <f>INDEX(Tiere!BI$30:BI$114,'Nährstoffe und Lagerraum'!$BM78)</f>
        <v>0</v>
      </c>
      <c r="BJ78" s="871">
        <f>INDEX(Tiere!BJ$30:BJ$114,'Nährstoffe und Lagerraum'!$BM78)</f>
        <v>0</v>
      </c>
      <c r="BK78" s="684">
        <f t="shared" si="77"/>
        <v>1</v>
      </c>
      <c r="BL78" s="684" cm="1">
        <f t="array" ref="BL78">INDEX(Tiere!$C$30:$C$114,BM78)</f>
        <v>0</v>
      </c>
      <c r="BM78" s="197">
        <v>1</v>
      </c>
      <c r="BN78" s="197">
        <v>1</v>
      </c>
      <c r="BO78" s="196">
        <f>INDEX(Tiere!D$30:D$114,'Nährstoffe und Lagerraum'!$BM78)</f>
        <v>0</v>
      </c>
      <c r="BP78" s="196" t="str">
        <f>IF(BO78&gt;0.001,BO78,"1")</f>
        <v>1</v>
      </c>
      <c r="BQ78" s="196">
        <f t="shared" si="79"/>
        <v>0</v>
      </c>
      <c r="BR78" s="195">
        <f>INDEX(Tiere!E$30:E$114,'Nährstoffe und Lagerraum'!$BM78)</f>
        <v>0</v>
      </c>
      <c r="BS78" s="191">
        <f>INDEX(Tiere!F$30:F$114,'Nährstoffe und Lagerraum'!$BM78)</f>
        <v>0</v>
      </c>
      <c r="BT78" s="192">
        <f>INDEX(Tiere!G$30:G$114,'Nährstoffe und Lagerraum'!$BM78)</f>
        <v>0</v>
      </c>
      <c r="BU78" s="191">
        <f>INDEX(Tiere!K$30:K$114,'Nährstoffe und Lagerraum'!$BM78)</f>
        <v>0</v>
      </c>
      <c r="BV78" s="191">
        <f>INDEX(Tiere!Y$30:Y$114,'Nährstoffe und Lagerraum'!$BM78)</f>
        <v>0</v>
      </c>
      <c r="BW78" s="195">
        <f>INDEX(Tiere!S$30:S$114,'Nährstoffe und Lagerraum'!$BM78)</f>
        <v>0</v>
      </c>
      <c r="BX78" s="191">
        <f>INDEX(Tiere!T$30:T$114,'Nährstoffe und Lagerraum'!$BM78)</f>
        <v>0</v>
      </c>
      <c r="BY78" s="192">
        <f>INDEX(Tiere!U$30:U$114,'Nährstoffe und Lagerraum'!$BM78)</f>
        <v>0</v>
      </c>
      <c r="BZ78" s="195">
        <f>INDEX(Tiere!AA$30:AA$114,'Nährstoffe und Lagerraum'!$BM78)</f>
        <v>0</v>
      </c>
      <c r="CA78" s="192">
        <f>INDEX(Tiere!AB$30:AB$114,'Nährstoffe und Lagerraum'!$BM78)</f>
        <v>0</v>
      </c>
      <c r="CB78" s="192">
        <f>INDEX(Tiere!AK$30:AK$114,'Nährstoffe und Lagerraum'!$BM78)</f>
        <v>0</v>
      </c>
      <c r="CC78" s="192">
        <f>INDEX(Tiere!M$30:M$114,'Nährstoffe und Lagerraum'!$BM78)</f>
        <v>0</v>
      </c>
      <c r="CD78" s="192">
        <f>INDEX(Tiere!N$30:N$114,'Nährstoffe und Lagerraum'!$BM78)</f>
        <v>0</v>
      </c>
      <c r="CE78" s="192">
        <f>INDEX(Tiere!O$30:O$114,'Nährstoffe und Lagerraum'!$BM78)</f>
        <v>0</v>
      </c>
      <c r="CF78" s="2199">
        <f>CC78*'Eigene, abweichende Tierdaten'!$AH$64</f>
        <v>0</v>
      </c>
      <c r="CG78" s="2200">
        <f>CD78*'Eigene, abweichende Tierdaten'!$AH$64</f>
        <v>0</v>
      </c>
      <c r="CH78" s="2201">
        <f>CE78*'Eigene, abweichende Tierdaten'!$AH$64</f>
        <v>0</v>
      </c>
      <c r="CI78" s="2192">
        <v>5</v>
      </c>
      <c r="CJ78" s="2192">
        <v>3</v>
      </c>
      <c r="CK78" s="179">
        <v>17</v>
      </c>
      <c r="CL78" s="2197">
        <f>'Eigene, abweichende Tierdaten'!$AE$64</f>
        <v>5</v>
      </c>
      <c r="CM78" s="2197">
        <f>'Eigene, abweichende Tierdaten'!$AF$64</f>
        <v>3</v>
      </c>
      <c r="CN78" s="2197">
        <f>'Eigene, abweichende Tierdaten'!$AG$64</f>
        <v>17</v>
      </c>
      <c r="CO78" s="185">
        <f>INDEX(Tiere!AN$30:AN$114,'Nährstoffe und Lagerraum'!$BM78)</f>
        <v>0</v>
      </c>
      <c r="CP78" s="185">
        <f t="shared" si="22"/>
        <v>0</v>
      </c>
      <c r="CQ78" s="185">
        <f t="shared" si="23"/>
        <v>0</v>
      </c>
      <c r="CR78" s="189">
        <f t="shared" si="24"/>
        <v>0</v>
      </c>
      <c r="CS78" s="157"/>
      <c r="CT78" s="357" t="b">
        <f t="shared" si="25"/>
        <v>0</v>
      </c>
      <c r="CU78" s="157"/>
      <c r="CV78" s="195">
        <f>INDEX(Tiere!AO$30:AO$114,'Nährstoffe und Lagerraum'!$BM78)</f>
        <v>0</v>
      </c>
      <c r="CW78" s="195">
        <f>INDEX(Tiere!AP$30:AP$114,'Nährstoffe und Lagerraum'!$BM78)</f>
        <v>0</v>
      </c>
      <c r="CX78" s="195">
        <f>INDEX(Tiere!AQ$30:AQ$114,'Nährstoffe und Lagerraum'!$BM78)</f>
        <v>0</v>
      </c>
      <c r="CY78" s="92">
        <f t="shared" si="26"/>
        <v>0</v>
      </c>
      <c r="CZ78" s="95">
        <f t="shared" si="27"/>
        <v>0</v>
      </c>
      <c r="DA78" s="95">
        <f t="shared" si="28"/>
        <v>0</v>
      </c>
      <c r="DB78" s="95">
        <f t="shared" si="29"/>
        <v>0</v>
      </c>
      <c r="DC78" s="95">
        <f t="shared" si="30"/>
        <v>0</v>
      </c>
      <c r="DD78" s="95">
        <f t="shared" si="31"/>
        <v>0</v>
      </c>
      <c r="DE78" s="95">
        <f t="shared" si="32"/>
        <v>0</v>
      </c>
      <c r="DF78" s="95">
        <f t="shared" si="33"/>
        <v>0</v>
      </c>
      <c r="DG78" s="95">
        <f t="shared" si="34"/>
        <v>0</v>
      </c>
      <c r="DH78" s="95">
        <f t="shared" si="35"/>
        <v>0</v>
      </c>
      <c r="DI78" s="95"/>
      <c r="DJ78" s="95">
        <f t="shared" si="36"/>
        <v>0</v>
      </c>
      <c r="DK78" s="95">
        <f t="shared" si="37"/>
        <v>0</v>
      </c>
      <c r="DL78" s="95">
        <f t="shared" si="38"/>
        <v>0</v>
      </c>
      <c r="DM78" s="95">
        <f t="shared" si="39"/>
        <v>0</v>
      </c>
      <c r="DN78" s="95">
        <f>+DJ78-DM78</f>
        <v>0</v>
      </c>
      <c r="DO78" s="95">
        <f t="shared" si="40"/>
        <v>55</v>
      </c>
      <c r="DP78" s="95">
        <f t="shared" si="41"/>
        <v>0</v>
      </c>
      <c r="DQ78" s="157" t="b">
        <v>0</v>
      </c>
      <c r="DR78" s="185">
        <f>IF(DQ78=TRUE,1,0)</f>
        <v>0</v>
      </c>
      <c r="DS78" s="348">
        <f>INDEX(Tiere!AS$30:AS$114,'Nährstoffe und Lagerraum'!$BM78)</f>
        <v>0</v>
      </c>
      <c r="DT78" s="195">
        <f>INDEX(Tiere!AT$30:AT$114,'Nährstoffe und Lagerraum'!$BM78)</f>
        <v>0</v>
      </c>
      <c r="DU78" s="195">
        <f>INDEX(Tiere!AU$30:AU$114,'Nährstoffe und Lagerraum'!$BM78)</f>
        <v>0</v>
      </c>
      <c r="DV78" s="348">
        <f>INDEX(Tiere!AV$30:AV$114,'Nährstoffe und Lagerraum'!$BM78)</f>
        <v>0</v>
      </c>
      <c r="DW78" s="195">
        <f>INDEX(Tiere!AW$30:AW$114,'Nährstoffe und Lagerraum'!$BM78)</f>
        <v>0</v>
      </c>
      <c r="DX78" s="2177">
        <f>DW78+('Eigene, abweichende Tierdaten'!$AH$67*'Eigene, abweichende Tierdaten'!$M$55)/1000</f>
        <v>0</v>
      </c>
      <c r="DY78" s="195">
        <f>INDEX(Tiere!AX$30:AX$114,'Nährstoffe und Lagerraum'!$BM78)</f>
        <v>0</v>
      </c>
      <c r="DZ78" s="195">
        <f>INDEX(Tiere!AY$30:AY$114,'Nährstoffe und Lagerraum'!$BM78)</f>
        <v>0</v>
      </c>
      <c r="EA78" s="195">
        <f>INDEX(Tiere!AZ$30:AZ$114,'Nährstoffe und Lagerraum'!$BM78)</f>
        <v>0</v>
      </c>
      <c r="EB78" s="191">
        <f t="shared" si="42"/>
        <v>0</v>
      </c>
      <c r="EC78" s="191">
        <f t="shared" si="43"/>
        <v>0</v>
      </c>
      <c r="ED78" s="191">
        <f t="shared" si="44"/>
        <v>0</v>
      </c>
      <c r="EE78" s="191">
        <f t="shared" si="45"/>
        <v>0</v>
      </c>
      <c r="EF78" s="191">
        <f t="shared" si="46"/>
        <v>0</v>
      </c>
      <c r="EG78" s="2203">
        <f t="shared" si="82"/>
        <v>0</v>
      </c>
      <c r="EH78" s="2203">
        <f t="shared" si="47"/>
        <v>0</v>
      </c>
      <c r="EI78" s="2204">
        <f t="shared" si="83"/>
        <v>0</v>
      </c>
      <c r="EJ78" s="355">
        <f>+EI78*DY78/100</f>
        <v>0</v>
      </c>
      <c r="EK78" s="355">
        <f t="shared" si="48"/>
        <v>0</v>
      </c>
      <c r="EL78" s="92">
        <f t="shared" si="49"/>
        <v>0</v>
      </c>
      <c r="EM78" s="355">
        <f>+EK78-EL78</f>
        <v>0</v>
      </c>
      <c r="EN78" s="92" t="e">
        <f>+EL78/EK78</f>
        <v>#DIV/0!</v>
      </c>
      <c r="EO78" s="92">
        <f t="shared" si="50"/>
        <v>0</v>
      </c>
      <c r="EP78" s="2205" t="e">
        <f t="shared" si="87"/>
        <v>#DIV/0!</v>
      </c>
      <c r="EQ78" s="117" t="e">
        <f>(ED78+EF78)*EP78*((EH78+EJ78)/(EG78+EI78))/22.26*0.01605</f>
        <v>#DIV/0!</v>
      </c>
      <c r="ER78" s="117" t="e">
        <f t="shared" si="51"/>
        <v>#DIV/0!</v>
      </c>
      <c r="ES78" s="92">
        <f>IF(EK78=0,0,EQ78+ER78)</f>
        <v>0</v>
      </c>
      <c r="ET78" s="2207">
        <f t="shared" si="89"/>
        <v>0</v>
      </c>
      <c r="EU78" s="146">
        <f>15.44*ET78/100</f>
        <v>0</v>
      </c>
      <c r="EV78" s="283">
        <f>+ES78-EW78</f>
        <v>0</v>
      </c>
      <c r="EW78" s="283">
        <f>+ES78*EU78/100</f>
        <v>0</v>
      </c>
      <c r="EZ78" s="92">
        <f t="shared" si="52"/>
        <v>0</v>
      </c>
      <c r="FA78" s="92">
        <f t="shared" si="53"/>
        <v>0</v>
      </c>
      <c r="FB78" s="2205">
        <f t="shared" si="93"/>
        <v>0</v>
      </c>
      <c r="FC78" s="2205">
        <f t="shared" si="54"/>
        <v>0</v>
      </c>
      <c r="FD78" s="92">
        <f t="shared" si="94"/>
        <v>0</v>
      </c>
      <c r="FE78" s="92">
        <f t="shared" si="95"/>
        <v>0</v>
      </c>
      <c r="FF78" s="92">
        <f t="shared" si="55"/>
        <v>0</v>
      </c>
      <c r="FG78" s="92">
        <f t="shared" si="56"/>
        <v>0</v>
      </c>
      <c r="FH78" s="92" cm="1">
        <f t="array" ref="FH78">INDEX(Tiere!$AJ$30:$AJ$114,BM78)</f>
        <v>0</v>
      </c>
    </row>
    <row r="79" spans="1:164" ht="18" customHeight="1" x14ac:dyDescent="0.2">
      <c r="A79" s="2567"/>
      <c r="B79" s="2568"/>
      <c r="C79" s="2568"/>
      <c r="D79" s="2568"/>
      <c r="E79" s="1509"/>
      <c r="F79" s="1515"/>
      <c r="G79" s="1942"/>
      <c r="H79" s="1509"/>
      <c r="I79" s="1511"/>
      <c r="J79" s="1450" t="str">
        <f t="shared" si="1"/>
        <v xml:space="preserve"> </v>
      </c>
      <c r="K79" s="2583" t="str">
        <f t="shared" si="2"/>
        <v xml:space="preserve"> </v>
      </c>
      <c r="L79" s="2440"/>
      <c r="M79" s="449"/>
      <c r="N79" s="15"/>
      <c r="O79" s="15"/>
      <c r="P79" s="157"/>
      <c r="Q79" s="185" t="str">
        <f t="shared" si="3"/>
        <v xml:space="preserve"> </v>
      </c>
      <c r="R79" s="185" t="str">
        <f t="shared" si="4"/>
        <v xml:space="preserve"> </v>
      </c>
      <c r="S79" s="185">
        <f t="shared" si="5"/>
        <v>0</v>
      </c>
      <c r="T79" s="256">
        <f t="shared" si="6"/>
        <v>0</v>
      </c>
      <c r="U79" s="185">
        <f t="shared" si="7"/>
        <v>0</v>
      </c>
      <c r="V79" s="2194">
        <f t="shared" si="57"/>
        <v>0</v>
      </c>
      <c r="W79" s="185">
        <f t="shared" si="8"/>
        <v>0</v>
      </c>
      <c r="X79" s="2195">
        <f t="shared" si="58"/>
        <v>0</v>
      </c>
      <c r="Y79" s="185" t="str">
        <f t="shared" si="59"/>
        <v xml:space="preserve"> </v>
      </c>
      <c r="Z79" s="186">
        <f t="shared" si="9"/>
        <v>0</v>
      </c>
      <c r="AA79" s="187">
        <f t="shared" si="10"/>
        <v>0</v>
      </c>
      <c r="AB79" s="256">
        <f t="shared" si="60"/>
        <v>0</v>
      </c>
      <c r="AC79" s="256">
        <f t="shared" si="61"/>
        <v>0</v>
      </c>
      <c r="AD79" s="256">
        <f t="shared" si="62"/>
        <v>0</v>
      </c>
      <c r="AE79" s="256">
        <f t="shared" si="63"/>
        <v>0</v>
      </c>
      <c r="AF79" s="188">
        <f t="shared" si="11"/>
        <v>0</v>
      </c>
      <c r="AG79" s="185">
        <f t="shared" si="12"/>
        <v>0</v>
      </c>
      <c r="AH79" s="185">
        <f t="shared" si="13"/>
        <v>0</v>
      </c>
      <c r="AI79" s="189">
        <f t="shared" si="14"/>
        <v>0</v>
      </c>
      <c r="AJ79" s="190">
        <f>INDEX(Tiere!L$30:L$114,'Nährstoffe und Lagerraum'!$BM79)</f>
        <v>0</v>
      </c>
      <c r="AK79" s="190">
        <f>INDEX(Tiere!Z$30:Z$114,'Nährstoffe und Lagerraum'!BM79)</f>
        <v>0</v>
      </c>
      <c r="AL79" s="185">
        <f t="shared" si="64"/>
        <v>0</v>
      </c>
      <c r="AM79" s="185">
        <f t="shared" si="65"/>
        <v>0</v>
      </c>
      <c r="AN79" s="185">
        <f t="shared" si="66"/>
        <v>0</v>
      </c>
      <c r="AO79" s="188">
        <f t="shared" si="15"/>
        <v>0</v>
      </c>
      <c r="AP79" s="185">
        <f t="shared" si="16"/>
        <v>0</v>
      </c>
      <c r="AQ79" s="189">
        <f t="shared" si="17"/>
        <v>0</v>
      </c>
      <c r="AR79" s="190" cm="1">
        <f t="array" ref="AR79">IF(BN79=1,INDEX(Tiere!V$30:V$114,'Nährstoffe und Lagerraum'!$BM79),IF(BN79=2,INDEX(Tiere!W$30:W$114,'Nährstoffe und Lagerraum'!$BM79),INDEX(Tiere!X$30:X$114,'Nährstoffe und Lagerraum'!$BM79)))</f>
        <v>0</v>
      </c>
      <c r="AS79" s="2194">
        <f t="shared" si="67"/>
        <v>0</v>
      </c>
      <c r="AT79" s="2194">
        <f t="shared" si="68"/>
        <v>0</v>
      </c>
      <c r="AU79" s="2194">
        <f t="shared" si="69"/>
        <v>0</v>
      </c>
      <c r="AV79" s="2196">
        <f t="shared" si="70"/>
        <v>0</v>
      </c>
      <c r="AW79" s="2197">
        <f t="shared" si="71"/>
        <v>0</v>
      </c>
      <c r="AX79" s="2198">
        <f t="shared" si="72"/>
        <v>0</v>
      </c>
      <c r="AY79" s="185"/>
      <c r="AZ79" s="195">
        <f t="shared" si="18"/>
        <v>0</v>
      </c>
      <c r="BA79" s="191">
        <f t="shared" si="19"/>
        <v>0</v>
      </c>
      <c r="BB79" s="2194">
        <f t="shared" si="73"/>
        <v>0</v>
      </c>
      <c r="BC79" s="188">
        <f t="shared" si="20"/>
        <v>0</v>
      </c>
      <c r="BD79" s="185">
        <f t="shared" si="21"/>
        <v>0</v>
      </c>
      <c r="BE79" s="2198">
        <f t="shared" si="74"/>
        <v>0</v>
      </c>
      <c r="BF79" s="195">
        <f t="shared" si="75"/>
        <v>0</v>
      </c>
      <c r="BG79" s="192">
        <f t="shared" si="76"/>
        <v>0</v>
      </c>
      <c r="BH79" s="871">
        <f>INDEX(Tiere!BH$30:BH$114,'Nährstoffe und Lagerraum'!$BM79)</f>
        <v>0</v>
      </c>
      <c r="BI79" s="871">
        <f>INDEX(Tiere!BI$30:BI$114,'Nährstoffe und Lagerraum'!$BM79)</f>
        <v>0</v>
      </c>
      <c r="BJ79" s="871">
        <f>INDEX(Tiere!BJ$30:BJ$114,'Nährstoffe und Lagerraum'!$BM79)</f>
        <v>0</v>
      </c>
      <c r="BK79" s="684">
        <f t="shared" si="77"/>
        <v>1</v>
      </c>
      <c r="BL79" s="684" cm="1">
        <f t="array" ref="BL79">INDEX(Tiere!$C$30:$C$114,BM79)</f>
        <v>0</v>
      </c>
      <c r="BM79" s="197">
        <v>1</v>
      </c>
      <c r="BN79" s="197">
        <v>1</v>
      </c>
      <c r="BO79" s="196">
        <f>INDEX(Tiere!D$30:D$114,'Nährstoffe und Lagerraum'!$BM79)</f>
        <v>0</v>
      </c>
      <c r="BP79" s="196" t="str">
        <f t="shared" si="78"/>
        <v>1</v>
      </c>
      <c r="BQ79" s="196">
        <f t="shared" si="79"/>
        <v>0</v>
      </c>
      <c r="BR79" s="195">
        <f>INDEX(Tiere!E$30:E$114,'Nährstoffe und Lagerraum'!$BM79)</f>
        <v>0</v>
      </c>
      <c r="BS79" s="191">
        <f>INDEX(Tiere!F$30:F$114,'Nährstoffe und Lagerraum'!$BM79)</f>
        <v>0</v>
      </c>
      <c r="BT79" s="192">
        <f>INDEX(Tiere!G$30:G$114,'Nährstoffe und Lagerraum'!$BM79)</f>
        <v>0</v>
      </c>
      <c r="BU79" s="191">
        <f>INDEX(Tiere!K$30:K$114,'Nährstoffe und Lagerraum'!$BM79)</f>
        <v>0</v>
      </c>
      <c r="BV79" s="191">
        <f>INDEX(Tiere!Y$30:Y$114,'Nährstoffe und Lagerraum'!$BM79)</f>
        <v>0</v>
      </c>
      <c r="BW79" s="195">
        <f>INDEX(Tiere!S$30:S$114,'Nährstoffe und Lagerraum'!$BM79)</f>
        <v>0</v>
      </c>
      <c r="BX79" s="191">
        <f>INDEX(Tiere!T$30:T$114,'Nährstoffe und Lagerraum'!$BM79)</f>
        <v>0</v>
      </c>
      <c r="BY79" s="192">
        <f>INDEX(Tiere!U$30:U$114,'Nährstoffe und Lagerraum'!$BM79)</f>
        <v>0</v>
      </c>
      <c r="BZ79" s="195">
        <f>INDEX(Tiere!AA$30:AA$114,'Nährstoffe und Lagerraum'!$BM79)</f>
        <v>0</v>
      </c>
      <c r="CA79" s="192">
        <f>INDEX(Tiere!AB$30:AB$114,'Nährstoffe und Lagerraum'!$BM79)</f>
        <v>0</v>
      </c>
      <c r="CB79" s="192">
        <f>INDEX(Tiere!AK$30:AK$114,'Nährstoffe und Lagerraum'!$BM79)</f>
        <v>0</v>
      </c>
      <c r="CC79" s="192">
        <f>INDEX(Tiere!M$30:M$114,'Nährstoffe und Lagerraum'!$BM79)</f>
        <v>0</v>
      </c>
      <c r="CD79" s="192">
        <f>INDEX(Tiere!N$30:N$114,'Nährstoffe und Lagerraum'!$BM79)</f>
        <v>0</v>
      </c>
      <c r="CE79" s="192">
        <f>INDEX(Tiere!O$30:O$114,'Nährstoffe und Lagerraum'!$BM79)</f>
        <v>0</v>
      </c>
      <c r="CF79" s="2199">
        <f>CC79*'Eigene, abweichende Tierdaten'!$AH$64</f>
        <v>0</v>
      </c>
      <c r="CG79" s="2200">
        <f>CD79*'Eigene, abweichende Tierdaten'!$AH$64</f>
        <v>0</v>
      </c>
      <c r="CH79" s="2201">
        <f>CE79*'Eigene, abweichende Tierdaten'!$AH$64</f>
        <v>0</v>
      </c>
      <c r="CI79" s="2192">
        <v>5</v>
      </c>
      <c r="CJ79" s="2192">
        <v>3</v>
      </c>
      <c r="CK79" s="179">
        <v>17</v>
      </c>
      <c r="CL79" s="2197">
        <f>'Eigene, abweichende Tierdaten'!$AE$64</f>
        <v>5</v>
      </c>
      <c r="CM79" s="2197">
        <f>'Eigene, abweichende Tierdaten'!$AF$64</f>
        <v>3</v>
      </c>
      <c r="CN79" s="2197">
        <f>'Eigene, abweichende Tierdaten'!$AG$64</f>
        <v>17</v>
      </c>
      <c r="CO79" s="185">
        <f>INDEX(Tiere!AN$30:AN$114,'Nährstoffe und Lagerraum'!$BM79)</f>
        <v>0</v>
      </c>
      <c r="CP79" s="185">
        <f t="shared" si="22"/>
        <v>0</v>
      </c>
      <c r="CQ79" s="185">
        <f t="shared" si="23"/>
        <v>0</v>
      </c>
      <c r="CR79" s="189">
        <f t="shared" si="24"/>
        <v>0</v>
      </c>
      <c r="CS79" s="157"/>
      <c r="CT79" s="357" t="b">
        <f t="shared" si="25"/>
        <v>0</v>
      </c>
      <c r="CU79" s="157"/>
      <c r="CV79" s="195">
        <f>INDEX(Tiere!AO$30:AO$114,'Nährstoffe und Lagerraum'!$BM79)</f>
        <v>0</v>
      </c>
      <c r="CW79" s="195">
        <f>INDEX(Tiere!AP$30:AP$114,'Nährstoffe und Lagerraum'!$BM79)</f>
        <v>0</v>
      </c>
      <c r="CX79" s="195">
        <f>INDEX(Tiere!AQ$30:AQ$114,'Nährstoffe und Lagerraum'!$BM79)</f>
        <v>0</v>
      </c>
      <c r="CY79" s="92">
        <f t="shared" si="26"/>
        <v>0</v>
      </c>
      <c r="CZ79" s="95">
        <f t="shared" si="27"/>
        <v>0</v>
      </c>
      <c r="DA79" s="95">
        <f t="shared" si="28"/>
        <v>0</v>
      </c>
      <c r="DB79" s="95">
        <f t="shared" si="29"/>
        <v>0</v>
      </c>
      <c r="DC79" s="95">
        <f t="shared" si="30"/>
        <v>0</v>
      </c>
      <c r="DD79" s="95">
        <f t="shared" si="31"/>
        <v>0</v>
      </c>
      <c r="DE79" s="95">
        <f t="shared" si="32"/>
        <v>0</v>
      </c>
      <c r="DF79" s="95">
        <f t="shared" si="33"/>
        <v>0</v>
      </c>
      <c r="DG79" s="95">
        <f t="shared" si="34"/>
        <v>0</v>
      </c>
      <c r="DH79" s="95">
        <f t="shared" si="35"/>
        <v>0</v>
      </c>
      <c r="DI79" s="95"/>
      <c r="DJ79" s="95">
        <f t="shared" si="36"/>
        <v>0</v>
      </c>
      <c r="DK79" s="95">
        <f t="shared" si="37"/>
        <v>0</v>
      </c>
      <c r="DL79" s="95">
        <f t="shared" si="38"/>
        <v>0</v>
      </c>
      <c r="DM79" s="95">
        <f t="shared" si="39"/>
        <v>0</v>
      </c>
      <c r="DN79" s="95">
        <f t="shared" si="80"/>
        <v>0</v>
      </c>
      <c r="DO79" s="95">
        <f t="shared" si="40"/>
        <v>55</v>
      </c>
      <c r="DP79" s="95">
        <f t="shared" si="41"/>
        <v>0</v>
      </c>
      <c r="DQ79" s="157" t="b">
        <v>0</v>
      </c>
      <c r="DR79" s="185">
        <f t="shared" si="81"/>
        <v>0</v>
      </c>
      <c r="DS79" s="348">
        <f>INDEX(Tiere!AS$30:AS$114,'Nährstoffe und Lagerraum'!$BM79)</f>
        <v>0</v>
      </c>
      <c r="DT79" s="195">
        <f>INDEX(Tiere!AT$30:AT$114,'Nährstoffe und Lagerraum'!$BM79)</f>
        <v>0</v>
      </c>
      <c r="DU79" s="195">
        <f>INDEX(Tiere!AU$30:AU$114,'Nährstoffe und Lagerraum'!$BM79)</f>
        <v>0</v>
      </c>
      <c r="DV79" s="348">
        <f>INDEX(Tiere!AV$30:AV$114,'Nährstoffe und Lagerraum'!$BM79)</f>
        <v>0</v>
      </c>
      <c r="DW79" s="195">
        <f>INDEX(Tiere!AW$30:AW$114,'Nährstoffe und Lagerraum'!$BM79)</f>
        <v>0</v>
      </c>
      <c r="DX79" s="2177">
        <f>DW79+('Eigene, abweichende Tierdaten'!$AH$67*'Eigene, abweichende Tierdaten'!$M$55)/1000</f>
        <v>0</v>
      </c>
      <c r="DY79" s="195">
        <f>INDEX(Tiere!AX$30:AX$114,'Nährstoffe und Lagerraum'!$BM79)</f>
        <v>0</v>
      </c>
      <c r="DZ79" s="195">
        <f>INDEX(Tiere!AY$30:AY$114,'Nährstoffe und Lagerraum'!$BM79)</f>
        <v>0</v>
      </c>
      <c r="EA79" s="195">
        <f>INDEX(Tiere!AZ$30:AZ$114,'Nährstoffe und Lagerraum'!$BM79)</f>
        <v>0</v>
      </c>
      <c r="EB79" s="191">
        <f t="shared" si="42"/>
        <v>0</v>
      </c>
      <c r="EC79" s="191">
        <f t="shared" si="43"/>
        <v>0</v>
      </c>
      <c r="ED79" s="191">
        <f t="shared" si="44"/>
        <v>0</v>
      </c>
      <c r="EE79" s="191">
        <f t="shared" si="45"/>
        <v>0</v>
      </c>
      <c r="EF79" s="191">
        <f t="shared" si="46"/>
        <v>0</v>
      </c>
      <c r="EG79" s="2203">
        <f t="shared" si="82"/>
        <v>0</v>
      </c>
      <c r="EH79" s="2203">
        <f t="shared" si="47"/>
        <v>0</v>
      </c>
      <c r="EI79" s="2204">
        <f t="shared" si="83"/>
        <v>0</v>
      </c>
      <c r="EJ79" s="355">
        <f t="shared" si="84"/>
        <v>0</v>
      </c>
      <c r="EK79" s="355">
        <f t="shared" si="48"/>
        <v>0</v>
      </c>
      <c r="EL79" s="92">
        <f t="shared" si="49"/>
        <v>0</v>
      </c>
      <c r="EM79" s="355">
        <f t="shared" si="85"/>
        <v>0</v>
      </c>
      <c r="EN79" s="92" t="e">
        <f t="shared" si="86"/>
        <v>#DIV/0!</v>
      </c>
      <c r="EO79" s="92">
        <f t="shared" si="50"/>
        <v>0</v>
      </c>
      <c r="EP79" s="2205" t="e">
        <f t="shared" si="87"/>
        <v>#DIV/0!</v>
      </c>
      <c r="EQ79" s="117" t="e">
        <f t="shared" si="96"/>
        <v>#DIV/0!</v>
      </c>
      <c r="ER79" s="117" t="e">
        <f t="shared" si="51"/>
        <v>#DIV/0!</v>
      </c>
      <c r="ES79" s="92">
        <f t="shared" si="88"/>
        <v>0</v>
      </c>
      <c r="ET79" s="2207">
        <f t="shared" si="89"/>
        <v>0</v>
      </c>
      <c r="EU79" s="146">
        <f t="shared" si="90"/>
        <v>0</v>
      </c>
      <c r="EV79" s="283">
        <f t="shared" si="91"/>
        <v>0</v>
      </c>
      <c r="EW79" s="283">
        <f t="shared" si="92"/>
        <v>0</v>
      </c>
      <c r="EZ79" s="92">
        <f t="shared" si="52"/>
        <v>0</v>
      </c>
      <c r="FA79" s="92">
        <f t="shared" si="53"/>
        <v>0</v>
      </c>
      <c r="FB79" s="2205">
        <f t="shared" si="93"/>
        <v>0</v>
      </c>
      <c r="FC79" s="2205">
        <f t="shared" si="54"/>
        <v>0</v>
      </c>
      <c r="FD79" s="92">
        <f t="shared" si="94"/>
        <v>0</v>
      </c>
      <c r="FE79" s="92">
        <f t="shared" si="95"/>
        <v>0</v>
      </c>
      <c r="FF79" s="92">
        <f t="shared" si="55"/>
        <v>0</v>
      </c>
      <c r="FG79" s="92">
        <f t="shared" si="56"/>
        <v>0</v>
      </c>
      <c r="FH79" s="92" cm="1">
        <f t="array" ref="FH79">INDEX(Tiere!$AJ$30:$AJ$114,BM79)</f>
        <v>0</v>
      </c>
    </row>
    <row r="80" spans="1:164" ht="18" customHeight="1" x14ac:dyDescent="0.2">
      <c r="A80" s="2567"/>
      <c r="B80" s="2568"/>
      <c r="C80" s="2568"/>
      <c r="D80" s="2568"/>
      <c r="E80" s="1509"/>
      <c r="F80" s="1515"/>
      <c r="G80" s="1942"/>
      <c r="H80" s="1509"/>
      <c r="I80" s="1511"/>
      <c r="J80" s="1450" t="str">
        <f t="shared" si="1"/>
        <v xml:space="preserve"> </v>
      </c>
      <c r="K80" s="2583" t="str">
        <f t="shared" si="2"/>
        <v xml:space="preserve"> </v>
      </c>
      <c r="L80" s="2440"/>
      <c r="M80" s="449"/>
      <c r="N80" s="15"/>
      <c r="O80" s="15"/>
      <c r="P80" s="157"/>
      <c r="Q80" s="185" t="str">
        <f t="shared" si="3"/>
        <v xml:space="preserve"> </v>
      </c>
      <c r="R80" s="185" t="str">
        <f t="shared" si="4"/>
        <v xml:space="preserve"> </v>
      </c>
      <c r="S80" s="185">
        <f t="shared" si="5"/>
        <v>0</v>
      </c>
      <c r="T80" s="256">
        <f t="shared" si="6"/>
        <v>0</v>
      </c>
      <c r="U80" s="185">
        <f t="shared" si="7"/>
        <v>0</v>
      </c>
      <c r="V80" s="2194">
        <f t="shared" si="57"/>
        <v>0</v>
      </c>
      <c r="W80" s="185">
        <f t="shared" si="8"/>
        <v>0</v>
      </c>
      <c r="X80" s="2195">
        <f t="shared" si="58"/>
        <v>0</v>
      </c>
      <c r="Y80" s="185" t="str">
        <f t="shared" si="59"/>
        <v xml:space="preserve"> </v>
      </c>
      <c r="Z80" s="186">
        <f t="shared" si="9"/>
        <v>0</v>
      </c>
      <c r="AA80" s="187">
        <f t="shared" si="10"/>
        <v>0</v>
      </c>
      <c r="AB80" s="256">
        <f t="shared" si="60"/>
        <v>0</v>
      </c>
      <c r="AC80" s="256">
        <f t="shared" si="61"/>
        <v>0</v>
      </c>
      <c r="AD80" s="256">
        <f t="shared" si="62"/>
        <v>0</v>
      </c>
      <c r="AE80" s="256">
        <f t="shared" si="63"/>
        <v>0</v>
      </c>
      <c r="AF80" s="188">
        <f t="shared" si="11"/>
        <v>0</v>
      </c>
      <c r="AG80" s="185">
        <f t="shared" si="12"/>
        <v>0</v>
      </c>
      <c r="AH80" s="185">
        <f t="shared" si="13"/>
        <v>0</v>
      </c>
      <c r="AI80" s="189">
        <f t="shared" si="14"/>
        <v>0</v>
      </c>
      <c r="AJ80" s="190">
        <f>INDEX(Tiere!L$30:L$114,'Nährstoffe und Lagerraum'!$BM80)</f>
        <v>0</v>
      </c>
      <c r="AK80" s="190">
        <f>INDEX(Tiere!Z$30:Z$114,'Nährstoffe und Lagerraum'!BM80)</f>
        <v>0</v>
      </c>
      <c r="AL80" s="185">
        <f t="shared" si="64"/>
        <v>0</v>
      </c>
      <c r="AM80" s="185">
        <f t="shared" si="65"/>
        <v>0</v>
      </c>
      <c r="AN80" s="185">
        <f t="shared" si="66"/>
        <v>0</v>
      </c>
      <c r="AO80" s="188">
        <f t="shared" si="15"/>
        <v>0</v>
      </c>
      <c r="AP80" s="185">
        <f t="shared" si="16"/>
        <v>0</v>
      </c>
      <c r="AQ80" s="189">
        <f t="shared" si="17"/>
        <v>0</v>
      </c>
      <c r="AR80" s="190" cm="1">
        <f t="array" ref="AR80">IF(BN80=1,INDEX(Tiere!V$30:V$114,'Nährstoffe und Lagerraum'!$BM80),IF(BN80=2,INDEX(Tiere!W$30:W$114,'Nährstoffe und Lagerraum'!$BM80),INDEX(Tiere!X$30:X$114,'Nährstoffe und Lagerraum'!$BM80)))</f>
        <v>0</v>
      </c>
      <c r="AS80" s="2194">
        <f t="shared" si="67"/>
        <v>0</v>
      </c>
      <c r="AT80" s="2194">
        <f t="shared" si="68"/>
        <v>0</v>
      </c>
      <c r="AU80" s="2194">
        <f t="shared" si="69"/>
        <v>0</v>
      </c>
      <c r="AV80" s="2196">
        <f t="shared" si="70"/>
        <v>0</v>
      </c>
      <c r="AW80" s="2197">
        <f t="shared" si="71"/>
        <v>0</v>
      </c>
      <c r="AX80" s="2198">
        <f t="shared" si="72"/>
        <v>0</v>
      </c>
      <c r="AY80" s="185"/>
      <c r="AZ80" s="195">
        <f t="shared" si="18"/>
        <v>0</v>
      </c>
      <c r="BA80" s="191">
        <f t="shared" si="19"/>
        <v>0</v>
      </c>
      <c r="BB80" s="2194">
        <f t="shared" si="73"/>
        <v>0</v>
      </c>
      <c r="BC80" s="188">
        <f t="shared" si="20"/>
        <v>0</v>
      </c>
      <c r="BD80" s="185">
        <f t="shared" si="21"/>
        <v>0</v>
      </c>
      <c r="BE80" s="2198">
        <f t="shared" si="74"/>
        <v>0</v>
      </c>
      <c r="BF80" s="195">
        <f t="shared" si="75"/>
        <v>0</v>
      </c>
      <c r="BG80" s="192">
        <f t="shared" si="76"/>
        <v>0</v>
      </c>
      <c r="BH80" s="871">
        <f>INDEX(Tiere!BH$30:BH$114,'Nährstoffe und Lagerraum'!$BM80)</f>
        <v>0</v>
      </c>
      <c r="BI80" s="871">
        <f>INDEX(Tiere!BI$30:BI$114,'Nährstoffe und Lagerraum'!$BM80)</f>
        <v>0</v>
      </c>
      <c r="BJ80" s="871">
        <f>INDEX(Tiere!BJ$30:BJ$114,'Nährstoffe und Lagerraum'!$BM80)</f>
        <v>0</v>
      </c>
      <c r="BK80" s="684">
        <f t="shared" si="77"/>
        <v>1</v>
      </c>
      <c r="BL80" s="684" cm="1">
        <f t="array" ref="BL80">INDEX(Tiere!$C$30:$C$114,BM80)</f>
        <v>0</v>
      </c>
      <c r="BM80" s="197">
        <v>1</v>
      </c>
      <c r="BN80" s="197">
        <v>1</v>
      </c>
      <c r="BO80" s="196">
        <f>INDEX(Tiere!D$30:D$114,'Nährstoffe und Lagerraum'!$BM80)</f>
        <v>0</v>
      </c>
      <c r="BP80" s="196" t="str">
        <f t="shared" si="78"/>
        <v>1</v>
      </c>
      <c r="BQ80" s="196">
        <f t="shared" si="79"/>
        <v>0</v>
      </c>
      <c r="BR80" s="195">
        <f>INDEX(Tiere!E$30:E$114,'Nährstoffe und Lagerraum'!$BM80)</f>
        <v>0</v>
      </c>
      <c r="BS80" s="191">
        <f>INDEX(Tiere!F$30:F$114,'Nährstoffe und Lagerraum'!$BM80)</f>
        <v>0</v>
      </c>
      <c r="BT80" s="192">
        <f>INDEX(Tiere!G$30:G$114,'Nährstoffe und Lagerraum'!$BM80)</f>
        <v>0</v>
      </c>
      <c r="BU80" s="191">
        <f>INDEX(Tiere!K$30:K$114,'Nährstoffe und Lagerraum'!$BM80)</f>
        <v>0</v>
      </c>
      <c r="BV80" s="191">
        <f>INDEX(Tiere!Y$30:Y$114,'Nährstoffe und Lagerraum'!$BM80)</f>
        <v>0</v>
      </c>
      <c r="BW80" s="195">
        <f>INDEX(Tiere!S$30:S$114,'Nährstoffe und Lagerraum'!$BM80)</f>
        <v>0</v>
      </c>
      <c r="BX80" s="191">
        <f>INDEX(Tiere!T$30:T$114,'Nährstoffe und Lagerraum'!$BM80)</f>
        <v>0</v>
      </c>
      <c r="BY80" s="192">
        <f>INDEX(Tiere!U$30:U$114,'Nährstoffe und Lagerraum'!$BM80)</f>
        <v>0</v>
      </c>
      <c r="BZ80" s="195">
        <f>INDEX(Tiere!AA$30:AA$114,'Nährstoffe und Lagerraum'!$BM80)</f>
        <v>0</v>
      </c>
      <c r="CA80" s="192">
        <f>INDEX(Tiere!AB$30:AB$114,'Nährstoffe und Lagerraum'!$BM80)</f>
        <v>0</v>
      </c>
      <c r="CB80" s="192">
        <f>INDEX(Tiere!AK$30:AK$114,'Nährstoffe und Lagerraum'!$BM80)</f>
        <v>0</v>
      </c>
      <c r="CC80" s="192">
        <f>INDEX(Tiere!M$30:M$114,'Nährstoffe und Lagerraum'!$BM80)</f>
        <v>0</v>
      </c>
      <c r="CD80" s="192">
        <f>INDEX(Tiere!N$30:N$114,'Nährstoffe und Lagerraum'!$BM80)</f>
        <v>0</v>
      </c>
      <c r="CE80" s="192">
        <f>INDEX(Tiere!O$30:O$114,'Nährstoffe und Lagerraum'!$BM80)</f>
        <v>0</v>
      </c>
      <c r="CF80" s="2199">
        <f>CC80*'Eigene, abweichende Tierdaten'!$AH$64</f>
        <v>0</v>
      </c>
      <c r="CG80" s="2200">
        <f>CD80*'Eigene, abweichende Tierdaten'!$AH$64</f>
        <v>0</v>
      </c>
      <c r="CH80" s="2201">
        <f>CE80*'Eigene, abweichende Tierdaten'!$AH$64</f>
        <v>0</v>
      </c>
      <c r="CI80" s="2192">
        <v>5</v>
      </c>
      <c r="CJ80" s="2192">
        <v>3</v>
      </c>
      <c r="CK80" s="179">
        <v>17</v>
      </c>
      <c r="CL80" s="2197">
        <f>'Eigene, abweichende Tierdaten'!$AE$64</f>
        <v>5</v>
      </c>
      <c r="CM80" s="2197">
        <f>'Eigene, abweichende Tierdaten'!$AF$64</f>
        <v>3</v>
      </c>
      <c r="CN80" s="2197">
        <f>'Eigene, abweichende Tierdaten'!$AG$64</f>
        <v>17</v>
      </c>
      <c r="CO80" s="185">
        <f>INDEX(Tiere!AN$30:AN$114,'Nährstoffe und Lagerraum'!$BM80)</f>
        <v>0</v>
      </c>
      <c r="CP80" s="185">
        <f t="shared" si="22"/>
        <v>0</v>
      </c>
      <c r="CQ80" s="185">
        <f t="shared" si="23"/>
        <v>0</v>
      </c>
      <c r="CR80" s="189">
        <f t="shared" si="24"/>
        <v>0</v>
      </c>
      <c r="CS80" s="157"/>
      <c r="CT80" s="357" t="b">
        <f t="shared" si="25"/>
        <v>0</v>
      </c>
      <c r="CU80" s="157"/>
      <c r="CV80" s="195">
        <f>INDEX(Tiere!AO$30:AO$114,'Nährstoffe und Lagerraum'!$BM80)</f>
        <v>0</v>
      </c>
      <c r="CW80" s="195">
        <f>INDEX(Tiere!AP$30:AP$114,'Nährstoffe und Lagerraum'!$BM80)</f>
        <v>0</v>
      </c>
      <c r="CX80" s="195">
        <f>INDEX(Tiere!AQ$30:AQ$114,'Nährstoffe und Lagerraum'!$BM80)</f>
        <v>0</v>
      </c>
      <c r="CY80" s="92">
        <f t="shared" si="26"/>
        <v>0</v>
      </c>
      <c r="CZ80" s="95">
        <f t="shared" si="27"/>
        <v>0</v>
      </c>
      <c r="DA80" s="95">
        <f t="shared" si="28"/>
        <v>0</v>
      </c>
      <c r="DB80" s="95">
        <f t="shared" si="29"/>
        <v>0</v>
      </c>
      <c r="DC80" s="95">
        <f t="shared" si="30"/>
        <v>0</v>
      </c>
      <c r="DD80" s="95">
        <f t="shared" si="31"/>
        <v>0</v>
      </c>
      <c r="DE80" s="95">
        <f t="shared" si="32"/>
        <v>0</v>
      </c>
      <c r="DF80" s="95">
        <f t="shared" si="33"/>
        <v>0</v>
      </c>
      <c r="DG80" s="95">
        <f t="shared" si="34"/>
        <v>0</v>
      </c>
      <c r="DH80" s="95">
        <f t="shared" si="35"/>
        <v>0</v>
      </c>
      <c r="DI80" s="95"/>
      <c r="DJ80" s="95">
        <f t="shared" si="36"/>
        <v>0</v>
      </c>
      <c r="DK80" s="95">
        <f t="shared" si="37"/>
        <v>0</v>
      </c>
      <c r="DL80" s="95">
        <f t="shared" si="38"/>
        <v>0</v>
      </c>
      <c r="DM80" s="95">
        <f t="shared" si="39"/>
        <v>0</v>
      </c>
      <c r="DN80" s="95">
        <f t="shared" si="80"/>
        <v>0</v>
      </c>
      <c r="DO80" s="95">
        <f t="shared" si="40"/>
        <v>55</v>
      </c>
      <c r="DP80" s="95">
        <f t="shared" si="41"/>
        <v>0</v>
      </c>
      <c r="DQ80" s="157" t="b">
        <v>0</v>
      </c>
      <c r="DR80" s="185">
        <f t="shared" si="81"/>
        <v>0</v>
      </c>
      <c r="DS80" s="348">
        <f>INDEX(Tiere!AS$30:AS$114,'Nährstoffe und Lagerraum'!$BM80)</f>
        <v>0</v>
      </c>
      <c r="DT80" s="195">
        <f>INDEX(Tiere!AT$30:AT$114,'Nährstoffe und Lagerraum'!$BM80)</f>
        <v>0</v>
      </c>
      <c r="DU80" s="195">
        <f>INDEX(Tiere!AU$30:AU$114,'Nährstoffe und Lagerraum'!$BM80)</f>
        <v>0</v>
      </c>
      <c r="DV80" s="348">
        <f>INDEX(Tiere!AV$30:AV$114,'Nährstoffe und Lagerraum'!$BM80)</f>
        <v>0</v>
      </c>
      <c r="DW80" s="195">
        <f>INDEX(Tiere!AW$30:AW$114,'Nährstoffe und Lagerraum'!$BM80)</f>
        <v>0</v>
      </c>
      <c r="DX80" s="2177">
        <f>DW80+('Eigene, abweichende Tierdaten'!$AH$67*'Eigene, abweichende Tierdaten'!$M$55)/1000</f>
        <v>0</v>
      </c>
      <c r="DY80" s="195">
        <f>INDEX(Tiere!AX$30:AX$114,'Nährstoffe und Lagerraum'!$BM80)</f>
        <v>0</v>
      </c>
      <c r="DZ80" s="195">
        <f>INDEX(Tiere!AY$30:AY$114,'Nährstoffe und Lagerraum'!$BM80)</f>
        <v>0</v>
      </c>
      <c r="EA80" s="195">
        <f>INDEX(Tiere!AZ$30:AZ$114,'Nährstoffe und Lagerraum'!$BM80)</f>
        <v>0</v>
      </c>
      <c r="EB80" s="191">
        <f t="shared" si="42"/>
        <v>0</v>
      </c>
      <c r="EC80" s="191">
        <f t="shared" si="43"/>
        <v>0</v>
      </c>
      <c r="ED80" s="191">
        <f t="shared" si="44"/>
        <v>0</v>
      </c>
      <c r="EE80" s="191">
        <f t="shared" si="45"/>
        <v>0</v>
      </c>
      <c r="EF80" s="191">
        <f t="shared" si="46"/>
        <v>0</v>
      </c>
      <c r="EG80" s="2203">
        <f t="shared" si="82"/>
        <v>0</v>
      </c>
      <c r="EH80" s="2203">
        <f t="shared" si="47"/>
        <v>0</v>
      </c>
      <c r="EI80" s="2204">
        <f t="shared" si="83"/>
        <v>0</v>
      </c>
      <c r="EJ80" s="355">
        <f t="shared" si="84"/>
        <v>0</v>
      </c>
      <c r="EK80" s="355">
        <f t="shared" si="48"/>
        <v>0</v>
      </c>
      <c r="EL80" s="92">
        <f t="shared" si="49"/>
        <v>0</v>
      </c>
      <c r="EM80" s="355">
        <f t="shared" si="85"/>
        <v>0</v>
      </c>
      <c r="EN80" s="92" t="e">
        <f t="shared" si="86"/>
        <v>#DIV/0!</v>
      </c>
      <c r="EO80" s="92">
        <f t="shared" si="50"/>
        <v>0</v>
      </c>
      <c r="EP80" s="2205" t="e">
        <f t="shared" si="87"/>
        <v>#DIV/0!</v>
      </c>
      <c r="EQ80" s="117" t="e">
        <f t="shared" si="96"/>
        <v>#DIV/0!</v>
      </c>
      <c r="ER80" s="117" t="e">
        <f t="shared" si="51"/>
        <v>#DIV/0!</v>
      </c>
      <c r="ES80" s="92">
        <f t="shared" si="88"/>
        <v>0</v>
      </c>
      <c r="ET80" s="2207">
        <f t="shared" si="89"/>
        <v>0</v>
      </c>
      <c r="EU80" s="146">
        <f t="shared" si="90"/>
        <v>0</v>
      </c>
      <c r="EV80" s="283">
        <f t="shared" si="91"/>
        <v>0</v>
      </c>
      <c r="EW80" s="283">
        <f t="shared" si="92"/>
        <v>0</v>
      </c>
      <c r="EZ80" s="92">
        <f t="shared" si="52"/>
        <v>0</v>
      </c>
      <c r="FA80" s="92">
        <f t="shared" si="53"/>
        <v>0</v>
      </c>
      <c r="FB80" s="2205">
        <f t="shared" si="93"/>
        <v>0</v>
      </c>
      <c r="FC80" s="2205">
        <f t="shared" si="54"/>
        <v>0</v>
      </c>
      <c r="FD80" s="92">
        <f t="shared" si="94"/>
        <v>0</v>
      </c>
      <c r="FE80" s="92">
        <f t="shared" si="95"/>
        <v>0</v>
      </c>
      <c r="FF80" s="92">
        <f t="shared" si="55"/>
        <v>0</v>
      </c>
      <c r="FG80" s="92">
        <f t="shared" si="56"/>
        <v>0</v>
      </c>
      <c r="FH80" s="92" cm="1">
        <f t="array" ref="FH80">INDEX(Tiere!$AJ$30:$AJ$114,BM80)</f>
        <v>0</v>
      </c>
    </row>
    <row r="81" spans="1:164" ht="18" customHeight="1" x14ac:dyDescent="0.2">
      <c r="A81" s="2567"/>
      <c r="B81" s="2568"/>
      <c r="C81" s="2568"/>
      <c r="D81" s="2568"/>
      <c r="E81" s="1509"/>
      <c r="F81" s="1515"/>
      <c r="G81" s="1942"/>
      <c r="H81" s="1509"/>
      <c r="I81" s="1675"/>
      <c r="J81" s="1674" t="str">
        <f t="shared" si="1"/>
        <v xml:space="preserve"> </v>
      </c>
      <c r="K81" s="2583" t="str">
        <f t="shared" si="2"/>
        <v xml:space="preserve"> </v>
      </c>
      <c r="L81" s="2440"/>
      <c r="M81" s="449"/>
      <c r="N81" s="15"/>
      <c r="O81" s="15"/>
      <c r="P81" s="157"/>
      <c r="Q81" s="185" t="str">
        <f t="shared" si="3"/>
        <v xml:space="preserve"> </v>
      </c>
      <c r="R81" s="185" t="str">
        <f t="shared" si="4"/>
        <v xml:space="preserve"> </v>
      </c>
      <c r="S81" s="185">
        <f t="shared" si="5"/>
        <v>0</v>
      </c>
      <c r="T81" s="256">
        <f t="shared" si="6"/>
        <v>0</v>
      </c>
      <c r="U81" s="185">
        <f t="shared" si="7"/>
        <v>0</v>
      </c>
      <c r="V81" s="2194">
        <f t="shared" si="57"/>
        <v>0</v>
      </c>
      <c r="W81" s="185">
        <f t="shared" si="8"/>
        <v>0</v>
      </c>
      <c r="X81" s="2195">
        <f t="shared" si="58"/>
        <v>0</v>
      </c>
      <c r="Y81" s="185" t="str">
        <f t="shared" si="59"/>
        <v xml:space="preserve"> </v>
      </c>
      <c r="Z81" s="186">
        <f t="shared" si="9"/>
        <v>0</v>
      </c>
      <c r="AA81" s="187">
        <f t="shared" si="10"/>
        <v>0</v>
      </c>
      <c r="AB81" s="256">
        <f t="shared" si="60"/>
        <v>0</v>
      </c>
      <c r="AC81" s="256">
        <f t="shared" si="61"/>
        <v>0</v>
      </c>
      <c r="AD81" s="256">
        <f t="shared" si="62"/>
        <v>0</v>
      </c>
      <c r="AE81" s="256">
        <f t="shared" si="63"/>
        <v>0</v>
      </c>
      <c r="AF81" s="188">
        <f t="shared" si="11"/>
        <v>0</v>
      </c>
      <c r="AG81" s="185">
        <f t="shared" si="12"/>
        <v>0</v>
      </c>
      <c r="AH81" s="185">
        <f t="shared" si="13"/>
        <v>0</v>
      </c>
      <c r="AI81" s="189">
        <f t="shared" si="14"/>
        <v>0</v>
      </c>
      <c r="AJ81" s="190">
        <f>INDEX(Tiere!L$30:L$114,'Nährstoffe und Lagerraum'!$BM81)</f>
        <v>0</v>
      </c>
      <c r="AK81" s="190">
        <f>INDEX(Tiere!Z$30:Z$114,'Nährstoffe und Lagerraum'!BM81)</f>
        <v>0</v>
      </c>
      <c r="AL81" s="185">
        <f t="shared" si="64"/>
        <v>0</v>
      </c>
      <c r="AM81" s="185">
        <f t="shared" si="65"/>
        <v>0</v>
      </c>
      <c r="AN81" s="185">
        <f t="shared" si="66"/>
        <v>0</v>
      </c>
      <c r="AO81" s="188">
        <f t="shared" si="15"/>
        <v>0</v>
      </c>
      <c r="AP81" s="185">
        <f t="shared" si="16"/>
        <v>0</v>
      </c>
      <c r="AQ81" s="189">
        <f t="shared" si="17"/>
        <v>0</v>
      </c>
      <c r="AR81" s="190" cm="1">
        <f t="array" ref="AR81">IF(BN81=1,INDEX(Tiere!V$30:V$114,'Nährstoffe und Lagerraum'!$BM81),IF(BN81=2,INDEX(Tiere!W$30:W$114,'Nährstoffe und Lagerraum'!$BM81),INDEX(Tiere!X$30:X$114,'Nährstoffe und Lagerraum'!$BM81)))</f>
        <v>0</v>
      </c>
      <c r="AS81" s="2194">
        <f t="shared" si="67"/>
        <v>0</v>
      </c>
      <c r="AT81" s="2194">
        <f t="shared" si="68"/>
        <v>0</v>
      </c>
      <c r="AU81" s="2194">
        <f t="shared" si="69"/>
        <v>0</v>
      </c>
      <c r="AV81" s="2196">
        <f t="shared" si="70"/>
        <v>0</v>
      </c>
      <c r="AW81" s="2197">
        <f t="shared" si="71"/>
        <v>0</v>
      </c>
      <c r="AX81" s="2198">
        <f t="shared" si="72"/>
        <v>0</v>
      </c>
      <c r="AY81" s="185"/>
      <c r="AZ81" s="195">
        <f t="shared" si="18"/>
        <v>0</v>
      </c>
      <c r="BA81" s="191">
        <f t="shared" si="19"/>
        <v>0</v>
      </c>
      <c r="BB81" s="2194">
        <f t="shared" si="73"/>
        <v>0</v>
      </c>
      <c r="BC81" s="188">
        <f t="shared" si="20"/>
        <v>0</v>
      </c>
      <c r="BD81" s="185">
        <f t="shared" si="21"/>
        <v>0</v>
      </c>
      <c r="BE81" s="2198">
        <f t="shared" si="74"/>
        <v>0</v>
      </c>
      <c r="BF81" s="195">
        <f t="shared" si="75"/>
        <v>0</v>
      </c>
      <c r="BG81" s="192">
        <f t="shared" si="76"/>
        <v>0</v>
      </c>
      <c r="BH81" s="871">
        <f>INDEX(Tiere!BH$30:BH$114,'Nährstoffe und Lagerraum'!$BM81)</f>
        <v>0</v>
      </c>
      <c r="BI81" s="871">
        <f>INDEX(Tiere!BI$30:BI$114,'Nährstoffe und Lagerraum'!$BM81)</f>
        <v>0</v>
      </c>
      <c r="BJ81" s="871">
        <f>INDEX(Tiere!BJ$30:BJ$114,'Nährstoffe und Lagerraum'!$BM81)</f>
        <v>0</v>
      </c>
      <c r="BK81" s="684">
        <f t="shared" si="77"/>
        <v>1</v>
      </c>
      <c r="BL81" s="684" cm="1">
        <f t="array" ref="BL81">INDEX(Tiere!$C$30:$C$114,BM81)</f>
        <v>0</v>
      </c>
      <c r="BM81" s="197">
        <v>1</v>
      </c>
      <c r="BN81" s="197">
        <v>1</v>
      </c>
      <c r="BO81" s="196">
        <f>INDEX(Tiere!D$30:D$114,'Nährstoffe und Lagerraum'!$BM81)</f>
        <v>0</v>
      </c>
      <c r="BP81" s="196" t="str">
        <f t="shared" si="78"/>
        <v>1</v>
      </c>
      <c r="BQ81" s="196">
        <f t="shared" si="79"/>
        <v>0</v>
      </c>
      <c r="BR81" s="195">
        <f>INDEX(Tiere!E$30:E$114,'Nährstoffe und Lagerraum'!$BM81)</f>
        <v>0</v>
      </c>
      <c r="BS81" s="191">
        <f>INDEX(Tiere!F$30:F$114,'Nährstoffe und Lagerraum'!$BM81)</f>
        <v>0</v>
      </c>
      <c r="BT81" s="192">
        <f>INDEX(Tiere!G$30:G$114,'Nährstoffe und Lagerraum'!$BM81)</f>
        <v>0</v>
      </c>
      <c r="BU81" s="191">
        <f>INDEX(Tiere!K$30:K$114,'Nährstoffe und Lagerraum'!$BM81)</f>
        <v>0</v>
      </c>
      <c r="BV81" s="191">
        <f>INDEX(Tiere!Y$30:Y$114,'Nährstoffe und Lagerraum'!$BM81)</f>
        <v>0</v>
      </c>
      <c r="BW81" s="195">
        <f>INDEX(Tiere!S$30:S$114,'Nährstoffe und Lagerraum'!$BM81)</f>
        <v>0</v>
      </c>
      <c r="BX81" s="191">
        <f>INDEX(Tiere!T$30:T$114,'Nährstoffe und Lagerraum'!$BM81)</f>
        <v>0</v>
      </c>
      <c r="BY81" s="192">
        <f>INDEX(Tiere!U$30:U$114,'Nährstoffe und Lagerraum'!$BM81)</f>
        <v>0</v>
      </c>
      <c r="BZ81" s="195">
        <f>INDEX(Tiere!AA$30:AA$114,'Nährstoffe und Lagerraum'!$BM81)</f>
        <v>0</v>
      </c>
      <c r="CA81" s="192">
        <f>INDEX(Tiere!AB$30:AB$114,'Nährstoffe und Lagerraum'!$BM81)</f>
        <v>0</v>
      </c>
      <c r="CB81" s="192">
        <f>INDEX(Tiere!AK$30:AK$114,'Nährstoffe und Lagerraum'!$BM81)</f>
        <v>0</v>
      </c>
      <c r="CC81" s="192">
        <f>INDEX(Tiere!M$30:M$114,'Nährstoffe und Lagerraum'!$BM81)</f>
        <v>0</v>
      </c>
      <c r="CD81" s="192">
        <f>INDEX(Tiere!N$30:N$114,'Nährstoffe und Lagerraum'!$BM81)</f>
        <v>0</v>
      </c>
      <c r="CE81" s="192">
        <f>INDEX(Tiere!O$30:O$114,'Nährstoffe und Lagerraum'!$BM81)</f>
        <v>0</v>
      </c>
      <c r="CF81" s="2199">
        <f>CC81*'Eigene, abweichende Tierdaten'!$AH$64</f>
        <v>0</v>
      </c>
      <c r="CG81" s="2200">
        <f>CD81*'Eigene, abweichende Tierdaten'!$AH$64</f>
        <v>0</v>
      </c>
      <c r="CH81" s="2201">
        <f>CE81*'Eigene, abweichende Tierdaten'!$AH$64</f>
        <v>0</v>
      </c>
      <c r="CI81" s="2192">
        <v>5</v>
      </c>
      <c r="CJ81" s="2192">
        <v>3</v>
      </c>
      <c r="CK81" s="179">
        <v>17</v>
      </c>
      <c r="CL81" s="2197">
        <f>'Eigene, abweichende Tierdaten'!$AE$64</f>
        <v>5</v>
      </c>
      <c r="CM81" s="2197">
        <f>'Eigene, abweichende Tierdaten'!$AF$64</f>
        <v>3</v>
      </c>
      <c r="CN81" s="2197">
        <f>'Eigene, abweichende Tierdaten'!$AG$64</f>
        <v>17</v>
      </c>
      <c r="CO81" s="185">
        <f>INDEX(Tiere!AN$30:AN$114,'Nährstoffe und Lagerraum'!$BM81)</f>
        <v>0</v>
      </c>
      <c r="CP81" s="185">
        <f t="shared" si="22"/>
        <v>0</v>
      </c>
      <c r="CQ81" s="185">
        <f t="shared" si="23"/>
        <v>0</v>
      </c>
      <c r="CR81" s="189">
        <f t="shared" si="24"/>
        <v>0</v>
      </c>
      <c r="CS81" s="157"/>
      <c r="CT81" s="357" t="b">
        <f t="shared" si="25"/>
        <v>0</v>
      </c>
      <c r="CU81" s="157"/>
      <c r="CV81" s="195">
        <f>INDEX(Tiere!AO$30:AO$114,'Nährstoffe und Lagerraum'!$BM81)</f>
        <v>0</v>
      </c>
      <c r="CW81" s="195">
        <f>INDEX(Tiere!AP$30:AP$114,'Nährstoffe und Lagerraum'!$BM81)</f>
        <v>0</v>
      </c>
      <c r="CX81" s="195">
        <f>INDEX(Tiere!AQ$30:AQ$114,'Nährstoffe und Lagerraum'!$BM81)</f>
        <v>0</v>
      </c>
      <c r="CY81" s="92">
        <f t="shared" si="26"/>
        <v>0</v>
      </c>
      <c r="CZ81" s="95">
        <f t="shared" si="27"/>
        <v>0</v>
      </c>
      <c r="DA81" s="95">
        <f t="shared" si="28"/>
        <v>0</v>
      </c>
      <c r="DB81" s="95">
        <f t="shared" si="29"/>
        <v>0</v>
      </c>
      <c r="DC81" s="95">
        <f t="shared" si="30"/>
        <v>0</v>
      </c>
      <c r="DD81" s="95">
        <f t="shared" si="31"/>
        <v>0</v>
      </c>
      <c r="DE81" s="95">
        <f t="shared" si="32"/>
        <v>0</v>
      </c>
      <c r="DF81" s="95">
        <f t="shared" si="33"/>
        <v>0</v>
      </c>
      <c r="DG81" s="95">
        <f t="shared" si="34"/>
        <v>0</v>
      </c>
      <c r="DH81" s="95">
        <f t="shared" si="35"/>
        <v>0</v>
      </c>
      <c r="DI81" s="95"/>
      <c r="DJ81" s="95">
        <f t="shared" si="36"/>
        <v>0</v>
      </c>
      <c r="DK81" s="95">
        <f t="shared" si="37"/>
        <v>0</v>
      </c>
      <c r="DL81" s="95">
        <f t="shared" si="38"/>
        <v>0</v>
      </c>
      <c r="DM81" s="95">
        <f t="shared" si="39"/>
        <v>0</v>
      </c>
      <c r="DN81" s="95">
        <f t="shared" si="80"/>
        <v>0</v>
      </c>
      <c r="DO81" s="95">
        <f t="shared" si="40"/>
        <v>55</v>
      </c>
      <c r="DP81" s="95">
        <f t="shared" si="41"/>
        <v>0</v>
      </c>
      <c r="DQ81" s="157" t="b">
        <v>0</v>
      </c>
      <c r="DR81" s="185">
        <f t="shared" si="81"/>
        <v>0</v>
      </c>
      <c r="DS81" s="348">
        <f>INDEX(Tiere!AS$30:AS$114,'Nährstoffe und Lagerraum'!$BM81)</f>
        <v>0</v>
      </c>
      <c r="DT81" s="195">
        <f>INDEX(Tiere!AT$30:AT$114,'Nährstoffe und Lagerraum'!$BM81)</f>
        <v>0</v>
      </c>
      <c r="DU81" s="195">
        <f>INDEX(Tiere!AU$30:AU$114,'Nährstoffe und Lagerraum'!$BM81)</f>
        <v>0</v>
      </c>
      <c r="DV81" s="348">
        <f>INDEX(Tiere!AV$30:AV$114,'Nährstoffe und Lagerraum'!$BM81)</f>
        <v>0</v>
      </c>
      <c r="DW81" s="195">
        <f>INDEX(Tiere!AW$30:AW$114,'Nährstoffe und Lagerraum'!$BM81)</f>
        <v>0</v>
      </c>
      <c r="DX81" s="2177">
        <f>DW81+('Eigene, abweichende Tierdaten'!$AH$67*'Eigene, abweichende Tierdaten'!$M$55)/1000</f>
        <v>0</v>
      </c>
      <c r="DY81" s="195">
        <f>INDEX(Tiere!AX$30:AX$114,'Nährstoffe und Lagerraum'!$BM81)</f>
        <v>0</v>
      </c>
      <c r="DZ81" s="195">
        <f>INDEX(Tiere!AY$30:AY$114,'Nährstoffe und Lagerraum'!$BM81)</f>
        <v>0</v>
      </c>
      <c r="EA81" s="195">
        <f>INDEX(Tiere!AZ$30:AZ$114,'Nährstoffe und Lagerraum'!$BM81)</f>
        <v>0</v>
      </c>
      <c r="EB81" s="191">
        <f t="shared" si="42"/>
        <v>0</v>
      </c>
      <c r="EC81" s="191">
        <f t="shared" si="43"/>
        <v>0</v>
      </c>
      <c r="ED81" s="191">
        <f t="shared" si="44"/>
        <v>0</v>
      </c>
      <c r="EE81" s="191">
        <f t="shared" si="45"/>
        <v>0</v>
      </c>
      <c r="EF81" s="191">
        <f t="shared" si="46"/>
        <v>0</v>
      </c>
      <c r="EG81" s="2203">
        <f t="shared" si="82"/>
        <v>0</v>
      </c>
      <c r="EH81" s="2203">
        <f t="shared" si="47"/>
        <v>0</v>
      </c>
      <c r="EI81" s="2204">
        <f t="shared" si="83"/>
        <v>0</v>
      </c>
      <c r="EJ81" s="355">
        <f t="shared" si="84"/>
        <v>0</v>
      </c>
      <c r="EK81" s="355">
        <f t="shared" si="48"/>
        <v>0</v>
      </c>
      <c r="EL81" s="92">
        <f t="shared" si="49"/>
        <v>0</v>
      </c>
      <c r="EM81" s="355">
        <f t="shared" si="85"/>
        <v>0</v>
      </c>
      <c r="EN81" s="92" t="e">
        <f t="shared" si="86"/>
        <v>#DIV/0!</v>
      </c>
      <c r="EO81" s="92">
        <f t="shared" si="50"/>
        <v>0</v>
      </c>
      <c r="EP81" s="2205" t="e">
        <f t="shared" si="87"/>
        <v>#DIV/0!</v>
      </c>
      <c r="EQ81" s="117" t="e">
        <f t="shared" si="96"/>
        <v>#DIV/0!</v>
      </c>
      <c r="ER81" s="117" t="e">
        <f t="shared" si="51"/>
        <v>#DIV/0!</v>
      </c>
      <c r="ES81" s="92">
        <f t="shared" si="88"/>
        <v>0</v>
      </c>
      <c r="ET81" s="2207">
        <f t="shared" si="89"/>
        <v>0</v>
      </c>
      <c r="EU81" s="146">
        <f t="shared" si="90"/>
        <v>0</v>
      </c>
      <c r="EV81" s="283">
        <f t="shared" si="91"/>
        <v>0</v>
      </c>
      <c r="EW81" s="283">
        <f t="shared" si="92"/>
        <v>0</v>
      </c>
      <c r="EZ81" s="92">
        <f t="shared" si="52"/>
        <v>0</v>
      </c>
      <c r="FA81" s="92">
        <f t="shared" si="53"/>
        <v>0</v>
      </c>
      <c r="FB81" s="2205">
        <f t="shared" si="93"/>
        <v>0</v>
      </c>
      <c r="FC81" s="2205">
        <f t="shared" si="54"/>
        <v>0</v>
      </c>
      <c r="FD81" s="92">
        <f t="shared" si="94"/>
        <v>0</v>
      </c>
      <c r="FE81" s="92">
        <f t="shared" si="95"/>
        <v>0</v>
      </c>
      <c r="FF81" s="92">
        <f t="shared" si="55"/>
        <v>0</v>
      </c>
      <c r="FG81" s="92">
        <f t="shared" si="56"/>
        <v>0</v>
      </c>
      <c r="FH81" s="92" cm="1">
        <f t="array" ref="FH81">INDEX(Tiere!$AJ$30:$AJ$114,BM81)</f>
        <v>0</v>
      </c>
    </row>
    <row r="82" spans="1:164" ht="18" customHeight="1" x14ac:dyDescent="0.2">
      <c r="A82" s="2567"/>
      <c r="B82" s="2568"/>
      <c r="C82" s="2568"/>
      <c r="D82" s="2568"/>
      <c r="E82" s="1509"/>
      <c r="F82" s="1515"/>
      <c r="G82" s="1942"/>
      <c r="H82" s="1509"/>
      <c r="I82" s="1675"/>
      <c r="J82" s="1674" t="str">
        <f t="shared" ref="J82" si="97">IF(U82+W82=0," ",(U82+W82)/2)</f>
        <v xml:space="preserve"> </v>
      </c>
      <c r="K82" s="2583" t="str">
        <f t="shared" ref="K82" si="98">IF(V82+X82=0," ",(V82+X82)/2)</f>
        <v xml:space="preserve"> </v>
      </c>
      <c r="L82" s="2440"/>
      <c r="M82" s="449"/>
      <c r="N82" s="15"/>
      <c r="O82" s="15"/>
      <c r="P82" s="157"/>
      <c r="Q82" s="185" t="str">
        <f t="shared" ref="Q82:Q87" si="99">IF(K82=" "," ",(K82*(1/CB82)))</f>
        <v xml:space="preserve"> </v>
      </c>
      <c r="R82" s="185" t="str">
        <f t="shared" si="4"/>
        <v xml:space="preserve"> </v>
      </c>
      <c r="S82" s="185">
        <f t="shared" si="5"/>
        <v>0</v>
      </c>
      <c r="T82" s="1676">
        <f t="shared" si="6"/>
        <v>0</v>
      </c>
      <c r="U82" s="185">
        <f t="shared" si="7"/>
        <v>0</v>
      </c>
      <c r="V82" s="2194">
        <f t="shared" si="57"/>
        <v>0</v>
      </c>
      <c r="W82" s="185">
        <f t="shared" si="8"/>
        <v>0</v>
      </c>
      <c r="X82" s="2195">
        <f t="shared" si="58"/>
        <v>0</v>
      </c>
      <c r="Y82" s="185" t="str">
        <f t="shared" ref="Y82:Y87" si="100">IF(X82=0," ",(X82*(1/CB82)))</f>
        <v xml:space="preserve"> </v>
      </c>
      <c r="Z82" s="186">
        <f t="shared" ref="Z82:Z87" si="101">IF(BU82=0,0,E82)</f>
        <v>0</v>
      </c>
      <c r="AA82" s="187">
        <f t="shared" ref="AA82:AA87" si="102">IF(BU82=0,E82+F82,F82)</f>
        <v>0</v>
      </c>
      <c r="AB82" s="1676">
        <f t="shared" ref="AB82:AB87" si="103">+(AZ82*BR82*(100-BZ82)/100)+(BF82*BH82*BA82)</f>
        <v>0</v>
      </c>
      <c r="AC82" s="1676">
        <f t="shared" ref="AC82:AC87" si="104">IF(BK82=2,AB82,0)</f>
        <v>0</v>
      </c>
      <c r="AD82" s="1676">
        <f t="shared" ref="AD82:AD87" si="105">AZ82*BS82+BA82*BF82*BI82</f>
        <v>0</v>
      </c>
      <c r="AE82" s="1676">
        <f t="shared" ref="AE82:AE87" si="106">AZ82*BT82+BA82*BF82*BJ82</f>
        <v>0</v>
      </c>
      <c r="AF82" s="188">
        <f t="shared" ref="AF82:AF87" si="107">+(BC82*BR82*(100-BZ82)/100)+(BF82*BH82*BD82)</f>
        <v>0</v>
      </c>
      <c r="AG82" s="185">
        <f t="shared" ref="AG82:AG87" si="108">IF(BK82=2,AF82,0)</f>
        <v>0</v>
      </c>
      <c r="AH82" s="185">
        <f t="shared" ref="AH82:AH87" si="109">BC82*BS82+BD82*BF82*BI82</f>
        <v>0</v>
      </c>
      <c r="AI82" s="189">
        <f t="shared" ref="AI82:AI87" si="110">BC82*BT82+BD82*BF82*BJ82</f>
        <v>0</v>
      </c>
      <c r="AJ82" s="190">
        <f>INDEX(Tiere!L$30:L$114,'Nährstoffe und Lagerraum'!$BM82)</f>
        <v>0</v>
      </c>
      <c r="AK82" s="190">
        <f>INDEX(Tiere!Z$30:Z$114,'Nährstoffe und Lagerraum'!BM82)</f>
        <v>0</v>
      </c>
      <c r="AL82" s="185">
        <f t="shared" ref="AL82:AL87" si="111">+(BA82*BR82*(100-CA82)/100)-BF82*BA82*BH82</f>
        <v>0</v>
      </c>
      <c r="AM82" s="185">
        <f t="shared" ref="AM82:AM87" si="112">BA82*BS82-BA82*BF82*BI82</f>
        <v>0</v>
      </c>
      <c r="AN82" s="185">
        <f t="shared" ref="AN82:AN87" si="113">BA82*BT82-BA82*BF82*BJ82</f>
        <v>0</v>
      </c>
      <c r="AO82" s="188">
        <f t="shared" ref="AO82:AO87" si="114">+(BD82*BR82*(100-CA82)/100)-BF82*BD82*BH82</f>
        <v>0</v>
      </c>
      <c r="AP82" s="185">
        <f t="shared" ref="AP82:AP87" si="115">BD82*BS82-BD82*BF82*BI82</f>
        <v>0</v>
      </c>
      <c r="AQ82" s="189">
        <f t="shared" ref="AQ82:AQ87" si="116">BD82*BT82-BD82*BF82*BJ82</f>
        <v>0</v>
      </c>
      <c r="AR82" s="190" cm="1">
        <f t="array" ref="AR82">IF(BN82=1,INDEX(Tiere!V$30:V$114,'Nährstoffe und Lagerraum'!$BM82),IF(BN82=2,INDEX(Tiere!W$30:W$114,'Nährstoffe und Lagerraum'!$BM82),INDEX(Tiere!X$30:X$114,'Nährstoffe und Lagerraum'!$BM82)))</f>
        <v>0</v>
      </c>
      <c r="AS82" s="2194">
        <f t="shared" si="67"/>
        <v>0</v>
      </c>
      <c r="AT82" s="2194">
        <f t="shared" si="68"/>
        <v>0</v>
      </c>
      <c r="AU82" s="2194">
        <f t="shared" si="69"/>
        <v>0</v>
      </c>
      <c r="AV82" s="2196">
        <f t="shared" si="70"/>
        <v>0</v>
      </c>
      <c r="AW82" s="2197">
        <f t="shared" si="71"/>
        <v>0</v>
      </c>
      <c r="AX82" s="2198">
        <f t="shared" si="72"/>
        <v>0</v>
      </c>
      <c r="AY82" s="185"/>
      <c r="AZ82" s="195">
        <f t="shared" ref="AZ82:AZ87" si="117">+Z82*(100-$H82)/100</f>
        <v>0</v>
      </c>
      <c r="BA82" s="191">
        <f t="shared" ref="BA82:BA87" si="118">+AA82*(100-$H82)/100</f>
        <v>0</v>
      </c>
      <c r="BB82" s="2194">
        <f t="shared" si="73"/>
        <v>0</v>
      </c>
      <c r="BC82" s="188">
        <f t="shared" ref="BC82:BC87" si="119">+Z82*(100-$I82)/100</f>
        <v>0</v>
      </c>
      <c r="BD82" s="185">
        <f t="shared" ref="BD82:BD87" si="120">+AA82*(100-$I82)/100</f>
        <v>0</v>
      </c>
      <c r="BE82" s="2198">
        <f t="shared" si="74"/>
        <v>0</v>
      </c>
      <c r="BF82" s="195">
        <f t="shared" ref="BF82:BF87" si="121">IF(BN82=1,BV82,IF(BN82=2,BV82/2,0))</f>
        <v>0</v>
      </c>
      <c r="BG82" s="192">
        <f t="shared" ref="BG82:BG87" si="122">IF(BN82=1,BW82,IF(BN82=2,BX82,BY82))</f>
        <v>0</v>
      </c>
      <c r="BH82" s="871">
        <f>INDEX(Tiere!BH$30:BH$114,'Nährstoffe und Lagerraum'!$BM82)</f>
        <v>0</v>
      </c>
      <c r="BI82" s="871">
        <f>INDEX(Tiere!BI$30:BI$114,'Nährstoffe und Lagerraum'!$BM82)</f>
        <v>0</v>
      </c>
      <c r="BJ82" s="871">
        <f>INDEX(Tiere!BJ$30:BJ$114,'Nährstoffe und Lagerraum'!$BM82)</f>
        <v>0</v>
      </c>
      <c r="BK82" s="684">
        <f t="shared" ref="BK82:BK87" si="123">IF(BL82&lt;4,BL82+1,5)</f>
        <v>1</v>
      </c>
      <c r="BL82" s="684" cm="1">
        <f t="array" ref="BL82">INDEX(Tiere!$C$30:$C$114,BM82)</f>
        <v>0</v>
      </c>
      <c r="BM82" s="173">
        <v>1</v>
      </c>
      <c r="BN82" s="173">
        <v>1</v>
      </c>
      <c r="BO82" s="196">
        <f>INDEX(Tiere!D$30:D$114,'Nährstoffe und Lagerraum'!$BM82)</f>
        <v>0</v>
      </c>
      <c r="BP82" s="196" t="str">
        <f t="shared" ref="BP82:BP87" si="124">IF(BO82&gt;0.001,BO82,"1")</f>
        <v>1</v>
      </c>
      <c r="BQ82" s="196">
        <f t="shared" ref="BQ82:BQ87" si="125">E82*BO82+F82*BO82</f>
        <v>0</v>
      </c>
      <c r="BR82" s="195">
        <f>INDEX(Tiere!E$30:E$114,'Nährstoffe und Lagerraum'!$BM82)</f>
        <v>0</v>
      </c>
      <c r="BS82" s="191">
        <f>INDEX(Tiere!F$30:F$114,'Nährstoffe und Lagerraum'!$BM82)</f>
        <v>0</v>
      </c>
      <c r="BT82" s="192">
        <f>INDEX(Tiere!G$30:G$114,'Nährstoffe und Lagerraum'!$BM82)</f>
        <v>0</v>
      </c>
      <c r="BU82" s="191">
        <f>INDEX(Tiere!K$30:K$114,'Nährstoffe und Lagerraum'!$BM82)</f>
        <v>0</v>
      </c>
      <c r="BV82" s="191">
        <f>INDEX(Tiere!Y$30:Y$114,'Nährstoffe und Lagerraum'!$BM82)</f>
        <v>0</v>
      </c>
      <c r="BW82" s="195">
        <f>INDEX(Tiere!S$30:S$114,'Nährstoffe und Lagerraum'!$BM82)</f>
        <v>0</v>
      </c>
      <c r="BX82" s="191">
        <f>INDEX(Tiere!T$30:T$114,'Nährstoffe und Lagerraum'!$BM82)</f>
        <v>0</v>
      </c>
      <c r="BY82" s="192">
        <f>INDEX(Tiere!U$30:U$114,'Nährstoffe und Lagerraum'!$BM82)</f>
        <v>0</v>
      </c>
      <c r="BZ82" s="195">
        <f>INDEX(Tiere!AA$30:AA$114,'Nährstoffe und Lagerraum'!$BM82)</f>
        <v>0</v>
      </c>
      <c r="CA82" s="192">
        <f>INDEX(Tiere!AB$30:AB$114,'Nährstoffe und Lagerraum'!$BM82)</f>
        <v>0</v>
      </c>
      <c r="CB82" s="192">
        <f>INDEX(Tiere!AK$30:AK$114,'Nährstoffe und Lagerraum'!$BM82)</f>
        <v>0</v>
      </c>
      <c r="CC82" s="192">
        <f>INDEX(Tiere!M$30:M$114,'Nährstoffe und Lagerraum'!$BM82)</f>
        <v>0</v>
      </c>
      <c r="CD82" s="192">
        <f>INDEX(Tiere!N$30:N$114,'Nährstoffe und Lagerraum'!$BM82)</f>
        <v>0</v>
      </c>
      <c r="CE82" s="192">
        <f>INDEX(Tiere!O$30:O$114,'Nährstoffe und Lagerraum'!$BM82)</f>
        <v>0</v>
      </c>
      <c r="CF82" s="2199">
        <f>CC82*'Eigene, abweichende Tierdaten'!$AH$64</f>
        <v>0</v>
      </c>
      <c r="CG82" s="2200">
        <f>CD82*'Eigene, abweichende Tierdaten'!$AH$64</f>
        <v>0</v>
      </c>
      <c r="CH82" s="2201">
        <f>CE82*'Eigene, abweichende Tierdaten'!$AH$64</f>
        <v>0</v>
      </c>
      <c r="CI82" s="2192">
        <v>5</v>
      </c>
      <c r="CJ82" s="2192">
        <v>3</v>
      </c>
      <c r="CK82" s="179">
        <v>17</v>
      </c>
      <c r="CL82" s="2197">
        <f>'Eigene, abweichende Tierdaten'!$AE$64</f>
        <v>5</v>
      </c>
      <c r="CM82" s="2197">
        <f>'Eigene, abweichende Tierdaten'!$AF$64</f>
        <v>3</v>
      </c>
      <c r="CN82" s="2197">
        <f>'Eigene, abweichende Tierdaten'!$AG$64</f>
        <v>17</v>
      </c>
      <c r="CO82" s="185">
        <f>INDEX(Tiere!AN$30:AN$114,'Nährstoffe und Lagerraum'!$BM82)</f>
        <v>0</v>
      </c>
      <c r="CP82" s="185">
        <f t="shared" si="22"/>
        <v>0</v>
      </c>
      <c r="CQ82" s="185">
        <f t="shared" si="23"/>
        <v>0</v>
      </c>
      <c r="CR82" s="189">
        <f t="shared" si="24"/>
        <v>0</v>
      </c>
      <c r="CS82" s="1677"/>
      <c r="CT82" s="357" t="b">
        <f t="shared" si="25"/>
        <v>0</v>
      </c>
      <c r="CU82" s="1677"/>
      <c r="CV82" s="195">
        <f>INDEX(Tiere!AO$30:AO$114,'Nährstoffe und Lagerraum'!$BM82)</f>
        <v>0</v>
      </c>
      <c r="CW82" s="195">
        <f>INDEX(Tiere!AP$30:AP$114,'Nährstoffe und Lagerraum'!$BM82)</f>
        <v>0</v>
      </c>
      <c r="CX82" s="195">
        <f>INDEX(Tiere!AQ$30:AQ$114,'Nährstoffe und Lagerraum'!$BM82)</f>
        <v>0</v>
      </c>
      <c r="CY82" s="92">
        <f t="shared" si="26"/>
        <v>0</v>
      </c>
      <c r="CZ82" s="652">
        <f t="shared" si="27"/>
        <v>0</v>
      </c>
      <c r="DA82" s="652">
        <f t="shared" si="28"/>
        <v>0</v>
      </c>
      <c r="DB82" s="652">
        <f t="shared" si="29"/>
        <v>0</v>
      </c>
      <c r="DC82" s="652">
        <f t="shared" si="30"/>
        <v>0</v>
      </c>
      <c r="DD82" s="652">
        <f t="shared" si="31"/>
        <v>0</v>
      </c>
      <c r="DE82" s="652">
        <f t="shared" si="32"/>
        <v>0</v>
      </c>
      <c r="DF82" s="652">
        <f t="shared" si="33"/>
        <v>0</v>
      </c>
      <c r="DG82" s="652">
        <f t="shared" si="34"/>
        <v>0</v>
      </c>
      <c r="DH82" s="652">
        <f t="shared" si="35"/>
        <v>0</v>
      </c>
      <c r="DI82" s="652"/>
      <c r="DJ82" s="652">
        <f t="shared" si="36"/>
        <v>0</v>
      </c>
      <c r="DK82" s="652">
        <f t="shared" si="37"/>
        <v>0</v>
      </c>
      <c r="DL82" s="652">
        <f t="shared" si="38"/>
        <v>0</v>
      </c>
      <c r="DM82" s="652">
        <f t="shared" si="39"/>
        <v>0</v>
      </c>
      <c r="DN82" s="652">
        <f t="shared" ref="DN82:DN87" si="126">+DJ82-DM82</f>
        <v>0</v>
      </c>
      <c r="DO82" s="652">
        <f t="shared" si="40"/>
        <v>55</v>
      </c>
      <c r="DP82" s="652">
        <f t="shared" si="41"/>
        <v>0</v>
      </c>
      <c r="DQ82" s="157" t="b">
        <v>0</v>
      </c>
      <c r="DR82" s="185">
        <f t="shared" ref="DR82:DR87" si="127">IF(DQ82=TRUE,1,0)</f>
        <v>0</v>
      </c>
      <c r="DS82" s="348">
        <f>INDEX(Tiere!AS$30:AS$114,'Nährstoffe und Lagerraum'!$BM82)</f>
        <v>0</v>
      </c>
      <c r="DT82" s="195">
        <f>INDEX(Tiere!AT$30:AT$114,'Nährstoffe und Lagerraum'!$BM82)</f>
        <v>0</v>
      </c>
      <c r="DU82" s="195">
        <f>INDEX(Tiere!AU$30:AU$114,'Nährstoffe und Lagerraum'!$BM82)</f>
        <v>0</v>
      </c>
      <c r="DV82" s="348">
        <f>INDEX(Tiere!AV$30:AV$114,'Nährstoffe und Lagerraum'!$BM82)</f>
        <v>0</v>
      </c>
      <c r="DW82" s="195">
        <f>INDEX(Tiere!AW$30:AW$114,'Nährstoffe und Lagerraum'!$BM82)</f>
        <v>0</v>
      </c>
      <c r="DX82" s="2177">
        <f>DW82+('Eigene, abweichende Tierdaten'!$AH$67*'Eigene, abweichende Tierdaten'!$M$55)/1000</f>
        <v>0</v>
      </c>
      <c r="DY82" s="195">
        <f>INDEX(Tiere!AX$30:AX$114,'Nährstoffe und Lagerraum'!$BM82)</f>
        <v>0</v>
      </c>
      <c r="DZ82" s="195">
        <f>INDEX(Tiere!AY$30:AY$114,'Nährstoffe und Lagerraum'!$BM82)</f>
        <v>0</v>
      </c>
      <c r="EA82" s="195">
        <f>INDEX(Tiere!AZ$30:AZ$114,'Nährstoffe und Lagerraum'!$BM82)</f>
        <v>0</v>
      </c>
      <c r="EB82" s="191">
        <f t="shared" si="42"/>
        <v>0</v>
      </c>
      <c r="EC82" s="191">
        <f t="shared" si="43"/>
        <v>0</v>
      </c>
      <c r="ED82" s="191">
        <f t="shared" si="44"/>
        <v>0</v>
      </c>
      <c r="EE82" s="191">
        <f t="shared" si="45"/>
        <v>0</v>
      </c>
      <c r="EF82" s="191">
        <f t="shared" si="46"/>
        <v>0</v>
      </c>
      <c r="EG82" s="2203">
        <f t="shared" si="82"/>
        <v>0</v>
      </c>
      <c r="EH82" s="2203">
        <f t="shared" si="47"/>
        <v>0</v>
      </c>
      <c r="EI82" s="2204">
        <f t="shared" si="83"/>
        <v>0</v>
      </c>
      <c r="EJ82" s="355">
        <f t="shared" ref="EJ82:EJ87" si="128">+EI82*DY82/100</f>
        <v>0</v>
      </c>
      <c r="EK82" s="355">
        <f t="shared" si="48"/>
        <v>0</v>
      </c>
      <c r="EL82" s="92">
        <f t="shared" si="49"/>
        <v>0</v>
      </c>
      <c r="EM82" s="355">
        <f t="shared" ref="EM82:EM87" si="129">+EK82-EL82</f>
        <v>0</v>
      </c>
      <c r="EN82" s="92" t="e">
        <f t="shared" ref="EN82:EN87" si="130">+EL82/EK82</f>
        <v>#DIV/0!</v>
      </c>
      <c r="EO82" s="92">
        <f t="shared" si="50"/>
        <v>0</v>
      </c>
      <c r="EP82" s="2205" t="e">
        <f t="shared" si="87"/>
        <v>#DIV/0!</v>
      </c>
      <c r="EQ82" s="117" t="e">
        <f t="shared" ref="EQ82:EQ87" si="131">(ED82+EF82)*EP82*((EH82+EJ82)/(EG82+EI82))/22.26*0.01605</f>
        <v>#DIV/0!</v>
      </c>
      <c r="ER82" s="117" t="e">
        <f t="shared" si="51"/>
        <v>#DIV/0!</v>
      </c>
      <c r="ES82" s="92">
        <f t="shared" ref="ES82:ES87" si="132">IF(EK82=0,0,EQ82+ER82)</f>
        <v>0</v>
      </c>
      <c r="ET82" s="2207">
        <f t="shared" si="89"/>
        <v>0</v>
      </c>
      <c r="EU82" s="146">
        <f t="shared" ref="EU82:EU87" si="133">15.44*ET82/100</f>
        <v>0</v>
      </c>
      <c r="EV82" s="283">
        <f t="shared" ref="EV82:EV87" si="134">+ES82-EW82</f>
        <v>0</v>
      </c>
      <c r="EW82" s="283">
        <f t="shared" ref="EW82:EW87" si="135">+ES82*EU82/100</f>
        <v>0</v>
      </c>
      <c r="EZ82" s="92">
        <f t="shared" si="52"/>
        <v>0</v>
      </c>
      <c r="FA82" s="92">
        <f t="shared" si="53"/>
        <v>0</v>
      </c>
      <c r="FB82" s="2205">
        <f t="shared" si="93"/>
        <v>0</v>
      </c>
      <c r="FC82" s="2205">
        <f t="shared" si="54"/>
        <v>0</v>
      </c>
      <c r="FD82" s="92">
        <f t="shared" si="94"/>
        <v>0</v>
      </c>
      <c r="FE82" s="92">
        <f t="shared" si="95"/>
        <v>0</v>
      </c>
      <c r="FF82" s="92">
        <f t="shared" si="55"/>
        <v>0</v>
      </c>
      <c r="FG82" s="92">
        <f t="shared" si="56"/>
        <v>0</v>
      </c>
      <c r="FH82" s="92" cm="1">
        <f t="array" ref="FH82">INDEX(Tiere!$AJ$30:$AJ$114,BM82)</f>
        <v>0</v>
      </c>
    </row>
    <row r="83" spans="1:164" ht="18" customHeight="1" x14ac:dyDescent="0.2">
      <c r="A83" s="2567"/>
      <c r="B83" s="2568"/>
      <c r="C83" s="2568"/>
      <c r="D83" s="2568"/>
      <c r="E83" s="1509"/>
      <c r="F83" s="1515"/>
      <c r="G83" s="1942"/>
      <c r="H83" s="1509"/>
      <c r="I83" s="1675"/>
      <c r="J83" s="1674" t="str">
        <f t="shared" ref="J83:K87" si="136">IF(U83+W83=0," ",(U83+W83)/2)</f>
        <v xml:space="preserve"> </v>
      </c>
      <c r="K83" s="2583" t="str">
        <f t="shared" si="136"/>
        <v xml:space="preserve"> </v>
      </c>
      <c r="L83" s="2440"/>
      <c r="M83" s="449"/>
      <c r="N83" s="15"/>
      <c r="O83" s="15"/>
      <c r="P83" s="157"/>
      <c r="Q83" s="185" t="str">
        <f t="shared" si="99"/>
        <v xml:space="preserve"> </v>
      </c>
      <c r="R83" s="185" t="str">
        <f t="shared" si="4"/>
        <v xml:space="preserve"> </v>
      </c>
      <c r="S83" s="185">
        <f t="shared" si="5"/>
        <v>0</v>
      </c>
      <c r="T83" s="1676">
        <f t="shared" si="6"/>
        <v>0</v>
      </c>
      <c r="U83" s="185">
        <f t="shared" si="7"/>
        <v>0</v>
      </c>
      <c r="V83" s="2194">
        <f t="shared" si="57"/>
        <v>0</v>
      </c>
      <c r="W83" s="185">
        <f t="shared" si="8"/>
        <v>0</v>
      </c>
      <c r="X83" s="2195">
        <f t="shared" si="58"/>
        <v>0</v>
      </c>
      <c r="Y83" s="185" t="str">
        <f t="shared" si="100"/>
        <v xml:space="preserve"> </v>
      </c>
      <c r="Z83" s="186">
        <f t="shared" si="101"/>
        <v>0</v>
      </c>
      <c r="AA83" s="187">
        <f t="shared" si="102"/>
        <v>0</v>
      </c>
      <c r="AB83" s="1676">
        <f t="shared" si="103"/>
        <v>0</v>
      </c>
      <c r="AC83" s="1676">
        <f t="shared" si="104"/>
        <v>0</v>
      </c>
      <c r="AD83" s="1676">
        <f t="shared" si="105"/>
        <v>0</v>
      </c>
      <c r="AE83" s="1676">
        <f t="shared" si="106"/>
        <v>0</v>
      </c>
      <c r="AF83" s="188">
        <f t="shared" si="107"/>
        <v>0</v>
      </c>
      <c r="AG83" s="185">
        <f t="shared" si="108"/>
        <v>0</v>
      </c>
      <c r="AH83" s="185">
        <f t="shared" si="109"/>
        <v>0</v>
      </c>
      <c r="AI83" s="189">
        <f t="shared" si="110"/>
        <v>0</v>
      </c>
      <c r="AJ83" s="190">
        <f>INDEX(Tiere!L$30:L$114,'Nährstoffe und Lagerraum'!$BM83)</f>
        <v>0</v>
      </c>
      <c r="AK83" s="190">
        <f>INDEX(Tiere!Z$30:Z$114,'Nährstoffe und Lagerraum'!BM83)</f>
        <v>0</v>
      </c>
      <c r="AL83" s="185">
        <f t="shared" si="111"/>
        <v>0</v>
      </c>
      <c r="AM83" s="185">
        <f t="shared" si="112"/>
        <v>0</v>
      </c>
      <c r="AN83" s="185">
        <f t="shared" si="113"/>
        <v>0</v>
      </c>
      <c r="AO83" s="188">
        <f t="shared" si="114"/>
        <v>0</v>
      </c>
      <c r="AP83" s="185">
        <f t="shared" si="115"/>
        <v>0</v>
      </c>
      <c r="AQ83" s="189">
        <f t="shared" si="116"/>
        <v>0</v>
      </c>
      <c r="AR83" s="190" cm="1">
        <f t="array" ref="AR83">IF(BN83=1,INDEX(Tiere!V$30:V$114,'Nährstoffe und Lagerraum'!$BM83),IF(BN83=2,INDEX(Tiere!W$30:W$114,'Nährstoffe und Lagerraum'!$BM83),INDEX(Tiere!X$30:X$114,'Nährstoffe und Lagerraum'!$BM83)))</f>
        <v>0</v>
      </c>
      <c r="AS83" s="2194">
        <f t="shared" si="67"/>
        <v>0</v>
      </c>
      <c r="AT83" s="2194">
        <f t="shared" si="68"/>
        <v>0</v>
      </c>
      <c r="AU83" s="2194">
        <f t="shared" si="69"/>
        <v>0</v>
      </c>
      <c r="AV83" s="2196">
        <f t="shared" si="70"/>
        <v>0</v>
      </c>
      <c r="AW83" s="2197">
        <f t="shared" si="71"/>
        <v>0</v>
      </c>
      <c r="AX83" s="2198">
        <f t="shared" si="72"/>
        <v>0</v>
      </c>
      <c r="AY83" s="185"/>
      <c r="AZ83" s="195">
        <f t="shared" si="117"/>
        <v>0</v>
      </c>
      <c r="BA83" s="191">
        <f t="shared" si="118"/>
        <v>0</v>
      </c>
      <c r="BB83" s="2194">
        <f t="shared" si="73"/>
        <v>0</v>
      </c>
      <c r="BC83" s="188">
        <f t="shared" si="119"/>
        <v>0</v>
      </c>
      <c r="BD83" s="185">
        <f t="shared" si="120"/>
        <v>0</v>
      </c>
      <c r="BE83" s="2198">
        <f t="shared" si="74"/>
        <v>0</v>
      </c>
      <c r="BF83" s="195">
        <f t="shared" si="121"/>
        <v>0</v>
      </c>
      <c r="BG83" s="192">
        <f t="shared" si="122"/>
        <v>0</v>
      </c>
      <c r="BH83" s="871">
        <f>INDEX(Tiere!BH$30:BH$114,'Nährstoffe und Lagerraum'!$BM83)</f>
        <v>0</v>
      </c>
      <c r="BI83" s="871">
        <f>INDEX(Tiere!BI$30:BI$114,'Nährstoffe und Lagerraum'!$BM83)</f>
        <v>0</v>
      </c>
      <c r="BJ83" s="871">
        <f>INDEX(Tiere!BJ$30:BJ$114,'Nährstoffe und Lagerraum'!$BM83)</f>
        <v>0</v>
      </c>
      <c r="BK83" s="684">
        <f t="shared" si="123"/>
        <v>1</v>
      </c>
      <c r="BL83" s="684" cm="1">
        <f t="array" ref="BL83">INDEX(Tiere!$C$30:$C$114,BM83)</f>
        <v>0</v>
      </c>
      <c r="BM83" s="197">
        <v>1</v>
      </c>
      <c r="BN83" s="197">
        <v>1</v>
      </c>
      <c r="BO83" s="196">
        <f>INDEX(Tiere!D$30:D$114,'Nährstoffe und Lagerraum'!$BM83)</f>
        <v>0</v>
      </c>
      <c r="BP83" s="196" t="str">
        <f t="shared" si="124"/>
        <v>1</v>
      </c>
      <c r="BQ83" s="196">
        <f t="shared" si="125"/>
        <v>0</v>
      </c>
      <c r="BR83" s="195">
        <f>INDEX(Tiere!E$30:E$114,'Nährstoffe und Lagerraum'!$BM83)</f>
        <v>0</v>
      </c>
      <c r="BS83" s="191">
        <f>INDEX(Tiere!F$30:F$114,'Nährstoffe und Lagerraum'!$BM83)</f>
        <v>0</v>
      </c>
      <c r="BT83" s="192">
        <f>INDEX(Tiere!G$30:G$114,'Nährstoffe und Lagerraum'!$BM83)</f>
        <v>0</v>
      </c>
      <c r="BU83" s="191">
        <f>INDEX(Tiere!K$30:K$114,'Nährstoffe und Lagerraum'!$BM83)</f>
        <v>0</v>
      </c>
      <c r="BV83" s="191">
        <f>INDEX(Tiere!Y$30:Y$114,'Nährstoffe und Lagerraum'!$BM83)</f>
        <v>0</v>
      </c>
      <c r="BW83" s="195">
        <f>INDEX(Tiere!S$30:S$114,'Nährstoffe und Lagerraum'!$BM83)</f>
        <v>0</v>
      </c>
      <c r="BX83" s="191">
        <f>INDEX(Tiere!T$30:T$114,'Nährstoffe und Lagerraum'!$BM83)</f>
        <v>0</v>
      </c>
      <c r="BY83" s="192">
        <f>INDEX(Tiere!U$30:U$114,'Nährstoffe und Lagerraum'!$BM83)</f>
        <v>0</v>
      </c>
      <c r="BZ83" s="195">
        <f>INDEX(Tiere!AA$30:AA$114,'Nährstoffe und Lagerraum'!$BM83)</f>
        <v>0</v>
      </c>
      <c r="CA83" s="192">
        <f>INDEX(Tiere!AB$30:AB$114,'Nährstoffe und Lagerraum'!$BM83)</f>
        <v>0</v>
      </c>
      <c r="CB83" s="192">
        <f>INDEX(Tiere!AK$30:AK$114,'Nährstoffe und Lagerraum'!$BM83)</f>
        <v>0</v>
      </c>
      <c r="CC83" s="192">
        <f>INDEX(Tiere!M$30:M$114,'Nährstoffe und Lagerraum'!$BM83)</f>
        <v>0</v>
      </c>
      <c r="CD83" s="192">
        <f>INDEX(Tiere!N$30:N$114,'Nährstoffe und Lagerraum'!$BM83)</f>
        <v>0</v>
      </c>
      <c r="CE83" s="192">
        <f>INDEX(Tiere!O$30:O$114,'Nährstoffe und Lagerraum'!$BM83)</f>
        <v>0</v>
      </c>
      <c r="CF83" s="2199">
        <f>CC83*'Eigene, abweichende Tierdaten'!$AH$64</f>
        <v>0</v>
      </c>
      <c r="CG83" s="2200">
        <f>CD83*'Eigene, abweichende Tierdaten'!$AH$64</f>
        <v>0</v>
      </c>
      <c r="CH83" s="2201">
        <f>CE83*'Eigene, abweichende Tierdaten'!$AH$64</f>
        <v>0</v>
      </c>
      <c r="CI83" s="2192">
        <v>5</v>
      </c>
      <c r="CJ83" s="173">
        <v>3</v>
      </c>
      <c r="CK83" s="179">
        <v>17</v>
      </c>
      <c r="CL83" s="2197">
        <f>'Eigene, abweichende Tierdaten'!$AE$64</f>
        <v>5</v>
      </c>
      <c r="CM83" s="2197">
        <f>'Eigene, abweichende Tierdaten'!$AF$64</f>
        <v>3</v>
      </c>
      <c r="CN83" s="2197">
        <f>'Eigene, abweichende Tierdaten'!$AG$64</f>
        <v>17</v>
      </c>
      <c r="CO83" s="185">
        <f>INDEX(Tiere!AN$30:AN$114,'Nährstoffe und Lagerraum'!$BM83)</f>
        <v>0</v>
      </c>
      <c r="CP83" s="185">
        <f t="shared" si="22"/>
        <v>0</v>
      </c>
      <c r="CQ83" s="185">
        <f t="shared" si="23"/>
        <v>0</v>
      </c>
      <c r="CR83" s="189">
        <f t="shared" si="24"/>
        <v>0</v>
      </c>
      <c r="CS83" s="1677"/>
      <c r="CT83" s="357" t="b">
        <f t="shared" si="25"/>
        <v>0</v>
      </c>
      <c r="CU83" s="1677"/>
      <c r="CV83" s="195">
        <f>INDEX(Tiere!AO$30:AO$114,'Nährstoffe und Lagerraum'!$BM83)</f>
        <v>0</v>
      </c>
      <c r="CW83" s="195">
        <f>INDEX(Tiere!AP$30:AP$114,'Nährstoffe und Lagerraum'!$BM83)</f>
        <v>0</v>
      </c>
      <c r="CX83" s="195">
        <f>INDEX(Tiere!AQ$30:AQ$114,'Nährstoffe und Lagerraum'!$BM83)</f>
        <v>0</v>
      </c>
      <c r="CY83" s="92">
        <f t="shared" si="26"/>
        <v>0</v>
      </c>
      <c r="CZ83" s="652">
        <f t="shared" si="27"/>
        <v>0</v>
      </c>
      <c r="DA83" s="652">
        <f t="shared" si="28"/>
        <v>0</v>
      </c>
      <c r="DB83" s="652">
        <f t="shared" si="29"/>
        <v>0</v>
      </c>
      <c r="DC83" s="652">
        <f t="shared" si="30"/>
        <v>0</v>
      </c>
      <c r="DD83" s="652">
        <f t="shared" si="31"/>
        <v>0</v>
      </c>
      <c r="DE83" s="652">
        <f t="shared" si="32"/>
        <v>0</v>
      </c>
      <c r="DF83" s="652">
        <f t="shared" si="33"/>
        <v>0</v>
      </c>
      <c r="DG83" s="652">
        <f t="shared" si="34"/>
        <v>0</v>
      </c>
      <c r="DH83" s="652">
        <f t="shared" si="35"/>
        <v>0</v>
      </c>
      <c r="DI83" s="652"/>
      <c r="DJ83" s="652">
        <f t="shared" si="36"/>
        <v>0</v>
      </c>
      <c r="DK83" s="652">
        <f t="shared" si="37"/>
        <v>0</v>
      </c>
      <c r="DL83" s="652">
        <f t="shared" si="38"/>
        <v>0</v>
      </c>
      <c r="DM83" s="652">
        <f t="shared" si="39"/>
        <v>0</v>
      </c>
      <c r="DN83" s="652">
        <f t="shared" si="126"/>
        <v>0</v>
      </c>
      <c r="DO83" s="652">
        <f t="shared" si="40"/>
        <v>55</v>
      </c>
      <c r="DP83" s="652">
        <f t="shared" si="41"/>
        <v>0</v>
      </c>
      <c r="DQ83" s="157" t="b">
        <v>0</v>
      </c>
      <c r="DR83" s="185">
        <f t="shared" si="127"/>
        <v>0</v>
      </c>
      <c r="DS83" s="348">
        <f>INDEX(Tiere!AS$30:AS$114,'Nährstoffe und Lagerraum'!$BM83)</f>
        <v>0</v>
      </c>
      <c r="DT83" s="195">
        <f>INDEX(Tiere!AT$30:AT$114,'Nährstoffe und Lagerraum'!$BM83)</f>
        <v>0</v>
      </c>
      <c r="DU83" s="195">
        <f>INDEX(Tiere!AU$30:AU$114,'Nährstoffe und Lagerraum'!$BM83)</f>
        <v>0</v>
      </c>
      <c r="DV83" s="348">
        <f>INDEX(Tiere!AV$30:AV$114,'Nährstoffe und Lagerraum'!$BM83)</f>
        <v>0</v>
      </c>
      <c r="DW83" s="195">
        <f>INDEX(Tiere!AW$30:AW$114,'Nährstoffe und Lagerraum'!$BM83)</f>
        <v>0</v>
      </c>
      <c r="DX83" s="2177">
        <f>DW83+('Eigene, abweichende Tierdaten'!$AH$67*'Eigene, abweichende Tierdaten'!$M$55)/1000</f>
        <v>0</v>
      </c>
      <c r="DY83" s="195">
        <f>INDEX(Tiere!AX$30:AX$114,'Nährstoffe und Lagerraum'!$BM83)</f>
        <v>0</v>
      </c>
      <c r="DZ83" s="195">
        <f>INDEX(Tiere!AY$30:AY$114,'Nährstoffe und Lagerraum'!$BM83)</f>
        <v>0</v>
      </c>
      <c r="EA83" s="195">
        <f>INDEX(Tiere!AZ$30:AZ$114,'Nährstoffe und Lagerraum'!$BM83)</f>
        <v>0</v>
      </c>
      <c r="EB83" s="191">
        <f t="shared" si="42"/>
        <v>0</v>
      </c>
      <c r="EC83" s="191">
        <f t="shared" si="43"/>
        <v>0</v>
      </c>
      <c r="ED83" s="191">
        <f t="shared" si="44"/>
        <v>0</v>
      </c>
      <c r="EE83" s="191">
        <f t="shared" si="45"/>
        <v>0</v>
      </c>
      <c r="EF83" s="191">
        <f t="shared" si="46"/>
        <v>0</v>
      </c>
      <c r="EG83" s="2203">
        <f t="shared" si="82"/>
        <v>0</v>
      </c>
      <c r="EH83" s="2203">
        <f t="shared" si="47"/>
        <v>0</v>
      </c>
      <c r="EI83" s="2204">
        <f t="shared" si="83"/>
        <v>0</v>
      </c>
      <c r="EJ83" s="355">
        <f t="shared" si="128"/>
        <v>0</v>
      </c>
      <c r="EK83" s="355">
        <f t="shared" si="48"/>
        <v>0</v>
      </c>
      <c r="EL83" s="92">
        <f t="shared" si="49"/>
        <v>0</v>
      </c>
      <c r="EM83" s="355">
        <f t="shared" si="129"/>
        <v>0</v>
      </c>
      <c r="EN83" s="92" t="e">
        <f t="shared" si="130"/>
        <v>#DIV/0!</v>
      </c>
      <c r="EO83" s="92">
        <f t="shared" si="50"/>
        <v>0</v>
      </c>
      <c r="EP83" s="2205" t="e">
        <f t="shared" si="87"/>
        <v>#DIV/0!</v>
      </c>
      <c r="EQ83" s="117" t="e">
        <f t="shared" si="131"/>
        <v>#DIV/0!</v>
      </c>
      <c r="ER83" s="117" t="e">
        <f t="shared" si="51"/>
        <v>#DIV/0!</v>
      </c>
      <c r="ES83" s="92">
        <f t="shared" si="132"/>
        <v>0</v>
      </c>
      <c r="ET83" s="2207">
        <f t="shared" si="89"/>
        <v>0</v>
      </c>
      <c r="EU83" s="146">
        <f t="shared" si="133"/>
        <v>0</v>
      </c>
      <c r="EV83" s="283">
        <f t="shared" si="134"/>
        <v>0</v>
      </c>
      <c r="EW83" s="283">
        <f t="shared" si="135"/>
        <v>0</v>
      </c>
      <c r="EZ83" s="92">
        <f t="shared" si="52"/>
        <v>0</v>
      </c>
      <c r="FA83" s="92">
        <f t="shared" si="53"/>
        <v>0</v>
      </c>
      <c r="FB83" s="2205">
        <f t="shared" si="93"/>
        <v>0</v>
      </c>
      <c r="FC83" s="2205">
        <f t="shared" si="54"/>
        <v>0</v>
      </c>
      <c r="FD83" s="92">
        <f t="shared" si="94"/>
        <v>0</v>
      </c>
      <c r="FE83" s="92">
        <f t="shared" si="95"/>
        <v>0</v>
      </c>
      <c r="FF83" s="92">
        <f t="shared" si="55"/>
        <v>0</v>
      </c>
      <c r="FG83" s="92">
        <f t="shared" si="56"/>
        <v>0</v>
      </c>
      <c r="FH83" s="92" cm="1">
        <f t="array" ref="FH83">INDEX(Tiere!$AJ$30:$AJ$114,BM83)</f>
        <v>0</v>
      </c>
    </row>
    <row r="84" spans="1:164" ht="18" customHeight="1" x14ac:dyDescent="0.2">
      <c r="A84" s="2734"/>
      <c r="B84" s="2735"/>
      <c r="C84" s="2735"/>
      <c r="D84" s="2736"/>
      <c r="E84" s="1508"/>
      <c r="F84" s="1514"/>
      <c r="G84" s="1942"/>
      <c r="H84" s="1508"/>
      <c r="I84" s="1510"/>
      <c r="J84" s="1450" t="str">
        <f t="shared" si="136"/>
        <v xml:space="preserve"> </v>
      </c>
      <c r="K84" s="2583" t="str">
        <f t="shared" si="136"/>
        <v xml:space="preserve"> </v>
      </c>
      <c r="L84" s="2440"/>
      <c r="M84" s="1277"/>
      <c r="N84" s="15"/>
      <c r="O84" s="15"/>
      <c r="P84" s="157"/>
      <c r="Q84" s="185" t="str">
        <f t="shared" si="99"/>
        <v xml:space="preserve"> </v>
      </c>
      <c r="R84" s="185" t="str">
        <f t="shared" si="4"/>
        <v xml:space="preserve"> </v>
      </c>
      <c r="S84" s="185">
        <f t="shared" si="5"/>
        <v>0</v>
      </c>
      <c r="T84" s="1676">
        <f t="shared" si="6"/>
        <v>0</v>
      </c>
      <c r="U84" s="185">
        <f t="shared" si="7"/>
        <v>0</v>
      </c>
      <c r="V84" s="2194">
        <f t="shared" si="57"/>
        <v>0</v>
      </c>
      <c r="W84" s="185">
        <f t="shared" si="8"/>
        <v>0</v>
      </c>
      <c r="X84" s="2195">
        <f t="shared" si="58"/>
        <v>0</v>
      </c>
      <c r="Y84" s="185" t="str">
        <f t="shared" si="100"/>
        <v xml:space="preserve"> </v>
      </c>
      <c r="Z84" s="186">
        <f t="shared" si="101"/>
        <v>0</v>
      </c>
      <c r="AA84" s="187">
        <f t="shared" si="102"/>
        <v>0</v>
      </c>
      <c r="AB84" s="1676">
        <f t="shared" si="103"/>
        <v>0</v>
      </c>
      <c r="AC84" s="1676">
        <f t="shared" si="104"/>
        <v>0</v>
      </c>
      <c r="AD84" s="1676">
        <f t="shared" si="105"/>
        <v>0</v>
      </c>
      <c r="AE84" s="1676">
        <f t="shared" si="106"/>
        <v>0</v>
      </c>
      <c r="AF84" s="188">
        <f t="shared" si="107"/>
        <v>0</v>
      </c>
      <c r="AG84" s="185">
        <f t="shared" si="108"/>
        <v>0</v>
      </c>
      <c r="AH84" s="185">
        <f t="shared" si="109"/>
        <v>0</v>
      </c>
      <c r="AI84" s="189">
        <f t="shared" si="110"/>
        <v>0</v>
      </c>
      <c r="AJ84" s="190">
        <f>INDEX(Tiere!L$30:L$114,'Nährstoffe und Lagerraum'!$BM84)</f>
        <v>0</v>
      </c>
      <c r="AK84" s="190">
        <f>INDEX(Tiere!Z$30:Z$114,'Nährstoffe und Lagerraum'!BM84)</f>
        <v>0</v>
      </c>
      <c r="AL84" s="185">
        <f t="shared" si="111"/>
        <v>0</v>
      </c>
      <c r="AM84" s="185">
        <f t="shared" si="112"/>
        <v>0</v>
      </c>
      <c r="AN84" s="185">
        <f t="shared" si="113"/>
        <v>0</v>
      </c>
      <c r="AO84" s="188">
        <f t="shared" si="114"/>
        <v>0</v>
      </c>
      <c r="AP84" s="185">
        <f t="shared" si="115"/>
        <v>0</v>
      </c>
      <c r="AQ84" s="189">
        <f t="shared" si="116"/>
        <v>0</v>
      </c>
      <c r="AR84" s="190" cm="1">
        <f t="array" ref="AR84">IF(BN84=1,INDEX(Tiere!V$30:V$114,'Nährstoffe und Lagerraum'!$BM84),IF(BN84=2,INDEX(Tiere!W$30:W$114,'Nährstoffe und Lagerraum'!$BM84),INDEX(Tiere!X$30:X$114,'Nährstoffe und Lagerraum'!$BM84)))</f>
        <v>0</v>
      </c>
      <c r="AS84" s="2194">
        <f t="shared" si="67"/>
        <v>0</v>
      </c>
      <c r="AT84" s="2194">
        <f t="shared" si="68"/>
        <v>0</v>
      </c>
      <c r="AU84" s="2194">
        <f t="shared" si="69"/>
        <v>0</v>
      </c>
      <c r="AV84" s="2196">
        <f t="shared" si="70"/>
        <v>0</v>
      </c>
      <c r="AW84" s="2197">
        <f t="shared" si="71"/>
        <v>0</v>
      </c>
      <c r="AX84" s="2198">
        <f t="shared" si="72"/>
        <v>0</v>
      </c>
      <c r="AY84" s="185"/>
      <c r="AZ84" s="195">
        <f t="shared" si="117"/>
        <v>0</v>
      </c>
      <c r="BA84" s="191">
        <f t="shared" si="118"/>
        <v>0</v>
      </c>
      <c r="BB84" s="2194">
        <f t="shared" si="73"/>
        <v>0</v>
      </c>
      <c r="BC84" s="188">
        <f t="shared" si="119"/>
        <v>0</v>
      </c>
      <c r="BD84" s="185">
        <f t="shared" si="120"/>
        <v>0</v>
      </c>
      <c r="BE84" s="2198">
        <f t="shared" si="74"/>
        <v>0</v>
      </c>
      <c r="BF84" s="195">
        <f t="shared" si="121"/>
        <v>0</v>
      </c>
      <c r="BG84" s="192">
        <f t="shared" si="122"/>
        <v>0</v>
      </c>
      <c r="BH84" s="871">
        <f>INDEX(Tiere!BH$30:BH$114,'Nährstoffe und Lagerraum'!$BM84)</f>
        <v>0</v>
      </c>
      <c r="BI84" s="871">
        <f>INDEX(Tiere!BI$30:BI$114,'Nährstoffe und Lagerraum'!$BM84)</f>
        <v>0</v>
      </c>
      <c r="BJ84" s="871">
        <f>INDEX(Tiere!BJ$30:BJ$114,'Nährstoffe und Lagerraum'!$BM84)</f>
        <v>0</v>
      </c>
      <c r="BK84" s="684">
        <f t="shared" si="123"/>
        <v>1</v>
      </c>
      <c r="BL84" s="684" cm="1">
        <f t="array" ref="BL84">INDEX(Tiere!$C$30:$C$114,BM84)</f>
        <v>0</v>
      </c>
      <c r="BM84" s="197">
        <v>1</v>
      </c>
      <c r="BN84" s="197">
        <v>1</v>
      </c>
      <c r="BO84" s="196">
        <f>INDEX(Tiere!D$30:D$114,'Nährstoffe und Lagerraum'!$BM84)</f>
        <v>0</v>
      </c>
      <c r="BP84" s="196" t="str">
        <f t="shared" si="124"/>
        <v>1</v>
      </c>
      <c r="BQ84" s="196">
        <f t="shared" si="125"/>
        <v>0</v>
      </c>
      <c r="BR84" s="195">
        <f>INDEX(Tiere!E$30:E$114,'Nährstoffe und Lagerraum'!$BM84)</f>
        <v>0</v>
      </c>
      <c r="BS84" s="191">
        <f>INDEX(Tiere!F$30:F$114,'Nährstoffe und Lagerraum'!$BM84)</f>
        <v>0</v>
      </c>
      <c r="BT84" s="192">
        <f>INDEX(Tiere!G$30:G$114,'Nährstoffe und Lagerraum'!$BM84)</f>
        <v>0</v>
      </c>
      <c r="BU84" s="191">
        <f>INDEX(Tiere!K$30:K$114,'Nährstoffe und Lagerraum'!$BM84)</f>
        <v>0</v>
      </c>
      <c r="BV84" s="191">
        <f>INDEX(Tiere!Y$30:Y$114,'Nährstoffe und Lagerraum'!$BM84)</f>
        <v>0</v>
      </c>
      <c r="BW84" s="195">
        <f>INDEX(Tiere!S$30:S$114,'Nährstoffe und Lagerraum'!$BM84)</f>
        <v>0</v>
      </c>
      <c r="BX84" s="191">
        <f>INDEX(Tiere!T$30:T$114,'Nährstoffe und Lagerraum'!$BM84)</f>
        <v>0</v>
      </c>
      <c r="BY84" s="192">
        <f>INDEX(Tiere!U$30:U$114,'Nährstoffe und Lagerraum'!$BM84)</f>
        <v>0</v>
      </c>
      <c r="BZ84" s="195">
        <f>INDEX(Tiere!AA$30:AA$114,'Nährstoffe und Lagerraum'!$BM84)</f>
        <v>0</v>
      </c>
      <c r="CA84" s="192">
        <f>INDEX(Tiere!AB$30:AB$114,'Nährstoffe und Lagerraum'!$BM84)</f>
        <v>0</v>
      </c>
      <c r="CB84" s="192">
        <f>INDEX(Tiere!AK$30:AK$114,'Nährstoffe und Lagerraum'!$BM84)</f>
        <v>0</v>
      </c>
      <c r="CC84" s="192">
        <f>INDEX(Tiere!M$30:M$114,'Nährstoffe und Lagerraum'!$BM84)</f>
        <v>0</v>
      </c>
      <c r="CD84" s="192">
        <f>INDEX(Tiere!N$30:N$114,'Nährstoffe und Lagerraum'!$BM84)</f>
        <v>0</v>
      </c>
      <c r="CE84" s="192">
        <f>INDEX(Tiere!O$30:O$114,'Nährstoffe und Lagerraum'!$BM84)</f>
        <v>0</v>
      </c>
      <c r="CF84" s="2199">
        <f>CC84*'Eigene, abweichende Tierdaten'!$AH$64</f>
        <v>0</v>
      </c>
      <c r="CG84" s="2200">
        <f>CD84*'Eigene, abweichende Tierdaten'!$AH$64</f>
        <v>0</v>
      </c>
      <c r="CH84" s="2201">
        <f>CE84*'Eigene, abweichende Tierdaten'!$AH$64</f>
        <v>0</v>
      </c>
      <c r="CI84" s="2192">
        <v>5</v>
      </c>
      <c r="CJ84" s="173">
        <v>3</v>
      </c>
      <c r="CK84" s="179">
        <v>17</v>
      </c>
      <c r="CL84" s="2197">
        <f>'Eigene, abweichende Tierdaten'!$AE$64</f>
        <v>5</v>
      </c>
      <c r="CM84" s="2197">
        <f>'Eigene, abweichende Tierdaten'!$AF$64</f>
        <v>3</v>
      </c>
      <c r="CN84" s="2197">
        <f>'Eigene, abweichende Tierdaten'!$AG$64</f>
        <v>17</v>
      </c>
      <c r="CO84" s="185">
        <f>INDEX(Tiere!AN$30:AN$114,'Nährstoffe und Lagerraum'!$BM84)</f>
        <v>0</v>
      </c>
      <c r="CP84" s="185">
        <f t="shared" si="22"/>
        <v>0</v>
      </c>
      <c r="CQ84" s="185">
        <f t="shared" si="23"/>
        <v>0</v>
      </c>
      <c r="CR84" s="189">
        <f t="shared" si="24"/>
        <v>0</v>
      </c>
      <c r="CS84" s="1677"/>
      <c r="CT84" s="357" t="b">
        <f t="shared" si="25"/>
        <v>0</v>
      </c>
      <c r="CU84" s="1677"/>
      <c r="CV84" s="195">
        <f>INDEX(Tiere!AO$30:AO$114,'Nährstoffe und Lagerraum'!$BM84)</f>
        <v>0</v>
      </c>
      <c r="CW84" s="195">
        <f>INDEX(Tiere!AP$30:AP$114,'Nährstoffe und Lagerraum'!$BM84)</f>
        <v>0</v>
      </c>
      <c r="CX84" s="195">
        <f>INDEX(Tiere!AQ$30:AQ$114,'Nährstoffe und Lagerraum'!$BM84)</f>
        <v>0</v>
      </c>
      <c r="CY84" s="92">
        <f t="shared" si="26"/>
        <v>0</v>
      </c>
      <c r="CZ84" s="652">
        <f t="shared" si="27"/>
        <v>0</v>
      </c>
      <c r="DA84" s="652">
        <f t="shared" si="28"/>
        <v>0</v>
      </c>
      <c r="DB84" s="652">
        <f t="shared" si="29"/>
        <v>0</v>
      </c>
      <c r="DC84" s="652">
        <f t="shared" si="30"/>
        <v>0</v>
      </c>
      <c r="DD84" s="652">
        <f t="shared" si="31"/>
        <v>0</v>
      </c>
      <c r="DE84" s="652">
        <f t="shared" si="32"/>
        <v>0</v>
      </c>
      <c r="DF84" s="652">
        <f t="shared" si="33"/>
        <v>0</v>
      </c>
      <c r="DG84" s="652">
        <f t="shared" si="34"/>
        <v>0</v>
      </c>
      <c r="DH84" s="652">
        <f t="shared" si="35"/>
        <v>0</v>
      </c>
      <c r="DI84" s="652"/>
      <c r="DJ84" s="652">
        <f t="shared" si="36"/>
        <v>0</v>
      </c>
      <c r="DK84" s="652">
        <f t="shared" si="37"/>
        <v>0</v>
      </c>
      <c r="DL84" s="652">
        <f t="shared" si="38"/>
        <v>0</v>
      </c>
      <c r="DM84" s="652">
        <f t="shared" si="39"/>
        <v>0</v>
      </c>
      <c r="DN84" s="652">
        <f t="shared" si="126"/>
        <v>0</v>
      </c>
      <c r="DO84" s="652">
        <f t="shared" si="40"/>
        <v>55</v>
      </c>
      <c r="DP84" s="652">
        <f t="shared" si="41"/>
        <v>0</v>
      </c>
      <c r="DQ84" s="157" t="b">
        <v>0</v>
      </c>
      <c r="DR84" s="185">
        <f t="shared" si="127"/>
        <v>0</v>
      </c>
      <c r="DS84" s="348">
        <f>INDEX(Tiere!AS$30:AS$114,'Nährstoffe und Lagerraum'!$BM84)</f>
        <v>0</v>
      </c>
      <c r="DT84" s="195">
        <f>INDEX(Tiere!AT$30:AT$114,'Nährstoffe und Lagerraum'!$BM84)</f>
        <v>0</v>
      </c>
      <c r="DU84" s="195">
        <f>INDEX(Tiere!AU$30:AU$114,'Nährstoffe und Lagerraum'!$BM84)</f>
        <v>0</v>
      </c>
      <c r="DV84" s="348">
        <f>INDEX(Tiere!AV$30:AV$114,'Nährstoffe und Lagerraum'!$BM84)</f>
        <v>0</v>
      </c>
      <c r="DW84" s="195">
        <f>INDEX(Tiere!AW$30:AW$114,'Nährstoffe und Lagerraum'!$BM84)</f>
        <v>0</v>
      </c>
      <c r="DX84" s="2177">
        <f>DW84+('Eigene, abweichende Tierdaten'!$AH$67*'Eigene, abweichende Tierdaten'!$M$55)/1000</f>
        <v>0</v>
      </c>
      <c r="DY84" s="195">
        <f>INDEX(Tiere!AX$30:AX$114,'Nährstoffe und Lagerraum'!$BM84)</f>
        <v>0</v>
      </c>
      <c r="DZ84" s="195">
        <f>INDEX(Tiere!AY$30:AY$114,'Nährstoffe und Lagerraum'!$BM84)</f>
        <v>0</v>
      </c>
      <c r="EA84" s="195">
        <f>INDEX(Tiere!AZ$30:AZ$114,'Nährstoffe und Lagerraum'!$BM84)</f>
        <v>0</v>
      </c>
      <c r="EB84" s="191">
        <f t="shared" si="42"/>
        <v>0</v>
      </c>
      <c r="EC84" s="191">
        <f t="shared" si="43"/>
        <v>0</v>
      </c>
      <c r="ED84" s="191">
        <f t="shared" si="44"/>
        <v>0</v>
      </c>
      <c r="EE84" s="191">
        <f t="shared" si="45"/>
        <v>0</v>
      </c>
      <c r="EF84" s="191">
        <f t="shared" si="46"/>
        <v>0</v>
      </c>
      <c r="EG84" s="2203">
        <f t="shared" si="82"/>
        <v>0</v>
      </c>
      <c r="EH84" s="2203">
        <f t="shared" si="47"/>
        <v>0</v>
      </c>
      <c r="EI84" s="2204">
        <f t="shared" si="83"/>
        <v>0</v>
      </c>
      <c r="EJ84" s="355">
        <f t="shared" si="128"/>
        <v>0</v>
      </c>
      <c r="EK84" s="355">
        <f t="shared" si="48"/>
        <v>0</v>
      </c>
      <c r="EL84" s="92">
        <f t="shared" si="49"/>
        <v>0</v>
      </c>
      <c r="EM84" s="355">
        <f t="shared" si="129"/>
        <v>0</v>
      </c>
      <c r="EN84" s="92" t="e">
        <f t="shared" si="130"/>
        <v>#DIV/0!</v>
      </c>
      <c r="EO84" s="92">
        <f t="shared" si="50"/>
        <v>0</v>
      </c>
      <c r="EP84" s="2205" t="e">
        <f t="shared" si="87"/>
        <v>#DIV/0!</v>
      </c>
      <c r="EQ84" s="117" t="e">
        <f t="shared" si="131"/>
        <v>#DIV/0!</v>
      </c>
      <c r="ER84" s="117" t="e">
        <f t="shared" si="51"/>
        <v>#DIV/0!</v>
      </c>
      <c r="ES84" s="92">
        <f t="shared" si="132"/>
        <v>0</v>
      </c>
      <c r="ET84" s="2207">
        <f t="shared" si="89"/>
        <v>0</v>
      </c>
      <c r="EU84" s="146">
        <f t="shared" si="133"/>
        <v>0</v>
      </c>
      <c r="EV84" s="283">
        <f t="shared" si="134"/>
        <v>0</v>
      </c>
      <c r="EW84" s="283">
        <f t="shared" si="135"/>
        <v>0</v>
      </c>
      <c r="EZ84" s="92">
        <f t="shared" si="52"/>
        <v>0</v>
      </c>
      <c r="FA84" s="92">
        <f t="shared" si="53"/>
        <v>0</v>
      </c>
      <c r="FB84" s="2205">
        <f t="shared" si="93"/>
        <v>0</v>
      </c>
      <c r="FC84" s="2205">
        <f t="shared" si="54"/>
        <v>0</v>
      </c>
      <c r="FD84" s="92">
        <f t="shared" si="94"/>
        <v>0</v>
      </c>
      <c r="FE84" s="92">
        <f t="shared" si="95"/>
        <v>0</v>
      </c>
      <c r="FF84" s="92">
        <f t="shared" si="55"/>
        <v>0</v>
      </c>
      <c r="FG84" s="92">
        <f t="shared" si="56"/>
        <v>0</v>
      </c>
      <c r="FH84" s="92" cm="1">
        <f t="array" ref="FH84">INDEX(Tiere!$AJ$30:$AJ$114,BM84)</f>
        <v>0</v>
      </c>
    </row>
    <row r="85" spans="1:164" ht="18" customHeight="1" x14ac:dyDescent="0.2">
      <c r="A85" s="2734"/>
      <c r="B85" s="2735"/>
      <c r="C85" s="2735"/>
      <c r="D85" s="2736"/>
      <c r="E85" s="1509"/>
      <c r="F85" s="1515"/>
      <c r="G85" s="1942"/>
      <c r="H85" s="1509"/>
      <c r="I85" s="1511"/>
      <c r="J85" s="1450" t="str">
        <f t="shared" si="136"/>
        <v xml:space="preserve"> </v>
      </c>
      <c r="K85" s="2583" t="str">
        <f t="shared" si="136"/>
        <v xml:space="preserve"> </v>
      </c>
      <c r="L85" s="2440"/>
      <c r="M85" s="392"/>
      <c r="N85" s="15"/>
      <c r="O85" s="15"/>
      <c r="P85" s="191"/>
      <c r="Q85" s="185" t="str">
        <f t="shared" si="99"/>
        <v xml:space="preserve"> </v>
      </c>
      <c r="R85" s="185" t="str">
        <f t="shared" si="4"/>
        <v xml:space="preserve"> </v>
      </c>
      <c r="S85" s="185">
        <f t="shared" si="5"/>
        <v>0</v>
      </c>
      <c r="T85" s="1676">
        <f t="shared" si="6"/>
        <v>0</v>
      </c>
      <c r="U85" s="185">
        <f t="shared" si="7"/>
        <v>0</v>
      </c>
      <c r="V85" s="2194">
        <f t="shared" si="57"/>
        <v>0</v>
      </c>
      <c r="W85" s="185">
        <f t="shared" si="8"/>
        <v>0</v>
      </c>
      <c r="X85" s="2195">
        <f t="shared" si="58"/>
        <v>0</v>
      </c>
      <c r="Y85" s="185" t="str">
        <f t="shared" si="100"/>
        <v xml:space="preserve"> </v>
      </c>
      <c r="Z85" s="186">
        <f t="shared" si="101"/>
        <v>0</v>
      </c>
      <c r="AA85" s="187">
        <f t="shared" si="102"/>
        <v>0</v>
      </c>
      <c r="AB85" s="1676">
        <f t="shared" si="103"/>
        <v>0</v>
      </c>
      <c r="AC85" s="1676">
        <f t="shared" si="104"/>
        <v>0</v>
      </c>
      <c r="AD85" s="1676">
        <f t="shared" si="105"/>
        <v>0</v>
      </c>
      <c r="AE85" s="1676">
        <f t="shared" si="106"/>
        <v>0</v>
      </c>
      <c r="AF85" s="188">
        <f t="shared" si="107"/>
        <v>0</v>
      </c>
      <c r="AG85" s="185">
        <f t="shared" si="108"/>
        <v>0</v>
      </c>
      <c r="AH85" s="185">
        <f t="shared" si="109"/>
        <v>0</v>
      </c>
      <c r="AI85" s="189">
        <f t="shared" si="110"/>
        <v>0</v>
      </c>
      <c r="AJ85" s="190">
        <f>INDEX(Tiere!L$30:L$114,'Nährstoffe und Lagerraum'!$BM85)</f>
        <v>0</v>
      </c>
      <c r="AK85" s="190">
        <f>INDEX(Tiere!Z$30:Z$114,'Nährstoffe und Lagerraum'!BM85)</f>
        <v>0</v>
      </c>
      <c r="AL85" s="185">
        <f t="shared" si="111"/>
        <v>0</v>
      </c>
      <c r="AM85" s="185">
        <f t="shared" si="112"/>
        <v>0</v>
      </c>
      <c r="AN85" s="185">
        <f t="shared" si="113"/>
        <v>0</v>
      </c>
      <c r="AO85" s="188">
        <f t="shared" si="114"/>
        <v>0</v>
      </c>
      <c r="AP85" s="185">
        <f t="shared" si="115"/>
        <v>0</v>
      </c>
      <c r="AQ85" s="189">
        <f t="shared" si="116"/>
        <v>0</v>
      </c>
      <c r="AR85" s="190" cm="1">
        <f t="array" ref="AR85">IF(BN85=1,INDEX(Tiere!V$30:V$114,'Nährstoffe und Lagerraum'!$BM85),IF(BN85=2,INDEX(Tiere!W$30:W$114,'Nährstoffe und Lagerraum'!$BM85),INDEX(Tiere!X$30:X$114,'Nährstoffe und Lagerraum'!$BM85)))</f>
        <v>0</v>
      </c>
      <c r="AS85" s="2194">
        <f t="shared" si="67"/>
        <v>0</v>
      </c>
      <c r="AT85" s="2194">
        <f t="shared" si="68"/>
        <v>0</v>
      </c>
      <c r="AU85" s="2194">
        <f t="shared" si="69"/>
        <v>0</v>
      </c>
      <c r="AV85" s="2196">
        <f t="shared" si="70"/>
        <v>0</v>
      </c>
      <c r="AW85" s="2197">
        <f t="shared" si="71"/>
        <v>0</v>
      </c>
      <c r="AX85" s="2198">
        <f t="shared" si="72"/>
        <v>0</v>
      </c>
      <c r="AY85" s="185"/>
      <c r="AZ85" s="195">
        <f t="shared" si="117"/>
        <v>0</v>
      </c>
      <c r="BA85" s="191">
        <f t="shared" si="118"/>
        <v>0</v>
      </c>
      <c r="BB85" s="2194">
        <f t="shared" si="73"/>
        <v>0</v>
      </c>
      <c r="BC85" s="188">
        <f t="shared" si="119"/>
        <v>0</v>
      </c>
      <c r="BD85" s="185">
        <f t="shared" si="120"/>
        <v>0</v>
      </c>
      <c r="BE85" s="2198">
        <f t="shared" si="74"/>
        <v>0</v>
      </c>
      <c r="BF85" s="195">
        <f t="shared" si="121"/>
        <v>0</v>
      </c>
      <c r="BG85" s="192">
        <f t="shared" si="122"/>
        <v>0</v>
      </c>
      <c r="BH85" s="871">
        <f>INDEX(Tiere!BH$30:BH$114,'Nährstoffe und Lagerraum'!$BM85)</f>
        <v>0</v>
      </c>
      <c r="BI85" s="871">
        <f>INDEX(Tiere!BI$30:BI$114,'Nährstoffe und Lagerraum'!$BM85)</f>
        <v>0</v>
      </c>
      <c r="BJ85" s="871">
        <f>INDEX(Tiere!BJ$30:BJ$114,'Nährstoffe und Lagerraum'!$BM85)</f>
        <v>0</v>
      </c>
      <c r="BK85" s="684">
        <f t="shared" si="123"/>
        <v>1</v>
      </c>
      <c r="BL85" s="684" cm="1">
        <f t="array" ref="BL85">INDEX(Tiere!$C$30:$C$114,BM85)</f>
        <v>0</v>
      </c>
      <c r="BM85" s="197">
        <v>1</v>
      </c>
      <c r="BN85" s="197">
        <v>1</v>
      </c>
      <c r="BO85" s="196">
        <f>INDEX(Tiere!D$30:D$114,'Nährstoffe und Lagerraum'!$BM85)</f>
        <v>0</v>
      </c>
      <c r="BP85" s="196" t="str">
        <f t="shared" si="124"/>
        <v>1</v>
      </c>
      <c r="BQ85" s="196">
        <f t="shared" si="125"/>
        <v>0</v>
      </c>
      <c r="BR85" s="195">
        <f>INDEX(Tiere!E$30:E$114,'Nährstoffe und Lagerraum'!$BM85)</f>
        <v>0</v>
      </c>
      <c r="BS85" s="191">
        <f>INDEX(Tiere!F$30:F$114,'Nährstoffe und Lagerraum'!$BM85)</f>
        <v>0</v>
      </c>
      <c r="BT85" s="192">
        <f>INDEX(Tiere!G$30:G$114,'Nährstoffe und Lagerraum'!$BM85)</f>
        <v>0</v>
      </c>
      <c r="BU85" s="191">
        <f>INDEX(Tiere!K$30:K$114,'Nährstoffe und Lagerraum'!$BM85)</f>
        <v>0</v>
      </c>
      <c r="BV85" s="191">
        <f>INDEX(Tiere!Y$30:Y$114,'Nährstoffe und Lagerraum'!$BM85)</f>
        <v>0</v>
      </c>
      <c r="BW85" s="195">
        <f>INDEX(Tiere!S$30:S$114,'Nährstoffe und Lagerraum'!$BM85)</f>
        <v>0</v>
      </c>
      <c r="BX85" s="191">
        <f>INDEX(Tiere!T$30:T$114,'Nährstoffe und Lagerraum'!$BM85)</f>
        <v>0</v>
      </c>
      <c r="BY85" s="192">
        <f>INDEX(Tiere!U$30:U$114,'Nährstoffe und Lagerraum'!$BM85)</f>
        <v>0</v>
      </c>
      <c r="BZ85" s="195">
        <f>INDEX(Tiere!AA$30:AA$114,'Nährstoffe und Lagerraum'!$BM85)</f>
        <v>0</v>
      </c>
      <c r="CA85" s="192">
        <f>INDEX(Tiere!AB$30:AB$114,'Nährstoffe und Lagerraum'!$BM85)</f>
        <v>0</v>
      </c>
      <c r="CB85" s="192">
        <f>INDEX(Tiere!AK$30:AK$114,'Nährstoffe und Lagerraum'!$BM85)</f>
        <v>0</v>
      </c>
      <c r="CC85" s="192">
        <f>INDEX(Tiere!M$30:M$114,'Nährstoffe und Lagerraum'!$BM85)</f>
        <v>0</v>
      </c>
      <c r="CD85" s="192">
        <f>INDEX(Tiere!N$30:N$114,'Nährstoffe und Lagerraum'!$BM85)</f>
        <v>0</v>
      </c>
      <c r="CE85" s="192">
        <f>INDEX(Tiere!O$30:O$114,'Nährstoffe und Lagerraum'!$BM85)</f>
        <v>0</v>
      </c>
      <c r="CF85" s="2199">
        <f>CC85*'Eigene, abweichende Tierdaten'!$AH$64</f>
        <v>0</v>
      </c>
      <c r="CG85" s="2200">
        <f>CD85*'Eigene, abweichende Tierdaten'!$AH$64</f>
        <v>0</v>
      </c>
      <c r="CH85" s="2201">
        <f>CE85*'Eigene, abweichende Tierdaten'!$AH$64</f>
        <v>0</v>
      </c>
      <c r="CI85" s="2192">
        <v>5</v>
      </c>
      <c r="CJ85" s="173">
        <v>3</v>
      </c>
      <c r="CK85" s="179">
        <v>17</v>
      </c>
      <c r="CL85" s="2197">
        <f>'Eigene, abweichende Tierdaten'!$AE$64</f>
        <v>5</v>
      </c>
      <c r="CM85" s="2197">
        <f>'Eigene, abweichende Tierdaten'!$AF$64</f>
        <v>3</v>
      </c>
      <c r="CN85" s="2197">
        <f>'Eigene, abweichende Tierdaten'!$AG$64</f>
        <v>17</v>
      </c>
      <c r="CO85" s="185">
        <f>INDEX(Tiere!AN$30:AN$114,'Nährstoffe und Lagerraum'!$BM85)</f>
        <v>0</v>
      </c>
      <c r="CP85" s="185">
        <f t="shared" si="22"/>
        <v>0</v>
      </c>
      <c r="CQ85" s="185">
        <f t="shared" si="23"/>
        <v>0</v>
      </c>
      <c r="CR85" s="189">
        <f t="shared" si="24"/>
        <v>0</v>
      </c>
      <c r="CS85" s="1677"/>
      <c r="CT85" s="357" t="b">
        <f t="shared" si="25"/>
        <v>0</v>
      </c>
      <c r="CU85" s="1677"/>
      <c r="CV85" s="195">
        <f>INDEX(Tiere!AO$30:AO$114,'Nährstoffe und Lagerraum'!$BM85)</f>
        <v>0</v>
      </c>
      <c r="CW85" s="195">
        <f>INDEX(Tiere!AP$30:AP$114,'Nährstoffe und Lagerraum'!$BM85)</f>
        <v>0</v>
      </c>
      <c r="CX85" s="195">
        <f>INDEX(Tiere!AQ$30:AQ$114,'Nährstoffe und Lagerraum'!$BM85)</f>
        <v>0</v>
      </c>
      <c r="CY85" s="92">
        <f t="shared" si="26"/>
        <v>0</v>
      </c>
      <c r="CZ85" s="652">
        <f t="shared" si="27"/>
        <v>0</v>
      </c>
      <c r="DA85" s="652">
        <f t="shared" si="28"/>
        <v>0</v>
      </c>
      <c r="DB85" s="652">
        <f t="shared" si="29"/>
        <v>0</v>
      </c>
      <c r="DC85" s="652">
        <f t="shared" si="30"/>
        <v>0</v>
      </c>
      <c r="DD85" s="652">
        <f t="shared" si="31"/>
        <v>0</v>
      </c>
      <c r="DE85" s="652">
        <f t="shared" si="32"/>
        <v>0</v>
      </c>
      <c r="DF85" s="652">
        <f t="shared" si="33"/>
        <v>0</v>
      </c>
      <c r="DG85" s="652">
        <f t="shared" si="34"/>
        <v>0</v>
      </c>
      <c r="DH85" s="652">
        <f t="shared" si="35"/>
        <v>0</v>
      </c>
      <c r="DI85" s="652"/>
      <c r="DJ85" s="652">
        <f t="shared" si="36"/>
        <v>0</v>
      </c>
      <c r="DK85" s="652">
        <f t="shared" si="37"/>
        <v>0</v>
      </c>
      <c r="DL85" s="652">
        <f t="shared" si="38"/>
        <v>0</v>
      </c>
      <c r="DM85" s="652">
        <f t="shared" si="39"/>
        <v>0</v>
      </c>
      <c r="DN85" s="652">
        <f t="shared" si="126"/>
        <v>0</v>
      </c>
      <c r="DO85" s="652">
        <f t="shared" si="40"/>
        <v>55</v>
      </c>
      <c r="DP85" s="652">
        <f t="shared" si="41"/>
        <v>0</v>
      </c>
      <c r="DQ85" s="157" t="b">
        <v>0</v>
      </c>
      <c r="DR85" s="185">
        <f t="shared" si="127"/>
        <v>0</v>
      </c>
      <c r="DS85" s="348">
        <f>INDEX(Tiere!AS$30:AS$114,'Nährstoffe und Lagerraum'!$BM85)</f>
        <v>0</v>
      </c>
      <c r="DT85" s="195">
        <f>INDEX(Tiere!AT$30:AT$114,'Nährstoffe und Lagerraum'!$BM85)</f>
        <v>0</v>
      </c>
      <c r="DU85" s="195">
        <f>INDEX(Tiere!AU$30:AU$114,'Nährstoffe und Lagerraum'!$BM85)</f>
        <v>0</v>
      </c>
      <c r="DV85" s="348">
        <f>INDEX(Tiere!AV$30:AV$114,'Nährstoffe und Lagerraum'!$BM85)</f>
        <v>0</v>
      </c>
      <c r="DW85" s="195">
        <f>INDEX(Tiere!AW$30:AW$114,'Nährstoffe und Lagerraum'!$BM85)</f>
        <v>0</v>
      </c>
      <c r="DX85" s="2177">
        <f>DW85+('Eigene, abweichende Tierdaten'!$AH$67*'Eigene, abweichende Tierdaten'!$M$55)/1000</f>
        <v>0</v>
      </c>
      <c r="DY85" s="195">
        <f>INDEX(Tiere!AX$30:AX$114,'Nährstoffe und Lagerraum'!$BM85)</f>
        <v>0</v>
      </c>
      <c r="DZ85" s="195">
        <f>INDEX(Tiere!AY$30:AY$114,'Nährstoffe und Lagerraum'!$BM85)</f>
        <v>0</v>
      </c>
      <c r="EA85" s="195">
        <f>INDEX(Tiere!AZ$30:AZ$114,'Nährstoffe und Lagerraum'!$BM85)</f>
        <v>0</v>
      </c>
      <c r="EB85" s="191">
        <f t="shared" si="42"/>
        <v>0</v>
      </c>
      <c r="EC85" s="191">
        <f t="shared" si="43"/>
        <v>0</v>
      </c>
      <c r="ED85" s="191">
        <f t="shared" si="44"/>
        <v>0</v>
      </c>
      <c r="EE85" s="191">
        <f t="shared" si="45"/>
        <v>0</v>
      </c>
      <c r="EF85" s="191">
        <f t="shared" si="46"/>
        <v>0</v>
      </c>
      <c r="EG85" s="2203">
        <f t="shared" si="82"/>
        <v>0</v>
      </c>
      <c r="EH85" s="2203">
        <f t="shared" si="47"/>
        <v>0</v>
      </c>
      <c r="EI85" s="2204">
        <f t="shared" si="83"/>
        <v>0</v>
      </c>
      <c r="EJ85" s="355">
        <f t="shared" si="128"/>
        <v>0</v>
      </c>
      <c r="EK85" s="355">
        <f t="shared" si="48"/>
        <v>0</v>
      </c>
      <c r="EL85" s="92">
        <f t="shared" si="49"/>
        <v>0</v>
      </c>
      <c r="EM85" s="355">
        <f t="shared" si="129"/>
        <v>0</v>
      </c>
      <c r="EN85" s="92" t="e">
        <f t="shared" si="130"/>
        <v>#DIV/0!</v>
      </c>
      <c r="EO85" s="92">
        <f t="shared" si="50"/>
        <v>0</v>
      </c>
      <c r="EP85" s="2205" t="e">
        <f t="shared" si="87"/>
        <v>#DIV/0!</v>
      </c>
      <c r="EQ85" s="117" t="e">
        <f t="shared" si="131"/>
        <v>#DIV/0!</v>
      </c>
      <c r="ER85" s="117" t="e">
        <f t="shared" si="51"/>
        <v>#DIV/0!</v>
      </c>
      <c r="ES85" s="92">
        <f t="shared" si="132"/>
        <v>0</v>
      </c>
      <c r="ET85" s="2207">
        <f t="shared" si="89"/>
        <v>0</v>
      </c>
      <c r="EU85" s="146">
        <f t="shared" si="133"/>
        <v>0</v>
      </c>
      <c r="EV85" s="283">
        <f t="shared" si="134"/>
        <v>0</v>
      </c>
      <c r="EW85" s="283">
        <f t="shared" si="135"/>
        <v>0</v>
      </c>
      <c r="EZ85" s="92">
        <f t="shared" si="52"/>
        <v>0</v>
      </c>
      <c r="FA85" s="92">
        <f t="shared" si="53"/>
        <v>0</v>
      </c>
      <c r="FB85" s="2205">
        <f t="shared" si="93"/>
        <v>0</v>
      </c>
      <c r="FC85" s="2205">
        <f t="shared" si="54"/>
        <v>0</v>
      </c>
      <c r="FD85" s="92">
        <f t="shared" si="94"/>
        <v>0</v>
      </c>
      <c r="FE85" s="92">
        <f t="shared" si="95"/>
        <v>0</v>
      </c>
      <c r="FF85" s="92">
        <f t="shared" si="55"/>
        <v>0</v>
      </c>
      <c r="FG85" s="92">
        <f t="shared" si="56"/>
        <v>0</v>
      </c>
      <c r="FH85" s="92" cm="1">
        <f t="array" ref="FH85">INDEX(Tiere!$AJ$30:$AJ$114,BM85)</f>
        <v>0</v>
      </c>
    </row>
    <row r="86" spans="1:164" ht="18" customHeight="1" x14ac:dyDescent="0.2">
      <c r="A86" s="2734"/>
      <c r="B86" s="2735"/>
      <c r="C86" s="2735"/>
      <c r="D86" s="2736"/>
      <c r="E86" s="1509"/>
      <c r="F86" s="1515"/>
      <c r="G86" s="1942"/>
      <c r="H86" s="1509"/>
      <c r="I86" s="1511"/>
      <c r="J86" s="1450" t="str">
        <f t="shared" si="136"/>
        <v xml:space="preserve"> </v>
      </c>
      <c r="K86" s="2583" t="str">
        <f t="shared" si="136"/>
        <v xml:space="preserve"> </v>
      </c>
      <c r="L86" s="2440"/>
      <c r="M86" s="392"/>
      <c r="N86" s="15"/>
      <c r="O86" s="15"/>
      <c r="P86" s="157"/>
      <c r="Q86" s="185" t="str">
        <f t="shared" si="99"/>
        <v xml:space="preserve"> </v>
      </c>
      <c r="R86" s="185" t="str">
        <f t="shared" si="4"/>
        <v xml:space="preserve"> </v>
      </c>
      <c r="S86" s="185">
        <f t="shared" si="5"/>
        <v>0</v>
      </c>
      <c r="T86" s="1676">
        <f t="shared" si="6"/>
        <v>0</v>
      </c>
      <c r="U86" s="185">
        <f t="shared" si="7"/>
        <v>0</v>
      </c>
      <c r="V86" s="2194">
        <f>IF(CT86=FALSE,0,IF(AA86=0,0,IF(BD86+BA86=0,0,IF(BK86=4,BA86*BG86-(E86*(1-H86/100)*CE86*365*BO86/1000/AR86*86)+FB86-EZ86,BA86*BG86+FB86-EZ86))))</f>
        <v>0</v>
      </c>
      <c r="W86" s="185">
        <f t="shared" si="8"/>
        <v>0</v>
      </c>
      <c r="X86" s="2195">
        <f t="shared" si="58"/>
        <v>0</v>
      </c>
      <c r="Y86" s="185" t="str">
        <f t="shared" si="100"/>
        <v xml:space="preserve"> </v>
      </c>
      <c r="Z86" s="186">
        <f t="shared" si="101"/>
        <v>0</v>
      </c>
      <c r="AA86" s="187">
        <f t="shared" si="102"/>
        <v>0</v>
      </c>
      <c r="AB86" s="1676">
        <f t="shared" si="103"/>
        <v>0</v>
      </c>
      <c r="AC86" s="1676">
        <f t="shared" si="104"/>
        <v>0</v>
      </c>
      <c r="AD86" s="1676">
        <f t="shared" si="105"/>
        <v>0</v>
      </c>
      <c r="AE86" s="1676">
        <f t="shared" si="106"/>
        <v>0</v>
      </c>
      <c r="AF86" s="188">
        <f t="shared" si="107"/>
        <v>0</v>
      </c>
      <c r="AG86" s="185">
        <f t="shared" si="108"/>
        <v>0</v>
      </c>
      <c r="AH86" s="185">
        <f t="shared" si="109"/>
        <v>0</v>
      </c>
      <c r="AI86" s="189">
        <f t="shared" si="110"/>
        <v>0</v>
      </c>
      <c r="AJ86" s="190">
        <f>INDEX(Tiere!L$30:L$114,'Nährstoffe und Lagerraum'!$BM86)</f>
        <v>0</v>
      </c>
      <c r="AK86" s="190">
        <f>INDEX(Tiere!Z$30:Z$114,'Nährstoffe und Lagerraum'!BM86)</f>
        <v>0</v>
      </c>
      <c r="AL86" s="185">
        <f t="shared" si="111"/>
        <v>0</v>
      </c>
      <c r="AM86" s="185">
        <f t="shared" si="112"/>
        <v>0</v>
      </c>
      <c r="AN86" s="185">
        <f t="shared" si="113"/>
        <v>0</v>
      </c>
      <c r="AO86" s="188">
        <f t="shared" si="114"/>
        <v>0</v>
      </c>
      <c r="AP86" s="185">
        <f t="shared" si="115"/>
        <v>0</v>
      </c>
      <c r="AQ86" s="189">
        <f t="shared" si="116"/>
        <v>0</v>
      </c>
      <c r="AR86" s="190" cm="1">
        <f t="array" ref="AR86">IF(BN86=1,INDEX(Tiere!V$30:V$114,'Nährstoffe und Lagerraum'!$BM86),IF(BN86=2,INDEX(Tiere!W$30:W$114,'Nährstoffe und Lagerraum'!$BM86),INDEX(Tiere!X$30:X$114,'Nährstoffe und Lagerraum'!$BM86)))</f>
        <v>0</v>
      </c>
      <c r="AS86" s="2194">
        <f t="shared" si="67"/>
        <v>0</v>
      </c>
      <c r="AT86" s="2194">
        <f t="shared" si="68"/>
        <v>0</v>
      </c>
      <c r="AU86" s="2194">
        <f t="shared" si="69"/>
        <v>0</v>
      </c>
      <c r="AV86" s="2196">
        <f t="shared" si="70"/>
        <v>0</v>
      </c>
      <c r="AW86" s="2197">
        <f t="shared" si="71"/>
        <v>0</v>
      </c>
      <c r="AX86" s="2198">
        <f t="shared" si="72"/>
        <v>0</v>
      </c>
      <c r="AY86" s="185"/>
      <c r="AZ86" s="195">
        <f t="shared" si="117"/>
        <v>0</v>
      </c>
      <c r="BA86" s="191">
        <f t="shared" si="118"/>
        <v>0</v>
      </c>
      <c r="BB86" s="2194">
        <f t="shared" si="73"/>
        <v>0</v>
      </c>
      <c r="BC86" s="188">
        <f t="shared" si="119"/>
        <v>0</v>
      </c>
      <c r="BD86" s="185">
        <f t="shared" si="120"/>
        <v>0</v>
      </c>
      <c r="BE86" s="2198">
        <f t="shared" si="74"/>
        <v>0</v>
      </c>
      <c r="BF86" s="195">
        <f t="shared" si="121"/>
        <v>0</v>
      </c>
      <c r="BG86" s="192">
        <f t="shared" si="122"/>
        <v>0</v>
      </c>
      <c r="BH86" s="871">
        <f>INDEX(Tiere!BH$30:BH$114,'Nährstoffe und Lagerraum'!$BM86)</f>
        <v>0</v>
      </c>
      <c r="BI86" s="871">
        <f>INDEX(Tiere!BI$30:BI$114,'Nährstoffe und Lagerraum'!$BM86)</f>
        <v>0</v>
      </c>
      <c r="BJ86" s="871">
        <f>INDEX(Tiere!BJ$30:BJ$114,'Nährstoffe und Lagerraum'!$BM86)</f>
        <v>0</v>
      </c>
      <c r="BK86" s="684">
        <f t="shared" si="123"/>
        <v>1</v>
      </c>
      <c r="BL86" s="684" cm="1">
        <f t="array" ref="BL86">INDEX(Tiere!$C$30:$C$114,BM86)</f>
        <v>0</v>
      </c>
      <c r="BM86" s="197">
        <v>1</v>
      </c>
      <c r="BN86" s="197">
        <v>1</v>
      </c>
      <c r="BO86" s="196">
        <f>INDEX(Tiere!D$30:D$114,'Nährstoffe und Lagerraum'!$BM86)</f>
        <v>0</v>
      </c>
      <c r="BP86" s="196" t="str">
        <f t="shared" si="124"/>
        <v>1</v>
      </c>
      <c r="BQ86" s="196">
        <f t="shared" si="125"/>
        <v>0</v>
      </c>
      <c r="BR86" s="195">
        <f>INDEX(Tiere!E$30:E$114,'Nährstoffe und Lagerraum'!$BM86)</f>
        <v>0</v>
      </c>
      <c r="BS86" s="191">
        <f>INDEX(Tiere!F$30:F$114,'Nährstoffe und Lagerraum'!$BM86)</f>
        <v>0</v>
      </c>
      <c r="BT86" s="192">
        <f>INDEX(Tiere!G$30:G$114,'Nährstoffe und Lagerraum'!$BM86)</f>
        <v>0</v>
      </c>
      <c r="BU86" s="191">
        <f>INDEX(Tiere!K$30:K$114,'Nährstoffe und Lagerraum'!$BM86)</f>
        <v>0</v>
      </c>
      <c r="BV86" s="191">
        <f>INDEX(Tiere!Y$30:Y$114,'Nährstoffe und Lagerraum'!$BM86)</f>
        <v>0</v>
      </c>
      <c r="BW86" s="195">
        <f>INDEX(Tiere!S$30:S$114,'Nährstoffe und Lagerraum'!$BM86)</f>
        <v>0</v>
      </c>
      <c r="BX86" s="191">
        <f>INDEX(Tiere!T$30:T$114,'Nährstoffe und Lagerraum'!$BM86)</f>
        <v>0</v>
      </c>
      <c r="BY86" s="192">
        <f>INDEX(Tiere!U$30:U$114,'Nährstoffe und Lagerraum'!$BM86)</f>
        <v>0</v>
      </c>
      <c r="BZ86" s="195">
        <f>INDEX(Tiere!AA$30:AA$114,'Nährstoffe und Lagerraum'!$BM86)</f>
        <v>0</v>
      </c>
      <c r="CA86" s="192">
        <f>INDEX(Tiere!AB$30:AB$114,'Nährstoffe und Lagerraum'!$BM86)</f>
        <v>0</v>
      </c>
      <c r="CB86" s="192">
        <f>INDEX(Tiere!AK$30:AK$114,'Nährstoffe und Lagerraum'!$BM86)</f>
        <v>0</v>
      </c>
      <c r="CC86" s="192">
        <f>INDEX(Tiere!M$30:M$114,'Nährstoffe und Lagerraum'!$BM86)</f>
        <v>0</v>
      </c>
      <c r="CD86" s="192">
        <f>INDEX(Tiere!N$30:N$114,'Nährstoffe und Lagerraum'!$BM86)</f>
        <v>0</v>
      </c>
      <c r="CE86" s="192">
        <f>INDEX(Tiere!O$30:O$114,'Nährstoffe und Lagerraum'!$BM86)</f>
        <v>0</v>
      </c>
      <c r="CF86" s="2199">
        <f>CC86*'Eigene, abweichende Tierdaten'!$AH$64</f>
        <v>0</v>
      </c>
      <c r="CG86" s="2200">
        <f>CD86*'Eigene, abweichende Tierdaten'!$AH$64</f>
        <v>0</v>
      </c>
      <c r="CH86" s="2201">
        <f>CE86*'Eigene, abweichende Tierdaten'!$AH$64</f>
        <v>0</v>
      </c>
      <c r="CI86" s="2192">
        <v>5</v>
      </c>
      <c r="CJ86" s="173">
        <v>3</v>
      </c>
      <c r="CK86" s="179">
        <v>17</v>
      </c>
      <c r="CL86" s="2197">
        <f>'Eigene, abweichende Tierdaten'!$AE$64</f>
        <v>5</v>
      </c>
      <c r="CM86" s="2197">
        <f>'Eigene, abweichende Tierdaten'!$AF$64</f>
        <v>3</v>
      </c>
      <c r="CN86" s="2197">
        <f>'Eigene, abweichende Tierdaten'!$AG$64</f>
        <v>17</v>
      </c>
      <c r="CO86" s="185">
        <f>INDEX(Tiere!AN$30:AN$114,'Nährstoffe und Lagerraum'!$BM86)</f>
        <v>0</v>
      </c>
      <c r="CP86" s="185">
        <f t="shared" si="22"/>
        <v>0</v>
      </c>
      <c r="CQ86" s="185">
        <f t="shared" si="23"/>
        <v>0</v>
      </c>
      <c r="CR86" s="189">
        <f t="shared" si="24"/>
        <v>0</v>
      </c>
      <c r="CS86" s="1677"/>
      <c r="CT86" s="357" t="b">
        <f t="shared" si="25"/>
        <v>0</v>
      </c>
      <c r="CU86" s="1677"/>
      <c r="CV86" s="195">
        <f>INDEX(Tiere!AO$30:AO$114,'Nährstoffe und Lagerraum'!$BM86)</f>
        <v>0</v>
      </c>
      <c r="CW86" s="195">
        <f>INDEX(Tiere!AP$30:AP$114,'Nährstoffe und Lagerraum'!$BM86)</f>
        <v>0</v>
      </c>
      <c r="CX86" s="195">
        <f>INDEX(Tiere!AQ$30:AQ$114,'Nährstoffe und Lagerraum'!$BM86)</f>
        <v>0</v>
      </c>
      <c r="CY86" s="92">
        <f t="shared" si="26"/>
        <v>0</v>
      </c>
      <c r="CZ86" s="652">
        <f t="shared" si="27"/>
        <v>0</v>
      </c>
      <c r="DA86" s="652">
        <f t="shared" si="28"/>
        <v>0</v>
      </c>
      <c r="DB86" s="652">
        <f t="shared" si="29"/>
        <v>0</v>
      </c>
      <c r="DC86" s="652">
        <f t="shared" si="30"/>
        <v>0</v>
      </c>
      <c r="DD86" s="652">
        <f t="shared" si="31"/>
        <v>0</v>
      </c>
      <c r="DE86" s="652">
        <f t="shared" si="32"/>
        <v>0</v>
      </c>
      <c r="DF86" s="652">
        <f t="shared" si="33"/>
        <v>0</v>
      </c>
      <c r="DG86" s="652">
        <f t="shared" si="34"/>
        <v>0</v>
      </c>
      <c r="DH86" s="652">
        <f t="shared" si="35"/>
        <v>0</v>
      </c>
      <c r="DI86" s="652"/>
      <c r="DJ86" s="652">
        <f t="shared" si="36"/>
        <v>0</v>
      </c>
      <c r="DK86" s="652">
        <f t="shared" si="37"/>
        <v>0</v>
      </c>
      <c r="DL86" s="652">
        <f t="shared" si="38"/>
        <v>0</v>
      </c>
      <c r="DM86" s="652">
        <f t="shared" si="39"/>
        <v>0</v>
      </c>
      <c r="DN86" s="652">
        <f t="shared" si="126"/>
        <v>0</v>
      </c>
      <c r="DO86" s="652">
        <f t="shared" si="40"/>
        <v>55</v>
      </c>
      <c r="DP86" s="652">
        <f t="shared" si="41"/>
        <v>0</v>
      </c>
      <c r="DQ86" s="157" t="b">
        <v>0</v>
      </c>
      <c r="DR86" s="185">
        <f t="shared" si="127"/>
        <v>0</v>
      </c>
      <c r="DS86" s="348">
        <f>INDEX(Tiere!AS$30:AS$114,'Nährstoffe und Lagerraum'!$BM86)</f>
        <v>0</v>
      </c>
      <c r="DT86" s="195">
        <f>INDEX(Tiere!AT$30:AT$114,'Nährstoffe und Lagerraum'!$BM86)</f>
        <v>0</v>
      </c>
      <c r="DU86" s="195">
        <f>INDEX(Tiere!AU$30:AU$114,'Nährstoffe und Lagerraum'!$BM86)</f>
        <v>0</v>
      </c>
      <c r="DV86" s="348">
        <f>INDEX(Tiere!AV$30:AV$114,'Nährstoffe und Lagerraum'!$BM86)</f>
        <v>0</v>
      </c>
      <c r="DW86" s="195">
        <f>INDEX(Tiere!AW$30:AW$114,'Nährstoffe und Lagerraum'!$BM86)</f>
        <v>0</v>
      </c>
      <c r="DX86" s="2177">
        <f>DW86+('Eigene, abweichende Tierdaten'!$AH$67*'Eigene, abweichende Tierdaten'!$M$55)/1000</f>
        <v>0</v>
      </c>
      <c r="DY86" s="195">
        <f>INDEX(Tiere!AX$30:AX$114,'Nährstoffe und Lagerraum'!$BM86)</f>
        <v>0</v>
      </c>
      <c r="DZ86" s="195">
        <f>INDEX(Tiere!AY$30:AY$114,'Nährstoffe und Lagerraum'!$BM86)</f>
        <v>0</v>
      </c>
      <c r="EA86" s="195">
        <f>INDEX(Tiere!AZ$30:AZ$114,'Nährstoffe und Lagerraum'!$BM86)</f>
        <v>0</v>
      </c>
      <c r="EB86" s="191">
        <f t="shared" si="42"/>
        <v>0</v>
      </c>
      <c r="EC86" s="191">
        <f t="shared" si="43"/>
        <v>0</v>
      </c>
      <c r="ED86" s="191">
        <f t="shared" si="44"/>
        <v>0</v>
      </c>
      <c r="EE86" s="191">
        <f t="shared" si="45"/>
        <v>0</v>
      </c>
      <c r="EF86" s="191">
        <f t="shared" si="46"/>
        <v>0</v>
      </c>
      <c r="EG86" s="2203">
        <f t="shared" si="82"/>
        <v>0</v>
      </c>
      <c r="EH86" s="2203">
        <f t="shared" si="47"/>
        <v>0</v>
      </c>
      <c r="EI86" s="2204">
        <f t="shared" si="83"/>
        <v>0</v>
      </c>
      <c r="EJ86" s="355">
        <f t="shared" si="128"/>
        <v>0</v>
      </c>
      <c r="EK86" s="355">
        <f t="shared" si="48"/>
        <v>0</v>
      </c>
      <c r="EL86" s="92">
        <f t="shared" si="49"/>
        <v>0</v>
      </c>
      <c r="EM86" s="355">
        <f t="shared" si="129"/>
        <v>0</v>
      </c>
      <c r="EN86" s="92" t="e">
        <f t="shared" si="130"/>
        <v>#DIV/0!</v>
      </c>
      <c r="EO86" s="92">
        <f t="shared" si="50"/>
        <v>0</v>
      </c>
      <c r="EP86" s="2205" t="e">
        <f t="shared" si="87"/>
        <v>#DIV/0!</v>
      </c>
      <c r="EQ86" s="117" t="e">
        <f t="shared" si="131"/>
        <v>#DIV/0!</v>
      </c>
      <c r="ER86" s="117" t="e">
        <f t="shared" si="51"/>
        <v>#DIV/0!</v>
      </c>
      <c r="ES86" s="92">
        <f t="shared" si="132"/>
        <v>0</v>
      </c>
      <c r="ET86" s="2207">
        <f t="shared" si="89"/>
        <v>0</v>
      </c>
      <c r="EU86" s="146">
        <f t="shared" si="133"/>
        <v>0</v>
      </c>
      <c r="EV86" s="283">
        <f t="shared" si="134"/>
        <v>0</v>
      </c>
      <c r="EW86" s="283">
        <f t="shared" si="135"/>
        <v>0</v>
      </c>
      <c r="EZ86" s="92">
        <f t="shared" si="52"/>
        <v>0</v>
      </c>
      <c r="FA86" s="92">
        <f t="shared" si="53"/>
        <v>0</v>
      </c>
      <c r="FB86" s="2205">
        <f t="shared" si="93"/>
        <v>0</v>
      </c>
      <c r="FC86" s="2205">
        <f t="shared" si="54"/>
        <v>0</v>
      </c>
      <c r="FD86" s="92">
        <f t="shared" si="94"/>
        <v>0</v>
      </c>
      <c r="FE86" s="92">
        <f t="shared" si="95"/>
        <v>0</v>
      </c>
      <c r="FF86" s="92">
        <f t="shared" si="55"/>
        <v>0</v>
      </c>
      <c r="FG86" s="92">
        <f t="shared" si="56"/>
        <v>0</v>
      </c>
      <c r="FH86" s="92" cm="1">
        <f t="array" ref="FH86">INDEX(Tiere!$AJ$30:$AJ$114,BM86)</f>
        <v>0</v>
      </c>
    </row>
    <row r="87" spans="1:164" ht="18" customHeight="1" thickBot="1" x14ac:dyDescent="0.25">
      <c r="A87" s="2584"/>
      <c r="B87" s="2585"/>
      <c r="C87" s="2585"/>
      <c r="D87" s="2586"/>
      <c r="E87" s="1512"/>
      <c r="F87" s="1516"/>
      <c r="G87" s="1943"/>
      <c r="H87" s="1512"/>
      <c r="I87" s="1513"/>
      <c r="J87" s="1451" t="str">
        <f t="shared" si="136"/>
        <v xml:space="preserve"> </v>
      </c>
      <c r="K87" s="2591" t="str">
        <f t="shared" si="136"/>
        <v xml:space="preserve"> </v>
      </c>
      <c r="L87" s="2448"/>
      <c r="M87" s="393"/>
      <c r="N87" s="294"/>
      <c r="O87" s="294"/>
      <c r="P87" s="157"/>
      <c r="Q87" s="185" t="str">
        <f t="shared" si="99"/>
        <v xml:space="preserve"> </v>
      </c>
      <c r="R87" s="185" t="str">
        <f t="shared" si="4"/>
        <v xml:space="preserve"> </v>
      </c>
      <c r="S87" s="185">
        <f t="shared" si="5"/>
        <v>0</v>
      </c>
      <c r="T87" s="1676">
        <f t="shared" si="6"/>
        <v>0</v>
      </c>
      <c r="U87" s="185">
        <f t="shared" si="7"/>
        <v>0</v>
      </c>
      <c r="V87" s="2194">
        <f t="shared" si="57"/>
        <v>0</v>
      </c>
      <c r="W87" s="185">
        <f t="shared" si="8"/>
        <v>0</v>
      </c>
      <c r="X87" s="2195">
        <f t="shared" si="58"/>
        <v>0</v>
      </c>
      <c r="Y87" s="185" t="str">
        <f t="shared" si="100"/>
        <v xml:space="preserve"> </v>
      </c>
      <c r="Z87" s="186">
        <f t="shared" si="101"/>
        <v>0</v>
      </c>
      <c r="AA87" s="187">
        <f t="shared" si="102"/>
        <v>0</v>
      </c>
      <c r="AB87" s="1676">
        <f t="shared" si="103"/>
        <v>0</v>
      </c>
      <c r="AC87" s="1676">
        <f t="shared" si="104"/>
        <v>0</v>
      </c>
      <c r="AD87" s="1676">
        <f t="shared" si="105"/>
        <v>0</v>
      </c>
      <c r="AE87" s="1676">
        <f t="shared" si="106"/>
        <v>0</v>
      </c>
      <c r="AF87" s="188">
        <f t="shared" si="107"/>
        <v>0</v>
      </c>
      <c r="AG87" s="185">
        <f t="shared" si="108"/>
        <v>0</v>
      </c>
      <c r="AH87" s="185">
        <f t="shared" si="109"/>
        <v>0</v>
      </c>
      <c r="AI87" s="189">
        <f t="shared" si="110"/>
        <v>0</v>
      </c>
      <c r="AJ87" s="190">
        <f>INDEX(Tiere!L$30:L$114,'Nährstoffe und Lagerraum'!$BM87)</f>
        <v>0</v>
      </c>
      <c r="AK87" s="190">
        <f>INDEX(Tiere!Z$30:Z$114,'Nährstoffe und Lagerraum'!BM87)</f>
        <v>0</v>
      </c>
      <c r="AL87" s="185">
        <f t="shared" si="111"/>
        <v>0</v>
      </c>
      <c r="AM87" s="185">
        <f t="shared" si="112"/>
        <v>0</v>
      </c>
      <c r="AN87" s="185">
        <f t="shared" si="113"/>
        <v>0</v>
      </c>
      <c r="AO87" s="188">
        <f t="shared" si="114"/>
        <v>0</v>
      </c>
      <c r="AP87" s="185">
        <f t="shared" si="115"/>
        <v>0</v>
      </c>
      <c r="AQ87" s="189">
        <f t="shared" si="116"/>
        <v>0</v>
      </c>
      <c r="AR87" s="190" cm="1">
        <f t="array" ref="AR87">IF(BN87=1,INDEX(Tiere!V$30:V$114,'Nährstoffe und Lagerraum'!$BM87),IF(BN87=2,INDEX(Tiere!W$30:W$114,'Nährstoffe und Lagerraum'!$BM87),INDEX(Tiere!X$30:X$114,'Nährstoffe und Lagerraum'!$BM87)))</f>
        <v>0</v>
      </c>
      <c r="AS87" s="2194">
        <f t="shared" si="67"/>
        <v>0</v>
      </c>
      <c r="AT87" s="2194">
        <f t="shared" si="68"/>
        <v>0</v>
      </c>
      <c r="AU87" s="2194">
        <f t="shared" si="69"/>
        <v>0</v>
      </c>
      <c r="AV87" s="2196">
        <f t="shared" si="70"/>
        <v>0</v>
      </c>
      <c r="AW87" s="2197">
        <f t="shared" si="71"/>
        <v>0</v>
      </c>
      <c r="AX87" s="2198">
        <f t="shared" si="72"/>
        <v>0</v>
      </c>
      <c r="AY87" s="185"/>
      <c r="AZ87" s="195">
        <f t="shared" si="117"/>
        <v>0</v>
      </c>
      <c r="BA87" s="191">
        <f t="shared" si="118"/>
        <v>0</v>
      </c>
      <c r="BB87" s="2194">
        <f t="shared" si="73"/>
        <v>0</v>
      </c>
      <c r="BC87" s="188">
        <f t="shared" si="119"/>
        <v>0</v>
      </c>
      <c r="BD87" s="185">
        <f t="shared" si="120"/>
        <v>0</v>
      </c>
      <c r="BE87" s="2198">
        <f t="shared" si="74"/>
        <v>0</v>
      </c>
      <c r="BF87" s="195">
        <f t="shared" si="121"/>
        <v>0</v>
      </c>
      <c r="BG87" s="192">
        <f t="shared" si="122"/>
        <v>0</v>
      </c>
      <c r="BH87" s="871">
        <f>INDEX(Tiere!BH$30:BH$114,'Nährstoffe und Lagerraum'!$BM87)</f>
        <v>0</v>
      </c>
      <c r="BI87" s="871">
        <f>INDEX(Tiere!BI$30:BI$114,'Nährstoffe und Lagerraum'!$BM87)</f>
        <v>0</v>
      </c>
      <c r="BJ87" s="871">
        <f>INDEX(Tiere!BJ$30:BJ$114,'Nährstoffe und Lagerraum'!$BM87)</f>
        <v>0</v>
      </c>
      <c r="BK87" s="684">
        <f t="shared" si="123"/>
        <v>1</v>
      </c>
      <c r="BL87" s="684" cm="1">
        <f t="array" ref="BL87">INDEX(Tiere!$C$30:$C$114,BM87)</f>
        <v>0</v>
      </c>
      <c r="BM87" s="197">
        <v>1</v>
      </c>
      <c r="BN87" s="197">
        <v>1</v>
      </c>
      <c r="BO87" s="196">
        <f>INDEX(Tiere!D$30:D$114,'Nährstoffe und Lagerraum'!$BM87)</f>
        <v>0</v>
      </c>
      <c r="BP87" s="196" t="str">
        <f t="shared" si="124"/>
        <v>1</v>
      </c>
      <c r="BQ87" s="196">
        <f t="shared" si="125"/>
        <v>0</v>
      </c>
      <c r="BR87" s="195">
        <f>INDEX(Tiere!E$30:E$114,'Nährstoffe und Lagerraum'!$BM87)</f>
        <v>0</v>
      </c>
      <c r="BS87" s="191">
        <f>INDEX(Tiere!F$30:F$114,'Nährstoffe und Lagerraum'!$BM87)</f>
        <v>0</v>
      </c>
      <c r="BT87" s="192">
        <f>INDEX(Tiere!G$30:G$114,'Nährstoffe und Lagerraum'!$BM87)</f>
        <v>0</v>
      </c>
      <c r="BU87" s="191">
        <f>INDEX(Tiere!K$30:K$114,'Nährstoffe und Lagerraum'!$BM87)</f>
        <v>0</v>
      </c>
      <c r="BV87" s="191">
        <f>INDEX(Tiere!Y$30:Y$114,'Nährstoffe und Lagerraum'!$BM87)</f>
        <v>0</v>
      </c>
      <c r="BW87" s="195">
        <f>INDEX(Tiere!S$30:S$114,'Nährstoffe und Lagerraum'!$BM87)</f>
        <v>0</v>
      </c>
      <c r="BX87" s="191">
        <f>INDEX(Tiere!T$30:T$114,'Nährstoffe und Lagerraum'!$BM87)</f>
        <v>0</v>
      </c>
      <c r="BY87" s="192">
        <f>INDEX(Tiere!U$30:U$114,'Nährstoffe und Lagerraum'!$BM87)</f>
        <v>0</v>
      </c>
      <c r="BZ87" s="195">
        <f>INDEX(Tiere!AA$30:AA$114,'Nährstoffe und Lagerraum'!$BM87)</f>
        <v>0</v>
      </c>
      <c r="CA87" s="192">
        <f>INDEX(Tiere!AB$30:AB$114,'Nährstoffe und Lagerraum'!$BM87)</f>
        <v>0</v>
      </c>
      <c r="CB87" s="192">
        <f>INDEX(Tiere!AK$30:AK$114,'Nährstoffe und Lagerraum'!$BM87)</f>
        <v>0</v>
      </c>
      <c r="CC87" s="192">
        <f>INDEX(Tiere!M$30:M$114,'Nährstoffe und Lagerraum'!$BM87)</f>
        <v>0</v>
      </c>
      <c r="CD87" s="192">
        <f>INDEX(Tiere!N$30:N$114,'Nährstoffe und Lagerraum'!$BM87)</f>
        <v>0</v>
      </c>
      <c r="CE87" s="192">
        <f>INDEX(Tiere!O$30:O$114,'Nährstoffe und Lagerraum'!$BM87)</f>
        <v>0</v>
      </c>
      <c r="CF87" s="2199">
        <f>CC87*'Eigene, abweichende Tierdaten'!$AH$64</f>
        <v>0</v>
      </c>
      <c r="CG87" s="2200">
        <f>CD87*'Eigene, abweichende Tierdaten'!$AH$64</f>
        <v>0</v>
      </c>
      <c r="CH87" s="2201">
        <f>CE87*'Eigene, abweichende Tierdaten'!$AH$64</f>
        <v>0</v>
      </c>
      <c r="CI87" s="2192">
        <v>5</v>
      </c>
      <c r="CJ87" s="173">
        <v>3</v>
      </c>
      <c r="CK87" s="179">
        <v>17</v>
      </c>
      <c r="CL87" s="2197">
        <f>'Eigene, abweichende Tierdaten'!$AE$64</f>
        <v>5</v>
      </c>
      <c r="CM87" s="2197">
        <f>'Eigene, abweichende Tierdaten'!$AF$64</f>
        <v>3</v>
      </c>
      <c r="CN87" s="2197">
        <f>'Eigene, abweichende Tierdaten'!$AG$64</f>
        <v>17</v>
      </c>
      <c r="CO87" s="185">
        <f>INDEX(Tiere!AN$30:AN$114,'Nährstoffe und Lagerraum'!$BM87)</f>
        <v>0</v>
      </c>
      <c r="CP87" s="185">
        <f t="shared" si="22"/>
        <v>0</v>
      </c>
      <c r="CQ87" s="185">
        <f t="shared" si="23"/>
        <v>0</v>
      </c>
      <c r="CR87" s="189">
        <f t="shared" si="24"/>
        <v>0</v>
      </c>
      <c r="CS87" s="1677"/>
      <c r="CT87" s="357" t="b">
        <f t="shared" si="25"/>
        <v>0</v>
      </c>
      <c r="CU87" s="1677"/>
      <c r="CV87" s="195">
        <f>INDEX(Tiere!AO$30:AO$114,'Nährstoffe und Lagerraum'!$BM87)</f>
        <v>0</v>
      </c>
      <c r="CW87" s="195">
        <f>INDEX(Tiere!AP$30:AP$114,'Nährstoffe und Lagerraum'!$BM87)</f>
        <v>0</v>
      </c>
      <c r="CX87" s="195">
        <f>INDEX(Tiere!AQ$30:AQ$114,'Nährstoffe und Lagerraum'!$BM87)</f>
        <v>0</v>
      </c>
      <c r="CY87" s="92">
        <f t="shared" si="26"/>
        <v>0</v>
      </c>
      <c r="CZ87" s="652">
        <f t="shared" si="27"/>
        <v>0</v>
      </c>
      <c r="DA87" s="652">
        <f t="shared" si="28"/>
        <v>0</v>
      </c>
      <c r="DB87" s="652">
        <f t="shared" si="29"/>
        <v>0</v>
      </c>
      <c r="DC87" s="652">
        <f t="shared" si="30"/>
        <v>0</v>
      </c>
      <c r="DD87" s="652">
        <f t="shared" si="31"/>
        <v>0</v>
      </c>
      <c r="DE87" s="652">
        <f t="shared" si="32"/>
        <v>0</v>
      </c>
      <c r="DF87" s="652">
        <f t="shared" si="33"/>
        <v>0</v>
      </c>
      <c r="DG87" s="652">
        <f t="shared" si="34"/>
        <v>0</v>
      </c>
      <c r="DH87" s="652">
        <f t="shared" si="35"/>
        <v>0</v>
      </c>
      <c r="DI87" s="652"/>
      <c r="DJ87" s="652">
        <f t="shared" si="36"/>
        <v>0</v>
      </c>
      <c r="DK87" s="652">
        <f t="shared" si="37"/>
        <v>0</v>
      </c>
      <c r="DL87" s="652">
        <f t="shared" si="38"/>
        <v>0</v>
      </c>
      <c r="DM87" s="652">
        <f t="shared" si="39"/>
        <v>0</v>
      </c>
      <c r="DN87" s="652">
        <f t="shared" si="126"/>
        <v>0</v>
      </c>
      <c r="DO87" s="652">
        <f t="shared" si="40"/>
        <v>55</v>
      </c>
      <c r="DP87" s="652">
        <f t="shared" si="41"/>
        <v>0</v>
      </c>
      <c r="DQ87" s="157" t="b">
        <v>0</v>
      </c>
      <c r="DR87" s="185">
        <f t="shared" si="127"/>
        <v>0</v>
      </c>
      <c r="DS87" s="348">
        <f>INDEX(Tiere!AS$30:AS$114,'Nährstoffe und Lagerraum'!$BM87)</f>
        <v>0</v>
      </c>
      <c r="DT87" s="195">
        <f>INDEX(Tiere!AT$30:AT$114,'Nährstoffe und Lagerraum'!$BM87)</f>
        <v>0</v>
      </c>
      <c r="DU87" s="195">
        <f>INDEX(Tiere!AU$30:AU$114,'Nährstoffe und Lagerraum'!$BM87)</f>
        <v>0</v>
      </c>
      <c r="DV87" s="348">
        <f>INDEX(Tiere!AV$30:AV$114,'Nährstoffe und Lagerraum'!$BM87)</f>
        <v>0</v>
      </c>
      <c r="DW87" s="195">
        <f>INDEX(Tiere!AW$30:AW$114,'Nährstoffe und Lagerraum'!$BM87)</f>
        <v>0</v>
      </c>
      <c r="DX87" s="2177">
        <f>DW87+('Eigene, abweichende Tierdaten'!$AH$67*'Eigene, abweichende Tierdaten'!$M$55)/1000</f>
        <v>0</v>
      </c>
      <c r="DY87" s="195">
        <f>INDEX(Tiere!AX$30:AX$114,'Nährstoffe und Lagerraum'!$BM87)</f>
        <v>0</v>
      </c>
      <c r="DZ87" s="195">
        <f>INDEX(Tiere!AY$30:AY$114,'Nährstoffe und Lagerraum'!$BM87)</f>
        <v>0</v>
      </c>
      <c r="EA87" s="195">
        <f>INDEX(Tiere!AZ$30:AZ$114,'Nährstoffe und Lagerraum'!$BM87)</f>
        <v>0</v>
      </c>
      <c r="EB87" s="191">
        <f t="shared" si="42"/>
        <v>0</v>
      </c>
      <c r="EC87" s="191">
        <f t="shared" si="43"/>
        <v>0</v>
      </c>
      <c r="ED87" s="191">
        <f t="shared" si="44"/>
        <v>0</v>
      </c>
      <c r="EE87" s="191">
        <f t="shared" si="45"/>
        <v>0</v>
      </c>
      <c r="EF87" s="191">
        <f t="shared" si="46"/>
        <v>0</v>
      </c>
      <c r="EG87" s="2203">
        <f t="shared" si="82"/>
        <v>0</v>
      </c>
      <c r="EH87" s="2203">
        <f t="shared" si="47"/>
        <v>0</v>
      </c>
      <c r="EI87" s="2204">
        <f t="shared" si="83"/>
        <v>0</v>
      </c>
      <c r="EJ87" s="355">
        <f t="shared" si="128"/>
        <v>0</v>
      </c>
      <c r="EK87" s="355">
        <f t="shared" si="48"/>
        <v>0</v>
      </c>
      <c r="EL87" s="92">
        <f t="shared" si="49"/>
        <v>0</v>
      </c>
      <c r="EM87" s="355">
        <f t="shared" si="129"/>
        <v>0</v>
      </c>
      <c r="EN87" s="92" t="e">
        <f t="shared" si="130"/>
        <v>#DIV/0!</v>
      </c>
      <c r="EO87" s="92">
        <f t="shared" si="50"/>
        <v>0</v>
      </c>
      <c r="EP87" s="2205" t="e">
        <f t="shared" si="87"/>
        <v>#DIV/0!</v>
      </c>
      <c r="EQ87" s="117" t="e">
        <f t="shared" si="131"/>
        <v>#DIV/0!</v>
      </c>
      <c r="ER87" s="117" t="e">
        <f t="shared" si="51"/>
        <v>#DIV/0!</v>
      </c>
      <c r="ES87" s="92">
        <f t="shared" si="132"/>
        <v>0</v>
      </c>
      <c r="ET87" s="2207">
        <f t="shared" si="89"/>
        <v>0</v>
      </c>
      <c r="EU87" s="146">
        <f t="shared" si="133"/>
        <v>0</v>
      </c>
      <c r="EV87" s="283">
        <f t="shared" si="134"/>
        <v>0</v>
      </c>
      <c r="EW87" s="283">
        <f t="shared" si="135"/>
        <v>0</v>
      </c>
      <c r="EZ87" s="92">
        <f t="shared" si="52"/>
        <v>0</v>
      </c>
      <c r="FA87" s="92">
        <f t="shared" si="53"/>
        <v>0</v>
      </c>
      <c r="FB87" s="2205">
        <f t="shared" si="93"/>
        <v>0</v>
      </c>
      <c r="FC87" s="2205">
        <f t="shared" si="54"/>
        <v>0</v>
      </c>
      <c r="FD87" s="92">
        <f t="shared" si="94"/>
        <v>0</v>
      </c>
      <c r="FE87" s="92">
        <f t="shared" si="95"/>
        <v>0</v>
      </c>
      <c r="FF87" s="92">
        <f t="shared" si="55"/>
        <v>0</v>
      </c>
      <c r="FG87" s="92">
        <f t="shared" si="56"/>
        <v>0</v>
      </c>
      <c r="FH87" s="92" cm="1">
        <f t="array" ref="FH87">INDEX(Tiere!$AJ$30:$AJ$114,BM87)</f>
        <v>0</v>
      </c>
    </row>
    <row r="88" spans="1:164" ht="18.75" customHeight="1" thickBot="1" x14ac:dyDescent="0.25">
      <c r="A88" s="366" t="s">
        <v>424</v>
      </c>
      <c r="B88" s="367"/>
      <c r="C88" s="367"/>
      <c r="D88" s="367"/>
      <c r="E88" s="367"/>
      <c r="F88" s="367"/>
      <c r="G88" s="367"/>
      <c r="H88" s="367"/>
      <c r="I88" s="367"/>
      <c r="J88" s="1452">
        <f>SUM(J68:J87)</f>
        <v>0</v>
      </c>
      <c r="K88" s="2657">
        <f>SUM(K68:K87)</f>
        <v>0</v>
      </c>
      <c r="L88" s="2658">
        <f>SUM(L68:L87)</f>
        <v>0</v>
      </c>
      <c r="M88" s="365"/>
      <c r="N88" s="15"/>
      <c r="P88" s="92"/>
      <c r="Q88" s="92"/>
      <c r="R88" s="185">
        <f>SUM(R68:R87)</f>
        <v>0</v>
      </c>
      <c r="S88" s="209">
        <f>SUM(S68:S87)</f>
        <v>0</v>
      </c>
      <c r="T88" s="209">
        <f>SUM(T68:T87)</f>
        <v>0</v>
      </c>
      <c r="U88" s="209">
        <f>SUM(U68:U87)</f>
        <v>0</v>
      </c>
      <c r="V88" s="157"/>
      <c r="W88" s="209">
        <f>SUM(W68:W87)</f>
        <v>0</v>
      </c>
      <c r="X88" s="157"/>
      <c r="Y88" s="459">
        <f>SUM(Y68:Y87)</f>
        <v>0</v>
      </c>
      <c r="Z88" s="157"/>
      <c r="AA88" s="157"/>
      <c r="AB88" s="267">
        <f>SUM(AB68:AB87)</f>
        <v>0</v>
      </c>
      <c r="AC88" s="267">
        <f>SUM(AC68:AC87)</f>
        <v>0</v>
      </c>
      <c r="AD88" s="267">
        <f>SUM(AD68:AD87)</f>
        <v>0</v>
      </c>
      <c r="AE88" s="267">
        <f t="shared" ref="AE88:AI88" si="137">SUM(AE68:AE87)</f>
        <v>0</v>
      </c>
      <c r="AF88" s="267">
        <f>SUM(AF68:AF87)</f>
        <v>0</v>
      </c>
      <c r="AG88" s="267">
        <f t="shared" si="137"/>
        <v>0</v>
      </c>
      <c r="AH88" s="267">
        <f t="shared" si="137"/>
        <v>0</v>
      </c>
      <c r="AI88" s="267">
        <f t="shared" si="137"/>
        <v>0</v>
      </c>
      <c r="AJ88" s="268"/>
      <c r="AK88" s="268"/>
      <c r="AL88" s="267">
        <f t="shared" ref="AL88:AQ88" si="138">SUM(AL68:AL87)</f>
        <v>0</v>
      </c>
      <c r="AM88" s="267">
        <f>SUM(AM68:AM87)</f>
        <v>0</v>
      </c>
      <c r="AN88" s="267">
        <f t="shared" si="138"/>
        <v>0</v>
      </c>
      <c r="AO88" s="267">
        <f t="shared" si="138"/>
        <v>0</v>
      </c>
      <c r="AP88" s="267">
        <f t="shared" si="138"/>
        <v>0</v>
      </c>
      <c r="AQ88" s="267">
        <f t="shared" si="138"/>
        <v>0</v>
      </c>
      <c r="AR88" s="268"/>
      <c r="AS88" s="267">
        <f t="shared" ref="AS88:AX88" si="139">SUM(AS68:AS87)</f>
        <v>0</v>
      </c>
      <c r="AT88" s="267">
        <f t="shared" si="139"/>
        <v>0</v>
      </c>
      <c r="AU88" s="267">
        <f t="shared" si="139"/>
        <v>0</v>
      </c>
      <c r="AV88" s="267">
        <f t="shared" si="139"/>
        <v>0</v>
      </c>
      <c r="AW88" s="267">
        <f t="shared" si="139"/>
        <v>0</v>
      </c>
      <c r="AX88" s="267">
        <f t="shared" si="139"/>
        <v>0</v>
      </c>
      <c r="AY88" s="157"/>
      <c r="AZ88" s="157"/>
      <c r="BA88" s="157"/>
      <c r="BB88" s="157"/>
      <c r="BC88" s="157"/>
      <c r="BD88" s="157"/>
      <c r="BE88" s="157"/>
      <c r="BF88" s="157"/>
      <c r="BG88" s="157"/>
      <c r="BH88" s="157"/>
      <c r="BI88" s="157"/>
      <c r="BJ88" s="157"/>
      <c r="BK88" s="157"/>
      <c r="BL88" s="658"/>
      <c r="BM88" s="157">
        <f>IF(COUNTIF(BM68:BM87,2)&gt;0,2,1)</f>
        <v>1</v>
      </c>
      <c r="BN88" s="185"/>
      <c r="BO88" s="185"/>
      <c r="BP88" s="185"/>
      <c r="BQ88" s="266">
        <f>SUM(BQ68:BQ87)</f>
        <v>0</v>
      </c>
      <c r="BR88" s="157"/>
      <c r="BS88" s="157"/>
      <c r="BT88" s="157"/>
      <c r="BU88" s="191"/>
      <c r="BV88" s="191"/>
      <c r="BW88" s="191"/>
      <c r="BX88" s="191"/>
      <c r="BY88" s="191"/>
      <c r="BZ88" s="157"/>
      <c r="CA88" s="157"/>
      <c r="CB88" s="2192"/>
      <c r="CC88" s="2192"/>
      <c r="CD88" s="2192"/>
      <c r="CE88" s="2192"/>
      <c r="CF88" s="2192"/>
      <c r="CG88" s="2192"/>
      <c r="CH88" s="2192"/>
      <c r="CI88" s="2192"/>
      <c r="CJ88" s="2192"/>
      <c r="CK88" s="2192"/>
      <c r="CL88" s="2192"/>
      <c r="CM88" s="2192"/>
      <c r="CN88" s="2192"/>
      <c r="CO88" s="198"/>
      <c r="CP88" s="199"/>
      <c r="CQ88" s="200">
        <f>SUM(CQ68:CQ87)</f>
        <v>0</v>
      </c>
      <c r="CR88" s="201">
        <f>SUM(CR68:CR87)</f>
        <v>0</v>
      </c>
      <c r="CS88" s="157"/>
      <c r="CT88" s="157"/>
      <c r="CU88" s="157"/>
      <c r="CV88" s="157"/>
      <c r="CW88" s="15"/>
      <c r="CX88" s="15"/>
      <c r="CY88" s="14">
        <f>SUM(CY68:CY87)</f>
        <v>0</v>
      </c>
      <c r="CZ88" s="14">
        <f>SUM(CZ68:CZ87)</f>
        <v>0</v>
      </c>
      <c r="DA88" s="14">
        <f t="shared" ref="DA88:DL88" si="140">SUM(DA68:DA87)</f>
        <v>0</v>
      </c>
      <c r="DB88" s="14">
        <f t="shared" si="140"/>
        <v>0</v>
      </c>
      <c r="DC88" s="14">
        <f t="shared" si="140"/>
        <v>0</v>
      </c>
      <c r="DD88" s="14">
        <f t="shared" si="140"/>
        <v>0</v>
      </c>
      <c r="DE88" s="14">
        <f t="shared" si="140"/>
        <v>0</v>
      </c>
      <c r="DF88" s="14">
        <f t="shared" si="140"/>
        <v>0</v>
      </c>
      <c r="DG88" s="14">
        <f t="shared" si="140"/>
        <v>0</v>
      </c>
      <c r="DH88" s="14">
        <f t="shared" si="140"/>
        <v>0</v>
      </c>
      <c r="DI88" s="14"/>
      <c r="DJ88" s="14">
        <f t="shared" si="140"/>
        <v>0</v>
      </c>
      <c r="DK88" s="14">
        <f t="shared" si="140"/>
        <v>0</v>
      </c>
      <c r="DL88" s="14">
        <f t="shared" si="140"/>
        <v>0</v>
      </c>
      <c r="DM88" s="14"/>
      <c r="DN88" s="14"/>
      <c r="DO88" s="14"/>
      <c r="DP88" s="14">
        <f>SUMPRODUCT(DJ68:DJ87,DP68:DP87)</f>
        <v>0</v>
      </c>
      <c r="DQ88" s="15"/>
      <c r="DR88" s="15"/>
      <c r="DS88" s="15"/>
      <c r="DT88" s="15"/>
      <c r="DU88" s="15"/>
      <c r="DV88" s="15"/>
      <c r="DW88" s="15"/>
      <c r="DX88" s="2174"/>
      <c r="EB88" s="2202">
        <f>SUM(EB68:EB87)</f>
        <v>0</v>
      </c>
      <c r="EC88" s="356">
        <f>SUMPRODUCT(EC68:EC87,ED68:ED87)</f>
        <v>0</v>
      </c>
      <c r="ED88" s="344">
        <f t="shared" ref="ED88:EM88" si="141">SUM(ED68:ED87)</f>
        <v>0</v>
      </c>
      <c r="EE88" s="356">
        <f>SUMPRODUCT(EE68:EE87,EF68:EF87)</f>
        <v>0</v>
      </c>
      <c r="EF88" s="344">
        <f>SUM(EF68:EF87)</f>
        <v>0</v>
      </c>
      <c r="EG88" s="359">
        <f>SUM(EG68:EG87)</f>
        <v>0</v>
      </c>
      <c r="EH88" s="359">
        <f t="shared" si="141"/>
        <v>0</v>
      </c>
      <c r="EI88" s="359">
        <f t="shared" si="141"/>
        <v>0</v>
      </c>
      <c r="EJ88" s="359">
        <f t="shared" si="141"/>
        <v>0</v>
      </c>
      <c r="EK88" s="344">
        <f t="shared" si="141"/>
        <v>0</v>
      </c>
      <c r="EL88" s="344">
        <f t="shared" si="141"/>
        <v>0</v>
      </c>
      <c r="EM88" s="344">
        <f t="shared" si="141"/>
        <v>0</v>
      </c>
      <c r="EN88" s="92" t="e">
        <f>+EL88/EK88</f>
        <v>#DIV/0!</v>
      </c>
      <c r="EO88" s="344">
        <f>SUM(EO68:EO87)</f>
        <v>0</v>
      </c>
      <c r="ES88" s="344">
        <f>SUM(ES68:ES87)</f>
        <v>0</v>
      </c>
      <c r="EV88" s="344">
        <f>SUM(EV68:EV87)</f>
        <v>0</v>
      </c>
      <c r="EW88" s="344">
        <f>SUM(EW68:EW87)</f>
        <v>0</v>
      </c>
      <c r="EZ88" s="92">
        <f>SUM(EZ68:EZ87)</f>
        <v>0</v>
      </c>
      <c r="FA88" s="92">
        <f>SUM(FA68:FA87)</f>
        <v>0</v>
      </c>
      <c r="FB88" s="92">
        <f t="shared" ref="FB88:FC88" si="142">SUM(FB68:FB87)</f>
        <v>0</v>
      </c>
      <c r="FC88" s="92">
        <f t="shared" si="142"/>
        <v>0</v>
      </c>
      <c r="FD88" s="92">
        <f>(SUM(FD68:FD87)+SUM(FE68:FE87))/2</f>
        <v>0</v>
      </c>
      <c r="FF88" s="92">
        <f>SUM(FF68:FF87)</f>
        <v>0</v>
      </c>
      <c r="FH88" s="92">
        <f>SUM(FH68:FH87)</f>
        <v>0</v>
      </c>
    </row>
    <row r="89" spans="1:164" ht="27.75" customHeight="1" thickBot="1" x14ac:dyDescent="0.25">
      <c r="A89" s="297"/>
      <c r="B89" s="25"/>
      <c r="C89" s="25"/>
      <c r="D89" s="25"/>
      <c r="E89" s="25"/>
      <c r="F89" s="25"/>
      <c r="G89" s="25"/>
      <c r="H89" s="25"/>
      <c r="I89" s="25"/>
      <c r="J89" s="92"/>
      <c r="K89" s="92"/>
      <c r="L89" s="92"/>
      <c r="M89" s="25"/>
      <c r="N89" s="15"/>
      <c r="P89" s="92"/>
      <c r="Q89" s="2659" t="s">
        <v>907</v>
      </c>
      <c r="R89" s="2659"/>
      <c r="S89" s="158" t="s">
        <v>654</v>
      </c>
      <c r="T89" s="157"/>
      <c r="U89" s="209"/>
      <c r="V89" s="209"/>
      <c r="W89" s="209"/>
      <c r="X89" s="157"/>
      <c r="Y89" s="157"/>
      <c r="Z89" s="157"/>
      <c r="AA89" s="157"/>
      <c r="AB89" s="146" t="s">
        <v>995</v>
      </c>
      <c r="AJ89" s="268"/>
      <c r="AK89" s="268"/>
      <c r="AL89" s="2651" t="s">
        <v>771</v>
      </c>
      <c r="AM89" s="2651"/>
      <c r="AN89" s="2651"/>
      <c r="AO89" s="2651"/>
      <c r="AP89" s="2651"/>
      <c r="AQ89" s="2651"/>
      <c r="AR89" s="268"/>
      <c r="AS89" s="2651" t="s">
        <v>786</v>
      </c>
      <c r="AT89" s="2651"/>
      <c r="AU89" s="2651"/>
      <c r="AV89" s="2651"/>
      <c r="AW89" s="2651"/>
      <c r="AX89" s="2651"/>
      <c r="AY89" s="157"/>
      <c r="AZ89" s="157"/>
      <c r="BA89" s="157"/>
      <c r="BB89" s="157"/>
      <c r="BC89" s="157"/>
      <c r="BD89" s="157"/>
      <c r="BE89" s="157"/>
      <c r="BF89" s="157"/>
      <c r="BG89" s="157"/>
      <c r="BH89" s="157"/>
      <c r="BI89" s="157"/>
      <c r="BJ89" s="157"/>
      <c r="BK89" s="157"/>
      <c r="BL89" s="658"/>
      <c r="BM89" s="157"/>
      <c r="BN89" s="185"/>
      <c r="BO89" s="185"/>
      <c r="BP89" s="185"/>
      <c r="BQ89" s="212"/>
      <c r="BR89" s="157"/>
      <c r="BS89" s="157"/>
      <c r="BT89" s="157"/>
      <c r="BU89" s="191"/>
      <c r="BV89" s="191"/>
      <c r="BW89" s="191"/>
      <c r="BX89" s="191"/>
      <c r="BY89" s="191"/>
      <c r="BZ89" s="157"/>
      <c r="CA89" s="157"/>
      <c r="CB89" s="2192"/>
      <c r="CC89" s="157"/>
      <c r="CD89" s="157"/>
      <c r="CE89" s="157"/>
      <c r="CF89" s="2121"/>
      <c r="CG89" s="2121"/>
      <c r="CH89" s="2121"/>
      <c r="CI89" s="157"/>
      <c r="CJ89" s="157"/>
      <c r="CK89" s="157"/>
      <c r="CL89" s="2121"/>
      <c r="CM89" s="2121"/>
      <c r="CN89" s="2121"/>
      <c r="CO89" s="198"/>
      <c r="CP89" s="199"/>
      <c r="CQ89" s="207" t="str">
        <f>IF(CQ88=0,"1",SUM(CQ68:CQ87))</f>
        <v>1</v>
      </c>
      <c r="CR89" s="205" t="str">
        <f>IF(CR88=0,"1",SUM(CR68:CR87))</f>
        <v>1</v>
      </c>
      <c r="CS89" s="157"/>
      <c r="CT89" s="157"/>
      <c r="CU89" s="157"/>
      <c r="CV89" s="157"/>
      <c r="CW89" s="15"/>
      <c r="CX89" s="15"/>
      <c r="CY89" s="652" t="s">
        <v>906</v>
      </c>
      <c r="DA89" s="14"/>
      <c r="DB89" s="14"/>
      <c r="DC89" s="14"/>
      <c r="DD89" s="14"/>
      <c r="DE89" s="14"/>
      <c r="DF89" s="14"/>
      <c r="DG89" s="14"/>
      <c r="DH89" s="14"/>
      <c r="DI89" s="14"/>
      <c r="DJ89" s="14"/>
      <c r="DK89" s="14"/>
      <c r="DL89" s="14"/>
      <c r="DM89" s="14"/>
      <c r="DN89" s="14"/>
      <c r="DO89" s="14" t="s">
        <v>699</v>
      </c>
      <c r="DP89" s="14">
        <f>IF(DJ88=0,0,DP88/DJ88)</f>
        <v>0</v>
      </c>
      <c r="DQ89" s="15"/>
      <c r="DR89" s="15"/>
      <c r="DS89" s="15"/>
      <c r="DT89" s="15"/>
      <c r="DU89" s="15"/>
      <c r="DV89" s="15"/>
      <c r="DW89" s="15"/>
      <c r="DX89" s="2174"/>
      <c r="EC89" s="356" t="e">
        <f>+EC88/ED88</f>
        <v>#DIV/0!</v>
      </c>
      <c r="ED89" s="252" t="s">
        <v>270</v>
      </c>
      <c r="EE89" s="356" t="e">
        <f>+EE88/EF88</f>
        <v>#DIV/0!</v>
      </c>
      <c r="EF89" s="252" t="s">
        <v>270</v>
      </c>
      <c r="EG89" s="359">
        <f>+EG88+EI88</f>
        <v>0</v>
      </c>
      <c r="EH89" s="359">
        <f>IF(EG89=0,0,(EH88+EJ88)/EG89*100)</f>
        <v>0</v>
      </c>
      <c r="EI89" s="363" t="s">
        <v>596</v>
      </c>
      <c r="EJ89" s="364"/>
      <c r="EY89" s="92" t="s">
        <v>8861</v>
      </c>
      <c r="EZ89" s="92">
        <f>SUMIFS(EZ68:EZ87,DQ68:DQ87,FALSE)</f>
        <v>0</v>
      </c>
      <c r="FA89" s="92">
        <f>SUMIFS(FA68:FA87,DQ68:DQ87,FALSE)</f>
        <v>0</v>
      </c>
      <c r="FB89" s="92">
        <f>SUMIFS(FB68:FB87,DQ68:DQ87,FALSE)</f>
        <v>0</v>
      </c>
      <c r="FC89" s="92">
        <f>SUMIFS(FC68:FC87,DQ68:DQ87,FALSE)</f>
        <v>0</v>
      </c>
    </row>
    <row r="90" spans="1:164" ht="18" customHeight="1" x14ac:dyDescent="0.35">
      <c r="A90" s="532" t="s">
        <v>719</v>
      </c>
      <c r="B90" s="533"/>
      <c r="C90" s="533"/>
      <c r="D90" s="533"/>
      <c r="E90" s="534"/>
      <c r="F90" s="2581" t="s">
        <v>407</v>
      </c>
      <c r="G90" s="2582"/>
      <c r="H90" s="2737" t="s">
        <v>194</v>
      </c>
      <c r="I90" s="2738"/>
      <c r="J90" s="535" t="s">
        <v>4</v>
      </c>
      <c r="K90" s="2674" t="s">
        <v>736</v>
      </c>
      <c r="L90" s="2674"/>
      <c r="M90" s="536" t="s">
        <v>210</v>
      </c>
      <c r="N90" s="15"/>
      <c r="P90" s="92"/>
      <c r="Q90" s="252" t="s">
        <v>227</v>
      </c>
      <c r="R90" s="654" t="s">
        <v>226</v>
      </c>
      <c r="S90" s="460">
        <f>+S88/12</f>
        <v>0</v>
      </c>
      <c r="T90" s="461">
        <f>+T88/12</f>
        <v>0</v>
      </c>
      <c r="U90" s="216"/>
      <c r="V90" s="207"/>
      <c r="W90" s="216"/>
      <c r="X90" s="157"/>
      <c r="Y90" s="157"/>
      <c r="Z90" s="157"/>
      <c r="AA90" s="157"/>
      <c r="AB90" s="146">
        <f>SUMPRODUCT(AB68:AB87,$DR$68:$DR$87)</f>
        <v>0</v>
      </c>
      <c r="AD90" s="146">
        <f>SUMPRODUCT(AD68:AD87,$DR$68:$DR$87)</f>
        <v>0</v>
      </c>
      <c r="AF90" s="146">
        <f>SUMPRODUCT(AF68:AF87,$DR$68:$DR$87)</f>
        <v>0</v>
      </c>
      <c r="AH90" s="146">
        <f>SUMPRODUCT(AH68:AH87,$DR$68:$DR$87)</f>
        <v>0</v>
      </c>
      <c r="AJ90" s="268"/>
      <c r="AK90" s="268"/>
      <c r="AL90" s="207">
        <f>SUMPRODUCT(AL68:AL87,DR68:DR87)</f>
        <v>0</v>
      </c>
      <c r="AM90" s="207">
        <f>SUMPRODUCT(AM68:AM87,DR68:DR87)</f>
        <v>0</v>
      </c>
      <c r="AN90" s="653">
        <f>SUMPRODUCT(AN68:AN87,DR68:DR87)</f>
        <v>0</v>
      </c>
      <c r="AO90" s="207">
        <f>SUMPRODUCT(AO68:AO87,DR68:DR87)</f>
        <v>0</v>
      </c>
      <c r="AP90" s="207">
        <f>SUMPRODUCT(AP68:AP87,DR68:DR87)</f>
        <v>0</v>
      </c>
      <c r="AQ90" s="653">
        <f>SUMPRODUCT(AQ68:AQ87,DR68:DR87)</f>
        <v>0</v>
      </c>
      <c r="AR90" s="268"/>
      <c r="AS90" s="207">
        <f t="shared" ref="AS90:AX90" si="143">SUMPRODUCT(AS68:AS87,$DR$68:$DR$87)</f>
        <v>0</v>
      </c>
      <c r="AT90" s="146">
        <f>SUMPRODUCT(AT68:AT87,$DR$68:$DR$87)</f>
        <v>0</v>
      </c>
      <c r="AU90" s="653">
        <f t="shared" si="143"/>
        <v>0</v>
      </c>
      <c r="AV90" s="653">
        <f t="shared" si="143"/>
        <v>0</v>
      </c>
      <c r="AW90" s="653">
        <f t="shared" si="143"/>
        <v>0</v>
      </c>
      <c r="AX90" s="653">
        <f t="shared" si="143"/>
        <v>0</v>
      </c>
      <c r="AY90" s="157"/>
      <c r="AZ90" s="157"/>
      <c r="BA90" s="157"/>
      <c r="BB90" s="157"/>
      <c r="BC90" s="157"/>
      <c r="BD90" s="157"/>
      <c r="BE90" s="157"/>
      <c r="BF90" s="157"/>
      <c r="BG90" s="157"/>
      <c r="BH90" s="157"/>
      <c r="BI90" s="157"/>
      <c r="BJ90" s="157"/>
      <c r="BK90" s="157"/>
      <c r="BL90" s="658"/>
      <c r="BM90" s="157"/>
      <c r="BN90" s="185"/>
      <c r="BO90" s="185"/>
      <c r="BP90" s="185"/>
      <c r="BQ90" s="212"/>
      <c r="BR90" s="157"/>
      <c r="BS90" s="157"/>
      <c r="BT90" s="157"/>
      <c r="BU90" s="191"/>
      <c r="BV90" s="191"/>
      <c r="BW90" s="191"/>
      <c r="BX90" s="191"/>
      <c r="BY90" s="191"/>
      <c r="BZ90" s="157"/>
      <c r="CA90" s="157"/>
      <c r="CB90" s="2192"/>
      <c r="CC90" s="157"/>
      <c r="CD90" s="157"/>
      <c r="CE90" s="157"/>
      <c r="CF90" s="2121"/>
      <c r="CG90" s="2121"/>
      <c r="CH90" s="2121"/>
      <c r="CI90" s="157"/>
      <c r="CJ90" s="157"/>
      <c r="CK90" s="157"/>
      <c r="CL90" s="2121"/>
      <c r="CM90" s="2121"/>
      <c r="CN90" s="2121"/>
      <c r="CO90" s="368"/>
      <c r="CP90" s="369"/>
      <c r="CQ90" s="207" t="s">
        <v>906</v>
      </c>
      <c r="CR90" s="207"/>
      <c r="CS90" s="157"/>
      <c r="CT90" s="157"/>
      <c r="CU90" s="157"/>
      <c r="CV90" s="157"/>
      <c r="CW90" s="15"/>
      <c r="CX90" s="15"/>
      <c r="CY90" s="14">
        <f>SUMIF(DR68:DR87,0,CY68:CY87)</f>
        <v>0</v>
      </c>
      <c r="CZ90" s="14">
        <f>SUMIF(DR68:DR87,0,CZ68:CZ87)</f>
        <v>0</v>
      </c>
      <c r="DA90" s="14"/>
      <c r="DB90" s="14"/>
      <c r="DC90" s="14"/>
      <c r="DD90" s="14"/>
      <c r="DE90" s="14"/>
      <c r="DF90" s="14"/>
      <c r="DG90" s="14"/>
      <c r="DH90" s="14"/>
      <c r="DI90" s="14"/>
      <c r="DJ90" s="14"/>
      <c r="DK90" s="14"/>
      <c r="DL90" s="14"/>
      <c r="DM90" s="14"/>
      <c r="DN90" s="14"/>
      <c r="DO90" s="14"/>
      <c r="DP90" s="14"/>
      <c r="DQ90" s="15"/>
      <c r="DR90" s="15"/>
      <c r="DS90" s="15"/>
      <c r="DT90" s="15"/>
      <c r="DU90" s="15"/>
      <c r="DV90" s="15"/>
      <c r="DW90" s="15"/>
      <c r="DX90" s="2174"/>
      <c r="EC90" s="356"/>
      <c r="ED90" s="252"/>
      <c r="EE90" s="252"/>
      <c r="EF90" s="252"/>
      <c r="EG90" s="2202"/>
      <c r="EH90" s="2202"/>
      <c r="EI90" s="2208"/>
      <c r="EJ90" s="117"/>
    </row>
    <row r="91" spans="1:164" ht="18" customHeight="1" thickBot="1" x14ac:dyDescent="0.25">
      <c r="A91" s="537" t="s">
        <v>735</v>
      </c>
      <c r="B91" s="538"/>
      <c r="C91" s="538"/>
      <c r="D91" s="538"/>
      <c r="E91" s="539"/>
      <c r="F91" s="2577" t="s">
        <v>8672</v>
      </c>
      <c r="G91" s="2578"/>
      <c r="H91" s="2579" t="s">
        <v>569</v>
      </c>
      <c r="I91" s="2580"/>
      <c r="J91" s="2666" t="s">
        <v>625</v>
      </c>
      <c r="K91" s="2667"/>
      <c r="L91" s="2667"/>
      <c r="M91" s="2668"/>
      <c r="N91" s="15"/>
      <c r="P91" s="92"/>
      <c r="Q91" s="252">
        <f>SUMIF(DR68:DR87,0,K68:L87)</f>
        <v>0</v>
      </c>
      <c r="R91" s="117">
        <f>SUMIF(DR68:DR87,0,Q68:Q87)</f>
        <v>0</v>
      </c>
      <c r="S91" s="117"/>
      <c r="T91" s="157"/>
      <c r="U91" s="157"/>
      <c r="V91" s="157"/>
      <c r="W91" s="157"/>
      <c r="X91" s="157"/>
      <c r="Y91" s="157"/>
      <c r="Z91" s="157"/>
      <c r="AA91" s="157"/>
      <c r="AB91" s="207"/>
      <c r="AC91" s="207" t="s">
        <v>912</v>
      </c>
      <c r="AD91" s="207"/>
      <c r="AE91" s="207"/>
      <c r="AF91" s="207"/>
      <c r="AG91" s="207"/>
      <c r="AH91" s="207"/>
      <c r="AI91" s="207"/>
      <c r="AJ91" s="268"/>
      <c r="AK91" s="268"/>
      <c r="AL91" s="2651" t="s">
        <v>772</v>
      </c>
      <c r="AM91" s="2651"/>
      <c r="AN91" s="2651"/>
      <c r="AO91" s="2651"/>
      <c r="AP91" s="2651"/>
      <c r="AQ91" s="2651"/>
      <c r="AR91" s="268" t="s">
        <v>908</v>
      </c>
      <c r="AS91" s="207"/>
      <c r="AT91" s="207"/>
      <c r="AU91" s="207" t="s">
        <v>909</v>
      </c>
      <c r="AV91" s="207"/>
      <c r="AW91" s="207"/>
      <c r="AX91" s="207"/>
      <c r="AY91" s="157"/>
      <c r="AZ91" s="157"/>
      <c r="BA91" s="157"/>
      <c r="BB91" s="157"/>
      <c r="BC91" s="157"/>
      <c r="BD91" s="157"/>
      <c r="BE91" s="157"/>
      <c r="BF91" s="157"/>
      <c r="BG91" s="157"/>
      <c r="BH91" s="157"/>
      <c r="BI91" s="157"/>
      <c r="BJ91" s="157"/>
      <c r="BK91" s="157"/>
      <c r="BL91" s="658"/>
      <c r="BM91" s="157"/>
      <c r="BN91" s="185"/>
      <c r="BO91" s="185"/>
      <c r="BP91" s="185"/>
      <c r="BQ91" s="212"/>
      <c r="BR91" s="157"/>
      <c r="BS91" s="157"/>
      <c r="BT91" s="157"/>
      <c r="BU91" s="191"/>
      <c r="BV91" s="191"/>
      <c r="BW91" s="191"/>
      <c r="BX91" s="191"/>
      <c r="BY91" s="191"/>
      <c r="BZ91" s="157"/>
      <c r="CA91" s="157"/>
      <c r="CB91" s="2192"/>
      <c r="CC91" s="157"/>
      <c r="CD91" s="157"/>
      <c r="CE91" s="157"/>
      <c r="CF91" s="2121"/>
      <c r="CG91" s="2121"/>
      <c r="CH91" s="2121"/>
      <c r="CI91" s="157"/>
      <c r="CJ91" s="157"/>
      <c r="CK91" s="157"/>
      <c r="CL91" s="2121"/>
      <c r="CM91" s="2121"/>
      <c r="CN91" s="2121"/>
      <c r="CO91" s="368"/>
      <c r="CP91" s="369"/>
      <c r="CQ91" s="207">
        <f>SUMIF($DR$68:$DR$87,0,CQ68:CQ87)</f>
        <v>0</v>
      </c>
      <c r="CR91" s="207"/>
      <c r="CS91" s="157"/>
      <c r="CT91" s="157"/>
      <c r="CU91" s="157"/>
      <c r="CV91" s="157"/>
      <c r="CW91" s="15"/>
      <c r="CX91" s="15"/>
      <c r="CY91" s="14"/>
      <c r="CZ91" s="14"/>
      <c r="DA91" s="14"/>
      <c r="DB91" s="14"/>
      <c r="DC91" s="14"/>
      <c r="DD91" s="14"/>
      <c r="DE91" s="14"/>
      <c r="DF91" s="14"/>
      <c r="DG91" s="14"/>
      <c r="DH91" s="14"/>
      <c r="DI91" s="14"/>
      <c r="DJ91" s="14"/>
      <c r="DK91" s="14"/>
      <c r="DL91" s="14"/>
      <c r="DM91" s="14"/>
      <c r="DN91" s="14"/>
      <c r="DO91" s="14"/>
      <c r="DP91" s="14"/>
      <c r="DQ91" s="15"/>
      <c r="DR91" s="15"/>
      <c r="DS91" s="15"/>
      <c r="DT91" s="15"/>
      <c r="DU91" s="15"/>
      <c r="DV91" s="15"/>
      <c r="DW91" s="15"/>
      <c r="DX91" s="2174"/>
      <c r="EC91" s="356">
        <f>+EC88+EE88</f>
        <v>0</v>
      </c>
      <c r="ED91" s="372">
        <f>+ED88+EF88</f>
        <v>0</v>
      </c>
      <c r="EE91" s="252"/>
      <c r="EF91" s="252"/>
      <c r="EG91" s="2202"/>
      <c r="EH91" s="2202"/>
      <c r="EI91" s="2208"/>
      <c r="EJ91" s="117"/>
    </row>
    <row r="92" spans="1:164" ht="18" customHeight="1" x14ac:dyDescent="0.2">
      <c r="A92" s="480" t="s">
        <v>8674</v>
      </c>
      <c r="B92" s="481"/>
      <c r="C92" s="481"/>
      <c r="D92" s="481"/>
      <c r="E92" s="482"/>
      <c r="F92" s="2573">
        <f>+J88</f>
        <v>0</v>
      </c>
      <c r="G92" s="2574"/>
      <c r="H92" s="2545">
        <f>+K88</f>
        <v>0</v>
      </c>
      <c r="I92" s="2546"/>
      <c r="J92" s="1433">
        <f>+J93+J95+J99</f>
        <v>0</v>
      </c>
      <c r="K92" s="2665">
        <f>+K93+K95+K99</f>
        <v>0</v>
      </c>
      <c r="L92" s="2665"/>
      <c r="M92" s="1434">
        <f>+M93+M95+M99</f>
        <v>0</v>
      </c>
      <c r="N92" s="15"/>
      <c r="P92" s="92" t="s">
        <v>708</v>
      </c>
      <c r="Q92" s="252"/>
      <c r="R92" s="117"/>
      <c r="S92" s="117"/>
      <c r="T92" s="157"/>
      <c r="U92" s="157"/>
      <c r="V92" s="157"/>
      <c r="W92" s="157"/>
      <c r="X92" s="157"/>
      <c r="Y92" s="157"/>
      <c r="Z92" s="157"/>
      <c r="AA92" s="157"/>
      <c r="AB92" s="207">
        <f t="shared" ref="AB92:AI92" si="144">SUMIF($DR$68:$DR$87,0,AB68:AB87)</f>
        <v>0</v>
      </c>
      <c r="AC92" s="653">
        <f t="shared" si="144"/>
        <v>0</v>
      </c>
      <c r="AD92" s="653">
        <f t="shared" si="144"/>
        <v>0</v>
      </c>
      <c r="AE92" s="653">
        <f t="shared" si="144"/>
        <v>0</v>
      </c>
      <c r="AF92" s="653">
        <f t="shared" si="144"/>
        <v>0</v>
      </c>
      <c r="AG92" s="653">
        <f t="shared" si="144"/>
        <v>0</v>
      </c>
      <c r="AH92" s="653">
        <f t="shared" si="144"/>
        <v>0</v>
      </c>
      <c r="AI92" s="653">
        <f t="shared" si="144"/>
        <v>0</v>
      </c>
      <c r="AJ92" s="680">
        <f>SUMPRODUCT(AJ68:AJ87,CQ68:CQ87)/CQ89</f>
        <v>0</v>
      </c>
      <c r="AK92" s="680">
        <f>SUMPRODUCT(AK68:AK87,CR68:CR87)/CR89</f>
        <v>0</v>
      </c>
      <c r="AL92" s="207">
        <f>+AL88-AL90</f>
        <v>0</v>
      </c>
      <c r="AM92" s="207">
        <f>+AM88-AM90</f>
        <v>0</v>
      </c>
      <c r="AN92" s="653">
        <f t="shared" ref="AN92:AQ92" si="145">+AN88-AN90</f>
        <v>0</v>
      </c>
      <c r="AO92" s="653">
        <f t="shared" si="145"/>
        <v>0</v>
      </c>
      <c r="AP92" s="653">
        <f t="shared" si="145"/>
        <v>0</v>
      </c>
      <c r="AQ92" s="653">
        <f t="shared" si="145"/>
        <v>0</v>
      </c>
      <c r="AR92" s="268" t="e" cm="1">
        <f t="array" ref="AR92">SUMPRODUCT(AR68:AR87,K68:K87,(DR68:DR87=0)*1)/Q91</f>
        <v>#DIV/0!</v>
      </c>
      <c r="AS92" s="207">
        <f>AS88-AS90</f>
        <v>0</v>
      </c>
      <c r="AT92" s="653">
        <f t="shared" ref="AT92:AX92" si="146">AT88-AT90</f>
        <v>0</v>
      </c>
      <c r="AU92" s="653">
        <f t="shared" si="146"/>
        <v>0</v>
      </c>
      <c r="AV92" s="653">
        <f t="shared" si="146"/>
        <v>0</v>
      </c>
      <c r="AW92" s="653">
        <f t="shared" si="146"/>
        <v>0</v>
      </c>
      <c r="AX92" s="653">
        <f t="shared" si="146"/>
        <v>0</v>
      </c>
      <c r="AY92" s="157"/>
      <c r="AZ92" s="157"/>
      <c r="BA92" s="157"/>
      <c r="BB92" s="157"/>
      <c r="BC92" s="157"/>
      <c r="BD92" s="157"/>
      <c r="BE92" s="157"/>
      <c r="BF92" s="157"/>
      <c r="BG92" s="157"/>
      <c r="BH92" s="157"/>
      <c r="BI92" s="157"/>
      <c r="BJ92" s="157"/>
      <c r="BK92" s="157"/>
      <c r="BL92" s="658"/>
      <c r="BM92" s="157"/>
      <c r="BN92" s="185"/>
      <c r="BO92" s="185"/>
      <c r="BP92" s="185"/>
      <c r="BQ92" s="212"/>
      <c r="BR92" s="157"/>
      <c r="BS92" s="157"/>
      <c r="BT92" s="157"/>
      <c r="BU92" s="191"/>
      <c r="BV92" s="191"/>
      <c r="BW92" s="191"/>
      <c r="BX92" s="191"/>
      <c r="BY92" s="191"/>
      <c r="BZ92" s="157"/>
      <c r="CA92" s="157"/>
      <c r="CB92" s="2192"/>
      <c r="CC92" s="157"/>
      <c r="CD92" s="157"/>
      <c r="CE92" s="157"/>
      <c r="CF92" s="2121"/>
      <c r="CG92" s="2121"/>
      <c r="CH92" s="2121"/>
      <c r="CI92" s="157"/>
      <c r="CJ92" s="157"/>
      <c r="CK92" s="157"/>
      <c r="CL92" s="2121"/>
      <c r="CM92" s="2121"/>
      <c r="CN92" s="2121"/>
      <c r="CO92" s="368"/>
      <c r="CP92" s="369"/>
      <c r="CQ92" s="207"/>
      <c r="CR92" s="207"/>
      <c r="CS92" s="157"/>
      <c r="CT92" s="157"/>
      <c r="CU92" s="157"/>
      <c r="CV92" s="157"/>
      <c r="CW92" s="15"/>
      <c r="CX92" s="15"/>
      <c r="CY92" s="14"/>
      <c r="CZ92" s="14"/>
      <c r="DA92" s="14"/>
      <c r="DB92" s="14"/>
      <c r="DC92" s="14"/>
      <c r="DD92" s="14"/>
      <c r="DE92" s="14"/>
      <c r="DF92" s="14"/>
      <c r="DG92" s="14"/>
      <c r="DH92" s="14"/>
      <c r="DI92" s="14"/>
      <c r="DJ92" s="14"/>
      <c r="DK92" s="14"/>
      <c r="DL92" s="14"/>
      <c r="DM92" s="14"/>
      <c r="DN92" s="14"/>
      <c r="DO92" s="14"/>
      <c r="DP92" s="14"/>
      <c r="DQ92" s="15"/>
      <c r="DR92" s="15"/>
      <c r="DS92" s="15"/>
      <c r="DT92" s="15"/>
      <c r="DU92" s="15"/>
      <c r="DV92" s="15"/>
      <c r="DW92" s="15"/>
      <c r="DX92" s="2174"/>
      <c r="EC92" s="356">
        <f>IF(ED91=0,0,EC91/ED91)</f>
        <v>0</v>
      </c>
      <c r="ED92" s="252" t="s">
        <v>270</v>
      </c>
      <c r="EE92" s="252"/>
      <c r="EF92" s="252"/>
      <c r="EG92" s="2202"/>
      <c r="EH92" s="2202"/>
      <c r="EI92" s="2208"/>
      <c r="EJ92" s="117"/>
    </row>
    <row r="93" spans="1:164" ht="18" customHeight="1" x14ac:dyDescent="0.2">
      <c r="A93" s="1988" t="s">
        <v>8678</v>
      </c>
      <c r="B93" s="484"/>
      <c r="C93" s="484"/>
      <c r="D93" s="484"/>
      <c r="E93" s="485"/>
      <c r="F93" s="2543">
        <f>SUMPRODUCT(J68:J87,DR68:DR87)</f>
        <v>0</v>
      </c>
      <c r="G93" s="2544"/>
      <c r="H93" s="2569">
        <f>SUMPRODUCT(K68:K87,DR68:DR87)</f>
        <v>0</v>
      </c>
      <c r="I93" s="2570"/>
      <c r="J93" s="1435">
        <f>+DJ88/1000</f>
        <v>0</v>
      </c>
      <c r="K93" s="2366">
        <f>+DK88/1000</f>
        <v>0</v>
      </c>
      <c r="L93" s="2366">
        <f>+DL88/1000</f>
        <v>0</v>
      </c>
      <c r="M93" s="1436">
        <f>+DL88/1000</f>
        <v>0</v>
      </c>
      <c r="N93" s="15"/>
      <c r="P93" s="92" t="s">
        <v>708</v>
      </c>
      <c r="Q93" s="92"/>
      <c r="R93" s="117"/>
      <c r="S93" s="117"/>
      <c r="T93" s="157"/>
      <c r="U93" s="157"/>
      <c r="V93" s="157"/>
      <c r="W93" s="157"/>
      <c r="X93" s="157"/>
      <c r="Y93" s="157"/>
      <c r="Z93" s="157"/>
      <c r="AA93" s="157"/>
      <c r="AB93" s="207"/>
      <c r="AC93" s="207" t="s">
        <v>913</v>
      </c>
      <c r="AD93" s="207"/>
      <c r="AE93" s="207"/>
      <c r="AF93" s="207"/>
      <c r="AG93" s="207"/>
      <c r="AH93" s="207"/>
      <c r="AI93" s="207"/>
      <c r="AJ93" s="268"/>
      <c r="AK93" s="268"/>
      <c r="AL93" s="207"/>
      <c r="AM93" s="207"/>
      <c r="AN93" s="207" t="s">
        <v>910</v>
      </c>
      <c r="AO93" s="207"/>
      <c r="AP93" s="207"/>
      <c r="AQ93" s="207"/>
      <c r="AR93" s="268"/>
      <c r="AS93" s="207"/>
      <c r="AT93" s="207"/>
      <c r="AU93" s="207" t="s">
        <v>911</v>
      </c>
      <c r="AV93" s="207"/>
      <c r="AW93" s="207"/>
      <c r="AX93" s="207"/>
      <c r="AY93" s="157"/>
      <c r="AZ93" s="157"/>
      <c r="BA93" s="157"/>
      <c r="BB93" s="157"/>
      <c r="BC93" s="157"/>
      <c r="BD93" s="157"/>
      <c r="BE93" s="157"/>
      <c r="BF93" s="157"/>
      <c r="BG93" s="157"/>
      <c r="BH93" s="157"/>
      <c r="BI93" s="157"/>
      <c r="BJ93" s="157"/>
      <c r="BK93" s="157"/>
      <c r="BL93" s="658"/>
      <c r="BM93" s="157"/>
      <c r="BN93" s="185"/>
      <c r="BO93" s="185"/>
      <c r="BP93" s="185"/>
      <c r="BQ93" s="212"/>
      <c r="BR93" s="157"/>
      <c r="BS93" s="157"/>
      <c r="BT93" s="157"/>
      <c r="BU93" s="191"/>
      <c r="BV93" s="191"/>
      <c r="BW93" s="191"/>
      <c r="BX93" s="191"/>
      <c r="BY93" s="191"/>
      <c r="BZ93" s="157"/>
      <c r="CA93" s="157"/>
      <c r="CB93" s="2192"/>
      <c r="CC93" s="157"/>
      <c r="CD93" s="157"/>
      <c r="CE93" s="157"/>
      <c r="CF93" s="2121"/>
      <c r="CG93" s="2121"/>
      <c r="CH93" s="2121"/>
      <c r="CI93" s="157"/>
      <c r="CJ93" s="157"/>
      <c r="CK93" s="157"/>
      <c r="CL93" s="2121"/>
      <c r="CM93" s="2121"/>
      <c r="CN93" s="2121"/>
      <c r="CO93" s="368"/>
      <c r="CP93" s="369"/>
      <c r="CQ93" s="207"/>
      <c r="CR93" s="207"/>
      <c r="CS93" s="157"/>
      <c r="CT93" s="157"/>
      <c r="CU93" s="157"/>
      <c r="CV93" s="157"/>
      <c r="CW93" s="15"/>
      <c r="CX93" s="15"/>
      <c r="CY93" s="14"/>
      <c r="CZ93" s="14"/>
      <c r="DA93" s="14"/>
      <c r="DB93" s="14"/>
      <c r="DC93" s="14"/>
      <c r="DD93" s="14"/>
      <c r="DE93" s="14"/>
      <c r="DF93" s="14"/>
      <c r="DG93" s="14"/>
      <c r="DH93" s="14"/>
      <c r="DI93" s="14"/>
      <c r="DJ93" s="14"/>
      <c r="DK93" s="14"/>
      <c r="DL93" s="14"/>
      <c r="DM93" s="14"/>
      <c r="DN93" s="14"/>
      <c r="DO93" s="14"/>
      <c r="DP93" s="14"/>
      <c r="DQ93" s="15"/>
      <c r="DR93" s="15"/>
      <c r="DS93" s="15"/>
      <c r="DT93" s="15"/>
      <c r="DU93" s="15"/>
      <c r="DV93" s="15"/>
      <c r="DW93" s="15"/>
      <c r="DX93" s="2174"/>
      <c r="EC93" s="356" t="s">
        <v>275</v>
      </c>
      <c r="ED93" s="252" t="s">
        <v>198</v>
      </c>
      <c r="EE93" s="252" t="s">
        <v>277</v>
      </c>
      <c r="EF93" s="252"/>
      <c r="EG93" s="2202"/>
      <c r="EH93" s="2202"/>
      <c r="EI93" s="2208"/>
      <c r="EJ93" s="117"/>
    </row>
    <row r="94" spans="1:164" ht="18" hidden="1" customHeight="1" x14ac:dyDescent="0.2">
      <c r="A94" s="483"/>
      <c r="B94" s="484"/>
      <c r="C94" s="484"/>
      <c r="D94" s="484"/>
      <c r="E94" s="485"/>
      <c r="F94" s="1437"/>
      <c r="G94" s="1438"/>
      <c r="H94" s="1439"/>
      <c r="I94" s="1440"/>
      <c r="J94" s="1435">
        <f>+(AS90+AV90)/2/1000</f>
        <v>0</v>
      </c>
      <c r="K94" s="2366">
        <f>+(AT90+AW90)/2/1000</f>
        <v>0</v>
      </c>
      <c r="L94" s="2366"/>
      <c r="M94" s="1436"/>
      <c r="N94" s="15"/>
      <c r="P94" s="92" t="s">
        <v>220</v>
      </c>
      <c r="Q94" s="594" t="s">
        <v>785</v>
      </c>
      <c r="R94" s="117"/>
      <c r="S94" s="117"/>
      <c r="T94" s="157"/>
      <c r="U94" s="157"/>
      <c r="V94" s="157"/>
      <c r="W94" s="157"/>
      <c r="X94" s="157"/>
      <c r="Y94" s="157"/>
      <c r="Z94" s="157"/>
      <c r="AA94" s="157"/>
      <c r="AB94" s="207" t="e">
        <f>AB92/$F$96</f>
        <v>#DIV/0!</v>
      </c>
      <c r="AC94" s="653" t="e">
        <f t="shared" ref="AC94:AI94" si="147">AC92/$F$96</f>
        <v>#DIV/0!</v>
      </c>
      <c r="AD94" s="653" t="e">
        <f t="shared" si="147"/>
        <v>#DIV/0!</v>
      </c>
      <c r="AE94" s="653" t="e">
        <f t="shared" si="147"/>
        <v>#DIV/0!</v>
      </c>
      <c r="AF94" s="653" t="e">
        <f t="shared" si="147"/>
        <v>#DIV/0!</v>
      </c>
      <c r="AG94" s="653" t="e">
        <f t="shared" si="147"/>
        <v>#DIV/0!</v>
      </c>
      <c r="AH94" s="653" t="e">
        <f t="shared" si="147"/>
        <v>#DIV/0!</v>
      </c>
      <c r="AI94" s="653" t="e">
        <f t="shared" si="147"/>
        <v>#DIV/0!</v>
      </c>
      <c r="AJ94" s="268"/>
      <c r="AK94" s="268"/>
      <c r="AL94" s="207"/>
      <c r="AM94" s="207"/>
      <c r="AN94" s="207"/>
      <c r="AO94" s="207"/>
      <c r="AP94" s="207"/>
      <c r="AQ94" s="207"/>
      <c r="AR94" s="268"/>
      <c r="AS94" s="207"/>
      <c r="AT94" s="207"/>
      <c r="AU94" s="207"/>
      <c r="AV94" s="207"/>
      <c r="AW94" s="207"/>
      <c r="AX94" s="207"/>
      <c r="AY94" s="157"/>
      <c r="AZ94" s="157"/>
      <c r="BA94" s="157"/>
      <c r="BB94" s="157"/>
      <c r="BC94" s="157"/>
      <c r="BD94" s="157"/>
      <c r="BE94" s="157"/>
      <c r="BF94" s="157"/>
      <c r="BG94" s="157"/>
      <c r="BH94" s="157"/>
      <c r="BI94" s="157"/>
      <c r="BJ94" s="157"/>
      <c r="BK94" s="157"/>
      <c r="BL94" s="658"/>
      <c r="BM94" s="157"/>
      <c r="BN94" s="185"/>
      <c r="BO94" s="185"/>
      <c r="BP94" s="185"/>
      <c r="BQ94" s="212"/>
      <c r="BR94" s="157"/>
      <c r="BS94" s="157"/>
      <c r="BT94" s="157"/>
      <c r="BU94" s="191"/>
      <c r="BV94" s="191"/>
      <c r="BW94" s="191"/>
      <c r="BX94" s="191"/>
      <c r="BY94" s="191"/>
      <c r="BZ94" s="157"/>
      <c r="CA94" s="157"/>
      <c r="CB94" s="2192"/>
      <c r="CC94" s="157"/>
      <c r="CD94" s="157"/>
      <c r="CE94" s="157"/>
      <c r="CF94" s="2121"/>
      <c r="CG94" s="2121"/>
      <c r="CH94" s="2121"/>
      <c r="CI94" s="157"/>
      <c r="CJ94" s="157"/>
      <c r="CK94" s="157"/>
      <c r="CL94" s="2121"/>
      <c r="CM94" s="2121"/>
      <c r="CN94" s="2121"/>
      <c r="CO94" s="368"/>
      <c r="CP94" s="369"/>
      <c r="CQ94" s="207"/>
      <c r="CR94" s="207"/>
      <c r="CS94" s="157"/>
      <c r="CT94" s="157"/>
      <c r="CU94" s="157"/>
      <c r="CV94" s="157"/>
      <c r="CW94" s="15"/>
      <c r="CX94" s="15"/>
      <c r="CY94" s="14"/>
      <c r="CZ94" s="14"/>
      <c r="DA94" s="14"/>
      <c r="DB94" s="14"/>
      <c r="DC94" s="14"/>
      <c r="DD94" s="14"/>
      <c r="DE94" s="14"/>
      <c r="DF94" s="14"/>
      <c r="DG94" s="14"/>
      <c r="DH94" s="14"/>
      <c r="DI94" s="14"/>
      <c r="DJ94" s="14"/>
      <c r="DK94" s="14"/>
      <c r="DL94" s="14"/>
      <c r="DM94" s="14"/>
      <c r="DN94" s="14"/>
      <c r="DO94" s="14"/>
      <c r="DP94" s="14"/>
      <c r="DQ94" s="15"/>
      <c r="DR94" s="15"/>
      <c r="DS94" s="15"/>
      <c r="DT94" s="15"/>
      <c r="DU94" s="15"/>
      <c r="DV94" s="15"/>
      <c r="DW94" s="15"/>
      <c r="DX94" s="2174"/>
      <c r="EC94" s="356"/>
      <c r="ED94" s="252"/>
      <c r="EE94" s="252"/>
      <c r="EF94" s="252"/>
      <c r="EG94" s="2202"/>
      <c r="EH94" s="2202"/>
      <c r="EI94" s="2208"/>
      <c r="EJ94" s="117"/>
    </row>
    <row r="95" spans="1:164" ht="18" customHeight="1" x14ac:dyDescent="0.2">
      <c r="A95" s="1988" t="s">
        <v>8679</v>
      </c>
      <c r="B95" s="484"/>
      <c r="C95" s="484"/>
      <c r="D95" s="484"/>
      <c r="E95" s="485"/>
      <c r="F95" s="2543">
        <f>+F92-F93</f>
        <v>0</v>
      </c>
      <c r="G95" s="2544"/>
      <c r="H95" s="2569">
        <f>+H92-H93</f>
        <v>0</v>
      </c>
      <c r="I95" s="2570"/>
      <c r="J95" s="1435">
        <f>+DD88/1000</f>
        <v>0</v>
      </c>
      <c r="K95" s="2366">
        <f>+DE88/1000</f>
        <v>0</v>
      </c>
      <c r="L95" s="2366"/>
      <c r="M95" s="1436">
        <f>+DF88/1000</f>
        <v>0</v>
      </c>
      <c r="N95" s="15"/>
      <c r="P95" s="92" t="s">
        <v>708</v>
      </c>
      <c r="Q95" s="92"/>
      <c r="R95" s="117"/>
      <c r="S95" s="117"/>
      <c r="T95" s="157"/>
      <c r="U95" s="157"/>
      <c r="V95" s="157"/>
      <c r="W95" s="157"/>
      <c r="X95" s="157"/>
      <c r="Y95" s="157"/>
      <c r="Z95" s="157"/>
      <c r="AA95" s="157"/>
      <c r="AB95" s="207"/>
      <c r="AC95" s="207"/>
      <c r="AD95" s="207"/>
      <c r="AE95" s="207"/>
      <c r="AF95" s="207"/>
      <c r="AG95" s="207"/>
      <c r="AH95" s="207"/>
      <c r="AI95" s="207"/>
      <c r="AJ95" s="268"/>
      <c r="AK95" s="268"/>
      <c r="AL95" s="676" t="e">
        <f>AL92/$Q$91</f>
        <v>#DIV/0!</v>
      </c>
      <c r="AM95" s="676"/>
      <c r="AN95" s="676"/>
      <c r="AO95" s="676" t="e">
        <f t="shared" ref="AO95" si="148">AO92/$Q$91</f>
        <v>#DIV/0!</v>
      </c>
      <c r="AP95" s="676"/>
      <c r="AQ95" s="676"/>
      <c r="AR95" s="268" t="e">
        <f>IF(OR('Eigene, abweichende Tierdaten'!AI61=0,'Eigene, abweichende Tierdaten'!AI61&lt;'Eigene, abweichende Tierdaten'!B55,EZ88+FA88=0),AR92,(AR92/100*FD88-(EZ89+FA89)/2*'Eigene, abweichende Tierdaten'!I55/100+(FB89+FC89)/2*'Eigene, abweichende Tierdaten'!AH61/100)/Q91*100)</f>
        <v>#DIV/0!</v>
      </c>
      <c r="AS95" s="207" t="e">
        <f>(AL92+AS92)/$Q$91</f>
        <v>#DIV/0!</v>
      </c>
      <c r="AT95" s="653" t="e">
        <f t="shared" ref="AT95:AX95" si="149">(AM92+AT92)/$Q$91</f>
        <v>#DIV/0!</v>
      </c>
      <c r="AU95" s="653" t="e">
        <f t="shared" si="149"/>
        <v>#DIV/0!</v>
      </c>
      <c r="AV95" s="653" t="e">
        <f t="shared" si="149"/>
        <v>#DIV/0!</v>
      </c>
      <c r="AW95" s="653" t="e">
        <f t="shared" si="149"/>
        <v>#DIV/0!</v>
      </c>
      <c r="AX95" s="653" t="e">
        <f t="shared" si="149"/>
        <v>#DIV/0!</v>
      </c>
      <c r="AY95" s="157"/>
      <c r="AZ95" s="157"/>
      <c r="BA95" s="157"/>
      <c r="BB95" s="157"/>
      <c r="BC95" s="157"/>
      <c r="BD95" s="157"/>
      <c r="BE95" s="157"/>
      <c r="BF95" s="157"/>
      <c r="BG95" s="157"/>
      <c r="BH95" s="157"/>
      <c r="BI95" s="157"/>
      <c r="BJ95" s="157"/>
      <c r="BK95" s="157"/>
      <c r="BL95" s="658"/>
      <c r="BM95" s="157"/>
      <c r="BN95" s="185"/>
      <c r="BO95" s="185"/>
      <c r="BP95" s="185"/>
      <c r="BQ95" s="212"/>
      <c r="BR95" s="157"/>
      <c r="BS95" s="157"/>
      <c r="BT95" s="157"/>
      <c r="BU95" s="191"/>
      <c r="BV95" s="191"/>
      <c r="BW95" s="191"/>
      <c r="BX95" s="191"/>
      <c r="BY95" s="191"/>
      <c r="BZ95" s="157"/>
      <c r="CA95" s="157"/>
      <c r="CB95" s="2192"/>
      <c r="CC95" s="157"/>
      <c r="CD95" s="157"/>
      <c r="CE95" s="157"/>
      <c r="CF95" s="2121"/>
      <c r="CG95" s="2121"/>
      <c r="CH95" s="2121"/>
      <c r="CI95" s="157"/>
      <c r="CJ95" s="157"/>
      <c r="CK95" s="157"/>
      <c r="CL95" s="2121"/>
      <c r="CM95" s="2121"/>
      <c r="CN95" s="2121"/>
      <c r="CO95" s="368"/>
      <c r="CP95" s="369"/>
      <c r="CQ95" s="207"/>
      <c r="CR95" s="207"/>
      <c r="CS95" s="157"/>
      <c r="CT95" s="157"/>
      <c r="CU95" s="157"/>
      <c r="CV95" s="157"/>
      <c r="CW95" s="15"/>
      <c r="CX95" s="15"/>
      <c r="CY95" s="14"/>
      <c r="CZ95" s="14"/>
      <c r="DA95" s="14"/>
      <c r="DB95" s="14"/>
      <c r="DC95" s="14"/>
      <c r="DD95" s="14"/>
      <c r="DE95" s="14"/>
      <c r="DF95" s="14"/>
      <c r="DG95" s="14"/>
      <c r="DH95" s="14"/>
      <c r="DI95" s="14"/>
      <c r="DJ95" s="14"/>
      <c r="DK95" s="14"/>
      <c r="DL95" s="14"/>
      <c r="DM95" s="14"/>
      <c r="DN95" s="14"/>
      <c r="DO95" s="14"/>
      <c r="DP95" s="14"/>
      <c r="DQ95" s="15"/>
      <c r="DR95" s="15"/>
      <c r="DS95" s="15"/>
      <c r="DT95" s="15"/>
      <c r="DU95" s="15"/>
      <c r="DV95" s="15"/>
      <c r="DW95" s="15"/>
      <c r="DX95" s="2174"/>
      <c r="EC95" s="356">
        <f>+ED91</f>
        <v>0</v>
      </c>
      <c r="ED95" s="252">
        <f>+EC95*EC92/100</f>
        <v>0</v>
      </c>
      <c r="EE95" s="373">
        <f>+EC95-ED95</f>
        <v>0</v>
      </c>
      <c r="EF95" s="252"/>
      <c r="EG95" s="2202"/>
      <c r="EH95" s="2202"/>
      <c r="EI95" s="2208"/>
      <c r="EJ95" s="117"/>
    </row>
    <row r="96" spans="1:164" ht="12.75" customHeight="1" x14ac:dyDescent="0.2">
      <c r="A96" s="591" t="s">
        <v>777</v>
      </c>
      <c r="B96" s="592"/>
      <c r="C96" s="592"/>
      <c r="D96" s="592"/>
      <c r="E96" s="593"/>
      <c r="F96" s="2549">
        <f>+F95</f>
        <v>0</v>
      </c>
      <c r="G96" s="2550"/>
      <c r="H96" s="2367"/>
      <c r="I96" s="2368"/>
      <c r="J96" s="1441">
        <f>+DG88/1000</f>
        <v>0</v>
      </c>
      <c r="K96" s="2623">
        <f>+DH88/1000</f>
        <v>0</v>
      </c>
      <c r="L96" s="2623"/>
      <c r="M96" s="1442"/>
      <c r="N96" s="15"/>
      <c r="P96" s="92"/>
      <c r="Q96" s="92"/>
      <c r="R96" s="92"/>
      <c r="S96" s="92"/>
      <c r="T96" s="157"/>
      <c r="U96" s="157"/>
      <c r="V96" s="157"/>
      <c r="W96" s="157"/>
      <c r="X96" s="157"/>
      <c r="Y96" s="157"/>
      <c r="Z96" s="157"/>
      <c r="AA96" s="157"/>
      <c r="AB96" s="207"/>
      <c r="AC96" s="207"/>
      <c r="AD96" s="207"/>
      <c r="AE96" s="207"/>
      <c r="AF96" s="207"/>
      <c r="AG96" s="207"/>
      <c r="AH96" s="207"/>
      <c r="AI96" s="207"/>
      <c r="AJ96" s="268"/>
      <c r="AK96" s="268"/>
      <c r="AL96" s="207"/>
      <c r="AM96" s="207"/>
      <c r="AN96" s="207"/>
      <c r="AO96" s="207"/>
      <c r="AP96" s="207"/>
      <c r="AQ96" s="207"/>
      <c r="AR96" s="268"/>
      <c r="AS96" s="207"/>
      <c r="AT96" s="207"/>
      <c r="AU96" s="207"/>
      <c r="AV96" s="207"/>
      <c r="AW96" s="207"/>
      <c r="AX96" s="207"/>
      <c r="AY96" s="157"/>
      <c r="AZ96" s="157"/>
      <c r="BA96" s="157"/>
      <c r="BB96" s="157"/>
      <c r="BC96" s="157"/>
      <c r="BD96" s="157"/>
      <c r="BE96" s="157"/>
      <c r="BF96" s="157"/>
      <c r="BG96" s="157"/>
      <c r="BH96" s="157"/>
      <c r="BI96" s="157"/>
      <c r="BJ96" s="157"/>
      <c r="BK96" s="157"/>
      <c r="BL96" s="658"/>
      <c r="BM96" s="157"/>
      <c r="BN96" s="185"/>
      <c r="BO96" s="185"/>
      <c r="BP96" s="185"/>
      <c r="BQ96" s="212"/>
      <c r="BR96" s="157"/>
      <c r="BS96" s="157"/>
      <c r="BT96" s="157"/>
      <c r="BU96" s="191"/>
      <c r="BV96" s="191"/>
      <c r="BW96" s="191"/>
      <c r="BX96" s="191"/>
      <c r="BY96" s="191"/>
      <c r="BZ96" s="157"/>
      <c r="CA96" s="157"/>
      <c r="CB96" s="2192"/>
      <c r="CC96" s="157"/>
      <c r="CD96" s="157"/>
      <c r="CE96" s="157"/>
      <c r="CF96" s="2121"/>
      <c r="CG96" s="2121"/>
      <c r="CH96" s="2121"/>
      <c r="CI96" s="157"/>
      <c r="CJ96" s="157"/>
      <c r="CK96" s="157"/>
      <c r="CL96" s="2121"/>
      <c r="CM96" s="2121"/>
      <c r="CN96" s="2121"/>
      <c r="CO96" s="368"/>
      <c r="CP96" s="369"/>
      <c r="CQ96" s="207"/>
      <c r="CR96" s="207"/>
      <c r="CS96" s="157"/>
      <c r="CT96" s="157"/>
      <c r="CU96" s="157"/>
      <c r="CV96" s="157"/>
      <c r="CW96" s="15"/>
      <c r="CX96" s="15"/>
      <c r="CY96" s="14"/>
      <c r="CZ96" s="14"/>
      <c r="DA96" s="14"/>
      <c r="DB96" s="14"/>
      <c r="DC96" s="14"/>
      <c r="DD96" s="14"/>
      <c r="DE96" s="14"/>
      <c r="DF96" s="14"/>
      <c r="DG96" s="14"/>
      <c r="DH96" s="14"/>
      <c r="DI96" s="14"/>
      <c r="DJ96" s="14"/>
      <c r="DK96" s="14"/>
      <c r="DL96" s="14"/>
      <c r="DM96" s="14"/>
      <c r="DN96" s="14"/>
      <c r="DO96" s="14"/>
      <c r="DP96" s="14"/>
      <c r="DQ96" s="15"/>
      <c r="DR96" s="15"/>
      <c r="DS96" s="15"/>
      <c r="DT96" s="15"/>
      <c r="DU96" s="15"/>
      <c r="DV96" s="15"/>
      <c r="DW96" s="15"/>
      <c r="DX96" s="2174"/>
      <c r="EC96" s="356"/>
      <c r="ED96" s="252"/>
      <c r="EE96" s="373"/>
      <c r="EF96" s="252"/>
      <c r="EG96" s="2202"/>
      <c r="EH96" s="2202"/>
      <c r="EI96" s="2208"/>
      <c r="EJ96" s="117"/>
    </row>
    <row r="97" spans="1:161" ht="12.75" customHeight="1" thickBot="1" x14ac:dyDescent="0.25">
      <c r="A97" s="591" t="s">
        <v>8680</v>
      </c>
      <c r="B97" s="592"/>
      <c r="C97" s="592"/>
      <c r="D97" s="592"/>
      <c r="E97" s="593"/>
      <c r="F97" s="2547"/>
      <c r="G97" s="2548"/>
      <c r="H97" s="2369">
        <f>+H95</f>
        <v>0</v>
      </c>
      <c r="I97" s="2370"/>
      <c r="J97" s="1441">
        <f>+J95-J96</f>
        <v>0</v>
      </c>
      <c r="K97" s="2623">
        <f>+K95-K96</f>
        <v>0</v>
      </c>
      <c r="L97" s="2623"/>
      <c r="M97" s="1442"/>
      <c r="N97" s="15"/>
      <c r="P97" s="92" t="s">
        <v>708</v>
      </c>
      <c r="Q97" s="92"/>
      <c r="R97" s="92"/>
      <c r="S97" s="92"/>
      <c r="T97" s="157"/>
      <c r="U97" s="157"/>
      <c r="V97" s="157"/>
      <c r="W97" s="157"/>
      <c r="X97" s="157"/>
      <c r="Y97" s="157"/>
      <c r="Z97" s="157"/>
      <c r="AA97" s="157"/>
      <c r="AB97" s="207"/>
      <c r="AC97" s="207"/>
      <c r="AD97" s="207"/>
      <c r="AE97" s="207"/>
      <c r="AF97" s="207"/>
      <c r="AG97" s="207"/>
      <c r="AH97" s="207"/>
      <c r="AI97" s="207"/>
      <c r="AJ97" s="268"/>
      <c r="AK97" s="268"/>
      <c r="AL97" s="207"/>
      <c r="AM97" s="207"/>
      <c r="AN97" s="207"/>
      <c r="AO97" s="207"/>
      <c r="AP97" s="207"/>
      <c r="AQ97" s="207"/>
      <c r="AR97" s="268"/>
      <c r="AS97" s="207"/>
      <c r="AT97" s="207"/>
      <c r="AU97" s="207"/>
      <c r="AV97" s="207"/>
      <c r="AW97" s="207"/>
      <c r="AX97" s="207"/>
      <c r="AY97" s="157"/>
      <c r="AZ97" s="157"/>
      <c r="BA97" s="157"/>
      <c r="BB97" s="157"/>
      <c r="BC97" s="157"/>
      <c r="BD97" s="157"/>
      <c r="BE97" s="157"/>
      <c r="BF97" s="157"/>
      <c r="BG97" s="157"/>
      <c r="BH97" s="157"/>
      <c r="BI97" s="157"/>
      <c r="BJ97" s="157"/>
      <c r="BK97" s="157"/>
      <c r="BL97" s="658"/>
      <c r="BM97" s="157"/>
      <c r="BN97" s="185"/>
      <c r="BO97" s="185"/>
      <c r="BP97" s="185"/>
      <c r="BQ97" s="212"/>
      <c r="BR97" s="157"/>
      <c r="BS97" s="157"/>
      <c r="BT97" s="157"/>
      <c r="BU97" s="191"/>
      <c r="BV97" s="191"/>
      <c r="BW97" s="191"/>
      <c r="BX97" s="191"/>
      <c r="BY97" s="191"/>
      <c r="BZ97" s="157"/>
      <c r="CA97" s="157"/>
      <c r="CB97" s="2192"/>
      <c r="CC97" s="157"/>
      <c r="CD97" s="157"/>
      <c r="CE97" s="157"/>
      <c r="CF97" s="2121"/>
      <c r="CG97" s="2121"/>
      <c r="CH97" s="2121"/>
      <c r="CI97" s="157"/>
      <c r="CJ97" s="157"/>
      <c r="CK97" s="157"/>
      <c r="CL97" s="2121"/>
      <c r="CM97" s="2121"/>
      <c r="CN97" s="2121"/>
      <c r="CO97" s="368"/>
      <c r="CP97" s="369"/>
      <c r="CQ97" s="207"/>
      <c r="CR97" s="207"/>
      <c r="CS97" s="157"/>
      <c r="CT97" s="157"/>
      <c r="CU97" s="157"/>
      <c r="CV97" s="157"/>
      <c r="CW97" s="15"/>
      <c r="CX97" s="15"/>
      <c r="CY97" s="14"/>
      <c r="CZ97" s="14"/>
      <c r="DA97" s="14"/>
      <c r="DB97" s="14"/>
      <c r="DC97" s="14"/>
      <c r="DD97" s="14"/>
      <c r="DE97" s="14"/>
      <c r="DF97" s="14"/>
      <c r="DG97" s="14"/>
      <c r="DH97" s="14"/>
      <c r="DI97" s="14"/>
      <c r="DJ97" s="14"/>
      <c r="DK97" s="14"/>
      <c r="DL97" s="14"/>
      <c r="DM97" s="14"/>
      <c r="DN97" s="14"/>
      <c r="DO97" s="14"/>
      <c r="DP97" s="14"/>
      <c r="DQ97" s="15"/>
      <c r="DR97" s="15"/>
      <c r="DS97" s="15"/>
      <c r="DT97" s="15"/>
      <c r="DU97" s="15"/>
      <c r="DV97" s="15"/>
      <c r="DW97" s="15"/>
      <c r="DX97" s="2174"/>
      <c r="EC97" s="356"/>
      <c r="ED97" s="252"/>
      <c r="EE97" s="373"/>
      <c r="EF97" s="252"/>
      <c r="EG97" s="2202"/>
      <c r="EH97" s="2202"/>
      <c r="EI97" s="2208"/>
      <c r="EJ97" s="117"/>
    </row>
    <row r="98" spans="1:161" ht="18" hidden="1" customHeight="1" thickBot="1" x14ac:dyDescent="0.25">
      <c r="A98" s="483" t="s">
        <v>667</v>
      </c>
      <c r="B98" s="587"/>
      <c r="C98" s="587"/>
      <c r="D98" s="587"/>
      <c r="E98" s="588"/>
      <c r="F98" s="1443"/>
      <c r="G98" s="1444"/>
      <c r="H98" s="2575"/>
      <c r="I98" s="2576"/>
      <c r="J98" s="1445">
        <f>+J97-(AL92+AO92)/2/1000</f>
        <v>0</v>
      </c>
      <c r="K98" s="2602">
        <f>+K97-(AM92+AP92)/2/1000</f>
        <v>0</v>
      </c>
      <c r="L98" s="2602"/>
      <c r="M98" s="1446"/>
      <c r="N98" s="15"/>
      <c r="P98" s="252" t="s">
        <v>220</v>
      </c>
      <c r="Q98" s="594" t="s">
        <v>785</v>
      </c>
      <c r="R98" s="92"/>
      <c r="S98" s="92"/>
      <c r="T98" s="157"/>
      <c r="U98" s="157"/>
      <c r="V98" s="157"/>
      <c r="W98" s="157"/>
      <c r="X98" s="157"/>
      <c r="Y98" s="157"/>
      <c r="Z98" s="157"/>
      <c r="AA98" s="157"/>
      <c r="AB98" s="207"/>
      <c r="AC98" s="207"/>
      <c r="AD98" s="207"/>
      <c r="AE98" s="207"/>
      <c r="AF98" s="207"/>
      <c r="AG98" s="207"/>
      <c r="AH98" s="207"/>
      <c r="AI98" s="207"/>
      <c r="AJ98" s="268"/>
      <c r="AK98" s="268"/>
      <c r="AL98" s="207"/>
      <c r="AM98" s="207"/>
      <c r="AN98" s="207"/>
      <c r="AO98" s="207"/>
      <c r="AP98" s="207"/>
      <c r="AQ98" s="207"/>
      <c r="AR98" s="268"/>
      <c r="AS98" s="207"/>
      <c r="AT98" s="207"/>
      <c r="AU98" s="207"/>
      <c r="AV98" s="207"/>
      <c r="AW98" s="207"/>
      <c r="AX98" s="207"/>
      <c r="AY98" s="157"/>
      <c r="AZ98" s="157"/>
      <c r="BA98" s="157"/>
      <c r="BB98" s="157"/>
      <c r="BC98" s="157"/>
      <c r="BD98" s="157"/>
      <c r="BE98" s="157"/>
      <c r="BF98" s="157"/>
      <c r="BG98" s="157"/>
      <c r="BH98" s="157"/>
      <c r="BI98" s="157"/>
      <c r="BJ98" s="157"/>
      <c r="BK98" s="157"/>
      <c r="BL98" s="658"/>
      <c r="BM98" s="157"/>
      <c r="BN98" s="185"/>
      <c r="BO98" s="185"/>
      <c r="BP98" s="185"/>
      <c r="BQ98" s="212"/>
      <c r="BR98" s="157"/>
      <c r="BS98" s="157"/>
      <c r="BT98" s="157"/>
      <c r="BU98" s="191"/>
      <c r="BV98" s="191"/>
      <c r="BW98" s="191"/>
      <c r="BX98" s="191"/>
      <c r="BY98" s="191"/>
      <c r="BZ98" s="157"/>
      <c r="CA98" s="157"/>
      <c r="CB98" s="2192"/>
      <c r="CC98" s="157"/>
      <c r="CD98" s="157"/>
      <c r="CE98" s="157"/>
      <c r="CF98" s="2121"/>
      <c r="CG98" s="2121"/>
      <c r="CH98" s="2121"/>
      <c r="CI98" s="157"/>
      <c r="CJ98" s="157"/>
      <c r="CK98" s="157"/>
      <c r="CL98" s="2121"/>
      <c r="CM98" s="2121"/>
      <c r="CN98" s="2121"/>
      <c r="CO98" s="368"/>
      <c r="CP98" s="369"/>
      <c r="CQ98" s="207"/>
      <c r="CR98" s="207"/>
      <c r="CS98" s="157"/>
      <c r="CT98" s="157"/>
      <c r="CU98" s="157"/>
      <c r="CV98" s="157"/>
      <c r="CW98" s="15"/>
      <c r="CX98" s="15"/>
      <c r="CY98" s="14"/>
      <c r="CZ98" s="14"/>
      <c r="DA98" s="14"/>
      <c r="DB98" s="14"/>
      <c r="DC98" s="14"/>
      <c r="DD98" s="14"/>
      <c r="DE98" s="14"/>
      <c r="DF98" s="14"/>
      <c r="DG98" s="14"/>
      <c r="DH98" s="14"/>
      <c r="DI98" s="14"/>
      <c r="DJ98" s="14"/>
      <c r="DK98" s="14"/>
      <c r="DL98" s="14"/>
      <c r="DM98" s="14"/>
      <c r="DN98" s="14"/>
      <c r="DO98" s="14"/>
      <c r="DP98" s="14"/>
      <c r="DQ98" s="15"/>
      <c r="DR98" s="15"/>
      <c r="DS98" s="15"/>
      <c r="DT98" s="15"/>
      <c r="DU98" s="15"/>
      <c r="DV98" s="15"/>
      <c r="DW98" s="15"/>
      <c r="DX98" s="2174"/>
      <c r="EC98" s="356"/>
      <c r="ED98" s="252"/>
      <c r="EE98" s="373"/>
      <c r="EF98" s="252"/>
      <c r="EG98" s="2202"/>
      <c r="EH98" s="2202"/>
      <c r="EI98" s="2208"/>
      <c r="EJ98" s="117"/>
    </row>
    <row r="99" spans="1:161" ht="18" customHeight="1" thickBot="1" x14ac:dyDescent="0.25">
      <c r="A99" s="486" t="s">
        <v>624</v>
      </c>
      <c r="B99" s="487"/>
      <c r="C99" s="487"/>
      <c r="D99" s="487"/>
      <c r="E99" s="488"/>
      <c r="F99" s="2571"/>
      <c r="G99" s="2572"/>
      <c r="H99" s="2732"/>
      <c r="I99" s="2733"/>
      <c r="J99" s="1447">
        <f>+DA88/1000</f>
        <v>0</v>
      </c>
      <c r="K99" s="2588">
        <f>+DB88/1000</f>
        <v>0</v>
      </c>
      <c r="L99" s="2588"/>
      <c r="M99" s="1448">
        <f>+DC88/1000</f>
        <v>0</v>
      </c>
      <c r="N99" s="15"/>
      <c r="P99" s="92" t="s">
        <v>709</v>
      </c>
      <c r="Q99" s="92"/>
      <c r="R99" s="92"/>
      <c r="S99" s="92"/>
      <c r="T99" s="157"/>
      <c r="U99" s="685" t="s">
        <v>915</v>
      </c>
      <c r="V99" s="663"/>
      <c r="W99" s="686" t="str">
        <f>CONCATENATE(Y99,AA99)</f>
        <v>Rinder - Jauche</v>
      </c>
      <c r="X99" s="687"/>
      <c r="Y99" s="686" t="str" cm="1">
        <f t="array" ref="Y99">INDEX(Tiere!$E$120:$E$123,MIN('Nährstoffe und Lagerraum'!AA101:AA104))</f>
        <v>Rinder</v>
      </c>
      <c r="Z99" s="687"/>
      <c r="AA99" s="688" t="str">
        <f>IF(CQ91=0," - Jauche"," - Gülle")</f>
        <v xml:space="preserve"> - Jauche</v>
      </c>
      <c r="AB99" s="207"/>
      <c r="AC99" s="207"/>
      <c r="AD99" s="207"/>
      <c r="AE99" s="207"/>
      <c r="AF99" s="207"/>
      <c r="AG99" s="207"/>
      <c r="AH99" s="207"/>
      <c r="AI99" s="207"/>
      <c r="AJ99" s="268"/>
      <c r="AK99" s="268"/>
      <c r="AL99" s="207"/>
      <c r="AM99" s="207"/>
      <c r="AN99" s="207"/>
      <c r="AO99" s="207"/>
      <c r="AP99" s="207"/>
      <c r="AQ99" s="207"/>
      <c r="AR99" s="268"/>
      <c r="AS99" s="207"/>
      <c r="AT99" s="207"/>
      <c r="AU99" s="207"/>
      <c r="AV99" s="207"/>
      <c r="AW99" s="207"/>
      <c r="AX99" s="207"/>
      <c r="AY99" s="157"/>
      <c r="AZ99" s="157"/>
      <c r="BA99" s="157"/>
      <c r="BB99" s="157"/>
      <c r="BC99" s="157"/>
      <c r="BD99" s="157"/>
      <c r="BE99" s="157"/>
      <c r="BF99" s="157"/>
      <c r="BG99" s="157"/>
      <c r="BH99" s="157"/>
      <c r="BI99" s="157"/>
      <c r="BJ99" s="157"/>
      <c r="BK99" s="157"/>
      <c r="BL99" s="658"/>
      <c r="BM99" s="157"/>
      <c r="BN99" s="185"/>
      <c r="BO99" s="185"/>
      <c r="BP99" s="185"/>
      <c r="BQ99" s="212"/>
      <c r="BR99" s="157"/>
      <c r="BS99" s="157"/>
      <c r="BT99" s="157"/>
      <c r="BU99" s="191"/>
      <c r="BV99" s="191"/>
      <c r="BW99" s="191"/>
      <c r="BX99" s="191"/>
      <c r="BY99" s="191"/>
      <c r="BZ99" s="157"/>
      <c r="CA99" s="157"/>
      <c r="CB99" s="2192"/>
      <c r="CC99" s="157"/>
      <c r="CD99" s="157"/>
      <c r="CE99" s="157"/>
      <c r="CF99" s="2121"/>
      <c r="CG99" s="2121"/>
      <c r="CH99" s="2121"/>
      <c r="CI99" s="157"/>
      <c r="CJ99" s="157"/>
      <c r="CK99" s="157"/>
      <c r="CL99" s="2121"/>
      <c r="CM99" s="2121"/>
      <c r="CN99" s="2121"/>
      <c r="CO99" s="368"/>
      <c r="CP99" s="369"/>
      <c r="CQ99" s="207"/>
      <c r="CR99" s="207"/>
      <c r="CS99" s="157"/>
      <c r="CT99" s="157"/>
      <c r="CU99" s="157"/>
      <c r="CV99" s="157"/>
      <c r="CW99" s="15"/>
      <c r="CX99" s="15"/>
      <c r="CY99" s="14"/>
      <c r="CZ99" s="14"/>
      <c r="DA99" s="14"/>
      <c r="DB99" s="14"/>
      <c r="DC99" s="14"/>
      <c r="DD99" s="14"/>
      <c r="DE99" s="14"/>
      <c r="DF99" s="14"/>
      <c r="DG99" s="14"/>
      <c r="DH99" s="14"/>
      <c r="DI99" s="14"/>
      <c r="DJ99" s="14"/>
      <c r="DK99" s="14"/>
      <c r="DL99" s="14"/>
      <c r="DM99" s="14"/>
      <c r="DN99" s="14"/>
      <c r="DO99" s="14"/>
      <c r="DP99" s="14"/>
      <c r="DQ99" s="15"/>
      <c r="DR99" s="15"/>
      <c r="DS99" s="15"/>
      <c r="DT99" s="15"/>
      <c r="DU99" s="15"/>
      <c r="DV99" s="15"/>
      <c r="DW99" s="15"/>
      <c r="DX99" s="2174"/>
      <c r="EC99" s="356"/>
      <c r="ED99" s="252"/>
      <c r="EE99" s="252"/>
      <c r="EF99" s="252"/>
      <c r="EG99" s="2202"/>
      <c r="EH99" s="2202"/>
      <c r="EI99" s="2208"/>
      <c r="EJ99" s="117"/>
    </row>
    <row r="100" spans="1:161" ht="18" customHeight="1" thickBot="1" x14ac:dyDescent="0.25">
      <c r="A100" s="297"/>
      <c r="B100" s="25"/>
      <c r="C100" s="25"/>
      <c r="D100" s="25"/>
      <c r="E100" s="25"/>
      <c r="F100" s="14"/>
      <c r="G100" s="14"/>
      <c r="H100" s="14"/>
      <c r="I100" s="14"/>
      <c r="J100" s="451"/>
      <c r="K100" s="451"/>
      <c r="L100" s="451"/>
      <c r="M100" s="451"/>
      <c r="N100" s="15"/>
      <c r="P100" s="92"/>
      <c r="Q100" s="92"/>
      <c r="R100" s="92"/>
      <c r="S100" s="92"/>
      <c r="T100" s="157"/>
      <c r="U100" s="665" t="s">
        <v>906</v>
      </c>
      <c r="V100" s="661"/>
      <c r="W100" s="689" t="s">
        <v>916</v>
      </c>
      <c r="X100" s="689" t="s">
        <v>917</v>
      </c>
      <c r="Y100" s="375"/>
      <c r="Z100" s="689" t="s">
        <v>918</v>
      </c>
      <c r="AA100" s="690"/>
      <c r="AB100" s="207"/>
      <c r="AC100" s="207"/>
      <c r="AD100" s="207"/>
      <c r="AE100" s="207"/>
      <c r="AF100" s="207"/>
      <c r="AG100" s="207"/>
      <c r="AH100" s="207"/>
      <c r="AI100" s="207"/>
      <c r="AJ100" s="268"/>
      <c r="AK100" s="268"/>
      <c r="AL100" s="207"/>
      <c r="AM100" s="207"/>
      <c r="AN100" s="207"/>
      <c r="AO100" s="207"/>
      <c r="AP100" s="207"/>
      <c r="AQ100" s="207"/>
      <c r="AR100" s="268"/>
      <c r="AS100" s="207"/>
      <c r="AT100" s="207"/>
      <c r="AU100" s="207"/>
      <c r="AV100" s="207"/>
      <c r="AW100" s="207"/>
      <c r="AX100" s="207"/>
      <c r="AY100" s="157"/>
      <c r="AZ100" s="157"/>
      <c r="BA100" s="157"/>
      <c r="BB100" s="157"/>
      <c r="BC100" s="157"/>
      <c r="BD100" s="157"/>
      <c r="BE100" s="157"/>
      <c r="BF100" s="157"/>
      <c r="BG100" s="157"/>
      <c r="BH100" s="157"/>
      <c r="BI100" s="157"/>
      <c r="BJ100" s="157"/>
      <c r="BK100" s="157"/>
      <c r="BL100" s="658"/>
      <c r="BM100" s="157"/>
      <c r="BN100" s="185"/>
      <c r="BO100" s="185"/>
      <c r="BP100" s="185"/>
      <c r="BQ100" s="212"/>
      <c r="BR100" s="157"/>
      <c r="BS100" s="157"/>
      <c r="BT100" s="157"/>
      <c r="BU100" s="191"/>
      <c r="BV100" s="191"/>
      <c r="BW100" s="191"/>
      <c r="BX100" s="191"/>
      <c r="BY100" s="191"/>
      <c r="BZ100" s="157"/>
      <c r="CA100" s="157"/>
      <c r="CB100" s="2192"/>
      <c r="CC100" s="157"/>
      <c r="CD100" s="157"/>
      <c r="CE100" s="157"/>
      <c r="CF100" s="2121"/>
      <c r="CG100" s="2121"/>
      <c r="CH100" s="2121"/>
      <c r="CI100" s="157"/>
      <c r="CJ100" s="157"/>
      <c r="CK100" s="157"/>
      <c r="CL100" s="2121"/>
      <c r="CM100" s="2121"/>
      <c r="CN100" s="2121"/>
      <c r="CO100" s="368"/>
      <c r="CP100" s="369"/>
      <c r="CQ100" s="207"/>
      <c r="CR100" s="207"/>
      <c r="CS100" s="157"/>
      <c r="CT100" s="157"/>
      <c r="CU100" s="157"/>
      <c r="CV100" s="157"/>
      <c r="CW100" s="15"/>
      <c r="CX100" s="15"/>
      <c r="CY100" s="14"/>
      <c r="CZ100" s="14"/>
      <c r="DA100" s="14"/>
      <c r="DB100" s="14"/>
      <c r="DC100" s="14"/>
      <c r="DD100" s="14"/>
      <c r="DE100" s="14"/>
      <c r="DF100" s="14"/>
      <c r="DG100" s="14"/>
      <c r="DH100" s="14"/>
      <c r="DI100" s="14"/>
      <c r="DJ100" s="14"/>
      <c r="DK100" s="14"/>
      <c r="DL100" s="14"/>
      <c r="DM100" s="14"/>
      <c r="DN100" s="14"/>
      <c r="DO100" s="14"/>
      <c r="DP100" s="14"/>
      <c r="DQ100" s="15"/>
      <c r="DR100" s="15"/>
      <c r="DS100" s="15"/>
      <c r="DT100" s="15"/>
      <c r="DU100" s="15"/>
      <c r="DV100" s="15"/>
      <c r="DW100" s="15"/>
      <c r="DX100" s="2174"/>
      <c r="EC100" s="356"/>
      <c r="ED100" s="252"/>
      <c r="EE100" s="252"/>
      <c r="EF100" s="252"/>
      <c r="EG100" s="2202"/>
      <c r="EH100" s="2202"/>
      <c r="EI100" s="2208"/>
      <c r="EJ100" s="117"/>
    </row>
    <row r="101" spans="1:161" ht="18" customHeight="1" x14ac:dyDescent="0.2">
      <c r="A101" s="602" t="s">
        <v>8755</v>
      </c>
      <c r="B101" s="603"/>
      <c r="C101" s="603"/>
      <c r="D101" s="605" t="str">
        <f>IF(J99&gt;0,IF(D102&lt;0.1,"Flächenangabe fehlt"," ")," ")</f>
        <v xml:space="preserve"> </v>
      </c>
      <c r="E101" s="604"/>
      <c r="F101" s="14"/>
      <c r="G101" s="14"/>
      <c r="H101" s="14"/>
      <c r="I101" s="14"/>
      <c r="J101" s="451"/>
      <c r="K101" s="451"/>
      <c r="L101" s="451"/>
      <c r="M101" s="451"/>
      <c r="N101" s="15"/>
      <c r="P101" s="92"/>
      <c r="Q101" s="92"/>
      <c r="R101" s="92"/>
      <c r="S101" s="92"/>
      <c r="T101" s="157"/>
      <c r="U101" s="665">
        <v>1</v>
      </c>
      <c r="V101" s="661" t="s">
        <v>200</v>
      </c>
      <c r="W101" s="1996">
        <f>SUMIFS($AB$68:$AB$87,$BL$68:$BL$87,$U101,$DR$68:$DR$87,0)</f>
        <v>0</v>
      </c>
      <c r="X101" s="1996">
        <f>SUMIFS($AF$68:$AF$87,$BL$68:$BL$87,$U101,$DR$68:$DR$87,0)</f>
        <v>0</v>
      </c>
      <c r="Y101" s="661"/>
      <c r="Z101" s="661">
        <f>SUM(W101:X101)</f>
        <v>0</v>
      </c>
      <c r="AA101" s="666">
        <f>IF(Z101=MAX($Z$101:$Z$104),U101,"")</f>
        <v>1</v>
      </c>
      <c r="AB101" s="207"/>
      <c r="AC101" s="207"/>
      <c r="AD101" s="207"/>
      <c r="AE101" s="207"/>
      <c r="AF101" s="207"/>
      <c r="AG101" s="207"/>
      <c r="AH101" s="207"/>
      <c r="AI101" s="207"/>
      <c r="AJ101" s="268"/>
      <c r="AK101" s="268"/>
      <c r="AL101" s="207"/>
      <c r="AM101" s="207"/>
      <c r="AN101" s="207"/>
      <c r="AO101" s="207"/>
      <c r="AP101" s="207"/>
      <c r="AQ101" s="207"/>
      <c r="AR101" s="268"/>
      <c r="AS101" s="207"/>
      <c r="AT101" s="207"/>
      <c r="AU101" s="207"/>
      <c r="AV101" s="207"/>
      <c r="AW101" s="207"/>
      <c r="AX101" s="207"/>
      <c r="AY101" s="157"/>
      <c r="AZ101" s="157"/>
      <c r="BA101" s="157"/>
      <c r="BB101" s="157"/>
      <c r="BC101" s="157"/>
      <c r="BD101" s="157"/>
      <c r="BE101" s="157"/>
      <c r="BF101" s="157"/>
      <c r="BG101" s="157"/>
      <c r="BH101" s="157"/>
      <c r="BI101" s="157"/>
      <c r="BJ101" s="157"/>
      <c r="BK101" s="157"/>
      <c r="BL101" s="658"/>
      <c r="BM101" s="157"/>
      <c r="BN101" s="185"/>
      <c r="BO101" s="185"/>
      <c r="BP101" s="185"/>
      <c r="BQ101" s="212"/>
      <c r="BR101" s="157"/>
      <c r="BS101" s="157"/>
      <c r="BT101" s="157"/>
      <c r="BU101" s="191"/>
      <c r="BV101" s="191"/>
      <c r="BW101" s="191"/>
      <c r="BX101" s="191"/>
      <c r="BY101" s="191"/>
      <c r="BZ101" s="157"/>
      <c r="CA101" s="157"/>
      <c r="CB101" s="2192"/>
      <c r="CC101" s="157"/>
      <c r="CD101" s="157"/>
      <c r="CE101" s="157"/>
      <c r="CF101" s="2121"/>
      <c r="CG101" s="2121"/>
      <c r="CH101" s="2121"/>
      <c r="CI101" s="157"/>
      <c r="CJ101" s="157"/>
      <c r="CK101" s="157"/>
      <c r="CL101" s="2121"/>
      <c r="CM101" s="2121"/>
      <c r="CN101" s="2121"/>
      <c r="CO101" s="368"/>
      <c r="CP101" s="369"/>
      <c r="CQ101" s="207"/>
      <c r="CR101" s="207"/>
      <c r="CS101" s="157"/>
      <c r="CT101" s="157"/>
      <c r="CU101" s="157"/>
      <c r="CV101" s="157"/>
      <c r="CW101" s="15"/>
      <c r="CX101" s="15"/>
      <c r="CY101" s="14"/>
      <c r="CZ101" s="14"/>
      <c r="DA101" s="14"/>
      <c r="DB101" s="14"/>
      <c r="DC101" s="14"/>
      <c r="DD101" s="14"/>
      <c r="DE101" s="14"/>
      <c r="DF101" s="14"/>
      <c r="DG101" s="14"/>
      <c r="DH101" s="14"/>
      <c r="DI101" s="14"/>
      <c r="DJ101" s="14"/>
      <c r="DK101" s="14"/>
      <c r="DL101" s="14"/>
      <c r="DM101" s="14"/>
      <c r="DN101" s="14"/>
      <c r="DO101" s="14"/>
      <c r="DP101" s="14"/>
      <c r="DQ101" s="15"/>
      <c r="DR101" s="15"/>
      <c r="DS101" s="15"/>
      <c r="DT101" s="15"/>
      <c r="DU101" s="15"/>
      <c r="DV101" s="15"/>
      <c r="DW101" s="15"/>
      <c r="DX101" s="2174"/>
      <c r="EC101" s="356"/>
      <c r="ED101" s="252"/>
      <c r="EE101" s="252"/>
      <c r="EF101" s="252"/>
      <c r="EG101" s="2202"/>
      <c r="EH101" s="2202"/>
      <c r="EI101" s="2208"/>
      <c r="EJ101" s="117"/>
    </row>
    <row r="102" spans="1:161" ht="18" customHeight="1" x14ac:dyDescent="0.2">
      <c r="A102" s="2551" t="s">
        <v>706</v>
      </c>
      <c r="B102" s="2552"/>
      <c r="C102" s="2552"/>
      <c r="D102" s="1517"/>
      <c r="E102" s="2169" t="s">
        <v>294</v>
      </c>
      <c r="F102" s="606" t="str">
        <f>IF(D102&gt;Z5,"Weidefläche zu hoch"," ")</f>
        <v xml:space="preserve"> </v>
      </c>
      <c r="G102" s="14"/>
      <c r="H102" s="14"/>
      <c r="I102" s="14"/>
      <c r="J102" s="451"/>
      <c r="K102" s="451"/>
      <c r="L102" s="451"/>
      <c r="M102" s="451"/>
      <c r="N102" s="15"/>
      <c r="P102" s="92"/>
      <c r="Q102" s="92"/>
      <c r="R102" s="92"/>
      <c r="S102" s="92"/>
      <c r="T102" s="157"/>
      <c r="U102" s="665">
        <v>2</v>
      </c>
      <c r="V102" s="661" t="s">
        <v>201</v>
      </c>
      <c r="W102" s="1996">
        <f>SUMIFS($AB$68:$AB$87,$BL$68:$BL$87,$U102,$DR$68:$DR$87,0)</f>
        <v>0</v>
      </c>
      <c r="X102" s="1996">
        <f>SUMIFS($AF$68:$AF$87,$BL$68:$BL$87,$U102,$DR$68:$DR$87,0)</f>
        <v>0</v>
      </c>
      <c r="Y102" s="661"/>
      <c r="Z102" s="661">
        <f t="shared" ref="Z102:Z104" si="150">SUM(W102:X102)</f>
        <v>0</v>
      </c>
      <c r="AA102" s="666">
        <f t="shared" ref="AA102:AA104" si="151">IF(Z102=MAX($Z$101:$Z$104),U102,"")</f>
        <v>2</v>
      </c>
      <c r="AB102" s="207"/>
      <c r="AC102" s="207"/>
      <c r="AD102" s="207"/>
      <c r="AE102" s="207"/>
      <c r="AF102" s="207"/>
      <c r="AG102" s="207"/>
      <c r="AH102" s="207"/>
      <c r="AI102" s="207"/>
      <c r="AJ102" s="268"/>
      <c r="AK102" s="268"/>
      <c r="AL102" s="207"/>
      <c r="AM102" s="207"/>
      <c r="AN102" s="207"/>
      <c r="AO102" s="207"/>
      <c r="AP102" s="207"/>
      <c r="AQ102" s="207"/>
      <c r="AR102" s="268"/>
      <c r="AS102" s="207"/>
      <c r="AT102" s="207"/>
      <c r="AU102" s="207"/>
      <c r="AV102" s="207"/>
      <c r="AW102" s="207"/>
      <c r="AX102" s="207"/>
      <c r="AY102" s="157"/>
      <c r="AZ102" s="157"/>
      <c r="BA102" s="157"/>
      <c r="BB102" s="157"/>
      <c r="BC102" s="157"/>
      <c r="BD102" s="157"/>
      <c r="BE102" s="157"/>
      <c r="BF102" s="157"/>
      <c r="BG102" s="157"/>
      <c r="BH102" s="157"/>
      <c r="BI102" s="157"/>
      <c r="BJ102" s="157"/>
      <c r="BK102" s="157"/>
      <c r="BL102" s="658"/>
      <c r="BM102" s="157"/>
      <c r="BN102" s="185"/>
      <c r="BO102" s="185"/>
      <c r="BP102" s="185"/>
      <c r="BQ102" s="212"/>
      <c r="BR102" s="157"/>
      <c r="BS102" s="157"/>
      <c r="BT102" s="157"/>
      <c r="BU102" s="191"/>
      <c r="BV102" s="191"/>
      <c r="BW102" s="191"/>
      <c r="BX102" s="191"/>
      <c r="BY102" s="191"/>
      <c r="BZ102" s="157"/>
      <c r="CA102" s="157"/>
      <c r="CB102" s="2192"/>
      <c r="CC102" s="157"/>
      <c r="CD102" s="157"/>
      <c r="CE102" s="157"/>
      <c r="CF102" s="2121"/>
      <c r="CG102" s="2121"/>
      <c r="CH102" s="2121"/>
      <c r="CI102" s="157"/>
      <c r="CJ102" s="157"/>
      <c r="CK102" s="157"/>
      <c r="CL102" s="2121"/>
      <c r="CM102" s="2121"/>
      <c r="CN102" s="2121"/>
      <c r="CO102" s="368"/>
      <c r="CP102" s="369"/>
      <c r="CQ102" s="207"/>
      <c r="CR102" s="207"/>
      <c r="CS102" s="157"/>
      <c r="CT102" s="157"/>
      <c r="CU102" s="157"/>
      <c r="CV102" s="157"/>
      <c r="CW102" s="15"/>
      <c r="CX102" s="15"/>
      <c r="CY102" s="14"/>
      <c r="CZ102" s="14"/>
      <c r="DA102" s="14"/>
      <c r="DB102" s="14"/>
      <c r="DC102" s="14"/>
      <c r="DD102" s="14"/>
      <c r="DE102" s="14"/>
      <c r="DF102" s="14"/>
      <c r="DG102" s="14"/>
      <c r="DH102" s="14"/>
      <c r="DI102" s="14"/>
      <c r="DJ102" s="14"/>
      <c r="DK102" s="14"/>
      <c r="DL102" s="14"/>
      <c r="DM102" s="14"/>
      <c r="DN102" s="14"/>
      <c r="DO102" s="14"/>
      <c r="DP102" s="14"/>
      <c r="DQ102" s="15"/>
      <c r="DR102" s="15"/>
      <c r="DS102" s="15"/>
      <c r="DT102" s="15"/>
      <c r="DU102" s="15"/>
      <c r="DV102" s="15"/>
      <c r="DW102" s="15"/>
      <c r="DX102" s="2174"/>
      <c r="EC102" s="356"/>
      <c r="ED102" s="252"/>
      <c r="EE102" s="252"/>
      <c r="EF102" s="252"/>
      <c r="EG102" s="2202"/>
      <c r="EH102" s="2202"/>
      <c r="EI102" s="2208"/>
      <c r="EJ102" s="117"/>
    </row>
    <row r="103" spans="1:161" ht="18" customHeight="1" x14ac:dyDescent="0.2">
      <c r="A103" s="2551" t="s">
        <v>707</v>
      </c>
      <c r="B103" s="2552"/>
      <c r="C103" s="2552"/>
      <c r="D103" s="1431">
        <f>IF(D102=0,0,J99*1000/D102)</f>
        <v>0</v>
      </c>
      <c r="E103" s="452" t="s">
        <v>4</v>
      </c>
      <c r="F103" s="14"/>
      <c r="G103" s="14"/>
      <c r="H103" s="14"/>
      <c r="I103" s="14"/>
      <c r="J103" s="451"/>
      <c r="K103" s="451"/>
      <c r="L103" s="451"/>
      <c r="M103" s="451"/>
      <c r="N103" s="15"/>
      <c r="P103" s="92"/>
      <c r="Q103" s="92"/>
      <c r="R103" s="92"/>
      <c r="S103" s="92"/>
      <c r="T103" s="157"/>
      <c r="U103" s="665">
        <v>3</v>
      </c>
      <c r="V103" s="661" t="s">
        <v>85</v>
      </c>
      <c r="W103" s="1996">
        <f>SUMIFS($AB$68:$AB$87,$BL$68:$BL$87,$U103,$DR$68:$DR$87,0)</f>
        <v>0</v>
      </c>
      <c r="X103" s="1996">
        <f>SUMIFS($AF$68:$AF$87,$BL$68:$BL$87,$U103,$DR$68:$DR$87,0)</f>
        <v>0</v>
      </c>
      <c r="Y103" s="661"/>
      <c r="Z103" s="661">
        <f t="shared" si="150"/>
        <v>0</v>
      </c>
      <c r="AA103" s="666">
        <f t="shared" si="151"/>
        <v>3</v>
      </c>
      <c r="AB103" s="207"/>
      <c r="AC103" s="207"/>
      <c r="AD103" s="207"/>
      <c r="AE103" s="207"/>
      <c r="AF103" s="207"/>
      <c r="AG103" s="207"/>
      <c r="AH103" s="207"/>
      <c r="AI103" s="207"/>
      <c r="AJ103" s="268"/>
      <c r="AK103" s="268"/>
      <c r="AL103" s="207"/>
      <c r="AM103" s="207"/>
      <c r="AN103" s="207"/>
      <c r="AO103" s="207"/>
      <c r="AP103" s="207"/>
      <c r="AQ103" s="207"/>
      <c r="AR103" s="268"/>
      <c r="AS103" s="207"/>
      <c r="AT103" s="207"/>
      <c r="AU103" s="207"/>
      <c r="AV103" s="207"/>
      <c r="AW103" s="207"/>
      <c r="AX103" s="207"/>
      <c r="AY103" s="157"/>
      <c r="AZ103" s="157"/>
      <c r="BA103" s="157"/>
      <c r="BB103" s="157"/>
      <c r="BC103" s="157"/>
      <c r="BD103" s="157"/>
      <c r="BE103" s="157"/>
      <c r="BF103" s="157"/>
      <c r="BG103" s="157"/>
      <c r="BH103" s="157"/>
      <c r="BI103" s="157"/>
      <c r="BJ103" s="157"/>
      <c r="BK103" s="157"/>
      <c r="BL103" s="658"/>
      <c r="BM103" s="157"/>
      <c r="BN103" s="185"/>
      <c r="BO103" s="185"/>
      <c r="BP103" s="185"/>
      <c r="BQ103" s="212"/>
      <c r="BR103" s="157"/>
      <c r="BS103" s="157"/>
      <c r="BT103" s="157"/>
      <c r="BU103" s="191"/>
      <c r="BV103" s="191"/>
      <c r="BW103" s="191"/>
      <c r="BX103" s="191"/>
      <c r="BY103" s="191"/>
      <c r="BZ103" s="157"/>
      <c r="CA103" s="157"/>
      <c r="CB103" s="2192"/>
      <c r="CC103" s="157"/>
      <c r="CD103" s="157"/>
      <c r="CE103" s="157"/>
      <c r="CF103" s="2121"/>
      <c r="CG103" s="2121"/>
      <c r="CH103" s="2121"/>
      <c r="CI103" s="157"/>
      <c r="CJ103" s="157"/>
      <c r="CK103" s="157"/>
      <c r="CL103" s="2121"/>
      <c r="CM103" s="2121"/>
      <c r="CN103" s="2121"/>
      <c r="CO103" s="368"/>
      <c r="CP103" s="369"/>
      <c r="CQ103" s="207"/>
      <c r="CR103" s="207"/>
      <c r="CS103" s="157"/>
      <c r="CT103" s="157"/>
      <c r="CU103" s="157"/>
      <c r="CV103" s="157"/>
      <c r="CW103" s="15"/>
      <c r="CX103" s="15"/>
      <c r="CY103" s="14"/>
      <c r="CZ103" s="14"/>
      <c r="DA103" s="14"/>
      <c r="DB103" s="14"/>
      <c r="DC103" s="14"/>
      <c r="DD103" s="14"/>
      <c r="DE103" s="14"/>
      <c r="DF103" s="14"/>
      <c r="DG103" s="14"/>
      <c r="DH103" s="14"/>
      <c r="DI103" s="14"/>
      <c r="DJ103" s="14"/>
      <c r="DK103" s="14"/>
      <c r="DL103" s="14"/>
      <c r="DM103" s="14"/>
      <c r="DN103" s="14"/>
      <c r="DO103" s="14"/>
      <c r="DP103" s="14"/>
      <c r="DQ103" s="15"/>
      <c r="DR103" s="15"/>
      <c r="DS103" s="15"/>
      <c r="DT103" s="15"/>
      <c r="DU103" s="15"/>
      <c r="DV103" s="15"/>
      <c r="DW103" s="15"/>
      <c r="DX103" s="2174"/>
      <c r="EC103" s="356"/>
      <c r="ED103" s="252"/>
      <c r="EE103" s="252"/>
      <c r="EF103" s="252"/>
      <c r="EG103" s="2202"/>
      <c r="EH103" s="2202"/>
      <c r="EI103" s="2208"/>
      <c r="EJ103" s="117"/>
    </row>
    <row r="104" spans="1:161" ht="18" customHeight="1" thickBot="1" x14ac:dyDescent="0.25">
      <c r="A104" s="2551"/>
      <c r="B104" s="2552"/>
      <c r="C104" s="2552"/>
      <c r="D104" s="1431">
        <f>IF(D102=0,0,K99*1000/D102)</f>
        <v>0</v>
      </c>
      <c r="E104" s="452" t="s">
        <v>292</v>
      </c>
      <c r="F104" s="14"/>
      <c r="G104" s="14"/>
      <c r="H104" s="14"/>
      <c r="I104" s="14"/>
      <c r="J104" s="451"/>
      <c r="K104" s="451"/>
      <c r="L104" s="451"/>
      <c r="M104" s="451"/>
      <c r="N104" s="15"/>
      <c r="P104" s="92"/>
      <c r="Q104" s="92"/>
      <c r="R104" s="92"/>
      <c r="S104" s="92"/>
      <c r="T104" s="157"/>
      <c r="U104" s="691">
        <v>4</v>
      </c>
      <c r="V104" s="674" t="s">
        <v>919</v>
      </c>
      <c r="W104" s="1996">
        <f>SUMIFS($AB$68:$AB$87,$BL$68:$BL$87,$U104,$DR$68:$DR$87,0)</f>
        <v>0</v>
      </c>
      <c r="X104" s="1996">
        <f>SUMIFS($AF$68:$AF$87,$BL$68:$BL$87,$U104,$DR$68:$DR$87,0)</f>
        <v>0</v>
      </c>
      <c r="Y104" s="674"/>
      <c r="Z104" s="674">
        <f t="shared" si="150"/>
        <v>0</v>
      </c>
      <c r="AA104" s="666">
        <f t="shared" si="151"/>
        <v>4</v>
      </c>
      <c r="AB104" s="207"/>
      <c r="AC104" s="207"/>
      <c r="AD104" s="207"/>
      <c r="AE104" s="207"/>
      <c r="AF104" s="207"/>
      <c r="AG104" s="207"/>
      <c r="AH104" s="207"/>
      <c r="AI104" s="207"/>
      <c r="AJ104" s="268"/>
      <c r="AK104" s="268"/>
      <c r="AL104" s="207"/>
      <c r="AM104" s="207"/>
      <c r="AN104" s="207"/>
      <c r="AO104" s="207"/>
      <c r="AP104" s="207"/>
      <c r="AQ104" s="207"/>
      <c r="AR104" s="268"/>
      <c r="AS104" s="207"/>
      <c r="AT104" s="207"/>
      <c r="AU104" s="207"/>
      <c r="AV104" s="207"/>
      <c r="AW104" s="207"/>
      <c r="AX104" s="207"/>
      <c r="AY104" s="157"/>
      <c r="AZ104" s="157"/>
      <c r="BA104" s="157"/>
      <c r="BB104" s="157"/>
      <c r="BC104" s="157"/>
      <c r="BD104" s="157"/>
      <c r="BE104" s="157"/>
      <c r="BF104" s="157"/>
      <c r="BG104" s="157"/>
      <c r="BH104" s="157"/>
      <c r="BI104" s="157"/>
      <c r="BJ104" s="157"/>
      <c r="BK104" s="157"/>
      <c r="BL104" s="658"/>
      <c r="BM104" s="157"/>
      <c r="BN104" s="185"/>
      <c r="BO104" s="185"/>
      <c r="BP104" s="185"/>
      <c r="BQ104" s="212"/>
      <c r="BR104" s="157"/>
      <c r="BS104" s="157"/>
      <c r="BT104" s="157"/>
      <c r="BU104" s="191"/>
      <c r="BV104" s="191"/>
      <c r="BW104" s="191"/>
      <c r="BX104" s="191"/>
      <c r="BY104" s="191"/>
      <c r="BZ104" s="157"/>
      <c r="CA104" s="157"/>
      <c r="CB104" s="2192"/>
      <c r="CC104" s="157"/>
      <c r="CD104" s="157"/>
      <c r="CE104" s="157"/>
      <c r="CF104" s="2121"/>
      <c r="CG104" s="2121"/>
      <c r="CH104" s="2121"/>
      <c r="CI104" s="157"/>
      <c r="CJ104" s="157"/>
      <c r="CK104" s="157"/>
      <c r="CL104" s="2121"/>
      <c r="CM104" s="2121"/>
      <c r="CN104" s="2121"/>
      <c r="CO104" s="368"/>
      <c r="CP104" s="369"/>
      <c r="CQ104" s="207"/>
      <c r="CR104" s="207"/>
      <c r="CS104" s="157"/>
      <c r="CT104" s="157"/>
      <c r="CU104" s="157"/>
      <c r="CV104" s="157"/>
      <c r="CW104" s="15"/>
      <c r="CX104" s="15"/>
      <c r="CY104" s="14"/>
      <c r="CZ104" s="14"/>
      <c r="DA104" s="14"/>
      <c r="DB104" s="14"/>
      <c r="DC104" s="14"/>
      <c r="DD104" s="14"/>
      <c r="DE104" s="14"/>
      <c r="DF104" s="14"/>
      <c r="DG104" s="14"/>
      <c r="DH104" s="14"/>
      <c r="DI104" s="14"/>
      <c r="DJ104" s="14"/>
      <c r="DK104" s="14"/>
      <c r="DL104" s="14"/>
      <c r="DM104" s="14"/>
      <c r="DN104" s="14"/>
      <c r="DO104" s="14"/>
      <c r="DP104" s="14"/>
      <c r="DQ104" s="15"/>
      <c r="DR104" s="15"/>
      <c r="DS104" s="15"/>
      <c r="DT104" s="15"/>
      <c r="DU104" s="15"/>
      <c r="DV104" s="15"/>
      <c r="DW104" s="15"/>
      <c r="DX104" s="2174"/>
      <c r="EC104" s="356"/>
      <c r="ED104" s="252"/>
      <c r="EE104" s="252"/>
      <c r="EF104" s="252"/>
      <c r="EG104" s="2202"/>
      <c r="EH104" s="2202"/>
      <c r="EI104" s="2208"/>
      <c r="EJ104" s="117"/>
    </row>
    <row r="105" spans="1:161" ht="18" customHeight="1" thickBot="1" x14ac:dyDescent="0.25">
      <c r="A105" s="2553"/>
      <c r="B105" s="2554"/>
      <c r="C105" s="2554"/>
      <c r="D105" s="1432">
        <f>IF(D102=0,0,M99*1000/D102)</f>
        <v>0</v>
      </c>
      <c r="E105" s="453" t="s">
        <v>293</v>
      </c>
      <c r="F105" s="14"/>
      <c r="G105" s="14"/>
      <c r="H105" s="14"/>
      <c r="I105" s="14"/>
      <c r="J105" s="451"/>
      <c r="K105" s="451"/>
      <c r="L105" s="451"/>
      <c r="M105" s="451"/>
      <c r="N105" s="15"/>
      <c r="P105" s="92"/>
      <c r="Q105" s="92"/>
      <c r="R105" s="92"/>
      <c r="S105" s="92"/>
      <c r="T105" s="157"/>
      <c r="U105" s="157"/>
      <c r="V105" s="157"/>
      <c r="W105" s="157"/>
      <c r="X105" s="157"/>
      <c r="Y105" s="157"/>
      <c r="Z105" s="157"/>
      <c r="AA105" s="157"/>
      <c r="AB105" s="207"/>
      <c r="AC105" s="207"/>
      <c r="AD105" s="207"/>
      <c r="AE105" s="207"/>
      <c r="AF105" s="207"/>
      <c r="AG105" s="207"/>
      <c r="AH105" s="207"/>
      <c r="AI105" s="207"/>
      <c r="AJ105" s="268"/>
      <c r="AK105" s="268"/>
      <c r="AL105" s="207"/>
      <c r="AM105" s="207"/>
      <c r="AN105" s="207"/>
      <c r="AO105" s="207"/>
      <c r="AP105" s="207"/>
      <c r="AQ105" s="207"/>
      <c r="AR105" s="268"/>
      <c r="AS105" s="207"/>
      <c r="AT105" s="207"/>
      <c r="AU105" s="207"/>
      <c r="AV105" s="207"/>
      <c r="AW105" s="207"/>
      <c r="AX105" s="207"/>
      <c r="AY105" s="157"/>
      <c r="AZ105" s="157"/>
      <c r="BA105" s="157"/>
      <c r="BB105" s="157"/>
      <c r="BC105" s="157"/>
      <c r="BD105" s="157"/>
      <c r="BE105" s="157"/>
      <c r="BF105" s="157"/>
      <c r="BG105" s="157"/>
      <c r="BH105" s="157"/>
      <c r="BI105" s="157"/>
      <c r="BJ105" s="157"/>
      <c r="BK105" s="157"/>
      <c r="BL105" s="658"/>
      <c r="BM105" s="157"/>
      <c r="BN105" s="185"/>
      <c r="BO105" s="185"/>
      <c r="BP105" s="185"/>
      <c r="BQ105" s="212"/>
      <c r="BR105" s="157"/>
      <c r="BS105" s="157"/>
      <c r="BT105" s="157"/>
      <c r="BU105" s="191"/>
      <c r="BV105" s="191"/>
      <c r="BW105" s="191"/>
      <c r="BX105" s="191"/>
      <c r="BY105" s="191"/>
      <c r="BZ105" s="157"/>
      <c r="CA105" s="157"/>
      <c r="CB105" s="2192"/>
      <c r="CC105" s="157"/>
      <c r="CD105" s="157"/>
      <c r="CE105" s="157"/>
      <c r="CF105" s="2121"/>
      <c r="CG105" s="2121"/>
      <c r="CH105" s="2121"/>
      <c r="CI105" s="157"/>
      <c r="CJ105" s="157"/>
      <c r="CK105" s="157"/>
      <c r="CL105" s="2121"/>
      <c r="CM105" s="2121"/>
      <c r="CN105" s="2121"/>
      <c r="CO105" s="368"/>
      <c r="CP105" s="369"/>
      <c r="CQ105" s="207"/>
      <c r="CR105" s="207"/>
      <c r="CS105" s="157"/>
      <c r="CT105" s="157"/>
      <c r="CU105" s="157"/>
      <c r="CV105" s="157"/>
      <c r="CW105" s="15"/>
      <c r="CX105" s="15"/>
      <c r="CY105" s="14"/>
      <c r="CZ105" s="14"/>
      <c r="DA105" s="14"/>
      <c r="DB105" s="14"/>
      <c r="DC105" s="14"/>
      <c r="DD105" s="14"/>
      <c r="DE105" s="14"/>
      <c r="DF105" s="14"/>
      <c r="DG105" s="14"/>
      <c r="DH105" s="14"/>
      <c r="DI105" s="14"/>
      <c r="DJ105" s="14"/>
      <c r="DK105" s="14"/>
      <c r="DL105" s="14"/>
      <c r="DM105" s="14"/>
      <c r="DN105" s="14"/>
      <c r="DO105" s="14"/>
      <c r="DP105" s="14"/>
      <c r="DQ105" s="15"/>
      <c r="DR105" s="15"/>
      <c r="DS105" s="15"/>
      <c r="DT105" s="15"/>
      <c r="DU105" s="15"/>
      <c r="DV105" s="15"/>
      <c r="DW105" s="15"/>
      <c r="DX105" s="2174"/>
      <c r="EC105" s="356"/>
      <c r="ED105" s="252"/>
      <c r="EE105" s="252"/>
      <c r="EF105" s="252"/>
      <c r="EG105" s="2202"/>
      <c r="EH105" s="2202"/>
      <c r="EI105" s="2208"/>
      <c r="EJ105" s="117"/>
    </row>
    <row r="106" spans="1:161" ht="32.25" customHeight="1" thickBot="1" x14ac:dyDescent="0.25">
      <c r="A106" s="92"/>
      <c r="B106" s="92"/>
      <c r="C106" s="92"/>
      <c r="D106" s="92"/>
      <c r="E106" s="92"/>
      <c r="F106" s="92"/>
      <c r="G106" s="92"/>
      <c r="H106" s="92"/>
      <c r="I106" s="92"/>
      <c r="J106" s="92"/>
      <c r="K106" s="92"/>
      <c r="L106" s="92"/>
      <c r="M106" s="92"/>
      <c r="N106" s="15"/>
      <c r="P106" s="92"/>
      <c r="Q106" s="92"/>
      <c r="R106" s="157"/>
      <c r="S106" s="157"/>
      <c r="T106" s="157"/>
      <c r="U106" s="157"/>
      <c r="V106" s="157"/>
      <c r="W106" s="157"/>
      <c r="X106" s="157"/>
      <c r="Y106" s="157"/>
      <c r="Z106" s="207"/>
      <c r="AA106" s="207"/>
      <c r="AB106" s="207"/>
      <c r="AC106" s="207"/>
      <c r="AD106" s="207"/>
      <c r="AE106" s="207"/>
      <c r="AF106" s="207"/>
      <c r="AG106" s="207"/>
      <c r="AH106" s="207"/>
      <c r="AI106" s="207"/>
      <c r="AJ106" s="207"/>
      <c r="AK106" s="207"/>
      <c r="AL106" s="207"/>
      <c r="AM106" s="207"/>
      <c r="AN106" s="207"/>
      <c r="AO106" s="207"/>
      <c r="AP106" s="207"/>
      <c r="AQ106" s="207"/>
      <c r="AR106" s="207"/>
      <c r="AS106" s="207"/>
      <c r="AT106" s="207"/>
      <c r="AU106" s="207"/>
      <c r="AV106" s="207"/>
      <c r="AW106" s="157"/>
      <c r="AX106" s="157"/>
      <c r="AY106" s="157"/>
      <c r="AZ106" s="157"/>
      <c r="BA106" s="157"/>
      <c r="BB106" s="157"/>
      <c r="BC106" s="157"/>
      <c r="BD106" s="157"/>
      <c r="BE106" s="157"/>
      <c r="BF106" s="157"/>
      <c r="BG106" s="157"/>
      <c r="BH106" s="157"/>
      <c r="BI106" s="157"/>
      <c r="BJ106" s="157"/>
      <c r="BK106" s="185"/>
      <c r="BL106" s="185"/>
      <c r="BM106" s="185"/>
      <c r="BN106" s="185"/>
      <c r="BO106" s="212"/>
      <c r="BP106" s="157"/>
      <c r="BQ106" s="157"/>
      <c r="BR106" s="157"/>
      <c r="BS106" s="191"/>
      <c r="BT106" s="191"/>
      <c r="BU106" s="191"/>
      <c r="BV106" s="191"/>
      <c r="BW106" s="191"/>
      <c r="BX106" s="157"/>
      <c r="BY106" s="157"/>
      <c r="BZ106" s="157"/>
      <c r="CA106" s="157"/>
      <c r="CB106" s="157"/>
      <c r="CC106" s="157"/>
      <c r="CD106" s="157"/>
      <c r="CE106" s="157"/>
      <c r="CF106" s="2121"/>
      <c r="CG106" s="2121"/>
      <c r="CH106" s="2121"/>
      <c r="CI106" s="157"/>
      <c r="CJ106" s="157"/>
      <c r="CK106" s="185"/>
      <c r="CL106" s="185"/>
      <c r="CM106" s="185"/>
      <c r="CN106" s="185"/>
      <c r="CO106" s="207"/>
      <c r="CP106" s="207"/>
      <c r="CQ106" s="157"/>
      <c r="CR106" s="157"/>
      <c r="CS106" s="157"/>
      <c r="CT106" s="157"/>
      <c r="CU106" s="15"/>
      <c r="CV106" s="15"/>
      <c r="CW106" s="14"/>
      <c r="CX106" s="14"/>
      <c r="CY106" s="14"/>
      <c r="CZ106" s="14"/>
      <c r="DA106" s="14"/>
      <c r="DB106" s="14"/>
      <c r="DC106" s="14"/>
      <c r="DD106" s="14"/>
      <c r="DE106" s="14"/>
      <c r="DF106" s="14"/>
      <c r="DG106" s="14"/>
      <c r="DH106" s="14"/>
      <c r="DI106" s="14"/>
      <c r="DJ106" s="14"/>
      <c r="DK106" s="14"/>
      <c r="DL106" s="14"/>
      <c r="DM106" s="15"/>
      <c r="DN106" s="15"/>
      <c r="DO106" s="15"/>
      <c r="DP106" s="15"/>
      <c r="DQ106" s="15"/>
      <c r="DR106" s="15"/>
      <c r="DS106" s="15"/>
      <c r="DT106" s="15"/>
      <c r="DU106" s="15"/>
    </row>
    <row r="107" spans="1:161" ht="16.5" customHeight="1" thickBot="1" x14ac:dyDescent="0.25">
      <c r="A107" s="642" t="s">
        <v>885</v>
      </c>
      <c r="B107" s="646"/>
      <c r="C107" s="646"/>
      <c r="D107" s="646"/>
      <c r="E107" s="646"/>
      <c r="F107" s="646"/>
      <c r="G107" s="646"/>
      <c r="H107" s="646"/>
      <c r="I107" s="646"/>
      <c r="J107" s="646"/>
      <c r="K107" s="646"/>
      <c r="L107" s="646"/>
      <c r="M107" s="647"/>
      <c r="N107" s="15"/>
      <c r="P107" s="92"/>
      <c r="Q107" s="92"/>
      <c r="R107" s="157"/>
      <c r="S107" s="157"/>
      <c r="T107" s="157"/>
      <c r="U107" s="157"/>
      <c r="V107" s="157"/>
      <c r="W107" s="157"/>
      <c r="X107" s="157"/>
      <c r="Y107" s="157"/>
      <c r="Z107" s="207"/>
      <c r="AA107" s="207"/>
      <c r="AB107" s="207"/>
      <c r="AC107" s="207"/>
      <c r="AD107" s="207"/>
      <c r="AE107" s="207"/>
      <c r="AF107" s="207"/>
      <c r="AG107" s="207"/>
      <c r="AH107" s="207"/>
      <c r="AI107" s="207"/>
      <c r="AJ107" s="207"/>
      <c r="AK107" s="207"/>
      <c r="AL107" s="207"/>
      <c r="AM107" s="207"/>
      <c r="AN107" s="207"/>
      <c r="AO107" s="207"/>
      <c r="AP107" s="207"/>
      <c r="AQ107" s="207"/>
      <c r="AR107" s="207"/>
      <c r="AS107" s="207"/>
      <c r="AT107" s="207"/>
      <c r="AU107" s="207"/>
      <c r="AV107" s="207"/>
      <c r="AW107" s="157"/>
      <c r="AX107" s="157"/>
      <c r="AY107" s="157"/>
      <c r="AZ107" s="157"/>
      <c r="BA107" s="157"/>
      <c r="BB107" s="157"/>
      <c r="BC107" s="157"/>
      <c r="BD107" s="157"/>
      <c r="BE107" s="157"/>
      <c r="BF107" s="157"/>
      <c r="BG107" s="157"/>
      <c r="BH107" s="157"/>
      <c r="BI107" s="157"/>
      <c r="BJ107" s="157"/>
      <c r="BK107" s="185"/>
      <c r="BL107" s="185"/>
      <c r="BM107" s="185"/>
      <c r="BN107" s="185"/>
      <c r="BO107" s="212"/>
      <c r="BP107" s="157"/>
      <c r="BQ107" s="157"/>
      <c r="BR107" s="157"/>
      <c r="BS107" s="191"/>
      <c r="BT107" s="191"/>
      <c r="BU107" s="191"/>
      <c r="BV107" s="191"/>
      <c r="BW107" s="191"/>
      <c r="BX107" s="157"/>
      <c r="BY107" s="157"/>
      <c r="BZ107" s="157"/>
      <c r="CA107" s="157"/>
      <c r="CB107" s="157"/>
      <c r="CC107" s="157"/>
      <c r="CD107" s="157"/>
      <c r="CE107" s="157"/>
      <c r="CF107" s="2121"/>
      <c r="CG107" s="2121"/>
      <c r="CH107" s="2121"/>
      <c r="CI107" s="157"/>
      <c r="CJ107" s="157"/>
      <c r="CK107" s="185"/>
      <c r="CL107" s="185"/>
      <c r="CM107" s="185"/>
      <c r="CN107" s="185"/>
      <c r="CO107" s="207"/>
      <c r="CP107" s="207"/>
      <c r="CQ107" s="157"/>
      <c r="CR107" s="157"/>
      <c r="CS107" s="157"/>
      <c r="CT107" s="157"/>
      <c r="CU107" s="15"/>
      <c r="CV107" s="15"/>
      <c r="CW107" s="14"/>
      <c r="CX107" s="14"/>
      <c r="CY107" s="14"/>
      <c r="CZ107" s="14"/>
      <c r="DA107" s="14"/>
      <c r="DB107" s="14"/>
      <c r="DC107" s="14"/>
      <c r="DD107" s="14"/>
      <c r="DE107" s="14"/>
      <c r="DF107" s="14"/>
      <c r="DG107" s="14"/>
      <c r="DH107" s="14"/>
      <c r="DI107" s="14"/>
      <c r="DJ107" s="14"/>
      <c r="DK107" s="14"/>
      <c r="DL107" s="14"/>
      <c r="DM107" s="15"/>
      <c r="DN107" s="15"/>
      <c r="DO107" s="15"/>
      <c r="DP107" s="15"/>
      <c r="DQ107" s="15"/>
      <c r="DR107" s="15"/>
      <c r="DS107" s="15"/>
      <c r="DT107" s="15"/>
      <c r="DU107" s="15"/>
    </row>
    <row r="108" spans="1:161" ht="15.75" customHeight="1" x14ac:dyDescent="0.2">
      <c r="A108" s="93" t="s">
        <v>754</v>
      </c>
      <c r="B108" s="92"/>
      <c r="C108" s="92"/>
      <c r="D108" s="92"/>
      <c r="E108" s="92"/>
      <c r="F108" s="92"/>
      <c r="G108" s="92"/>
      <c r="H108" s="92"/>
      <c r="I108" s="92"/>
      <c r="J108" s="92"/>
      <c r="K108" s="92"/>
      <c r="L108" s="92"/>
      <c r="M108" s="92"/>
      <c r="N108" s="15"/>
      <c r="P108" s="92"/>
      <c r="Q108" s="92"/>
      <c r="R108" s="157"/>
      <c r="S108" s="157"/>
      <c r="T108" s="157"/>
      <c r="U108" s="157"/>
      <c r="V108" s="157"/>
      <c r="W108" s="157"/>
      <c r="X108" s="157"/>
      <c r="Y108" s="157"/>
      <c r="Z108" s="207"/>
      <c r="AA108" s="207"/>
      <c r="AB108" s="207"/>
      <c r="AC108" s="207"/>
      <c r="AD108" s="207"/>
      <c r="AE108" s="207"/>
      <c r="AF108" s="207"/>
      <c r="AG108" s="207"/>
      <c r="AH108" s="207"/>
      <c r="AI108" s="207"/>
      <c r="AJ108" s="207"/>
      <c r="AK108" s="207"/>
      <c r="AL108" s="207"/>
      <c r="AM108" s="207"/>
      <c r="AN108" s="207"/>
      <c r="AO108" s="207"/>
      <c r="AP108" s="207"/>
      <c r="AQ108" s="207"/>
      <c r="AR108" s="207"/>
      <c r="AS108" s="207"/>
      <c r="AT108" s="207"/>
      <c r="AU108" s="207"/>
      <c r="AV108" s="207"/>
      <c r="AW108" s="207"/>
      <c r="AX108" s="157"/>
      <c r="AY108" s="157"/>
      <c r="AZ108" s="157"/>
      <c r="BA108" s="157"/>
      <c r="BB108" s="157"/>
      <c r="BC108" s="157"/>
      <c r="BD108" s="157"/>
      <c r="BE108" s="157"/>
      <c r="BF108" s="157"/>
      <c r="BG108" s="157"/>
      <c r="BH108" s="157"/>
      <c r="BI108" s="157"/>
      <c r="BJ108" s="157"/>
      <c r="BK108" s="157"/>
      <c r="BL108" s="658"/>
      <c r="BM108" s="185"/>
      <c r="BN108" s="185"/>
      <c r="BO108" s="185"/>
      <c r="BP108" s="212"/>
      <c r="BQ108" s="157"/>
      <c r="BR108" s="157"/>
      <c r="BS108" s="157"/>
      <c r="BT108" s="191"/>
      <c r="BU108" s="191"/>
      <c r="BV108" s="191"/>
      <c r="BW108" s="191"/>
      <c r="BX108" s="191"/>
      <c r="BY108" s="157"/>
      <c r="BZ108" s="157"/>
      <c r="CA108" s="157"/>
      <c r="CB108" s="157"/>
      <c r="CC108" s="157"/>
      <c r="CD108" s="157"/>
      <c r="CE108" s="157"/>
      <c r="CF108" s="2121"/>
      <c r="CG108" s="2121"/>
      <c r="CH108" s="2121"/>
      <c r="CI108" s="157"/>
      <c r="CJ108" s="157"/>
      <c r="CK108" s="185"/>
      <c r="CL108" s="185"/>
      <c r="CM108" s="185"/>
      <c r="CN108" s="185"/>
      <c r="CO108" s="185"/>
      <c r="CP108" s="207"/>
      <c r="CQ108" s="207"/>
      <c r="CR108" s="157"/>
      <c r="CS108" s="157"/>
      <c r="CT108" s="157"/>
      <c r="CU108" s="157"/>
      <c r="CV108" s="15"/>
      <c r="CW108" s="15"/>
      <c r="CX108" s="14"/>
      <c r="CY108" s="14"/>
      <c r="CZ108" s="14"/>
      <c r="DA108" s="14"/>
      <c r="DB108" s="14"/>
      <c r="DC108" s="14"/>
      <c r="DD108" s="14"/>
      <c r="DE108" s="14"/>
      <c r="DF108" s="14"/>
      <c r="DG108" s="14"/>
      <c r="DH108" s="14"/>
      <c r="DI108" s="14"/>
      <c r="DJ108" s="14"/>
      <c r="DK108" s="14"/>
      <c r="DL108" s="14"/>
      <c r="DM108" s="14"/>
      <c r="DN108" s="15"/>
      <c r="DO108" s="15"/>
      <c r="DP108" s="15"/>
      <c r="DQ108" s="15"/>
      <c r="DR108" s="15"/>
      <c r="DS108" s="15"/>
      <c r="DT108" s="15"/>
      <c r="DU108" s="15"/>
      <c r="DV108" s="15"/>
    </row>
    <row r="109" spans="1:161" ht="17.25" customHeight="1" thickBot="1" x14ac:dyDescent="0.25">
      <c r="A109" s="4"/>
      <c r="B109" s="92"/>
      <c r="C109" s="376"/>
      <c r="D109" s="92"/>
      <c r="E109" s="92"/>
      <c r="F109" s="92"/>
      <c r="G109" s="92"/>
      <c r="H109" s="92"/>
      <c r="I109" s="92"/>
      <c r="J109" s="92"/>
      <c r="K109" s="92"/>
      <c r="L109" s="92"/>
      <c r="M109" s="92"/>
      <c r="N109" s="15"/>
      <c r="P109" s="92"/>
      <c r="Q109" s="92"/>
      <c r="R109" s="157"/>
      <c r="S109" s="157"/>
      <c r="T109" s="157"/>
      <c r="U109" s="157"/>
      <c r="V109" s="157"/>
      <c r="W109" s="157"/>
      <c r="X109" s="157"/>
      <c r="Y109" s="157"/>
      <c r="Z109" s="271" t="s">
        <v>425</v>
      </c>
      <c r="AA109" s="335" t="s">
        <v>426</v>
      </c>
      <c r="AB109" s="335" t="s">
        <v>597</v>
      </c>
      <c r="AC109" s="335" t="s">
        <v>426</v>
      </c>
      <c r="AD109" s="146" t="s">
        <v>603</v>
      </c>
      <c r="AF109" s="207" t="s">
        <v>601</v>
      </c>
      <c r="AG109" s="207" t="s">
        <v>602</v>
      </c>
      <c r="AH109" s="207" t="s">
        <v>607</v>
      </c>
      <c r="AJ109" s="207"/>
      <c r="AK109" s="207"/>
      <c r="AL109" s="207" t="s">
        <v>1045</v>
      </c>
      <c r="AM109" s="207"/>
      <c r="AN109" s="207"/>
      <c r="AO109" s="207"/>
      <c r="AP109" s="207"/>
      <c r="AQ109" s="207" t="s">
        <v>1046</v>
      </c>
      <c r="AR109" s="207"/>
      <c r="AS109" s="207"/>
      <c r="AT109" s="157"/>
      <c r="AU109" s="157"/>
      <c r="AV109" s="157"/>
      <c r="AW109" s="157"/>
      <c r="AX109" s="157"/>
      <c r="AY109" s="157"/>
      <c r="AZ109" s="157"/>
      <c r="BA109" s="157"/>
      <c r="BB109" s="157"/>
      <c r="BC109" s="157"/>
      <c r="BD109" s="157"/>
      <c r="BE109" s="157"/>
      <c r="BF109" s="157"/>
      <c r="BG109" s="157"/>
      <c r="BH109" s="157"/>
      <c r="BI109" s="185"/>
      <c r="BJ109" s="185"/>
      <c r="BK109" s="185"/>
      <c r="BL109" s="185"/>
      <c r="BM109" s="212"/>
      <c r="BN109" s="157"/>
      <c r="BO109" s="157"/>
      <c r="BP109" s="157"/>
      <c r="BQ109" s="191"/>
      <c r="BR109" s="191"/>
      <c r="BS109" s="191"/>
      <c r="BT109" s="191"/>
      <c r="BU109" s="191"/>
      <c r="BV109" s="157"/>
      <c r="BW109" s="157"/>
      <c r="BX109" s="157"/>
      <c r="BY109" s="157"/>
      <c r="BZ109" s="157"/>
      <c r="CA109" s="157"/>
      <c r="CB109" s="157"/>
      <c r="CC109" s="157"/>
      <c r="CD109" s="157"/>
      <c r="CE109" s="157"/>
      <c r="CF109" s="2121"/>
      <c r="CG109" s="2121"/>
      <c r="CH109" s="2121"/>
      <c r="CI109" s="157"/>
      <c r="CJ109" s="185"/>
      <c r="CK109" s="207"/>
      <c r="CL109" s="2122"/>
      <c r="CM109" s="2122"/>
      <c r="CN109" s="2122"/>
      <c r="CO109" s="157"/>
      <c r="CP109" s="157"/>
      <c r="CQ109" s="157"/>
      <c r="CR109" s="157"/>
      <c r="CS109" s="15"/>
      <c r="CT109" s="15"/>
      <c r="CU109" s="14"/>
      <c r="CV109" s="14"/>
      <c r="CW109" s="14"/>
      <c r="CX109" s="14"/>
      <c r="CY109" s="14"/>
      <c r="CZ109" s="14"/>
      <c r="DA109" s="14"/>
      <c r="DB109" s="14"/>
      <c r="DC109" s="14"/>
      <c r="DD109" s="14"/>
      <c r="DE109" s="14"/>
      <c r="DF109" s="14"/>
      <c r="DG109" s="14"/>
      <c r="DH109" s="14"/>
      <c r="DI109" s="14"/>
      <c r="DJ109" s="14"/>
      <c r="DK109" s="15"/>
      <c r="DL109" s="15"/>
      <c r="DM109" s="15"/>
      <c r="DN109" s="15"/>
      <c r="DO109" s="15"/>
      <c r="DP109" s="15"/>
      <c r="DQ109" s="15"/>
      <c r="DR109" s="15"/>
      <c r="DS109" s="15"/>
    </row>
    <row r="110" spans="1:161" ht="15.75" customHeight="1" thickBot="1" x14ac:dyDescent="0.4">
      <c r="A110" s="489" t="s">
        <v>670</v>
      </c>
      <c r="B110" s="820"/>
      <c r="C110" s="817"/>
      <c r="D110" s="692" t="s">
        <v>275</v>
      </c>
      <c r="E110" s="692" t="s">
        <v>419</v>
      </c>
      <c r="F110" s="2844" t="s">
        <v>1014</v>
      </c>
      <c r="G110" s="692" t="s">
        <v>923</v>
      </c>
      <c r="H110" s="704" t="s">
        <v>425</v>
      </c>
      <c r="I110" s="705" t="s">
        <v>426</v>
      </c>
      <c r="J110" s="704" t="s">
        <v>4</v>
      </c>
      <c r="K110" s="2587" t="s">
        <v>924</v>
      </c>
      <c r="L110" s="2587"/>
      <c r="M110" s="706" t="s">
        <v>293</v>
      </c>
      <c r="N110" s="295"/>
      <c r="Q110" s="270" t="s">
        <v>429</v>
      </c>
      <c r="R110" s="336" t="s">
        <v>426</v>
      </c>
      <c r="S110" s="271" t="s">
        <v>198</v>
      </c>
      <c r="T110" s="273" t="s">
        <v>277</v>
      </c>
      <c r="U110" s="273" t="s">
        <v>4</v>
      </c>
      <c r="V110" s="273" t="s">
        <v>427</v>
      </c>
      <c r="W110" s="272" t="s">
        <v>428</v>
      </c>
      <c r="X110" s="335"/>
      <c r="Y110" s="335" t="s">
        <v>598</v>
      </c>
      <c r="Z110" s="275" t="s">
        <v>433</v>
      </c>
      <c r="AA110" s="285"/>
      <c r="AB110" s="285"/>
      <c r="AC110" s="285" t="s">
        <v>600</v>
      </c>
      <c r="AD110" s="146" t="s">
        <v>604</v>
      </c>
      <c r="AF110" s="335" t="s">
        <v>426</v>
      </c>
      <c r="AG110" s="335" t="s">
        <v>426</v>
      </c>
      <c r="AH110" s="335"/>
      <c r="AJ110" s="335"/>
      <c r="AK110" s="335"/>
      <c r="AL110" s="839" t="s">
        <v>451</v>
      </c>
      <c r="AM110" s="840"/>
      <c r="AN110" s="840"/>
      <c r="AO110" s="840"/>
      <c r="AP110" s="840"/>
      <c r="AQ110" s="841" t="s">
        <v>564</v>
      </c>
      <c r="AR110" s="840"/>
      <c r="AS110" s="840"/>
      <c r="AT110" s="840"/>
      <c r="AU110" s="840"/>
      <c r="AV110" s="828"/>
      <c r="AW110" s="207" t="s">
        <v>618</v>
      </c>
      <c r="AX110" s="157"/>
      <c r="AY110" s="160" t="s">
        <v>276</v>
      </c>
      <c r="AZ110" s="318" t="s">
        <v>4</v>
      </c>
      <c r="BA110" s="319" t="s">
        <v>209</v>
      </c>
      <c r="BB110" s="319" t="s">
        <v>210</v>
      </c>
      <c r="BC110" s="232" t="s">
        <v>562</v>
      </c>
      <c r="BD110" s="207" t="s">
        <v>425</v>
      </c>
      <c r="BE110" s="207" t="s">
        <v>426</v>
      </c>
      <c r="BF110" s="816"/>
      <c r="BG110" s="207"/>
      <c r="BH110" s="207"/>
      <c r="BI110" s="2651" t="s">
        <v>610</v>
      </c>
      <c r="BJ110" s="2651"/>
      <c r="BK110" s="207"/>
      <c r="BL110" s="659"/>
      <c r="BN110" s="207"/>
      <c r="BO110" s="146" t="s">
        <v>8754</v>
      </c>
      <c r="BP110" s="207"/>
      <c r="BQ110" s="207"/>
      <c r="BR110" s="207"/>
      <c r="BS110" s="207"/>
      <c r="BT110" s="207"/>
      <c r="BU110" s="207"/>
      <c r="BV110" s="207"/>
      <c r="BW110" s="207"/>
      <c r="BX110" s="157"/>
      <c r="BY110" s="157"/>
      <c r="BZ110" s="157"/>
      <c r="CA110" s="157"/>
      <c r="CB110" s="157"/>
      <c r="CC110" s="157"/>
      <c r="CD110" s="157"/>
      <c r="CE110" s="157"/>
      <c r="CF110" s="2121"/>
      <c r="CG110" s="2121"/>
      <c r="CH110" s="2121"/>
      <c r="CI110" s="157"/>
      <c r="CJ110" s="157"/>
      <c r="CK110" s="157"/>
      <c r="CL110" s="2121"/>
      <c r="CM110" s="2121"/>
      <c r="CN110" s="2121"/>
      <c r="CO110" s="157"/>
      <c r="CP110" s="185"/>
      <c r="CQ110" s="185"/>
      <c r="CR110" s="185"/>
      <c r="CS110" s="212"/>
      <c r="CT110" s="157"/>
      <c r="CU110" s="157"/>
      <c r="CV110" s="157"/>
      <c r="CW110" s="191"/>
      <c r="CX110" s="191"/>
      <c r="CY110" s="191"/>
      <c r="CZ110" s="191"/>
      <c r="DA110" s="191"/>
      <c r="DB110" s="157"/>
      <c r="DC110" s="157"/>
      <c r="DD110" s="157"/>
      <c r="DE110" s="157"/>
      <c r="DF110" s="157"/>
      <c r="DG110" s="157"/>
      <c r="DH110" s="157"/>
      <c r="DI110" s="157"/>
      <c r="DJ110" s="157"/>
      <c r="DK110" s="157"/>
      <c r="DL110" s="157"/>
      <c r="DM110" s="157"/>
      <c r="DN110" s="157"/>
      <c r="DO110" s="157"/>
      <c r="DP110" s="157"/>
      <c r="DQ110" s="157"/>
      <c r="DR110" s="157"/>
      <c r="DS110" s="185"/>
      <c r="DT110" s="185"/>
      <c r="DU110" s="185"/>
      <c r="DV110" s="185"/>
      <c r="DW110" s="185"/>
      <c r="DX110" s="2175"/>
      <c r="DY110" s="185"/>
      <c r="DZ110" s="185"/>
      <c r="EA110" s="185"/>
      <c r="EB110" s="185"/>
      <c r="EC110" s="185"/>
      <c r="ED110" s="185"/>
      <c r="EE110" s="185"/>
      <c r="EF110" s="185"/>
      <c r="EG110" s="185"/>
      <c r="EH110" s="185"/>
      <c r="EI110" s="185"/>
      <c r="EJ110" s="185"/>
      <c r="EK110" s="185"/>
      <c r="EL110" s="207"/>
      <c r="EM110" s="207"/>
      <c r="EN110" s="157"/>
      <c r="EO110" s="157"/>
      <c r="EP110" s="157"/>
      <c r="EQ110" s="157"/>
      <c r="ER110" s="157"/>
      <c r="ES110" s="157"/>
      <c r="ET110" s="15"/>
      <c r="EU110" s="15"/>
      <c r="EV110" s="14"/>
      <c r="EW110" s="14"/>
      <c r="EX110" s="15"/>
      <c r="EY110" s="15"/>
      <c r="EZ110" s="15"/>
      <c r="FA110" s="15"/>
      <c r="FB110" s="15"/>
      <c r="FC110" s="15"/>
      <c r="FD110" s="15"/>
      <c r="FE110" s="15"/>
    </row>
    <row r="111" spans="1:161" ht="15.75" customHeight="1" x14ac:dyDescent="0.35">
      <c r="A111" s="492" t="s">
        <v>671</v>
      </c>
      <c r="B111" s="821"/>
      <c r="C111" s="818"/>
      <c r="D111" s="707" t="s">
        <v>430</v>
      </c>
      <c r="E111" s="708" t="s">
        <v>431</v>
      </c>
      <c r="F111" s="2845"/>
      <c r="G111" s="707" t="s">
        <v>432</v>
      </c>
      <c r="H111" s="709" t="s">
        <v>433</v>
      </c>
      <c r="I111" s="710" t="s">
        <v>434</v>
      </c>
      <c r="J111" s="2669" t="s">
        <v>238</v>
      </c>
      <c r="K111" s="2670"/>
      <c r="L111" s="2670"/>
      <c r="M111" s="2671"/>
      <c r="N111" s="285"/>
      <c r="Q111" s="274" t="s">
        <v>435</v>
      </c>
      <c r="R111" s="337" t="s">
        <v>565</v>
      </c>
      <c r="S111" s="287" t="s">
        <v>436</v>
      </c>
      <c r="T111" s="288"/>
      <c r="U111" s="288"/>
      <c r="V111" s="288"/>
      <c r="W111" s="289"/>
      <c r="X111" s="285"/>
      <c r="Y111" s="285"/>
      <c r="Z111" s="275" t="s">
        <v>599</v>
      </c>
      <c r="AD111" s="146" t="s">
        <v>605</v>
      </c>
      <c r="AE111" s="146" t="s">
        <v>277</v>
      </c>
      <c r="AF111" s="285" t="s">
        <v>600</v>
      </c>
      <c r="AG111" s="285" t="s">
        <v>600</v>
      </c>
      <c r="AH111" s="175" t="s">
        <v>276</v>
      </c>
      <c r="AJ111" s="285"/>
      <c r="AK111" s="285"/>
      <c r="AL111" s="833" t="s">
        <v>198</v>
      </c>
      <c r="AM111" s="834" t="s">
        <v>277</v>
      </c>
      <c r="AN111" s="834" t="s">
        <v>4</v>
      </c>
      <c r="AO111" s="834" t="s">
        <v>427</v>
      </c>
      <c r="AP111" s="835" t="s">
        <v>428</v>
      </c>
      <c r="AQ111" s="833" t="s">
        <v>198</v>
      </c>
      <c r="AR111" s="834" t="s">
        <v>277</v>
      </c>
      <c r="AS111" s="834" t="s">
        <v>4</v>
      </c>
      <c r="AT111" s="834" t="s">
        <v>427</v>
      </c>
      <c r="AU111" s="835" t="s">
        <v>428</v>
      </c>
      <c r="AV111" s="640"/>
      <c r="AW111" s="207" t="s">
        <v>619</v>
      </c>
      <c r="AX111" s="1314" t="s">
        <v>1043</v>
      </c>
      <c r="AY111" s="160"/>
      <c r="AZ111" s="207"/>
      <c r="BA111" s="207"/>
      <c r="BB111" s="207"/>
      <c r="BC111" s="207"/>
      <c r="BD111" s="207" t="s">
        <v>563</v>
      </c>
      <c r="BE111" s="207"/>
      <c r="BF111" s="207"/>
      <c r="BG111" s="207"/>
      <c r="BH111" s="207"/>
      <c r="BI111" s="207" t="s">
        <v>614</v>
      </c>
      <c r="BJ111" s="207" t="s">
        <v>468</v>
      </c>
      <c r="BK111" s="207"/>
      <c r="BL111" s="659"/>
      <c r="BN111" s="207"/>
      <c r="BO111" s="207"/>
      <c r="BP111" s="207"/>
      <c r="BQ111" s="207"/>
      <c r="BR111" s="207"/>
      <c r="BS111" s="207"/>
      <c r="BT111" s="207"/>
      <c r="BU111" s="207"/>
      <c r="BV111" s="207"/>
      <c r="BW111" s="207"/>
      <c r="BX111" s="157"/>
      <c r="BY111" s="157"/>
      <c r="BZ111" s="157"/>
      <c r="CA111" s="157"/>
      <c r="CB111" s="157"/>
      <c r="CC111" s="157"/>
      <c r="CD111" s="157"/>
      <c r="CE111" s="157"/>
      <c r="CF111" s="2121"/>
      <c r="CG111" s="2121"/>
      <c r="CH111" s="2121"/>
      <c r="CI111" s="157"/>
      <c r="CJ111" s="157"/>
      <c r="CK111" s="157"/>
      <c r="CL111" s="2121"/>
      <c r="CM111" s="2121"/>
      <c r="CN111" s="2121"/>
      <c r="CO111" s="157"/>
      <c r="CP111" s="185"/>
      <c r="CQ111" s="185"/>
      <c r="CR111" s="185"/>
      <c r="CS111" s="212"/>
      <c r="CT111" s="157"/>
      <c r="CU111" s="157"/>
      <c r="CV111" s="157"/>
      <c r="CW111" s="191"/>
      <c r="CX111" s="191"/>
      <c r="CY111" s="191"/>
      <c r="CZ111" s="191"/>
      <c r="DA111" s="191"/>
      <c r="DB111" s="157"/>
      <c r="DC111" s="157"/>
      <c r="DD111" s="157"/>
      <c r="DE111" s="157"/>
      <c r="DF111" s="157"/>
      <c r="DG111" s="157"/>
      <c r="DH111" s="157"/>
      <c r="DI111" s="157"/>
      <c r="DJ111" s="157"/>
      <c r="DK111" s="157"/>
      <c r="DL111" s="157"/>
      <c r="DM111" s="157"/>
      <c r="DN111" s="157"/>
      <c r="DO111" s="157"/>
      <c r="DP111" s="157"/>
      <c r="DQ111" s="157"/>
      <c r="DR111" s="157"/>
      <c r="DS111" s="185"/>
      <c r="DT111" s="185"/>
      <c r="DU111" s="185"/>
      <c r="DV111" s="185"/>
      <c r="DW111" s="185"/>
      <c r="DX111" s="2175"/>
      <c r="DY111" s="185"/>
      <c r="DZ111" s="185"/>
      <c r="EA111" s="185"/>
      <c r="EB111" s="185"/>
      <c r="EC111" s="185"/>
      <c r="ED111" s="185"/>
      <c r="EE111" s="185"/>
      <c r="EF111" s="185"/>
      <c r="EG111" s="185"/>
      <c r="EH111" s="185"/>
      <c r="EI111" s="185"/>
      <c r="EJ111" s="185"/>
      <c r="EK111" s="185"/>
      <c r="EL111" s="207"/>
      <c r="EM111" s="207"/>
      <c r="EN111" s="157"/>
      <c r="EO111" s="157"/>
      <c r="EP111" s="157"/>
      <c r="EQ111" s="157"/>
      <c r="ER111" s="157"/>
      <c r="ES111" s="157"/>
      <c r="ET111" s="15"/>
      <c r="EU111" s="15"/>
      <c r="EV111" s="14"/>
      <c r="EW111" s="14"/>
      <c r="EX111" s="15"/>
      <c r="EY111" s="15"/>
      <c r="EZ111" s="15"/>
      <c r="FA111" s="15"/>
      <c r="FB111" s="15"/>
      <c r="FC111" s="15"/>
      <c r="FD111" s="15"/>
      <c r="FE111" s="15"/>
    </row>
    <row r="112" spans="1:161" ht="15.75" customHeight="1" thickBot="1" x14ac:dyDescent="0.25">
      <c r="A112" s="443" t="s">
        <v>1042</v>
      </c>
      <c r="B112" s="822"/>
      <c r="C112" s="819"/>
      <c r="D112" s="694" t="s">
        <v>437</v>
      </c>
      <c r="E112" s="711" t="s">
        <v>438</v>
      </c>
      <c r="F112" s="2846"/>
      <c r="G112" s="694" t="s">
        <v>2</v>
      </c>
      <c r="H112" s="693" t="s">
        <v>922</v>
      </c>
      <c r="I112" s="712" t="s">
        <v>2</v>
      </c>
      <c r="J112" s="2662" t="s">
        <v>437</v>
      </c>
      <c r="K112" s="2663"/>
      <c r="L112" s="2663"/>
      <c r="M112" s="2664"/>
      <c r="N112" s="285"/>
      <c r="Q112" s="290" t="s">
        <v>416</v>
      </c>
      <c r="R112" s="338" t="s">
        <v>434</v>
      </c>
      <c r="S112" s="291"/>
      <c r="T112" s="291"/>
      <c r="U112" s="291"/>
      <c r="V112" s="291"/>
      <c r="W112" s="292"/>
      <c r="X112" s="285"/>
      <c r="Y112" s="285" t="s">
        <v>38</v>
      </c>
      <c r="Z112" s="275"/>
      <c r="AA112" s="285" t="s">
        <v>38</v>
      </c>
      <c r="AB112" s="285" t="s">
        <v>38</v>
      </c>
      <c r="AC112" s="358" t="s">
        <v>38</v>
      </c>
      <c r="AE112" s="146" t="s">
        <v>2</v>
      </c>
      <c r="AF112" s="207" t="s">
        <v>38</v>
      </c>
      <c r="AG112" s="207" t="s">
        <v>38</v>
      </c>
      <c r="AH112" s="285"/>
      <c r="AJ112" s="285"/>
      <c r="AK112" s="285"/>
      <c r="AL112" s="836" t="s">
        <v>436</v>
      </c>
      <c r="AM112" s="837"/>
      <c r="AN112" s="837"/>
      <c r="AO112" s="837"/>
      <c r="AP112" s="838"/>
      <c r="AQ112" s="836" t="s">
        <v>436</v>
      </c>
      <c r="AR112" s="837"/>
      <c r="AS112" s="837"/>
      <c r="AT112" s="837"/>
      <c r="AU112" s="838"/>
      <c r="AV112" s="640"/>
      <c r="AW112" s="207" t="s">
        <v>1047</v>
      </c>
      <c r="AX112" s="157"/>
      <c r="AY112" s="157"/>
      <c r="AZ112" s="207"/>
      <c r="BA112" s="207"/>
      <c r="BB112" s="207"/>
      <c r="BC112" s="207"/>
      <c r="BD112" s="207"/>
      <c r="BE112" s="207"/>
      <c r="BF112" s="827"/>
      <c r="BG112" s="207"/>
      <c r="BH112" s="207"/>
      <c r="BI112" s="207"/>
      <c r="BJ112" s="207"/>
      <c r="BK112" s="207"/>
      <c r="BL112" s="659"/>
      <c r="BN112" s="207"/>
      <c r="BO112" s="207"/>
      <c r="BP112" s="207"/>
      <c r="BQ112" s="207"/>
      <c r="BR112" s="207"/>
      <c r="BS112" s="207"/>
      <c r="BT112" s="207"/>
      <c r="BU112" s="207"/>
      <c r="BV112" s="207"/>
      <c r="BW112" s="207"/>
      <c r="BX112" s="157"/>
      <c r="BY112" s="157"/>
      <c r="BZ112" s="157"/>
      <c r="CA112" s="157"/>
      <c r="CB112" s="157"/>
      <c r="CC112" s="157"/>
      <c r="CD112" s="157"/>
      <c r="CE112" s="157"/>
      <c r="CF112" s="2121"/>
      <c r="CG112" s="2121"/>
      <c r="CH112" s="2121"/>
      <c r="CI112" s="157"/>
      <c r="CJ112" s="157"/>
      <c r="CK112" s="157"/>
      <c r="CL112" s="2121"/>
      <c r="CM112" s="2121"/>
      <c r="CN112" s="2121"/>
      <c r="CO112" s="157"/>
      <c r="CP112" s="185"/>
      <c r="CQ112" s="185"/>
      <c r="CR112" s="185"/>
      <c r="CS112" s="212"/>
      <c r="CT112" s="157"/>
      <c r="CU112" s="157"/>
      <c r="CV112" s="157"/>
      <c r="CW112" s="191"/>
      <c r="CX112" s="191"/>
      <c r="CY112" s="191"/>
      <c r="CZ112" s="191"/>
      <c r="DA112" s="191"/>
      <c r="DB112" s="157"/>
      <c r="DC112" s="157"/>
      <c r="DD112" s="157"/>
      <c r="DE112" s="157"/>
      <c r="DF112" s="157"/>
      <c r="DG112" s="157"/>
      <c r="DH112" s="157"/>
      <c r="DI112" s="157"/>
      <c r="DJ112" s="157"/>
      <c r="DK112" s="157"/>
      <c r="DL112" s="157"/>
      <c r="DM112" s="157"/>
      <c r="DN112" s="157"/>
      <c r="DO112" s="157"/>
      <c r="DP112" s="157"/>
      <c r="DQ112" s="157"/>
      <c r="DR112" s="157"/>
      <c r="DS112" s="185"/>
      <c r="DT112" s="185"/>
      <c r="DU112" s="185"/>
      <c r="DV112" s="185"/>
      <c r="DW112" s="185"/>
      <c r="DX112" s="2175"/>
      <c r="DY112" s="185"/>
      <c r="DZ112" s="185"/>
      <c r="EA112" s="185"/>
      <c r="EB112" s="185"/>
      <c r="EC112" s="185"/>
      <c r="ED112" s="185"/>
      <c r="EE112" s="185"/>
      <c r="EF112" s="185"/>
      <c r="EG112" s="185"/>
      <c r="EH112" s="185"/>
      <c r="EI112" s="185"/>
      <c r="EJ112" s="185"/>
      <c r="EK112" s="185"/>
      <c r="EL112" s="207"/>
      <c r="EM112" s="207"/>
      <c r="EN112" s="157"/>
      <c r="EO112" s="157"/>
      <c r="EP112" s="157"/>
      <c r="EQ112" s="157"/>
      <c r="ER112" s="157"/>
      <c r="ES112" s="157"/>
      <c r="ET112" s="15"/>
      <c r="EU112" s="15"/>
      <c r="EV112" s="14"/>
      <c r="EW112" s="14"/>
      <c r="EX112" s="15"/>
      <c r="EY112" s="15"/>
      <c r="EZ112" s="15"/>
      <c r="FA112" s="15"/>
      <c r="FB112" s="15"/>
      <c r="FC112" s="15"/>
      <c r="FD112" s="15"/>
      <c r="FE112" s="15"/>
    </row>
    <row r="113" spans="1:161" ht="15.75" customHeight="1" x14ac:dyDescent="0.25">
      <c r="A113" s="430"/>
      <c r="B113" s="428"/>
      <c r="C113" s="436"/>
      <c r="D113" s="1518"/>
      <c r="E113" s="1519"/>
      <c r="F113" s="1416">
        <f>IF(E113&gt;1,E113,AY113)</f>
        <v>0</v>
      </c>
      <c r="G113" s="1417">
        <f>+BC113*100</f>
        <v>0</v>
      </c>
      <c r="H113" s="1418">
        <f>BD113</f>
        <v>0</v>
      </c>
      <c r="I113" s="1417">
        <f>+BE113*100</f>
        <v>0</v>
      </c>
      <c r="J113" s="1419">
        <f>IF(AY113=0,,AZ113*F113/AY113)</f>
        <v>0</v>
      </c>
      <c r="K113" s="2673">
        <f>IF(AY113=0,,BA113*F113/AY113)</f>
        <v>0</v>
      </c>
      <c r="L113" s="2673"/>
      <c r="M113" s="1420">
        <f>IF(AY113=0,,BB113*F113/AY113)</f>
        <v>0</v>
      </c>
      <c r="N113" s="281"/>
      <c r="O113" s="117"/>
      <c r="Q113" s="277">
        <f>+D113*F113/100*G113/100*H113/1000</f>
        <v>0</v>
      </c>
      <c r="R113" s="279">
        <f>+Q113*I113/100</f>
        <v>0</v>
      </c>
      <c r="S113" s="278">
        <f>+D113*F113/100</f>
        <v>0</v>
      </c>
      <c r="T113" s="278">
        <f>+D113-S113</f>
        <v>0</v>
      </c>
      <c r="U113" s="279">
        <f>+J113*$D113/1000</f>
        <v>0</v>
      </c>
      <c r="V113" s="279">
        <f>K113*$D113/1000</f>
        <v>0</v>
      </c>
      <c r="W113" s="280">
        <f>M113*$D113/1000</f>
        <v>0</v>
      </c>
      <c r="X113" s="283"/>
      <c r="Y113" s="283">
        <f>+D113*F113/100*G113/100</f>
        <v>0</v>
      </c>
      <c r="Z113" s="281">
        <f>IF(D113=0,0,Y113*H113/D113)</f>
        <v>0</v>
      </c>
      <c r="AA113" s="281">
        <f>D113*Z113*I113/100/22.26*0.01605</f>
        <v>0</v>
      </c>
      <c r="AB113" s="283">
        <f>D113*Z113*(1-I113/100)/22.26*0.04401</f>
        <v>0</v>
      </c>
      <c r="AC113" s="283">
        <f>+AA113+AB113</f>
        <v>0</v>
      </c>
      <c r="AD113" s="146">
        <f>+H113/887*100</f>
        <v>0</v>
      </c>
      <c r="AE113" s="146">
        <f>15.44*AD113/100</f>
        <v>0</v>
      </c>
      <c r="AF113" s="283">
        <f>+AC113-AG113</f>
        <v>0</v>
      </c>
      <c r="AG113" s="283">
        <f>+AC113*AE113/100</f>
        <v>0</v>
      </c>
      <c r="AH113" s="283" t="e">
        <f>+(D113*F113/100-AF113)/(D113-AC113)*100</f>
        <v>#DIV/0!</v>
      </c>
      <c r="AJ113" s="283"/>
      <c r="AK113" s="283"/>
      <c r="AL113" s="281">
        <f>IF($AW113=1,0,S113)</f>
        <v>0</v>
      </c>
      <c r="AM113" s="281">
        <f t="shared" ref="AM113:AP113" si="152">IF($AW113=1,0,T113)</f>
        <v>0</v>
      </c>
      <c r="AN113" s="281">
        <f t="shared" si="152"/>
        <v>0</v>
      </c>
      <c r="AO113" s="281">
        <f>IF($AW113=1,0,V113)</f>
        <v>0</v>
      </c>
      <c r="AP113" s="281">
        <f t="shared" si="152"/>
        <v>0</v>
      </c>
      <c r="AQ113" s="281">
        <f t="shared" ref="AQ113:AU115" si="153">+S113-AL113</f>
        <v>0</v>
      </c>
      <c r="AR113" s="281">
        <f t="shared" si="153"/>
        <v>0</v>
      </c>
      <c r="AS113" s="281">
        <f t="shared" si="153"/>
        <v>0</v>
      </c>
      <c r="AT113" s="281">
        <f t="shared" si="153"/>
        <v>0</v>
      </c>
      <c r="AU113" s="281">
        <f t="shared" si="153"/>
        <v>0</v>
      </c>
      <c r="AV113" s="829"/>
      <c r="AW113" s="391">
        <f>INDEX(Pflanzen!$AA$5:$AA$104,'Nährstoffe und Lagerraum'!$AX113)</f>
        <v>0</v>
      </c>
      <c r="AX113" s="157">
        <v>1</v>
      </c>
      <c r="AY113" s="157">
        <f>INDEX(Pflanzen!$I$5:$I$104,'Nährstoffe und Lagerraum'!$AX113)</f>
        <v>0</v>
      </c>
      <c r="AZ113" s="157">
        <f>INDEX(Pflanzen!$W$5:$W$104,'Nährstoffe und Lagerraum'!$AX113)</f>
        <v>0</v>
      </c>
      <c r="BA113" s="157">
        <f>INDEX(Pflanzen!$X$5:$X$104,'Nährstoffe und Lagerraum'!$AX113)</f>
        <v>0</v>
      </c>
      <c r="BB113" s="157">
        <f>INDEX(Pflanzen!$Y$5:$Y$104,'Nährstoffe und Lagerraum'!$AX113)</f>
        <v>0</v>
      </c>
      <c r="BC113" s="157">
        <f>INDEX(Pflanzen!$N$5:$N$104,'Nährstoffe und Lagerraum'!$AX113)</f>
        <v>0</v>
      </c>
      <c r="BD113" s="157">
        <f>INDEX(Pflanzen!$P$5:$P$104,'Nährstoffe und Lagerraum'!$AX113)</f>
        <v>0</v>
      </c>
      <c r="BE113" s="157">
        <f>INDEX(Pflanzen!$AE$5:$AE$104,'Nährstoffe und Lagerraum'!$AX113)</f>
        <v>0</v>
      </c>
      <c r="BF113" s="827"/>
      <c r="BG113" s="212"/>
      <c r="BH113" s="212"/>
      <c r="BI113" s="157">
        <f>INDEX(Pflanzen!$R$5:$R104,'Nährstoffe und Lagerraum'!$AX113)</f>
        <v>0</v>
      </c>
      <c r="BJ113" s="207">
        <f>+BI113*D113</f>
        <v>0</v>
      </c>
      <c r="BK113" s="207"/>
      <c r="BL113" s="659"/>
      <c r="BN113" s="207"/>
      <c r="BO113" s="157">
        <f>INDEX(Pflanzen!$AF$5:$AF$104,'Nährstoffe und Lagerraum'!$AX113)</f>
        <v>0</v>
      </c>
      <c r="BP113" s="216">
        <f>+BO113*U113</f>
        <v>0</v>
      </c>
      <c r="BQ113" s="207"/>
      <c r="BR113" s="207"/>
      <c r="BS113" s="207"/>
      <c r="BT113" s="207"/>
      <c r="BU113" s="207"/>
      <c r="BV113" s="207"/>
      <c r="BW113" s="207"/>
      <c r="BX113" s="157"/>
      <c r="BY113" s="157"/>
      <c r="BZ113" s="157"/>
      <c r="CA113" s="157"/>
      <c r="CB113" s="157"/>
      <c r="CC113" s="157"/>
      <c r="CD113" s="157"/>
      <c r="CE113" s="157"/>
      <c r="CF113" s="2121"/>
      <c r="CG113" s="2121"/>
      <c r="CH113" s="2121"/>
      <c r="CI113" s="157"/>
      <c r="CJ113" s="157"/>
      <c r="CK113" s="157"/>
      <c r="CL113" s="2121"/>
      <c r="CM113" s="2121"/>
      <c r="CN113" s="2121"/>
      <c r="CO113" s="157"/>
      <c r="CP113" s="185"/>
      <c r="CQ113" s="185"/>
      <c r="CR113" s="185"/>
      <c r="CS113" s="212"/>
      <c r="CT113" s="157"/>
      <c r="CU113" s="157"/>
      <c r="CV113" s="157"/>
      <c r="CW113" s="191"/>
      <c r="CX113" s="191"/>
      <c r="CY113" s="191"/>
      <c r="CZ113" s="191"/>
      <c r="DA113" s="191"/>
      <c r="DB113" s="157"/>
      <c r="DC113" s="157"/>
      <c r="DD113" s="157"/>
      <c r="DE113" s="157"/>
      <c r="DF113" s="157"/>
      <c r="DG113" s="157"/>
      <c r="DH113" s="157"/>
      <c r="DI113" s="157"/>
      <c r="DJ113" s="157"/>
      <c r="DK113" s="157"/>
      <c r="DL113" s="157"/>
      <c r="DM113" s="157"/>
      <c r="DN113" s="157"/>
      <c r="DO113" s="157"/>
      <c r="DP113" s="157"/>
      <c r="DQ113" s="157"/>
      <c r="DR113" s="157"/>
      <c r="DS113" s="185"/>
      <c r="DT113" s="185"/>
      <c r="DU113" s="185"/>
      <c r="DV113" s="185"/>
      <c r="DW113" s="185"/>
      <c r="DX113" s="2175"/>
      <c r="DY113" s="185"/>
      <c r="DZ113" s="185"/>
      <c r="EA113" s="185"/>
      <c r="EB113" s="185"/>
      <c r="EC113" s="185"/>
      <c r="ED113" s="185"/>
      <c r="EE113" s="185"/>
      <c r="EF113" s="185"/>
      <c r="EG113" s="185"/>
      <c r="EH113" s="185"/>
      <c r="EI113" s="185"/>
      <c r="EJ113" s="185"/>
      <c r="EK113" s="185"/>
      <c r="EL113" s="207"/>
      <c r="EM113" s="207"/>
      <c r="EN113" s="157"/>
      <c r="EO113" s="157"/>
      <c r="EP113" s="157"/>
      <c r="EQ113" s="157"/>
      <c r="ER113" s="157"/>
      <c r="ES113" s="157"/>
      <c r="ET113" s="15"/>
      <c r="EU113" s="15"/>
      <c r="EV113" s="14"/>
      <c r="EW113" s="14"/>
      <c r="EX113" s="15"/>
      <c r="EY113" s="15"/>
      <c r="EZ113" s="15"/>
      <c r="FA113" s="15"/>
      <c r="FB113" s="15"/>
      <c r="FC113" s="15"/>
      <c r="FD113" s="15"/>
      <c r="FE113" s="15"/>
    </row>
    <row r="114" spans="1:161" ht="15.75" customHeight="1" x14ac:dyDescent="0.25">
      <c r="A114" s="431"/>
      <c r="B114" s="429"/>
      <c r="C114" s="437"/>
      <c r="D114" s="1520"/>
      <c r="E114" s="1521"/>
      <c r="F114" s="1421">
        <f t="shared" ref="F114:F130" si="154">IF(E114&gt;1,E114,AY114)</f>
        <v>0</v>
      </c>
      <c r="G114" s="1422">
        <f t="shared" ref="G114:G130" si="155">+BC114*100</f>
        <v>0</v>
      </c>
      <c r="H114" s="1423">
        <f>BD114</f>
        <v>0</v>
      </c>
      <c r="I114" s="1422">
        <f t="shared" ref="I114:I130" si="156">+BE114*100</f>
        <v>0</v>
      </c>
      <c r="J114" s="1424">
        <f t="shared" ref="J114:J130" si="157">IF(AY114=0,,AZ114*F114/AY114)</f>
        <v>0</v>
      </c>
      <c r="K114" s="2338">
        <f t="shared" ref="K114:K130" si="158">IF(AY114=0,,BA114*F114/AY114)</f>
        <v>0</v>
      </c>
      <c r="L114" s="2338"/>
      <c r="M114" s="1425">
        <f t="shared" ref="M114:M130" si="159">IF(AY114=0,,BB114*F114/AY114)</f>
        <v>0</v>
      </c>
      <c r="N114" s="281"/>
      <c r="Q114" s="277">
        <f>+D114*F114/100*G114/100*H114/1000</f>
        <v>0</v>
      </c>
      <c r="R114" s="279">
        <f>+Q114*I114/100</f>
        <v>0</v>
      </c>
      <c r="S114" s="278">
        <f>+D114*F114/100</f>
        <v>0</v>
      </c>
      <c r="T114" s="278">
        <f>+D114-S114</f>
        <v>0</v>
      </c>
      <c r="U114" s="279">
        <f>+J114*$D114/1000</f>
        <v>0</v>
      </c>
      <c r="V114" s="279">
        <f>K114*$D114/1000</f>
        <v>0</v>
      </c>
      <c r="W114" s="280">
        <f>M114*$D114/1000</f>
        <v>0</v>
      </c>
      <c r="X114" s="283"/>
      <c r="Y114" s="283">
        <f>+D114*F114/100*G114/100</f>
        <v>0</v>
      </c>
      <c r="Z114" s="281">
        <f>IF(D114=0,0,Y114*H114/D114)</f>
        <v>0</v>
      </c>
      <c r="AA114" s="281">
        <f>D114*Z114*I114/100/22.26*0.01605</f>
        <v>0</v>
      </c>
      <c r="AB114" s="283">
        <f>D114*Z114*(1-I114/100)/22.26*0.04401</f>
        <v>0</v>
      </c>
      <c r="AC114" s="283">
        <f>+AA114+AB114</f>
        <v>0</v>
      </c>
      <c r="AD114" s="146">
        <f>+H114/887*100</f>
        <v>0</v>
      </c>
      <c r="AE114" s="146">
        <f>15.44*AD114/100</f>
        <v>0</v>
      </c>
      <c r="AF114" s="283">
        <f>+AC114-AG114</f>
        <v>0</v>
      </c>
      <c r="AG114" s="283">
        <f>+AC114*AE114/100</f>
        <v>0</v>
      </c>
      <c r="AH114" s="283" t="e">
        <f>+(D114*F114/100-AF114)/(D114-AC114)*100</f>
        <v>#DIV/0!</v>
      </c>
      <c r="AJ114" s="283"/>
      <c r="AK114" s="283"/>
      <c r="AL114" s="281">
        <f t="shared" ref="AL114:AL130" si="160">IF($AW114=1,0,S114)</f>
        <v>0</v>
      </c>
      <c r="AM114" s="281">
        <f t="shared" ref="AM114:AM130" si="161">IF($AW114=1,0,T114)</f>
        <v>0</v>
      </c>
      <c r="AN114" s="281">
        <f t="shared" ref="AN114:AN130" si="162">IF($AW114=1,0,U114)</f>
        <v>0</v>
      </c>
      <c r="AO114" s="281">
        <f t="shared" ref="AO114:AO130" si="163">IF($AW114=1,0,V114)</f>
        <v>0</v>
      </c>
      <c r="AP114" s="281">
        <f t="shared" ref="AP114:AP130" si="164">IF($AW114=1,0,W114)</f>
        <v>0</v>
      </c>
      <c r="AQ114" s="281">
        <f t="shared" si="153"/>
        <v>0</v>
      </c>
      <c r="AR114" s="281">
        <f t="shared" si="153"/>
        <v>0</v>
      </c>
      <c r="AS114" s="281">
        <f t="shared" si="153"/>
        <v>0</v>
      </c>
      <c r="AT114" s="281">
        <f t="shared" si="153"/>
        <v>0</v>
      </c>
      <c r="AU114" s="281">
        <f t="shared" si="153"/>
        <v>0</v>
      </c>
      <c r="AV114" s="829"/>
      <c r="AW114" s="391">
        <f>INDEX(Pflanzen!$AA$5:$AA$104,'Nährstoffe und Lagerraum'!$AX114)</f>
        <v>0</v>
      </c>
      <c r="AX114" s="157">
        <v>1</v>
      </c>
      <c r="AY114" s="157">
        <f>INDEX(Pflanzen!$I$5:$I$104,'Nährstoffe und Lagerraum'!$AX114)</f>
        <v>0</v>
      </c>
      <c r="AZ114" s="1852">
        <f>INDEX(Pflanzen!$W$5:$W$104,'Nährstoffe und Lagerraum'!$AX114)</f>
        <v>0</v>
      </c>
      <c r="BA114" s="157">
        <f>INDEX(Pflanzen!$X$5:$X$104,'Nährstoffe und Lagerraum'!$AX114)</f>
        <v>0</v>
      </c>
      <c r="BB114" s="157">
        <f>INDEX(Pflanzen!$Y$5:$Y$104,'Nährstoffe und Lagerraum'!$AX114)</f>
        <v>0</v>
      </c>
      <c r="BC114" s="157">
        <f>INDEX(Pflanzen!$N$5:$N$104,'Nährstoffe und Lagerraum'!$AX114)</f>
        <v>0</v>
      </c>
      <c r="BD114" s="157">
        <f>INDEX(Pflanzen!$P$5:$P$104,'Nährstoffe und Lagerraum'!$AX114)</f>
        <v>0</v>
      </c>
      <c r="BE114" s="157">
        <f>INDEX(Pflanzen!$AE$5:$AE$104,'Nährstoffe und Lagerraum'!$AX114)</f>
        <v>0</v>
      </c>
      <c r="BF114" s="827"/>
      <c r="BG114" s="212"/>
      <c r="BH114" s="212"/>
      <c r="BI114" s="157">
        <f>INDEX(Pflanzen!$R$5:$R105,'Nährstoffe und Lagerraum'!$AX114)</f>
        <v>0</v>
      </c>
      <c r="BJ114" s="207">
        <f>+BI114*D114</f>
        <v>0</v>
      </c>
      <c r="BK114" s="207"/>
      <c r="BL114" s="659"/>
      <c r="BN114" s="207"/>
      <c r="BO114" s="157">
        <f>INDEX(Pflanzen!$AF$5:$AF$104,'Nährstoffe und Lagerraum'!$AX114)</f>
        <v>0</v>
      </c>
      <c r="BP114" s="216">
        <f t="shared" ref="BP114:BP130" si="165">+BO114*U114</f>
        <v>0</v>
      </c>
      <c r="BQ114" s="207"/>
      <c r="BR114" s="207"/>
      <c r="BS114" s="207"/>
      <c r="BT114" s="207"/>
      <c r="BU114" s="207"/>
      <c r="BV114" s="207"/>
      <c r="BW114" s="207"/>
      <c r="BX114" s="157"/>
      <c r="BY114" s="157"/>
      <c r="BZ114" s="157"/>
      <c r="CA114" s="157"/>
      <c r="CB114" s="157"/>
      <c r="CC114" s="157"/>
      <c r="CD114" s="157"/>
      <c r="CE114" s="157"/>
      <c r="CF114" s="2121"/>
      <c r="CG114" s="2121"/>
      <c r="CH114" s="2121"/>
      <c r="CI114" s="157"/>
      <c r="CJ114" s="157"/>
      <c r="CK114" s="157"/>
      <c r="CL114" s="2121"/>
      <c r="CM114" s="2121"/>
      <c r="CN114" s="2121"/>
      <c r="CO114" s="157"/>
      <c r="CP114" s="185"/>
      <c r="CQ114" s="185"/>
      <c r="CR114" s="185"/>
      <c r="CS114" s="212"/>
      <c r="CT114" s="157"/>
      <c r="CU114" s="157"/>
      <c r="CV114" s="157"/>
      <c r="CW114" s="191"/>
      <c r="CX114" s="191"/>
      <c r="CY114" s="191"/>
      <c r="CZ114" s="191"/>
      <c r="DA114" s="191"/>
      <c r="DB114" s="157"/>
      <c r="DC114" s="157"/>
      <c r="DD114" s="157"/>
      <c r="DE114" s="157"/>
      <c r="DF114" s="157"/>
      <c r="DG114" s="157"/>
      <c r="DH114" s="157"/>
      <c r="DI114" s="157"/>
      <c r="DJ114" s="157"/>
      <c r="DK114" s="157"/>
      <c r="DL114" s="157"/>
      <c r="DM114" s="157"/>
      <c r="DN114" s="157"/>
      <c r="DO114" s="157"/>
      <c r="DP114" s="157"/>
      <c r="DQ114" s="157"/>
      <c r="DR114" s="157"/>
      <c r="DS114" s="185"/>
      <c r="DT114" s="185"/>
      <c r="DU114" s="185"/>
      <c r="DV114" s="185"/>
      <c r="DW114" s="185"/>
      <c r="DX114" s="2175"/>
      <c r="DY114" s="185"/>
      <c r="DZ114" s="185"/>
      <c r="EA114" s="185"/>
      <c r="EB114" s="185"/>
      <c r="EC114" s="185"/>
      <c r="ED114" s="185"/>
      <c r="EE114" s="185"/>
      <c r="EF114" s="185"/>
      <c r="EG114" s="185"/>
      <c r="EH114" s="185"/>
      <c r="EI114" s="185"/>
      <c r="EJ114" s="185"/>
      <c r="EK114" s="185"/>
      <c r="EL114" s="207"/>
      <c r="EM114" s="207"/>
      <c r="EN114" s="157"/>
      <c r="EO114" s="157"/>
      <c r="EP114" s="157"/>
      <c r="EQ114" s="157"/>
      <c r="ER114" s="157"/>
      <c r="ES114" s="157"/>
      <c r="ET114" s="15"/>
      <c r="EU114" s="15"/>
      <c r="EV114" s="14"/>
      <c r="EW114" s="14"/>
      <c r="EX114" s="15"/>
      <c r="EY114" s="15"/>
      <c r="EZ114" s="15"/>
      <c r="FA114" s="15"/>
      <c r="FB114" s="15"/>
      <c r="FC114" s="15"/>
      <c r="FD114" s="15"/>
      <c r="FE114" s="15"/>
    </row>
    <row r="115" spans="1:161" ht="15.75" customHeight="1" x14ac:dyDescent="0.25">
      <c r="A115" s="431"/>
      <c r="B115" s="429"/>
      <c r="C115" s="437"/>
      <c r="D115" s="1520"/>
      <c r="E115" s="1521"/>
      <c r="F115" s="1421">
        <f t="shared" si="154"/>
        <v>0</v>
      </c>
      <c r="G115" s="1422">
        <f t="shared" si="155"/>
        <v>0</v>
      </c>
      <c r="H115" s="1423">
        <f t="shared" ref="H115:H130" si="166">BD115</f>
        <v>0</v>
      </c>
      <c r="I115" s="1422">
        <f t="shared" si="156"/>
        <v>0</v>
      </c>
      <c r="J115" s="1424">
        <f t="shared" si="157"/>
        <v>0</v>
      </c>
      <c r="K115" s="2338">
        <f t="shared" si="158"/>
        <v>0</v>
      </c>
      <c r="L115" s="2338"/>
      <c r="M115" s="1425">
        <f t="shared" si="159"/>
        <v>0</v>
      </c>
      <c r="N115" s="281"/>
      <c r="Q115" s="277">
        <f>+D115*F115/100*G115/100*H115/1000</f>
        <v>0</v>
      </c>
      <c r="R115" s="279">
        <f>+Q115*I115/100</f>
        <v>0</v>
      </c>
      <c r="S115" s="278">
        <f>+D115*F115/100</f>
        <v>0</v>
      </c>
      <c r="T115" s="278">
        <f>+D115-S115</f>
        <v>0</v>
      </c>
      <c r="U115" s="279">
        <f>+J115*$D115/1000</f>
        <v>0</v>
      </c>
      <c r="V115" s="279">
        <f>K115*$D115/1000</f>
        <v>0</v>
      </c>
      <c r="W115" s="280">
        <f>M115*$D115/1000</f>
        <v>0</v>
      </c>
      <c r="X115" s="283"/>
      <c r="Y115" s="283">
        <f>+D115*F115/100*G115/100</f>
        <v>0</v>
      </c>
      <c r="Z115" s="281">
        <f>IF(D115=0,0,Y115*H115/D115)</f>
        <v>0</v>
      </c>
      <c r="AA115" s="281">
        <f>D115*Z115*I115/100/22.26*0.01605</f>
        <v>0</v>
      </c>
      <c r="AB115" s="283">
        <f>D115*Z115*(1-I115/100)/22.26*0.04401</f>
        <v>0</v>
      </c>
      <c r="AC115" s="283">
        <f>+AA115+AB115</f>
        <v>0</v>
      </c>
      <c r="AD115" s="146">
        <f>+H115/887*100</f>
        <v>0</v>
      </c>
      <c r="AE115" s="146">
        <f>15.44*AD115/100</f>
        <v>0</v>
      </c>
      <c r="AF115" s="283">
        <f>+AC115-AG115</f>
        <v>0</v>
      </c>
      <c r="AG115" s="283">
        <f>+AC115*AE115/100</f>
        <v>0</v>
      </c>
      <c r="AH115" s="283" t="e">
        <f>+(D115*F115/100-AF115)/(D115-AC115)*100</f>
        <v>#DIV/0!</v>
      </c>
      <c r="AJ115" s="283"/>
      <c r="AK115" s="283"/>
      <c r="AL115" s="281">
        <f t="shared" si="160"/>
        <v>0</v>
      </c>
      <c r="AM115" s="281">
        <f t="shared" si="161"/>
        <v>0</v>
      </c>
      <c r="AN115" s="281">
        <f t="shared" si="162"/>
        <v>0</v>
      </c>
      <c r="AO115" s="281">
        <f t="shared" si="163"/>
        <v>0</v>
      </c>
      <c r="AP115" s="281">
        <f t="shared" si="164"/>
        <v>0</v>
      </c>
      <c r="AQ115" s="281">
        <f t="shared" si="153"/>
        <v>0</v>
      </c>
      <c r="AR115" s="281">
        <f t="shared" si="153"/>
        <v>0</v>
      </c>
      <c r="AS115" s="281">
        <f t="shared" si="153"/>
        <v>0</v>
      </c>
      <c r="AT115" s="281">
        <f t="shared" si="153"/>
        <v>0</v>
      </c>
      <c r="AU115" s="281">
        <f t="shared" si="153"/>
        <v>0</v>
      </c>
      <c r="AV115" s="829"/>
      <c r="AW115" s="391">
        <f>INDEX(Pflanzen!$AA$5:$AA$104,'Nährstoffe und Lagerraum'!$AX115)</f>
        <v>0</v>
      </c>
      <c r="AX115" s="157">
        <v>1</v>
      </c>
      <c r="AY115" s="157">
        <f>INDEX(Pflanzen!$I$5:$I$104,'Nährstoffe und Lagerraum'!$AX115)</f>
        <v>0</v>
      </c>
      <c r="AZ115" s="1852">
        <f>INDEX(Pflanzen!$W$5:$W$104,'Nährstoffe und Lagerraum'!$AX115)</f>
        <v>0</v>
      </c>
      <c r="BA115" s="157">
        <f>INDEX(Pflanzen!$X$5:$X$104,'Nährstoffe und Lagerraum'!$AX115)</f>
        <v>0</v>
      </c>
      <c r="BB115" s="157">
        <f>INDEX(Pflanzen!$Y$5:$Y$104,'Nährstoffe und Lagerraum'!$AX115)</f>
        <v>0</v>
      </c>
      <c r="BC115" s="157">
        <f>INDEX(Pflanzen!$N$5:$N$104,'Nährstoffe und Lagerraum'!$AX115)</f>
        <v>0</v>
      </c>
      <c r="BD115" s="157">
        <f>INDEX(Pflanzen!$P$5:$P$104,'Nährstoffe und Lagerraum'!$AX115)</f>
        <v>0</v>
      </c>
      <c r="BE115" s="157">
        <f>INDEX(Pflanzen!$AE$5:$AE$104,'Nährstoffe und Lagerraum'!$AX115)</f>
        <v>0</v>
      </c>
      <c r="BF115" s="827"/>
      <c r="BG115" s="212"/>
      <c r="BH115" s="212"/>
      <c r="BI115" s="157">
        <f>INDEX(Pflanzen!$R$5:$R106,'Nährstoffe und Lagerraum'!$AX115)</f>
        <v>0</v>
      </c>
      <c r="BJ115" s="207">
        <f>+BI115*D115</f>
        <v>0</v>
      </c>
      <c r="BK115" s="207"/>
      <c r="BL115" s="659"/>
      <c r="BN115" s="207"/>
      <c r="BO115" s="157">
        <f>INDEX(Pflanzen!$AF$5:$AF$104,'Nährstoffe und Lagerraum'!$AX115)</f>
        <v>0</v>
      </c>
      <c r="BP115" s="216">
        <f t="shared" si="165"/>
        <v>0</v>
      </c>
      <c r="BQ115" s="207"/>
      <c r="BR115" s="207"/>
      <c r="BS115" s="207"/>
      <c r="BT115" s="207"/>
      <c r="BU115" s="207"/>
      <c r="BV115" s="207"/>
      <c r="BW115" s="207"/>
      <c r="BX115" s="157"/>
      <c r="BY115" s="157"/>
      <c r="BZ115" s="157"/>
      <c r="CA115" s="157"/>
      <c r="CB115" s="157"/>
      <c r="CC115" s="157"/>
      <c r="CD115" s="157"/>
      <c r="CE115" s="157"/>
      <c r="CF115" s="2121"/>
      <c r="CG115" s="2121"/>
      <c r="CH115" s="2121"/>
      <c r="CI115" s="157"/>
      <c r="CJ115" s="157"/>
      <c r="CK115" s="157"/>
      <c r="CL115" s="2121"/>
      <c r="CM115" s="2121"/>
      <c r="CN115" s="2121"/>
      <c r="CO115" s="157"/>
      <c r="CP115" s="185"/>
      <c r="CQ115" s="185"/>
      <c r="CR115" s="185"/>
      <c r="CS115" s="212"/>
      <c r="CT115" s="157"/>
      <c r="CU115" s="157"/>
      <c r="CV115" s="157"/>
      <c r="CW115" s="191"/>
      <c r="CX115" s="191"/>
      <c r="CY115" s="191"/>
      <c r="CZ115" s="191"/>
      <c r="DA115" s="191"/>
      <c r="DB115" s="157"/>
      <c r="DC115" s="157"/>
      <c r="DD115" s="157"/>
      <c r="DE115" s="157"/>
      <c r="DF115" s="157"/>
      <c r="DG115" s="157"/>
      <c r="DH115" s="157"/>
      <c r="DI115" s="157"/>
      <c r="DJ115" s="157"/>
      <c r="DK115" s="157"/>
      <c r="DL115" s="157"/>
      <c r="DM115" s="157"/>
      <c r="DN115" s="157"/>
      <c r="DO115" s="157"/>
      <c r="DP115" s="157"/>
      <c r="DQ115" s="157"/>
      <c r="DR115" s="157"/>
      <c r="DS115" s="185"/>
      <c r="DT115" s="185"/>
      <c r="DU115" s="185"/>
      <c r="DV115" s="185"/>
      <c r="DW115" s="185"/>
      <c r="DX115" s="2175"/>
      <c r="DY115" s="185"/>
      <c r="DZ115" s="185"/>
      <c r="EA115" s="185"/>
      <c r="EB115" s="185"/>
      <c r="EC115" s="185"/>
      <c r="ED115" s="185"/>
      <c r="EE115" s="185"/>
      <c r="EF115" s="185"/>
      <c r="EG115" s="185"/>
      <c r="EH115" s="185"/>
      <c r="EI115" s="185"/>
      <c r="EJ115" s="185"/>
      <c r="EK115" s="185"/>
      <c r="EL115" s="207"/>
      <c r="EM115" s="207"/>
      <c r="EN115" s="157"/>
      <c r="EO115" s="157"/>
      <c r="EP115" s="157"/>
      <c r="EQ115" s="157"/>
      <c r="ER115" s="157"/>
      <c r="ES115" s="157"/>
      <c r="ET115" s="15"/>
      <c r="EU115" s="15"/>
      <c r="EV115" s="14"/>
      <c r="EW115" s="14"/>
      <c r="EX115" s="15"/>
      <c r="EY115" s="15"/>
      <c r="EZ115" s="15"/>
      <c r="FA115" s="15"/>
      <c r="FB115" s="15"/>
      <c r="FC115" s="15"/>
      <c r="FD115" s="15"/>
      <c r="FE115" s="15"/>
    </row>
    <row r="116" spans="1:161" ht="15.75" customHeight="1" x14ac:dyDescent="0.25">
      <c r="A116" s="431"/>
      <c r="B116" s="429"/>
      <c r="C116" s="437"/>
      <c r="D116" s="1520"/>
      <c r="E116" s="1521"/>
      <c r="F116" s="1421">
        <f t="shared" si="154"/>
        <v>0</v>
      </c>
      <c r="G116" s="1422">
        <f>+BC116*100</f>
        <v>0</v>
      </c>
      <c r="H116" s="1423">
        <f t="shared" si="166"/>
        <v>0</v>
      </c>
      <c r="I116" s="1422">
        <f t="shared" si="156"/>
        <v>0</v>
      </c>
      <c r="J116" s="1424">
        <f t="shared" si="157"/>
        <v>0</v>
      </c>
      <c r="K116" s="2338">
        <f t="shared" si="158"/>
        <v>0</v>
      </c>
      <c r="L116" s="2338"/>
      <c r="M116" s="1425">
        <f t="shared" si="159"/>
        <v>0</v>
      </c>
      <c r="N116" s="281"/>
      <c r="Q116" s="277">
        <f t="shared" ref="Q116:Q130" si="167">+D116*F116/100*G116/100*H116/1000</f>
        <v>0</v>
      </c>
      <c r="R116" s="279">
        <f t="shared" ref="R116:R130" si="168">+Q116*I116/100</f>
        <v>0</v>
      </c>
      <c r="S116" s="278">
        <f t="shared" ref="S116:S130" si="169">+D116*F116/100</f>
        <v>0</v>
      </c>
      <c r="T116" s="278">
        <f t="shared" ref="T116:T130" si="170">+D116-S116</f>
        <v>0</v>
      </c>
      <c r="U116" s="279">
        <f t="shared" ref="U116:U130" si="171">+J116*$D116/1000</f>
        <v>0</v>
      </c>
      <c r="V116" s="279">
        <f t="shared" ref="V116:V130" si="172">K116*$D116/1000</f>
        <v>0</v>
      </c>
      <c r="W116" s="280">
        <f t="shared" ref="W116:W130" si="173">M116*$D116/1000</f>
        <v>0</v>
      </c>
      <c r="X116" s="283"/>
      <c r="Y116" s="283">
        <f t="shared" ref="Y116:Y130" si="174">+D116*F116/100*G116/100</f>
        <v>0</v>
      </c>
      <c r="Z116" s="281">
        <f t="shared" ref="Z116:Z130" si="175">IF(D116=0,0,Y116*H116/D116)</f>
        <v>0</v>
      </c>
      <c r="AA116" s="281">
        <f t="shared" ref="AA116:AA130" si="176">D116*Z116*I116/100/22.26*0.01605</f>
        <v>0</v>
      </c>
      <c r="AB116" s="283">
        <f t="shared" ref="AB116:AB130" si="177">D116*Z116*(1-I116/100)/22.26*0.04401</f>
        <v>0</v>
      </c>
      <c r="AC116" s="283">
        <f t="shared" ref="AC116:AC130" si="178">+AA116+AB116</f>
        <v>0</v>
      </c>
      <c r="AD116" s="146">
        <f t="shared" ref="AD116:AD130" si="179">+H116/887*100</f>
        <v>0</v>
      </c>
      <c r="AE116" s="146">
        <f t="shared" ref="AE116:AE130" si="180">15.44*AD116/100</f>
        <v>0</v>
      </c>
      <c r="AF116" s="283">
        <f t="shared" ref="AF116:AF130" si="181">+AC116-AG116</f>
        <v>0</v>
      </c>
      <c r="AG116" s="283">
        <f t="shared" ref="AG116:AG130" si="182">+AC116*AE116/100</f>
        <v>0</v>
      </c>
      <c r="AH116" s="283" t="e">
        <f t="shared" ref="AH116:AH130" si="183">+(D116*F116/100-AF116)/(D116-AC116)*100</f>
        <v>#DIV/0!</v>
      </c>
      <c r="AJ116" s="283"/>
      <c r="AK116" s="283"/>
      <c r="AL116" s="281">
        <f t="shared" si="160"/>
        <v>0</v>
      </c>
      <c r="AM116" s="281">
        <f t="shared" si="161"/>
        <v>0</v>
      </c>
      <c r="AN116" s="281">
        <f t="shared" si="162"/>
        <v>0</v>
      </c>
      <c r="AO116" s="281">
        <f t="shared" si="163"/>
        <v>0</v>
      </c>
      <c r="AP116" s="281">
        <f t="shared" si="164"/>
        <v>0</v>
      </c>
      <c r="AQ116" s="281">
        <f t="shared" ref="AQ116:AQ130" si="184">+S116-AL116</f>
        <v>0</v>
      </c>
      <c r="AR116" s="281">
        <f t="shared" ref="AR116:AR130" si="185">+T116-AM116</f>
        <v>0</v>
      </c>
      <c r="AS116" s="281">
        <f t="shared" ref="AS116:AS130" si="186">+U116-AN116</f>
        <v>0</v>
      </c>
      <c r="AT116" s="281">
        <f t="shared" ref="AT116:AT130" si="187">+V116-AO116</f>
        <v>0</v>
      </c>
      <c r="AU116" s="281">
        <f t="shared" ref="AU116:AU130" si="188">+W116-AP116</f>
        <v>0</v>
      </c>
      <c r="AV116" s="829"/>
      <c r="AW116" s="391">
        <f>INDEX(Pflanzen!$AA$5:$AA$104,'Nährstoffe und Lagerraum'!$AX116)</f>
        <v>0</v>
      </c>
      <c r="AX116" s="157">
        <v>1</v>
      </c>
      <c r="AY116" s="157">
        <f>INDEX(Pflanzen!$I$5:$I$104,'Nährstoffe und Lagerraum'!$AX116)</f>
        <v>0</v>
      </c>
      <c r="AZ116" s="1852">
        <f>INDEX(Pflanzen!$W$5:$W$104,'Nährstoffe und Lagerraum'!$AX116)</f>
        <v>0</v>
      </c>
      <c r="BA116" s="157">
        <f>INDEX(Pflanzen!$X$5:$X$104,'Nährstoffe und Lagerraum'!$AX116)</f>
        <v>0</v>
      </c>
      <c r="BB116" s="157">
        <f>INDEX(Pflanzen!$Y$5:$Y$104,'Nährstoffe und Lagerraum'!$AX116)</f>
        <v>0</v>
      </c>
      <c r="BC116" s="157">
        <f>INDEX(Pflanzen!$N$5:$N$104,'Nährstoffe und Lagerraum'!$AX116)</f>
        <v>0</v>
      </c>
      <c r="BD116" s="157">
        <f>INDEX(Pflanzen!$P$5:$P$104,'Nährstoffe und Lagerraum'!$AX116)</f>
        <v>0</v>
      </c>
      <c r="BE116" s="157">
        <f>INDEX(Pflanzen!$AE$5:$AE$104,'Nährstoffe und Lagerraum'!$AX116)</f>
        <v>0</v>
      </c>
      <c r="BF116" s="827"/>
      <c r="BG116" s="212"/>
      <c r="BH116" s="212"/>
      <c r="BI116" s="157">
        <f>INDEX(Pflanzen!$R$5:$R107,'Nährstoffe und Lagerraum'!$AX116)</f>
        <v>0</v>
      </c>
      <c r="BJ116" s="207">
        <f t="shared" ref="BJ116:BJ130" si="189">+BI116*D116</f>
        <v>0</v>
      </c>
      <c r="BK116" s="207"/>
      <c r="BL116" s="659"/>
      <c r="BN116" s="207"/>
      <c r="BO116" s="157">
        <f>INDEX(Pflanzen!$AF$5:$AF$104,'Nährstoffe und Lagerraum'!$AX116)</f>
        <v>0</v>
      </c>
      <c r="BP116" s="216">
        <f t="shared" si="165"/>
        <v>0</v>
      </c>
      <c r="BQ116" s="207"/>
      <c r="BR116" s="207"/>
      <c r="BS116" s="207"/>
      <c r="BT116" s="207"/>
      <c r="BU116" s="207"/>
      <c r="BV116" s="207"/>
      <c r="BW116" s="207"/>
      <c r="BX116" s="157"/>
      <c r="BY116" s="157"/>
      <c r="BZ116" s="157"/>
      <c r="CA116" s="157"/>
      <c r="CB116" s="157"/>
      <c r="CC116" s="157"/>
      <c r="CD116" s="157"/>
      <c r="CE116" s="157"/>
      <c r="CF116" s="2121"/>
      <c r="CG116" s="2121"/>
      <c r="CH116" s="2121"/>
      <c r="CI116" s="157"/>
      <c r="CJ116" s="157"/>
      <c r="CK116" s="157"/>
      <c r="CL116" s="2121"/>
      <c r="CM116" s="2121"/>
      <c r="CN116" s="2121"/>
      <c r="CO116" s="157"/>
      <c r="CP116" s="185"/>
      <c r="CQ116" s="185"/>
      <c r="CR116" s="185"/>
      <c r="CS116" s="212"/>
      <c r="CT116" s="157"/>
      <c r="CU116" s="157"/>
      <c r="CV116" s="157"/>
      <c r="CW116" s="191"/>
      <c r="CX116" s="191"/>
      <c r="CY116" s="191"/>
      <c r="CZ116" s="191"/>
      <c r="DA116" s="191"/>
      <c r="DB116" s="157"/>
      <c r="DC116" s="157"/>
      <c r="DD116" s="157"/>
      <c r="DE116" s="157"/>
      <c r="DF116" s="157"/>
      <c r="DG116" s="157"/>
      <c r="DH116" s="157"/>
      <c r="DI116" s="157"/>
      <c r="DJ116" s="157"/>
      <c r="DK116" s="157"/>
      <c r="DL116" s="157"/>
      <c r="DM116" s="157"/>
      <c r="DN116" s="157"/>
      <c r="DO116" s="157"/>
      <c r="DP116" s="157"/>
      <c r="DQ116" s="157"/>
      <c r="DR116" s="157"/>
      <c r="DS116" s="185"/>
      <c r="DT116" s="185"/>
      <c r="DU116" s="185"/>
      <c r="DV116" s="185"/>
      <c r="DW116" s="185"/>
      <c r="DX116" s="2175"/>
      <c r="DY116" s="185"/>
      <c r="DZ116" s="185"/>
      <c r="EA116" s="185"/>
      <c r="EB116" s="185"/>
      <c r="EC116" s="185"/>
      <c r="ED116" s="185"/>
      <c r="EE116" s="185"/>
      <c r="EF116" s="185"/>
      <c r="EG116" s="185"/>
      <c r="EH116" s="185"/>
      <c r="EI116" s="185"/>
      <c r="EJ116" s="185"/>
      <c r="EK116" s="185"/>
      <c r="EL116" s="207"/>
      <c r="EM116" s="207"/>
      <c r="EN116" s="157"/>
      <c r="EO116" s="157"/>
      <c r="EP116" s="157"/>
      <c r="EQ116" s="157"/>
      <c r="ER116" s="157"/>
      <c r="ES116" s="157"/>
      <c r="ET116" s="15"/>
      <c r="EU116" s="15"/>
      <c r="EV116" s="14"/>
      <c r="EW116" s="14"/>
      <c r="EX116" s="15"/>
      <c r="EY116" s="15"/>
      <c r="EZ116" s="15"/>
      <c r="FA116" s="15"/>
      <c r="FB116" s="15"/>
      <c r="FC116" s="15"/>
      <c r="FD116" s="15"/>
      <c r="FE116" s="15"/>
    </row>
    <row r="117" spans="1:161" ht="15.75" customHeight="1" x14ac:dyDescent="0.25">
      <c r="A117" s="431"/>
      <c r="B117" s="429"/>
      <c r="C117" s="437"/>
      <c r="D117" s="1520"/>
      <c r="E117" s="1521"/>
      <c r="F117" s="1421">
        <f t="shared" si="154"/>
        <v>0</v>
      </c>
      <c r="G117" s="1422">
        <f>+BC117*100</f>
        <v>0</v>
      </c>
      <c r="H117" s="1423">
        <f t="shared" si="166"/>
        <v>0</v>
      </c>
      <c r="I117" s="1422">
        <f t="shared" si="156"/>
        <v>0</v>
      </c>
      <c r="J117" s="1424">
        <f t="shared" si="157"/>
        <v>0</v>
      </c>
      <c r="K117" s="2338">
        <f t="shared" si="158"/>
        <v>0</v>
      </c>
      <c r="L117" s="2338"/>
      <c r="M117" s="1425">
        <f t="shared" si="159"/>
        <v>0</v>
      </c>
      <c r="N117" s="281"/>
      <c r="Q117" s="277">
        <f t="shared" si="167"/>
        <v>0</v>
      </c>
      <c r="R117" s="279">
        <f t="shared" si="168"/>
        <v>0</v>
      </c>
      <c r="S117" s="278">
        <f t="shared" si="169"/>
        <v>0</v>
      </c>
      <c r="T117" s="278">
        <f t="shared" si="170"/>
        <v>0</v>
      </c>
      <c r="U117" s="279">
        <f t="shared" si="171"/>
        <v>0</v>
      </c>
      <c r="V117" s="279">
        <f t="shared" si="172"/>
        <v>0</v>
      </c>
      <c r="W117" s="280">
        <f t="shared" si="173"/>
        <v>0</v>
      </c>
      <c r="X117" s="283"/>
      <c r="Y117" s="283">
        <f t="shared" si="174"/>
        <v>0</v>
      </c>
      <c r="Z117" s="281">
        <f t="shared" si="175"/>
        <v>0</v>
      </c>
      <c r="AA117" s="281">
        <f t="shared" si="176"/>
        <v>0</v>
      </c>
      <c r="AB117" s="283">
        <f t="shared" si="177"/>
        <v>0</v>
      </c>
      <c r="AC117" s="283">
        <f t="shared" si="178"/>
        <v>0</v>
      </c>
      <c r="AD117" s="146">
        <f t="shared" si="179"/>
        <v>0</v>
      </c>
      <c r="AE117" s="146">
        <f t="shared" si="180"/>
        <v>0</v>
      </c>
      <c r="AF117" s="283">
        <f t="shared" si="181"/>
        <v>0</v>
      </c>
      <c r="AG117" s="283">
        <f t="shared" si="182"/>
        <v>0</v>
      </c>
      <c r="AH117" s="283" t="e">
        <f t="shared" si="183"/>
        <v>#DIV/0!</v>
      </c>
      <c r="AJ117" s="283"/>
      <c r="AK117" s="283"/>
      <c r="AL117" s="281">
        <f t="shared" si="160"/>
        <v>0</v>
      </c>
      <c r="AM117" s="281">
        <f t="shared" si="161"/>
        <v>0</v>
      </c>
      <c r="AN117" s="281">
        <f t="shared" si="162"/>
        <v>0</v>
      </c>
      <c r="AO117" s="281">
        <f t="shared" si="163"/>
        <v>0</v>
      </c>
      <c r="AP117" s="281">
        <f t="shared" si="164"/>
        <v>0</v>
      </c>
      <c r="AQ117" s="281">
        <f t="shared" si="184"/>
        <v>0</v>
      </c>
      <c r="AR117" s="281">
        <f t="shared" si="185"/>
        <v>0</v>
      </c>
      <c r="AS117" s="281">
        <f t="shared" si="186"/>
        <v>0</v>
      </c>
      <c r="AT117" s="281">
        <f t="shared" si="187"/>
        <v>0</v>
      </c>
      <c r="AU117" s="281">
        <f t="shared" si="188"/>
        <v>0</v>
      </c>
      <c r="AV117" s="829"/>
      <c r="AW117" s="391">
        <f>INDEX(Pflanzen!$AA$5:$AA$104,'Nährstoffe und Lagerraum'!$AX117)</f>
        <v>0</v>
      </c>
      <c r="AX117" s="157">
        <v>1</v>
      </c>
      <c r="AY117" s="157">
        <f>INDEX(Pflanzen!$I$5:$I$104,'Nährstoffe und Lagerraum'!$AX117)</f>
        <v>0</v>
      </c>
      <c r="AZ117" s="1852">
        <f>INDEX(Pflanzen!$W$5:$W$104,'Nährstoffe und Lagerraum'!$AX117)</f>
        <v>0</v>
      </c>
      <c r="BA117" s="157">
        <f>INDEX(Pflanzen!$X$5:$X$104,'Nährstoffe und Lagerraum'!$AX117)</f>
        <v>0</v>
      </c>
      <c r="BB117" s="157">
        <f>INDEX(Pflanzen!$Y$5:$Y$104,'Nährstoffe und Lagerraum'!$AX117)</f>
        <v>0</v>
      </c>
      <c r="BC117" s="157">
        <f>INDEX(Pflanzen!$N$5:$N$104,'Nährstoffe und Lagerraum'!$AX117)</f>
        <v>0</v>
      </c>
      <c r="BD117" s="157">
        <f>INDEX(Pflanzen!$P$5:$P$104,'Nährstoffe und Lagerraum'!$AX117)</f>
        <v>0</v>
      </c>
      <c r="BE117" s="157">
        <f>INDEX(Pflanzen!$AE$5:$AE$104,'Nährstoffe und Lagerraum'!$AX117)</f>
        <v>0</v>
      </c>
      <c r="BF117" s="827"/>
      <c r="BG117" s="212"/>
      <c r="BH117" s="212"/>
      <c r="BI117" s="157">
        <f>INDEX(Pflanzen!$R$5:$R108,'Nährstoffe und Lagerraum'!$AX117)</f>
        <v>0</v>
      </c>
      <c r="BJ117" s="207">
        <f t="shared" si="189"/>
        <v>0</v>
      </c>
      <c r="BK117" s="207"/>
      <c r="BL117" s="659"/>
      <c r="BN117" s="207"/>
      <c r="BO117" s="157">
        <f>INDEX(Pflanzen!$AF$5:$AF$104,'Nährstoffe und Lagerraum'!$AX117)</f>
        <v>0</v>
      </c>
      <c r="BP117" s="216">
        <f t="shared" si="165"/>
        <v>0</v>
      </c>
      <c r="BQ117" s="207"/>
      <c r="BR117" s="207"/>
      <c r="BS117" s="207"/>
      <c r="BT117" s="207"/>
      <c r="BU117" s="207"/>
      <c r="BV117" s="207"/>
      <c r="BW117" s="207"/>
      <c r="BX117" s="157"/>
      <c r="BY117" s="157"/>
      <c r="BZ117" s="157"/>
      <c r="CA117" s="157"/>
      <c r="CB117" s="157"/>
      <c r="CC117" s="157"/>
      <c r="CD117" s="157"/>
      <c r="CE117" s="157"/>
      <c r="CF117" s="2121"/>
      <c r="CG117" s="2121"/>
      <c r="CH117" s="2121"/>
      <c r="CI117" s="157"/>
      <c r="CJ117" s="157"/>
      <c r="CK117" s="157"/>
      <c r="CL117" s="2121"/>
      <c r="CM117" s="2121"/>
      <c r="CN117" s="2121"/>
      <c r="CO117" s="157"/>
      <c r="CP117" s="185"/>
      <c r="CQ117" s="185"/>
      <c r="CR117" s="185"/>
      <c r="CS117" s="212"/>
      <c r="CT117" s="157"/>
      <c r="CU117" s="157"/>
      <c r="CV117" s="157"/>
      <c r="CW117" s="191"/>
      <c r="CX117" s="191"/>
      <c r="CY117" s="191"/>
      <c r="CZ117" s="191"/>
      <c r="DA117" s="191"/>
      <c r="DB117" s="157"/>
      <c r="DC117" s="157"/>
      <c r="DD117" s="157"/>
      <c r="DE117" s="157"/>
      <c r="DF117" s="157"/>
      <c r="DG117" s="157"/>
      <c r="DH117" s="157"/>
      <c r="DI117" s="157"/>
      <c r="DJ117" s="157"/>
      <c r="DK117" s="157"/>
      <c r="DL117" s="157"/>
      <c r="DM117" s="157"/>
      <c r="DN117" s="157"/>
      <c r="DO117" s="157"/>
      <c r="DP117" s="157"/>
      <c r="DQ117" s="157"/>
      <c r="DR117" s="157"/>
      <c r="DS117" s="185"/>
      <c r="DT117" s="185"/>
      <c r="DU117" s="185"/>
      <c r="DV117" s="185"/>
      <c r="DW117" s="185"/>
      <c r="DX117" s="2175"/>
      <c r="DY117" s="185"/>
      <c r="DZ117" s="185"/>
      <c r="EA117" s="185"/>
      <c r="EB117" s="185"/>
      <c r="EC117" s="185"/>
      <c r="ED117" s="185"/>
      <c r="EE117" s="185"/>
      <c r="EF117" s="185"/>
      <c r="EG117" s="185"/>
      <c r="EH117" s="185"/>
      <c r="EI117" s="185"/>
      <c r="EJ117" s="185"/>
      <c r="EK117" s="185"/>
      <c r="EL117" s="207"/>
      <c r="EM117" s="207"/>
      <c r="EN117" s="157"/>
      <c r="EO117" s="157"/>
      <c r="EP117" s="157"/>
      <c r="EQ117" s="157"/>
      <c r="ER117" s="157"/>
      <c r="ES117" s="157"/>
      <c r="ET117" s="15"/>
      <c r="EU117" s="15"/>
      <c r="EV117" s="14"/>
      <c r="EW117" s="14"/>
      <c r="EX117" s="15"/>
      <c r="EY117" s="15"/>
      <c r="EZ117" s="15"/>
      <c r="FA117" s="15"/>
      <c r="FB117" s="15"/>
      <c r="FC117" s="15"/>
      <c r="FD117" s="15"/>
      <c r="FE117" s="15"/>
    </row>
    <row r="118" spans="1:161" ht="15.75" customHeight="1" x14ac:dyDescent="0.25">
      <c r="A118" s="431"/>
      <c r="B118" s="429"/>
      <c r="C118" s="437"/>
      <c r="D118" s="1520"/>
      <c r="E118" s="1521"/>
      <c r="F118" s="1421">
        <f t="shared" si="154"/>
        <v>0</v>
      </c>
      <c r="G118" s="1422">
        <f t="shared" si="155"/>
        <v>0</v>
      </c>
      <c r="H118" s="1423">
        <f t="shared" si="166"/>
        <v>0</v>
      </c>
      <c r="I118" s="1422">
        <f t="shared" si="156"/>
        <v>0</v>
      </c>
      <c r="J118" s="1424">
        <f t="shared" si="157"/>
        <v>0</v>
      </c>
      <c r="K118" s="2338">
        <f t="shared" si="158"/>
        <v>0</v>
      </c>
      <c r="L118" s="2338"/>
      <c r="M118" s="1425">
        <f t="shared" si="159"/>
        <v>0</v>
      </c>
      <c r="N118" s="281"/>
      <c r="Q118" s="277">
        <f t="shared" si="167"/>
        <v>0</v>
      </c>
      <c r="R118" s="279">
        <f t="shared" si="168"/>
        <v>0</v>
      </c>
      <c r="S118" s="278">
        <f t="shared" si="169"/>
        <v>0</v>
      </c>
      <c r="T118" s="278">
        <f t="shared" si="170"/>
        <v>0</v>
      </c>
      <c r="U118" s="279">
        <f t="shared" si="171"/>
        <v>0</v>
      </c>
      <c r="V118" s="279">
        <f t="shared" si="172"/>
        <v>0</v>
      </c>
      <c r="W118" s="280">
        <f t="shared" si="173"/>
        <v>0</v>
      </c>
      <c r="X118" s="283"/>
      <c r="Y118" s="283">
        <f t="shared" si="174"/>
        <v>0</v>
      </c>
      <c r="Z118" s="281">
        <f t="shared" si="175"/>
        <v>0</v>
      </c>
      <c r="AA118" s="281">
        <f t="shared" si="176"/>
        <v>0</v>
      </c>
      <c r="AB118" s="283">
        <f t="shared" si="177"/>
        <v>0</v>
      </c>
      <c r="AC118" s="283">
        <f t="shared" si="178"/>
        <v>0</v>
      </c>
      <c r="AD118" s="146">
        <f t="shared" si="179"/>
        <v>0</v>
      </c>
      <c r="AE118" s="146">
        <f t="shared" si="180"/>
        <v>0</v>
      </c>
      <c r="AF118" s="283">
        <f t="shared" si="181"/>
        <v>0</v>
      </c>
      <c r="AG118" s="283">
        <f t="shared" si="182"/>
        <v>0</v>
      </c>
      <c r="AH118" s="283" t="e">
        <f t="shared" si="183"/>
        <v>#DIV/0!</v>
      </c>
      <c r="AJ118" s="283"/>
      <c r="AK118" s="283"/>
      <c r="AL118" s="281">
        <f t="shared" si="160"/>
        <v>0</v>
      </c>
      <c r="AM118" s="281">
        <f t="shared" si="161"/>
        <v>0</v>
      </c>
      <c r="AN118" s="281">
        <f t="shared" si="162"/>
        <v>0</v>
      </c>
      <c r="AO118" s="281">
        <f t="shared" si="163"/>
        <v>0</v>
      </c>
      <c r="AP118" s="281">
        <f t="shared" si="164"/>
        <v>0</v>
      </c>
      <c r="AQ118" s="281">
        <f t="shared" si="184"/>
        <v>0</v>
      </c>
      <c r="AR118" s="281">
        <f t="shared" si="185"/>
        <v>0</v>
      </c>
      <c r="AS118" s="281">
        <f t="shared" si="186"/>
        <v>0</v>
      </c>
      <c r="AT118" s="281">
        <f t="shared" si="187"/>
        <v>0</v>
      </c>
      <c r="AU118" s="281">
        <f t="shared" si="188"/>
        <v>0</v>
      </c>
      <c r="AV118" s="829"/>
      <c r="AW118" s="391">
        <f>INDEX(Pflanzen!$AA$5:$AA$104,'Nährstoffe und Lagerraum'!$AX118)</f>
        <v>0</v>
      </c>
      <c r="AX118" s="157">
        <v>1</v>
      </c>
      <c r="AY118" s="157">
        <f>INDEX(Pflanzen!$I$5:$I$104,'Nährstoffe und Lagerraum'!$AX118)</f>
        <v>0</v>
      </c>
      <c r="AZ118" s="1852">
        <f>INDEX(Pflanzen!$W$5:$W$104,'Nährstoffe und Lagerraum'!$AX118)</f>
        <v>0</v>
      </c>
      <c r="BA118" s="157">
        <f>INDEX(Pflanzen!$X$5:$X$104,'Nährstoffe und Lagerraum'!$AX118)</f>
        <v>0</v>
      </c>
      <c r="BB118" s="157">
        <f>INDEX(Pflanzen!$Y$5:$Y$104,'Nährstoffe und Lagerraum'!$AX118)</f>
        <v>0</v>
      </c>
      <c r="BC118" s="157">
        <f>INDEX(Pflanzen!$N$5:$N$104,'Nährstoffe und Lagerraum'!$AX118)</f>
        <v>0</v>
      </c>
      <c r="BD118" s="157">
        <f>INDEX(Pflanzen!$P$5:$P$104,'Nährstoffe und Lagerraum'!$AX118)</f>
        <v>0</v>
      </c>
      <c r="BE118" s="157">
        <f>INDEX(Pflanzen!$AE$5:$AE$104,'Nährstoffe und Lagerraum'!$AX118)</f>
        <v>0</v>
      </c>
      <c r="BF118" s="827"/>
      <c r="BG118" s="212"/>
      <c r="BH118" s="212"/>
      <c r="BI118" s="157">
        <f>INDEX(Pflanzen!$R$5:$R109,'Nährstoffe und Lagerraum'!$AX118)</f>
        <v>0</v>
      </c>
      <c r="BJ118" s="207">
        <f t="shared" si="189"/>
        <v>0</v>
      </c>
      <c r="BK118" s="207"/>
      <c r="BL118" s="659"/>
      <c r="BN118" s="207"/>
      <c r="BO118" s="157">
        <f>INDEX(Pflanzen!$AF$5:$AF$104,'Nährstoffe und Lagerraum'!$AX118)</f>
        <v>0</v>
      </c>
      <c r="BP118" s="216">
        <f t="shared" si="165"/>
        <v>0</v>
      </c>
      <c r="BQ118" s="207"/>
      <c r="BR118" s="207"/>
      <c r="BS118" s="207"/>
      <c r="BT118" s="207"/>
      <c r="BU118" s="207"/>
      <c r="BV118" s="207"/>
      <c r="BW118" s="207"/>
      <c r="BX118" s="157"/>
      <c r="BY118" s="157"/>
      <c r="BZ118" s="157"/>
      <c r="CA118" s="157"/>
      <c r="CB118" s="157"/>
      <c r="CC118" s="157"/>
      <c r="CD118" s="157"/>
      <c r="CE118" s="157"/>
      <c r="CF118" s="2121"/>
      <c r="CG118" s="2121"/>
      <c r="CH118" s="2121"/>
      <c r="CI118" s="157"/>
      <c r="CJ118" s="157"/>
      <c r="CK118" s="157"/>
      <c r="CL118" s="2121"/>
      <c r="CM118" s="2121"/>
      <c r="CN118" s="2121"/>
      <c r="CO118" s="157"/>
      <c r="CP118" s="185"/>
      <c r="CQ118" s="185"/>
      <c r="CR118" s="185"/>
      <c r="CS118" s="212"/>
      <c r="CT118" s="157"/>
      <c r="CU118" s="157"/>
      <c r="CV118" s="157"/>
      <c r="CW118" s="191"/>
      <c r="CX118" s="191"/>
      <c r="CY118" s="191"/>
      <c r="CZ118" s="191"/>
      <c r="DA118" s="191"/>
      <c r="DB118" s="157"/>
      <c r="DC118" s="157"/>
      <c r="DD118" s="157"/>
      <c r="DE118" s="157"/>
      <c r="DF118" s="157"/>
      <c r="DG118" s="157"/>
      <c r="DH118" s="157"/>
      <c r="DI118" s="157"/>
      <c r="DJ118" s="157"/>
      <c r="DK118" s="157"/>
      <c r="DL118" s="157"/>
      <c r="DM118" s="157"/>
      <c r="DN118" s="157"/>
      <c r="DO118" s="157"/>
      <c r="DP118" s="157"/>
      <c r="DQ118" s="157"/>
      <c r="DR118" s="157"/>
      <c r="DS118" s="185"/>
      <c r="DT118" s="185"/>
      <c r="DU118" s="185"/>
      <c r="DV118" s="185"/>
      <c r="DW118" s="185"/>
      <c r="DX118" s="2175"/>
      <c r="DY118" s="185"/>
      <c r="DZ118" s="185"/>
      <c r="EA118" s="185"/>
      <c r="EB118" s="185"/>
      <c r="EC118" s="185"/>
      <c r="ED118" s="185"/>
      <c r="EE118" s="185"/>
      <c r="EF118" s="185"/>
      <c r="EG118" s="185"/>
      <c r="EH118" s="185"/>
      <c r="EI118" s="185"/>
      <c r="EJ118" s="185"/>
      <c r="EK118" s="185"/>
      <c r="EL118" s="207"/>
      <c r="EM118" s="207"/>
      <c r="EN118" s="157"/>
      <c r="EO118" s="157"/>
      <c r="EP118" s="157"/>
      <c r="EQ118" s="157"/>
      <c r="ER118" s="157"/>
      <c r="ES118" s="157"/>
      <c r="ET118" s="15"/>
      <c r="EU118" s="15"/>
      <c r="EV118" s="14"/>
      <c r="EW118" s="14"/>
      <c r="EX118" s="15"/>
      <c r="EY118" s="15"/>
      <c r="EZ118" s="15"/>
      <c r="FA118" s="15"/>
      <c r="FB118" s="15"/>
      <c r="FC118" s="15"/>
      <c r="FD118" s="15"/>
      <c r="FE118" s="15"/>
    </row>
    <row r="119" spans="1:161" ht="15.75" customHeight="1" x14ac:dyDescent="0.25">
      <c r="A119" s="431"/>
      <c r="B119" s="429"/>
      <c r="C119" s="437"/>
      <c r="D119" s="1520"/>
      <c r="E119" s="1521"/>
      <c r="F119" s="1421">
        <f t="shared" si="154"/>
        <v>0</v>
      </c>
      <c r="G119" s="1422">
        <f t="shared" si="155"/>
        <v>0</v>
      </c>
      <c r="H119" s="1423">
        <f t="shared" si="166"/>
        <v>0</v>
      </c>
      <c r="I119" s="1422">
        <f t="shared" si="156"/>
        <v>0</v>
      </c>
      <c r="J119" s="1424">
        <f t="shared" si="157"/>
        <v>0</v>
      </c>
      <c r="K119" s="2338">
        <f t="shared" si="158"/>
        <v>0</v>
      </c>
      <c r="L119" s="2338"/>
      <c r="M119" s="1425">
        <f t="shared" si="159"/>
        <v>0</v>
      </c>
      <c r="N119" s="281"/>
      <c r="Q119" s="277">
        <f t="shared" si="167"/>
        <v>0</v>
      </c>
      <c r="R119" s="279">
        <f t="shared" si="168"/>
        <v>0</v>
      </c>
      <c r="S119" s="278">
        <f t="shared" si="169"/>
        <v>0</v>
      </c>
      <c r="T119" s="278">
        <f t="shared" si="170"/>
        <v>0</v>
      </c>
      <c r="U119" s="279">
        <f t="shared" si="171"/>
        <v>0</v>
      </c>
      <c r="V119" s="279">
        <f t="shared" si="172"/>
        <v>0</v>
      </c>
      <c r="W119" s="280">
        <f t="shared" si="173"/>
        <v>0</v>
      </c>
      <c r="X119" s="283"/>
      <c r="Y119" s="283">
        <f t="shared" si="174"/>
        <v>0</v>
      </c>
      <c r="Z119" s="281">
        <f t="shared" si="175"/>
        <v>0</v>
      </c>
      <c r="AA119" s="281">
        <f t="shared" si="176"/>
        <v>0</v>
      </c>
      <c r="AB119" s="283">
        <f t="shared" si="177"/>
        <v>0</v>
      </c>
      <c r="AC119" s="283">
        <f t="shared" si="178"/>
        <v>0</v>
      </c>
      <c r="AD119" s="146">
        <f t="shared" si="179"/>
        <v>0</v>
      </c>
      <c r="AE119" s="146">
        <f t="shared" si="180"/>
        <v>0</v>
      </c>
      <c r="AF119" s="283">
        <f t="shared" si="181"/>
        <v>0</v>
      </c>
      <c r="AG119" s="283">
        <f t="shared" si="182"/>
        <v>0</v>
      </c>
      <c r="AH119" s="283" t="e">
        <f t="shared" si="183"/>
        <v>#DIV/0!</v>
      </c>
      <c r="AJ119" s="283"/>
      <c r="AK119" s="283"/>
      <c r="AL119" s="281">
        <f t="shared" si="160"/>
        <v>0</v>
      </c>
      <c r="AM119" s="281">
        <f t="shared" si="161"/>
        <v>0</v>
      </c>
      <c r="AN119" s="281">
        <f t="shared" si="162"/>
        <v>0</v>
      </c>
      <c r="AO119" s="281">
        <f t="shared" si="163"/>
        <v>0</v>
      </c>
      <c r="AP119" s="281">
        <f t="shared" si="164"/>
        <v>0</v>
      </c>
      <c r="AQ119" s="281">
        <f t="shared" si="184"/>
        <v>0</v>
      </c>
      <c r="AR119" s="281">
        <f t="shared" si="185"/>
        <v>0</v>
      </c>
      <c r="AS119" s="281">
        <f t="shared" si="186"/>
        <v>0</v>
      </c>
      <c r="AT119" s="281">
        <f t="shared" si="187"/>
        <v>0</v>
      </c>
      <c r="AU119" s="281">
        <f t="shared" si="188"/>
        <v>0</v>
      </c>
      <c r="AV119" s="829"/>
      <c r="AW119" s="391">
        <f>INDEX(Pflanzen!$AA$5:$AA$104,'Nährstoffe und Lagerraum'!$AX119)</f>
        <v>0</v>
      </c>
      <c r="AX119" s="157">
        <v>1</v>
      </c>
      <c r="AY119" s="157">
        <f>INDEX(Pflanzen!$I$5:$I$104,'Nährstoffe und Lagerraum'!$AX119)</f>
        <v>0</v>
      </c>
      <c r="AZ119" s="1852">
        <f>INDEX(Pflanzen!$W$5:$W$104,'Nährstoffe und Lagerraum'!$AX119)</f>
        <v>0</v>
      </c>
      <c r="BA119" s="157">
        <f>INDEX(Pflanzen!$X$5:$X$104,'Nährstoffe und Lagerraum'!$AX119)</f>
        <v>0</v>
      </c>
      <c r="BB119" s="157">
        <f>INDEX(Pflanzen!$Y$5:$Y$104,'Nährstoffe und Lagerraum'!$AX119)</f>
        <v>0</v>
      </c>
      <c r="BC119" s="157">
        <f>INDEX(Pflanzen!$N$5:$N$104,'Nährstoffe und Lagerraum'!$AX119)</f>
        <v>0</v>
      </c>
      <c r="BD119" s="157">
        <f>INDEX(Pflanzen!$P$5:$P$104,'Nährstoffe und Lagerraum'!$AX119)</f>
        <v>0</v>
      </c>
      <c r="BE119" s="157">
        <f>INDEX(Pflanzen!$AE$5:$AE$104,'Nährstoffe und Lagerraum'!$AX119)</f>
        <v>0</v>
      </c>
      <c r="BF119" s="827"/>
      <c r="BG119" s="212"/>
      <c r="BH119" s="212"/>
      <c r="BI119" s="157">
        <f>INDEX(Pflanzen!$R$5:$R110,'Nährstoffe und Lagerraum'!$AX119)</f>
        <v>0</v>
      </c>
      <c r="BJ119" s="207">
        <f t="shared" si="189"/>
        <v>0</v>
      </c>
      <c r="BK119" s="207"/>
      <c r="BL119" s="659"/>
      <c r="BN119" s="207"/>
      <c r="BO119" s="157">
        <f>INDEX(Pflanzen!$AF$5:$AF$104,'Nährstoffe und Lagerraum'!$AX119)</f>
        <v>0</v>
      </c>
      <c r="BP119" s="216">
        <f t="shared" si="165"/>
        <v>0</v>
      </c>
      <c r="BQ119" s="207"/>
      <c r="BR119" s="207"/>
      <c r="BS119" s="207"/>
      <c r="BT119" s="207"/>
      <c r="BU119" s="207"/>
      <c r="BV119" s="207"/>
      <c r="BW119" s="207"/>
      <c r="BX119" s="157"/>
      <c r="BY119" s="157"/>
      <c r="BZ119" s="157"/>
      <c r="CA119" s="157"/>
      <c r="CB119" s="157"/>
      <c r="CC119" s="157"/>
      <c r="CD119" s="157"/>
      <c r="CE119" s="157"/>
      <c r="CF119" s="2121"/>
      <c r="CG119" s="2121"/>
      <c r="CH119" s="2121"/>
      <c r="CI119" s="157"/>
      <c r="CJ119" s="157"/>
      <c r="CK119" s="157"/>
      <c r="CL119" s="2121"/>
      <c r="CM119" s="2121"/>
      <c r="CN119" s="2121"/>
      <c r="CO119" s="157"/>
      <c r="CP119" s="185"/>
      <c r="CQ119" s="185"/>
      <c r="CR119" s="185"/>
      <c r="CS119" s="212"/>
      <c r="CT119" s="157"/>
      <c r="CU119" s="157"/>
      <c r="CV119" s="157"/>
      <c r="CW119" s="191"/>
      <c r="CX119" s="191"/>
      <c r="CY119" s="191"/>
      <c r="CZ119" s="191"/>
      <c r="DA119" s="191"/>
      <c r="DB119" s="157"/>
      <c r="DC119" s="157"/>
      <c r="DD119" s="157"/>
      <c r="DE119" s="157"/>
      <c r="DF119" s="157"/>
      <c r="DG119" s="157"/>
      <c r="DH119" s="157"/>
      <c r="DI119" s="157"/>
      <c r="DJ119" s="157"/>
      <c r="DK119" s="157"/>
      <c r="DL119" s="157"/>
      <c r="DM119" s="157"/>
      <c r="DN119" s="157"/>
      <c r="DO119" s="157"/>
      <c r="DP119" s="157"/>
      <c r="DQ119" s="157"/>
      <c r="DR119" s="157"/>
      <c r="DS119" s="185"/>
      <c r="DT119" s="185"/>
      <c r="DU119" s="185"/>
      <c r="DV119" s="185"/>
      <c r="DW119" s="185"/>
      <c r="DX119" s="2175"/>
      <c r="DY119" s="185"/>
      <c r="DZ119" s="185"/>
      <c r="EA119" s="185"/>
      <c r="EB119" s="185"/>
      <c r="EC119" s="185"/>
      <c r="ED119" s="185"/>
      <c r="EE119" s="185"/>
      <c r="EF119" s="185"/>
      <c r="EG119" s="185"/>
      <c r="EH119" s="185"/>
      <c r="EI119" s="185"/>
      <c r="EJ119" s="185"/>
      <c r="EK119" s="185"/>
      <c r="EL119" s="207"/>
      <c r="EM119" s="207"/>
      <c r="EN119" s="157"/>
      <c r="EO119" s="157"/>
      <c r="EP119" s="157"/>
      <c r="EQ119" s="157"/>
      <c r="ER119" s="157"/>
      <c r="ES119" s="157"/>
      <c r="ET119" s="15"/>
      <c r="EU119" s="15"/>
      <c r="EV119" s="14"/>
      <c r="EW119" s="14"/>
      <c r="EX119" s="15"/>
      <c r="EY119" s="15"/>
      <c r="EZ119" s="15"/>
      <c r="FA119" s="15"/>
      <c r="FB119" s="15"/>
      <c r="FC119" s="15"/>
      <c r="FD119" s="15"/>
      <c r="FE119" s="15"/>
    </row>
    <row r="120" spans="1:161" ht="15.75" customHeight="1" x14ac:dyDescent="0.25">
      <c r="A120" s="431"/>
      <c r="B120" s="429"/>
      <c r="C120" s="437"/>
      <c r="D120" s="1520"/>
      <c r="E120" s="1521"/>
      <c r="F120" s="1421">
        <f t="shared" si="154"/>
        <v>0</v>
      </c>
      <c r="G120" s="1422">
        <f t="shared" si="155"/>
        <v>0</v>
      </c>
      <c r="H120" s="1423">
        <f t="shared" si="166"/>
        <v>0</v>
      </c>
      <c r="I120" s="1422">
        <f t="shared" si="156"/>
        <v>0</v>
      </c>
      <c r="J120" s="1424">
        <f t="shared" si="157"/>
        <v>0</v>
      </c>
      <c r="K120" s="2338">
        <f t="shared" si="158"/>
        <v>0</v>
      </c>
      <c r="L120" s="2338"/>
      <c r="M120" s="1425">
        <f t="shared" si="159"/>
        <v>0</v>
      </c>
      <c r="N120" s="281"/>
      <c r="Q120" s="277">
        <f t="shared" si="167"/>
        <v>0</v>
      </c>
      <c r="R120" s="279">
        <f t="shared" si="168"/>
        <v>0</v>
      </c>
      <c r="S120" s="278">
        <f t="shared" si="169"/>
        <v>0</v>
      </c>
      <c r="T120" s="278">
        <f t="shared" si="170"/>
        <v>0</v>
      </c>
      <c r="U120" s="279">
        <f t="shared" si="171"/>
        <v>0</v>
      </c>
      <c r="V120" s="279">
        <f t="shared" si="172"/>
        <v>0</v>
      </c>
      <c r="W120" s="280">
        <f t="shared" si="173"/>
        <v>0</v>
      </c>
      <c r="X120" s="283"/>
      <c r="Y120" s="283">
        <f t="shared" si="174"/>
        <v>0</v>
      </c>
      <c r="Z120" s="281">
        <f t="shared" si="175"/>
        <v>0</v>
      </c>
      <c r="AA120" s="281">
        <f t="shared" si="176"/>
        <v>0</v>
      </c>
      <c r="AB120" s="283">
        <f t="shared" si="177"/>
        <v>0</v>
      </c>
      <c r="AC120" s="283">
        <f t="shared" si="178"/>
        <v>0</v>
      </c>
      <c r="AD120" s="146">
        <f t="shared" si="179"/>
        <v>0</v>
      </c>
      <c r="AE120" s="146">
        <f t="shared" si="180"/>
        <v>0</v>
      </c>
      <c r="AF120" s="283">
        <f t="shared" si="181"/>
        <v>0</v>
      </c>
      <c r="AG120" s="283">
        <f t="shared" si="182"/>
        <v>0</v>
      </c>
      <c r="AH120" s="283" t="e">
        <f t="shared" si="183"/>
        <v>#DIV/0!</v>
      </c>
      <c r="AJ120" s="283"/>
      <c r="AK120" s="283"/>
      <c r="AL120" s="281">
        <f t="shared" si="160"/>
        <v>0</v>
      </c>
      <c r="AM120" s="281">
        <f t="shared" si="161"/>
        <v>0</v>
      </c>
      <c r="AN120" s="281">
        <f t="shared" si="162"/>
        <v>0</v>
      </c>
      <c r="AO120" s="281">
        <f t="shared" si="163"/>
        <v>0</v>
      </c>
      <c r="AP120" s="281">
        <f t="shared" si="164"/>
        <v>0</v>
      </c>
      <c r="AQ120" s="281">
        <f t="shared" si="184"/>
        <v>0</v>
      </c>
      <c r="AR120" s="281">
        <f t="shared" si="185"/>
        <v>0</v>
      </c>
      <c r="AS120" s="281">
        <f t="shared" si="186"/>
        <v>0</v>
      </c>
      <c r="AT120" s="281">
        <f t="shared" si="187"/>
        <v>0</v>
      </c>
      <c r="AU120" s="281">
        <f t="shared" si="188"/>
        <v>0</v>
      </c>
      <c r="AV120" s="829"/>
      <c r="AW120" s="391">
        <f>INDEX(Pflanzen!$AA$5:$AA$104,'Nährstoffe und Lagerraum'!$AX120)</f>
        <v>0</v>
      </c>
      <c r="AX120" s="157">
        <v>1</v>
      </c>
      <c r="AY120" s="157">
        <f>INDEX(Pflanzen!$I$5:$I$104,'Nährstoffe und Lagerraum'!$AX120)</f>
        <v>0</v>
      </c>
      <c r="AZ120" s="1852">
        <f>INDEX(Pflanzen!$W$5:$W$104,'Nährstoffe und Lagerraum'!$AX120)</f>
        <v>0</v>
      </c>
      <c r="BA120" s="157">
        <f>INDEX(Pflanzen!$X$5:$X$104,'Nährstoffe und Lagerraum'!$AX120)</f>
        <v>0</v>
      </c>
      <c r="BB120" s="157">
        <f>INDEX(Pflanzen!$Y$5:$Y$104,'Nährstoffe und Lagerraum'!$AX120)</f>
        <v>0</v>
      </c>
      <c r="BC120" s="157">
        <f>INDEX(Pflanzen!$N$5:$N$104,'Nährstoffe und Lagerraum'!$AX120)</f>
        <v>0</v>
      </c>
      <c r="BD120" s="157">
        <f>INDEX(Pflanzen!$P$5:$P$104,'Nährstoffe und Lagerraum'!$AX120)</f>
        <v>0</v>
      </c>
      <c r="BE120" s="157">
        <f>INDEX(Pflanzen!$AE$5:$AE$104,'Nährstoffe und Lagerraum'!$AX120)</f>
        <v>0</v>
      </c>
      <c r="BF120" s="827"/>
      <c r="BG120" s="212"/>
      <c r="BH120" s="212"/>
      <c r="BI120" s="157">
        <f>INDEX(Pflanzen!$R$5:$R111,'Nährstoffe und Lagerraum'!$AX120)</f>
        <v>0</v>
      </c>
      <c r="BJ120" s="207">
        <f t="shared" si="189"/>
        <v>0</v>
      </c>
      <c r="BK120" s="207"/>
      <c r="BL120" s="659"/>
      <c r="BN120" s="207"/>
      <c r="BO120" s="157">
        <f>INDEX(Pflanzen!$AF$5:$AF$104,'Nährstoffe und Lagerraum'!$AX120)</f>
        <v>0</v>
      </c>
      <c r="BP120" s="216">
        <f t="shared" si="165"/>
        <v>0</v>
      </c>
      <c r="BQ120" s="207"/>
      <c r="BR120" s="207"/>
      <c r="BS120" s="207"/>
      <c r="BT120" s="207"/>
      <c r="BU120" s="207"/>
      <c r="BV120" s="207"/>
      <c r="BW120" s="207"/>
      <c r="BX120" s="157"/>
      <c r="BY120" s="157"/>
      <c r="BZ120" s="157"/>
      <c r="CA120" s="157"/>
      <c r="CB120" s="157"/>
      <c r="CC120" s="157"/>
      <c r="CD120" s="157"/>
      <c r="CE120" s="157"/>
      <c r="CF120" s="2121"/>
      <c r="CG120" s="2121"/>
      <c r="CH120" s="2121"/>
      <c r="CI120" s="157"/>
      <c r="CJ120" s="157"/>
      <c r="CK120" s="157"/>
      <c r="CL120" s="2121"/>
      <c r="CM120" s="2121"/>
      <c r="CN120" s="2121"/>
      <c r="CO120" s="157"/>
      <c r="CP120" s="185"/>
      <c r="CQ120" s="185"/>
      <c r="CR120" s="185"/>
      <c r="CS120" s="212"/>
      <c r="CT120" s="157"/>
      <c r="CU120" s="157"/>
      <c r="CV120" s="157"/>
      <c r="CW120" s="191"/>
      <c r="CX120" s="191"/>
      <c r="CY120" s="191"/>
      <c r="CZ120" s="191"/>
      <c r="DA120" s="191"/>
      <c r="DB120" s="157"/>
      <c r="DC120" s="157"/>
      <c r="DD120" s="157"/>
      <c r="DE120" s="157"/>
      <c r="DF120" s="157"/>
      <c r="DG120" s="157"/>
      <c r="DH120" s="157"/>
      <c r="DI120" s="157"/>
      <c r="DJ120" s="157"/>
      <c r="DK120" s="157"/>
      <c r="DL120" s="157"/>
      <c r="DM120" s="157"/>
      <c r="DN120" s="157"/>
      <c r="DO120" s="157"/>
      <c r="DP120" s="157"/>
      <c r="DQ120" s="157"/>
      <c r="DR120" s="157"/>
      <c r="DS120" s="185"/>
      <c r="DT120" s="185"/>
      <c r="DU120" s="185"/>
      <c r="DV120" s="185"/>
      <c r="DW120" s="185"/>
      <c r="DX120" s="2175"/>
      <c r="DY120" s="185"/>
      <c r="DZ120" s="185"/>
      <c r="EA120" s="185"/>
      <c r="EB120" s="185"/>
      <c r="EC120" s="185"/>
      <c r="ED120" s="185"/>
      <c r="EE120" s="185"/>
      <c r="EF120" s="185"/>
      <c r="EG120" s="185"/>
      <c r="EH120" s="185"/>
      <c r="EI120" s="185"/>
      <c r="EJ120" s="185"/>
      <c r="EK120" s="185"/>
      <c r="EL120" s="207"/>
      <c r="EM120" s="207"/>
      <c r="EN120" s="157"/>
      <c r="EO120" s="157"/>
      <c r="EP120" s="157"/>
      <c r="EQ120" s="157"/>
      <c r="ER120" s="157"/>
      <c r="ES120" s="157"/>
      <c r="ET120" s="15"/>
      <c r="EU120" s="15"/>
      <c r="EV120" s="14"/>
      <c r="EW120" s="14"/>
      <c r="EX120" s="15"/>
      <c r="EY120" s="15"/>
      <c r="EZ120" s="15"/>
      <c r="FA120" s="15"/>
      <c r="FB120" s="15"/>
      <c r="FC120" s="15"/>
      <c r="FD120" s="15"/>
      <c r="FE120" s="15"/>
    </row>
    <row r="121" spans="1:161" ht="15.75" customHeight="1" x14ac:dyDescent="0.25">
      <c r="A121" s="431"/>
      <c r="B121" s="429"/>
      <c r="C121" s="437"/>
      <c r="D121" s="1520"/>
      <c r="E121" s="1521"/>
      <c r="F121" s="1421">
        <f t="shared" si="154"/>
        <v>0</v>
      </c>
      <c r="G121" s="1422">
        <f t="shared" si="155"/>
        <v>0</v>
      </c>
      <c r="H121" s="1423">
        <f t="shared" si="166"/>
        <v>0</v>
      </c>
      <c r="I121" s="1422">
        <f t="shared" si="156"/>
        <v>0</v>
      </c>
      <c r="J121" s="1424">
        <f t="shared" si="157"/>
        <v>0</v>
      </c>
      <c r="K121" s="2338">
        <f t="shared" si="158"/>
        <v>0</v>
      </c>
      <c r="L121" s="2338"/>
      <c r="M121" s="1425">
        <f t="shared" si="159"/>
        <v>0</v>
      </c>
      <c r="N121" s="281"/>
      <c r="Q121" s="277">
        <f t="shared" si="167"/>
        <v>0</v>
      </c>
      <c r="R121" s="279">
        <f t="shared" si="168"/>
        <v>0</v>
      </c>
      <c r="S121" s="278">
        <f t="shared" si="169"/>
        <v>0</v>
      </c>
      <c r="T121" s="278">
        <f t="shared" si="170"/>
        <v>0</v>
      </c>
      <c r="U121" s="279">
        <f t="shared" si="171"/>
        <v>0</v>
      </c>
      <c r="V121" s="279">
        <f t="shared" si="172"/>
        <v>0</v>
      </c>
      <c r="W121" s="280">
        <f t="shared" si="173"/>
        <v>0</v>
      </c>
      <c r="X121" s="283"/>
      <c r="Y121" s="283">
        <f t="shared" si="174"/>
        <v>0</v>
      </c>
      <c r="Z121" s="281">
        <f t="shared" si="175"/>
        <v>0</v>
      </c>
      <c r="AA121" s="281">
        <f t="shared" si="176"/>
        <v>0</v>
      </c>
      <c r="AB121" s="283">
        <f t="shared" si="177"/>
        <v>0</v>
      </c>
      <c r="AC121" s="283">
        <f t="shared" si="178"/>
        <v>0</v>
      </c>
      <c r="AD121" s="146">
        <f t="shared" si="179"/>
        <v>0</v>
      </c>
      <c r="AE121" s="146">
        <f t="shared" si="180"/>
        <v>0</v>
      </c>
      <c r="AF121" s="283">
        <f t="shared" si="181"/>
        <v>0</v>
      </c>
      <c r="AG121" s="283">
        <f t="shared" si="182"/>
        <v>0</v>
      </c>
      <c r="AH121" s="283" t="e">
        <f t="shared" si="183"/>
        <v>#DIV/0!</v>
      </c>
      <c r="AJ121" s="283"/>
      <c r="AK121" s="283"/>
      <c r="AL121" s="281">
        <f t="shared" si="160"/>
        <v>0</v>
      </c>
      <c r="AM121" s="281">
        <f t="shared" si="161"/>
        <v>0</v>
      </c>
      <c r="AN121" s="281">
        <f t="shared" si="162"/>
        <v>0</v>
      </c>
      <c r="AO121" s="281">
        <f t="shared" si="163"/>
        <v>0</v>
      </c>
      <c r="AP121" s="281">
        <f t="shared" si="164"/>
        <v>0</v>
      </c>
      <c r="AQ121" s="281">
        <f t="shared" si="184"/>
        <v>0</v>
      </c>
      <c r="AR121" s="281">
        <f t="shared" si="185"/>
        <v>0</v>
      </c>
      <c r="AS121" s="281">
        <f t="shared" si="186"/>
        <v>0</v>
      </c>
      <c r="AT121" s="281">
        <f t="shared" si="187"/>
        <v>0</v>
      </c>
      <c r="AU121" s="281">
        <f t="shared" si="188"/>
        <v>0</v>
      </c>
      <c r="AV121" s="829"/>
      <c r="AW121" s="391">
        <f>INDEX(Pflanzen!$AA$5:$AA$104,'Nährstoffe und Lagerraum'!$AX121)</f>
        <v>0</v>
      </c>
      <c r="AX121" s="157">
        <v>1</v>
      </c>
      <c r="AY121" s="157">
        <f>INDEX(Pflanzen!$I$5:$I$104,'Nährstoffe und Lagerraum'!$AX121)</f>
        <v>0</v>
      </c>
      <c r="AZ121" s="1852">
        <f>INDEX(Pflanzen!$W$5:$W$104,'Nährstoffe und Lagerraum'!$AX121)</f>
        <v>0</v>
      </c>
      <c r="BA121" s="157">
        <f>INDEX(Pflanzen!$X$5:$X$104,'Nährstoffe und Lagerraum'!$AX121)</f>
        <v>0</v>
      </c>
      <c r="BB121" s="157">
        <f>INDEX(Pflanzen!$Y$5:$Y$104,'Nährstoffe und Lagerraum'!$AX121)</f>
        <v>0</v>
      </c>
      <c r="BC121" s="157">
        <f>INDEX(Pflanzen!$N$5:$N$104,'Nährstoffe und Lagerraum'!$AX121)</f>
        <v>0</v>
      </c>
      <c r="BD121" s="157">
        <f>INDEX(Pflanzen!$P$5:$P$104,'Nährstoffe und Lagerraum'!$AX121)</f>
        <v>0</v>
      </c>
      <c r="BE121" s="157">
        <f>INDEX(Pflanzen!$AE$5:$AE$104,'Nährstoffe und Lagerraum'!$AX121)</f>
        <v>0</v>
      </c>
      <c r="BF121" s="827"/>
      <c r="BG121" s="212"/>
      <c r="BH121" s="212"/>
      <c r="BI121" s="157">
        <f>INDEX(Pflanzen!$R$5:$R111,'Nährstoffe und Lagerraum'!$AX121)</f>
        <v>0</v>
      </c>
      <c r="BJ121" s="207">
        <f t="shared" si="189"/>
        <v>0</v>
      </c>
      <c r="BK121" s="207"/>
      <c r="BL121" s="659"/>
      <c r="BN121" s="207"/>
      <c r="BO121" s="157">
        <f>INDEX(Pflanzen!$AF$5:$AF$104,'Nährstoffe und Lagerraum'!$AX121)</f>
        <v>0</v>
      </c>
      <c r="BP121" s="216">
        <f t="shared" si="165"/>
        <v>0</v>
      </c>
      <c r="BQ121" s="207"/>
      <c r="BR121" s="207"/>
      <c r="BS121" s="207"/>
      <c r="BT121" s="207"/>
      <c r="BU121" s="207"/>
      <c r="BV121" s="207"/>
      <c r="BW121" s="207"/>
      <c r="BX121" s="157"/>
      <c r="BY121" s="157"/>
      <c r="BZ121" s="157"/>
      <c r="CA121" s="157"/>
      <c r="CB121" s="157"/>
      <c r="CC121" s="157"/>
      <c r="CD121" s="157"/>
      <c r="CE121" s="157"/>
      <c r="CF121" s="2121"/>
      <c r="CG121" s="2121"/>
      <c r="CH121" s="2121"/>
      <c r="CI121" s="157"/>
      <c r="CJ121" s="157"/>
      <c r="CK121" s="157"/>
      <c r="CL121" s="2121"/>
      <c r="CM121" s="2121"/>
      <c r="CN121" s="2121"/>
      <c r="CO121" s="157"/>
      <c r="CP121" s="185"/>
      <c r="CQ121" s="185"/>
      <c r="CR121" s="185"/>
      <c r="CS121" s="212"/>
      <c r="CT121" s="157"/>
      <c r="CU121" s="157"/>
      <c r="CV121" s="157"/>
      <c r="CW121" s="191"/>
      <c r="CX121" s="191"/>
      <c r="CY121" s="191"/>
      <c r="CZ121" s="191"/>
      <c r="DA121" s="191"/>
      <c r="DB121" s="157"/>
      <c r="DC121" s="157"/>
      <c r="DD121" s="157"/>
      <c r="DE121" s="157"/>
      <c r="DF121" s="157"/>
      <c r="DG121" s="157"/>
      <c r="DH121" s="157"/>
      <c r="DI121" s="157"/>
      <c r="DJ121" s="157"/>
      <c r="DK121" s="157"/>
      <c r="DL121" s="157"/>
      <c r="DM121" s="157"/>
      <c r="DN121" s="157"/>
      <c r="DO121" s="157"/>
      <c r="DP121" s="157"/>
      <c r="DQ121" s="157"/>
      <c r="DR121" s="157"/>
      <c r="DS121" s="185"/>
      <c r="DT121" s="185"/>
      <c r="DU121" s="185"/>
      <c r="DV121" s="185"/>
      <c r="DW121" s="185"/>
      <c r="DX121" s="2175"/>
      <c r="DY121" s="185"/>
      <c r="DZ121" s="185"/>
      <c r="EA121" s="185"/>
      <c r="EB121" s="185"/>
      <c r="EC121" s="185"/>
      <c r="ED121" s="185"/>
      <c r="EE121" s="185"/>
      <c r="EF121" s="185"/>
      <c r="EG121" s="185"/>
      <c r="EH121" s="185"/>
      <c r="EI121" s="185"/>
      <c r="EJ121" s="185"/>
      <c r="EK121" s="185"/>
      <c r="EL121" s="207"/>
      <c r="EM121" s="207"/>
      <c r="EN121" s="157"/>
      <c r="EO121" s="157"/>
      <c r="EP121" s="157"/>
      <c r="EQ121" s="157"/>
      <c r="ER121" s="157"/>
      <c r="ES121" s="157"/>
      <c r="ET121" s="15"/>
      <c r="EU121" s="15"/>
      <c r="EV121" s="14"/>
      <c r="EW121" s="14"/>
      <c r="EX121" s="15"/>
      <c r="EY121" s="15"/>
      <c r="EZ121" s="15"/>
      <c r="FA121" s="15"/>
      <c r="FB121" s="15"/>
      <c r="FC121" s="15"/>
      <c r="FD121" s="15"/>
      <c r="FE121" s="15"/>
    </row>
    <row r="122" spans="1:161" ht="15.75" customHeight="1" x14ac:dyDescent="0.25">
      <c r="A122" s="431"/>
      <c r="B122" s="429"/>
      <c r="C122" s="437"/>
      <c r="D122" s="1520"/>
      <c r="E122" s="1521"/>
      <c r="F122" s="1421">
        <f t="shared" si="154"/>
        <v>0</v>
      </c>
      <c r="G122" s="1422">
        <f t="shared" si="155"/>
        <v>0</v>
      </c>
      <c r="H122" s="1423">
        <f t="shared" si="166"/>
        <v>0</v>
      </c>
      <c r="I122" s="1422">
        <f t="shared" si="156"/>
        <v>0</v>
      </c>
      <c r="J122" s="1424">
        <f t="shared" si="157"/>
        <v>0</v>
      </c>
      <c r="K122" s="2338">
        <f t="shared" si="158"/>
        <v>0</v>
      </c>
      <c r="L122" s="2338"/>
      <c r="M122" s="1425">
        <f t="shared" si="159"/>
        <v>0</v>
      </c>
      <c r="N122" s="281"/>
      <c r="Q122" s="277">
        <f t="shared" si="167"/>
        <v>0</v>
      </c>
      <c r="R122" s="279">
        <f t="shared" si="168"/>
        <v>0</v>
      </c>
      <c r="S122" s="278">
        <f t="shared" si="169"/>
        <v>0</v>
      </c>
      <c r="T122" s="278">
        <f t="shared" si="170"/>
        <v>0</v>
      </c>
      <c r="U122" s="279">
        <f t="shared" si="171"/>
        <v>0</v>
      </c>
      <c r="V122" s="279">
        <f t="shared" si="172"/>
        <v>0</v>
      </c>
      <c r="W122" s="280">
        <f t="shared" si="173"/>
        <v>0</v>
      </c>
      <c r="X122" s="283"/>
      <c r="Y122" s="283">
        <f t="shared" si="174"/>
        <v>0</v>
      </c>
      <c r="Z122" s="281">
        <f t="shared" si="175"/>
        <v>0</v>
      </c>
      <c r="AA122" s="281">
        <f t="shared" si="176"/>
        <v>0</v>
      </c>
      <c r="AB122" s="283">
        <f t="shared" si="177"/>
        <v>0</v>
      </c>
      <c r="AC122" s="283">
        <f t="shared" si="178"/>
        <v>0</v>
      </c>
      <c r="AD122" s="146">
        <f t="shared" si="179"/>
        <v>0</v>
      </c>
      <c r="AE122" s="146">
        <f t="shared" si="180"/>
        <v>0</v>
      </c>
      <c r="AF122" s="283">
        <f t="shared" si="181"/>
        <v>0</v>
      </c>
      <c r="AG122" s="283">
        <f t="shared" si="182"/>
        <v>0</v>
      </c>
      <c r="AH122" s="283" t="e">
        <f t="shared" si="183"/>
        <v>#DIV/0!</v>
      </c>
      <c r="AJ122" s="283"/>
      <c r="AK122" s="283"/>
      <c r="AL122" s="281">
        <f t="shared" si="160"/>
        <v>0</v>
      </c>
      <c r="AM122" s="281">
        <f t="shared" si="161"/>
        <v>0</v>
      </c>
      <c r="AN122" s="281">
        <f t="shared" si="162"/>
        <v>0</v>
      </c>
      <c r="AO122" s="281">
        <f t="shared" si="163"/>
        <v>0</v>
      </c>
      <c r="AP122" s="281">
        <f t="shared" si="164"/>
        <v>0</v>
      </c>
      <c r="AQ122" s="281">
        <f t="shared" si="184"/>
        <v>0</v>
      </c>
      <c r="AR122" s="281">
        <f t="shared" si="185"/>
        <v>0</v>
      </c>
      <c r="AS122" s="281">
        <f t="shared" si="186"/>
        <v>0</v>
      </c>
      <c r="AT122" s="281">
        <f t="shared" si="187"/>
        <v>0</v>
      </c>
      <c r="AU122" s="281">
        <f t="shared" si="188"/>
        <v>0</v>
      </c>
      <c r="AV122" s="829"/>
      <c r="AW122" s="391">
        <f>INDEX(Pflanzen!$AA$5:$AA$104,'Nährstoffe und Lagerraum'!$AX122)</f>
        <v>0</v>
      </c>
      <c r="AX122" s="157">
        <v>1</v>
      </c>
      <c r="AY122" s="157">
        <f>INDEX(Pflanzen!$I$5:$I$104,'Nährstoffe und Lagerraum'!$AX122)</f>
        <v>0</v>
      </c>
      <c r="AZ122" s="1852">
        <f>INDEX(Pflanzen!$W$5:$W$104,'Nährstoffe und Lagerraum'!$AX122)</f>
        <v>0</v>
      </c>
      <c r="BA122" s="157">
        <f>INDEX(Pflanzen!$X$5:$X$104,'Nährstoffe und Lagerraum'!$AX122)</f>
        <v>0</v>
      </c>
      <c r="BB122" s="157">
        <f>INDEX(Pflanzen!$Y$5:$Y$104,'Nährstoffe und Lagerraum'!$AX122)</f>
        <v>0</v>
      </c>
      <c r="BC122" s="157">
        <f>INDEX(Pflanzen!$N$5:$N$104,'Nährstoffe und Lagerraum'!$AX122)</f>
        <v>0</v>
      </c>
      <c r="BD122" s="157">
        <f>INDEX(Pflanzen!$P$5:$P$104,'Nährstoffe und Lagerraum'!$AX122)</f>
        <v>0</v>
      </c>
      <c r="BE122" s="157">
        <f>INDEX(Pflanzen!$AE$5:$AE$104,'Nährstoffe und Lagerraum'!$AX122)</f>
        <v>0</v>
      </c>
      <c r="BF122" s="827"/>
      <c r="BG122" s="212"/>
      <c r="BH122" s="212"/>
      <c r="BI122" s="157">
        <f>INDEX(Pflanzen!$R$5:$R111,'Nährstoffe und Lagerraum'!$AX122)</f>
        <v>0</v>
      </c>
      <c r="BJ122" s="207">
        <f t="shared" si="189"/>
        <v>0</v>
      </c>
      <c r="BK122" s="207"/>
      <c r="BL122" s="659"/>
      <c r="BN122" s="207"/>
      <c r="BO122" s="157">
        <f>INDEX(Pflanzen!$AF$5:$AF$104,'Nährstoffe und Lagerraum'!$AX122)</f>
        <v>0</v>
      </c>
      <c r="BP122" s="216">
        <f t="shared" si="165"/>
        <v>0</v>
      </c>
      <c r="BQ122" s="207"/>
      <c r="BR122" s="207"/>
      <c r="BS122" s="207"/>
      <c r="BT122" s="207"/>
      <c r="BU122" s="207"/>
      <c r="BV122" s="207"/>
      <c r="BW122" s="207"/>
      <c r="BX122" s="157"/>
      <c r="BY122" s="157"/>
      <c r="BZ122" s="157"/>
      <c r="CA122" s="157"/>
      <c r="CB122" s="157"/>
      <c r="CC122" s="157"/>
      <c r="CD122" s="157"/>
      <c r="CE122" s="157"/>
      <c r="CF122" s="2121"/>
      <c r="CG122" s="2121"/>
      <c r="CH122" s="2121"/>
      <c r="CI122" s="157"/>
      <c r="CJ122" s="157"/>
      <c r="CK122" s="157"/>
      <c r="CL122" s="2121"/>
      <c r="CM122" s="2121"/>
      <c r="CN122" s="2121"/>
      <c r="CO122" s="157"/>
      <c r="CP122" s="185"/>
      <c r="CQ122" s="185"/>
      <c r="CR122" s="185"/>
      <c r="CS122" s="212"/>
      <c r="CT122" s="157"/>
      <c r="CU122" s="157"/>
      <c r="CV122" s="157"/>
      <c r="CW122" s="191"/>
      <c r="CX122" s="191"/>
      <c r="CY122" s="191"/>
      <c r="CZ122" s="191"/>
      <c r="DA122" s="191"/>
      <c r="DB122" s="157"/>
      <c r="DC122" s="157"/>
      <c r="DD122" s="157"/>
      <c r="DE122" s="157"/>
      <c r="DF122" s="157"/>
      <c r="DG122" s="157"/>
      <c r="DH122" s="157"/>
      <c r="DI122" s="157"/>
      <c r="DJ122" s="157"/>
      <c r="DK122" s="157"/>
      <c r="DL122" s="157"/>
      <c r="DM122" s="157"/>
      <c r="DN122" s="157"/>
      <c r="DO122" s="157"/>
      <c r="DP122" s="157"/>
      <c r="DQ122" s="157"/>
      <c r="DR122" s="157"/>
      <c r="DS122" s="185"/>
      <c r="DT122" s="185"/>
      <c r="DU122" s="185"/>
      <c r="DV122" s="185"/>
      <c r="DW122" s="185"/>
      <c r="DX122" s="2175"/>
      <c r="DY122" s="185"/>
      <c r="DZ122" s="185"/>
      <c r="EA122" s="185"/>
      <c r="EB122" s="185"/>
      <c r="EC122" s="185"/>
      <c r="ED122" s="185"/>
      <c r="EE122" s="185"/>
      <c r="EF122" s="185"/>
      <c r="EG122" s="185"/>
      <c r="EH122" s="185"/>
      <c r="EI122" s="185"/>
      <c r="EJ122" s="185"/>
      <c r="EK122" s="185"/>
      <c r="EL122" s="207"/>
      <c r="EM122" s="207"/>
      <c r="EN122" s="157"/>
      <c r="EO122" s="157"/>
      <c r="EP122" s="157"/>
      <c r="EQ122" s="157"/>
      <c r="ER122" s="157"/>
      <c r="ES122" s="157"/>
      <c r="ET122" s="15"/>
      <c r="EU122" s="15"/>
      <c r="EV122" s="14"/>
      <c r="EW122" s="14"/>
      <c r="EX122" s="15"/>
      <c r="EY122" s="15"/>
      <c r="EZ122" s="15"/>
      <c r="FA122" s="15"/>
      <c r="FB122" s="15"/>
      <c r="FC122" s="15"/>
      <c r="FD122" s="15"/>
      <c r="FE122" s="15"/>
    </row>
    <row r="123" spans="1:161" ht="15.75" customHeight="1" x14ac:dyDescent="0.25">
      <c r="A123" s="431"/>
      <c r="B123" s="429"/>
      <c r="C123" s="437"/>
      <c r="D123" s="1520"/>
      <c r="E123" s="1521"/>
      <c r="F123" s="1421">
        <f t="shared" si="154"/>
        <v>0</v>
      </c>
      <c r="G123" s="1422">
        <f t="shared" si="155"/>
        <v>0</v>
      </c>
      <c r="H123" s="1423">
        <f t="shared" si="166"/>
        <v>0</v>
      </c>
      <c r="I123" s="1422">
        <f t="shared" si="156"/>
        <v>0</v>
      </c>
      <c r="J123" s="1424">
        <f t="shared" si="157"/>
        <v>0</v>
      </c>
      <c r="K123" s="2338">
        <f t="shared" si="158"/>
        <v>0</v>
      </c>
      <c r="L123" s="2338"/>
      <c r="M123" s="1425">
        <f t="shared" si="159"/>
        <v>0</v>
      </c>
      <c r="N123" s="281"/>
      <c r="Q123" s="277">
        <f t="shared" si="167"/>
        <v>0</v>
      </c>
      <c r="R123" s="279">
        <f t="shared" si="168"/>
        <v>0</v>
      </c>
      <c r="S123" s="278">
        <f t="shared" si="169"/>
        <v>0</v>
      </c>
      <c r="T123" s="278">
        <f t="shared" si="170"/>
        <v>0</v>
      </c>
      <c r="U123" s="279">
        <f t="shared" si="171"/>
        <v>0</v>
      </c>
      <c r="V123" s="279">
        <f t="shared" si="172"/>
        <v>0</v>
      </c>
      <c r="W123" s="280">
        <f t="shared" si="173"/>
        <v>0</v>
      </c>
      <c r="X123" s="283"/>
      <c r="Y123" s="283">
        <f t="shared" si="174"/>
        <v>0</v>
      </c>
      <c r="Z123" s="281">
        <f t="shared" si="175"/>
        <v>0</v>
      </c>
      <c r="AA123" s="281">
        <f t="shared" si="176"/>
        <v>0</v>
      </c>
      <c r="AB123" s="283">
        <f t="shared" si="177"/>
        <v>0</v>
      </c>
      <c r="AC123" s="283">
        <f t="shared" si="178"/>
        <v>0</v>
      </c>
      <c r="AD123" s="146">
        <f t="shared" si="179"/>
        <v>0</v>
      </c>
      <c r="AE123" s="146">
        <f t="shared" si="180"/>
        <v>0</v>
      </c>
      <c r="AF123" s="283">
        <f t="shared" si="181"/>
        <v>0</v>
      </c>
      <c r="AG123" s="283">
        <f t="shared" si="182"/>
        <v>0</v>
      </c>
      <c r="AH123" s="283" t="e">
        <f t="shared" si="183"/>
        <v>#DIV/0!</v>
      </c>
      <c r="AJ123" s="283"/>
      <c r="AK123" s="283"/>
      <c r="AL123" s="281">
        <f t="shared" si="160"/>
        <v>0</v>
      </c>
      <c r="AM123" s="281">
        <f t="shared" si="161"/>
        <v>0</v>
      </c>
      <c r="AN123" s="281">
        <f t="shared" si="162"/>
        <v>0</v>
      </c>
      <c r="AO123" s="281">
        <f t="shared" si="163"/>
        <v>0</v>
      </c>
      <c r="AP123" s="281">
        <f t="shared" si="164"/>
        <v>0</v>
      </c>
      <c r="AQ123" s="281">
        <f t="shared" si="184"/>
        <v>0</v>
      </c>
      <c r="AR123" s="281">
        <f t="shared" si="185"/>
        <v>0</v>
      </c>
      <c r="AS123" s="281">
        <f t="shared" si="186"/>
        <v>0</v>
      </c>
      <c r="AT123" s="281">
        <f t="shared" si="187"/>
        <v>0</v>
      </c>
      <c r="AU123" s="281">
        <f t="shared" si="188"/>
        <v>0</v>
      </c>
      <c r="AV123" s="829"/>
      <c r="AW123" s="391">
        <f>INDEX(Pflanzen!$AA$5:$AA$104,'Nährstoffe und Lagerraum'!$AX123)</f>
        <v>0</v>
      </c>
      <c r="AX123" s="157">
        <v>1</v>
      </c>
      <c r="AY123" s="157">
        <f>INDEX(Pflanzen!$I$5:$I$104,'Nährstoffe und Lagerraum'!$AX123)</f>
        <v>0</v>
      </c>
      <c r="AZ123" s="1852">
        <f>INDEX(Pflanzen!$W$5:$W$104,'Nährstoffe und Lagerraum'!$AX123)</f>
        <v>0</v>
      </c>
      <c r="BA123" s="157">
        <f>INDEX(Pflanzen!$X$5:$X$104,'Nährstoffe und Lagerraum'!$AX123)</f>
        <v>0</v>
      </c>
      <c r="BB123" s="157">
        <f>INDEX(Pflanzen!$Y$5:$Y$104,'Nährstoffe und Lagerraum'!$AX123)</f>
        <v>0</v>
      </c>
      <c r="BC123" s="157">
        <f>INDEX(Pflanzen!$N$5:$N$104,'Nährstoffe und Lagerraum'!$AX123)</f>
        <v>0</v>
      </c>
      <c r="BD123" s="157">
        <f>INDEX(Pflanzen!$P$5:$P$104,'Nährstoffe und Lagerraum'!$AX123)</f>
        <v>0</v>
      </c>
      <c r="BE123" s="157">
        <f>INDEX(Pflanzen!$AE$5:$AE$104,'Nährstoffe und Lagerraum'!$AX123)</f>
        <v>0</v>
      </c>
      <c r="BF123" s="827"/>
      <c r="BG123" s="212"/>
      <c r="BH123" s="212"/>
      <c r="BI123" s="157">
        <f>INDEX(Pflanzen!$R$5:$R111,'Nährstoffe und Lagerraum'!$AX123)</f>
        <v>0</v>
      </c>
      <c r="BJ123" s="207">
        <f t="shared" si="189"/>
        <v>0</v>
      </c>
      <c r="BK123" s="207"/>
      <c r="BL123" s="659"/>
      <c r="BN123" s="207"/>
      <c r="BO123" s="157">
        <f>INDEX(Pflanzen!$AF$5:$AF$104,'Nährstoffe und Lagerraum'!$AX123)</f>
        <v>0</v>
      </c>
      <c r="BP123" s="216">
        <f t="shared" si="165"/>
        <v>0</v>
      </c>
      <c r="BQ123" s="207"/>
      <c r="BR123" s="207"/>
      <c r="BS123" s="207"/>
      <c r="BT123" s="207"/>
      <c r="BU123" s="207"/>
      <c r="BV123" s="207"/>
      <c r="BW123" s="207"/>
      <c r="BX123" s="157"/>
      <c r="BY123" s="157"/>
      <c r="BZ123" s="157"/>
      <c r="CA123" s="157"/>
      <c r="CB123" s="157"/>
      <c r="CC123" s="157"/>
      <c r="CD123" s="157"/>
      <c r="CE123" s="157"/>
      <c r="CF123" s="2121"/>
      <c r="CG123" s="2121"/>
      <c r="CH123" s="2121"/>
      <c r="CI123" s="157"/>
      <c r="CJ123" s="157"/>
      <c r="CK123" s="157"/>
      <c r="CL123" s="2121"/>
      <c r="CM123" s="2121"/>
      <c r="CN123" s="2121"/>
      <c r="CO123" s="157"/>
      <c r="CP123" s="185"/>
      <c r="CQ123" s="185"/>
      <c r="CR123" s="185"/>
      <c r="CS123" s="212"/>
      <c r="CT123" s="157"/>
      <c r="CU123" s="157"/>
      <c r="CV123" s="157"/>
      <c r="CW123" s="191"/>
      <c r="CX123" s="191"/>
      <c r="CY123" s="191"/>
      <c r="CZ123" s="191"/>
      <c r="DA123" s="191"/>
      <c r="DB123" s="157"/>
      <c r="DC123" s="157"/>
      <c r="DD123" s="157"/>
      <c r="DE123" s="157"/>
      <c r="DF123" s="157"/>
      <c r="DG123" s="157"/>
      <c r="DH123" s="157"/>
      <c r="DI123" s="157"/>
      <c r="DJ123" s="157"/>
      <c r="DK123" s="157"/>
      <c r="DL123" s="157"/>
      <c r="DM123" s="157"/>
      <c r="DN123" s="157"/>
      <c r="DO123" s="157"/>
      <c r="DP123" s="157"/>
      <c r="DQ123" s="157"/>
      <c r="DR123" s="157"/>
      <c r="DS123" s="185"/>
      <c r="DT123" s="185"/>
      <c r="DU123" s="185"/>
      <c r="DV123" s="185"/>
      <c r="DW123" s="185"/>
      <c r="DX123" s="2175"/>
      <c r="DY123" s="185"/>
      <c r="DZ123" s="185"/>
      <c r="EA123" s="185"/>
      <c r="EB123" s="185"/>
      <c r="EC123" s="185"/>
      <c r="ED123" s="185"/>
      <c r="EE123" s="185"/>
      <c r="EF123" s="185"/>
      <c r="EG123" s="185"/>
      <c r="EH123" s="185"/>
      <c r="EI123" s="185"/>
      <c r="EJ123" s="185"/>
      <c r="EK123" s="185"/>
      <c r="EL123" s="207"/>
      <c r="EM123" s="207"/>
      <c r="EN123" s="157"/>
      <c r="EO123" s="157"/>
      <c r="EP123" s="157"/>
      <c r="EQ123" s="157"/>
      <c r="ER123" s="157"/>
      <c r="ES123" s="157"/>
      <c r="ET123" s="15"/>
      <c r="EU123" s="15"/>
      <c r="EV123" s="14"/>
      <c r="EW123" s="14"/>
      <c r="EX123" s="15"/>
      <c r="EY123" s="15"/>
      <c r="EZ123" s="15"/>
      <c r="FA123" s="15"/>
      <c r="FB123" s="15"/>
      <c r="FC123" s="15"/>
      <c r="FD123" s="15"/>
      <c r="FE123" s="15"/>
    </row>
    <row r="124" spans="1:161" ht="15.75" customHeight="1" x14ac:dyDescent="0.25">
      <c r="A124" s="431"/>
      <c r="B124" s="429"/>
      <c r="C124" s="437"/>
      <c r="D124" s="1520"/>
      <c r="E124" s="1521"/>
      <c r="F124" s="1421">
        <f t="shared" si="154"/>
        <v>0</v>
      </c>
      <c r="G124" s="1422">
        <f t="shared" si="155"/>
        <v>0</v>
      </c>
      <c r="H124" s="1423">
        <f t="shared" si="166"/>
        <v>0</v>
      </c>
      <c r="I124" s="1422">
        <f t="shared" si="156"/>
        <v>0</v>
      </c>
      <c r="J124" s="1424">
        <f t="shared" si="157"/>
        <v>0</v>
      </c>
      <c r="K124" s="2338">
        <f t="shared" si="158"/>
        <v>0</v>
      </c>
      <c r="L124" s="2338"/>
      <c r="M124" s="1425">
        <f t="shared" si="159"/>
        <v>0</v>
      </c>
      <c r="N124" s="281"/>
      <c r="Q124" s="277">
        <f t="shared" si="167"/>
        <v>0</v>
      </c>
      <c r="R124" s="279">
        <f t="shared" si="168"/>
        <v>0</v>
      </c>
      <c r="S124" s="278">
        <f t="shared" si="169"/>
        <v>0</v>
      </c>
      <c r="T124" s="278">
        <f t="shared" si="170"/>
        <v>0</v>
      </c>
      <c r="U124" s="279">
        <f t="shared" si="171"/>
        <v>0</v>
      </c>
      <c r="V124" s="279">
        <f t="shared" si="172"/>
        <v>0</v>
      </c>
      <c r="W124" s="280">
        <f t="shared" si="173"/>
        <v>0</v>
      </c>
      <c r="X124" s="283"/>
      <c r="Y124" s="283">
        <f t="shared" si="174"/>
        <v>0</v>
      </c>
      <c r="Z124" s="281">
        <f t="shared" si="175"/>
        <v>0</v>
      </c>
      <c r="AA124" s="281">
        <f t="shared" si="176"/>
        <v>0</v>
      </c>
      <c r="AB124" s="283">
        <f t="shared" si="177"/>
        <v>0</v>
      </c>
      <c r="AC124" s="283">
        <f t="shared" si="178"/>
        <v>0</v>
      </c>
      <c r="AD124" s="146">
        <f t="shared" si="179"/>
        <v>0</v>
      </c>
      <c r="AE124" s="146">
        <f t="shared" si="180"/>
        <v>0</v>
      </c>
      <c r="AF124" s="283">
        <f t="shared" si="181"/>
        <v>0</v>
      </c>
      <c r="AG124" s="283">
        <f t="shared" si="182"/>
        <v>0</v>
      </c>
      <c r="AH124" s="283" t="e">
        <f t="shared" si="183"/>
        <v>#DIV/0!</v>
      </c>
      <c r="AJ124" s="283"/>
      <c r="AK124" s="283"/>
      <c r="AL124" s="281">
        <f t="shared" si="160"/>
        <v>0</v>
      </c>
      <c r="AM124" s="281">
        <f t="shared" si="161"/>
        <v>0</v>
      </c>
      <c r="AN124" s="281">
        <f t="shared" si="162"/>
        <v>0</v>
      </c>
      <c r="AO124" s="281">
        <f t="shared" si="163"/>
        <v>0</v>
      </c>
      <c r="AP124" s="281">
        <f t="shared" si="164"/>
        <v>0</v>
      </c>
      <c r="AQ124" s="281">
        <f t="shared" si="184"/>
        <v>0</v>
      </c>
      <c r="AR124" s="281">
        <f t="shared" si="185"/>
        <v>0</v>
      </c>
      <c r="AS124" s="281">
        <f t="shared" si="186"/>
        <v>0</v>
      </c>
      <c r="AT124" s="281">
        <f t="shared" si="187"/>
        <v>0</v>
      </c>
      <c r="AU124" s="281">
        <f t="shared" si="188"/>
        <v>0</v>
      </c>
      <c r="AV124" s="829"/>
      <c r="AW124" s="391">
        <f>INDEX(Pflanzen!$AA$5:$AA$104,'Nährstoffe und Lagerraum'!$AX124)</f>
        <v>0</v>
      </c>
      <c r="AX124" s="157">
        <v>1</v>
      </c>
      <c r="AY124" s="157">
        <f>INDEX(Pflanzen!$I$5:$I$104,'Nährstoffe und Lagerraum'!$AX124)</f>
        <v>0</v>
      </c>
      <c r="AZ124" s="1852">
        <f>INDEX(Pflanzen!$W$5:$W$104,'Nährstoffe und Lagerraum'!$AX124)</f>
        <v>0</v>
      </c>
      <c r="BA124" s="157">
        <f>INDEX(Pflanzen!$X$5:$X$104,'Nährstoffe und Lagerraum'!$AX124)</f>
        <v>0</v>
      </c>
      <c r="BB124" s="157">
        <f>INDEX(Pflanzen!$Y$5:$Y$104,'Nährstoffe und Lagerraum'!$AX124)</f>
        <v>0</v>
      </c>
      <c r="BC124" s="157">
        <f>INDEX(Pflanzen!$N$5:$N$104,'Nährstoffe und Lagerraum'!$AX124)</f>
        <v>0</v>
      </c>
      <c r="BD124" s="157">
        <f>INDEX(Pflanzen!$P$5:$P$104,'Nährstoffe und Lagerraum'!$AX124)</f>
        <v>0</v>
      </c>
      <c r="BE124" s="157">
        <f>INDEX(Pflanzen!$AE$5:$AE$104,'Nährstoffe und Lagerraum'!$AX124)</f>
        <v>0</v>
      </c>
      <c r="BF124" s="827"/>
      <c r="BG124" s="212"/>
      <c r="BH124" s="212"/>
      <c r="BI124" s="157">
        <f>INDEX(Pflanzen!$R$5:$R111,'Nährstoffe und Lagerraum'!$AX124)</f>
        <v>0</v>
      </c>
      <c r="BJ124" s="207">
        <f t="shared" si="189"/>
        <v>0</v>
      </c>
      <c r="BK124" s="207"/>
      <c r="BL124" s="659"/>
      <c r="BN124" s="207"/>
      <c r="BO124" s="157">
        <f>INDEX(Pflanzen!$AF$5:$AF$104,'Nährstoffe und Lagerraum'!$AX124)</f>
        <v>0</v>
      </c>
      <c r="BP124" s="216">
        <f t="shared" si="165"/>
        <v>0</v>
      </c>
      <c r="BQ124" s="207"/>
      <c r="BR124" s="207"/>
      <c r="BS124" s="207"/>
      <c r="BT124" s="207"/>
      <c r="BU124" s="207"/>
      <c r="BV124" s="207"/>
      <c r="BW124" s="207"/>
      <c r="BX124" s="157"/>
      <c r="BY124" s="157"/>
      <c r="BZ124" s="157"/>
      <c r="CA124" s="157"/>
      <c r="CB124" s="157"/>
      <c r="CC124" s="157"/>
      <c r="CD124" s="157"/>
      <c r="CE124" s="157"/>
      <c r="CF124" s="2121"/>
      <c r="CG124" s="2121"/>
      <c r="CH124" s="2121"/>
      <c r="CI124" s="157"/>
      <c r="CJ124" s="157"/>
      <c r="CK124" s="157"/>
      <c r="CL124" s="2121"/>
      <c r="CM124" s="2121"/>
      <c r="CN124" s="2121"/>
      <c r="CO124" s="157"/>
      <c r="CP124" s="185"/>
      <c r="CQ124" s="185"/>
      <c r="CR124" s="185"/>
      <c r="CS124" s="212"/>
      <c r="CT124" s="157"/>
      <c r="CU124" s="157"/>
      <c r="CV124" s="157"/>
      <c r="CW124" s="191"/>
      <c r="CX124" s="191"/>
      <c r="CY124" s="191"/>
      <c r="CZ124" s="191"/>
      <c r="DA124" s="191"/>
      <c r="DB124" s="157"/>
      <c r="DC124" s="157"/>
      <c r="DD124" s="157"/>
      <c r="DE124" s="157"/>
      <c r="DF124" s="157"/>
      <c r="DG124" s="157"/>
      <c r="DH124" s="157"/>
      <c r="DI124" s="157"/>
      <c r="DJ124" s="157"/>
      <c r="DK124" s="157"/>
      <c r="DL124" s="157"/>
      <c r="DM124" s="157"/>
      <c r="DN124" s="157"/>
      <c r="DO124" s="157"/>
      <c r="DP124" s="157"/>
      <c r="DQ124" s="157"/>
      <c r="DR124" s="157"/>
      <c r="DS124" s="185"/>
      <c r="DT124" s="185"/>
      <c r="DU124" s="185"/>
      <c r="DV124" s="185"/>
      <c r="DW124" s="185"/>
      <c r="DX124" s="2175"/>
      <c r="DY124" s="185"/>
      <c r="DZ124" s="185"/>
      <c r="EA124" s="185"/>
      <c r="EB124" s="185"/>
      <c r="EC124" s="185"/>
      <c r="ED124" s="185"/>
      <c r="EE124" s="185"/>
      <c r="EF124" s="185"/>
      <c r="EG124" s="185"/>
      <c r="EH124" s="185"/>
      <c r="EI124" s="185"/>
      <c r="EJ124" s="185"/>
      <c r="EK124" s="185"/>
      <c r="EL124" s="207"/>
      <c r="EM124" s="207"/>
      <c r="EN124" s="157"/>
      <c r="EO124" s="157"/>
      <c r="EP124" s="157"/>
      <c r="EQ124" s="157"/>
      <c r="ER124" s="157"/>
      <c r="ES124" s="157"/>
      <c r="ET124" s="15"/>
      <c r="EU124" s="15"/>
      <c r="EV124" s="14"/>
      <c r="EW124" s="14"/>
      <c r="EX124" s="15"/>
      <c r="EY124" s="15"/>
      <c r="EZ124" s="15"/>
      <c r="FA124" s="15"/>
      <c r="FB124" s="15"/>
      <c r="FC124" s="15"/>
      <c r="FD124" s="15"/>
      <c r="FE124" s="15"/>
    </row>
    <row r="125" spans="1:161" ht="15.75" customHeight="1" x14ac:dyDescent="0.25">
      <c r="A125" s="431"/>
      <c r="B125" s="429"/>
      <c r="C125" s="437"/>
      <c r="D125" s="1520"/>
      <c r="E125" s="1521"/>
      <c r="F125" s="1421">
        <f t="shared" si="154"/>
        <v>0</v>
      </c>
      <c r="G125" s="1422">
        <f t="shared" si="155"/>
        <v>0</v>
      </c>
      <c r="H125" s="1423">
        <f t="shared" si="166"/>
        <v>0</v>
      </c>
      <c r="I125" s="1422">
        <f t="shared" si="156"/>
        <v>0</v>
      </c>
      <c r="J125" s="1424">
        <f t="shared" si="157"/>
        <v>0</v>
      </c>
      <c r="K125" s="2338">
        <f t="shared" si="158"/>
        <v>0</v>
      </c>
      <c r="L125" s="2338"/>
      <c r="M125" s="1425">
        <f t="shared" si="159"/>
        <v>0</v>
      </c>
      <c r="N125" s="281"/>
      <c r="Q125" s="277">
        <f t="shared" si="167"/>
        <v>0</v>
      </c>
      <c r="R125" s="279">
        <f t="shared" si="168"/>
        <v>0</v>
      </c>
      <c r="S125" s="278">
        <f t="shared" si="169"/>
        <v>0</v>
      </c>
      <c r="T125" s="278">
        <f t="shared" si="170"/>
        <v>0</v>
      </c>
      <c r="U125" s="279">
        <f t="shared" si="171"/>
        <v>0</v>
      </c>
      <c r="V125" s="279">
        <f t="shared" si="172"/>
        <v>0</v>
      </c>
      <c r="W125" s="280">
        <f t="shared" si="173"/>
        <v>0</v>
      </c>
      <c r="X125" s="283"/>
      <c r="Y125" s="283">
        <f t="shared" si="174"/>
        <v>0</v>
      </c>
      <c r="Z125" s="281">
        <f t="shared" si="175"/>
        <v>0</v>
      </c>
      <c r="AA125" s="281">
        <f t="shared" si="176"/>
        <v>0</v>
      </c>
      <c r="AB125" s="283">
        <f t="shared" si="177"/>
        <v>0</v>
      </c>
      <c r="AC125" s="283">
        <f t="shared" si="178"/>
        <v>0</v>
      </c>
      <c r="AD125" s="146">
        <f t="shared" si="179"/>
        <v>0</v>
      </c>
      <c r="AE125" s="146">
        <f t="shared" si="180"/>
        <v>0</v>
      </c>
      <c r="AF125" s="283">
        <f t="shared" si="181"/>
        <v>0</v>
      </c>
      <c r="AG125" s="283">
        <f t="shared" si="182"/>
        <v>0</v>
      </c>
      <c r="AH125" s="283" t="e">
        <f t="shared" si="183"/>
        <v>#DIV/0!</v>
      </c>
      <c r="AJ125" s="283"/>
      <c r="AK125" s="283"/>
      <c r="AL125" s="281">
        <f t="shared" si="160"/>
        <v>0</v>
      </c>
      <c r="AM125" s="281">
        <f t="shared" si="161"/>
        <v>0</v>
      </c>
      <c r="AN125" s="281">
        <f t="shared" si="162"/>
        <v>0</v>
      </c>
      <c r="AO125" s="281">
        <f t="shared" si="163"/>
        <v>0</v>
      </c>
      <c r="AP125" s="281">
        <f t="shared" si="164"/>
        <v>0</v>
      </c>
      <c r="AQ125" s="281">
        <f t="shared" si="184"/>
        <v>0</v>
      </c>
      <c r="AR125" s="281">
        <f t="shared" si="185"/>
        <v>0</v>
      </c>
      <c r="AS125" s="281">
        <f t="shared" si="186"/>
        <v>0</v>
      </c>
      <c r="AT125" s="281">
        <f t="shared" si="187"/>
        <v>0</v>
      </c>
      <c r="AU125" s="281">
        <f t="shared" si="188"/>
        <v>0</v>
      </c>
      <c r="AV125" s="829"/>
      <c r="AW125" s="391">
        <f>INDEX(Pflanzen!$AA$5:$AA$104,'Nährstoffe und Lagerraum'!$AX125)</f>
        <v>0</v>
      </c>
      <c r="AX125" s="157">
        <v>1</v>
      </c>
      <c r="AY125" s="157">
        <f>INDEX(Pflanzen!$I$5:$I$104,'Nährstoffe und Lagerraum'!$AX125)</f>
        <v>0</v>
      </c>
      <c r="AZ125" s="1852">
        <f>INDEX(Pflanzen!$W$5:$W$104,'Nährstoffe und Lagerraum'!$AX125)</f>
        <v>0</v>
      </c>
      <c r="BA125" s="157">
        <f>INDEX(Pflanzen!$X$5:$X$104,'Nährstoffe und Lagerraum'!$AX125)</f>
        <v>0</v>
      </c>
      <c r="BB125" s="157">
        <f>INDEX(Pflanzen!$Y$5:$Y$104,'Nährstoffe und Lagerraum'!$AX125)</f>
        <v>0</v>
      </c>
      <c r="BC125" s="157">
        <f>INDEX(Pflanzen!$N$5:$N$104,'Nährstoffe und Lagerraum'!$AX125)</f>
        <v>0</v>
      </c>
      <c r="BD125" s="157">
        <f>INDEX(Pflanzen!$P$5:$P$104,'Nährstoffe und Lagerraum'!$AX125)</f>
        <v>0</v>
      </c>
      <c r="BE125" s="157">
        <f>INDEX(Pflanzen!$AE$5:$AE$104,'Nährstoffe und Lagerraum'!$AX125)</f>
        <v>0</v>
      </c>
      <c r="BF125" s="827"/>
      <c r="BG125" s="212"/>
      <c r="BH125" s="212"/>
      <c r="BI125" s="157">
        <f>INDEX(Pflanzen!$R$5:$R111,'Nährstoffe und Lagerraum'!$AX125)</f>
        <v>0</v>
      </c>
      <c r="BJ125" s="207">
        <f t="shared" si="189"/>
        <v>0</v>
      </c>
      <c r="BK125" s="207"/>
      <c r="BL125" s="659"/>
      <c r="BN125" s="207"/>
      <c r="BO125" s="157">
        <f>INDEX(Pflanzen!$AF$5:$AF$104,'Nährstoffe und Lagerraum'!$AX125)</f>
        <v>0</v>
      </c>
      <c r="BP125" s="216">
        <f t="shared" si="165"/>
        <v>0</v>
      </c>
      <c r="BQ125" s="207"/>
      <c r="BR125" s="207"/>
      <c r="BS125" s="207"/>
      <c r="BT125" s="207"/>
      <c r="BU125" s="207"/>
      <c r="BV125" s="207"/>
      <c r="BW125" s="207"/>
      <c r="BX125" s="157"/>
      <c r="BY125" s="157"/>
      <c r="BZ125" s="157"/>
      <c r="CA125" s="157"/>
      <c r="CB125" s="157"/>
      <c r="CC125" s="157"/>
      <c r="CD125" s="157"/>
      <c r="CE125" s="157"/>
      <c r="CF125" s="2121"/>
      <c r="CG125" s="2121"/>
      <c r="CH125" s="2121"/>
      <c r="CI125" s="157"/>
      <c r="CJ125" s="157"/>
      <c r="CK125" s="157"/>
      <c r="CL125" s="2121"/>
      <c r="CM125" s="2121"/>
      <c r="CN125" s="2121"/>
      <c r="CO125" s="157"/>
      <c r="CP125" s="185"/>
      <c r="CQ125" s="185"/>
      <c r="CR125" s="185"/>
      <c r="CS125" s="212"/>
      <c r="CT125" s="157"/>
      <c r="CU125" s="157"/>
      <c r="CV125" s="157"/>
      <c r="CW125" s="191"/>
      <c r="CX125" s="191"/>
      <c r="CY125" s="191"/>
      <c r="CZ125" s="191"/>
      <c r="DA125" s="191"/>
      <c r="DB125" s="157"/>
      <c r="DC125" s="157"/>
      <c r="DD125" s="157"/>
      <c r="DE125" s="157"/>
      <c r="DF125" s="157"/>
      <c r="DG125" s="157"/>
      <c r="DH125" s="157"/>
      <c r="DI125" s="157"/>
      <c r="DJ125" s="157"/>
      <c r="DK125" s="157"/>
      <c r="DL125" s="157"/>
      <c r="DM125" s="157"/>
      <c r="DN125" s="157"/>
      <c r="DO125" s="157"/>
      <c r="DP125" s="157"/>
      <c r="DQ125" s="157"/>
      <c r="DR125" s="157"/>
      <c r="DS125" s="185"/>
      <c r="DT125" s="185"/>
      <c r="DU125" s="185"/>
      <c r="DV125" s="185"/>
      <c r="DW125" s="185"/>
      <c r="DX125" s="2175"/>
      <c r="DY125" s="185"/>
      <c r="DZ125" s="185"/>
      <c r="EA125" s="185"/>
      <c r="EB125" s="185"/>
      <c r="EC125" s="185"/>
      <c r="ED125" s="185"/>
      <c r="EE125" s="185"/>
      <c r="EF125" s="185"/>
      <c r="EG125" s="185"/>
      <c r="EH125" s="185"/>
      <c r="EI125" s="185"/>
      <c r="EJ125" s="185"/>
      <c r="EK125" s="185"/>
      <c r="EL125" s="207"/>
      <c r="EM125" s="207"/>
      <c r="EN125" s="157"/>
      <c r="EO125" s="157"/>
      <c r="EP125" s="157"/>
      <c r="EQ125" s="157"/>
      <c r="ER125" s="157"/>
      <c r="ES125" s="157"/>
      <c r="ET125" s="15"/>
      <c r="EU125" s="15"/>
      <c r="EV125" s="14"/>
      <c r="EW125" s="14"/>
      <c r="EX125" s="15"/>
      <c r="EY125" s="15"/>
      <c r="EZ125" s="15"/>
      <c r="FA125" s="15"/>
      <c r="FB125" s="15"/>
      <c r="FC125" s="15"/>
      <c r="FD125" s="15"/>
      <c r="FE125" s="15"/>
    </row>
    <row r="126" spans="1:161" ht="15.75" customHeight="1" x14ac:dyDescent="0.25">
      <c r="A126" s="431"/>
      <c r="B126" s="429"/>
      <c r="C126" s="437"/>
      <c r="D126" s="1520"/>
      <c r="E126" s="1521"/>
      <c r="F126" s="1421">
        <f t="shared" si="154"/>
        <v>0</v>
      </c>
      <c r="G126" s="1422">
        <f t="shared" si="155"/>
        <v>0</v>
      </c>
      <c r="H126" s="1423">
        <f t="shared" si="166"/>
        <v>0</v>
      </c>
      <c r="I126" s="1422">
        <f t="shared" si="156"/>
        <v>0</v>
      </c>
      <c r="J126" s="1424">
        <f t="shared" si="157"/>
        <v>0</v>
      </c>
      <c r="K126" s="2338">
        <f t="shared" si="158"/>
        <v>0</v>
      </c>
      <c r="L126" s="2338"/>
      <c r="M126" s="1425">
        <f t="shared" si="159"/>
        <v>0</v>
      </c>
      <c r="N126" s="281"/>
      <c r="Q126" s="277">
        <f t="shared" si="167"/>
        <v>0</v>
      </c>
      <c r="R126" s="279">
        <f t="shared" si="168"/>
        <v>0</v>
      </c>
      <c r="S126" s="278">
        <f t="shared" si="169"/>
        <v>0</v>
      </c>
      <c r="T126" s="278">
        <f t="shared" si="170"/>
        <v>0</v>
      </c>
      <c r="U126" s="279">
        <f t="shared" si="171"/>
        <v>0</v>
      </c>
      <c r="V126" s="279">
        <f t="shared" si="172"/>
        <v>0</v>
      </c>
      <c r="W126" s="280">
        <f t="shared" si="173"/>
        <v>0</v>
      </c>
      <c r="X126" s="283"/>
      <c r="Y126" s="283">
        <f t="shared" si="174"/>
        <v>0</v>
      </c>
      <c r="Z126" s="281">
        <f t="shared" si="175"/>
        <v>0</v>
      </c>
      <c r="AA126" s="281">
        <f t="shared" si="176"/>
        <v>0</v>
      </c>
      <c r="AB126" s="283">
        <f t="shared" si="177"/>
        <v>0</v>
      </c>
      <c r="AC126" s="283">
        <f t="shared" si="178"/>
        <v>0</v>
      </c>
      <c r="AD126" s="146">
        <f t="shared" si="179"/>
        <v>0</v>
      </c>
      <c r="AE126" s="146">
        <f t="shared" si="180"/>
        <v>0</v>
      </c>
      <c r="AF126" s="283">
        <f t="shared" si="181"/>
        <v>0</v>
      </c>
      <c r="AG126" s="283">
        <f t="shared" si="182"/>
        <v>0</v>
      </c>
      <c r="AH126" s="283" t="e">
        <f t="shared" si="183"/>
        <v>#DIV/0!</v>
      </c>
      <c r="AJ126" s="283"/>
      <c r="AK126" s="283"/>
      <c r="AL126" s="281">
        <f t="shared" si="160"/>
        <v>0</v>
      </c>
      <c r="AM126" s="281">
        <f t="shared" si="161"/>
        <v>0</v>
      </c>
      <c r="AN126" s="281">
        <f t="shared" si="162"/>
        <v>0</v>
      </c>
      <c r="AO126" s="281">
        <f t="shared" si="163"/>
        <v>0</v>
      </c>
      <c r="AP126" s="281">
        <f t="shared" si="164"/>
        <v>0</v>
      </c>
      <c r="AQ126" s="281">
        <f t="shared" si="184"/>
        <v>0</v>
      </c>
      <c r="AR126" s="281">
        <f t="shared" si="185"/>
        <v>0</v>
      </c>
      <c r="AS126" s="281">
        <f t="shared" si="186"/>
        <v>0</v>
      </c>
      <c r="AT126" s="281">
        <f t="shared" si="187"/>
        <v>0</v>
      </c>
      <c r="AU126" s="281">
        <f t="shared" si="188"/>
        <v>0</v>
      </c>
      <c r="AV126" s="829"/>
      <c r="AW126" s="391">
        <f>INDEX(Pflanzen!$AA$5:$AA$104,'Nährstoffe und Lagerraum'!$AX126)</f>
        <v>0</v>
      </c>
      <c r="AX126" s="157">
        <v>1</v>
      </c>
      <c r="AY126" s="157">
        <f>INDEX(Pflanzen!$I$5:$I$104,'Nährstoffe und Lagerraum'!$AX126)</f>
        <v>0</v>
      </c>
      <c r="AZ126" s="1852">
        <f>INDEX(Pflanzen!$W$5:$W$104,'Nährstoffe und Lagerraum'!$AX126)</f>
        <v>0</v>
      </c>
      <c r="BA126" s="157">
        <f>INDEX(Pflanzen!$X$5:$X$104,'Nährstoffe und Lagerraum'!$AX126)</f>
        <v>0</v>
      </c>
      <c r="BB126" s="157">
        <f>INDEX(Pflanzen!$Y$5:$Y$104,'Nährstoffe und Lagerraum'!$AX126)</f>
        <v>0</v>
      </c>
      <c r="BC126" s="157">
        <f>INDEX(Pflanzen!$N$5:$N$104,'Nährstoffe und Lagerraum'!$AX126)</f>
        <v>0</v>
      </c>
      <c r="BD126" s="157">
        <f>INDEX(Pflanzen!$P$5:$P$104,'Nährstoffe und Lagerraum'!$AX126)</f>
        <v>0</v>
      </c>
      <c r="BE126" s="157">
        <f>INDEX(Pflanzen!$AE$5:$AE$104,'Nährstoffe und Lagerraum'!$AX126)</f>
        <v>0</v>
      </c>
      <c r="BF126" s="827"/>
      <c r="BG126" s="212"/>
      <c r="BH126" s="212"/>
      <c r="BI126" s="157">
        <f>INDEX(Pflanzen!$R$5:$R111,'Nährstoffe und Lagerraum'!$AX126)</f>
        <v>0</v>
      </c>
      <c r="BJ126" s="207">
        <f t="shared" si="189"/>
        <v>0</v>
      </c>
      <c r="BK126" s="207"/>
      <c r="BL126" s="659"/>
      <c r="BN126" s="207"/>
      <c r="BO126" s="157">
        <f>INDEX(Pflanzen!$AF$5:$AF$104,'Nährstoffe und Lagerraum'!$AX126)</f>
        <v>0</v>
      </c>
      <c r="BP126" s="216">
        <f t="shared" si="165"/>
        <v>0</v>
      </c>
      <c r="BQ126" s="207"/>
      <c r="BR126" s="207"/>
      <c r="BS126" s="207"/>
      <c r="BT126" s="207"/>
      <c r="BU126" s="207"/>
      <c r="BV126" s="207"/>
      <c r="BW126" s="207"/>
      <c r="BX126" s="157"/>
      <c r="BY126" s="157"/>
      <c r="BZ126" s="157"/>
      <c r="CA126" s="157"/>
      <c r="CB126" s="157"/>
      <c r="CC126" s="157"/>
      <c r="CD126" s="157"/>
      <c r="CE126" s="157"/>
      <c r="CF126" s="2121"/>
      <c r="CG126" s="2121"/>
      <c r="CH126" s="2121"/>
      <c r="CI126" s="157"/>
      <c r="CJ126" s="157"/>
      <c r="CK126" s="157"/>
      <c r="CL126" s="2121"/>
      <c r="CM126" s="2121"/>
      <c r="CN126" s="2121"/>
      <c r="CO126" s="157"/>
      <c r="CP126" s="185"/>
      <c r="CQ126" s="185"/>
      <c r="CR126" s="185"/>
      <c r="CS126" s="212"/>
      <c r="CT126" s="157"/>
      <c r="CU126" s="157"/>
      <c r="CV126" s="157"/>
      <c r="CW126" s="191"/>
      <c r="CX126" s="191"/>
      <c r="CY126" s="191"/>
      <c r="CZ126" s="191"/>
      <c r="DA126" s="191"/>
      <c r="DB126" s="157"/>
      <c r="DC126" s="157"/>
      <c r="DD126" s="157"/>
      <c r="DE126" s="157"/>
      <c r="DF126" s="157"/>
      <c r="DG126" s="157"/>
      <c r="DH126" s="157"/>
      <c r="DI126" s="157"/>
      <c r="DJ126" s="157"/>
      <c r="DK126" s="157"/>
      <c r="DL126" s="157"/>
      <c r="DM126" s="157"/>
      <c r="DN126" s="157"/>
      <c r="DO126" s="157"/>
      <c r="DP126" s="157"/>
      <c r="DQ126" s="157"/>
      <c r="DR126" s="157"/>
      <c r="DS126" s="185"/>
      <c r="DT126" s="185"/>
      <c r="DU126" s="185"/>
      <c r="DV126" s="185"/>
      <c r="DW126" s="185"/>
      <c r="DX126" s="2175"/>
      <c r="DY126" s="185"/>
      <c r="DZ126" s="185"/>
      <c r="EA126" s="185"/>
      <c r="EB126" s="185"/>
      <c r="EC126" s="185"/>
      <c r="ED126" s="185"/>
      <c r="EE126" s="185"/>
      <c r="EF126" s="185"/>
      <c r="EG126" s="185"/>
      <c r="EH126" s="185"/>
      <c r="EI126" s="185"/>
      <c r="EJ126" s="185"/>
      <c r="EK126" s="185"/>
      <c r="EL126" s="207"/>
      <c r="EM126" s="207"/>
      <c r="EN126" s="157"/>
      <c r="EO126" s="157"/>
      <c r="EP126" s="157"/>
      <c r="EQ126" s="157"/>
      <c r="ER126" s="157"/>
      <c r="ES126" s="157"/>
      <c r="ET126" s="15"/>
      <c r="EU126" s="15"/>
      <c r="EV126" s="14"/>
      <c r="EW126" s="14"/>
      <c r="EX126" s="15"/>
      <c r="EY126" s="15"/>
      <c r="EZ126" s="15"/>
      <c r="FA126" s="15"/>
      <c r="FB126" s="15"/>
      <c r="FC126" s="15"/>
      <c r="FD126" s="15"/>
      <c r="FE126" s="15"/>
    </row>
    <row r="127" spans="1:161" ht="15.75" customHeight="1" x14ac:dyDescent="0.25">
      <c r="A127" s="431"/>
      <c r="B127" s="429"/>
      <c r="C127" s="437"/>
      <c r="D127" s="1520"/>
      <c r="E127" s="1521"/>
      <c r="F127" s="1421">
        <f t="shared" si="154"/>
        <v>0</v>
      </c>
      <c r="G127" s="1422">
        <f t="shared" si="155"/>
        <v>0</v>
      </c>
      <c r="H127" s="1423">
        <f t="shared" si="166"/>
        <v>0</v>
      </c>
      <c r="I127" s="1422">
        <f t="shared" si="156"/>
        <v>0</v>
      </c>
      <c r="J127" s="1424">
        <f t="shared" si="157"/>
        <v>0</v>
      </c>
      <c r="K127" s="2338">
        <f t="shared" si="158"/>
        <v>0</v>
      </c>
      <c r="L127" s="2338"/>
      <c r="M127" s="1425">
        <f t="shared" si="159"/>
        <v>0</v>
      </c>
      <c r="N127" s="281"/>
      <c r="Q127" s="277">
        <f t="shared" si="167"/>
        <v>0</v>
      </c>
      <c r="R127" s="279">
        <f t="shared" si="168"/>
        <v>0</v>
      </c>
      <c r="S127" s="278">
        <f t="shared" si="169"/>
        <v>0</v>
      </c>
      <c r="T127" s="278">
        <f t="shared" si="170"/>
        <v>0</v>
      </c>
      <c r="U127" s="279">
        <f t="shared" si="171"/>
        <v>0</v>
      </c>
      <c r="V127" s="279">
        <f t="shared" si="172"/>
        <v>0</v>
      </c>
      <c r="W127" s="280">
        <f t="shared" si="173"/>
        <v>0</v>
      </c>
      <c r="X127" s="283"/>
      <c r="Y127" s="283">
        <f t="shared" si="174"/>
        <v>0</v>
      </c>
      <c r="Z127" s="281">
        <f t="shared" si="175"/>
        <v>0</v>
      </c>
      <c r="AA127" s="281">
        <f t="shared" si="176"/>
        <v>0</v>
      </c>
      <c r="AB127" s="283">
        <f t="shared" si="177"/>
        <v>0</v>
      </c>
      <c r="AC127" s="283">
        <f t="shared" si="178"/>
        <v>0</v>
      </c>
      <c r="AD127" s="146">
        <f t="shared" si="179"/>
        <v>0</v>
      </c>
      <c r="AE127" s="146">
        <f t="shared" si="180"/>
        <v>0</v>
      </c>
      <c r="AF127" s="283">
        <f t="shared" si="181"/>
        <v>0</v>
      </c>
      <c r="AG127" s="283">
        <f t="shared" si="182"/>
        <v>0</v>
      </c>
      <c r="AH127" s="283" t="e">
        <f t="shared" si="183"/>
        <v>#DIV/0!</v>
      </c>
      <c r="AJ127" s="283"/>
      <c r="AK127" s="283"/>
      <c r="AL127" s="281">
        <f t="shared" si="160"/>
        <v>0</v>
      </c>
      <c r="AM127" s="281">
        <f t="shared" si="161"/>
        <v>0</v>
      </c>
      <c r="AN127" s="281">
        <f t="shared" si="162"/>
        <v>0</v>
      </c>
      <c r="AO127" s="281">
        <f t="shared" si="163"/>
        <v>0</v>
      </c>
      <c r="AP127" s="281">
        <f t="shared" si="164"/>
        <v>0</v>
      </c>
      <c r="AQ127" s="281">
        <f t="shared" si="184"/>
        <v>0</v>
      </c>
      <c r="AR127" s="281">
        <f t="shared" si="185"/>
        <v>0</v>
      </c>
      <c r="AS127" s="281">
        <f t="shared" si="186"/>
        <v>0</v>
      </c>
      <c r="AT127" s="281">
        <f t="shared" si="187"/>
        <v>0</v>
      </c>
      <c r="AU127" s="281">
        <f t="shared" si="188"/>
        <v>0</v>
      </c>
      <c r="AV127" s="829"/>
      <c r="AW127" s="391">
        <f>INDEX(Pflanzen!$AA$5:$AA$104,'Nährstoffe und Lagerraum'!$AX127)</f>
        <v>0</v>
      </c>
      <c r="AX127" s="157">
        <v>1</v>
      </c>
      <c r="AY127" s="157">
        <f>INDEX(Pflanzen!$I$5:$I$104,'Nährstoffe und Lagerraum'!$AX127)</f>
        <v>0</v>
      </c>
      <c r="AZ127" s="1852">
        <f>INDEX(Pflanzen!$W$5:$W$104,'Nährstoffe und Lagerraum'!$AX127)</f>
        <v>0</v>
      </c>
      <c r="BA127" s="157">
        <f>INDEX(Pflanzen!$X$5:$X$104,'Nährstoffe und Lagerraum'!$AX127)</f>
        <v>0</v>
      </c>
      <c r="BB127" s="157">
        <f>INDEX(Pflanzen!$Y$5:$Y$104,'Nährstoffe und Lagerraum'!$AX127)</f>
        <v>0</v>
      </c>
      <c r="BC127" s="157">
        <f>INDEX(Pflanzen!$N$5:$N$104,'Nährstoffe und Lagerraum'!$AX127)</f>
        <v>0</v>
      </c>
      <c r="BD127" s="157">
        <f>INDEX(Pflanzen!$P$5:$P$104,'Nährstoffe und Lagerraum'!$AX127)</f>
        <v>0</v>
      </c>
      <c r="BE127" s="157">
        <f>INDEX(Pflanzen!$AE$5:$AE$104,'Nährstoffe und Lagerraum'!$AX127)</f>
        <v>0</v>
      </c>
      <c r="BF127" s="827"/>
      <c r="BG127" s="212"/>
      <c r="BH127" s="212"/>
      <c r="BI127" s="157">
        <f>INDEX(Pflanzen!$R$5:$R111,'Nährstoffe und Lagerraum'!$AX127)</f>
        <v>0</v>
      </c>
      <c r="BJ127" s="207">
        <f t="shared" si="189"/>
        <v>0</v>
      </c>
      <c r="BK127" s="207"/>
      <c r="BL127" s="659"/>
      <c r="BN127" s="207"/>
      <c r="BO127" s="157">
        <f>INDEX(Pflanzen!$AF$5:$AF$104,'Nährstoffe und Lagerraum'!$AX127)</f>
        <v>0</v>
      </c>
      <c r="BP127" s="216">
        <f t="shared" si="165"/>
        <v>0</v>
      </c>
      <c r="BQ127" s="207"/>
      <c r="BR127" s="207"/>
      <c r="BS127" s="207"/>
      <c r="BT127" s="207"/>
      <c r="BU127" s="207"/>
      <c r="BV127" s="207"/>
      <c r="BW127" s="207"/>
      <c r="BX127" s="157"/>
      <c r="BY127" s="157"/>
      <c r="BZ127" s="157"/>
      <c r="CA127" s="157"/>
      <c r="CB127" s="157"/>
      <c r="CC127" s="157"/>
      <c r="CD127" s="157"/>
      <c r="CE127" s="157"/>
      <c r="CF127" s="2121"/>
      <c r="CG127" s="2121"/>
      <c r="CH127" s="2121"/>
      <c r="CI127" s="157"/>
      <c r="CJ127" s="157"/>
      <c r="CK127" s="157"/>
      <c r="CL127" s="2121"/>
      <c r="CM127" s="2121"/>
      <c r="CN127" s="2121"/>
      <c r="CO127" s="157"/>
      <c r="CP127" s="185"/>
      <c r="CQ127" s="185"/>
      <c r="CR127" s="185"/>
      <c r="CS127" s="212"/>
      <c r="CT127" s="157"/>
      <c r="CU127" s="157"/>
      <c r="CV127" s="157"/>
      <c r="CW127" s="191"/>
      <c r="CX127" s="191"/>
      <c r="CY127" s="191"/>
      <c r="CZ127" s="191"/>
      <c r="DA127" s="191"/>
      <c r="DB127" s="157"/>
      <c r="DC127" s="157"/>
      <c r="DD127" s="157"/>
      <c r="DE127" s="157"/>
      <c r="DF127" s="157"/>
      <c r="DG127" s="157"/>
      <c r="DH127" s="157"/>
      <c r="DI127" s="157"/>
      <c r="DJ127" s="157"/>
      <c r="DK127" s="157"/>
      <c r="DL127" s="157"/>
      <c r="DM127" s="157"/>
      <c r="DN127" s="157"/>
      <c r="DO127" s="157"/>
      <c r="DP127" s="157"/>
      <c r="DQ127" s="157"/>
      <c r="DR127" s="157"/>
      <c r="DS127" s="185"/>
      <c r="DT127" s="185"/>
      <c r="DU127" s="185"/>
      <c r="DV127" s="185"/>
      <c r="DW127" s="185"/>
      <c r="DX127" s="2175"/>
      <c r="DY127" s="185"/>
      <c r="DZ127" s="185"/>
      <c r="EA127" s="185"/>
      <c r="EB127" s="185"/>
      <c r="EC127" s="185"/>
      <c r="ED127" s="185"/>
      <c r="EE127" s="185"/>
      <c r="EF127" s="185"/>
      <c r="EG127" s="185"/>
      <c r="EH127" s="185"/>
      <c r="EI127" s="185"/>
      <c r="EJ127" s="185"/>
      <c r="EK127" s="185"/>
      <c r="EL127" s="207"/>
      <c r="EM127" s="207"/>
      <c r="EN127" s="157"/>
      <c r="EO127" s="157"/>
      <c r="EP127" s="157"/>
      <c r="EQ127" s="157"/>
      <c r="ER127" s="157"/>
      <c r="ES127" s="157"/>
      <c r="ET127" s="15"/>
      <c r="EU127" s="15"/>
      <c r="EV127" s="14"/>
      <c r="EW127" s="14"/>
      <c r="EX127" s="15"/>
      <c r="EY127" s="15"/>
      <c r="EZ127" s="15"/>
      <c r="FA127" s="15"/>
      <c r="FB127" s="15"/>
      <c r="FC127" s="15"/>
      <c r="FD127" s="15"/>
      <c r="FE127" s="15"/>
    </row>
    <row r="128" spans="1:161" ht="15.75" customHeight="1" x14ac:dyDescent="0.25">
      <c r="A128" s="431"/>
      <c r="B128" s="429"/>
      <c r="C128" s="437"/>
      <c r="D128" s="1520"/>
      <c r="E128" s="1521"/>
      <c r="F128" s="1421">
        <f t="shared" si="154"/>
        <v>0</v>
      </c>
      <c r="G128" s="1422">
        <f t="shared" si="155"/>
        <v>0</v>
      </c>
      <c r="H128" s="1423">
        <f t="shared" si="166"/>
        <v>0</v>
      </c>
      <c r="I128" s="1422">
        <f t="shared" si="156"/>
        <v>0</v>
      </c>
      <c r="J128" s="1424">
        <f t="shared" si="157"/>
        <v>0</v>
      </c>
      <c r="K128" s="2338">
        <f t="shared" si="158"/>
        <v>0</v>
      </c>
      <c r="L128" s="2338"/>
      <c r="M128" s="1425">
        <f t="shared" si="159"/>
        <v>0</v>
      </c>
      <c r="N128" s="281"/>
      <c r="Q128" s="277">
        <f t="shared" si="167"/>
        <v>0</v>
      </c>
      <c r="R128" s="279">
        <f t="shared" si="168"/>
        <v>0</v>
      </c>
      <c r="S128" s="278">
        <f t="shared" si="169"/>
        <v>0</v>
      </c>
      <c r="T128" s="278">
        <f t="shared" si="170"/>
        <v>0</v>
      </c>
      <c r="U128" s="279">
        <f t="shared" si="171"/>
        <v>0</v>
      </c>
      <c r="V128" s="279">
        <f t="shared" si="172"/>
        <v>0</v>
      </c>
      <c r="W128" s="280">
        <f t="shared" si="173"/>
        <v>0</v>
      </c>
      <c r="X128" s="283"/>
      <c r="Y128" s="283">
        <f t="shared" si="174"/>
        <v>0</v>
      </c>
      <c r="Z128" s="281">
        <f t="shared" si="175"/>
        <v>0</v>
      </c>
      <c r="AA128" s="281">
        <f t="shared" si="176"/>
        <v>0</v>
      </c>
      <c r="AB128" s="283">
        <f t="shared" si="177"/>
        <v>0</v>
      </c>
      <c r="AC128" s="283">
        <f t="shared" si="178"/>
        <v>0</v>
      </c>
      <c r="AD128" s="146">
        <f t="shared" si="179"/>
        <v>0</v>
      </c>
      <c r="AE128" s="146">
        <f t="shared" si="180"/>
        <v>0</v>
      </c>
      <c r="AF128" s="283">
        <f t="shared" si="181"/>
        <v>0</v>
      </c>
      <c r="AG128" s="283">
        <f t="shared" si="182"/>
        <v>0</v>
      </c>
      <c r="AH128" s="283" t="e">
        <f t="shared" si="183"/>
        <v>#DIV/0!</v>
      </c>
      <c r="AJ128" s="283"/>
      <c r="AK128" s="283"/>
      <c r="AL128" s="281">
        <f t="shared" si="160"/>
        <v>0</v>
      </c>
      <c r="AM128" s="281">
        <f t="shared" si="161"/>
        <v>0</v>
      </c>
      <c r="AN128" s="281">
        <f t="shared" si="162"/>
        <v>0</v>
      </c>
      <c r="AO128" s="281">
        <f t="shared" si="163"/>
        <v>0</v>
      </c>
      <c r="AP128" s="281">
        <f t="shared" si="164"/>
        <v>0</v>
      </c>
      <c r="AQ128" s="281">
        <f t="shared" si="184"/>
        <v>0</v>
      </c>
      <c r="AR128" s="281">
        <f t="shared" si="185"/>
        <v>0</v>
      </c>
      <c r="AS128" s="281">
        <f t="shared" si="186"/>
        <v>0</v>
      </c>
      <c r="AT128" s="281">
        <f t="shared" si="187"/>
        <v>0</v>
      </c>
      <c r="AU128" s="281">
        <f t="shared" si="188"/>
        <v>0</v>
      </c>
      <c r="AV128" s="829"/>
      <c r="AW128" s="391">
        <f>INDEX(Pflanzen!$AA$5:$AA$104,'Nährstoffe und Lagerraum'!$AX128)</f>
        <v>0</v>
      </c>
      <c r="AX128" s="157">
        <v>1</v>
      </c>
      <c r="AY128" s="157">
        <f>INDEX(Pflanzen!$I$5:$I$104,'Nährstoffe und Lagerraum'!$AX128)</f>
        <v>0</v>
      </c>
      <c r="AZ128" s="1852">
        <f>INDEX(Pflanzen!$W$5:$W$104,'Nährstoffe und Lagerraum'!$AX128)</f>
        <v>0</v>
      </c>
      <c r="BA128" s="157">
        <f>INDEX(Pflanzen!$X$5:$X$104,'Nährstoffe und Lagerraum'!$AX128)</f>
        <v>0</v>
      </c>
      <c r="BB128" s="157">
        <f>INDEX(Pflanzen!$Y$5:$Y$104,'Nährstoffe und Lagerraum'!$AX128)</f>
        <v>0</v>
      </c>
      <c r="BC128" s="157">
        <f>INDEX(Pflanzen!$N$5:$N$104,'Nährstoffe und Lagerraum'!$AX128)</f>
        <v>0</v>
      </c>
      <c r="BD128" s="157">
        <f>INDEX(Pflanzen!$P$5:$P$104,'Nährstoffe und Lagerraum'!$AX128)</f>
        <v>0</v>
      </c>
      <c r="BE128" s="157">
        <f>INDEX(Pflanzen!$AE$5:$AE$104,'Nährstoffe und Lagerraum'!$AX128)</f>
        <v>0</v>
      </c>
      <c r="BF128" s="827"/>
      <c r="BG128" s="212"/>
      <c r="BH128" s="212"/>
      <c r="BI128" s="157">
        <f>INDEX(Pflanzen!$R$5:$R111,'Nährstoffe und Lagerraum'!$AX128)</f>
        <v>0</v>
      </c>
      <c r="BJ128" s="207">
        <f t="shared" si="189"/>
        <v>0</v>
      </c>
      <c r="BK128" s="207"/>
      <c r="BL128" s="659"/>
      <c r="BN128" s="207"/>
      <c r="BO128" s="157">
        <f>INDEX(Pflanzen!$AF$5:$AF$104,'Nährstoffe und Lagerraum'!$AX128)</f>
        <v>0</v>
      </c>
      <c r="BP128" s="216">
        <f t="shared" si="165"/>
        <v>0</v>
      </c>
      <c r="BQ128" s="207"/>
      <c r="BR128" s="207"/>
      <c r="BS128" s="207"/>
      <c r="BT128" s="207"/>
      <c r="BU128" s="207"/>
      <c r="BV128" s="207"/>
      <c r="BW128" s="207"/>
      <c r="BX128" s="157"/>
      <c r="BY128" s="157"/>
      <c r="BZ128" s="157"/>
      <c r="CA128" s="157"/>
      <c r="CB128" s="157"/>
      <c r="CC128" s="157"/>
      <c r="CD128" s="157"/>
      <c r="CE128" s="157"/>
      <c r="CF128" s="2121"/>
      <c r="CG128" s="2121"/>
      <c r="CH128" s="2121"/>
      <c r="CI128" s="157"/>
      <c r="CJ128" s="157"/>
      <c r="CK128" s="157"/>
      <c r="CL128" s="2121"/>
      <c r="CM128" s="2121"/>
      <c r="CN128" s="2121"/>
      <c r="CO128" s="157"/>
      <c r="CP128" s="185"/>
      <c r="CQ128" s="185"/>
      <c r="CR128" s="185"/>
      <c r="CS128" s="212"/>
      <c r="CT128" s="157"/>
      <c r="CU128" s="157"/>
      <c r="CV128" s="157"/>
      <c r="CW128" s="191"/>
      <c r="CX128" s="191"/>
      <c r="CY128" s="191"/>
      <c r="CZ128" s="191"/>
      <c r="DA128" s="191"/>
      <c r="DB128" s="157"/>
      <c r="DC128" s="157"/>
      <c r="DD128" s="157"/>
      <c r="DE128" s="157"/>
      <c r="DF128" s="157"/>
      <c r="DG128" s="157"/>
      <c r="DH128" s="157"/>
      <c r="DI128" s="157"/>
      <c r="DJ128" s="157"/>
      <c r="DK128" s="157"/>
      <c r="DL128" s="157"/>
      <c r="DM128" s="157"/>
      <c r="DN128" s="157"/>
      <c r="DO128" s="157"/>
      <c r="DP128" s="157"/>
      <c r="DQ128" s="157"/>
      <c r="DR128" s="157"/>
      <c r="DS128" s="185"/>
      <c r="DT128" s="185"/>
      <c r="DU128" s="185"/>
      <c r="DV128" s="185"/>
      <c r="DW128" s="185"/>
      <c r="DX128" s="2175"/>
      <c r="DY128" s="185"/>
      <c r="DZ128" s="185"/>
      <c r="EA128" s="185"/>
      <c r="EB128" s="185"/>
      <c r="EC128" s="185"/>
      <c r="ED128" s="185"/>
      <c r="EE128" s="185"/>
      <c r="EF128" s="185"/>
      <c r="EG128" s="185"/>
      <c r="EH128" s="185"/>
      <c r="EI128" s="185"/>
      <c r="EJ128" s="185"/>
      <c r="EK128" s="185"/>
      <c r="EL128" s="207"/>
      <c r="EM128" s="207"/>
      <c r="EN128" s="157"/>
      <c r="EO128" s="157"/>
      <c r="EP128" s="157"/>
      <c r="EQ128" s="157"/>
      <c r="ER128" s="157"/>
      <c r="ES128" s="157"/>
      <c r="ET128" s="15"/>
      <c r="EU128" s="15"/>
      <c r="EV128" s="14"/>
      <c r="EW128" s="14"/>
      <c r="EX128" s="15"/>
      <c r="EY128" s="15"/>
      <c r="EZ128" s="15"/>
      <c r="FA128" s="15"/>
      <c r="FB128" s="15"/>
      <c r="FC128" s="15"/>
      <c r="FD128" s="15"/>
      <c r="FE128" s="15"/>
    </row>
    <row r="129" spans="1:167" ht="15.75" customHeight="1" x14ac:dyDescent="0.25">
      <c r="A129" s="431"/>
      <c r="B129" s="429"/>
      <c r="C129" s="437"/>
      <c r="D129" s="1520"/>
      <c r="E129" s="1521"/>
      <c r="F129" s="1421">
        <f t="shared" si="154"/>
        <v>0</v>
      </c>
      <c r="G129" s="1422">
        <f t="shared" si="155"/>
        <v>0</v>
      </c>
      <c r="H129" s="1423">
        <f t="shared" si="166"/>
        <v>0</v>
      </c>
      <c r="I129" s="1422">
        <f t="shared" si="156"/>
        <v>0</v>
      </c>
      <c r="J129" s="1424">
        <f t="shared" si="157"/>
        <v>0</v>
      </c>
      <c r="K129" s="2338">
        <f t="shared" si="158"/>
        <v>0</v>
      </c>
      <c r="L129" s="2338"/>
      <c r="M129" s="1425">
        <f t="shared" si="159"/>
        <v>0</v>
      </c>
      <c r="N129" s="281"/>
      <c r="Q129" s="277">
        <f t="shared" si="167"/>
        <v>0</v>
      </c>
      <c r="R129" s="279">
        <f t="shared" si="168"/>
        <v>0</v>
      </c>
      <c r="S129" s="278">
        <f t="shared" si="169"/>
        <v>0</v>
      </c>
      <c r="T129" s="278">
        <f t="shared" si="170"/>
        <v>0</v>
      </c>
      <c r="U129" s="279">
        <f t="shared" si="171"/>
        <v>0</v>
      </c>
      <c r="V129" s="279">
        <f t="shared" si="172"/>
        <v>0</v>
      </c>
      <c r="W129" s="280">
        <f t="shared" si="173"/>
        <v>0</v>
      </c>
      <c r="X129" s="283"/>
      <c r="Y129" s="283">
        <f t="shared" si="174"/>
        <v>0</v>
      </c>
      <c r="Z129" s="281">
        <f t="shared" si="175"/>
        <v>0</v>
      </c>
      <c r="AA129" s="281">
        <f t="shared" si="176"/>
        <v>0</v>
      </c>
      <c r="AB129" s="283">
        <f t="shared" si="177"/>
        <v>0</v>
      </c>
      <c r="AC129" s="283">
        <f t="shared" si="178"/>
        <v>0</v>
      </c>
      <c r="AD129" s="146">
        <f t="shared" si="179"/>
        <v>0</v>
      </c>
      <c r="AE129" s="146">
        <f t="shared" si="180"/>
        <v>0</v>
      </c>
      <c r="AF129" s="283">
        <f t="shared" si="181"/>
        <v>0</v>
      </c>
      <c r="AG129" s="283">
        <f t="shared" si="182"/>
        <v>0</v>
      </c>
      <c r="AH129" s="283" t="e">
        <f t="shared" si="183"/>
        <v>#DIV/0!</v>
      </c>
      <c r="AJ129" s="283"/>
      <c r="AK129" s="283"/>
      <c r="AL129" s="281">
        <f t="shared" si="160"/>
        <v>0</v>
      </c>
      <c r="AM129" s="281">
        <f t="shared" si="161"/>
        <v>0</v>
      </c>
      <c r="AN129" s="281">
        <f t="shared" si="162"/>
        <v>0</v>
      </c>
      <c r="AO129" s="281">
        <f t="shared" si="163"/>
        <v>0</v>
      </c>
      <c r="AP129" s="281">
        <f t="shared" si="164"/>
        <v>0</v>
      </c>
      <c r="AQ129" s="281">
        <f t="shared" si="184"/>
        <v>0</v>
      </c>
      <c r="AR129" s="281">
        <f t="shared" si="185"/>
        <v>0</v>
      </c>
      <c r="AS129" s="281">
        <f t="shared" si="186"/>
        <v>0</v>
      </c>
      <c r="AT129" s="281">
        <f t="shared" si="187"/>
        <v>0</v>
      </c>
      <c r="AU129" s="281">
        <f t="shared" si="188"/>
        <v>0</v>
      </c>
      <c r="AV129" s="829"/>
      <c r="AW129" s="391">
        <f>INDEX(Pflanzen!$AA$5:$AA$104,'Nährstoffe und Lagerraum'!$AX129)</f>
        <v>0</v>
      </c>
      <c r="AX129" s="157">
        <v>1</v>
      </c>
      <c r="AY129" s="157">
        <f>INDEX(Pflanzen!$I$5:$I$104,'Nährstoffe und Lagerraum'!$AX129)</f>
        <v>0</v>
      </c>
      <c r="AZ129" s="1852">
        <f>INDEX(Pflanzen!$W$5:$W$104,'Nährstoffe und Lagerraum'!$AX129)</f>
        <v>0</v>
      </c>
      <c r="BA129" s="157">
        <f>INDEX(Pflanzen!$X$5:$X$104,'Nährstoffe und Lagerraum'!$AX129)</f>
        <v>0</v>
      </c>
      <c r="BB129" s="157">
        <f>INDEX(Pflanzen!$Y$5:$Y$104,'Nährstoffe und Lagerraum'!$AX129)</f>
        <v>0</v>
      </c>
      <c r="BC129" s="157">
        <f>INDEX(Pflanzen!$N$5:$N$104,'Nährstoffe und Lagerraum'!$AX129)</f>
        <v>0</v>
      </c>
      <c r="BD129" s="157">
        <f>INDEX(Pflanzen!$P$5:$P$104,'Nährstoffe und Lagerraum'!$AX129)</f>
        <v>0</v>
      </c>
      <c r="BE129" s="157">
        <f>INDEX(Pflanzen!$AE$5:$AE$104,'Nährstoffe und Lagerraum'!$AX129)</f>
        <v>0</v>
      </c>
      <c r="BF129" s="827"/>
      <c r="BG129" s="212"/>
      <c r="BH129" s="212"/>
      <c r="BI129" s="157">
        <f>INDEX(Pflanzen!$R$5:$R111,'Nährstoffe und Lagerraum'!$AX129)</f>
        <v>0</v>
      </c>
      <c r="BJ129" s="207">
        <f t="shared" si="189"/>
        <v>0</v>
      </c>
      <c r="BK129" s="207"/>
      <c r="BL129" s="659"/>
      <c r="BN129" s="207"/>
      <c r="BO129" s="157">
        <f>INDEX(Pflanzen!$AF$5:$AF$104,'Nährstoffe und Lagerraum'!$AX129)</f>
        <v>0</v>
      </c>
      <c r="BP129" s="216">
        <f t="shared" si="165"/>
        <v>0</v>
      </c>
      <c r="BQ129" s="207"/>
      <c r="BR129" s="207"/>
      <c r="BS129" s="207"/>
      <c r="BT129" s="207"/>
      <c r="BU129" s="207"/>
      <c r="BV129" s="207"/>
      <c r="BW129" s="207"/>
      <c r="BX129" s="157"/>
      <c r="BY129" s="157"/>
      <c r="BZ129" s="157"/>
      <c r="CA129" s="157"/>
      <c r="CB129" s="157"/>
      <c r="CC129" s="157"/>
      <c r="CD129" s="157"/>
      <c r="CE129" s="157"/>
      <c r="CF129" s="2121"/>
      <c r="CG129" s="2121"/>
      <c r="CH129" s="2121"/>
      <c r="CI129" s="157"/>
      <c r="CJ129" s="157"/>
      <c r="CK129" s="157"/>
      <c r="CL129" s="2121"/>
      <c r="CM129" s="2121"/>
      <c r="CN129" s="2121"/>
      <c r="CO129" s="157"/>
      <c r="CP129" s="185"/>
      <c r="CQ129" s="185"/>
      <c r="CR129" s="185"/>
      <c r="CS129" s="212"/>
      <c r="CT129" s="157"/>
      <c r="CU129" s="157"/>
      <c r="CV129" s="157"/>
      <c r="CW129" s="191"/>
      <c r="CX129" s="191"/>
      <c r="CY129" s="191"/>
      <c r="CZ129" s="191"/>
      <c r="DA129" s="191"/>
      <c r="DB129" s="157"/>
      <c r="DC129" s="157"/>
      <c r="DD129" s="157"/>
      <c r="DE129" s="157"/>
      <c r="DF129" s="157"/>
      <c r="DG129" s="157"/>
      <c r="DH129" s="157"/>
      <c r="DI129" s="157"/>
      <c r="DJ129" s="157"/>
      <c r="DK129" s="157"/>
      <c r="DL129" s="157"/>
      <c r="DM129" s="157"/>
      <c r="DN129" s="157"/>
      <c r="DO129" s="157"/>
      <c r="DP129" s="157"/>
      <c r="DQ129" s="157"/>
      <c r="DR129" s="157"/>
      <c r="DS129" s="185"/>
      <c r="DT129" s="185"/>
      <c r="DU129" s="185"/>
      <c r="DV129" s="185"/>
      <c r="DW129" s="185"/>
      <c r="DX129" s="2175"/>
      <c r="DY129" s="185"/>
      <c r="DZ129" s="185"/>
      <c r="EA129" s="185"/>
      <c r="EB129" s="185"/>
      <c r="EC129" s="185"/>
      <c r="ED129" s="185"/>
      <c r="EE129" s="185"/>
      <c r="EF129" s="185"/>
      <c r="EG129" s="185"/>
      <c r="EH129" s="185"/>
      <c r="EI129" s="185"/>
      <c r="EJ129" s="185"/>
      <c r="EK129" s="185"/>
      <c r="EL129" s="207"/>
      <c r="EM129" s="207"/>
      <c r="EN129" s="157"/>
      <c r="EO129" s="157"/>
      <c r="EP129" s="157"/>
      <c r="EQ129" s="157"/>
      <c r="ER129" s="157"/>
      <c r="ES129" s="157"/>
      <c r="ET129" s="15"/>
      <c r="EU129" s="15"/>
      <c r="EV129" s="14"/>
      <c r="EW129" s="14"/>
      <c r="EX129" s="15"/>
      <c r="EY129" s="15"/>
      <c r="EZ129" s="15"/>
      <c r="FA129" s="15"/>
      <c r="FB129" s="15"/>
      <c r="FC129" s="15"/>
      <c r="FD129" s="15"/>
      <c r="FE129" s="15"/>
    </row>
    <row r="130" spans="1:167" ht="15.75" customHeight="1" thickBot="1" x14ac:dyDescent="0.3">
      <c r="A130" s="432"/>
      <c r="B130" s="433"/>
      <c r="C130" s="438"/>
      <c r="D130" s="1522"/>
      <c r="E130" s="1523"/>
      <c r="F130" s="1426">
        <f t="shared" si="154"/>
        <v>0</v>
      </c>
      <c r="G130" s="1427">
        <f t="shared" si="155"/>
        <v>0</v>
      </c>
      <c r="H130" s="1428">
        <f t="shared" si="166"/>
        <v>0</v>
      </c>
      <c r="I130" s="1427">
        <f t="shared" si="156"/>
        <v>0</v>
      </c>
      <c r="J130" s="1429">
        <f t="shared" si="157"/>
        <v>0</v>
      </c>
      <c r="K130" s="2850">
        <f t="shared" si="158"/>
        <v>0</v>
      </c>
      <c r="L130" s="2850"/>
      <c r="M130" s="1430">
        <f t="shared" si="159"/>
        <v>0</v>
      </c>
      <c r="N130" s="281"/>
      <c r="Q130" s="277">
        <f t="shared" si="167"/>
        <v>0</v>
      </c>
      <c r="R130" s="279">
        <f t="shared" si="168"/>
        <v>0</v>
      </c>
      <c r="S130" s="278">
        <f t="shared" si="169"/>
        <v>0</v>
      </c>
      <c r="T130" s="278">
        <f t="shared" si="170"/>
        <v>0</v>
      </c>
      <c r="U130" s="279">
        <f t="shared" si="171"/>
        <v>0</v>
      </c>
      <c r="V130" s="279">
        <f t="shared" si="172"/>
        <v>0</v>
      </c>
      <c r="W130" s="280">
        <f t="shared" si="173"/>
        <v>0</v>
      </c>
      <c r="X130" s="283"/>
      <c r="Y130" s="283">
        <f t="shared" si="174"/>
        <v>0</v>
      </c>
      <c r="Z130" s="281">
        <f t="shared" si="175"/>
        <v>0</v>
      </c>
      <c r="AA130" s="281">
        <f t="shared" si="176"/>
        <v>0</v>
      </c>
      <c r="AB130" s="283">
        <f t="shared" si="177"/>
        <v>0</v>
      </c>
      <c r="AC130" s="283">
        <f t="shared" si="178"/>
        <v>0</v>
      </c>
      <c r="AD130" s="146">
        <f t="shared" si="179"/>
        <v>0</v>
      </c>
      <c r="AE130" s="146">
        <f t="shared" si="180"/>
        <v>0</v>
      </c>
      <c r="AF130" s="283">
        <f t="shared" si="181"/>
        <v>0</v>
      </c>
      <c r="AG130" s="283">
        <f t="shared" si="182"/>
        <v>0</v>
      </c>
      <c r="AH130" s="283" t="e">
        <f t="shared" si="183"/>
        <v>#DIV/0!</v>
      </c>
      <c r="AJ130" s="283"/>
      <c r="AK130" s="283"/>
      <c r="AL130" s="281">
        <f t="shared" si="160"/>
        <v>0</v>
      </c>
      <c r="AM130" s="281">
        <f t="shared" si="161"/>
        <v>0</v>
      </c>
      <c r="AN130" s="281">
        <f t="shared" si="162"/>
        <v>0</v>
      </c>
      <c r="AO130" s="281">
        <f t="shared" si="163"/>
        <v>0</v>
      </c>
      <c r="AP130" s="281">
        <f t="shared" si="164"/>
        <v>0</v>
      </c>
      <c r="AQ130" s="281">
        <f t="shared" si="184"/>
        <v>0</v>
      </c>
      <c r="AR130" s="281">
        <f t="shared" si="185"/>
        <v>0</v>
      </c>
      <c r="AS130" s="281">
        <f t="shared" si="186"/>
        <v>0</v>
      </c>
      <c r="AT130" s="281">
        <f t="shared" si="187"/>
        <v>0</v>
      </c>
      <c r="AU130" s="281">
        <f t="shared" si="188"/>
        <v>0</v>
      </c>
      <c r="AV130" s="829"/>
      <c r="AW130" s="391">
        <f>INDEX(Pflanzen!$AA$5:$AA$104,'Nährstoffe und Lagerraum'!$AX130)</f>
        <v>0</v>
      </c>
      <c r="AX130" s="157">
        <v>1</v>
      </c>
      <c r="AY130" s="157">
        <f>INDEX(Pflanzen!$I$5:$I$104,'Nährstoffe und Lagerraum'!$AX130)</f>
        <v>0</v>
      </c>
      <c r="AZ130" s="1852">
        <f>INDEX(Pflanzen!$W$5:$W$104,'Nährstoffe und Lagerraum'!$AX130)</f>
        <v>0</v>
      </c>
      <c r="BA130" s="157">
        <f>INDEX(Pflanzen!$X$5:$X$104,'Nährstoffe und Lagerraum'!$AX130)</f>
        <v>0</v>
      </c>
      <c r="BB130" s="157">
        <f>INDEX(Pflanzen!$Y$5:$Y$104,'Nährstoffe und Lagerraum'!$AX130)</f>
        <v>0</v>
      </c>
      <c r="BC130" s="157">
        <f>INDEX(Pflanzen!$N$5:$N$104,'Nährstoffe und Lagerraum'!$AX130)</f>
        <v>0</v>
      </c>
      <c r="BD130" s="157">
        <f>INDEX(Pflanzen!$P$5:$P$104,'Nährstoffe und Lagerraum'!$AX130)</f>
        <v>0</v>
      </c>
      <c r="BE130" s="157">
        <f>INDEX(Pflanzen!$AE$5:$AE$104,'Nährstoffe und Lagerraum'!$AX130)</f>
        <v>0</v>
      </c>
      <c r="BF130" s="827"/>
      <c r="BG130" s="212"/>
      <c r="BH130" s="212"/>
      <c r="BI130" s="157">
        <f>INDEX(Pflanzen!$R$5:$R111,'Nährstoffe und Lagerraum'!$AX130)</f>
        <v>0</v>
      </c>
      <c r="BJ130" s="207">
        <f t="shared" si="189"/>
        <v>0</v>
      </c>
      <c r="BK130" s="207"/>
      <c r="BL130" s="659"/>
      <c r="BN130" s="207"/>
      <c r="BO130" s="157">
        <f>INDEX(Pflanzen!$AF$5:$AF$104,'Nährstoffe und Lagerraum'!$AX130)</f>
        <v>0</v>
      </c>
      <c r="BP130" s="216">
        <f t="shared" si="165"/>
        <v>0</v>
      </c>
      <c r="BQ130" s="207"/>
      <c r="BR130" s="207"/>
      <c r="BS130" s="207"/>
      <c r="BT130" s="207"/>
      <c r="BU130" s="207"/>
      <c r="BV130" s="207"/>
      <c r="BW130" s="207"/>
      <c r="BX130" s="157"/>
      <c r="BY130" s="157"/>
      <c r="BZ130" s="157"/>
      <c r="CA130" s="157"/>
      <c r="CB130" s="157"/>
      <c r="CC130" s="157"/>
      <c r="CD130" s="157"/>
      <c r="CE130" s="157"/>
      <c r="CF130" s="2121"/>
      <c r="CG130" s="2121"/>
      <c r="CH130" s="2121"/>
      <c r="CI130" s="157"/>
      <c r="CJ130" s="157"/>
      <c r="CK130" s="157"/>
      <c r="CL130" s="2121"/>
      <c r="CM130" s="2121"/>
      <c r="CN130" s="2121"/>
      <c r="CO130" s="157"/>
      <c r="CP130" s="185"/>
      <c r="CQ130" s="185"/>
      <c r="CR130" s="185"/>
      <c r="CS130" s="212"/>
      <c r="CT130" s="157"/>
      <c r="CU130" s="157"/>
      <c r="CV130" s="157"/>
      <c r="CW130" s="191"/>
      <c r="CX130" s="191"/>
      <c r="CY130" s="191"/>
      <c r="CZ130" s="191"/>
      <c r="DA130" s="191"/>
      <c r="DB130" s="157"/>
      <c r="DC130" s="157"/>
      <c r="DD130" s="157"/>
      <c r="DE130" s="157"/>
      <c r="DF130" s="157"/>
      <c r="DG130" s="157"/>
      <c r="DH130" s="157"/>
      <c r="DI130" s="157"/>
      <c r="DJ130" s="157"/>
      <c r="DK130" s="157"/>
      <c r="DL130" s="157"/>
      <c r="DM130" s="157"/>
      <c r="DN130" s="157"/>
      <c r="DO130" s="157"/>
      <c r="DP130" s="157"/>
      <c r="DQ130" s="157"/>
      <c r="DR130" s="157"/>
      <c r="DS130" s="185"/>
      <c r="DT130" s="185"/>
      <c r="DU130" s="185"/>
      <c r="DV130" s="185"/>
      <c r="DW130" s="185"/>
      <c r="DX130" s="2175"/>
      <c r="DY130" s="185"/>
      <c r="DZ130" s="185"/>
      <c r="EA130" s="185"/>
      <c r="EB130" s="185"/>
      <c r="EC130" s="185"/>
      <c r="ED130" s="185"/>
      <c r="EE130" s="185"/>
      <c r="EF130" s="185"/>
      <c r="EG130" s="185"/>
      <c r="EH130" s="185"/>
      <c r="EI130" s="185"/>
      <c r="EJ130" s="185"/>
      <c r="EK130" s="185"/>
      <c r="EL130" s="207"/>
      <c r="EM130" s="207"/>
      <c r="EN130" s="157"/>
      <c r="EO130" s="157"/>
      <c r="EP130" s="157"/>
      <c r="EQ130" s="157"/>
      <c r="ER130" s="157"/>
      <c r="ES130" s="157"/>
      <c r="ET130" s="15"/>
      <c r="EU130" s="15"/>
      <c r="EV130" s="14"/>
      <c r="EW130" s="14"/>
      <c r="EX130" s="15"/>
      <c r="EY130" s="15"/>
      <c r="EZ130" s="15"/>
      <c r="FA130" s="15"/>
      <c r="FB130" s="15"/>
      <c r="FC130" s="15"/>
      <c r="FD130" s="15"/>
      <c r="FE130" s="15"/>
    </row>
    <row r="131" spans="1:167" ht="15.75" customHeight="1" x14ac:dyDescent="0.2">
      <c r="A131" s="92"/>
      <c r="B131" s="92"/>
      <c r="C131" s="92"/>
      <c r="D131" s="92"/>
      <c r="E131" s="92"/>
      <c r="F131" s="92"/>
      <c r="G131" s="92"/>
      <c r="H131" s="92"/>
      <c r="I131" s="92"/>
      <c r="J131" s="92"/>
      <c r="K131" s="92"/>
      <c r="L131" s="92"/>
      <c r="M131" s="92"/>
      <c r="N131" s="15"/>
      <c r="P131" s="92"/>
      <c r="Q131" s="92"/>
      <c r="R131" s="92"/>
      <c r="S131" s="157"/>
      <c r="T131" s="157"/>
      <c r="U131" s="157"/>
      <c r="V131" s="157"/>
      <c r="W131" s="157"/>
      <c r="X131" s="157"/>
      <c r="Y131" s="157"/>
      <c r="Z131" s="157"/>
      <c r="AA131" s="157"/>
      <c r="AB131" s="157"/>
      <c r="AC131" s="157"/>
      <c r="AD131" s="157"/>
      <c r="AE131" s="157"/>
      <c r="AF131" s="157"/>
      <c r="AG131" s="157"/>
      <c r="AH131" s="157"/>
      <c r="AI131" s="157"/>
      <c r="AJ131" s="157"/>
      <c r="AK131" s="157"/>
      <c r="AL131" s="2192"/>
      <c r="AM131" s="2192"/>
      <c r="AN131" s="2192"/>
      <c r="AO131" s="2193"/>
      <c r="AP131" s="2193"/>
      <c r="AQ131" s="2193"/>
      <c r="AR131" s="2193"/>
      <c r="AS131" s="2193"/>
      <c r="AT131" s="2193"/>
      <c r="AU131" s="2193"/>
      <c r="AV131" s="830"/>
      <c r="AW131" s="207"/>
      <c r="AX131" s="207"/>
      <c r="AY131" s="207"/>
      <c r="AZ131" s="207"/>
      <c r="BA131" s="207"/>
      <c r="BB131" s="207"/>
      <c r="BC131" s="207"/>
      <c r="BD131" s="207"/>
      <c r="BE131" s="207"/>
      <c r="BF131" s="207"/>
      <c r="BG131" s="207"/>
      <c r="BH131" s="207"/>
      <c r="BI131" s="207"/>
      <c r="BJ131" s="207"/>
      <c r="BK131" s="207"/>
      <c r="BL131" s="659"/>
      <c r="BM131" s="207"/>
      <c r="BN131" s="157"/>
      <c r="BO131" s="157"/>
      <c r="BP131" s="216"/>
      <c r="BQ131" s="157"/>
      <c r="BR131" s="157"/>
      <c r="BS131" s="157"/>
      <c r="BT131" s="157"/>
      <c r="BU131" s="157"/>
      <c r="BV131" s="157"/>
      <c r="BW131" s="157"/>
      <c r="BX131" s="157"/>
      <c r="BY131" s="157"/>
      <c r="BZ131" s="157"/>
      <c r="CA131" s="157"/>
      <c r="CB131" s="185"/>
      <c r="CC131" s="185"/>
      <c r="CD131" s="185"/>
      <c r="CE131" s="212"/>
      <c r="CF131" s="212"/>
      <c r="CG131" s="212"/>
      <c r="CH131" s="212"/>
      <c r="CI131" s="157"/>
      <c r="CJ131" s="157"/>
      <c r="CK131" s="191"/>
      <c r="CL131" s="191"/>
      <c r="CM131" s="191"/>
      <c r="CN131" s="191"/>
      <c r="CO131" s="191"/>
      <c r="CP131" s="191"/>
      <c r="CQ131" s="191"/>
      <c r="CR131" s="157"/>
      <c r="CS131" s="157"/>
      <c r="CT131" s="157"/>
      <c r="CU131" s="157"/>
      <c r="CV131" s="157"/>
      <c r="CW131" s="157"/>
      <c r="CX131" s="157"/>
      <c r="CY131" s="157"/>
      <c r="CZ131" s="157"/>
      <c r="DA131" s="157"/>
      <c r="DB131" s="157"/>
      <c r="DC131" s="185"/>
      <c r="DD131" s="185"/>
      <c r="DE131" s="207"/>
      <c r="DF131" s="207"/>
      <c r="DG131" s="207"/>
      <c r="DH131" s="207"/>
      <c r="DI131" s="207"/>
      <c r="DJ131" s="157"/>
      <c r="DK131" s="157"/>
      <c r="DL131" s="157"/>
      <c r="DM131" s="157"/>
      <c r="DN131" s="15"/>
      <c r="DO131" s="15"/>
      <c r="DP131" s="15"/>
      <c r="DQ131" s="15"/>
      <c r="DR131" s="15"/>
      <c r="DS131" s="14"/>
      <c r="DT131" s="14"/>
      <c r="DU131" s="14"/>
      <c r="DV131" s="14"/>
      <c r="DW131" s="14"/>
      <c r="DX131" s="2176"/>
      <c r="DY131" s="14"/>
      <c r="DZ131" s="14"/>
      <c r="EA131" s="14"/>
      <c r="EB131" s="14"/>
      <c r="EC131" s="14"/>
      <c r="ED131" s="14"/>
      <c r="EE131" s="14"/>
      <c r="EF131" s="14"/>
      <c r="EG131" s="14"/>
      <c r="EH131" s="14"/>
      <c r="EI131" s="14"/>
      <c r="EJ131" s="14"/>
      <c r="EK131" s="14"/>
      <c r="EL131" s="15"/>
      <c r="EM131" s="15"/>
      <c r="EN131" s="15"/>
      <c r="EO131" s="15"/>
      <c r="EP131" s="15"/>
      <c r="EQ131" s="15"/>
      <c r="ER131" s="15"/>
      <c r="ES131" s="15"/>
    </row>
    <row r="132" spans="1:167" ht="15.75" customHeight="1" x14ac:dyDescent="0.2">
      <c r="A132" s="93" t="s">
        <v>442</v>
      </c>
      <c r="B132" s="92"/>
      <c r="C132" s="92"/>
      <c r="D132" s="92"/>
      <c r="E132" s="376"/>
      <c r="F132" s="92"/>
      <c r="G132" s="92"/>
      <c r="H132" s="92"/>
      <c r="I132" s="92"/>
      <c r="J132" s="92"/>
      <c r="K132" s="92"/>
      <c r="L132" s="92"/>
      <c r="M132" s="92"/>
      <c r="N132" s="15"/>
      <c r="P132" s="92"/>
      <c r="Q132" s="92"/>
      <c r="R132" s="92"/>
      <c r="S132" s="157"/>
      <c r="T132" s="157"/>
      <c r="U132" s="157"/>
      <c r="V132" s="157"/>
      <c r="W132" s="157"/>
      <c r="X132" s="157"/>
      <c r="Y132" s="157"/>
      <c r="Z132" s="157"/>
      <c r="AA132" s="157"/>
      <c r="AB132" s="157"/>
      <c r="AC132" s="157"/>
      <c r="AD132" s="157"/>
      <c r="AE132" s="157"/>
      <c r="AF132" s="157"/>
      <c r="AG132" s="157"/>
      <c r="AH132" s="157"/>
      <c r="AI132" s="157"/>
      <c r="AJ132" s="157"/>
      <c r="AK132" s="157"/>
      <c r="AL132" s="2192"/>
      <c r="AM132" s="2192"/>
      <c r="AN132" s="2192"/>
      <c r="AO132" s="2193"/>
      <c r="AP132" s="2193"/>
      <c r="AQ132" s="2193"/>
      <c r="AR132" s="2193"/>
      <c r="AS132" s="2193"/>
      <c r="AT132" s="2193"/>
      <c r="AU132" s="2193"/>
      <c r="AV132" s="830"/>
      <c r="AW132" s="207"/>
      <c r="AY132" s="207"/>
      <c r="AZ132" s="207"/>
      <c r="BA132" s="207"/>
      <c r="BB132" s="207"/>
      <c r="BC132" s="207"/>
      <c r="BD132" s="207"/>
      <c r="BE132" s="207"/>
      <c r="BF132" s="207"/>
      <c r="BG132" s="207"/>
      <c r="BH132" s="207"/>
      <c r="BI132" s="207"/>
      <c r="BJ132" s="207"/>
      <c r="BK132" s="207"/>
      <c r="BL132" s="659"/>
      <c r="BM132" s="157"/>
      <c r="BN132" s="157"/>
      <c r="BO132" s="157"/>
      <c r="BP132" s="216"/>
      <c r="BQ132" s="157"/>
      <c r="BR132" s="157"/>
      <c r="BS132" s="157"/>
      <c r="BT132" s="157"/>
      <c r="BU132" s="157"/>
      <c r="BV132" s="157"/>
      <c r="BW132" s="157"/>
      <c r="BX132" s="157"/>
      <c r="BY132" s="157"/>
      <c r="BZ132" s="157"/>
      <c r="CA132" s="185"/>
      <c r="CB132" s="185"/>
      <c r="CC132" s="185"/>
      <c r="CD132" s="212"/>
      <c r="CE132" s="157"/>
      <c r="CF132" s="2121"/>
      <c r="CG132" s="2121"/>
      <c r="CH132" s="2121"/>
      <c r="CI132" s="157"/>
      <c r="CJ132" s="191"/>
      <c r="CK132" s="191"/>
      <c r="CL132" s="191"/>
      <c r="CM132" s="191"/>
      <c r="CN132" s="191"/>
      <c r="CO132" s="191"/>
      <c r="CP132" s="191"/>
      <c r="CQ132" s="157"/>
      <c r="CR132" s="157"/>
      <c r="CS132" s="157"/>
      <c r="CT132" s="157"/>
      <c r="CU132" s="157"/>
      <c r="CV132" s="157"/>
      <c r="CW132" s="157"/>
      <c r="CX132" s="157"/>
      <c r="CY132" s="157"/>
      <c r="CZ132" s="157"/>
      <c r="DA132" s="157"/>
      <c r="DB132" s="185"/>
      <c r="DC132" s="185"/>
      <c r="DD132" s="207"/>
      <c r="DE132" s="207"/>
      <c r="DF132" s="157"/>
      <c r="DG132" s="157"/>
      <c r="DH132" s="157"/>
      <c r="DI132" s="157"/>
      <c r="DJ132" s="157"/>
      <c r="DK132" s="157"/>
      <c r="DL132" s="157"/>
      <c r="DM132" s="15"/>
      <c r="DN132" s="15"/>
      <c r="DO132" s="15"/>
      <c r="DP132" s="15"/>
      <c r="DQ132" s="15"/>
      <c r="DR132" s="14"/>
      <c r="DS132" s="14"/>
      <c r="DT132" s="14"/>
      <c r="DU132" s="14"/>
      <c r="DV132" s="14"/>
      <c r="DW132" s="14"/>
      <c r="DX132" s="2176"/>
      <c r="DY132" s="14"/>
      <c r="DZ132" s="14"/>
      <c r="EA132" s="14"/>
      <c r="EB132" s="14"/>
      <c r="EC132" s="14"/>
      <c r="ED132" s="14"/>
      <c r="EE132" s="14"/>
      <c r="EF132" s="14"/>
      <c r="EG132" s="14"/>
      <c r="EH132" s="14"/>
      <c r="EI132" s="14"/>
      <c r="EJ132" s="14"/>
      <c r="EK132" s="15"/>
      <c r="EL132" s="15"/>
      <c r="EM132" s="15"/>
      <c r="EN132" s="15"/>
      <c r="EO132" s="15"/>
      <c r="EP132" s="15"/>
      <c r="EQ132" s="15"/>
      <c r="ER132" s="15"/>
    </row>
    <row r="133" spans="1:167" ht="11.25" customHeight="1" thickBot="1" x14ac:dyDescent="0.3">
      <c r="A133" s="298"/>
      <c r="B133" s="120"/>
      <c r="C133" s="120"/>
      <c r="E133" s="120"/>
      <c r="F133" s="120"/>
      <c r="G133" s="276"/>
      <c r="H133" s="296"/>
      <c r="I133" s="296"/>
      <c r="J133" s="296"/>
      <c r="K133" s="296"/>
      <c r="L133" s="296"/>
      <c r="M133" s="296"/>
      <c r="N133" s="296"/>
      <c r="O133" s="296" t="s">
        <v>197</v>
      </c>
      <c r="P133" s="296"/>
      <c r="Q133" s="296"/>
      <c r="R133" s="296"/>
      <c r="S133" s="296"/>
      <c r="T133" s="296"/>
      <c r="U133" s="296"/>
      <c r="V133" s="296"/>
      <c r="W133" s="157"/>
      <c r="X133" s="157"/>
      <c r="Y133" s="157"/>
      <c r="Z133" s="157"/>
      <c r="AA133" s="157"/>
      <c r="AB133" s="157"/>
      <c r="AC133" s="157"/>
      <c r="AD133" s="157"/>
      <c r="AE133" s="157"/>
      <c r="AF133" s="157"/>
      <c r="AG133" s="157"/>
      <c r="AH133" s="157"/>
      <c r="AI133" s="157"/>
      <c r="AJ133" s="157"/>
      <c r="AK133" s="157"/>
      <c r="AL133" s="1314" t="s">
        <v>1045</v>
      </c>
      <c r="AM133" s="2192"/>
      <c r="AN133" s="2192"/>
      <c r="AO133" s="2193"/>
      <c r="AP133" s="2193"/>
      <c r="AQ133" s="217" t="s">
        <v>1049</v>
      </c>
      <c r="AR133" s="2193"/>
      <c r="AS133" s="2193"/>
      <c r="AT133" s="2193"/>
      <c r="AU133" s="2193"/>
      <c r="AV133" s="830"/>
      <c r="AW133" s="207"/>
      <c r="AX133" s="207"/>
      <c r="AY133" s="207"/>
      <c r="AZ133" s="207"/>
      <c r="BA133" s="207"/>
      <c r="BB133" s="207"/>
      <c r="BC133" s="207"/>
      <c r="BD133" s="207"/>
      <c r="BE133" s="207"/>
      <c r="BF133" s="207"/>
      <c r="BG133" s="207"/>
      <c r="BH133" s="207"/>
      <c r="BI133" s="207"/>
      <c r="BJ133" s="207"/>
      <c r="BK133" s="207"/>
      <c r="BL133" s="659"/>
      <c r="BM133" s="157"/>
      <c r="BN133" s="157"/>
      <c r="BO133" s="157"/>
      <c r="BP133" s="216"/>
      <c r="BQ133" s="157"/>
      <c r="BR133" s="157"/>
      <c r="BS133" s="157"/>
      <c r="BT133" s="157"/>
      <c r="BU133" s="157"/>
      <c r="BV133" s="157"/>
      <c r="BW133" s="157"/>
      <c r="BX133" s="157"/>
      <c r="BY133" s="157"/>
      <c r="BZ133" s="157"/>
      <c r="CA133" s="185"/>
      <c r="CB133" s="185"/>
      <c r="CC133" s="185"/>
      <c r="CD133" s="212"/>
      <c r="CE133" s="157"/>
      <c r="CF133" s="2121"/>
      <c r="CG133" s="2121"/>
      <c r="CH133" s="2121"/>
      <c r="CI133" s="157"/>
      <c r="CJ133" s="191"/>
      <c r="CK133" s="191"/>
      <c r="CL133" s="191"/>
      <c r="CM133" s="191"/>
      <c r="CN133" s="191"/>
      <c r="CO133" s="191"/>
      <c r="CP133" s="191"/>
      <c r="CQ133" s="157"/>
      <c r="CR133" s="157"/>
      <c r="CS133" s="157"/>
      <c r="CT133" s="157"/>
      <c r="CU133" s="157"/>
      <c r="CV133" s="157"/>
      <c r="CW133" s="157"/>
      <c r="CX133" s="157"/>
      <c r="CY133" s="157"/>
      <c r="CZ133" s="157"/>
      <c r="DA133" s="157"/>
      <c r="DB133" s="185"/>
      <c r="DC133" s="185"/>
      <c r="DD133" s="207"/>
      <c r="DE133" s="207"/>
      <c r="DF133" s="157"/>
      <c r="DG133" s="157"/>
      <c r="DH133" s="157"/>
      <c r="DI133" s="157"/>
      <c r="DJ133" s="157"/>
      <c r="DK133" s="157"/>
      <c r="DL133" s="157"/>
      <c r="DM133" s="15"/>
      <c r="DN133" s="15"/>
      <c r="DO133" s="15"/>
      <c r="DP133" s="15"/>
      <c r="DQ133" s="15"/>
      <c r="DR133" s="14"/>
      <c r="DS133" s="14"/>
      <c r="DT133" s="14"/>
      <c r="DU133" s="14"/>
      <c r="DV133" s="14"/>
      <c r="DW133" s="14"/>
      <c r="DX133" s="2176"/>
      <c r="DY133" s="14"/>
      <c r="DZ133" s="14"/>
      <c r="EA133" s="14"/>
      <c r="EB133" s="14"/>
      <c r="EC133" s="14"/>
      <c r="ED133" s="14"/>
      <c r="EE133" s="14"/>
      <c r="EF133" s="14"/>
      <c r="EG133" s="14"/>
      <c r="EH133" s="14"/>
      <c r="EI133" s="14"/>
      <c r="EJ133" s="14"/>
      <c r="EK133" s="15"/>
      <c r="EL133" s="15"/>
      <c r="EM133" s="15"/>
      <c r="EN133" s="15"/>
      <c r="EO133" s="15"/>
      <c r="EP133" s="15"/>
      <c r="EQ133" s="15"/>
      <c r="ER133" s="15"/>
    </row>
    <row r="134" spans="1:167" ht="15.75" customHeight="1" x14ac:dyDescent="0.35">
      <c r="A134" s="2565" t="s">
        <v>670</v>
      </c>
      <c r="B134" s="2566"/>
      <c r="C134" s="2555" t="s">
        <v>1036</v>
      </c>
      <c r="D134" s="2556"/>
      <c r="E134" s="1324" t="s">
        <v>275</v>
      </c>
      <c r="F134" s="2847" t="s">
        <v>1014</v>
      </c>
      <c r="G134" s="1944" t="s">
        <v>923</v>
      </c>
      <c r="H134" s="490" t="s">
        <v>425</v>
      </c>
      <c r="I134" s="491" t="s">
        <v>426</v>
      </c>
      <c r="J134" s="490" t="s">
        <v>4</v>
      </c>
      <c r="K134" s="2361" t="s">
        <v>427</v>
      </c>
      <c r="L134" s="2362"/>
      <c r="M134" s="468" t="s">
        <v>718</v>
      </c>
      <c r="N134" s="4"/>
      <c r="Q134" s="270" t="s">
        <v>429</v>
      </c>
      <c r="R134" s="336" t="s">
        <v>426</v>
      </c>
      <c r="S134" s="273" t="s">
        <v>198</v>
      </c>
      <c r="T134" s="273" t="s">
        <v>277</v>
      </c>
      <c r="U134" s="273" t="s">
        <v>4</v>
      </c>
      <c r="V134" s="273" t="s">
        <v>427</v>
      </c>
      <c r="W134" s="272" t="s">
        <v>428</v>
      </c>
      <c r="X134" s="335"/>
      <c r="Y134" s="335"/>
      <c r="Z134" s="335"/>
      <c r="AA134" s="335"/>
      <c r="AB134" s="335"/>
      <c r="AC134" s="335"/>
      <c r="AD134" s="335"/>
      <c r="AE134" s="335"/>
      <c r="AF134" s="335"/>
      <c r="AG134" s="335"/>
      <c r="AH134" s="335"/>
      <c r="AI134" s="335"/>
      <c r="AJ134" s="335"/>
      <c r="AK134" s="335"/>
      <c r="AL134" s="839" t="s">
        <v>451</v>
      </c>
      <c r="AM134" s="840"/>
      <c r="AN134" s="840"/>
      <c r="AO134" s="840"/>
      <c r="AP134" s="840"/>
      <c r="AQ134" s="841" t="s">
        <v>564</v>
      </c>
      <c r="AR134" s="840"/>
      <c r="AS134" s="840"/>
      <c r="AT134" s="840"/>
      <c r="AU134" s="840"/>
      <c r="AV134" s="831"/>
      <c r="AW134" s="823" t="s">
        <v>618</v>
      </c>
      <c r="AX134" s="207"/>
      <c r="AY134" s="207"/>
      <c r="AZ134" s="207"/>
      <c r="BA134" s="207"/>
      <c r="BB134" s="207"/>
      <c r="BC134" s="207"/>
      <c r="BD134" s="207"/>
      <c r="BE134" s="207"/>
      <c r="BF134" s="816"/>
      <c r="BG134" s="217"/>
      <c r="BH134" s="207"/>
      <c r="BI134" s="207"/>
      <c r="BJ134" s="207"/>
      <c r="BK134" s="207"/>
      <c r="BL134" s="659"/>
      <c r="BM134" s="207" t="s">
        <v>680</v>
      </c>
      <c r="BN134" s="207" t="s">
        <v>680</v>
      </c>
      <c r="BO134" s="207" t="s">
        <v>680</v>
      </c>
      <c r="BP134" s="157" t="s">
        <v>704</v>
      </c>
      <c r="BQ134" s="157"/>
      <c r="BR134" s="157"/>
      <c r="BS134" s="157"/>
      <c r="BT134" s="157"/>
      <c r="BU134" s="157"/>
      <c r="BV134" s="157"/>
      <c r="BW134" s="157"/>
      <c r="BX134" s="157"/>
      <c r="BY134" s="157"/>
      <c r="BZ134" s="157"/>
      <c r="CA134" s="185"/>
      <c r="CB134" s="185"/>
      <c r="CC134" s="185"/>
      <c r="CD134" s="212"/>
      <c r="CE134" s="157"/>
      <c r="CF134" s="2121"/>
      <c r="CG134" s="2121"/>
      <c r="CH134" s="2121"/>
      <c r="CI134" s="157"/>
      <c r="CJ134" s="191"/>
      <c r="CK134" s="191"/>
      <c r="CL134" s="191"/>
      <c r="CM134" s="191"/>
      <c r="CN134" s="191"/>
      <c r="CO134" s="191"/>
      <c r="CP134" s="191"/>
      <c r="CQ134" s="157"/>
      <c r="CR134" s="157"/>
      <c r="CS134" s="157"/>
      <c r="CT134" s="157"/>
      <c r="CU134" s="157"/>
      <c r="CV134" s="157"/>
      <c r="CW134" s="157"/>
      <c r="CX134" s="157"/>
      <c r="CY134" s="157"/>
      <c r="CZ134" s="157"/>
      <c r="DA134" s="157"/>
      <c r="DB134" s="185"/>
      <c r="DC134" s="185"/>
      <c r="DD134" s="207"/>
      <c r="DE134" s="207"/>
      <c r="DF134" s="157"/>
      <c r="DG134" s="157"/>
      <c r="DH134" s="157"/>
      <c r="DI134" s="157"/>
      <c r="DJ134" s="157"/>
      <c r="DK134" s="157"/>
      <c r="DL134" s="157"/>
      <c r="DM134" s="15"/>
      <c r="DN134" s="15"/>
      <c r="DO134" s="15"/>
      <c r="DP134" s="15"/>
      <c r="DQ134" s="15"/>
      <c r="DR134" s="14"/>
      <c r="DS134" s="14"/>
      <c r="DT134" s="14"/>
      <c r="DU134" s="14"/>
      <c r="DV134" s="14"/>
      <c r="DW134" s="14"/>
      <c r="DX134" s="2176"/>
      <c r="DY134" s="14"/>
      <c r="DZ134" s="14"/>
      <c r="EA134" s="14"/>
      <c r="EB134" s="14"/>
      <c r="EC134" s="14"/>
      <c r="ED134" s="14"/>
      <c r="EE134" s="14"/>
      <c r="EF134" s="14"/>
      <c r="EG134" s="14"/>
      <c r="EH134" s="14"/>
      <c r="EI134" s="14"/>
      <c r="EJ134" s="14"/>
      <c r="EK134" s="15"/>
      <c r="EL134" s="15"/>
      <c r="EM134" s="15"/>
      <c r="EN134" s="15"/>
      <c r="EO134" s="15"/>
      <c r="EP134" s="15"/>
      <c r="EQ134" s="15"/>
      <c r="ER134" s="15"/>
    </row>
    <row r="135" spans="1:167" ht="15.75" customHeight="1" x14ac:dyDescent="0.35">
      <c r="A135" s="492" t="s">
        <v>671</v>
      </c>
      <c r="B135" s="501"/>
      <c r="C135" s="2557"/>
      <c r="D135" s="2558"/>
      <c r="E135" s="707" t="s">
        <v>430</v>
      </c>
      <c r="F135" s="2848"/>
      <c r="G135" s="493" t="s">
        <v>432</v>
      </c>
      <c r="H135" s="493" t="s">
        <v>433</v>
      </c>
      <c r="I135" s="494" t="s">
        <v>434</v>
      </c>
      <c r="J135" s="2611" t="s">
        <v>238</v>
      </c>
      <c r="K135" s="2612"/>
      <c r="L135" s="2612"/>
      <c r="M135" s="2613"/>
      <c r="N135" s="4"/>
      <c r="P135" s="807" t="s">
        <v>8751</v>
      </c>
      <c r="Q135" s="274" t="s">
        <v>435</v>
      </c>
      <c r="R135" s="337" t="s">
        <v>565</v>
      </c>
      <c r="S135" s="287" t="s">
        <v>436</v>
      </c>
      <c r="T135" s="288"/>
      <c r="U135" s="288"/>
      <c r="V135" s="288"/>
      <c r="W135" s="289"/>
      <c r="X135" s="285"/>
      <c r="Y135" s="285"/>
      <c r="Z135" s="285"/>
      <c r="AA135" s="285"/>
      <c r="AB135" s="285"/>
      <c r="AC135" s="285"/>
      <c r="AD135" s="285"/>
      <c r="AE135" s="285"/>
      <c r="AF135" s="285"/>
      <c r="AG135" s="285"/>
      <c r="AH135" s="285"/>
      <c r="AI135" s="285"/>
      <c r="AJ135" s="285"/>
      <c r="AK135" s="285"/>
      <c r="AL135" s="833" t="s">
        <v>198</v>
      </c>
      <c r="AM135" s="834" t="s">
        <v>277</v>
      </c>
      <c r="AN135" s="834" t="s">
        <v>4</v>
      </c>
      <c r="AO135" s="834" t="s">
        <v>427</v>
      </c>
      <c r="AP135" s="835" t="s">
        <v>428</v>
      </c>
      <c r="AQ135" s="833" t="s">
        <v>198</v>
      </c>
      <c r="AR135" s="834" t="s">
        <v>277</v>
      </c>
      <c r="AS135" s="834" t="s">
        <v>4</v>
      </c>
      <c r="AT135" s="834" t="s">
        <v>427</v>
      </c>
      <c r="AU135" s="835" t="s">
        <v>428</v>
      </c>
      <c r="AV135" s="832"/>
      <c r="AW135" s="823" t="s">
        <v>701</v>
      </c>
      <c r="AX135" s="1316" t="s">
        <v>8287</v>
      </c>
      <c r="AY135" s="207"/>
      <c r="AZ135" s="207"/>
      <c r="BA135" s="207"/>
      <c r="BB135" s="207"/>
      <c r="BC135" s="207"/>
      <c r="BD135" s="207"/>
      <c r="BE135" s="207"/>
      <c r="BF135" s="207"/>
      <c r="BG135" s="207"/>
      <c r="BH135" s="207"/>
      <c r="BI135" s="207"/>
      <c r="BJ135" s="207"/>
      <c r="BK135" s="207"/>
      <c r="BL135" s="659"/>
      <c r="BM135" s="157" t="s">
        <v>0</v>
      </c>
      <c r="BN135" s="157" t="s">
        <v>11</v>
      </c>
      <c r="BO135" s="157" t="s">
        <v>703</v>
      </c>
      <c r="BP135" s="157" t="s">
        <v>468</v>
      </c>
      <c r="BQ135" s="157"/>
      <c r="BR135" s="1315" t="s">
        <v>8286</v>
      </c>
      <c r="BS135" s="157"/>
      <c r="BT135" s="157"/>
      <c r="BU135" s="157"/>
      <c r="BV135" s="157"/>
      <c r="BW135" s="157"/>
      <c r="BX135" s="157"/>
      <c r="BY135" s="157"/>
      <c r="BZ135" s="157"/>
      <c r="CA135" s="185"/>
      <c r="CB135" s="185"/>
      <c r="CC135" s="185"/>
      <c r="CD135" s="212"/>
      <c r="CE135" s="157"/>
      <c r="CF135" s="2121"/>
      <c r="CG135" s="2121"/>
      <c r="CH135" s="2121"/>
      <c r="CI135" s="157"/>
      <c r="CJ135" s="191"/>
      <c r="CK135" s="191"/>
      <c r="CL135" s="191"/>
      <c r="CM135" s="191"/>
      <c r="CN135" s="191"/>
      <c r="CO135" s="191"/>
      <c r="CP135" s="191"/>
      <c r="CQ135" s="157"/>
      <c r="CR135" s="157"/>
      <c r="CS135" s="157"/>
      <c r="CT135" s="157"/>
      <c r="CU135" s="157"/>
      <c r="CV135" s="157"/>
      <c r="CW135" s="157"/>
      <c r="CX135" s="157"/>
      <c r="CY135" s="157"/>
      <c r="CZ135" s="157"/>
      <c r="DA135" s="157"/>
      <c r="DB135" s="185"/>
      <c r="DC135" s="185"/>
      <c r="DD135" s="207"/>
      <c r="DE135" s="207"/>
      <c r="DF135" s="157"/>
      <c r="DG135" s="157"/>
      <c r="DH135" s="157"/>
      <c r="DI135" s="157"/>
      <c r="DJ135" s="157"/>
      <c r="DK135" s="157"/>
      <c r="DL135" s="157"/>
      <c r="DM135" s="15"/>
      <c r="DN135" s="15"/>
      <c r="DO135" s="15"/>
      <c r="DP135" s="15"/>
      <c r="DQ135" s="15"/>
      <c r="DR135" s="14"/>
      <c r="DS135" s="14"/>
      <c r="DT135" s="14"/>
      <c r="DU135" s="14"/>
      <c r="DV135" s="14"/>
      <c r="DW135" s="14"/>
      <c r="DX135" s="2176"/>
      <c r="DY135" s="14"/>
      <c r="DZ135" s="14"/>
      <c r="EA135" s="14"/>
      <c r="EB135" s="14"/>
      <c r="EC135" s="14"/>
      <c r="ED135" s="14"/>
      <c r="EE135" s="14"/>
      <c r="EF135" s="14"/>
      <c r="EG135" s="14"/>
      <c r="EH135" s="14"/>
      <c r="EI135" s="14"/>
      <c r="EJ135" s="14"/>
      <c r="EK135" s="15"/>
      <c r="EL135" s="15"/>
      <c r="EM135" s="15"/>
      <c r="EN135" s="15"/>
      <c r="EO135" s="15"/>
      <c r="EP135" s="15"/>
      <c r="EQ135" s="15"/>
      <c r="ER135" s="15"/>
    </row>
    <row r="136" spans="1:167" ht="15.75" customHeight="1" thickBot="1" x14ac:dyDescent="0.25">
      <c r="A136" s="2563" t="s">
        <v>1042</v>
      </c>
      <c r="B136" s="2564"/>
      <c r="C136" s="2559"/>
      <c r="D136" s="2560"/>
      <c r="E136" s="694" t="s">
        <v>437</v>
      </c>
      <c r="F136" s="2849"/>
      <c r="G136" s="495" t="s">
        <v>2</v>
      </c>
      <c r="H136" s="694" t="s">
        <v>922</v>
      </c>
      <c r="I136" s="496" t="s">
        <v>2</v>
      </c>
      <c r="J136" s="2599" t="s">
        <v>437</v>
      </c>
      <c r="K136" s="2600"/>
      <c r="L136" s="2600"/>
      <c r="M136" s="2601"/>
      <c r="N136" s="4"/>
      <c r="P136" s="807" t="s">
        <v>8752</v>
      </c>
      <c r="Q136" s="290" t="s">
        <v>416</v>
      </c>
      <c r="R136" s="338" t="s">
        <v>434</v>
      </c>
      <c r="S136" s="291"/>
      <c r="T136" s="291"/>
      <c r="U136" s="291"/>
      <c r="V136" s="291"/>
      <c r="W136" s="292"/>
      <c r="X136" s="285"/>
      <c r="Y136" s="285"/>
      <c r="Z136" s="285"/>
      <c r="AA136" s="285"/>
      <c r="AB136" s="285"/>
      <c r="AC136" s="285"/>
      <c r="AD136" s="285"/>
      <c r="AE136" s="285"/>
      <c r="AF136" s="285"/>
      <c r="AG136" s="285"/>
      <c r="AH136" s="285"/>
      <c r="AI136" s="285"/>
      <c r="AJ136" s="285"/>
      <c r="AK136" s="285"/>
      <c r="AL136" s="836" t="s">
        <v>436</v>
      </c>
      <c r="AM136" s="837"/>
      <c r="AN136" s="837"/>
      <c r="AO136" s="837"/>
      <c r="AP136" s="838"/>
      <c r="AQ136" s="836" t="s">
        <v>436</v>
      </c>
      <c r="AR136" s="837"/>
      <c r="AS136" s="837"/>
      <c r="AT136" s="837"/>
      <c r="AU136" s="838"/>
      <c r="AV136" s="832"/>
      <c r="AW136" s="825" t="s">
        <v>702</v>
      </c>
      <c r="AX136" s="207"/>
      <c r="AY136" s="217" t="s">
        <v>1044</v>
      </c>
      <c r="AZ136" s="207"/>
      <c r="BA136" s="207"/>
      <c r="BB136" s="207"/>
      <c r="BC136" s="207"/>
      <c r="BD136" s="207"/>
      <c r="BE136" s="207"/>
      <c r="BG136" s="207"/>
      <c r="BH136" s="207"/>
      <c r="BI136" s="207"/>
      <c r="BJ136" s="207"/>
      <c r="BK136" s="207"/>
      <c r="BL136" s="659"/>
      <c r="BM136" s="157"/>
      <c r="BN136" s="157"/>
      <c r="BO136" s="157"/>
      <c r="BP136" s="157"/>
      <c r="BQ136" s="157"/>
      <c r="BR136" s="157"/>
      <c r="BS136" s="157"/>
      <c r="BT136" s="157"/>
      <c r="BU136" s="157"/>
      <c r="BV136" s="157"/>
      <c r="BW136" s="157"/>
      <c r="BX136" s="157"/>
      <c r="BY136" s="157"/>
      <c r="BZ136" s="157"/>
      <c r="CA136" s="185"/>
      <c r="CB136" s="185"/>
      <c r="CC136" s="185"/>
      <c r="CD136" s="212"/>
      <c r="CE136" s="157"/>
      <c r="CF136" s="2121"/>
      <c r="CG136" s="2121"/>
      <c r="CH136" s="2121"/>
      <c r="CI136" s="157"/>
      <c r="CJ136" s="191"/>
      <c r="CK136" s="191"/>
      <c r="CL136" s="191"/>
      <c r="CM136" s="191"/>
      <c r="CN136" s="191"/>
      <c r="CO136" s="191"/>
      <c r="CP136" s="191"/>
      <c r="CQ136" s="157"/>
      <c r="CR136" s="157"/>
      <c r="CS136" s="157"/>
      <c r="CT136" s="157"/>
      <c r="CU136" s="157"/>
      <c r="CV136" s="157"/>
      <c r="CW136" s="157"/>
      <c r="CX136" s="157"/>
      <c r="CY136" s="157"/>
      <c r="CZ136" s="157"/>
      <c r="DA136" s="157"/>
      <c r="DB136" s="185"/>
      <c r="DC136" s="185"/>
      <c r="DD136" s="207"/>
      <c r="DE136" s="207"/>
      <c r="DF136" s="157"/>
      <c r="DG136" s="157"/>
      <c r="DH136" s="157"/>
      <c r="DI136" s="157"/>
      <c r="DJ136" s="157"/>
      <c r="DK136" s="157"/>
      <c r="DL136" s="157"/>
      <c r="DM136" s="15"/>
      <c r="DN136" s="15"/>
      <c r="DO136" s="15"/>
      <c r="DP136" s="15"/>
      <c r="DQ136" s="15"/>
      <c r="DR136" s="14"/>
      <c r="DS136" s="14"/>
      <c r="DT136" s="14"/>
      <c r="DU136" s="14"/>
      <c r="DV136" s="14"/>
      <c r="DW136" s="14"/>
      <c r="DX136" s="2176"/>
      <c r="DY136" s="14"/>
      <c r="DZ136" s="14"/>
      <c r="EA136" s="14"/>
      <c r="EB136" s="14"/>
      <c r="EC136" s="14"/>
      <c r="ED136" s="14"/>
      <c r="EE136" s="14"/>
      <c r="EF136" s="14"/>
      <c r="EG136" s="14"/>
      <c r="EH136" s="14"/>
      <c r="EI136" s="14"/>
      <c r="EJ136" s="14"/>
      <c r="EK136" s="15"/>
      <c r="EL136" s="15"/>
      <c r="EM136" s="15"/>
      <c r="EN136" s="15"/>
      <c r="EO136" s="15"/>
      <c r="EP136" s="15"/>
      <c r="EQ136" s="15"/>
      <c r="ER136" s="15"/>
    </row>
    <row r="137" spans="1:167" ht="15.75" customHeight="1" x14ac:dyDescent="0.2">
      <c r="A137" s="428"/>
      <c r="B137" s="428"/>
      <c r="C137" s="2561"/>
      <c r="D137" s="2562"/>
      <c r="E137" s="1524"/>
      <c r="F137" s="1524"/>
      <c r="G137" s="1524"/>
      <c r="H137" s="1525"/>
      <c r="I137" s="1524"/>
      <c r="J137" s="1526"/>
      <c r="K137" s="2371"/>
      <c r="L137" s="2372"/>
      <c r="M137" s="1527"/>
      <c r="N137" s="2119" t="str">
        <f>IF(P137=1,"*","")</f>
        <v/>
      </c>
      <c r="P137" s="146" t="str">
        <f>IF(E137="","",IF(OR(COUNTBLANK(F137:M137)&gt;1,BR137=1),1,0))</f>
        <v/>
      </c>
      <c r="Q137" s="277">
        <f t="shared" ref="Q137:Q155" si="190">+E137*F137/100*G137/100*H137/1000</f>
        <v>0</v>
      </c>
      <c r="R137" s="279">
        <f>+Q137*I137/100</f>
        <v>0</v>
      </c>
      <c r="S137" s="278">
        <f t="shared" ref="S137:S155" si="191">+E137*F137/100</f>
        <v>0</v>
      </c>
      <c r="T137" s="278">
        <f t="shared" ref="T137:T155" si="192">+E137-S137</f>
        <v>0</v>
      </c>
      <c r="U137" s="279">
        <f>+J137*$E137/1000</f>
        <v>0</v>
      </c>
      <c r="V137" s="279">
        <f t="shared" ref="V137:V155" si="193">+K137*$E137/1000</f>
        <v>0</v>
      </c>
      <c r="W137" s="280">
        <f t="shared" ref="W137:W155" si="194">+M137*$E137/1000</f>
        <v>0</v>
      </c>
      <c r="X137" s="283"/>
      <c r="Y137" s="283">
        <f t="shared" ref="Y137:Y155" si="195">+E137*F137/100*G137/100</f>
        <v>0</v>
      </c>
      <c r="Z137" s="281">
        <f t="shared" ref="Z137:Z155" si="196">IF(E137=0,0,Y137*H137/E137)</f>
        <v>0</v>
      </c>
      <c r="AA137" s="281">
        <f t="shared" ref="AA137:AA155" si="197">E137*Z137*I137/100/22.26*0.01605</f>
        <v>0</v>
      </c>
      <c r="AB137" s="283">
        <f t="shared" ref="AB137:AB155" si="198">E137*Z137*(1-I137/100)/22.26*0.04401</f>
        <v>0</v>
      </c>
      <c r="AC137" s="283">
        <f>+AA137+AB137</f>
        <v>0</v>
      </c>
      <c r="AD137" s="146">
        <f>+H137/887*100</f>
        <v>0</v>
      </c>
      <c r="AE137" s="146">
        <f>15.44*AD137/100</f>
        <v>0</v>
      </c>
      <c r="AF137" s="283">
        <f>+AC137-AG137</f>
        <v>0</v>
      </c>
      <c r="AG137" s="283">
        <f>+AC137*AE137/100</f>
        <v>0</v>
      </c>
      <c r="AH137" s="283" t="e">
        <f t="shared" ref="AH137:AH155" si="199">+(E137*F137/100-AF137)/(E137-AC137)*100</f>
        <v>#DIV/0!</v>
      </c>
      <c r="AJ137" s="283"/>
      <c r="AK137" s="283"/>
      <c r="AL137" s="281">
        <f>IF($AW137=1,S137,0)</f>
        <v>0</v>
      </c>
      <c r="AM137" s="281">
        <f t="shared" ref="AM137:AP137" si="200">IF($AW137=1,T137,0)</f>
        <v>0</v>
      </c>
      <c r="AN137" s="281">
        <f t="shared" si="200"/>
        <v>0</v>
      </c>
      <c r="AO137" s="281">
        <f t="shared" si="200"/>
        <v>0</v>
      </c>
      <c r="AP137" s="281">
        <f t="shared" si="200"/>
        <v>0</v>
      </c>
      <c r="AQ137" s="281">
        <f>+S137-AL137</f>
        <v>0</v>
      </c>
      <c r="AR137" s="281">
        <f>+T137-AM137</f>
        <v>0</v>
      </c>
      <c r="AS137" s="281">
        <f>+U137-AN137</f>
        <v>0</v>
      </c>
      <c r="AT137" s="281">
        <f>+V137-AO137</f>
        <v>0</v>
      </c>
      <c r="AU137" s="281">
        <f>+W137-AP137</f>
        <v>0</v>
      </c>
      <c r="AV137" s="829"/>
      <c r="AW137" s="824">
        <f>IF(AY137=1,2,IF(AY137=2,3,IF(AY137=3,4,IF(AY137=4,5,1))))</f>
        <v>1</v>
      </c>
      <c r="AX137" s="1285" cm="1">
        <f t="array" ref="AX137">INDEX(Pflanzen!$B$5:$B$112,BR137)</f>
        <v>1</v>
      </c>
      <c r="AY137" s="812" cm="1">
        <f t="array" ref="AY137">INDEX(Pflanzen!$E$5:$E$114,AX137)</f>
        <v>0</v>
      </c>
      <c r="AZ137" s="157"/>
      <c r="BA137" s="157"/>
      <c r="BB137" s="157"/>
      <c r="BC137" s="157"/>
      <c r="BD137" s="157"/>
      <c r="BE137" s="207"/>
      <c r="BF137" s="826"/>
      <c r="BG137" s="212"/>
      <c r="BH137" s="212"/>
      <c r="BI137" s="207">
        <f t="shared" ref="BI137:BI155" si="201">IF(AW137=1,100,IF(F137&gt;15,100,40))</f>
        <v>100</v>
      </c>
      <c r="BJ137" s="207">
        <f t="shared" ref="BJ137:BJ155" si="202">+BI137*E137</f>
        <v>0</v>
      </c>
      <c r="BK137" s="207"/>
      <c r="BL137" s="659"/>
      <c r="BM137" s="157">
        <f>IF(AW137=4,0.7,IF(AW137=3,0.7,IF(AW137=2,0.6,0.55)))</f>
        <v>0.55000000000000004</v>
      </c>
      <c r="BN137" s="157">
        <f>IF(AW137=4,0.7,IF(AW137=3,0.55,IF(AW137=2,0.55,0.55)))</f>
        <v>0.55000000000000004</v>
      </c>
      <c r="BO137" s="157">
        <f>IF(F137&lt;=15,BM137,BN137)</f>
        <v>0.55000000000000004</v>
      </c>
      <c r="BP137" s="216">
        <f>+BO137*U137</f>
        <v>0</v>
      </c>
      <c r="BQ137" s="157"/>
      <c r="BR137" s="157">
        <v>1</v>
      </c>
      <c r="BS137" s="157"/>
      <c r="BT137" s="157"/>
      <c r="BU137" s="157"/>
      <c r="BV137" s="157"/>
      <c r="BW137" s="157"/>
      <c r="BX137" s="157"/>
      <c r="BY137" s="157"/>
      <c r="BZ137" s="157"/>
      <c r="CA137" s="185"/>
      <c r="CB137" s="185"/>
      <c r="CC137" s="185"/>
      <c r="CD137" s="212"/>
      <c r="CE137" s="157"/>
      <c r="CF137" s="2121"/>
      <c r="CG137" s="2121"/>
      <c r="CH137" s="2121"/>
      <c r="CI137" s="157"/>
      <c r="CJ137" s="191"/>
      <c r="CK137" s="191"/>
      <c r="CL137" s="191"/>
      <c r="CM137" s="191"/>
      <c r="CN137" s="191"/>
      <c r="CO137" s="191"/>
      <c r="CP137" s="191"/>
      <c r="CQ137" s="157"/>
      <c r="CR137" s="157"/>
      <c r="CS137" s="157"/>
      <c r="CT137" s="157"/>
      <c r="CU137" s="157"/>
      <c r="CV137" s="157"/>
      <c r="CW137" s="157"/>
      <c r="CX137" s="157"/>
      <c r="CY137" s="157"/>
      <c r="CZ137" s="157"/>
      <c r="DA137" s="157"/>
      <c r="DB137" s="185"/>
      <c r="DC137" s="185"/>
      <c r="DD137" s="207"/>
      <c r="DE137" s="207"/>
      <c r="DF137" s="157"/>
      <c r="DG137" s="157"/>
      <c r="DH137" s="157"/>
      <c r="DI137" s="157"/>
      <c r="DJ137" s="157"/>
      <c r="DK137" s="157"/>
      <c r="DL137" s="157"/>
      <c r="DM137" s="15"/>
      <c r="DN137" s="15"/>
      <c r="DO137" s="15"/>
      <c r="DP137" s="15"/>
      <c r="DQ137" s="15"/>
      <c r="DR137" s="14"/>
      <c r="DS137" s="14"/>
      <c r="DT137" s="14"/>
      <c r="DU137" s="14"/>
      <c r="DV137" s="14"/>
      <c r="DW137" s="14"/>
      <c r="DX137" s="2176"/>
      <c r="DY137" s="14"/>
      <c r="DZ137" s="14"/>
      <c r="EA137" s="14"/>
      <c r="EB137" s="14"/>
      <c r="EC137" s="14"/>
      <c r="ED137" s="14"/>
      <c r="EE137" s="14"/>
      <c r="EF137" s="14"/>
      <c r="EG137" s="14"/>
      <c r="EH137" s="14"/>
      <c r="EI137" s="14"/>
      <c r="EJ137" s="14"/>
      <c r="EK137" s="15"/>
      <c r="EL137" s="15"/>
      <c r="EM137" s="15"/>
      <c r="EN137" s="15"/>
      <c r="EO137" s="15"/>
      <c r="EP137" s="15"/>
      <c r="EQ137" s="15"/>
      <c r="ER137" s="15"/>
      <c r="FK137" s="92">
        <f>COUNTBLANK(E137:M137)</f>
        <v>9</v>
      </c>
    </row>
    <row r="138" spans="1:167" ht="15.75" customHeight="1" x14ac:dyDescent="0.2">
      <c r="A138" s="429"/>
      <c r="B138" s="429"/>
      <c r="C138" s="2294"/>
      <c r="D138" s="2295"/>
      <c r="E138" s="1528"/>
      <c r="F138" s="1528"/>
      <c r="G138" s="1528"/>
      <c r="H138" s="1521"/>
      <c r="I138" s="1528"/>
      <c r="J138" s="1529"/>
      <c r="K138" s="2332"/>
      <c r="L138" s="2333"/>
      <c r="M138" s="1530"/>
      <c r="N138" s="2119" t="str">
        <f t="shared" ref="N138:N155" si="203">IF(P138=1,"*","")</f>
        <v/>
      </c>
      <c r="P138" s="146" t="str">
        <f t="shared" ref="P138:P155" si="204">IF(E138="","",IF(OR(COUNTBLANK(F138:M138)&gt;1,BR138=1),1,0))</f>
        <v/>
      </c>
      <c r="Q138" s="277">
        <f t="shared" si="190"/>
        <v>0</v>
      </c>
      <c r="R138" s="279">
        <f t="shared" ref="R138:R155" si="205">+Q138*I138/100</f>
        <v>0</v>
      </c>
      <c r="S138" s="278">
        <f t="shared" si="191"/>
        <v>0</v>
      </c>
      <c r="T138" s="278">
        <f t="shared" si="192"/>
        <v>0</v>
      </c>
      <c r="U138" s="279">
        <f t="shared" ref="U138:U155" si="206">+J138*$E138/1000</f>
        <v>0</v>
      </c>
      <c r="V138" s="279">
        <f t="shared" si="193"/>
        <v>0</v>
      </c>
      <c r="W138" s="280">
        <f t="shared" si="194"/>
        <v>0</v>
      </c>
      <c r="X138" s="283"/>
      <c r="Y138" s="283">
        <f t="shared" si="195"/>
        <v>0</v>
      </c>
      <c r="Z138" s="281">
        <f t="shared" si="196"/>
        <v>0</v>
      </c>
      <c r="AA138" s="281">
        <f t="shared" si="197"/>
        <v>0</v>
      </c>
      <c r="AB138" s="283">
        <f t="shared" si="198"/>
        <v>0</v>
      </c>
      <c r="AC138" s="283">
        <f t="shared" ref="AC138:AC155" si="207">+AA138+AB138</f>
        <v>0</v>
      </c>
      <c r="AD138" s="146">
        <f t="shared" ref="AD138:AD155" si="208">+H138/887*100</f>
        <v>0</v>
      </c>
      <c r="AE138" s="146">
        <f t="shared" ref="AE138:AE155" si="209">15.44*AD138/100</f>
        <v>0</v>
      </c>
      <c r="AF138" s="283">
        <f t="shared" ref="AF138:AF155" si="210">+AC138-AG138</f>
        <v>0</v>
      </c>
      <c r="AG138" s="283">
        <f t="shared" ref="AG138:AG155" si="211">+AC138*AE138/100</f>
        <v>0</v>
      </c>
      <c r="AH138" s="283" t="e">
        <f t="shared" si="199"/>
        <v>#DIV/0!</v>
      </c>
      <c r="AJ138" s="283"/>
      <c r="AK138" s="283"/>
      <c r="AL138" s="281">
        <f t="shared" ref="AL138:AL155" si="212">IF($AW138=1,S138,0)</f>
        <v>0</v>
      </c>
      <c r="AM138" s="281">
        <f t="shared" ref="AM138:AM155" si="213">IF($AW138=1,T138,0)</f>
        <v>0</v>
      </c>
      <c r="AN138" s="281">
        <f t="shared" ref="AN138:AN155" si="214">IF($AW138=1,U138,0)</f>
        <v>0</v>
      </c>
      <c r="AO138" s="281">
        <f t="shared" ref="AO138:AO155" si="215">IF($AW138=1,V138,0)</f>
        <v>0</v>
      </c>
      <c r="AP138" s="281">
        <f t="shared" ref="AP138:AP155" si="216">IF($AW138=1,W138,0)</f>
        <v>0</v>
      </c>
      <c r="AQ138" s="281">
        <f t="shared" ref="AQ138:AQ155" si="217">+S138-AL138</f>
        <v>0</v>
      </c>
      <c r="AR138" s="281">
        <f t="shared" ref="AR138:AR155" si="218">+T138-AM138</f>
        <v>0</v>
      </c>
      <c r="AS138" s="281">
        <f t="shared" ref="AS138:AS155" si="219">+U138-AN138</f>
        <v>0</v>
      </c>
      <c r="AT138" s="281">
        <f t="shared" ref="AT138:AT155" si="220">+V138-AO138</f>
        <v>0</v>
      </c>
      <c r="AU138" s="281">
        <f t="shared" ref="AU138:AU155" si="221">+W138-AP138</f>
        <v>0</v>
      </c>
      <c r="AV138" s="829"/>
      <c r="AW138" s="824">
        <f t="shared" ref="AW138:AW155" si="222">IF(AY138=1,2,IF(AY138=2,3,IF(AY138=3,4,IF(AY138=4,5,1))))</f>
        <v>1</v>
      </c>
      <c r="AX138" s="1285" cm="1">
        <f t="array" ref="AX138">INDEX(Pflanzen!$B$5:$B$112,BR138)</f>
        <v>1</v>
      </c>
      <c r="AY138" s="1285" cm="1">
        <f t="array" ref="AY138">INDEX(Pflanzen!$E$5:$E$114,AX138)</f>
        <v>0</v>
      </c>
      <c r="AZ138" s="157"/>
      <c r="BA138" s="157"/>
      <c r="BB138" s="157"/>
      <c r="BC138" s="157"/>
      <c r="BD138" s="157"/>
      <c r="BE138" s="207"/>
      <c r="BF138" s="826"/>
      <c r="BG138" s="212"/>
      <c r="BH138" s="212"/>
      <c r="BI138" s="207">
        <f>IF(AW138=1,100,IF(F138&gt;15,100,40))</f>
        <v>100</v>
      </c>
      <c r="BJ138" s="207">
        <f>+BI138*E138</f>
        <v>0</v>
      </c>
      <c r="BK138" s="207"/>
      <c r="BL138" s="659"/>
      <c r="BM138" s="157">
        <f t="shared" ref="BM138:BM155" si="223">IF(AW138=4,0.7,IF(AW138=3,0.7,IF(AW138=2,0.6,0.55)))</f>
        <v>0.55000000000000004</v>
      </c>
      <c r="BN138" s="157">
        <f t="shared" ref="BN138:BN155" si="224">IF(AW138=4,0.7,IF(AW138=3,0.55,IF(AW138=2,0.55,0.55)))</f>
        <v>0.55000000000000004</v>
      </c>
      <c r="BO138" s="157">
        <f t="shared" ref="BO138:BO155" si="225">IF(F138&lt;=15,BM138,BN138)</f>
        <v>0.55000000000000004</v>
      </c>
      <c r="BP138" s="216">
        <f t="shared" ref="BP138:BP155" si="226">+BO138*U138</f>
        <v>0</v>
      </c>
      <c r="BQ138" s="157"/>
      <c r="BR138" s="1285">
        <v>1</v>
      </c>
      <c r="BS138" s="157"/>
      <c r="BT138" s="157"/>
      <c r="BU138" s="157"/>
      <c r="BV138" s="157"/>
      <c r="BW138" s="157"/>
      <c r="BX138" s="157"/>
      <c r="BY138" s="157"/>
      <c r="BZ138" s="157"/>
      <c r="CA138" s="185"/>
      <c r="CB138" s="185"/>
      <c r="CC138" s="185"/>
      <c r="CD138" s="212"/>
      <c r="CE138" s="157"/>
      <c r="CF138" s="2121"/>
      <c r="CG138" s="2121"/>
      <c r="CH138" s="2121"/>
      <c r="CI138" s="157"/>
      <c r="CJ138" s="191"/>
      <c r="CK138" s="191"/>
      <c r="CL138" s="191"/>
      <c r="CM138" s="191"/>
      <c r="CN138" s="191"/>
      <c r="CO138" s="191"/>
      <c r="CP138" s="191"/>
      <c r="CQ138" s="157"/>
      <c r="CR138" s="157"/>
      <c r="CS138" s="157"/>
      <c r="CT138" s="157"/>
      <c r="CU138" s="157"/>
      <c r="CV138" s="157"/>
      <c r="CW138" s="157"/>
      <c r="CX138" s="157"/>
      <c r="CY138" s="157"/>
      <c r="CZ138" s="157"/>
      <c r="DA138" s="157"/>
      <c r="DB138" s="185"/>
      <c r="DC138" s="185"/>
      <c r="DD138" s="207"/>
      <c r="DE138" s="207"/>
      <c r="DF138" s="157"/>
      <c r="DG138" s="157"/>
      <c r="DH138" s="157"/>
      <c r="DI138" s="157"/>
      <c r="DJ138" s="157"/>
      <c r="DK138" s="157"/>
      <c r="DL138" s="157"/>
      <c r="DM138" s="15"/>
      <c r="DN138" s="15"/>
      <c r="DO138" s="15"/>
      <c r="DP138" s="15"/>
      <c r="DQ138" s="15"/>
      <c r="DR138" s="14"/>
      <c r="DS138" s="14"/>
      <c r="DT138" s="14"/>
      <c r="DU138" s="14"/>
      <c r="DV138" s="14"/>
      <c r="DW138" s="14"/>
      <c r="DX138" s="2176"/>
      <c r="DY138" s="14"/>
      <c r="DZ138" s="14"/>
      <c r="EA138" s="14"/>
      <c r="EB138" s="14"/>
      <c r="EC138" s="14"/>
      <c r="ED138" s="14"/>
      <c r="EE138" s="14"/>
      <c r="EF138" s="14"/>
      <c r="EG138" s="14"/>
      <c r="EH138" s="14"/>
      <c r="EI138" s="14"/>
      <c r="EJ138" s="14"/>
      <c r="EK138" s="15"/>
      <c r="EL138" s="15"/>
      <c r="EM138" s="15"/>
      <c r="EN138" s="15"/>
      <c r="EO138" s="15"/>
      <c r="EP138" s="15"/>
      <c r="EQ138" s="15"/>
      <c r="ER138" s="15"/>
    </row>
    <row r="139" spans="1:167" ht="15.75" customHeight="1" x14ac:dyDescent="0.2">
      <c r="A139" s="429"/>
      <c r="B139" s="429"/>
      <c r="C139" s="2294"/>
      <c r="D139" s="2295"/>
      <c r="E139" s="1528"/>
      <c r="F139" s="1528"/>
      <c r="G139" s="1528"/>
      <c r="H139" s="1521"/>
      <c r="I139" s="1528"/>
      <c r="J139" s="1529"/>
      <c r="K139" s="2332"/>
      <c r="L139" s="2333"/>
      <c r="M139" s="1530"/>
      <c r="N139" s="2119" t="str">
        <f t="shared" si="203"/>
        <v/>
      </c>
      <c r="P139" s="146" t="str">
        <f t="shared" si="204"/>
        <v/>
      </c>
      <c r="Q139" s="277">
        <f t="shared" si="190"/>
        <v>0</v>
      </c>
      <c r="R139" s="279">
        <f t="shared" si="205"/>
        <v>0</v>
      </c>
      <c r="S139" s="278">
        <f t="shared" si="191"/>
        <v>0</v>
      </c>
      <c r="T139" s="278">
        <f t="shared" si="192"/>
        <v>0</v>
      </c>
      <c r="U139" s="279">
        <f t="shared" si="206"/>
        <v>0</v>
      </c>
      <c r="V139" s="279">
        <f t="shared" si="193"/>
        <v>0</v>
      </c>
      <c r="W139" s="280">
        <f t="shared" si="194"/>
        <v>0</v>
      </c>
      <c r="X139" s="283"/>
      <c r="Y139" s="283">
        <f t="shared" si="195"/>
        <v>0</v>
      </c>
      <c r="Z139" s="281">
        <f t="shared" si="196"/>
        <v>0</v>
      </c>
      <c r="AA139" s="281">
        <f t="shared" si="197"/>
        <v>0</v>
      </c>
      <c r="AB139" s="283">
        <f t="shared" si="198"/>
        <v>0</v>
      </c>
      <c r="AC139" s="283">
        <f t="shared" si="207"/>
        <v>0</v>
      </c>
      <c r="AD139" s="146">
        <f t="shared" si="208"/>
        <v>0</v>
      </c>
      <c r="AE139" s="146">
        <f t="shared" si="209"/>
        <v>0</v>
      </c>
      <c r="AF139" s="283">
        <f t="shared" si="210"/>
        <v>0</v>
      </c>
      <c r="AG139" s="283">
        <f t="shared" si="211"/>
        <v>0</v>
      </c>
      <c r="AH139" s="283" t="e">
        <f t="shared" si="199"/>
        <v>#DIV/0!</v>
      </c>
      <c r="AJ139" s="283"/>
      <c r="AK139" s="283"/>
      <c r="AL139" s="281">
        <f t="shared" si="212"/>
        <v>0</v>
      </c>
      <c r="AM139" s="281">
        <f t="shared" si="213"/>
        <v>0</v>
      </c>
      <c r="AN139" s="281">
        <f t="shared" si="214"/>
        <v>0</v>
      </c>
      <c r="AO139" s="281">
        <f t="shared" si="215"/>
        <v>0</v>
      </c>
      <c r="AP139" s="281">
        <f t="shared" si="216"/>
        <v>0</v>
      </c>
      <c r="AQ139" s="281">
        <f t="shared" si="217"/>
        <v>0</v>
      </c>
      <c r="AR139" s="281">
        <f t="shared" si="218"/>
        <v>0</v>
      </c>
      <c r="AS139" s="281">
        <f t="shared" si="219"/>
        <v>0</v>
      </c>
      <c r="AT139" s="281">
        <f t="shared" si="220"/>
        <v>0</v>
      </c>
      <c r="AU139" s="281">
        <f t="shared" si="221"/>
        <v>0</v>
      </c>
      <c r="AV139" s="829"/>
      <c r="AW139" s="824">
        <f t="shared" si="222"/>
        <v>1</v>
      </c>
      <c r="AX139" s="1285" cm="1">
        <f t="array" ref="AX139">INDEX(Pflanzen!$B$5:$B$112,BR139)</f>
        <v>1</v>
      </c>
      <c r="AY139" s="1285" cm="1">
        <f t="array" ref="AY139">INDEX(Pflanzen!$E$5:$E$114,AX139)</f>
        <v>0</v>
      </c>
      <c r="AZ139" s="157"/>
      <c r="BA139" s="157"/>
      <c r="BB139" s="157"/>
      <c r="BC139" s="157"/>
      <c r="BD139" s="157"/>
      <c r="BE139" s="207"/>
      <c r="BF139" s="826"/>
      <c r="BG139" s="212"/>
      <c r="BH139" s="212"/>
      <c r="BI139" s="207">
        <f t="shared" si="201"/>
        <v>100</v>
      </c>
      <c r="BJ139" s="207">
        <f t="shared" si="202"/>
        <v>0</v>
      </c>
      <c r="BK139" s="207"/>
      <c r="BL139" s="659"/>
      <c r="BM139" s="157">
        <f t="shared" si="223"/>
        <v>0.55000000000000004</v>
      </c>
      <c r="BN139" s="157">
        <f t="shared" si="224"/>
        <v>0.55000000000000004</v>
      </c>
      <c r="BO139" s="157">
        <f t="shared" si="225"/>
        <v>0.55000000000000004</v>
      </c>
      <c r="BP139" s="216">
        <f t="shared" si="226"/>
        <v>0</v>
      </c>
      <c r="BQ139" s="157"/>
      <c r="BR139" s="1285">
        <v>1</v>
      </c>
      <c r="BS139" s="157"/>
      <c r="BT139" s="157"/>
      <c r="BU139" s="157"/>
      <c r="BV139" s="157"/>
      <c r="BW139" s="157"/>
      <c r="BX139" s="157"/>
      <c r="BY139" s="157"/>
      <c r="BZ139" s="157"/>
      <c r="CA139" s="185"/>
      <c r="CB139" s="185"/>
      <c r="CC139" s="185"/>
      <c r="CD139" s="212"/>
      <c r="CE139" s="157"/>
      <c r="CF139" s="2121"/>
      <c r="CG139" s="2121"/>
      <c r="CH139" s="2121"/>
      <c r="CI139" s="157"/>
      <c r="CJ139" s="191"/>
      <c r="CK139" s="191"/>
      <c r="CL139" s="191"/>
      <c r="CM139" s="191"/>
      <c r="CN139" s="191"/>
      <c r="CO139" s="191"/>
      <c r="CP139" s="191"/>
      <c r="CQ139" s="157"/>
      <c r="CR139" s="157"/>
      <c r="CS139" s="157"/>
      <c r="CT139" s="157"/>
      <c r="CU139" s="157"/>
      <c r="CV139" s="157"/>
      <c r="CW139" s="157"/>
      <c r="CX139" s="157"/>
      <c r="CY139" s="157"/>
      <c r="CZ139" s="157"/>
      <c r="DA139" s="157"/>
      <c r="DB139" s="185"/>
      <c r="DC139" s="185"/>
      <c r="DD139" s="207"/>
      <c r="DE139" s="207"/>
      <c r="DF139" s="157"/>
      <c r="DG139" s="157"/>
      <c r="DH139" s="157"/>
      <c r="DI139" s="157"/>
      <c r="DJ139" s="157"/>
      <c r="DK139" s="157"/>
      <c r="DL139" s="157"/>
      <c r="DM139" s="15"/>
      <c r="DN139" s="15"/>
      <c r="DO139" s="15"/>
      <c r="DP139" s="15"/>
      <c r="DQ139" s="15"/>
      <c r="DR139" s="14"/>
      <c r="DS139" s="14"/>
      <c r="DT139" s="14"/>
      <c r="DU139" s="14"/>
      <c r="DV139" s="14"/>
      <c r="DW139" s="14"/>
      <c r="DX139" s="2176"/>
      <c r="DY139" s="14"/>
      <c r="DZ139" s="14"/>
      <c r="EA139" s="14"/>
      <c r="EB139" s="14"/>
      <c r="EC139" s="14"/>
      <c r="ED139" s="14"/>
      <c r="EE139" s="14"/>
      <c r="EF139" s="14"/>
      <c r="EG139" s="14"/>
      <c r="EH139" s="14"/>
      <c r="EI139" s="14"/>
      <c r="EJ139" s="14"/>
      <c r="EK139" s="15"/>
      <c r="EL139" s="15"/>
      <c r="EM139" s="15"/>
      <c r="EN139" s="15"/>
      <c r="EO139" s="15"/>
      <c r="EP139" s="15"/>
      <c r="EQ139" s="15"/>
      <c r="ER139" s="15"/>
    </row>
    <row r="140" spans="1:167" ht="15.75" customHeight="1" x14ac:dyDescent="0.2">
      <c r="A140" s="429"/>
      <c r="B140" s="429"/>
      <c r="C140" s="2294"/>
      <c r="D140" s="2295"/>
      <c r="E140" s="1528"/>
      <c r="F140" s="1528"/>
      <c r="G140" s="1528"/>
      <c r="H140" s="1521"/>
      <c r="I140" s="1528"/>
      <c r="J140" s="1529"/>
      <c r="K140" s="2332"/>
      <c r="L140" s="2333"/>
      <c r="M140" s="1530"/>
      <c r="N140" s="2119" t="str">
        <f t="shared" si="203"/>
        <v/>
      </c>
      <c r="P140" s="146" t="str">
        <f t="shared" si="204"/>
        <v/>
      </c>
      <c r="Q140" s="277">
        <f t="shared" si="190"/>
        <v>0</v>
      </c>
      <c r="R140" s="279">
        <f t="shared" si="205"/>
        <v>0</v>
      </c>
      <c r="S140" s="278">
        <f t="shared" si="191"/>
        <v>0</v>
      </c>
      <c r="T140" s="278">
        <f t="shared" si="192"/>
        <v>0</v>
      </c>
      <c r="U140" s="279">
        <f t="shared" si="206"/>
        <v>0</v>
      </c>
      <c r="V140" s="279">
        <f t="shared" si="193"/>
        <v>0</v>
      </c>
      <c r="W140" s="280">
        <f t="shared" si="194"/>
        <v>0</v>
      </c>
      <c r="X140" s="283"/>
      <c r="Y140" s="283">
        <f t="shared" si="195"/>
        <v>0</v>
      </c>
      <c r="Z140" s="281">
        <f t="shared" si="196"/>
        <v>0</v>
      </c>
      <c r="AA140" s="281">
        <f t="shared" si="197"/>
        <v>0</v>
      </c>
      <c r="AB140" s="283">
        <f t="shared" si="198"/>
        <v>0</v>
      </c>
      <c r="AC140" s="283">
        <f t="shared" si="207"/>
        <v>0</v>
      </c>
      <c r="AD140" s="146">
        <f t="shared" si="208"/>
        <v>0</v>
      </c>
      <c r="AE140" s="146">
        <f t="shared" si="209"/>
        <v>0</v>
      </c>
      <c r="AF140" s="283">
        <f t="shared" si="210"/>
        <v>0</v>
      </c>
      <c r="AG140" s="283">
        <f t="shared" si="211"/>
        <v>0</v>
      </c>
      <c r="AH140" s="283" t="e">
        <f t="shared" si="199"/>
        <v>#DIV/0!</v>
      </c>
      <c r="AJ140" s="283"/>
      <c r="AK140" s="283"/>
      <c r="AL140" s="281">
        <f t="shared" si="212"/>
        <v>0</v>
      </c>
      <c r="AM140" s="281">
        <f t="shared" si="213"/>
        <v>0</v>
      </c>
      <c r="AN140" s="281">
        <f t="shared" si="214"/>
        <v>0</v>
      </c>
      <c r="AO140" s="281">
        <f t="shared" si="215"/>
        <v>0</v>
      </c>
      <c r="AP140" s="281">
        <f t="shared" si="216"/>
        <v>0</v>
      </c>
      <c r="AQ140" s="281">
        <f t="shared" si="217"/>
        <v>0</v>
      </c>
      <c r="AR140" s="281">
        <f t="shared" si="218"/>
        <v>0</v>
      </c>
      <c r="AS140" s="281">
        <f t="shared" si="219"/>
        <v>0</v>
      </c>
      <c r="AT140" s="281">
        <f t="shared" si="220"/>
        <v>0</v>
      </c>
      <c r="AU140" s="281">
        <f t="shared" si="221"/>
        <v>0</v>
      </c>
      <c r="AV140" s="829"/>
      <c r="AW140" s="824">
        <f t="shared" si="222"/>
        <v>1</v>
      </c>
      <c r="AX140" s="1285" cm="1">
        <f t="array" ref="AX140">INDEX(Pflanzen!$B$5:$B$112,BR140)</f>
        <v>1</v>
      </c>
      <c r="AY140" s="1285" cm="1">
        <f t="array" ref="AY140">INDEX(Pflanzen!$E$5:$E$114,AX140)</f>
        <v>0</v>
      </c>
      <c r="AZ140" s="157"/>
      <c r="BA140" s="157"/>
      <c r="BB140" s="157"/>
      <c r="BC140" s="157"/>
      <c r="BD140" s="157"/>
      <c r="BE140" s="207"/>
      <c r="BF140" s="826"/>
      <c r="BG140" s="212"/>
      <c r="BH140" s="212"/>
      <c r="BI140" s="207">
        <f t="shared" si="201"/>
        <v>100</v>
      </c>
      <c r="BJ140" s="207">
        <f t="shared" si="202"/>
        <v>0</v>
      </c>
      <c r="BK140" s="207"/>
      <c r="BL140" s="659"/>
      <c r="BM140" s="157">
        <f t="shared" si="223"/>
        <v>0.55000000000000004</v>
      </c>
      <c r="BN140" s="157">
        <f t="shared" si="224"/>
        <v>0.55000000000000004</v>
      </c>
      <c r="BO140" s="157">
        <f t="shared" si="225"/>
        <v>0.55000000000000004</v>
      </c>
      <c r="BP140" s="216">
        <f t="shared" si="226"/>
        <v>0</v>
      </c>
      <c r="BQ140" s="157"/>
      <c r="BR140" s="1285">
        <v>1</v>
      </c>
      <c r="BS140" s="157"/>
      <c r="BT140" s="157"/>
      <c r="BU140" s="157"/>
      <c r="BV140" s="157"/>
      <c r="BW140" s="157"/>
      <c r="BX140" s="157"/>
      <c r="BY140" s="157"/>
      <c r="BZ140" s="157"/>
      <c r="CA140" s="185"/>
      <c r="CB140" s="185"/>
      <c r="CC140" s="185"/>
      <c r="CD140" s="212"/>
      <c r="CE140" s="157"/>
      <c r="CF140" s="2121"/>
      <c r="CG140" s="2121"/>
      <c r="CH140" s="2121"/>
      <c r="CI140" s="157"/>
      <c r="CJ140" s="191"/>
      <c r="CK140" s="191"/>
      <c r="CL140" s="191"/>
      <c r="CM140" s="191"/>
      <c r="CN140" s="191"/>
      <c r="CO140" s="191"/>
      <c r="CP140" s="191"/>
      <c r="CQ140" s="157"/>
      <c r="CR140" s="157"/>
      <c r="CS140" s="157"/>
      <c r="CT140" s="157"/>
      <c r="CU140" s="157"/>
      <c r="CV140" s="157"/>
      <c r="CW140" s="157"/>
      <c r="CX140" s="157"/>
      <c r="CY140" s="157"/>
      <c r="CZ140" s="157"/>
      <c r="DA140" s="157"/>
      <c r="DB140" s="185"/>
      <c r="DC140" s="185"/>
      <c r="DD140" s="207"/>
      <c r="DE140" s="207"/>
      <c r="DF140" s="157"/>
      <c r="DG140" s="157"/>
      <c r="DH140" s="157"/>
      <c r="DI140" s="157"/>
      <c r="DJ140" s="157"/>
      <c r="DK140" s="157"/>
      <c r="DL140" s="157"/>
      <c r="DM140" s="15"/>
      <c r="DN140" s="15"/>
      <c r="DO140" s="15"/>
      <c r="DP140" s="15"/>
      <c r="DQ140" s="15"/>
      <c r="DR140" s="14"/>
      <c r="DS140" s="14"/>
      <c r="DT140" s="14"/>
      <c r="DU140" s="14"/>
      <c r="DV140" s="14"/>
      <c r="DW140" s="14"/>
      <c r="DX140" s="2176"/>
      <c r="DY140" s="14"/>
      <c r="DZ140" s="14"/>
      <c r="EA140" s="14"/>
      <c r="EB140" s="14"/>
      <c r="EC140" s="14"/>
      <c r="ED140" s="14"/>
      <c r="EE140" s="14"/>
      <c r="EF140" s="14"/>
      <c r="EG140" s="14"/>
      <c r="EH140" s="14"/>
      <c r="EI140" s="14"/>
      <c r="EJ140" s="14"/>
      <c r="EK140" s="15"/>
      <c r="EL140" s="15"/>
      <c r="EM140" s="15"/>
      <c r="EN140" s="15"/>
      <c r="EO140" s="15"/>
      <c r="EP140" s="15"/>
      <c r="EQ140" s="15"/>
      <c r="ER140" s="15"/>
    </row>
    <row r="141" spans="1:167" ht="15.75" customHeight="1" x14ac:dyDescent="0.2">
      <c r="A141" s="429"/>
      <c r="B141" s="429"/>
      <c r="C141" s="2294"/>
      <c r="D141" s="2295"/>
      <c r="E141" s="1528"/>
      <c r="F141" s="1528"/>
      <c r="G141" s="1528"/>
      <c r="H141" s="1521"/>
      <c r="I141" s="1528"/>
      <c r="J141" s="1529"/>
      <c r="K141" s="2332"/>
      <c r="L141" s="2333"/>
      <c r="M141" s="1530"/>
      <c r="N141" s="2119" t="str">
        <f t="shared" si="203"/>
        <v/>
      </c>
      <c r="P141" s="146" t="str">
        <f t="shared" si="204"/>
        <v/>
      </c>
      <c r="Q141" s="277">
        <f t="shared" si="190"/>
        <v>0</v>
      </c>
      <c r="R141" s="279">
        <f t="shared" si="205"/>
        <v>0</v>
      </c>
      <c r="S141" s="278">
        <f t="shared" si="191"/>
        <v>0</v>
      </c>
      <c r="T141" s="278">
        <f t="shared" si="192"/>
        <v>0</v>
      </c>
      <c r="U141" s="279">
        <f t="shared" si="206"/>
        <v>0</v>
      </c>
      <c r="V141" s="279">
        <f t="shared" si="193"/>
        <v>0</v>
      </c>
      <c r="W141" s="280">
        <f t="shared" si="194"/>
        <v>0</v>
      </c>
      <c r="X141" s="283"/>
      <c r="Y141" s="283">
        <f t="shared" si="195"/>
        <v>0</v>
      </c>
      <c r="Z141" s="281">
        <f t="shared" si="196"/>
        <v>0</v>
      </c>
      <c r="AA141" s="281">
        <f t="shared" si="197"/>
        <v>0</v>
      </c>
      <c r="AB141" s="283">
        <f t="shared" si="198"/>
        <v>0</v>
      </c>
      <c r="AC141" s="283">
        <f t="shared" si="207"/>
        <v>0</v>
      </c>
      <c r="AD141" s="146">
        <f t="shared" si="208"/>
        <v>0</v>
      </c>
      <c r="AE141" s="146">
        <f t="shared" si="209"/>
        <v>0</v>
      </c>
      <c r="AF141" s="283">
        <f t="shared" si="210"/>
        <v>0</v>
      </c>
      <c r="AG141" s="283">
        <f t="shared" si="211"/>
        <v>0</v>
      </c>
      <c r="AH141" s="283" t="e">
        <f t="shared" si="199"/>
        <v>#DIV/0!</v>
      </c>
      <c r="AJ141" s="283"/>
      <c r="AK141" s="283"/>
      <c r="AL141" s="281">
        <f t="shared" si="212"/>
        <v>0</v>
      </c>
      <c r="AM141" s="281">
        <f t="shared" si="213"/>
        <v>0</v>
      </c>
      <c r="AN141" s="281">
        <f t="shared" si="214"/>
        <v>0</v>
      </c>
      <c r="AO141" s="281">
        <f t="shared" si="215"/>
        <v>0</v>
      </c>
      <c r="AP141" s="281">
        <f t="shared" si="216"/>
        <v>0</v>
      </c>
      <c r="AQ141" s="281">
        <f t="shared" si="217"/>
        <v>0</v>
      </c>
      <c r="AR141" s="281">
        <f t="shared" si="218"/>
        <v>0</v>
      </c>
      <c r="AS141" s="281">
        <f t="shared" si="219"/>
        <v>0</v>
      </c>
      <c r="AT141" s="281">
        <f t="shared" si="220"/>
        <v>0</v>
      </c>
      <c r="AU141" s="281">
        <f t="shared" si="221"/>
        <v>0</v>
      </c>
      <c r="AV141" s="829"/>
      <c r="AW141" s="824">
        <f t="shared" si="222"/>
        <v>1</v>
      </c>
      <c r="AX141" s="1285" cm="1">
        <f t="array" ref="AX141">INDEX(Pflanzen!$B$5:$B$112,BR141)</f>
        <v>1</v>
      </c>
      <c r="AY141" s="1285" cm="1">
        <f t="array" ref="AY141">INDEX(Pflanzen!$E$5:$E$114,AX141)</f>
        <v>0</v>
      </c>
      <c r="AZ141" s="157"/>
      <c r="BA141" s="157"/>
      <c r="BB141" s="157"/>
      <c r="BC141" s="157"/>
      <c r="BD141" s="157"/>
      <c r="BE141" s="207"/>
      <c r="BF141" s="826"/>
      <c r="BG141" s="212"/>
      <c r="BH141" s="212"/>
      <c r="BI141" s="207">
        <f t="shared" si="201"/>
        <v>100</v>
      </c>
      <c r="BJ141" s="207">
        <f t="shared" si="202"/>
        <v>0</v>
      </c>
      <c r="BK141" s="207"/>
      <c r="BL141" s="659"/>
      <c r="BM141" s="157">
        <f t="shared" si="223"/>
        <v>0.55000000000000004</v>
      </c>
      <c r="BN141" s="157">
        <f t="shared" si="224"/>
        <v>0.55000000000000004</v>
      </c>
      <c r="BO141" s="157">
        <f t="shared" si="225"/>
        <v>0.55000000000000004</v>
      </c>
      <c r="BP141" s="216">
        <f t="shared" si="226"/>
        <v>0</v>
      </c>
      <c r="BQ141" s="157"/>
      <c r="BR141" s="1285">
        <v>1</v>
      </c>
      <c r="BS141" s="157"/>
      <c r="BT141" s="157"/>
      <c r="BU141" s="157"/>
      <c r="BV141" s="157"/>
      <c r="BW141" s="157"/>
      <c r="BX141" s="157"/>
      <c r="BY141" s="157"/>
      <c r="BZ141" s="157"/>
      <c r="CA141" s="185"/>
      <c r="CB141" s="185"/>
      <c r="CC141" s="185"/>
      <c r="CD141" s="212"/>
      <c r="CE141" s="157"/>
      <c r="CF141" s="2121"/>
      <c r="CG141" s="2121"/>
      <c r="CH141" s="2121"/>
      <c r="CI141" s="157"/>
      <c r="CJ141" s="191"/>
      <c r="CK141" s="191"/>
      <c r="CL141" s="191"/>
      <c r="CM141" s="191"/>
      <c r="CN141" s="191"/>
      <c r="CO141" s="191"/>
      <c r="CP141" s="191"/>
      <c r="CQ141" s="157"/>
      <c r="CR141" s="157"/>
      <c r="CS141" s="157"/>
      <c r="CT141" s="157"/>
      <c r="CU141" s="157"/>
      <c r="CV141" s="157"/>
      <c r="CW141" s="157"/>
      <c r="CX141" s="157"/>
      <c r="CY141" s="157"/>
      <c r="CZ141" s="157"/>
      <c r="DA141" s="157"/>
      <c r="DB141" s="185"/>
      <c r="DC141" s="185"/>
      <c r="DD141" s="207"/>
      <c r="DE141" s="207"/>
      <c r="DF141" s="157"/>
      <c r="DG141" s="157"/>
      <c r="DH141" s="157"/>
      <c r="DI141" s="157"/>
      <c r="DJ141" s="157"/>
      <c r="DK141" s="157"/>
      <c r="DL141" s="157"/>
      <c r="DM141" s="15"/>
      <c r="DN141" s="15"/>
      <c r="DO141" s="15"/>
      <c r="DP141" s="15"/>
      <c r="DQ141" s="15"/>
      <c r="DR141" s="14"/>
      <c r="DS141" s="14"/>
      <c r="DT141" s="14"/>
      <c r="DU141" s="14"/>
      <c r="DV141" s="14"/>
      <c r="DW141" s="14"/>
      <c r="DX141" s="2176"/>
      <c r="DY141" s="14"/>
      <c r="DZ141" s="14"/>
      <c r="EA141" s="14"/>
      <c r="EB141" s="14"/>
      <c r="EC141" s="14"/>
      <c r="ED141" s="14"/>
      <c r="EE141" s="14"/>
      <c r="EF141" s="14"/>
      <c r="EG141" s="14"/>
      <c r="EH141" s="14"/>
      <c r="EI141" s="14"/>
      <c r="EJ141" s="14"/>
      <c r="EK141" s="15"/>
      <c r="EL141" s="15"/>
      <c r="EM141" s="15"/>
      <c r="EN141" s="15"/>
      <c r="EO141" s="15"/>
      <c r="EP141" s="15"/>
      <c r="EQ141" s="15"/>
      <c r="ER141" s="15"/>
    </row>
    <row r="142" spans="1:167" ht="15.75" customHeight="1" x14ac:dyDescent="0.2">
      <c r="A142" s="429"/>
      <c r="B142" s="429"/>
      <c r="C142" s="2294"/>
      <c r="D142" s="2295"/>
      <c r="E142" s="1528"/>
      <c r="F142" s="1528"/>
      <c r="G142" s="1528"/>
      <c r="H142" s="1521"/>
      <c r="I142" s="1528"/>
      <c r="J142" s="1529"/>
      <c r="K142" s="2332"/>
      <c r="L142" s="2333"/>
      <c r="M142" s="1530"/>
      <c r="N142" s="2119" t="str">
        <f t="shared" si="203"/>
        <v/>
      </c>
      <c r="P142" s="146" t="str">
        <f t="shared" si="204"/>
        <v/>
      </c>
      <c r="Q142" s="277">
        <f t="shared" si="190"/>
        <v>0</v>
      </c>
      <c r="R142" s="279">
        <f t="shared" si="205"/>
        <v>0</v>
      </c>
      <c r="S142" s="278">
        <f t="shared" si="191"/>
        <v>0</v>
      </c>
      <c r="T142" s="278">
        <f t="shared" si="192"/>
        <v>0</v>
      </c>
      <c r="U142" s="279">
        <f t="shared" si="206"/>
        <v>0</v>
      </c>
      <c r="V142" s="279">
        <f t="shared" si="193"/>
        <v>0</v>
      </c>
      <c r="W142" s="280">
        <f t="shared" si="194"/>
        <v>0</v>
      </c>
      <c r="X142" s="283"/>
      <c r="Y142" s="283">
        <f t="shared" si="195"/>
        <v>0</v>
      </c>
      <c r="Z142" s="281">
        <f t="shared" si="196"/>
        <v>0</v>
      </c>
      <c r="AA142" s="281">
        <f t="shared" si="197"/>
        <v>0</v>
      </c>
      <c r="AB142" s="283">
        <f t="shared" si="198"/>
        <v>0</v>
      </c>
      <c r="AC142" s="283">
        <f t="shared" si="207"/>
        <v>0</v>
      </c>
      <c r="AD142" s="146">
        <f t="shared" si="208"/>
        <v>0</v>
      </c>
      <c r="AE142" s="146">
        <f t="shared" si="209"/>
        <v>0</v>
      </c>
      <c r="AF142" s="283">
        <f t="shared" si="210"/>
        <v>0</v>
      </c>
      <c r="AG142" s="283">
        <f t="shared" si="211"/>
        <v>0</v>
      </c>
      <c r="AH142" s="283" t="e">
        <f t="shared" si="199"/>
        <v>#DIV/0!</v>
      </c>
      <c r="AJ142" s="283"/>
      <c r="AK142" s="283"/>
      <c r="AL142" s="281">
        <f t="shared" si="212"/>
        <v>0</v>
      </c>
      <c r="AM142" s="281">
        <f t="shared" si="213"/>
        <v>0</v>
      </c>
      <c r="AN142" s="281">
        <f t="shared" si="214"/>
        <v>0</v>
      </c>
      <c r="AO142" s="281">
        <f t="shared" si="215"/>
        <v>0</v>
      </c>
      <c r="AP142" s="281">
        <f t="shared" si="216"/>
        <v>0</v>
      </c>
      <c r="AQ142" s="281">
        <f t="shared" si="217"/>
        <v>0</v>
      </c>
      <c r="AR142" s="281">
        <f t="shared" si="218"/>
        <v>0</v>
      </c>
      <c r="AS142" s="281">
        <f t="shared" si="219"/>
        <v>0</v>
      </c>
      <c r="AT142" s="281">
        <f t="shared" si="220"/>
        <v>0</v>
      </c>
      <c r="AU142" s="281">
        <f t="shared" si="221"/>
        <v>0</v>
      </c>
      <c r="AV142" s="829"/>
      <c r="AW142" s="824">
        <f t="shared" si="222"/>
        <v>1</v>
      </c>
      <c r="AX142" s="1285" cm="1">
        <f t="array" ref="AX142">INDEX(Pflanzen!$B$5:$B$112,BR142)</f>
        <v>1</v>
      </c>
      <c r="AY142" s="1285" cm="1">
        <f t="array" ref="AY142">INDEX(Pflanzen!$E$5:$E$114,AX142)</f>
        <v>0</v>
      </c>
      <c r="AZ142" s="157"/>
      <c r="BA142" s="157"/>
      <c r="BB142" s="157"/>
      <c r="BC142" s="157"/>
      <c r="BD142" s="157"/>
      <c r="BE142" s="207"/>
      <c r="BF142" s="826"/>
      <c r="BG142" s="212"/>
      <c r="BH142" s="212"/>
      <c r="BI142" s="207">
        <f t="shared" si="201"/>
        <v>100</v>
      </c>
      <c r="BJ142" s="207">
        <f t="shared" si="202"/>
        <v>0</v>
      </c>
      <c r="BK142" s="207"/>
      <c r="BL142" s="659"/>
      <c r="BM142" s="157">
        <f t="shared" si="223"/>
        <v>0.55000000000000004</v>
      </c>
      <c r="BN142" s="157">
        <f t="shared" si="224"/>
        <v>0.55000000000000004</v>
      </c>
      <c r="BO142" s="157">
        <f t="shared" si="225"/>
        <v>0.55000000000000004</v>
      </c>
      <c r="BP142" s="216">
        <f t="shared" si="226"/>
        <v>0</v>
      </c>
      <c r="BQ142" s="157"/>
      <c r="BR142" s="1285">
        <v>1</v>
      </c>
      <c r="BS142" s="157"/>
      <c r="BT142" s="157"/>
      <c r="BU142" s="157"/>
      <c r="BV142" s="157"/>
      <c r="BW142" s="157"/>
      <c r="BX142" s="157"/>
      <c r="BY142" s="157"/>
      <c r="BZ142" s="157"/>
      <c r="CA142" s="185"/>
      <c r="CB142" s="185"/>
      <c r="CC142" s="185"/>
      <c r="CD142" s="212"/>
      <c r="CE142" s="157"/>
      <c r="CF142" s="2121"/>
      <c r="CG142" s="2121"/>
      <c r="CH142" s="2121"/>
      <c r="CI142" s="157"/>
      <c r="CJ142" s="191"/>
      <c r="CK142" s="191"/>
      <c r="CL142" s="191"/>
      <c r="CM142" s="191"/>
      <c r="CN142" s="191"/>
      <c r="CO142" s="191"/>
      <c r="CP142" s="191"/>
      <c r="CQ142" s="157"/>
      <c r="CR142" s="157"/>
      <c r="CS142" s="157"/>
      <c r="CT142" s="157"/>
      <c r="CU142" s="157"/>
      <c r="CV142" s="157"/>
      <c r="CW142" s="157"/>
      <c r="CX142" s="157"/>
      <c r="CY142" s="157"/>
      <c r="CZ142" s="157"/>
      <c r="DA142" s="157"/>
      <c r="DB142" s="185"/>
      <c r="DC142" s="185"/>
      <c r="DD142" s="207"/>
      <c r="DE142" s="207"/>
      <c r="DF142" s="157"/>
      <c r="DG142" s="157"/>
      <c r="DH142" s="157"/>
      <c r="DI142" s="157"/>
      <c r="DJ142" s="157"/>
      <c r="DK142" s="157"/>
      <c r="DL142" s="157"/>
      <c r="DM142" s="15"/>
      <c r="DN142" s="15"/>
      <c r="DO142" s="15"/>
      <c r="DP142" s="15"/>
      <c r="DQ142" s="15"/>
      <c r="DR142" s="14"/>
      <c r="DS142" s="14"/>
      <c r="DT142" s="14"/>
      <c r="DU142" s="14"/>
      <c r="DV142" s="14"/>
      <c r="DW142" s="14"/>
      <c r="DX142" s="2176"/>
      <c r="DY142" s="14"/>
      <c r="DZ142" s="14"/>
      <c r="EA142" s="14"/>
      <c r="EB142" s="14"/>
      <c r="EC142" s="14"/>
      <c r="ED142" s="14"/>
      <c r="EE142" s="14"/>
      <c r="EF142" s="14"/>
      <c r="EG142" s="14"/>
      <c r="EH142" s="14"/>
      <c r="EI142" s="14"/>
      <c r="EJ142" s="14"/>
      <c r="EK142" s="15"/>
      <c r="EL142" s="15"/>
      <c r="EM142" s="15"/>
      <c r="EN142" s="15"/>
      <c r="EO142" s="15"/>
      <c r="EP142" s="15"/>
      <c r="EQ142" s="15"/>
      <c r="ER142" s="15"/>
    </row>
    <row r="143" spans="1:167" ht="15.75" customHeight="1" x14ac:dyDescent="0.2">
      <c r="A143" s="429"/>
      <c r="B143" s="429"/>
      <c r="C143" s="2294"/>
      <c r="D143" s="2295"/>
      <c r="E143" s="1528"/>
      <c r="F143" s="1528"/>
      <c r="G143" s="1528"/>
      <c r="H143" s="1521"/>
      <c r="I143" s="1528"/>
      <c r="J143" s="1529"/>
      <c r="K143" s="2332"/>
      <c r="L143" s="2333"/>
      <c r="M143" s="1530"/>
      <c r="N143" s="2119" t="str">
        <f t="shared" si="203"/>
        <v/>
      </c>
      <c r="P143" s="146" t="str">
        <f t="shared" si="204"/>
        <v/>
      </c>
      <c r="Q143" s="277">
        <f t="shared" si="190"/>
        <v>0</v>
      </c>
      <c r="R143" s="279">
        <f t="shared" si="205"/>
        <v>0</v>
      </c>
      <c r="S143" s="278">
        <f t="shared" si="191"/>
        <v>0</v>
      </c>
      <c r="T143" s="278">
        <f t="shared" si="192"/>
        <v>0</v>
      </c>
      <c r="U143" s="279">
        <f t="shared" si="206"/>
        <v>0</v>
      </c>
      <c r="V143" s="279">
        <f t="shared" si="193"/>
        <v>0</v>
      </c>
      <c r="W143" s="280">
        <f t="shared" si="194"/>
        <v>0</v>
      </c>
      <c r="X143" s="283"/>
      <c r="Y143" s="283">
        <f t="shared" si="195"/>
        <v>0</v>
      </c>
      <c r="Z143" s="281">
        <f t="shared" si="196"/>
        <v>0</v>
      </c>
      <c r="AA143" s="281">
        <f t="shared" si="197"/>
        <v>0</v>
      </c>
      <c r="AB143" s="283">
        <f t="shared" si="198"/>
        <v>0</v>
      </c>
      <c r="AC143" s="283">
        <f t="shared" si="207"/>
        <v>0</v>
      </c>
      <c r="AD143" s="146">
        <f t="shared" si="208"/>
        <v>0</v>
      </c>
      <c r="AE143" s="146">
        <f t="shared" si="209"/>
        <v>0</v>
      </c>
      <c r="AF143" s="283">
        <f>+AC143-AG143</f>
        <v>0</v>
      </c>
      <c r="AG143" s="283">
        <f t="shared" si="211"/>
        <v>0</v>
      </c>
      <c r="AH143" s="283" t="e">
        <f t="shared" si="199"/>
        <v>#DIV/0!</v>
      </c>
      <c r="AJ143" s="283"/>
      <c r="AK143" s="283"/>
      <c r="AL143" s="281">
        <f t="shared" si="212"/>
        <v>0</v>
      </c>
      <c r="AM143" s="281">
        <f t="shared" si="213"/>
        <v>0</v>
      </c>
      <c r="AN143" s="281">
        <f t="shared" si="214"/>
        <v>0</v>
      </c>
      <c r="AO143" s="281">
        <f t="shared" si="215"/>
        <v>0</v>
      </c>
      <c r="AP143" s="281">
        <f t="shared" si="216"/>
        <v>0</v>
      </c>
      <c r="AQ143" s="281">
        <f t="shared" si="217"/>
        <v>0</v>
      </c>
      <c r="AR143" s="281">
        <f t="shared" si="218"/>
        <v>0</v>
      </c>
      <c r="AS143" s="281">
        <f t="shared" si="219"/>
        <v>0</v>
      </c>
      <c r="AT143" s="281">
        <f t="shared" si="220"/>
        <v>0</v>
      </c>
      <c r="AU143" s="281">
        <f t="shared" si="221"/>
        <v>0</v>
      </c>
      <c r="AV143" s="829"/>
      <c r="AW143" s="824">
        <f t="shared" si="222"/>
        <v>1</v>
      </c>
      <c r="AX143" s="1285" cm="1">
        <f t="array" ref="AX143">INDEX(Pflanzen!$B$5:$B$112,BR143)</f>
        <v>1</v>
      </c>
      <c r="AY143" s="1285" cm="1">
        <f t="array" ref="AY143">INDEX(Pflanzen!$E$5:$E$114,AX143)</f>
        <v>0</v>
      </c>
      <c r="AZ143" s="157"/>
      <c r="BA143" s="157"/>
      <c r="BB143" s="157"/>
      <c r="BC143" s="157"/>
      <c r="BD143" s="157"/>
      <c r="BE143" s="207"/>
      <c r="BF143" s="826"/>
      <c r="BG143" s="212"/>
      <c r="BH143" s="212"/>
      <c r="BI143" s="207">
        <f t="shared" si="201"/>
        <v>100</v>
      </c>
      <c r="BJ143" s="207">
        <f t="shared" si="202"/>
        <v>0</v>
      </c>
      <c r="BK143" s="207"/>
      <c r="BL143" s="659"/>
      <c r="BM143" s="157">
        <f t="shared" si="223"/>
        <v>0.55000000000000004</v>
      </c>
      <c r="BN143" s="157">
        <f t="shared" si="224"/>
        <v>0.55000000000000004</v>
      </c>
      <c r="BO143" s="157">
        <f t="shared" si="225"/>
        <v>0.55000000000000004</v>
      </c>
      <c r="BP143" s="216">
        <f t="shared" si="226"/>
        <v>0</v>
      </c>
      <c r="BQ143" s="157"/>
      <c r="BR143" s="1285">
        <v>1</v>
      </c>
      <c r="BS143" s="157"/>
      <c r="BT143" s="157"/>
      <c r="BU143" s="157"/>
      <c r="BV143" s="157"/>
      <c r="BW143" s="157"/>
      <c r="BX143" s="157"/>
      <c r="BY143" s="157"/>
      <c r="BZ143" s="157"/>
      <c r="CA143" s="185"/>
      <c r="CB143" s="185"/>
      <c r="CC143" s="185"/>
      <c r="CD143" s="212"/>
      <c r="CE143" s="157"/>
      <c r="CF143" s="2121"/>
      <c r="CG143" s="2121"/>
      <c r="CH143" s="2121"/>
      <c r="CI143" s="157"/>
      <c r="CJ143" s="191"/>
      <c r="CK143" s="191"/>
      <c r="CL143" s="191"/>
      <c r="CM143" s="191"/>
      <c r="CN143" s="191"/>
      <c r="CO143" s="191"/>
      <c r="CP143" s="191"/>
      <c r="CQ143" s="157"/>
      <c r="CR143" s="157"/>
      <c r="CS143" s="157"/>
      <c r="CT143" s="157"/>
      <c r="CU143" s="157"/>
      <c r="CV143" s="157"/>
      <c r="CW143" s="157"/>
      <c r="CX143" s="157"/>
      <c r="CY143" s="157"/>
      <c r="CZ143" s="157"/>
      <c r="DA143" s="157"/>
      <c r="DB143" s="185"/>
      <c r="DC143" s="185"/>
      <c r="DD143" s="207"/>
      <c r="DE143" s="207"/>
      <c r="DF143" s="157"/>
      <c r="DG143" s="157"/>
      <c r="DH143" s="157"/>
      <c r="DI143" s="157"/>
      <c r="DJ143" s="157"/>
      <c r="DK143" s="157"/>
      <c r="DL143" s="157"/>
      <c r="DM143" s="15"/>
      <c r="DN143" s="15"/>
      <c r="DO143" s="15"/>
      <c r="DP143" s="15"/>
      <c r="DQ143" s="15"/>
      <c r="DR143" s="14"/>
      <c r="DS143" s="14"/>
      <c r="DT143" s="14"/>
      <c r="DU143" s="14"/>
      <c r="DV143" s="14"/>
      <c r="DW143" s="14"/>
      <c r="DX143" s="2176"/>
      <c r="DY143" s="14"/>
      <c r="DZ143" s="14"/>
      <c r="EA143" s="14"/>
      <c r="EB143" s="14"/>
      <c r="EC143" s="14"/>
      <c r="ED143" s="14"/>
      <c r="EE143" s="14"/>
      <c r="EF143" s="14"/>
      <c r="EG143" s="14"/>
      <c r="EH143" s="14"/>
      <c r="EI143" s="14"/>
      <c r="EJ143" s="14"/>
      <c r="EK143" s="15"/>
      <c r="EL143" s="15"/>
      <c r="EM143" s="15"/>
      <c r="EN143" s="15"/>
      <c r="EO143" s="15"/>
      <c r="EP143" s="15"/>
      <c r="EQ143" s="15"/>
      <c r="ER143" s="15"/>
    </row>
    <row r="144" spans="1:167" ht="15.75" customHeight="1" x14ac:dyDescent="0.2">
      <c r="A144" s="429"/>
      <c r="B144" s="429"/>
      <c r="C144" s="2294"/>
      <c r="D144" s="2295"/>
      <c r="E144" s="1528"/>
      <c r="F144" s="1528"/>
      <c r="G144" s="1528"/>
      <c r="H144" s="1521"/>
      <c r="I144" s="1528"/>
      <c r="J144" s="1529"/>
      <c r="K144" s="2332"/>
      <c r="L144" s="2333"/>
      <c r="M144" s="1530"/>
      <c r="N144" s="2119" t="str">
        <f t="shared" si="203"/>
        <v/>
      </c>
      <c r="P144" s="146" t="str">
        <f t="shared" si="204"/>
        <v/>
      </c>
      <c r="Q144" s="277">
        <f t="shared" si="190"/>
        <v>0</v>
      </c>
      <c r="R144" s="279">
        <f t="shared" si="205"/>
        <v>0</v>
      </c>
      <c r="S144" s="278">
        <f t="shared" si="191"/>
        <v>0</v>
      </c>
      <c r="T144" s="278">
        <f t="shared" si="192"/>
        <v>0</v>
      </c>
      <c r="U144" s="279">
        <f t="shared" si="206"/>
        <v>0</v>
      </c>
      <c r="V144" s="279">
        <f t="shared" si="193"/>
        <v>0</v>
      </c>
      <c r="W144" s="280">
        <f t="shared" si="194"/>
        <v>0</v>
      </c>
      <c r="X144" s="283"/>
      <c r="Y144" s="283">
        <f t="shared" si="195"/>
        <v>0</v>
      </c>
      <c r="Z144" s="281">
        <f t="shared" si="196"/>
        <v>0</v>
      </c>
      <c r="AA144" s="281">
        <f t="shared" si="197"/>
        <v>0</v>
      </c>
      <c r="AB144" s="283">
        <f t="shared" si="198"/>
        <v>0</v>
      </c>
      <c r="AC144" s="283">
        <f t="shared" si="207"/>
        <v>0</v>
      </c>
      <c r="AD144" s="146">
        <f t="shared" si="208"/>
        <v>0</v>
      </c>
      <c r="AE144" s="146">
        <f t="shared" si="209"/>
        <v>0</v>
      </c>
      <c r="AF144" s="283">
        <f t="shared" si="210"/>
        <v>0</v>
      </c>
      <c r="AG144" s="283">
        <f t="shared" si="211"/>
        <v>0</v>
      </c>
      <c r="AH144" s="283" t="e">
        <f t="shared" si="199"/>
        <v>#DIV/0!</v>
      </c>
      <c r="AJ144" s="283"/>
      <c r="AK144" s="283"/>
      <c r="AL144" s="281">
        <f t="shared" si="212"/>
        <v>0</v>
      </c>
      <c r="AM144" s="281">
        <f t="shared" si="213"/>
        <v>0</v>
      </c>
      <c r="AN144" s="281">
        <f t="shared" si="214"/>
        <v>0</v>
      </c>
      <c r="AO144" s="281">
        <f t="shared" si="215"/>
        <v>0</v>
      </c>
      <c r="AP144" s="281">
        <f t="shared" si="216"/>
        <v>0</v>
      </c>
      <c r="AQ144" s="281">
        <f t="shared" si="217"/>
        <v>0</v>
      </c>
      <c r="AR144" s="281">
        <f t="shared" si="218"/>
        <v>0</v>
      </c>
      <c r="AS144" s="281">
        <f t="shared" si="219"/>
        <v>0</v>
      </c>
      <c r="AT144" s="281">
        <f t="shared" si="220"/>
        <v>0</v>
      </c>
      <c r="AU144" s="281">
        <f t="shared" si="221"/>
        <v>0</v>
      </c>
      <c r="AV144" s="829"/>
      <c r="AW144" s="824">
        <f t="shared" si="222"/>
        <v>1</v>
      </c>
      <c r="AX144" s="1285" cm="1">
        <f t="array" ref="AX144">INDEX(Pflanzen!$B$5:$B$112,BR144)</f>
        <v>1</v>
      </c>
      <c r="AY144" s="1285" cm="1">
        <f t="array" ref="AY144">INDEX(Pflanzen!$E$5:$E$114,AX144)</f>
        <v>0</v>
      </c>
      <c r="AZ144" s="157"/>
      <c r="BA144" s="157"/>
      <c r="BB144" s="157"/>
      <c r="BC144" s="157"/>
      <c r="BD144" s="157"/>
      <c r="BE144" s="207"/>
      <c r="BF144" s="826"/>
      <c r="BG144" s="212"/>
      <c r="BH144" s="212"/>
      <c r="BI144" s="207">
        <f t="shared" si="201"/>
        <v>100</v>
      </c>
      <c r="BJ144" s="207">
        <f t="shared" si="202"/>
        <v>0</v>
      </c>
      <c r="BK144" s="207"/>
      <c r="BL144" s="659"/>
      <c r="BM144" s="157">
        <f t="shared" si="223"/>
        <v>0.55000000000000004</v>
      </c>
      <c r="BN144" s="157">
        <f t="shared" si="224"/>
        <v>0.55000000000000004</v>
      </c>
      <c r="BO144" s="157">
        <f t="shared" si="225"/>
        <v>0.55000000000000004</v>
      </c>
      <c r="BP144" s="216">
        <f t="shared" si="226"/>
        <v>0</v>
      </c>
      <c r="BQ144" s="157"/>
      <c r="BR144" s="1285">
        <v>1</v>
      </c>
      <c r="BS144" s="157"/>
      <c r="BT144" s="157"/>
      <c r="BU144" s="157"/>
      <c r="BV144" s="157"/>
      <c r="BW144" s="157"/>
      <c r="BX144" s="157"/>
      <c r="BY144" s="157"/>
      <c r="BZ144" s="157"/>
      <c r="CA144" s="185"/>
      <c r="CB144" s="185"/>
      <c r="CC144" s="185"/>
      <c r="CD144" s="212"/>
      <c r="CE144" s="157"/>
      <c r="CF144" s="2121"/>
      <c r="CG144" s="2121"/>
      <c r="CH144" s="2121"/>
      <c r="CI144" s="157"/>
      <c r="CJ144" s="191"/>
      <c r="CK144" s="191"/>
      <c r="CL144" s="191"/>
      <c r="CM144" s="191"/>
      <c r="CN144" s="191"/>
      <c r="CO144" s="191"/>
      <c r="CP144" s="191"/>
      <c r="CQ144" s="157"/>
      <c r="CR144" s="157"/>
      <c r="CS144" s="157"/>
      <c r="CT144" s="157"/>
      <c r="CU144" s="157"/>
      <c r="CV144" s="157"/>
      <c r="CW144" s="157"/>
      <c r="CX144" s="157"/>
      <c r="CY144" s="157"/>
      <c r="CZ144" s="157"/>
      <c r="DA144" s="157"/>
      <c r="DB144" s="185"/>
      <c r="DC144" s="185"/>
      <c r="DD144" s="207"/>
      <c r="DE144" s="207"/>
      <c r="DF144" s="157"/>
      <c r="DG144" s="157"/>
      <c r="DH144" s="157"/>
      <c r="DI144" s="157"/>
      <c r="DJ144" s="157"/>
      <c r="DK144" s="157"/>
      <c r="DL144" s="157"/>
      <c r="DM144" s="15"/>
      <c r="DN144" s="15"/>
      <c r="DO144" s="15"/>
      <c r="DP144" s="15"/>
      <c r="DQ144" s="15"/>
      <c r="DR144" s="14"/>
      <c r="DS144" s="14"/>
      <c r="DT144" s="14"/>
      <c r="DU144" s="14"/>
      <c r="DV144" s="14"/>
      <c r="DW144" s="14"/>
      <c r="DX144" s="2176"/>
      <c r="DY144" s="14"/>
      <c r="DZ144" s="14"/>
      <c r="EA144" s="14"/>
      <c r="EB144" s="14"/>
      <c r="EC144" s="14"/>
      <c r="ED144" s="14"/>
      <c r="EE144" s="14"/>
      <c r="EF144" s="14"/>
      <c r="EG144" s="14"/>
      <c r="EH144" s="14"/>
      <c r="EI144" s="14"/>
      <c r="EJ144" s="14"/>
      <c r="EK144" s="15"/>
      <c r="EL144" s="15"/>
      <c r="EM144" s="15"/>
      <c r="EN144" s="15"/>
      <c r="EO144" s="15"/>
      <c r="EP144" s="15"/>
      <c r="EQ144" s="15"/>
      <c r="ER144" s="15"/>
    </row>
    <row r="145" spans="1:148" ht="15.75" customHeight="1" x14ac:dyDescent="0.2">
      <c r="A145" s="429"/>
      <c r="B145" s="429"/>
      <c r="C145" s="2294"/>
      <c r="D145" s="2295"/>
      <c r="E145" s="1528"/>
      <c r="F145" s="1528"/>
      <c r="G145" s="1528"/>
      <c r="H145" s="1521"/>
      <c r="I145" s="1528"/>
      <c r="J145" s="1529"/>
      <c r="K145" s="2332"/>
      <c r="L145" s="2333"/>
      <c r="M145" s="1530"/>
      <c r="N145" s="2119" t="str">
        <f t="shared" si="203"/>
        <v/>
      </c>
      <c r="P145" s="146" t="str">
        <f t="shared" si="204"/>
        <v/>
      </c>
      <c r="Q145" s="277">
        <f t="shared" si="190"/>
        <v>0</v>
      </c>
      <c r="R145" s="279">
        <f t="shared" si="205"/>
        <v>0</v>
      </c>
      <c r="S145" s="278">
        <f t="shared" si="191"/>
        <v>0</v>
      </c>
      <c r="T145" s="278">
        <f t="shared" si="192"/>
        <v>0</v>
      </c>
      <c r="U145" s="279">
        <f t="shared" si="206"/>
        <v>0</v>
      </c>
      <c r="V145" s="279">
        <f t="shared" si="193"/>
        <v>0</v>
      </c>
      <c r="W145" s="280">
        <f t="shared" si="194"/>
        <v>0</v>
      </c>
      <c r="X145" s="283"/>
      <c r="Y145" s="283">
        <f t="shared" si="195"/>
        <v>0</v>
      </c>
      <c r="Z145" s="281">
        <f t="shared" si="196"/>
        <v>0</v>
      </c>
      <c r="AA145" s="281">
        <f t="shared" si="197"/>
        <v>0</v>
      </c>
      <c r="AB145" s="283">
        <f t="shared" si="198"/>
        <v>0</v>
      </c>
      <c r="AC145" s="283">
        <f t="shared" si="207"/>
        <v>0</v>
      </c>
      <c r="AD145" s="146">
        <f t="shared" si="208"/>
        <v>0</v>
      </c>
      <c r="AE145" s="146">
        <f t="shared" si="209"/>
        <v>0</v>
      </c>
      <c r="AF145" s="283">
        <f t="shared" si="210"/>
        <v>0</v>
      </c>
      <c r="AG145" s="283">
        <f t="shared" si="211"/>
        <v>0</v>
      </c>
      <c r="AH145" s="283" t="e">
        <f t="shared" si="199"/>
        <v>#DIV/0!</v>
      </c>
      <c r="AJ145" s="283"/>
      <c r="AK145" s="283"/>
      <c r="AL145" s="281">
        <f t="shared" si="212"/>
        <v>0</v>
      </c>
      <c r="AM145" s="281">
        <f t="shared" si="213"/>
        <v>0</v>
      </c>
      <c r="AN145" s="281">
        <f t="shared" si="214"/>
        <v>0</v>
      </c>
      <c r="AO145" s="281">
        <f t="shared" si="215"/>
        <v>0</v>
      </c>
      <c r="AP145" s="281">
        <f t="shared" si="216"/>
        <v>0</v>
      </c>
      <c r="AQ145" s="281">
        <f t="shared" si="217"/>
        <v>0</v>
      </c>
      <c r="AR145" s="281">
        <f t="shared" si="218"/>
        <v>0</v>
      </c>
      <c r="AS145" s="281">
        <f t="shared" si="219"/>
        <v>0</v>
      </c>
      <c r="AT145" s="281">
        <f t="shared" si="220"/>
        <v>0</v>
      </c>
      <c r="AU145" s="281">
        <f t="shared" si="221"/>
        <v>0</v>
      </c>
      <c r="AV145" s="829"/>
      <c r="AW145" s="824">
        <f t="shared" si="222"/>
        <v>1</v>
      </c>
      <c r="AX145" s="1285" cm="1">
        <f t="array" ref="AX145">INDEX(Pflanzen!$B$5:$B$112,BR145)</f>
        <v>1</v>
      </c>
      <c r="AY145" s="1285" cm="1">
        <f t="array" ref="AY145">INDEX(Pflanzen!$E$5:$E$114,AX145)</f>
        <v>0</v>
      </c>
      <c r="AZ145" s="157"/>
      <c r="BA145" s="157"/>
      <c r="BB145" s="157"/>
      <c r="BC145" s="157"/>
      <c r="BD145" s="157"/>
      <c r="BE145" s="207"/>
      <c r="BF145" s="826"/>
      <c r="BG145" s="212"/>
      <c r="BH145" s="212"/>
      <c r="BI145" s="207">
        <f t="shared" si="201"/>
        <v>100</v>
      </c>
      <c r="BJ145" s="207">
        <f t="shared" si="202"/>
        <v>0</v>
      </c>
      <c r="BK145" s="207"/>
      <c r="BL145" s="659"/>
      <c r="BM145" s="157">
        <f t="shared" si="223"/>
        <v>0.55000000000000004</v>
      </c>
      <c r="BN145" s="157">
        <f t="shared" si="224"/>
        <v>0.55000000000000004</v>
      </c>
      <c r="BO145" s="157">
        <f t="shared" si="225"/>
        <v>0.55000000000000004</v>
      </c>
      <c r="BP145" s="216">
        <f t="shared" si="226"/>
        <v>0</v>
      </c>
      <c r="BQ145" s="157"/>
      <c r="BR145" s="1285">
        <v>1</v>
      </c>
      <c r="BS145" s="157"/>
      <c r="BT145" s="157"/>
      <c r="BU145" s="157"/>
      <c r="BV145" s="157"/>
      <c r="BW145" s="157"/>
      <c r="BX145" s="157"/>
      <c r="BY145" s="157"/>
      <c r="BZ145" s="157"/>
      <c r="CA145" s="185"/>
      <c r="CB145" s="185"/>
      <c r="CC145" s="185"/>
      <c r="CD145" s="212"/>
      <c r="CE145" s="157"/>
      <c r="CF145" s="2121"/>
      <c r="CG145" s="2121"/>
      <c r="CH145" s="2121"/>
      <c r="CI145" s="157"/>
      <c r="CJ145" s="191"/>
      <c r="CK145" s="191"/>
      <c r="CL145" s="191"/>
      <c r="CM145" s="191"/>
      <c r="CN145" s="191"/>
      <c r="CO145" s="191"/>
      <c r="CP145" s="191"/>
      <c r="CQ145" s="157"/>
      <c r="CR145" s="157"/>
      <c r="CS145" s="157"/>
      <c r="CT145" s="157"/>
      <c r="CU145" s="157"/>
      <c r="CV145" s="157"/>
      <c r="CW145" s="157"/>
      <c r="CX145" s="157"/>
      <c r="CY145" s="157"/>
      <c r="CZ145" s="157"/>
      <c r="DA145" s="157"/>
      <c r="DB145" s="185"/>
      <c r="DC145" s="185"/>
      <c r="DD145" s="207"/>
      <c r="DE145" s="207"/>
      <c r="DF145" s="157"/>
      <c r="DG145" s="157"/>
      <c r="DH145" s="157"/>
      <c r="DI145" s="157"/>
      <c r="DJ145" s="157"/>
      <c r="DK145" s="157"/>
      <c r="DL145" s="157"/>
      <c r="DM145" s="15"/>
      <c r="DN145" s="15"/>
      <c r="DO145" s="15"/>
      <c r="DP145" s="15"/>
      <c r="DQ145" s="15"/>
      <c r="DR145" s="14"/>
      <c r="DS145" s="14"/>
      <c r="DT145" s="14"/>
      <c r="DU145" s="14"/>
      <c r="DV145" s="14"/>
      <c r="DW145" s="14"/>
      <c r="DX145" s="2176"/>
      <c r="DY145" s="14"/>
      <c r="DZ145" s="14"/>
      <c r="EA145" s="14"/>
      <c r="EB145" s="14"/>
      <c r="EC145" s="14"/>
      <c r="ED145" s="14"/>
      <c r="EE145" s="14"/>
      <c r="EF145" s="14"/>
      <c r="EG145" s="14"/>
      <c r="EH145" s="14"/>
      <c r="EI145" s="14"/>
      <c r="EJ145" s="14"/>
      <c r="EK145" s="15"/>
      <c r="EL145" s="15"/>
      <c r="EM145" s="15"/>
      <c r="EN145" s="15"/>
      <c r="EO145" s="15"/>
      <c r="EP145" s="15"/>
      <c r="EQ145" s="15"/>
      <c r="ER145" s="15"/>
    </row>
    <row r="146" spans="1:148" ht="15.75" customHeight="1" x14ac:dyDescent="0.2">
      <c r="A146" s="429"/>
      <c r="B146" s="429"/>
      <c r="C146" s="2294"/>
      <c r="D146" s="2295"/>
      <c r="E146" s="1528"/>
      <c r="F146" s="1528"/>
      <c r="G146" s="1528"/>
      <c r="H146" s="1521"/>
      <c r="I146" s="1528"/>
      <c r="J146" s="1529"/>
      <c r="K146" s="2332"/>
      <c r="L146" s="2333"/>
      <c r="M146" s="1530"/>
      <c r="N146" s="2119" t="str">
        <f t="shared" si="203"/>
        <v/>
      </c>
      <c r="P146" s="146" t="str">
        <f t="shared" si="204"/>
        <v/>
      </c>
      <c r="Q146" s="277">
        <f t="shared" si="190"/>
        <v>0</v>
      </c>
      <c r="R146" s="279">
        <f t="shared" si="205"/>
        <v>0</v>
      </c>
      <c r="S146" s="278">
        <f t="shared" si="191"/>
        <v>0</v>
      </c>
      <c r="T146" s="278">
        <f t="shared" si="192"/>
        <v>0</v>
      </c>
      <c r="U146" s="279">
        <f t="shared" si="206"/>
        <v>0</v>
      </c>
      <c r="V146" s="279">
        <f t="shared" si="193"/>
        <v>0</v>
      </c>
      <c r="W146" s="280">
        <f t="shared" si="194"/>
        <v>0</v>
      </c>
      <c r="X146" s="283"/>
      <c r="Y146" s="283">
        <f t="shared" si="195"/>
        <v>0</v>
      </c>
      <c r="Z146" s="281">
        <f t="shared" si="196"/>
        <v>0</v>
      </c>
      <c r="AA146" s="281">
        <f t="shared" si="197"/>
        <v>0</v>
      </c>
      <c r="AB146" s="283">
        <f t="shared" si="198"/>
        <v>0</v>
      </c>
      <c r="AC146" s="283">
        <f t="shared" si="207"/>
        <v>0</v>
      </c>
      <c r="AD146" s="146">
        <f t="shared" si="208"/>
        <v>0</v>
      </c>
      <c r="AE146" s="146">
        <f t="shared" si="209"/>
        <v>0</v>
      </c>
      <c r="AF146" s="283">
        <f t="shared" si="210"/>
        <v>0</v>
      </c>
      <c r="AG146" s="283">
        <f t="shared" si="211"/>
        <v>0</v>
      </c>
      <c r="AH146" s="283" t="e">
        <f t="shared" si="199"/>
        <v>#DIV/0!</v>
      </c>
      <c r="AJ146" s="283"/>
      <c r="AK146" s="283"/>
      <c r="AL146" s="281">
        <f t="shared" si="212"/>
        <v>0</v>
      </c>
      <c r="AM146" s="281">
        <f t="shared" si="213"/>
        <v>0</v>
      </c>
      <c r="AN146" s="281">
        <f t="shared" si="214"/>
        <v>0</v>
      </c>
      <c r="AO146" s="281">
        <f t="shared" si="215"/>
        <v>0</v>
      </c>
      <c r="AP146" s="281">
        <f t="shared" si="216"/>
        <v>0</v>
      </c>
      <c r="AQ146" s="281">
        <f t="shared" si="217"/>
        <v>0</v>
      </c>
      <c r="AR146" s="281">
        <f t="shared" si="218"/>
        <v>0</v>
      </c>
      <c r="AS146" s="281">
        <f t="shared" si="219"/>
        <v>0</v>
      </c>
      <c r="AT146" s="281">
        <f t="shared" si="220"/>
        <v>0</v>
      </c>
      <c r="AU146" s="281">
        <f t="shared" si="221"/>
        <v>0</v>
      </c>
      <c r="AV146" s="829"/>
      <c r="AW146" s="824">
        <f t="shared" si="222"/>
        <v>1</v>
      </c>
      <c r="AX146" s="1285" cm="1">
        <f t="array" ref="AX146">INDEX(Pflanzen!$B$5:$B$112,BR146)</f>
        <v>1</v>
      </c>
      <c r="AY146" s="1285" cm="1">
        <f t="array" ref="AY146">INDEX(Pflanzen!$E$5:$E$114,AX146)</f>
        <v>0</v>
      </c>
      <c r="AZ146" s="157"/>
      <c r="BA146" s="157"/>
      <c r="BB146" s="157"/>
      <c r="BC146" s="157"/>
      <c r="BD146" s="157"/>
      <c r="BE146" s="207"/>
      <c r="BF146" s="826"/>
      <c r="BG146" s="212"/>
      <c r="BH146" s="212"/>
      <c r="BI146" s="207">
        <f t="shared" si="201"/>
        <v>100</v>
      </c>
      <c r="BJ146" s="207">
        <f t="shared" si="202"/>
        <v>0</v>
      </c>
      <c r="BK146" s="207"/>
      <c r="BL146" s="659"/>
      <c r="BM146" s="157">
        <f t="shared" si="223"/>
        <v>0.55000000000000004</v>
      </c>
      <c r="BN146" s="157">
        <f t="shared" si="224"/>
        <v>0.55000000000000004</v>
      </c>
      <c r="BO146" s="157">
        <f t="shared" si="225"/>
        <v>0.55000000000000004</v>
      </c>
      <c r="BP146" s="216">
        <f t="shared" si="226"/>
        <v>0</v>
      </c>
      <c r="BQ146" s="157"/>
      <c r="BR146" s="1285">
        <v>1</v>
      </c>
      <c r="BS146" s="157"/>
      <c r="BT146" s="157"/>
      <c r="BU146" s="157"/>
      <c r="BV146" s="157"/>
      <c r="BW146" s="157"/>
      <c r="BX146" s="157"/>
      <c r="BY146" s="157"/>
      <c r="BZ146" s="157"/>
      <c r="CA146" s="185"/>
      <c r="CB146" s="185"/>
      <c r="CC146" s="185"/>
      <c r="CD146" s="212"/>
      <c r="CE146" s="157"/>
      <c r="CF146" s="2121"/>
      <c r="CG146" s="2121"/>
      <c r="CH146" s="2121"/>
      <c r="CI146" s="157"/>
      <c r="CJ146" s="191"/>
      <c r="CK146" s="191"/>
      <c r="CL146" s="191"/>
      <c r="CM146" s="191"/>
      <c r="CN146" s="191"/>
      <c r="CO146" s="191"/>
      <c r="CP146" s="191"/>
      <c r="CQ146" s="157"/>
      <c r="CR146" s="157"/>
      <c r="CS146" s="157"/>
      <c r="CT146" s="157"/>
      <c r="CU146" s="157"/>
      <c r="CV146" s="157"/>
      <c r="CW146" s="157"/>
      <c r="CX146" s="157"/>
      <c r="CY146" s="157"/>
      <c r="CZ146" s="157"/>
      <c r="DA146" s="157"/>
      <c r="DB146" s="185"/>
      <c r="DC146" s="185"/>
      <c r="DD146" s="207"/>
      <c r="DE146" s="207"/>
      <c r="DF146" s="157"/>
      <c r="DG146" s="157"/>
      <c r="DH146" s="157"/>
      <c r="DI146" s="157"/>
      <c r="DJ146" s="157"/>
      <c r="DK146" s="157"/>
      <c r="DL146" s="157"/>
      <c r="DM146" s="15"/>
      <c r="DN146" s="15"/>
      <c r="DO146" s="15"/>
      <c r="DP146" s="15"/>
      <c r="DQ146" s="15"/>
      <c r="DR146" s="14"/>
      <c r="DS146" s="14"/>
      <c r="DT146" s="14"/>
      <c r="DU146" s="14"/>
      <c r="DV146" s="14"/>
      <c r="DW146" s="14"/>
      <c r="DX146" s="2176"/>
      <c r="DY146" s="14"/>
      <c r="DZ146" s="14"/>
      <c r="EA146" s="14"/>
      <c r="EB146" s="14"/>
      <c r="EC146" s="14"/>
      <c r="ED146" s="14"/>
      <c r="EE146" s="14"/>
      <c r="EF146" s="14"/>
      <c r="EG146" s="14"/>
      <c r="EH146" s="14"/>
      <c r="EI146" s="14"/>
      <c r="EJ146" s="14"/>
      <c r="EK146" s="15"/>
      <c r="EL146" s="15"/>
      <c r="EM146" s="15"/>
      <c r="EN146" s="15"/>
      <c r="EO146" s="15"/>
      <c r="EP146" s="15"/>
      <c r="EQ146" s="15"/>
      <c r="ER146" s="15"/>
    </row>
    <row r="147" spans="1:148" ht="15.75" customHeight="1" x14ac:dyDescent="0.2">
      <c r="A147" s="429"/>
      <c r="B147" s="429"/>
      <c r="C147" s="2294"/>
      <c r="D147" s="2295"/>
      <c r="E147" s="1528"/>
      <c r="F147" s="1528"/>
      <c r="G147" s="1528"/>
      <c r="H147" s="1521"/>
      <c r="I147" s="1528"/>
      <c r="J147" s="1529"/>
      <c r="K147" s="2332"/>
      <c r="L147" s="2333"/>
      <c r="M147" s="1530"/>
      <c r="N147" s="2119" t="str">
        <f t="shared" si="203"/>
        <v/>
      </c>
      <c r="P147" s="146" t="str">
        <f t="shared" si="204"/>
        <v/>
      </c>
      <c r="Q147" s="277">
        <f t="shared" si="190"/>
        <v>0</v>
      </c>
      <c r="R147" s="279">
        <f t="shared" si="205"/>
        <v>0</v>
      </c>
      <c r="S147" s="278">
        <f t="shared" si="191"/>
        <v>0</v>
      </c>
      <c r="T147" s="278">
        <f t="shared" si="192"/>
        <v>0</v>
      </c>
      <c r="U147" s="279">
        <f t="shared" si="206"/>
        <v>0</v>
      </c>
      <c r="V147" s="279">
        <f t="shared" si="193"/>
        <v>0</v>
      </c>
      <c r="W147" s="280">
        <f t="shared" si="194"/>
        <v>0</v>
      </c>
      <c r="X147" s="283"/>
      <c r="Y147" s="283">
        <f t="shared" si="195"/>
        <v>0</v>
      </c>
      <c r="Z147" s="281">
        <f t="shared" si="196"/>
        <v>0</v>
      </c>
      <c r="AA147" s="281">
        <f t="shared" si="197"/>
        <v>0</v>
      </c>
      <c r="AB147" s="283">
        <f t="shared" si="198"/>
        <v>0</v>
      </c>
      <c r="AC147" s="283">
        <f t="shared" si="207"/>
        <v>0</v>
      </c>
      <c r="AD147" s="146">
        <f t="shared" si="208"/>
        <v>0</v>
      </c>
      <c r="AE147" s="146">
        <f t="shared" si="209"/>
        <v>0</v>
      </c>
      <c r="AF147" s="283">
        <f t="shared" si="210"/>
        <v>0</v>
      </c>
      <c r="AG147" s="283">
        <f t="shared" si="211"/>
        <v>0</v>
      </c>
      <c r="AH147" s="283" t="e">
        <f t="shared" si="199"/>
        <v>#DIV/0!</v>
      </c>
      <c r="AJ147" s="283"/>
      <c r="AK147" s="283"/>
      <c r="AL147" s="281">
        <f t="shared" si="212"/>
        <v>0</v>
      </c>
      <c r="AM147" s="281">
        <f t="shared" si="213"/>
        <v>0</v>
      </c>
      <c r="AN147" s="281">
        <f t="shared" si="214"/>
        <v>0</v>
      </c>
      <c r="AO147" s="281">
        <f t="shared" si="215"/>
        <v>0</v>
      </c>
      <c r="AP147" s="281">
        <f t="shared" si="216"/>
        <v>0</v>
      </c>
      <c r="AQ147" s="281">
        <f t="shared" si="217"/>
        <v>0</v>
      </c>
      <c r="AR147" s="281">
        <f t="shared" si="218"/>
        <v>0</v>
      </c>
      <c r="AS147" s="281">
        <f t="shared" si="219"/>
        <v>0</v>
      </c>
      <c r="AT147" s="281">
        <f t="shared" si="220"/>
        <v>0</v>
      </c>
      <c r="AU147" s="281">
        <f t="shared" si="221"/>
        <v>0</v>
      </c>
      <c r="AV147" s="829"/>
      <c r="AW147" s="824">
        <f t="shared" si="222"/>
        <v>1</v>
      </c>
      <c r="AX147" s="1285" cm="1">
        <f t="array" ref="AX147">INDEX(Pflanzen!$B$5:$B$112,BR147)</f>
        <v>1</v>
      </c>
      <c r="AY147" s="1285" cm="1">
        <f t="array" ref="AY147">INDEX(Pflanzen!$E$5:$E$114,AX147)</f>
        <v>0</v>
      </c>
      <c r="AZ147" s="157"/>
      <c r="BA147" s="157"/>
      <c r="BB147" s="157"/>
      <c r="BC147" s="157"/>
      <c r="BD147" s="157"/>
      <c r="BE147" s="207"/>
      <c r="BF147" s="826"/>
      <c r="BG147" s="212"/>
      <c r="BH147" s="212"/>
      <c r="BI147" s="207">
        <f t="shared" si="201"/>
        <v>100</v>
      </c>
      <c r="BJ147" s="207">
        <f t="shared" si="202"/>
        <v>0</v>
      </c>
      <c r="BK147" s="207"/>
      <c r="BL147" s="659"/>
      <c r="BM147" s="157">
        <f t="shared" si="223"/>
        <v>0.55000000000000004</v>
      </c>
      <c r="BN147" s="157">
        <f t="shared" si="224"/>
        <v>0.55000000000000004</v>
      </c>
      <c r="BO147" s="157">
        <f t="shared" si="225"/>
        <v>0.55000000000000004</v>
      </c>
      <c r="BP147" s="216">
        <f t="shared" si="226"/>
        <v>0</v>
      </c>
      <c r="BQ147" s="157"/>
      <c r="BR147" s="1285">
        <v>1</v>
      </c>
      <c r="BS147" s="157"/>
      <c r="BT147" s="157"/>
      <c r="BU147" s="157"/>
      <c r="BV147" s="157"/>
      <c r="BW147" s="157"/>
      <c r="BX147" s="157"/>
      <c r="BY147" s="157"/>
      <c r="BZ147" s="157"/>
      <c r="CA147" s="185"/>
      <c r="CB147" s="185"/>
      <c r="CC147" s="185"/>
      <c r="CD147" s="212"/>
      <c r="CE147" s="157"/>
      <c r="CF147" s="2121"/>
      <c r="CG147" s="2121"/>
      <c r="CH147" s="2121"/>
      <c r="CI147" s="157"/>
      <c r="CJ147" s="191"/>
      <c r="CK147" s="191"/>
      <c r="CL147" s="191"/>
      <c r="CM147" s="191"/>
      <c r="CN147" s="191"/>
      <c r="CO147" s="191"/>
      <c r="CP147" s="191"/>
      <c r="CQ147" s="157"/>
      <c r="CR147" s="157"/>
      <c r="CS147" s="157"/>
      <c r="CT147" s="157"/>
      <c r="CU147" s="157"/>
      <c r="CV147" s="157"/>
      <c r="CW147" s="157"/>
      <c r="CX147" s="157"/>
      <c r="CY147" s="157"/>
      <c r="CZ147" s="157"/>
      <c r="DA147" s="157"/>
      <c r="DB147" s="185"/>
      <c r="DC147" s="185"/>
      <c r="DD147" s="207"/>
      <c r="DE147" s="207"/>
      <c r="DF147" s="157"/>
      <c r="DG147" s="157"/>
      <c r="DH147" s="157"/>
      <c r="DI147" s="157"/>
      <c r="DJ147" s="157"/>
      <c r="DK147" s="157"/>
      <c r="DL147" s="157"/>
      <c r="DM147" s="15"/>
      <c r="DN147" s="15"/>
      <c r="DO147" s="15"/>
      <c r="DP147" s="15"/>
      <c r="DQ147" s="15"/>
      <c r="DR147" s="14"/>
      <c r="DS147" s="14"/>
      <c r="DT147" s="14"/>
      <c r="DU147" s="14"/>
      <c r="DV147" s="14"/>
      <c r="DW147" s="14"/>
      <c r="DX147" s="2176"/>
      <c r="DY147" s="14"/>
      <c r="DZ147" s="14"/>
      <c r="EA147" s="14"/>
      <c r="EB147" s="14"/>
      <c r="EC147" s="14"/>
      <c r="ED147" s="14"/>
      <c r="EE147" s="14"/>
      <c r="EF147" s="14"/>
      <c r="EG147" s="14"/>
      <c r="EH147" s="14"/>
      <c r="EI147" s="14"/>
      <c r="EJ147" s="14"/>
      <c r="EK147" s="15"/>
      <c r="EL147" s="15"/>
      <c r="EM147" s="15"/>
      <c r="EN147" s="15"/>
      <c r="EO147" s="15"/>
      <c r="EP147" s="15"/>
      <c r="EQ147" s="15"/>
      <c r="ER147" s="15"/>
    </row>
    <row r="148" spans="1:148" ht="15.75" customHeight="1" x14ac:dyDescent="0.2">
      <c r="A148" s="429"/>
      <c r="B148" s="429"/>
      <c r="C148" s="2294"/>
      <c r="D148" s="2295"/>
      <c r="E148" s="1528"/>
      <c r="F148" s="1528"/>
      <c r="G148" s="1528"/>
      <c r="H148" s="1521"/>
      <c r="I148" s="1528"/>
      <c r="J148" s="1529"/>
      <c r="K148" s="2332"/>
      <c r="L148" s="2333"/>
      <c r="M148" s="1530"/>
      <c r="N148" s="2119" t="str">
        <f t="shared" si="203"/>
        <v/>
      </c>
      <c r="P148" s="146" t="str">
        <f t="shared" si="204"/>
        <v/>
      </c>
      <c r="Q148" s="277">
        <f t="shared" si="190"/>
        <v>0</v>
      </c>
      <c r="R148" s="279">
        <f t="shared" si="205"/>
        <v>0</v>
      </c>
      <c r="S148" s="278">
        <f t="shared" si="191"/>
        <v>0</v>
      </c>
      <c r="T148" s="278">
        <f t="shared" si="192"/>
        <v>0</v>
      </c>
      <c r="U148" s="279">
        <f t="shared" si="206"/>
        <v>0</v>
      </c>
      <c r="V148" s="279">
        <f t="shared" si="193"/>
        <v>0</v>
      </c>
      <c r="W148" s="280">
        <f t="shared" si="194"/>
        <v>0</v>
      </c>
      <c r="X148" s="283"/>
      <c r="Y148" s="283">
        <f t="shared" si="195"/>
        <v>0</v>
      </c>
      <c r="Z148" s="281">
        <f t="shared" si="196"/>
        <v>0</v>
      </c>
      <c r="AA148" s="281">
        <f t="shared" si="197"/>
        <v>0</v>
      </c>
      <c r="AB148" s="283">
        <f t="shared" si="198"/>
        <v>0</v>
      </c>
      <c r="AC148" s="283">
        <f t="shared" si="207"/>
        <v>0</v>
      </c>
      <c r="AD148" s="146">
        <f t="shared" si="208"/>
        <v>0</v>
      </c>
      <c r="AE148" s="146">
        <f t="shared" si="209"/>
        <v>0</v>
      </c>
      <c r="AF148" s="283">
        <f t="shared" si="210"/>
        <v>0</v>
      </c>
      <c r="AG148" s="283">
        <f t="shared" si="211"/>
        <v>0</v>
      </c>
      <c r="AH148" s="283" t="e">
        <f t="shared" si="199"/>
        <v>#DIV/0!</v>
      </c>
      <c r="AJ148" s="283"/>
      <c r="AK148" s="283"/>
      <c r="AL148" s="281">
        <f t="shared" si="212"/>
        <v>0</v>
      </c>
      <c r="AM148" s="281">
        <f t="shared" si="213"/>
        <v>0</v>
      </c>
      <c r="AN148" s="281">
        <f t="shared" si="214"/>
        <v>0</v>
      </c>
      <c r="AO148" s="281">
        <f t="shared" si="215"/>
        <v>0</v>
      </c>
      <c r="AP148" s="281">
        <f t="shared" si="216"/>
        <v>0</v>
      </c>
      <c r="AQ148" s="281">
        <f t="shared" si="217"/>
        <v>0</v>
      </c>
      <c r="AR148" s="281">
        <f t="shared" si="218"/>
        <v>0</v>
      </c>
      <c r="AS148" s="281">
        <f t="shared" si="219"/>
        <v>0</v>
      </c>
      <c r="AT148" s="281">
        <f t="shared" si="220"/>
        <v>0</v>
      </c>
      <c r="AU148" s="281">
        <f t="shared" si="221"/>
        <v>0</v>
      </c>
      <c r="AV148" s="829"/>
      <c r="AW148" s="824">
        <f t="shared" si="222"/>
        <v>1</v>
      </c>
      <c r="AX148" s="1285" cm="1">
        <f t="array" ref="AX148">INDEX(Pflanzen!$B$5:$B$112,BR148)</f>
        <v>1</v>
      </c>
      <c r="AY148" s="1285" cm="1">
        <f t="array" ref="AY148">INDEX(Pflanzen!$E$5:$E$114,AX148)</f>
        <v>0</v>
      </c>
      <c r="AZ148" s="157"/>
      <c r="BA148" s="157"/>
      <c r="BB148" s="157"/>
      <c r="BC148" s="157"/>
      <c r="BD148" s="157"/>
      <c r="BE148" s="207"/>
      <c r="BF148" s="826"/>
      <c r="BG148" s="212"/>
      <c r="BH148" s="212"/>
      <c r="BI148" s="207">
        <f t="shared" si="201"/>
        <v>100</v>
      </c>
      <c r="BJ148" s="207">
        <f t="shared" si="202"/>
        <v>0</v>
      </c>
      <c r="BK148" s="207"/>
      <c r="BL148" s="659"/>
      <c r="BM148" s="157">
        <f t="shared" si="223"/>
        <v>0.55000000000000004</v>
      </c>
      <c r="BN148" s="157">
        <f t="shared" si="224"/>
        <v>0.55000000000000004</v>
      </c>
      <c r="BO148" s="157">
        <f t="shared" si="225"/>
        <v>0.55000000000000004</v>
      </c>
      <c r="BP148" s="216">
        <f t="shared" si="226"/>
        <v>0</v>
      </c>
      <c r="BQ148" s="157"/>
      <c r="BR148" s="1285">
        <v>1</v>
      </c>
      <c r="BS148" s="157"/>
      <c r="BT148" s="157"/>
      <c r="BU148" s="157"/>
      <c r="BV148" s="157"/>
      <c r="BW148" s="157"/>
      <c r="BX148" s="157"/>
      <c r="BY148" s="157"/>
      <c r="BZ148" s="157"/>
      <c r="CA148" s="185"/>
      <c r="CB148" s="185"/>
      <c r="CC148" s="185"/>
      <c r="CD148" s="212"/>
      <c r="CE148" s="157"/>
      <c r="CF148" s="2121"/>
      <c r="CG148" s="2121"/>
      <c r="CH148" s="2121"/>
      <c r="CI148" s="157"/>
      <c r="CJ148" s="191"/>
      <c r="CK148" s="191"/>
      <c r="CL148" s="191"/>
      <c r="CM148" s="191"/>
      <c r="CN148" s="191"/>
      <c r="CO148" s="191"/>
      <c r="CP148" s="191"/>
      <c r="CQ148" s="157"/>
      <c r="CR148" s="157"/>
      <c r="CS148" s="157"/>
      <c r="CT148" s="157"/>
      <c r="CU148" s="157"/>
      <c r="CV148" s="157"/>
      <c r="CW148" s="157"/>
      <c r="CX148" s="157"/>
      <c r="CY148" s="157"/>
      <c r="CZ148" s="157"/>
      <c r="DA148" s="157"/>
      <c r="DB148" s="185"/>
      <c r="DC148" s="185"/>
      <c r="DD148" s="207"/>
      <c r="DE148" s="207"/>
      <c r="DF148" s="157"/>
      <c r="DG148" s="157"/>
      <c r="DH148" s="157"/>
      <c r="DI148" s="157"/>
      <c r="DJ148" s="157"/>
      <c r="DK148" s="157"/>
      <c r="DL148" s="157"/>
      <c r="DM148" s="15"/>
      <c r="DN148" s="15"/>
      <c r="DO148" s="15"/>
      <c r="DP148" s="15"/>
      <c r="DQ148" s="15"/>
      <c r="DR148" s="14"/>
      <c r="DS148" s="14"/>
      <c r="DT148" s="14"/>
      <c r="DU148" s="14"/>
      <c r="DV148" s="14"/>
      <c r="DW148" s="14"/>
      <c r="DX148" s="2176"/>
      <c r="DY148" s="14"/>
      <c r="DZ148" s="14"/>
      <c r="EA148" s="14"/>
      <c r="EB148" s="14"/>
      <c r="EC148" s="14"/>
      <c r="ED148" s="14"/>
      <c r="EE148" s="14"/>
      <c r="EF148" s="14"/>
      <c r="EG148" s="14"/>
      <c r="EH148" s="14"/>
      <c r="EI148" s="14"/>
      <c r="EJ148" s="14"/>
      <c r="EK148" s="15"/>
      <c r="EL148" s="15"/>
      <c r="EM148" s="15"/>
      <c r="EN148" s="15"/>
      <c r="EO148" s="15"/>
      <c r="EP148" s="15"/>
      <c r="EQ148" s="15"/>
      <c r="ER148" s="15"/>
    </row>
    <row r="149" spans="1:148" ht="15.75" customHeight="1" x14ac:dyDescent="0.2">
      <c r="A149" s="429"/>
      <c r="B149" s="429"/>
      <c r="C149" s="2294"/>
      <c r="D149" s="2295"/>
      <c r="E149" s="1528"/>
      <c r="F149" s="1528"/>
      <c r="G149" s="1528"/>
      <c r="H149" s="1521"/>
      <c r="I149" s="1528"/>
      <c r="J149" s="1529"/>
      <c r="K149" s="2332"/>
      <c r="L149" s="2333"/>
      <c r="M149" s="1530"/>
      <c r="N149" s="2119" t="str">
        <f t="shared" si="203"/>
        <v/>
      </c>
      <c r="P149" s="146" t="str">
        <f t="shared" si="204"/>
        <v/>
      </c>
      <c r="Q149" s="277">
        <f t="shared" si="190"/>
        <v>0</v>
      </c>
      <c r="R149" s="279">
        <f t="shared" si="205"/>
        <v>0</v>
      </c>
      <c r="S149" s="278">
        <f t="shared" si="191"/>
        <v>0</v>
      </c>
      <c r="T149" s="278">
        <f t="shared" si="192"/>
        <v>0</v>
      </c>
      <c r="U149" s="279">
        <f t="shared" si="206"/>
        <v>0</v>
      </c>
      <c r="V149" s="279">
        <f t="shared" si="193"/>
        <v>0</v>
      </c>
      <c r="W149" s="280">
        <f t="shared" si="194"/>
        <v>0</v>
      </c>
      <c r="X149" s="283"/>
      <c r="Y149" s="283">
        <f t="shared" si="195"/>
        <v>0</v>
      </c>
      <c r="Z149" s="281">
        <f t="shared" si="196"/>
        <v>0</v>
      </c>
      <c r="AA149" s="281">
        <f t="shared" si="197"/>
        <v>0</v>
      </c>
      <c r="AB149" s="283">
        <f t="shared" si="198"/>
        <v>0</v>
      </c>
      <c r="AC149" s="283">
        <f t="shared" si="207"/>
        <v>0</v>
      </c>
      <c r="AD149" s="146">
        <f t="shared" si="208"/>
        <v>0</v>
      </c>
      <c r="AE149" s="146">
        <f t="shared" si="209"/>
        <v>0</v>
      </c>
      <c r="AF149" s="283">
        <f t="shared" si="210"/>
        <v>0</v>
      </c>
      <c r="AG149" s="283">
        <f t="shared" si="211"/>
        <v>0</v>
      </c>
      <c r="AH149" s="283" t="e">
        <f t="shared" si="199"/>
        <v>#DIV/0!</v>
      </c>
      <c r="AJ149" s="283"/>
      <c r="AK149" s="283"/>
      <c r="AL149" s="281">
        <f t="shared" si="212"/>
        <v>0</v>
      </c>
      <c r="AM149" s="281">
        <f t="shared" si="213"/>
        <v>0</v>
      </c>
      <c r="AN149" s="281">
        <f t="shared" si="214"/>
        <v>0</v>
      </c>
      <c r="AO149" s="281">
        <f t="shared" si="215"/>
        <v>0</v>
      </c>
      <c r="AP149" s="281">
        <f t="shared" si="216"/>
        <v>0</v>
      </c>
      <c r="AQ149" s="281">
        <f t="shared" si="217"/>
        <v>0</v>
      </c>
      <c r="AR149" s="281">
        <f t="shared" si="218"/>
        <v>0</v>
      </c>
      <c r="AS149" s="281">
        <f t="shared" si="219"/>
        <v>0</v>
      </c>
      <c r="AT149" s="281">
        <f t="shared" si="220"/>
        <v>0</v>
      </c>
      <c r="AU149" s="281">
        <f t="shared" si="221"/>
        <v>0</v>
      </c>
      <c r="AV149" s="829"/>
      <c r="AW149" s="824">
        <f t="shared" si="222"/>
        <v>1</v>
      </c>
      <c r="AX149" s="1285" cm="1">
        <f t="array" ref="AX149">INDEX(Pflanzen!$B$5:$B$112,BR149)</f>
        <v>1</v>
      </c>
      <c r="AY149" s="1285" cm="1">
        <f t="array" ref="AY149">INDEX(Pflanzen!$E$5:$E$114,AX149)</f>
        <v>0</v>
      </c>
      <c r="AZ149" s="157"/>
      <c r="BA149" s="157"/>
      <c r="BB149" s="157"/>
      <c r="BC149" s="157"/>
      <c r="BD149" s="157"/>
      <c r="BE149" s="207"/>
      <c r="BF149" s="826"/>
      <c r="BG149" s="212"/>
      <c r="BH149" s="212"/>
      <c r="BI149" s="207">
        <f t="shared" si="201"/>
        <v>100</v>
      </c>
      <c r="BJ149" s="207">
        <f t="shared" si="202"/>
        <v>0</v>
      </c>
      <c r="BK149" s="207"/>
      <c r="BL149" s="659"/>
      <c r="BM149" s="157">
        <f t="shared" si="223"/>
        <v>0.55000000000000004</v>
      </c>
      <c r="BN149" s="157">
        <f t="shared" si="224"/>
        <v>0.55000000000000004</v>
      </c>
      <c r="BO149" s="157">
        <f t="shared" si="225"/>
        <v>0.55000000000000004</v>
      </c>
      <c r="BP149" s="216">
        <f t="shared" si="226"/>
        <v>0</v>
      </c>
      <c r="BQ149" s="157"/>
      <c r="BR149" s="1285">
        <v>1</v>
      </c>
      <c r="BS149" s="157"/>
      <c r="BT149" s="157"/>
      <c r="BU149" s="157"/>
      <c r="BV149" s="157"/>
      <c r="BW149" s="157"/>
      <c r="BX149" s="157"/>
      <c r="BY149" s="157"/>
      <c r="BZ149" s="157"/>
      <c r="CA149" s="185"/>
      <c r="CB149" s="185"/>
      <c r="CC149" s="185"/>
      <c r="CD149" s="212"/>
      <c r="CE149" s="157"/>
      <c r="CF149" s="2121"/>
      <c r="CG149" s="2121"/>
      <c r="CH149" s="2121"/>
      <c r="CI149" s="157"/>
      <c r="CJ149" s="191"/>
      <c r="CK149" s="191"/>
      <c r="CL149" s="191"/>
      <c r="CM149" s="191"/>
      <c r="CN149" s="191"/>
      <c r="CO149" s="191"/>
      <c r="CP149" s="191"/>
      <c r="CQ149" s="157"/>
      <c r="CR149" s="157"/>
      <c r="CS149" s="157"/>
      <c r="CT149" s="157"/>
      <c r="CU149" s="157"/>
      <c r="CV149" s="157"/>
      <c r="CW149" s="157"/>
      <c r="CX149" s="157"/>
      <c r="CY149" s="157"/>
      <c r="CZ149" s="157"/>
      <c r="DA149" s="157"/>
      <c r="DB149" s="185"/>
      <c r="DC149" s="185"/>
      <c r="DD149" s="207"/>
      <c r="DE149" s="207"/>
      <c r="DF149" s="157"/>
      <c r="DG149" s="157"/>
      <c r="DH149" s="157"/>
      <c r="DI149" s="157"/>
      <c r="DJ149" s="157"/>
      <c r="DK149" s="157"/>
      <c r="DL149" s="157"/>
      <c r="DM149" s="15"/>
      <c r="DN149" s="15"/>
      <c r="DO149" s="15"/>
      <c r="DP149" s="15"/>
      <c r="DQ149" s="15"/>
      <c r="DR149" s="14"/>
      <c r="DS149" s="14"/>
      <c r="DT149" s="14"/>
      <c r="DU149" s="14"/>
      <c r="DV149" s="14"/>
      <c r="DW149" s="14"/>
      <c r="DX149" s="2176"/>
      <c r="DY149" s="14"/>
      <c r="DZ149" s="14"/>
      <c r="EA149" s="14"/>
      <c r="EB149" s="14"/>
      <c r="EC149" s="14"/>
      <c r="ED149" s="14"/>
      <c r="EE149" s="14"/>
      <c r="EF149" s="14"/>
      <c r="EG149" s="14"/>
      <c r="EH149" s="14"/>
      <c r="EI149" s="14"/>
      <c r="EJ149" s="14"/>
      <c r="EK149" s="15"/>
      <c r="EL149" s="15"/>
      <c r="EM149" s="15"/>
      <c r="EN149" s="15"/>
      <c r="EO149" s="15"/>
      <c r="EP149" s="15"/>
      <c r="EQ149" s="15"/>
      <c r="ER149" s="15"/>
    </row>
    <row r="150" spans="1:148" ht="15.75" customHeight="1" x14ac:dyDescent="0.2">
      <c r="A150" s="429"/>
      <c r="B150" s="429"/>
      <c r="C150" s="2294"/>
      <c r="D150" s="2295"/>
      <c r="E150" s="1528"/>
      <c r="F150" s="1528"/>
      <c r="G150" s="1528"/>
      <c r="H150" s="1521"/>
      <c r="I150" s="1528"/>
      <c r="J150" s="1529"/>
      <c r="K150" s="2332"/>
      <c r="L150" s="2333"/>
      <c r="M150" s="1530"/>
      <c r="N150" s="2119" t="str">
        <f t="shared" si="203"/>
        <v/>
      </c>
      <c r="P150" s="146" t="str">
        <f t="shared" si="204"/>
        <v/>
      </c>
      <c r="Q150" s="277">
        <f t="shared" si="190"/>
        <v>0</v>
      </c>
      <c r="R150" s="279">
        <f t="shared" si="205"/>
        <v>0</v>
      </c>
      <c r="S150" s="278">
        <f t="shared" si="191"/>
        <v>0</v>
      </c>
      <c r="T150" s="278">
        <f t="shared" si="192"/>
        <v>0</v>
      </c>
      <c r="U150" s="279">
        <f t="shared" si="206"/>
        <v>0</v>
      </c>
      <c r="V150" s="279">
        <f t="shared" si="193"/>
        <v>0</v>
      </c>
      <c r="W150" s="280">
        <f t="shared" si="194"/>
        <v>0</v>
      </c>
      <c r="X150" s="283"/>
      <c r="Y150" s="283">
        <f t="shared" si="195"/>
        <v>0</v>
      </c>
      <c r="Z150" s="281">
        <f t="shared" si="196"/>
        <v>0</v>
      </c>
      <c r="AA150" s="281">
        <f t="shared" si="197"/>
        <v>0</v>
      </c>
      <c r="AB150" s="283">
        <f t="shared" si="198"/>
        <v>0</v>
      </c>
      <c r="AC150" s="283">
        <f t="shared" si="207"/>
        <v>0</v>
      </c>
      <c r="AD150" s="146">
        <f t="shared" si="208"/>
        <v>0</v>
      </c>
      <c r="AE150" s="146">
        <f t="shared" si="209"/>
        <v>0</v>
      </c>
      <c r="AF150" s="283">
        <f t="shared" si="210"/>
        <v>0</v>
      </c>
      <c r="AG150" s="283">
        <f t="shared" si="211"/>
        <v>0</v>
      </c>
      <c r="AH150" s="283" t="e">
        <f t="shared" si="199"/>
        <v>#DIV/0!</v>
      </c>
      <c r="AJ150" s="283"/>
      <c r="AK150" s="283"/>
      <c r="AL150" s="281">
        <f t="shared" si="212"/>
        <v>0</v>
      </c>
      <c r="AM150" s="281">
        <f t="shared" si="213"/>
        <v>0</v>
      </c>
      <c r="AN150" s="281">
        <f t="shared" si="214"/>
        <v>0</v>
      </c>
      <c r="AO150" s="281">
        <f t="shared" si="215"/>
        <v>0</v>
      </c>
      <c r="AP150" s="281">
        <f t="shared" si="216"/>
        <v>0</v>
      </c>
      <c r="AQ150" s="281">
        <f t="shared" si="217"/>
        <v>0</v>
      </c>
      <c r="AR150" s="281">
        <f t="shared" si="218"/>
        <v>0</v>
      </c>
      <c r="AS150" s="281">
        <f t="shared" si="219"/>
        <v>0</v>
      </c>
      <c r="AT150" s="281">
        <f t="shared" si="220"/>
        <v>0</v>
      </c>
      <c r="AU150" s="281">
        <f t="shared" si="221"/>
        <v>0</v>
      </c>
      <c r="AV150" s="829"/>
      <c r="AW150" s="824">
        <f t="shared" si="222"/>
        <v>1</v>
      </c>
      <c r="AX150" s="1285" cm="1">
        <f t="array" ref="AX150">INDEX(Pflanzen!$B$5:$B$112,BR150)</f>
        <v>1</v>
      </c>
      <c r="AY150" s="1285" cm="1">
        <f t="array" ref="AY150">INDEX(Pflanzen!$E$5:$E$114,AX150)</f>
        <v>0</v>
      </c>
      <c r="AZ150" s="157"/>
      <c r="BA150" s="157"/>
      <c r="BB150" s="157"/>
      <c r="BC150" s="157"/>
      <c r="BD150" s="157"/>
      <c r="BE150" s="207"/>
      <c r="BF150" s="826"/>
      <c r="BG150" s="212"/>
      <c r="BH150" s="212"/>
      <c r="BI150" s="207">
        <f t="shared" si="201"/>
        <v>100</v>
      </c>
      <c r="BJ150" s="207">
        <f t="shared" si="202"/>
        <v>0</v>
      </c>
      <c r="BK150" s="207"/>
      <c r="BL150" s="659"/>
      <c r="BM150" s="157">
        <f t="shared" si="223"/>
        <v>0.55000000000000004</v>
      </c>
      <c r="BN150" s="157">
        <f t="shared" si="224"/>
        <v>0.55000000000000004</v>
      </c>
      <c r="BO150" s="157">
        <f t="shared" si="225"/>
        <v>0.55000000000000004</v>
      </c>
      <c r="BP150" s="216">
        <f t="shared" si="226"/>
        <v>0</v>
      </c>
      <c r="BQ150" s="157"/>
      <c r="BR150" s="1285">
        <v>1</v>
      </c>
      <c r="BS150" s="157"/>
      <c r="BT150" s="157"/>
      <c r="BU150" s="157"/>
      <c r="BV150" s="157"/>
      <c r="BW150" s="157"/>
      <c r="BX150" s="157"/>
      <c r="BY150" s="157"/>
      <c r="BZ150" s="157"/>
      <c r="CA150" s="185"/>
      <c r="CB150" s="185"/>
      <c r="CC150" s="185"/>
      <c r="CD150" s="212"/>
      <c r="CE150" s="157"/>
      <c r="CF150" s="2121"/>
      <c r="CG150" s="2121"/>
      <c r="CH150" s="2121"/>
      <c r="CI150" s="157"/>
      <c r="CJ150" s="191"/>
      <c r="CK150" s="191"/>
      <c r="CL150" s="191"/>
      <c r="CM150" s="191"/>
      <c r="CN150" s="191"/>
      <c r="CO150" s="191"/>
      <c r="CP150" s="191"/>
      <c r="CQ150" s="157"/>
      <c r="CR150" s="157"/>
      <c r="CS150" s="157"/>
      <c r="CT150" s="157"/>
      <c r="CU150" s="157"/>
      <c r="CV150" s="157"/>
      <c r="CW150" s="157"/>
      <c r="CX150" s="157"/>
      <c r="CY150" s="157"/>
      <c r="CZ150" s="157"/>
      <c r="DA150" s="157"/>
      <c r="DB150" s="185"/>
      <c r="DC150" s="185"/>
      <c r="DD150" s="207"/>
      <c r="DE150" s="207"/>
      <c r="DF150" s="157"/>
      <c r="DG150" s="157"/>
      <c r="DH150" s="157"/>
      <c r="DI150" s="157"/>
      <c r="DJ150" s="157"/>
      <c r="DK150" s="157"/>
      <c r="DL150" s="157"/>
      <c r="DM150" s="15"/>
      <c r="DN150" s="15"/>
      <c r="DO150" s="15"/>
      <c r="DP150" s="15"/>
      <c r="DQ150" s="15"/>
      <c r="DR150" s="14"/>
      <c r="DS150" s="14"/>
      <c r="DT150" s="14"/>
      <c r="DU150" s="14"/>
      <c r="DV150" s="14"/>
      <c r="DW150" s="14"/>
      <c r="DX150" s="2176"/>
      <c r="DY150" s="14"/>
      <c r="DZ150" s="14"/>
      <c r="EA150" s="14"/>
      <c r="EB150" s="14"/>
      <c r="EC150" s="14"/>
      <c r="ED150" s="14"/>
      <c r="EE150" s="14"/>
      <c r="EF150" s="14"/>
      <c r="EG150" s="14"/>
      <c r="EH150" s="14"/>
      <c r="EI150" s="14"/>
      <c r="EJ150" s="14"/>
      <c r="EK150" s="15"/>
      <c r="EL150" s="15"/>
      <c r="EM150" s="15"/>
      <c r="EN150" s="15"/>
      <c r="EO150" s="15"/>
      <c r="EP150" s="15"/>
      <c r="EQ150" s="15"/>
      <c r="ER150" s="15"/>
    </row>
    <row r="151" spans="1:148" ht="15.75" customHeight="1" x14ac:dyDescent="0.2">
      <c r="A151" s="429"/>
      <c r="B151" s="429"/>
      <c r="C151" s="2294"/>
      <c r="D151" s="2295"/>
      <c r="E151" s="1528"/>
      <c r="F151" s="1528"/>
      <c r="G151" s="1528"/>
      <c r="H151" s="1521"/>
      <c r="I151" s="1528"/>
      <c r="J151" s="1529"/>
      <c r="K151" s="2332"/>
      <c r="L151" s="2333"/>
      <c r="M151" s="1530"/>
      <c r="N151" s="2119" t="str">
        <f t="shared" si="203"/>
        <v/>
      </c>
      <c r="P151" s="146" t="str">
        <f t="shared" si="204"/>
        <v/>
      </c>
      <c r="Q151" s="277">
        <f t="shared" si="190"/>
        <v>0</v>
      </c>
      <c r="R151" s="279">
        <f t="shared" si="205"/>
        <v>0</v>
      </c>
      <c r="S151" s="278">
        <f t="shared" si="191"/>
        <v>0</v>
      </c>
      <c r="T151" s="278">
        <f t="shared" si="192"/>
        <v>0</v>
      </c>
      <c r="U151" s="279">
        <f t="shared" si="206"/>
        <v>0</v>
      </c>
      <c r="V151" s="279">
        <f t="shared" si="193"/>
        <v>0</v>
      </c>
      <c r="W151" s="280">
        <f t="shared" si="194"/>
        <v>0</v>
      </c>
      <c r="X151" s="283"/>
      <c r="Y151" s="283">
        <f t="shared" si="195"/>
        <v>0</v>
      </c>
      <c r="Z151" s="281">
        <f t="shared" si="196"/>
        <v>0</v>
      </c>
      <c r="AA151" s="281">
        <f t="shared" si="197"/>
        <v>0</v>
      </c>
      <c r="AB151" s="283">
        <f t="shared" si="198"/>
        <v>0</v>
      </c>
      <c r="AC151" s="283">
        <f t="shared" si="207"/>
        <v>0</v>
      </c>
      <c r="AD151" s="146">
        <f t="shared" si="208"/>
        <v>0</v>
      </c>
      <c r="AE151" s="146">
        <f t="shared" si="209"/>
        <v>0</v>
      </c>
      <c r="AF151" s="283">
        <f t="shared" si="210"/>
        <v>0</v>
      </c>
      <c r="AG151" s="283">
        <f t="shared" si="211"/>
        <v>0</v>
      </c>
      <c r="AH151" s="283" t="e">
        <f t="shared" si="199"/>
        <v>#DIV/0!</v>
      </c>
      <c r="AJ151" s="283"/>
      <c r="AK151" s="283"/>
      <c r="AL151" s="281">
        <f t="shared" si="212"/>
        <v>0</v>
      </c>
      <c r="AM151" s="281">
        <f t="shared" si="213"/>
        <v>0</v>
      </c>
      <c r="AN151" s="281">
        <f t="shared" si="214"/>
        <v>0</v>
      </c>
      <c r="AO151" s="281">
        <f t="shared" si="215"/>
        <v>0</v>
      </c>
      <c r="AP151" s="281">
        <f t="shared" si="216"/>
        <v>0</v>
      </c>
      <c r="AQ151" s="281">
        <f t="shared" si="217"/>
        <v>0</v>
      </c>
      <c r="AR151" s="281">
        <f t="shared" si="218"/>
        <v>0</v>
      </c>
      <c r="AS151" s="281">
        <f t="shared" si="219"/>
        <v>0</v>
      </c>
      <c r="AT151" s="281">
        <f t="shared" si="220"/>
        <v>0</v>
      </c>
      <c r="AU151" s="281">
        <f t="shared" si="221"/>
        <v>0</v>
      </c>
      <c r="AV151" s="829"/>
      <c r="AW151" s="824">
        <f t="shared" si="222"/>
        <v>1</v>
      </c>
      <c r="AX151" s="1285" cm="1">
        <f t="array" ref="AX151">INDEX(Pflanzen!$B$5:$B$112,BR151)</f>
        <v>1</v>
      </c>
      <c r="AY151" s="1285" cm="1">
        <f t="array" ref="AY151">INDEX(Pflanzen!$E$5:$E$114,AX151)</f>
        <v>0</v>
      </c>
      <c r="AZ151" s="157"/>
      <c r="BA151" s="157"/>
      <c r="BB151" s="157"/>
      <c r="BC151" s="157"/>
      <c r="BD151" s="157"/>
      <c r="BE151" s="207"/>
      <c r="BF151" s="826"/>
      <c r="BG151" s="212"/>
      <c r="BH151" s="212"/>
      <c r="BI151" s="207">
        <f t="shared" si="201"/>
        <v>100</v>
      </c>
      <c r="BJ151" s="207">
        <f t="shared" si="202"/>
        <v>0</v>
      </c>
      <c r="BK151" s="207"/>
      <c r="BL151" s="659"/>
      <c r="BM151" s="157">
        <f t="shared" si="223"/>
        <v>0.55000000000000004</v>
      </c>
      <c r="BN151" s="157">
        <f t="shared" si="224"/>
        <v>0.55000000000000004</v>
      </c>
      <c r="BO151" s="157">
        <f t="shared" si="225"/>
        <v>0.55000000000000004</v>
      </c>
      <c r="BP151" s="216">
        <f t="shared" si="226"/>
        <v>0</v>
      </c>
      <c r="BQ151" s="157"/>
      <c r="BR151" s="1285">
        <v>1</v>
      </c>
      <c r="BS151" s="157"/>
      <c r="BT151" s="157"/>
      <c r="BU151" s="157"/>
      <c r="BV151" s="157"/>
      <c r="BW151" s="157"/>
      <c r="BX151" s="157"/>
      <c r="BY151" s="157"/>
      <c r="BZ151" s="157"/>
      <c r="CA151" s="185"/>
      <c r="CB151" s="185"/>
      <c r="CC151" s="185"/>
      <c r="CD151" s="212"/>
      <c r="CE151" s="157"/>
      <c r="CF151" s="2121"/>
      <c r="CG151" s="2121"/>
      <c r="CH151" s="2121"/>
      <c r="CI151" s="157"/>
      <c r="CJ151" s="191"/>
      <c r="CK151" s="191"/>
      <c r="CL151" s="191"/>
      <c r="CM151" s="191"/>
      <c r="CN151" s="191"/>
      <c r="CO151" s="191"/>
      <c r="CP151" s="191"/>
      <c r="CQ151" s="157"/>
      <c r="CR151" s="157"/>
      <c r="CS151" s="157"/>
      <c r="CT151" s="157"/>
      <c r="CU151" s="157"/>
      <c r="CV151" s="157"/>
      <c r="CW151" s="157"/>
      <c r="CX151" s="157"/>
      <c r="CY151" s="157"/>
      <c r="CZ151" s="157"/>
      <c r="DA151" s="157"/>
      <c r="DB151" s="185"/>
      <c r="DC151" s="185"/>
      <c r="DD151" s="207"/>
      <c r="DE151" s="207"/>
      <c r="DF151" s="157"/>
      <c r="DG151" s="157"/>
      <c r="DH151" s="157"/>
      <c r="DI151" s="157"/>
      <c r="DJ151" s="157"/>
      <c r="DK151" s="157"/>
      <c r="DL151" s="157"/>
      <c r="DM151" s="15"/>
      <c r="DN151" s="15"/>
      <c r="DO151" s="15"/>
      <c r="DP151" s="15"/>
      <c r="DQ151" s="15"/>
      <c r="DR151" s="14"/>
      <c r="DS151" s="14"/>
      <c r="DT151" s="14"/>
      <c r="DU151" s="14"/>
      <c r="DV151" s="14"/>
      <c r="DW151" s="14"/>
      <c r="DX151" s="2176"/>
      <c r="DY151" s="14"/>
      <c r="DZ151" s="14"/>
      <c r="EA151" s="14"/>
      <c r="EB151" s="14"/>
      <c r="EC151" s="14"/>
      <c r="ED151" s="14"/>
      <c r="EE151" s="14"/>
      <c r="EF151" s="14"/>
      <c r="EG151" s="14"/>
      <c r="EH151" s="14"/>
      <c r="EI151" s="14"/>
      <c r="EJ151" s="14"/>
      <c r="EK151" s="15"/>
      <c r="EL151" s="15"/>
      <c r="EM151" s="15"/>
      <c r="EN151" s="15"/>
      <c r="EO151" s="15"/>
      <c r="EP151" s="15"/>
      <c r="EQ151" s="15"/>
      <c r="ER151" s="15"/>
    </row>
    <row r="152" spans="1:148" ht="15.75" customHeight="1" x14ac:dyDescent="0.2">
      <c r="A152" s="429"/>
      <c r="B152" s="429"/>
      <c r="C152" s="2294"/>
      <c r="D152" s="2295"/>
      <c r="E152" s="1528"/>
      <c r="F152" s="1528"/>
      <c r="G152" s="1528"/>
      <c r="H152" s="1521"/>
      <c r="I152" s="1528"/>
      <c r="J152" s="1529"/>
      <c r="K152" s="2332"/>
      <c r="L152" s="2333"/>
      <c r="M152" s="1530"/>
      <c r="N152" s="2119" t="str">
        <f t="shared" si="203"/>
        <v/>
      </c>
      <c r="P152" s="146" t="str">
        <f t="shared" si="204"/>
        <v/>
      </c>
      <c r="Q152" s="277">
        <f t="shared" si="190"/>
        <v>0</v>
      </c>
      <c r="R152" s="279">
        <f t="shared" si="205"/>
        <v>0</v>
      </c>
      <c r="S152" s="278">
        <f t="shared" si="191"/>
        <v>0</v>
      </c>
      <c r="T152" s="278">
        <f t="shared" si="192"/>
        <v>0</v>
      </c>
      <c r="U152" s="279">
        <f t="shared" si="206"/>
        <v>0</v>
      </c>
      <c r="V152" s="279">
        <f t="shared" si="193"/>
        <v>0</v>
      </c>
      <c r="W152" s="280">
        <f t="shared" si="194"/>
        <v>0</v>
      </c>
      <c r="X152" s="283"/>
      <c r="Y152" s="283">
        <f t="shared" si="195"/>
        <v>0</v>
      </c>
      <c r="Z152" s="281">
        <f t="shared" si="196"/>
        <v>0</v>
      </c>
      <c r="AA152" s="281">
        <f t="shared" si="197"/>
        <v>0</v>
      </c>
      <c r="AB152" s="283">
        <f t="shared" si="198"/>
        <v>0</v>
      </c>
      <c r="AC152" s="283">
        <f t="shared" si="207"/>
        <v>0</v>
      </c>
      <c r="AD152" s="146">
        <f t="shared" si="208"/>
        <v>0</v>
      </c>
      <c r="AE152" s="146">
        <f t="shared" si="209"/>
        <v>0</v>
      </c>
      <c r="AF152" s="283">
        <f t="shared" si="210"/>
        <v>0</v>
      </c>
      <c r="AG152" s="283">
        <f t="shared" si="211"/>
        <v>0</v>
      </c>
      <c r="AH152" s="283" t="e">
        <f t="shared" si="199"/>
        <v>#DIV/0!</v>
      </c>
      <c r="AJ152" s="283"/>
      <c r="AK152" s="283"/>
      <c r="AL152" s="281">
        <f t="shared" si="212"/>
        <v>0</v>
      </c>
      <c r="AM152" s="281">
        <f t="shared" si="213"/>
        <v>0</v>
      </c>
      <c r="AN152" s="281">
        <f t="shared" si="214"/>
        <v>0</v>
      </c>
      <c r="AO152" s="281">
        <f t="shared" si="215"/>
        <v>0</v>
      </c>
      <c r="AP152" s="281">
        <f t="shared" si="216"/>
        <v>0</v>
      </c>
      <c r="AQ152" s="281">
        <f t="shared" si="217"/>
        <v>0</v>
      </c>
      <c r="AR152" s="281">
        <f t="shared" si="218"/>
        <v>0</v>
      </c>
      <c r="AS152" s="281">
        <f t="shared" si="219"/>
        <v>0</v>
      </c>
      <c r="AT152" s="281">
        <f t="shared" si="220"/>
        <v>0</v>
      </c>
      <c r="AU152" s="281">
        <f t="shared" si="221"/>
        <v>0</v>
      </c>
      <c r="AV152" s="829"/>
      <c r="AW152" s="824">
        <f t="shared" si="222"/>
        <v>1</v>
      </c>
      <c r="AX152" s="1285" cm="1">
        <f t="array" ref="AX152">INDEX(Pflanzen!$B$5:$B$112,BR152)</f>
        <v>1</v>
      </c>
      <c r="AY152" s="1285" cm="1">
        <f t="array" ref="AY152">INDEX(Pflanzen!$E$5:$E$114,AX152)</f>
        <v>0</v>
      </c>
      <c r="AZ152" s="157"/>
      <c r="BA152" s="157"/>
      <c r="BB152" s="157"/>
      <c r="BC152" s="157"/>
      <c r="BD152" s="157"/>
      <c r="BE152" s="207"/>
      <c r="BF152" s="826"/>
      <c r="BG152" s="212"/>
      <c r="BH152" s="212"/>
      <c r="BI152" s="207">
        <f t="shared" si="201"/>
        <v>100</v>
      </c>
      <c r="BJ152" s="207">
        <f t="shared" si="202"/>
        <v>0</v>
      </c>
      <c r="BK152" s="207"/>
      <c r="BL152" s="659"/>
      <c r="BM152" s="157">
        <f t="shared" si="223"/>
        <v>0.55000000000000004</v>
      </c>
      <c r="BN152" s="157">
        <f t="shared" si="224"/>
        <v>0.55000000000000004</v>
      </c>
      <c r="BO152" s="157">
        <f t="shared" si="225"/>
        <v>0.55000000000000004</v>
      </c>
      <c r="BP152" s="216">
        <f t="shared" si="226"/>
        <v>0</v>
      </c>
      <c r="BQ152" s="157"/>
      <c r="BR152" s="1285">
        <v>1</v>
      </c>
      <c r="BS152" s="157"/>
      <c r="BT152" s="157"/>
      <c r="BU152" s="157"/>
      <c r="BV152" s="157"/>
      <c r="BW152" s="157"/>
      <c r="BX152" s="157"/>
      <c r="BY152" s="157"/>
      <c r="BZ152" s="157"/>
      <c r="CA152" s="185"/>
      <c r="CB152" s="185"/>
      <c r="CC152" s="185"/>
      <c r="CD152" s="212"/>
      <c r="CE152" s="157"/>
      <c r="CF152" s="2121"/>
      <c r="CG152" s="2121"/>
      <c r="CH152" s="2121"/>
      <c r="CI152" s="157"/>
      <c r="CJ152" s="191"/>
      <c r="CK152" s="191"/>
      <c r="CL152" s="191"/>
      <c r="CM152" s="191"/>
      <c r="CN152" s="191"/>
      <c r="CO152" s="191"/>
      <c r="CP152" s="191"/>
      <c r="CQ152" s="157"/>
      <c r="CR152" s="157"/>
      <c r="CS152" s="157"/>
      <c r="CT152" s="157"/>
      <c r="CU152" s="157"/>
      <c r="CV152" s="157"/>
      <c r="CW152" s="157"/>
      <c r="CX152" s="157"/>
      <c r="CY152" s="157"/>
      <c r="CZ152" s="157"/>
      <c r="DA152" s="157"/>
      <c r="DB152" s="185"/>
      <c r="DC152" s="185"/>
      <c r="DD152" s="207"/>
      <c r="DE152" s="207"/>
      <c r="DF152" s="157"/>
      <c r="DG152" s="157"/>
      <c r="DH152" s="157"/>
      <c r="DI152" s="157"/>
      <c r="DJ152" s="157"/>
      <c r="DK152" s="157"/>
      <c r="DL152" s="157"/>
      <c r="DM152" s="15"/>
      <c r="DN152" s="15"/>
      <c r="DO152" s="15"/>
      <c r="DP152" s="15"/>
      <c r="DQ152" s="15"/>
      <c r="DR152" s="14"/>
      <c r="DS152" s="14"/>
      <c r="DT152" s="14"/>
      <c r="DU152" s="14"/>
      <c r="DV152" s="14"/>
      <c r="DW152" s="14"/>
      <c r="DX152" s="2176"/>
      <c r="DY152" s="14"/>
      <c r="DZ152" s="14"/>
      <c r="EA152" s="14"/>
      <c r="EB152" s="14"/>
      <c r="EC152" s="14"/>
      <c r="ED152" s="14"/>
      <c r="EE152" s="14"/>
      <c r="EF152" s="14"/>
      <c r="EG152" s="14"/>
      <c r="EH152" s="14"/>
      <c r="EI152" s="14"/>
      <c r="EJ152" s="14"/>
      <c r="EK152" s="15"/>
      <c r="EL152" s="15"/>
      <c r="EM152" s="15"/>
      <c r="EN152" s="15"/>
      <c r="EO152" s="15"/>
      <c r="EP152" s="15"/>
      <c r="EQ152" s="15"/>
      <c r="ER152" s="15"/>
    </row>
    <row r="153" spans="1:148" ht="15.75" customHeight="1" x14ac:dyDescent="0.2">
      <c r="A153" s="429"/>
      <c r="B153" s="429"/>
      <c r="C153" s="2294"/>
      <c r="D153" s="2295"/>
      <c r="E153" s="1528"/>
      <c r="F153" s="1528"/>
      <c r="G153" s="1528"/>
      <c r="H153" s="1521"/>
      <c r="I153" s="1528"/>
      <c r="J153" s="1529"/>
      <c r="K153" s="2332"/>
      <c r="L153" s="2333"/>
      <c r="M153" s="1530"/>
      <c r="N153" s="2119" t="str">
        <f t="shared" si="203"/>
        <v/>
      </c>
      <c r="P153" s="146" t="str">
        <f t="shared" si="204"/>
        <v/>
      </c>
      <c r="Q153" s="277">
        <f t="shared" si="190"/>
        <v>0</v>
      </c>
      <c r="R153" s="279">
        <f t="shared" si="205"/>
        <v>0</v>
      </c>
      <c r="S153" s="278">
        <f t="shared" si="191"/>
        <v>0</v>
      </c>
      <c r="T153" s="278">
        <f t="shared" si="192"/>
        <v>0</v>
      </c>
      <c r="U153" s="279">
        <f t="shared" si="206"/>
        <v>0</v>
      </c>
      <c r="V153" s="279">
        <f t="shared" si="193"/>
        <v>0</v>
      </c>
      <c r="W153" s="280">
        <f t="shared" si="194"/>
        <v>0</v>
      </c>
      <c r="X153" s="283"/>
      <c r="Y153" s="283">
        <f t="shared" si="195"/>
        <v>0</v>
      </c>
      <c r="Z153" s="281">
        <f t="shared" si="196"/>
        <v>0</v>
      </c>
      <c r="AA153" s="281">
        <f t="shared" si="197"/>
        <v>0</v>
      </c>
      <c r="AB153" s="283">
        <f t="shared" si="198"/>
        <v>0</v>
      </c>
      <c r="AC153" s="283">
        <f t="shared" si="207"/>
        <v>0</v>
      </c>
      <c r="AD153" s="146">
        <f t="shared" si="208"/>
        <v>0</v>
      </c>
      <c r="AE153" s="146">
        <f t="shared" si="209"/>
        <v>0</v>
      </c>
      <c r="AF153" s="283">
        <f t="shared" si="210"/>
        <v>0</v>
      </c>
      <c r="AG153" s="283">
        <f t="shared" si="211"/>
        <v>0</v>
      </c>
      <c r="AH153" s="283" t="e">
        <f t="shared" si="199"/>
        <v>#DIV/0!</v>
      </c>
      <c r="AJ153" s="283"/>
      <c r="AK153" s="283"/>
      <c r="AL153" s="281">
        <f t="shared" si="212"/>
        <v>0</v>
      </c>
      <c r="AM153" s="281">
        <f t="shared" si="213"/>
        <v>0</v>
      </c>
      <c r="AN153" s="281">
        <f t="shared" si="214"/>
        <v>0</v>
      </c>
      <c r="AO153" s="281">
        <f t="shared" si="215"/>
        <v>0</v>
      </c>
      <c r="AP153" s="281">
        <f t="shared" si="216"/>
        <v>0</v>
      </c>
      <c r="AQ153" s="281">
        <f t="shared" si="217"/>
        <v>0</v>
      </c>
      <c r="AR153" s="281">
        <f t="shared" si="218"/>
        <v>0</v>
      </c>
      <c r="AS153" s="281">
        <f t="shared" si="219"/>
        <v>0</v>
      </c>
      <c r="AT153" s="281">
        <f t="shared" si="220"/>
        <v>0</v>
      </c>
      <c r="AU153" s="281">
        <f t="shared" si="221"/>
        <v>0</v>
      </c>
      <c r="AV153" s="829"/>
      <c r="AW153" s="824">
        <f t="shared" si="222"/>
        <v>1</v>
      </c>
      <c r="AX153" s="1285" cm="1">
        <f t="array" ref="AX153">INDEX(Pflanzen!$B$5:$B$112,BR153)</f>
        <v>1</v>
      </c>
      <c r="AY153" s="1285" cm="1">
        <f t="array" ref="AY153">INDEX(Pflanzen!$E$5:$E$114,AX153)</f>
        <v>0</v>
      </c>
      <c r="AZ153" s="157"/>
      <c r="BA153" s="157"/>
      <c r="BB153" s="157"/>
      <c r="BC153" s="157"/>
      <c r="BD153" s="157"/>
      <c r="BE153" s="207"/>
      <c r="BF153" s="826"/>
      <c r="BG153" s="212"/>
      <c r="BH153" s="212"/>
      <c r="BI153" s="207">
        <f t="shared" si="201"/>
        <v>100</v>
      </c>
      <c r="BJ153" s="207">
        <f t="shared" si="202"/>
        <v>0</v>
      </c>
      <c r="BK153" s="207"/>
      <c r="BL153" s="659"/>
      <c r="BM153" s="157">
        <f t="shared" si="223"/>
        <v>0.55000000000000004</v>
      </c>
      <c r="BN153" s="157">
        <f t="shared" si="224"/>
        <v>0.55000000000000004</v>
      </c>
      <c r="BO153" s="157">
        <f t="shared" si="225"/>
        <v>0.55000000000000004</v>
      </c>
      <c r="BP153" s="216">
        <f t="shared" si="226"/>
        <v>0</v>
      </c>
      <c r="BQ153" s="157"/>
      <c r="BR153" s="1285">
        <v>1</v>
      </c>
      <c r="BS153" s="157"/>
      <c r="BT153" s="157"/>
      <c r="BU153" s="157"/>
      <c r="BV153" s="157"/>
      <c r="BW153" s="157"/>
      <c r="BX153" s="157"/>
      <c r="BY153" s="157"/>
      <c r="BZ153" s="157"/>
      <c r="CA153" s="185"/>
      <c r="CB153" s="185"/>
      <c r="CC153" s="185"/>
      <c r="CD153" s="212"/>
      <c r="CE153" s="157"/>
      <c r="CF153" s="2121"/>
      <c r="CG153" s="2121"/>
      <c r="CH153" s="2121"/>
      <c r="CI153" s="157"/>
      <c r="CJ153" s="191"/>
      <c r="CK153" s="191"/>
      <c r="CL153" s="191"/>
      <c r="CM153" s="191"/>
      <c r="CN153" s="191"/>
      <c r="CO153" s="191"/>
      <c r="CP153" s="191"/>
      <c r="CQ153" s="157"/>
      <c r="CR153" s="157"/>
      <c r="CS153" s="157"/>
      <c r="CT153" s="157"/>
      <c r="CU153" s="157"/>
      <c r="CV153" s="157"/>
      <c r="CW153" s="157"/>
      <c r="CX153" s="157"/>
      <c r="CY153" s="157"/>
      <c r="CZ153" s="157"/>
      <c r="DA153" s="157"/>
      <c r="DB153" s="185"/>
      <c r="DC153" s="185"/>
      <c r="DD153" s="207"/>
      <c r="DE153" s="207"/>
      <c r="DF153" s="157"/>
      <c r="DG153" s="157"/>
      <c r="DH153" s="157"/>
      <c r="DI153" s="157"/>
      <c r="DJ153" s="157"/>
      <c r="DK153" s="157"/>
      <c r="DL153" s="157"/>
      <c r="DM153" s="15"/>
      <c r="DN153" s="15"/>
      <c r="DO153" s="15"/>
      <c r="DP153" s="15"/>
      <c r="DQ153" s="15"/>
      <c r="DR153" s="14"/>
      <c r="DS153" s="14"/>
      <c r="DT153" s="14"/>
      <c r="DU153" s="14"/>
      <c r="DV153" s="14"/>
      <c r="DW153" s="14"/>
      <c r="DX153" s="2176"/>
      <c r="DY153" s="14"/>
      <c r="DZ153" s="14"/>
      <c r="EA153" s="14"/>
      <c r="EB153" s="14"/>
      <c r="EC153" s="14"/>
      <c r="ED153" s="14"/>
      <c r="EE153" s="14"/>
      <c r="EF153" s="14"/>
      <c r="EG153" s="14"/>
      <c r="EH153" s="14"/>
      <c r="EI153" s="14"/>
      <c r="EJ153" s="14"/>
      <c r="EK153" s="15"/>
      <c r="EL153" s="15"/>
      <c r="EM153" s="15"/>
      <c r="EN153" s="15"/>
      <c r="EO153" s="15"/>
      <c r="EP153" s="15"/>
      <c r="EQ153" s="15"/>
      <c r="ER153" s="15"/>
    </row>
    <row r="154" spans="1:148" ht="15.75" customHeight="1" thickBot="1" x14ac:dyDescent="0.25">
      <c r="A154" s="433"/>
      <c r="B154" s="433"/>
      <c r="C154" s="2294"/>
      <c r="D154" s="2295"/>
      <c r="E154" s="1528"/>
      <c r="F154" s="1528"/>
      <c r="G154" s="1528"/>
      <c r="H154" s="1521"/>
      <c r="I154" s="1528"/>
      <c r="J154" s="1529"/>
      <c r="K154" s="2332"/>
      <c r="L154" s="2333"/>
      <c r="M154" s="1530"/>
      <c r="N154" s="2119" t="str">
        <f t="shared" si="203"/>
        <v/>
      </c>
      <c r="P154" s="146" t="str">
        <f t="shared" si="204"/>
        <v/>
      </c>
      <c r="Q154" s="277">
        <f t="shared" si="190"/>
        <v>0</v>
      </c>
      <c r="R154" s="279">
        <f t="shared" si="205"/>
        <v>0</v>
      </c>
      <c r="S154" s="278">
        <f t="shared" si="191"/>
        <v>0</v>
      </c>
      <c r="T154" s="278">
        <f t="shared" si="192"/>
        <v>0</v>
      </c>
      <c r="U154" s="279">
        <f t="shared" si="206"/>
        <v>0</v>
      </c>
      <c r="V154" s="279">
        <f t="shared" si="193"/>
        <v>0</v>
      </c>
      <c r="W154" s="280">
        <f t="shared" si="194"/>
        <v>0</v>
      </c>
      <c r="X154" s="283"/>
      <c r="Y154" s="283">
        <f t="shared" si="195"/>
        <v>0</v>
      </c>
      <c r="Z154" s="281">
        <f t="shared" si="196"/>
        <v>0</v>
      </c>
      <c r="AA154" s="281">
        <f t="shared" si="197"/>
        <v>0</v>
      </c>
      <c r="AB154" s="283">
        <f t="shared" si="198"/>
        <v>0</v>
      </c>
      <c r="AC154" s="283">
        <f t="shared" si="207"/>
        <v>0</v>
      </c>
      <c r="AD154" s="146">
        <f t="shared" si="208"/>
        <v>0</v>
      </c>
      <c r="AE154" s="146">
        <f t="shared" si="209"/>
        <v>0</v>
      </c>
      <c r="AF154" s="283">
        <f t="shared" si="210"/>
        <v>0</v>
      </c>
      <c r="AG154" s="283">
        <f t="shared" si="211"/>
        <v>0</v>
      </c>
      <c r="AH154" s="283" t="e">
        <f t="shared" si="199"/>
        <v>#DIV/0!</v>
      </c>
      <c r="AJ154" s="283"/>
      <c r="AK154" s="283"/>
      <c r="AL154" s="281">
        <f t="shared" si="212"/>
        <v>0</v>
      </c>
      <c r="AM154" s="281">
        <f t="shared" si="213"/>
        <v>0</v>
      </c>
      <c r="AN154" s="281">
        <f t="shared" si="214"/>
        <v>0</v>
      </c>
      <c r="AO154" s="281">
        <f t="shared" si="215"/>
        <v>0</v>
      </c>
      <c r="AP154" s="281">
        <f t="shared" si="216"/>
        <v>0</v>
      </c>
      <c r="AQ154" s="281">
        <f t="shared" si="217"/>
        <v>0</v>
      </c>
      <c r="AR154" s="281">
        <f t="shared" si="218"/>
        <v>0</v>
      </c>
      <c r="AS154" s="281">
        <f t="shared" si="219"/>
        <v>0</v>
      </c>
      <c r="AT154" s="281">
        <f t="shared" si="220"/>
        <v>0</v>
      </c>
      <c r="AU154" s="281">
        <f t="shared" si="221"/>
        <v>0</v>
      </c>
      <c r="AV154" s="829"/>
      <c r="AW154" s="824">
        <f t="shared" si="222"/>
        <v>1</v>
      </c>
      <c r="AX154" s="1285" cm="1">
        <f t="array" ref="AX154">INDEX(Pflanzen!$B$5:$B$112,BR154)</f>
        <v>1</v>
      </c>
      <c r="AY154" s="1285" cm="1">
        <f t="array" ref="AY154">INDEX(Pflanzen!$E$5:$E$114,AX154)</f>
        <v>0</v>
      </c>
      <c r="AZ154" s="157"/>
      <c r="BA154" s="157"/>
      <c r="BB154" s="157"/>
      <c r="BC154" s="157"/>
      <c r="BD154" s="157"/>
      <c r="BE154" s="207"/>
      <c r="BF154" s="826"/>
      <c r="BG154" s="212"/>
      <c r="BH154" s="212"/>
      <c r="BI154" s="207">
        <f t="shared" si="201"/>
        <v>100</v>
      </c>
      <c r="BJ154" s="207">
        <f t="shared" si="202"/>
        <v>0</v>
      </c>
      <c r="BK154" s="207"/>
      <c r="BL154" s="659"/>
      <c r="BM154" s="157">
        <f t="shared" si="223"/>
        <v>0.55000000000000004</v>
      </c>
      <c r="BN154" s="157">
        <f t="shared" si="224"/>
        <v>0.55000000000000004</v>
      </c>
      <c r="BO154" s="157">
        <f t="shared" si="225"/>
        <v>0.55000000000000004</v>
      </c>
      <c r="BP154" s="216">
        <f t="shared" si="226"/>
        <v>0</v>
      </c>
      <c r="BQ154" s="157"/>
      <c r="BR154" s="1285">
        <v>1</v>
      </c>
      <c r="BS154" s="157"/>
      <c r="BT154" s="157"/>
      <c r="BU154" s="157"/>
      <c r="BV154" s="157"/>
      <c r="BW154" s="157"/>
      <c r="BX154" s="157"/>
      <c r="BY154" s="157"/>
      <c r="BZ154" s="157"/>
      <c r="CA154" s="185"/>
      <c r="CB154" s="185"/>
      <c r="CC154" s="185"/>
      <c r="CD154" s="212"/>
      <c r="CE154" s="157"/>
      <c r="CF154" s="2121"/>
      <c r="CG154" s="2121"/>
      <c r="CH154" s="2121"/>
      <c r="CI154" s="157"/>
      <c r="CJ154" s="191"/>
      <c r="CK154" s="191"/>
      <c r="CL154" s="191"/>
      <c r="CM154" s="191"/>
      <c r="CN154" s="191"/>
      <c r="CO154" s="191"/>
      <c r="CP154" s="191"/>
      <c r="CQ154" s="157"/>
      <c r="CR154" s="157"/>
      <c r="CS154" s="157"/>
      <c r="CT154" s="157"/>
      <c r="CU154" s="157"/>
      <c r="CV154" s="157"/>
      <c r="CW154" s="157"/>
      <c r="CX154" s="157"/>
      <c r="CY154" s="157"/>
      <c r="CZ154" s="157"/>
      <c r="DA154" s="157"/>
      <c r="DB154" s="185"/>
      <c r="DC154" s="185"/>
      <c r="DD154" s="207"/>
      <c r="DE154" s="207"/>
      <c r="DF154" s="157"/>
      <c r="DG154" s="157"/>
      <c r="DH154" s="157"/>
      <c r="DI154" s="157"/>
      <c r="DJ154" s="157"/>
      <c r="DK154" s="157"/>
      <c r="DL154" s="157"/>
      <c r="DM154" s="15"/>
      <c r="DN154" s="15"/>
      <c r="DO154" s="15"/>
      <c r="DP154" s="15"/>
      <c r="DQ154" s="15"/>
      <c r="DR154" s="14"/>
      <c r="DS154" s="14"/>
      <c r="DT154" s="14"/>
      <c r="DU154" s="14"/>
      <c r="DV154" s="14"/>
      <c r="DW154" s="14"/>
      <c r="DX154" s="2176"/>
      <c r="DY154" s="14"/>
      <c r="DZ154" s="14"/>
      <c r="EA154" s="14"/>
      <c r="EB154" s="14"/>
      <c r="EC154" s="14"/>
      <c r="ED154" s="14"/>
      <c r="EE154" s="14"/>
      <c r="EF154" s="14"/>
      <c r="EG154" s="14"/>
      <c r="EH154" s="14"/>
      <c r="EI154" s="14"/>
      <c r="EJ154" s="14"/>
      <c r="EK154" s="15"/>
      <c r="EL154" s="15"/>
      <c r="EM154" s="15"/>
      <c r="EN154" s="15"/>
      <c r="EO154" s="15"/>
      <c r="EP154" s="15"/>
      <c r="EQ154" s="15"/>
      <c r="ER154" s="15"/>
    </row>
    <row r="155" spans="1:148" ht="15.75" customHeight="1" thickBot="1" x14ac:dyDescent="0.25">
      <c r="A155" s="2597"/>
      <c r="B155" s="2598"/>
      <c r="C155" s="2542"/>
      <c r="D155" s="2487"/>
      <c r="E155" s="1531"/>
      <c r="F155" s="1531"/>
      <c r="G155" s="1531"/>
      <c r="H155" s="1523"/>
      <c r="I155" s="1531"/>
      <c r="J155" s="1532"/>
      <c r="K155" s="2357"/>
      <c r="L155" s="2358"/>
      <c r="M155" s="1533"/>
      <c r="N155" s="2119" t="str">
        <f t="shared" si="203"/>
        <v/>
      </c>
      <c r="P155" s="146" t="str">
        <f t="shared" si="204"/>
        <v/>
      </c>
      <c r="Q155" s="277">
        <f t="shared" si="190"/>
        <v>0</v>
      </c>
      <c r="R155" s="279">
        <f t="shared" si="205"/>
        <v>0</v>
      </c>
      <c r="S155" s="278">
        <f t="shared" si="191"/>
        <v>0</v>
      </c>
      <c r="T155" s="278">
        <f t="shared" si="192"/>
        <v>0</v>
      </c>
      <c r="U155" s="279">
        <f t="shared" si="206"/>
        <v>0</v>
      </c>
      <c r="V155" s="279">
        <f t="shared" si="193"/>
        <v>0</v>
      </c>
      <c r="W155" s="280">
        <f t="shared" si="194"/>
        <v>0</v>
      </c>
      <c r="X155" s="283"/>
      <c r="Y155" s="283">
        <f t="shared" si="195"/>
        <v>0</v>
      </c>
      <c r="Z155" s="281">
        <f t="shared" si="196"/>
        <v>0</v>
      </c>
      <c r="AA155" s="281">
        <f t="shared" si="197"/>
        <v>0</v>
      </c>
      <c r="AB155" s="283">
        <f t="shared" si="198"/>
        <v>0</v>
      </c>
      <c r="AC155" s="283">
        <f t="shared" si="207"/>
        <v>0</v>
      </c>
      <c r="AD155" s="146">
        <f t="shared" si="208"/>
        <v>0</v>
      </c>
      <c r="AE155" s="146">
        <f t="shared" si="209"/>
        <v>0</v>
      </c>
      <c r="AF155" s="283">
        <f t="shared" si="210"/>
        <v>0</v>
      </c>
      <c r="AG155" s="283">
        <f t="shared" si="211"/>
        <v>0</v>
      </c>
      <c r="AH155" s="283" t="e">
        <f t="shared" si="199"/>
        <v>#DIV/0!</v>
      </c>
      <c r="AJ155" s="283"/>
      <c r="AK155" s="283"/>
      <c r="AL155" s="281">
        <f t="shared" si="212"/>
        <v>0</v>
      </c>
      <c r="AM155" s="281">
        <f t="shared" si="213"/>
        <v>0</v>
      </c>
      <c r="AN155" s="281">
        <f t="shared" si="214"/>
        <v>0</v>
      </c>
      <c r="AO155" s="281">
        <f t="shared" si="215"/>
        <v>0</v>
      </c>
      <c r="AP155" s="281">
        <f t="shared" si="216"/>
        <v>0</v>
      </c>
      <c r="AQ155" s="281">
        <f t="shared" si="217"/>
        <v>0</v>
      </c>
      <c r="AR155" s="281">
        <f t="shared" si="218"/>
        <v>0</v>
      </c>
      <c r="AS155" s="281">
        <f t="shared" si="219"/>
        <v>0</v>
      </c>
      <c r="AT155" s="281">
        <f t="shared" si="220"/>
        <v>0</v>
      </c>
      <c r="AU155" s="281">
        <f t="shared" si="221"/>
        <v>0</v>
      </c>
      <c r="AV155" s="829"/>
      <c r="AW155" s="824">
        <f t="shared" si="222"/>
        <v>1</v>
      </c>
      <c r="AX155" s="1285" cm="1">
        <f t="array" ref="AX155">INDEX(Pflanzen!$B$5:$B$112,BR155)</f>
        <v>1</v>
      </c>
      <c r="AY155" s="1285" cm="1">
        <f t="array" ref="AY155">INDEX(Pflanzen!$E$5:$E$114,AX155)</f>
        <v>0</v>
      </c>
      <c r="AZ155" s="157"/>
      <c r="BA155" s="157"/>
      <c r="BB155" s="157"/>
      <c r="BC155" s="157"/>
      <c r="BD155" s="157"/>
      <c r="BE155" s="207"/>
      <c r="BF155" s="826"/>
      <c r="BG155" s="212"/>
      <c r="BH155" s="212"/>
      <c r="BI155" s="207">
        <f t="shared" si="201"/>
        <v>100</v>
      </c>
      <c r="BJ155" s="207">
        <f t="shared" si="202"/>
        <v>0</v>
      </c>
      <c r="BK155" s="207"/>
      <c r="BL155" s="659"/>
      <c r="BM155" s="157">
        <f t="shared" si="223"/>
        <v>0.55000000000000004</v>
      </c>
      <c r="BN155" s="157">
        <f t="shared" si="224"/>
        <v>0.55000000000000004</v>
      </c>
      <c r="BO155" s="157">
        <f t="shared" si="225"/>
        <v>0.55000000000000004</v>
      </c>
      <c r="BP155" s="216">
        <f t="shared" si="226"/>
        <v>0</v>
      </c>
      <c r="BQ155" s="157"/>
      <c r="BR155" s="1285">
        <v>1</v>
      </c>
      <c r="BS155" s="157"/>
      <c r="BT155" s="157"/>
      <c r="BU155" s="157"/>
      <c r="BV155" s="157"/>
      <c r="BW155" s="157"/>
      <c r="BX155" s="157"/>
      <c r="BY155" s="157"/>
      <c r="BZ155" s="157"/>
      <c r="CA155" s="185"/>
      <c r="CB155" s="185"/>
      <c r="CC155" s="185"/>
      <c r="CD155" s="212"/>
      <c r="CE155" s="157"/>
      <c r="CF155" s="2121"/>
      <c r="CG155" s="2121"/>
      <c r="CH155" s="2121"/>
      <c r="CI155" s="157"/>
      <c r="CJ155" s="191"/>
      <c r="CK155" s="191"/>
      <c r="CL155" s="191"/>
      <c r="CM155" s="191"/>
      <c r="CN155" s="191"/>
      <c r="CO155" s="191"/>
      <c r="CP155" s="191"/>
      <c r="CQ155" s="157"/>
      <c r="CR155" s="157"/>
      <c r="CS155" s="157"/>
      <c r="CT155" s="157"/>
      <c r="CU155" s="157"/>
      <c r="CV155" s="157"/>
      <c r="CW155" s="157"/>
      <c r="CX155" s="157"/>
      <c r="CY155" s="157"/>
      <c r="CZ155" s="157"/>
      <c r="DA155" s="157"/>
      <c r="DB155" s="185"/>
      <c r="DC155" s="185"/>
      <c r="DD155" s="207"/>
      <c r="DE155" s="207"/>
      <c r="DF155" s="157"/>
      <c r="DG155" s="157"/>
      <c r="DH155" s="157"/>
      <c r="DI155" s="157"/>
      <c r="DJ155" s="157"/>
      <c r="DK155" s="157"/>
      <c r="DL155" s="157"/>
      <c r="DM155" s="15"/>
      <c r="DN155" s="15"/>
      <c r="DO155" s="15"/>
      <c r="DP155" s="15"/>
      <c r="DQ155" s="15"/>
      <c r="DR155" s="14"/>
      <c r="DS155" s="14"/>
      <c r="DT155" s="14"/>
      <c r="DU155" s="14"/>
      <c r="DV155" s="14"/>
      <c r="DW155" s="14"/>
      <c r="DX155" s="2176"/>
      <c r="DY155" s="14"/>
      <c r="DZ155" s="14"/>
      <c r="EA155" s="14"/>
      <c r="EB155" s="14"/>
      <c r="EC155" s="14"/>
      <c r="ED155" s="14"/>
      <c r="EE155" s="14"/>
      <c r="EF155" s="14"/>
      <c r="EG155" s="14"/>
      <c r="EH155" s="14"/>
      <c r="EI155" s="14"/>
      <c r="EJ155" s="14"/>
      <c r="EK155" s="15"/>
      <c r="EL155" s="15"/>
      <c r="EM155" s="15"/>
      <c r="EN155" s="15"/>
      <c r="EO155" s="15"/>
      <c r="EP155" s="15"/>
      <c r="EQ155" s="15"/>
      <c r="ER155" s="15"/>
    </row>
    <row r="156" spans="1:148" ht="15.75" customHeight="1" x14ac:dyDescent="0.2">
      <c r="A156" s="843" t="s">
        <v>1051</v>
      </c>
      <c r="B156" s="844"/>
      <c r="C156" s="845"/>
      <c r="D156" s="845"/>
      <c r="E156" s="1906">
        <f>SUMIF(AW113:AW130,1,D113:D130)+SUMIF(AW137:AW155,"&gt;1",E137:E155)</f>
        <v>0</v>
      </c>
      <c r="F156" s="92"/>
      <c r="G156" s="2118" t="str">
        <f>+IF(SUM(P137:P155)=0,"","* Einsatzstoffe unvollständig erfasst")</f>
        <v/>
      </c>
      <c r="H156" s="92"/>
      <c r="I156" s="92"/>
      <c r="J156" s="92"/>
      <c r="K156" s="92"/>
      <c r="L156" s="92"/>
      <c r="M156" s="92"/>
      <c r="N156" s="15"/>
      <c r="P156" s="252" t="s">
        <v>626</v>
      </c>
      <c r="Q156" s="359">
        <f t="shared" ref="Q156:W156" si="227">SUM(Q113:Q132,Q137:Q155)</f>
        <v>0</v>
      </c>
      <c r="R156" s="359">
        <f t="shared" si="227"/>
        <v>0</v>
      </c>
      <c r="S156" s="359">
        <f t="shared" si="227"/>
        <v>0</v>
      </c>
      <c r="T156" s="359">
        <f t="shared" si="227"/>
        <v>0</v>
      </c>
      <c r="U156" s="344">
        <f>SUM(U113:U132,U137:U155)</f>
        <v>0</v>
      </c>
      <c r="V156" s="344">
        <f t="shared" si="227"/>
        <v>0</v>
      </c>
      <c r="W156" s="344">
        <f t="shared" si="227"/>
        <v>0</v>
      </c>
      <c r="X156" s="344"/>
      <c r="Y156" s="359">
        <f>SUM(Y113:Y132,Y137:Y155)</f>
        <v>0</v>
      </c>
      <c r="Z156" s="344"/>
      <c r="AA156" s="344"/>
      <c r="AB156" s="344"/>
      <c r="AC156" s="344">
        <f>SUM(AC113:AC132,AC137:AC155)</f>
        <v>0</v>
      </c>
      <c r="AD156" s="344"/>
      <c r="AE156" s="344"/>
      <c r="AF156" s="344">
        <f>SUM(AF113:AF132,AF137:AF155)</f>
        <v>0</v>
      </c>
      <c r="AG156" s="344">
        <f>SUM(AG113:AG132,AG137:AG155)</f>
        <v>0</v>
      </c>
      <c r="AH156" s="360" t="e">
        <f>+(S156-AF156)/((S156+T156)-AC156)*100</f>
        <v>#DIV/0!</v>
      </c>
      <c r="AI156" s="344"/>
      <c r="AJ156" s="344"/>
      <c r="AK156" s="344"/>
      <c r="AL156" s="2202">
        <f t="shared" ref="AL156:AU156" si="228">SUM(AL113:AL132,AL137:AL155)</f>
        <v>0</v>
      </c>
      <c r="AM156" s="2202">
        <f t="shared" si="228"/>
        <v>0</v>
      </c>
      <c r="AN156" s="2202">
        <f>SUM(AN113:AN132,AN137:AN155)</f>
        <v>0</v>
      </c>
      <c r="AO156" s="2202">
        <f t="shared" si="228"/>
        <v>0</v>
      </c>
      <c r="AP156" s="2202">
        <f t="shared" si="228"/>
        <v>0</v>
      </c>
      <c r="AQ156" s="2202">
        <f t="shared" si="228"/>
        <v>0</v>
      </c>
      <c r="AR156" s="2202">
        <f t="shared" si="228"/>
        <v>0</v>
      </c>
      <c r="AS156" s="2202">
        <f>SUM(AS113:AS132,AS137:AS155)</f>
        <v>0</v>
      </c>
      <c r="AT156" s="2202">
        <f>SUM(AT113:AT132,AT137:AT155)</f>
        <v>0</v>
      </c>
      <c r="AU156" s="2202">
        <f t="shared" si="228"/>
        <v>0</v>
      </c>
      <c r="AV156" s="827"/>
      <c r="AW156" s="207"/>
      <c r="AX156" s="207"/>
      <c r="AY156" s="207"/>
      <c r="AZ156" s="207"/>
      <c r="BA156" s="207"/>
      <c r="BB156" s="207"/>
      <c r="BC156" s="207"/>
      <c r="BD156" s="207"/>
      <c r="BE156" s="207"/>
      <c r="BF156" s="826"/>
      <c r="BI156" s="207"/>
      <c r="BJ156" s="207">
        <f>SUM(BJ113:BJ155)</f>
        <v>0</v>
      </c>
      <c r="BK156" s="207"/>
      <c r="BL156" s="659"/>
      <c r="BM156" s="157"/>
      <c r="BN156" s="157"/>
      <c r="BO156" s="157"/>
      <c r="BP156" s="216">
        <f>SUM(BP137:BP155,BP113:BP133)</f>
        <v>0</v>
      </c>
      <c r="BQ156" s="157"/>
      <c r="BR156" s="157"/>
      <c r="BS156" s="157"/>
      <c r="BT156" s="157"/>
      <c r="BU156" s="157"/>
      <c r="BV156" s="157"/>
      <c r="BW156" s="157"/>
      <c r="BX156" s="157"/>
      <c r="BY156" s="157"/>
      <c r="BZ156" s="157"/>
      <c r="CA156" s="185"/>
      <c r="CB156" s="185"/>
      <c r="CC156" s="185"/>
      <c r="CD156" s="212"/>
      <c r="CE156" s="157"/>
      <c r="CF156" s="2121"/>
      <c r="CG156" s="2121"/>
      <c r="CH156" s="2121"/>
      <c r="CI156" s="157"/>
      <c r="CJ156" s="191"/>
      <c r="CK156" s="191"/>
      <c r="CL156" s="191"/>
      <c r="CM156" s="191"/>
      <c r="CN156" s="191"/>
      <c r="CO156" s="191"/>
      <c r="CP156" s="191"/>
      <c r="CQ156" s="157"/>
      <c r="CR156" s="157"/>
      <c r="CS156" s="157"/>
      <c r="CT156" s="157"/>
      <c r="CU156" s="157"/>
      <c r="CV156" s="157"/>
      <c r="CW156" s="157"/>
      <c r="CX156" s="157"/>
      <c r="CY156" s="157"/>
      <c r="CZ156" s="157"/>
      <c r="DA156" s="157"/>
      <c r="DB156" s="185"/>
      <c r="DC156" s="185"/>
      <c r="DD156" s="207"/>
      <c r="DE156" s="207"/>
      <c r="DF156" s="157"/>
      <c r="DG156" s="157"/>
      <c r="DH156" s="157"/>
      <c r="DI156" s="157"/>
      <c r="DJ156" s="157"/>
      <c r="DK156" s="157"/>
      <c r="DL156" s="157"/>
      <c r="DM156" s="15"/>
      <c r="DN156" s="15"/>
      <c r="DO156" s="15"/>
      <c r="DP156" s="15"/>
      <c r="DQ156" s="15"/>
      <c r="DR156" s="14"/>
      <c r="DS156" s="14"/>
      <c r="DT156" s="14"/>
      <c r="DU156" s="14"/>
      <c r="DV156" s="14"/>
      <c r="DW156" s="14"/>
      <c r="DX156" s="2176"/>
      <c r="DY156" s="14"/>
      <c r="DZ156" s="14"/>
      <c r="EA156" s="14"/>
      <c r="EB156" s="14"/>
      <c r="EC156" s="14"/>
      <c r="ED156" s="14"/>
      <c r="EE156" s="14"/>
      <c r="EF156" s="14"/>
      <c r="EG156" s="14"/>
      <c r="EH156" s="14"/>
      <c r="EI156" s="14"/>
      <c r="EJ156" s="14"/>
      <c r="EK156" s="15"/>
      <c r="EL156" s="15"/>
      <c r="EM156" s="15"/>
      <c r="EN156" s="15"/>
      <c r="EO156" s="15"/>
      <c r="EP156" s="15"/>
      <c r="EQ156" s="15"/>
      <c r="ER156" s="15"/>
    </row>
    <row r="157" spans="1:148" ht="15.75" customHeight="1" thickBot="1" x14ac:dyDescent="0.25">
      <c r="A157" s="846" t="s">
        <v>1052</v>
      </c>
      <c r="B157" s="847"/>
      <c r="C157" s="847"/>
      <c r="D157" s="847"/>
      <c r="E157" s="1907">
        <f>SUM(D113:D130,E137:E155)-E156</f>
        <v>0</v>
      </c>
      <c r="F157" s="92"/>
      <c r="G157" s="117"/>
      <c r="H157" s="92"/>
      <c r="I157" s="92"/>
      <c r="J157" s="92"/>
      <c r="K157" s="92"/>
      <c r="L157" s="92"/>
      <c r="M157" s="92"/>
      <c r="N157" s="15"/>
      <c r="P157" s="92" t="s">
        <v>608</v>
      </c>
      <c r="Q157" s="344">
        <f>+EG88+EI88</f>
        <v>0</v>
      </c>
      <c r="R157" s="344">
        <f>+EH88+EJ88</f>
        <v>0</v>
      </c>
      <c r="S157" s="191">
        <f>+EL88</f>
        <v>0</v>
      </c>
      <c r="T157" s="191">
        <f>+EM88</f>
        <v>0</v>
      </c>
      <c r="U157" s="157"/>
      <c r="V157" s="157"/>
      <c r="W157" s="157"/>
      <c r="X157" s="157"/>
      <c r="Y157" s="191">
        <f>+EO88</f>
        <v>0</v>
      </c>
      <c r="Z157" s="157"/>
      <c r="AA157" s="157"/>
      <c r="AB157" s="157"/>
      <c r="AC157" s="191">
        <f>+ES88</f>
        <v>0</v>
      </c>
      <c r="AD157" s="157"/>
      <c r="AE157" s="157"/>
      <c r="AF157" s="191">
        <f>+EV88</f>
        <v>0</v>
      </c>
      <c r="AG157" s="191">
        <f>+EW88</f>
        <v>0</v>
      </c>
      <c r="AH157" s="360" t="e">
        <f>+(S157-AF157)/((S157+T157)-AC157)*100</f>
        <v>#DIV/0!</v>
      </c>
      <c r="AI157" s="157"/>
      <c r="AJ157" s="157"/>
      <c r="AK157" s="157"/>
      <c r="AL157" s="157"/>
      <c r="AM157" s="157"/>
      <c r="AN157" s="157"/>
      <c r="AO157" s="207"/>
      <c r="AP157" s="207"/>
      <c r="AQ157" s="207"/>
      <c r="AR157" s="207"/>
      <c r="AS157" s="207"/>
      <c r="AT157" s="207"/>
      <c r="AU157" s="207"/>
      <c r="AV157" s="207"/>
      <c r="AW157" s="207"/>
      <c r="AX157" s="207"/>
      <c r="AY157" s="207"/>
      <c r="AZ157" s="207"/>
      <c r="BA157" s="207"/>
      <c r="BB157" s="207"/>
      <c r="BC157" s="207"/>
      <c r="BD157" s="207"/>
      <c r="BE157" s="207"/>
      <c r="BG157" s="207"/>
      <c r="BH157" s="207"/>
      <c r="BI157" s="207"/>
      <c r="BJ157" s="207"/>
      <c r="BK157" s="207"/>
      <c r="BL157" s="659"/>
      <c r="BM157" s="157"/>
      <c r="BN157" s="157"/>
      <c r="BO157" s="157" t="s">
        <v>700</v>
      </c>
      <c r="BP157" s="427">
        <f>IF(U156=0,0,BP156/U156)</f>
        <v>0</v>
      </c>
      <c r="BQ157" s="157"/>
      <c r="BR157" s="157"/>
      <c r="BS157" s="157"/>
      <c r="BT157" s="157"/>
      <c r="BU157" s="157"/>
      <c r="BV157" s="157"/>
      <c r="BW157" s="157"/>
      <c r="BX157" s="157"/>
      <c r="BY157" s="157"/>
      <c r="BZ157" s="157"/>
      <c r="CA157" s="185"/>
      <c r="CB157" s="185"/>
      <c r="CC157" s="185"/>
      <c r="CD157" s="212"/>
      <c r="CE157" s="157"/>
      <c r="CF157" s="2121"/>
      <c r="CG157" s="2121"/>
      <c r="CH157" s="2121"/>
      <c r="CI157" s="157"/>
      <c r="CJ157" s="191"/>
      <c r="CK157" s="191"/>
      <c r="CL157" s="191"/>
      <c r="CM157" s="191"/>
      <c r="CN157" s="191"/>
      <c r="CO157" s="191"/>
      <c r="CP157" s="191"/>
      <c r="CQ157" s="157"/>
      <c r="CR157" s="157"/>
      <c r="CS157" s="157"/>
      <c r="CT157" s="157"/>
      <c r="CU157" s="157"/>
      <c r="CV157" s="157"/>
      <c r="CW157" s="157"/>
      <c r="CX157" s="157"/>
      <c r="CY157" s="157"/>
      <c r="CZ157" s="157"/>
      <c r="DA157" s="157"/>
      <c r="DB157" s="185"/>
      <c r="DC157" s="185"/>
      <c r="DD157" s="207"/>
      <c r="DE157" s="207"/>
      <c r="DF157" s="157"/>
      <c r="DG157" s="157"/>
      <c r="DH157" s="157"/>
      <c r="DI157" s="157"/>
      <c r="DJ157" s="157"/>
      <c r="DK157" s="157"/>
      <c r="DL157" s="157"/>
      <c r="DM157" s="15"/>
      <c r="DN157" s="15"/>
      <c r="DO157" s="15"/>
      <c r="DP157" s="15"/>
      <c r="DQ157" s="15"/>
      <c r="DR157" s="14"/>
      <c r="DS157" s="14"/>
      <c r="DT157" s="14"/>
      <c r="DU157" s="14"/>
      <c r="DV157" s="14"/>
      <c r="DW157" s="14"/>
      <c r="DX157" s="2176"/>
      <c r="DY157" s="14"/>
      <c r="DZ157" s="14"/>
      <c r="EA157" s="14"/>
      <c r="EB157" s="14"/>
      <c r="EC157" s="14"/>
      <c r="ED157" s="14"/>
      <c r="EE157" s="14"/>
      <c r="EF157" s="14"/>
      <c r="EG157" s="14"/>
      <c r="EH157" s="14"/>
      <c r="EI157" s="14"/>
      <c r="EJ157" s="14"/>
      <c r="EK157" s="15"/>
      <c r="EL157" s="15"/>
      <c r="EM157" s="15"/>
      <c r="EN157" s="15"/>
      <c r="EO157" s="15"/>
      <c r="EP157" s="15"/>
      <c r="EQ157" s="15"/>
      <c r="ER157" s="15"/>
    </row>
    <row r="158" spans="1:148" ht="9" customHeight="1" x14ac:dyDescent="0.2">
      <c r="A158" s="92"/>
      <c r="B158" s="92"/>
      <c r="C158" s="92"/>
      <c r="D158" s="92"/>
      <c r="E158" s="92"/>
      <c r="F158" s="92"/>
      <c r="G158" s="92"/>
      <c r="H158" s="92"/>
      <c r="I158" s="92"/>
      <c r="J158" s="92"/>
      <c r="K158" s="92"/>
      <c r="L158" s="92"/>
      <c r="M158" s="92"/>
      <c r="N158" s="15"/>
      <c r="P158" s="92" t="s">
        <v>468</v>
      </c>
      <c r="Q158" s="344">
        <f>+Q157+Q156</f>
        <v>0</v>
      </c>
      <c r="R158" s="344">
        <f>+R157+R156</f>
        <v>0</v>
      </c>
      <c r="S158" s="344">
        <f>+S157+S156</f>
        <v>0</v>
      </c>
      <c r="T158" s="344">
        <f>+T157+T156</f>
        <v>0</v>
      </c>
      <c r="U158" s="157"/>
      <c r="V158" s="157"/>
      <c r="W158" s="157"/>
      <c r="X158" s="157"/>
      <c r="Y158" s="344">
        <f>+Y157+Y156</f>
        <v>0</v>
      </c>
      <c r="Z158" s="157"/>
      <c r="AA158" s="157"/>
      <c r="AB158" s="157"/>
      <c r="AC158" s="344">
        <f>+AC157+AC156</f>
        <v>0</v>
      </c>
      <c r="AD158" s="157"/>
      <c r="AE158" s="157"/>
      <c r="AF158" s="344">
        <f>+AF157+AF156</f>
        <v>0</v>
      </c>
      <c r="AG158" s="344">
        <f>+AG157+AG156</f>
        <v>0</v>
      </c>
      <c r="AH158" s="360" t="e">
        <f>+(S158-AF158)/((S158+T158)-AC158)*100</f>
        <v>#DIV/0!</v>
      </c>
      <c r="AI158" s="157"/>
      <c r="AJ158" s="157"/>
      <c r="AK158" s="157"/>
      <c r="AL158" s="157"/>
      <c r="AM158" s="157"/>
      <c r="AN158" s="157"/>
      <c r="AO158" s="157"/>
      <c r="AP158" s="157"/>
      <c r="AQ158" s="207"/>
      <c r="AR158" s="207"/>
      <c r="AS158" s="207"/>
      <c r="AT158" s="207"/>
      <c r="AU158" s="207"/>
      <c r="AV158" s="207"/>
      <c r="AW158" s="207"/>
      <c r="AX158" s="207"/>
      <c r="AY158" s="207"/>
      <c r="AZ158" s="207"/>
      <c r="BA158" s="207"/>
      <c r="BB158" s="207"/>
      <c r="BC158" s="207"/>
      <c r="BD158" s="207"/>
      <c r="BE158" s="207"/>
      <c r="BF158" s="207"/>
      <c r="BG158" s="207"/>
      <c r="BH158" s="207"/>
      <c r="BI158" s="207"/>
      <c r="BJ158" s="207"/>
      <c r="BK158" s="207"/>
      <c r="BL158" s="659"/>
      <c r="BM158" s="207"/>
      <c r="BN158" s="207"/>
      <c r="BO158" s="157"/>
      <c r="BP158" s="157"/>
      <c r="BQ158" s="157"/>
      <c r="BR158" s="157"/>
      <c r="BS158" s="157"/>
      <c r="BT158" s="157"/>
      <c r="BU158" s="157"/>
      <c r="BV158" s="157"/>
      <c r="BW158" s="157"/>
      <c r="BX158" s="157"/>
      <c r="BY158" s="157"/>
      <c r="BZ158" s="157"/>
      <c r="CA158" s="157"/>
      <c r="CB158" s="157"/>
      <c r="CC158" s="185"/>
      <c r="CD158" s="185"/>
      <c r="CE158" s="185"/>
      <c r="CF158" s="185"/>
      <c r="CG158" s="185"/>
      <c r="CH158" s="185"/>
      <c r="CI158" s="212"/>
      <c r="CJ158" s="157"/>
      <c r="CK158" s="191"/>
      <c r="CL158" s="191"/>
      <c r="CM158" s="191"/>
      <c r="CN158" s="191"/>
      <c r="CO158" s="191"/>
      <c r="CP158" s="191"/>
      <c r="CQ158" s="191"/>
      <c r="CR158" s="191"/>
      <c r="CS158" s="157"/>
      <c r="CT158" s="157"/>
      <c r="CU158" s="157"/>
      <c r="CV158" s="157"/>
      <c r="CW158" s="157"/>
      <c r="CX158" s="157"/>
      <c r="CY158" s="157"/>
      <c r="CZ158" s="157"/>
      <c r="DA158" s="157"/>
      <c r="DB158" s="157"/>
      <c r="DC158" s="157"/>
      <c r="DD158" s="185"/>
      <c r="DE158" s="185"/>
      <c r="DF158" s="207"/>
      <c r="DG158" s="207"/>
      <c r="DH158" s="207"/>
      <c r="DI158" s="207"/>
      <c r="DJ158" s="207"/>
      <c r="DK158" s="157"/>
      <c r="DL158" s="157"/>
      <c r="DM158" s="157"/>
      <c r="DN158" s="157"/>
      <c r="DO158" s="157"/>
      <c r="DP158" s="157"/>
      <c r="DQ158" s="157"/>
      <c r="DR158" s="15"/>
      <c r="DS158" s="15"/>
      <c r="DT158" s="14"/>
      <c r="DU158" s="14"/>
      <c r="DV158" s="14"/>
      <c r="DW158" s="14"/>
      <c r="DX158" s="2176"/>
      <c r="DY158" s="14"/>
      <c r="DZ158" s="14"/>
      <c r="EA158" s="14"/>
      <c r="EB158" s="14"/>
      <c r="EC158" s="14"/>
      <c r="ED158" s="14"/>
      <c r="EE158" s="14"/>
      <c r="EF158" s="14"/>
      <c r="EG158" s="14"/>
      <c r="EH158" s="14"/>
      <c r="EI158" s="14"/>
      <c r="EJ158" s="14"/>
      <c r="EK158" s="14"/>
      <c r="EL158" s="14"/>
      <c r="EM158" s="15"/>
      <c r="EN158" s="15"/>
      <c r="EO158" s="15"/>
      <c r="EP158" s="15"/>
      <c r="EQ158" s="15"/>
      <c r="ER158" s="15"/>
    </row>
    <row r="159" spans="1:148" ht="15.75" customHeight="1" x14ac:dyDescent="0.2">
      <c r="A159" s="92"/>
      <c r="B159" s="92"/>
      <c r="C159" s="92"/>
      <c r="D159" s="92"/>
      <c r="E159" s="92"/>
      <c r="F159" s="92"/>
      <c r="G159" s="92"/>
      <c r="H159" s="92"/>
      <c r="I159" s="92"/>
      <c r="J159" s="92"/>
      <c r="K159" s="92"/>
      <c r="L159" s="92"/>
      <c r="M159" s="92"/>
      <c r="N159" s="15"/>
      <c r="P159" s="92" t="s">
        <v>609</v>
      </c>
      <c r="Q159" s="344"/>
      <c r="R159" s="344"/>
      <c r="S159" s="344">
        <f>+AF159</f>
        <v>0</v>
      </c>
      <c r="T159" s="344">
        <f>+AG159</f>
        <v>0</v>
      </c>
      <c r="U159" s="157"/>
      <c r="V159" s="157"/>
      <c r="W159" s="157"/>
      <c r="X159" s="157"/>
      <c r="Y159" s="344">
        <f>+Y158</f>
        <v>0</v>
      </c>
      <c r="Z159" s="157"/>
      <c r="AA159" s="157"/>
      <c r="AB159" s="157"/>
      <c r="AC159" s="157">
        <f>+AC158*(1+$H$180/100)</f>
        <v>0</v>
      </c>
      <c r="AD159" s="157"/>
      <c r="AE159" s="157"/>
      <c r="AF159" s="157">
        <f>+AF158*(1+$H$180/100)</f>
        <v>0</v>
      </c>
      <c r="AG159" s="157">
        <f>+AG158*(1+$H$180/100)</f>
        <v>0</v>
      </c>
      <c r="AH159" s="281"/>
      <c r="AI159" s="157"/>
      <c r="AJ159" s="157"/>
      <c r="AK159" s="157"/>
      <c r="AL159" s="207"/>
      <c r="AM159" s="207"/>
      <c r="AN159" s="207"/>
      <c r="AO159" s="207"/>
      <c r="AP159" s="207"/>
      <c r="AQ159" s="207"/>
      <c r="AR159" s="207"/>
      <c r="AS159" s="207"/>
      <c r="AT159" s="207"/>
      <c r="AU159" s="207"/>
      <c r="AV159" s="207"/>
      <c r="AW159" s="207"/>
      <c r="AX159" s="207"/>
      <c r="AY159" s="207"/>
      <c r="AZ159" s="207"/>
      <c r="BA159" s="207"/>
      <c r="BB159" s="207"/>
      <c r="BC159" s="207"/>
      <c r="BD159" s="207"/>
      <c r="BE159" s="207"/>
      <c r="BF159" s="207"/>
      <c r="BG159" s="207"/>
      <c r="BH159" s="207"/>
      <c r="BI159" s="157"/>
      <c r="BJ159" s="157"/>
      <c r="BK159" s="157"/>
      <c r="BL159" s="658"/>
      <c r="BM159" s="157"/>
      <c r="BN159" s="157"/>
      <c r="BO159" s="157"/>
      <c r="BP159" s="157"/>
      <c r="BQ159" s="157"/>
      <c r="BR159" s="157"/>
      <c r="BS159" s="157"/>
      <c r="BT159" s="157"/>
      <c r="BU159" s="157"/>
      <c r="BV159" s="157"/>
      <c r="BW159" s="157"/>
      <c r="BX159" s="185"/>
      <c r="BY159" s="185"/>
      <c r="BZ159" s="185"/>
      <c r="CA159" s="212"/>
      <c r="CB159" s="157"/>
      <c r="CC159" s="157"/>
      <c r="CD159" s="157"/>
      <c r="CE159" s="191"/>
      <c r="CF159" s="191"/>
      <c r="CG159" s="191"/>
      <c r="CH159" s="191"/>
      <c r="CI159" s="191"/>
      <c r="CJ159" s="191"/>
      <c r="CK159" s="157"/>
      <c r="CL159" s="2121"/>
      <c r="CM159" s="2121"/>
      <c r="CN159" s="2121"/>
      <c r="CO159" s="157"/>
      <c r="CP159" s="157"/>
      <c r="CQ159" s="157"/>
      <c r="CR159" s="157"/>
      <c r="CS159" s="157"/>
      <c r="CT159" s="157"/>
      <c r="CU159" s="157"/>
      <c r="CV159" s="157"/>
      <c r="CW159" s="157"/>
      <c r="CX159" s="157"/>
      <c r="CY159" s="185"/>
      <c r="CZ159" s="185"/>
      <c r="DA159" s="207"/>
      <c r="DB159" s="207"/>
      <c r="DC159" s="157"/>
      <c r="DD159" s="157"/>
      <c r="DE159" s="157"/>
      <c r="DF159" s="157"/>
      <c r="DG159" s="157"/>
      <c r="DH159" s="157"/>
      <c r="DI159" s="157"/>
      <c r="DJ159" s="15"/>
      <c r="DK159" s="15"/>
      <c r="DL159" s="14"/>
      <c r="DM159" s="14"/>
      <c r="DN159" s="14"/>
      <c r="DO159" s="14"/>
      <c r="DP159" s="14"/>
      <c r="DQ159" s="14"/>
      <c r="DR159" s="14"/>
      <c r="DS159" s="14"/>
      <c r="DT159" s="14"/>
      <c r="DU159" s="14"/>
      <c r="DV159" s="14"/>
      <c r="DW159" s="14"/>
      <c r="DX159" s="2176"/>
      <c r="DY159" s="14"/>
      <c r="DZ159" s="14"/>
      <c r="EA159" s="14"/>
      <c r="EB159" s="14"/>
      <c r="EC159" s="14"/>
      <c r="ED159" s="14"/>
      <c r="EE159" s="14"/>
      <c r="EF159" s="14"/>
      <c r="EG159" s="14"/>
      <c r="EH159" s="15"/>
      <c r="EI159" s="15"/>
      <c r="EJ159" s="15"/>
      <c r="EK159" s="15"/>
      <c r="EL159" s="15"/>
      <c r="EM159" s="15"/>
    </row>
    <row r="160" spans="1:148" s="117" customFormat="1" ht="15.75" customHeight="1" thickBot="1" x14ac:dyDescent="0.25">
      <c r="A160" s="22"/>
      <c r="B160" s="22"/>
      <c r="C160" s="22"/>
      <c r="D160" s="22"/>
      <c r="E160" s="16"/>
      <c r="F160" s="16"/>
      <c r="G160" s="16"/>
      <c r="H160" s="16"/>
      <c r="I160" s="16"/>
      <c r="J160" s="17"/>
      <c r="K160" s="17"/>
      <c r="L160" s="16"/>
      <c r="M160" s="16"/>
      <c r="N160" s="15"/>
      <c r="O160" s="143"/>
      <c r="P160" s="161"/>
      <c r="Q160" s="157"/>
      <c r="R160" s="157"/>
      <c r="S160" s="157"/>
      <c r="T160" s="157"/>
      <c r="U160" s="157"/>
      <c r="V160" s="157"/>
      <c r="W160" s="157"/>
      <c r="X160" s="157"/>
      <c r="Y160" s="157"/>
      <c r="Z160" s="207"/>
      <c r="AA160" s="207"/>
      <c r="AB160" s="207"/>
      <c r="AC160" s="207"/>
      <c r="AD160" s="207"/>
      <c r="AE160" s="207"/>
      <c r="AF160" s="207"/>
      <c r="AG160" s="207"/>
      <c r="AH160" s="207"/>
      <c r="AI160" s="207"/>
      <c r="AJ160" s="207"/>
      <c r="AK160" s="207"/>
      <c r="AL160" s="207"/>
      <c r="AM160" s="207"/>
      <c r="AN160" s="207"/>
      <c r="AO160" s="207"/>
      <c r="AP160" s="207"/>
      <c r="AQ160" s="207"/>
      <c r="AR160" s="207"/>
      <c r="AS160" s="207"/>
      <c r="AT160" s="207"/>
      <c r="AU160" s="207"/>
      <c r="AV160" s="207"/>
      <c r="AW160" s="157"/>
      <c r="AX160" s="157"/>
      <c r="AY160" s="157"/>
      <c r="AZ160" s="157"/>
      <c r="BA160" s="157"/>
      <c r="BB160" s="157"/>
      <c r="BC160" s="157"/>
      <c r="BD160" s="157"/>
      <c r="BE160" s="157"/>
      <c r="BF160" s="157"/>
      <c r="BG160" s="157"/>
      <c r="BH160" s="157"/>
      <c r="BI160" s="157"/>
      <c r="BJ160" s="157"/>
      <c r="BK160" s="185"/>
      <c r="BL160" s="185"/>
      <c r="BM160" s="185"/>
      <c r="BN160" s="185"/>
      <c r="BO160" s="212"/>
      <c r="BP160" s="157"/>
      <c r="BQ160" s="157"/>
      <c r="BR160" s="157"/>
      <c r="BS160" s="191"/>
      <c r="BT160" s="191"/>
      <c r="BU160" s="191"/>
      <c r="BV160" s="191"/>
      <c r="BW160" s="191"/>
      <c r="BX160" s="157"/>
      <c r="BY160" s="157"/>
      <c r="BZ160" s="157"/>
      <c r="CA160" s="157"/>
      <c r="CB160" s="157"/>
      <c r="CC160" s="157"/>
      <c r="CD160" s="157"/>
      <c r="CE160" s="157"/>
      <c r="CF160" s="2121"/>
      <c r="CG160" s="2121"/>
      <c r="CH160" s="2121"/>
      <c r="CI160" s="157"/>
      <c r="CJ160" s="157"/>
      <c r="CK160" s="185"/>
      <c r="CL160" s="185"/>
      <c r="CM160" s="185"/>
      <c r="CN160" s="185"/>
      <c r="CO160" s="25"/>
      <c r="CQ160" s="157"/>
      <c r="CR160" s="157"/>
      <c r="CS160" s="157"/>
      <c r="CT160" s="157"/>
      <c r="CU160" s="15"/>
      <c r="CV160" s="15"/>
      <c r="CW160" s="14"/>
      <c r="CX160" s="14"/>
      <c r="CY160" s="14"/>
      <c r="CZ160" s="14"/>
      <c r="DA160" s="14"/>
      <c r="DB160" s="14"/>
      <c r="DC160" s="14"/>
      <c r="DD160" s="14"/>
      <c r="DE160" s="14"/>
      <c r="DF160" s="14"/>
      <c r="DG160" s="14"/>
      <c r="DH160" s="14"/>
      <c r="DI160" s="14"/>
      <c r="DJ160" s="14"/>
      <c r="DK160" s="14"/>
      <c r="DL160" s="14"/>
      <c r="DM160" s="15"/>
      <c r="DN160" s="15"/>
      <c r="DO160" s="15"/>
      <c r="DP160" s="15"/>
      <c r="DQ160" s="15"/>
      <c r="DR160" s="15"/>
      <c r="DS160" s="15"/>
      <c r="DT160" s="15"/>
      <c r="DU160" s="15"/>
      <c r="DX160" s="2171"/>
    </row>
    <row r="161" spans="1:128" ht="16.5" customHeight="1" thickBot="1" x14ac:dyDescent="0.25">
      <c r="A161" s="643" t="s">
        <v>8675</v>
      </c>
      <c r="B161" s="648"/>
      <c r="C161" s="648"/>
      <c r="D161" s="648"/>
      <c r="E161" s="648"/>
      <c r="F161" s="648"/>
      <c r="G161" s="648"/>
      <c r="H161" s="648"/>
      <c r="I161" s="648"/>
      <c r="J161" s="648"/>
      <c r="K161" s="648"/>
      <c r="L161" s="648"/>
      <c r="M161" s="649"/>
      <c r="N161" s="15"/>
      <c r="O161" s="143" t="s">
        <v>295</v>
      </c>
      <c r="P161" s="167" t="s">
        <v>269</v>
      </c>
      <c r="Q161" s="157" t="s">
        <v>277</v>
      </c>
      <c r="R161" s="158" t="s">
        <v>277</v>
      </c>
      <c r="S161" s="157"/>
      <c r="T161" s="157"/>
      <c r="U161" s="157"/>
      <c r="V161" s="157"/>
      <c r="W161" s="157"/>
      <c r="X161" s="157"/>
      <c r="Y161" s="158" t="s">
        <v>621</v>
      </c>
      <c r="Z161" s="207"/>
      <c r="AA161" s="207"/>
      <c r="AB161" s="207"/>
      <c r="AC161" s="207"/>
      <c r="AD161" s="207"/>
      <c r="AE161" s="207"/>
      <c r="AF161" s="207"/>
      <c r="AG161" s="207"/>
      <c r="AH161" s="207"/>
      <c r="AI161" s="207"/>
      <c r="AJ161" s="207"/>
      <c r="AK161" s="207"/>
      <c r="AL161" s="207"/>
      <c r="AM161" s="207"/>
      <c r="AN161" s="207"/>
      <c r="AO161" s="207"/>
      <c r="AP161" s="207"/>
      <c r="AQ161" s="207"/>
      <c r="AR161" s="207"/>
      <c r="AS161" s="207"/>
      <c r="AT161" s="207"/>
      <c r="AU161" s="207"/>
      <c r="AV161" s="207"/>
      <c r="AW161" s="157"/>
      <c r="AX161" s="157"/>
      <c r="AY161" s="157"/>
      <c r="AZ161" s="157"/>
      <c r="BA161" s="157"/>
      <c r="BB161" s="157"/>
      <c r="BC161" s="157"/>
      <c r="BD161" s="157"/>
      <c r="BE161" s="157"/>
      <c r="BF161" s="157"/>
      <c r="BG161" s="157"/>
      <c r="BH161" s="157"/>
      <c r="BI161" s="157"/>
      <c r="BJ161" s="157"/>
      <c r="BK161" s="185"/>
      <c r="BL161" s="185"/>
      <c r="BM161" s="185"/>
      <c r="BN161" s="185"/>
      <c r="BO161" s="212"/>
      <c r="BP161" s="157"/>
      <c r="BQ161" s="157"/>
      <c r="BR161" s="157"/>
      <c r="BS161" s="191"/>
      <c r="BT161" s="191"/>
      <c r="BU161" s="191"/>
      <c r="BV161" s="191"/>
      <c r="BW161" s="191"/>
      <c r="BX161" s="157"/>
      <c r="BY161" s="157"/>
      <c r="BZ161" s="157"/>
      <c r="CA161" s="157"/>
      <c r="CB161" s="157"/>
      <c r="CC161" s="157"/>
      <c r="CD161" s="157"/>
      <c r="CE161" s="157"/>
      <c r="CF161" s="2121"/>
      <c r="CG161" s="2121"/>
      <c r="CH161" s="2121"/>
      <c r="CI161" s="157"/>
      <c r="CJ161" s="157"/>
      <c r="CK161" s="185"/>
      <c r="CL161" s="185"/>
      <c r="CM161" s="185"/>
      <c r="CN161" s="185"/>
      <c r="CO161" s="25"/>
      <c r="CP161" s="117"/>
      <c r="CQ161" s="157"/>
      <c r="CR161" s="157"/>
      <c r="CS161" s="157"/>
      <c r="CT161" s="157"/>
      <c r="CU161" s="15"/>
      <c r="CV161" s="15"/>
      <c r="CW161" s="14"/>
      <c r="CX161" s="14"/>
      <c r="CY161" s="14"/>
      <c r="CZ161" s="14"/>
      <c r="DA161" s="14"/>
      <c r="DB161" s="14"/>
      <c r="DC161" s="14"/>
      <c r="DD161" s="14"/>
      <c r="DE161" s="14"/>
      <c r="DF161" s="14"/>
      <c r="DG161" s="14"/>
      <c r="DH161" s="14"/>
      <c r="DI161" s="14"/>
      <c r="DJ161" s="14"/>
      <c r="DK161" s="14"/>
      <c r="DL161" s="14"/>
      <c r="DM161" s="15"/>
      <c r="DN161" s="15"/>
      <c r="DO161" s="15"/>
      <c r="DP161" s="15"/>
      <c r="DQ161" s="15"/>
      <c r="DR161" s="15"/>
      <c r="DS161" s="15"/>
      <c r="DT161" s="15"/>
      <c r="DU161" s="15"/>
    </row>
    <row r="162" spans="1:128" ht="9.75" customHeight="1" thickBot="1" x14ac:dyDescent="0.25">
      <c r="A162" s="435"/>
      <c r="B162" s="22"/>
      <c r="C162" s="22"/>
      <c r="D162" s="22"/>
      <c r="E162" s="22"/>
      <c r="F162" s="22"/>
      <c r="G162" s="22"/>
      <c r="H162" s="22"/>
      <c r="I162" s="22"/>
      <c r="J162" s="22"/>
      <c r="K162" s="22"/>
      <c r="L162" s="22"/>
      <c r="M162" s="22"/>
      <c r="N162" s="15"/>
      <c r="O162" s="143"/>
      <c r="P162" s="161"/>
      <c r="Q162" s="157"/>
      <c r="R162" s="158" t="s">
        <v>611</v>
      </c>
      <c r="S162" s="157"/>
      <c r="T162" s="157"/>
      <c r="U162" s="157"/>
      <c r="V162" s="157"/>
      <c r="W162" s="157"/>
      <c r="X162" s="157"/>
      <c r="Y162" s="158"/>
      <c r="Z162" s="207"/>
      <c r="AA162" s="207"/>
      <c r="AB162" s="207"/>
      <c r="AC162" s="207"/>
      <c r="AD162" s="207"/>
      <c r="AE162" s="207"/>
      <c r="AF162" s="207"/>
      <c r="AG162" s="207"/>
      <c r="AH162" s="207"/>
      <c r="AI162" s="207"/>
      <c r="AJ162" s="207"/>
      <c r="AK162" s="207"/>
      <c r="AL162" s="207"/>
      <c r="AM162" s="207"/>
      <c r="AN162" s="207"/>
      <c r="AO162" s="207"/>
      <c r="AP162" s="207"/>
      <c r="AQ162" s="207"/>
      <c r="AR162" s="207"/>
      <c r="AS162" s="207"/>
      <c r="AT162" s="207"/>
      <c r="AU162" s="207"/>
      <c r="AV162" s="207"/>
      <c r="AW162" s="157"/>
      <c r="AX162" s="157"/>
      <c r="AY162" s="157"/>
      <c r="AZ162" s="157"/>
      <c r="BA162" s="157"/>
      <c r="BB162" s="157"/>
      <c r="BC162" s="157"/>
      <c r="BD162" s="157"/>
      <c r="BE162" s="157"/>
      <c r="BF162" s="157"/>
      <c r="BG162" s="157"/>
      <c r="BH162" s="157"/>
      <c r="BI162" s="157"/>
      <c r="BJ162" s="157"/>
      <c r="BK162" s="185"/>
      <c r="BL162" s="185"/>
      <c r="BM162" s="185"/>
      <c r="BN162" s="185"/>
      <c r="BO162" s="212"/>
      <c r="BP162" s="157"/>
      <c r="BQ162" s="157"/>
      <c r="BR162" s="157"/>
      <c r="BS162" s="191"/>
      <c r="BT162" s="191"/>
      <c r="BU162" s="191"/>
      <c r="BV162" s="191"/>
      <c r="BW162" s="191"/>
      <c r="BX162" s="157"/>
      <c r="BY162" s="157"/>
      <c r="BZ162" s="157"/>
      <c r="CA162" s="157"/>
      <c r="CB162" s="157"/>
      <c r="CC162" s="157"/>
      <c r="CD162" s="157"/>
      <c r="CE162" s="157"/>
      <c r="CF162" s="2121"/>
      <c r="CG162" s="2121"/>
      <c r="CH162" s="2121"/>
      <c r="CI162" s="157"/>
      <c r="CJ162" s="157"/>
      <c r="CK162" s="185"/>
      <c r="CL162" s="185"/>
      <c r="CM162" s="185"/>
      <c r="CN162" s="185"/>
      <c r="CO162" s="25"/>
      <c r="CP162" s="117"/>
      <c r="CQ162" s="157"/>
      <c r="CR162" s="157"/>
      <c r="CS162" s="157"/>
      <c r="CT162" s="157"/>
      <c r="CU162" s="15"/>
      <c r="CV162" s="15"/>
      <c r="CW162" s="14"/>
      <c r="CX162" s="14"/>
      <c r="CY162" s="14"/>
      <c r="CZ162" s="14"/>
      <c r="DA162" s="14"/>
      <c r="DB162" s="14"/>
      <c r="DC162" s="14"/>
      <c r="DD162" s="14"/>
      <c r="DE162" s="14"/>
      <c r="DF162" s="14"/>
      <c r="DG162" s="14"/>
      <c r="DH162" s="14"/>
      <c r="DI162" s="14"/>
      <c r="DJ162" s="14"/>
      <c r="DK162" s="14"/>
      <c r="DL162" s="14"/>
      <c r="DM162" s="15"/>
      <c r="DN162" s="15"/>
      <c r="DO162" s="15"/>
      <c r="DP162" s="15"/>
      <c r="DQ162" s="15"/>
      <c r="DR162" s="15"/>
      <c r="DS162" s="15"/>
      <c r="DT162" s="15"/>
      <c r="DU162" s="15"/>
    </row>
    <row r="163" spans="1:128" ht="26.25" customHeight="1" thickBot="1" x14ac:dyDescent="0.25">
      <c r="A163" s="503" t="s">
        <v>675</v>
      </c>
      <c r="B163" s="108"/>
      <c r="C163" s="108"/>
      <c r="D163" s="108"/>
      <c r="E163" s="108"/>
      <c r="F163" s="108"/>
      <c r="G163" s="108"/>
      <c r="H163" s="108"/>
      <c r="I163" s="108"/>
      <c r="J163" s="2334" t="s">
        <v>1</v>
      </c>
      <c r="K163" s="2335"/>
      <c r="L163" s="2334" t="s">
        <v>676</v>
      </c>
      <c r="M163" s="2335"/>
      <c r="N163" s="15"/>
      <c r="O163" s="143"/>
      <c r="P163" s="161"/>
      <c r="Q163" s="157"/>
      <c r="R163" s="157"/>
      <c r="S163" s="157"/>
      <c r="T163" s="157"/>
      <c r="U163" s="157"/>
      <c r="V163" s="157"/>
      <c r="W163" s="157"/>
      <c r="X163" s="157"/>
      <c r="Y163" s="158" t="s">
        <v>620</v>
      </c>
      <c r="Z163" s="207"/>
      <c r="AA163" s="207"/>
      <c r="AB163" s="207"/>
      <c r="AC163" s="207"/>
      <c r="AD163" s="207"/>
      <c r="AE163" s="207"/>
      <c r="AF163" s="207"/>
      <c r="AG163" s="207"/>
      <c r="AH163" s="207"/>
      <c r="AI163" s="207"/>
      <c r="AJ163" s="207"/>
      <c r="AK163" s="207"/>
      <c r="AL163" s="207"/>
      <c r="AM163" s="207"/>
      <c r="AN163" s="207"/>
      <c r="AO163" s="207"/>
      <c r="AP163" s="207"/>
      <c r="AQ163" s="207"/>
      <c r="AR163" s="207"/>
      <c r="AS163" s="207"/>
      <c r="AT163" s="207"/>
      <c r="AU163" s="207"/>
      <c r="AV163" s="207"/>
      <c r="AW163" s="157"/>
      <c r="AX163" s="157"/>
      <c r="AY163" s="157"/>
      <c r="AZ163" s="157"/>
      <c r="BA163" s="157"/>
      <c r="BB163" s="157"/>
      <c r="BC163" s="157"/>
      <c r="BD163" s="157"/>
      <c r="BE163" s="157"/>
      <c r="BF163" s="157"/>
      <c r="BG163" s="157"/>
      <c r="BH163" s="157"/>
      <c r="BI163" s="157"/>
      <c r="BJ163" s="157"/>
      <c r="BK163" s="185"/>
      <c r="BL163" s="185"/>
      <c r="BM163" s="185"/>
      <c r="BN163" s="185"/>
      <c r="BO163" s="212"/>
      <c r="BP163" s="157"/>
      <c r="BQ163" s="157"/>
      <c r="BR163" s="157"/>
      <c r="BS163" s="191"/>
      <c r="BT163" s="191"/>
      <c r="BU163" s="191"/>
      <c r="BV163" s="191"/>
      <c r="BW163" s="191"/>
      <c r="BX163" s="157"/>
      <c r="BY163" s="157"/>
      <c r="BZ163" s="157"/>
      <c r="CA163" s="157"/>
      <c r="CB163" s="157"/>
      <c r="CC163" s="157"/>
      <c r="CD163" s="157"/>
      <c r="CE163" s="157"/>
      <c r="CF163" s="2121"/>
      <c r="CG163" s="2121"/>
      <c r="CH163" s="2121"/>
      <c r="CI163" s="157"/>
      <c r="CJ163" s="157"/>
      <c r="CK163" s="185"/>
      <c r="CL163" s="185"/>
      <c r="CM163" s="185"/>
      <c r="CN163" s="185"/>
      <c r="CO163" s="25"/>
      <c r="CP163" s="117"/>
      <c r="CQ163" s="157"/>
      <c r="CR163" s="157"/>
      <c r="CS163" s="157"/>
      <c r="CT163" s="157"/>
      <c r="CU163" s="15"/>
      <c r="CV163" s="15"/>
      <c r="CW163" s="14"/>
      <c r="CX163" s="14"/>
      <c r="CY163" s="14"/>
      <c r="CZ163" s="14"/>
      <c r="DA163" s="14"/>
      <c r="DB163" s="14"/>
      <c r="DC163" s="14"/>
      <c r="DD163" s="14"/>
      <c r="DE163" s="14"/>
      <c r="DF163" s="14"/>
      <c r="DG163" s="14"/>
      <c r="DH163" s="14"/>
      <c r="DI163" s="14"/>
      <c r="DJ163" s="14"/>
      <c r="DK163" s="14"/>
      <c r="DL163" s="14"/>
      <c r="DM163" s="15"/>
      <c r="DN163" s="15"/>
      <c r="DO163" s="15"/>
      <c r="DP163" s="15"/>
      <c r="DQ163" s="15"/>
      <c r="DR163" s="15"/>
      <c r="DS163" s="15"/>
      <c r="DT163" s="15"/>
      <c r="DU163" s="15"/>
    </row>
    <row r="164" spans="1:128" ht="18.75" customHeight="1" x14ac:dyDescent="0.2">
      <c r="A164" s="2594" t="s">
        <v>8337</v>
      </c>
      <c r="B164" s="2595"/>
      <c r="C164" s="2595"/>
      <c r="D164" s="2595"/>
      <c r="E164" s="2595"/>
      <c r="F164" s="2595"/>
      <c r="G164" s="2596"/>
      <c r="H164" s="1534"/>
      <c r="I164" s="397" t="s">
        <v>616</v>
      </c>
      <c r="J164" s="2355" t="str">
        <f>IF(H164&gt;0.1,IF($C$13&lt;1,"Fehler",O164)," ")</f>
        <v xml:space="preserve"> </v>
      </c>
      <c r="K164" s="2356"/>
      <c r="L164" s="2336"/>
      <c r="M164" s="2337"/>
      <c r="N164" s="15"/>
      <c r="O164" s="144" t="str">
        <f>IF(($C$13*H164*0.7)/1000=0," ",($C$13*H164*0.7)/1000)</f>
        <v xml:space="preserve"> </v>
      </c>
      <c r="P164" s="179"/>
      <c r="Q164" s="157">
        <f>IF(O164=" ",0,O164)</f>
        <v>0</v>
      </c>
      <c r="R164" s="157">
        <f>IF(Y164=1,Q164,0)</f>
        <v>0</v>
      </c>
      <c r="S164" s="157"/>
      <c r="T164" s="157"/>
      <c r="U164" s="157"/>
      <c r="V164" s="157"/>
      <c r="W164" s="157"/>
      <c r="X164" s="157"/>
      <c r="Y164" s="157">
        <v>2</v>
      </c>
      <c r="Z164" s="157"/>
      <c r="AA164" s="157"/>
      <c r="AB164" s="157"/>
      <c r="AC164" s="157"/>
      <c r="AD164" s="157"/>
      <c r="AE164" s="157"/>
      <c r="AF164" s="157"/>
      <c r="AG164" s="157"/>
      <c r="AH164" s="157"/>
      <c r="AI164" s="157"/>
      <c r="AJ164" s="157"/>
      <c r="AK164" s="157"/>
      <c r="AL164" s="157"/>
      <c r="AM164" s="157"/>
      <c r="AN164" s="157"/>
      <c r="AO164" s="157"/>
      <c r="AP164" s="157"/>
      <c r="AQ164" s="157"/>
      <c r="AR164" s="157"/>
      <c r="AS164" s="157"/>
      <c r="AT164" s="157"/>
      <c r="AU164" s="157"/>
      <c r="AV164" s="157"/>
      <c r="AW164" s="157"/>
      <c r="AX164" s="157"/>
      <c r="AY164" s="157"/>
      <c r="AZ164" s="157"/>
      <c r="BA164" s="157"/>
      <c r="BB164" s="157"/>
      <c r="BC164" s="157"/>
      <c r="BD164" s="157"/>
      <c r="BE164" s="157"/>
      <c r="BF164" s="158"/>
      <c r="BG164" s="158"/>
      <c r="BH164" s="158"/>
      <c r="BI164" s="158"/>
      <c r="BJ164" s="157"/>
      <c r="BK164" s="157"/>
      <c r="BL164" s="658"/>
      <c r="BM164" s="157"/>
      <c r="BN164" s="157"/>
      <c r="BO164" s="157"/>
      <c r="BP164" s="157"/>
      <c r="BQ164" s="157"/>
      <c r="BR164" s="157"/>
      <c r="BS164" s="157"/>
      <c r="BT164" s="157"/>
      <c r="BU164" s="157"/>
      <c r="BV164" s="157"/>
      <c r="BW164" s="157"/>
      <c r="BX164" s="157"/>
      <c r="BY164" s="157"/>
      <c r="BZ164" s="157"/>
      <c r="CA164" s="157"/>
      <c r="CB164" s="157"/>
      <c r="CC164" s="157"/>
      <c r="CD164" s="157"/>
      <c r="CE164" s="157"/>
      <c r="CF164" s="2121"/>
      <c r="CG164" s="2121"/>
      <c r="CH164" s="2121"/>
      <c r="CI164" s="157"/>
      <c r="CO164" s="198"/>
      <c r="CP164" s="199"/>
      <c r="CQ164" s="157"/>
      <c r="CR164" s="157"/>
      <c r="CS164" s="157"/>
      <c r="CT164" s="157"/>
      <c r="CU164" s="15"/>
      <c r="CV164" s="15"/>
      <c r="DM164" s="15"/>
      <c r="DN164" s="15"/>
      <c r="DO164" s="15"/>
      <c r="DP164" s="15"/>
      <c r="DQ164" s="15"/>
      <c r="DR164" s="15"/>
      <c r="DS164" s="15"/>
      <c r="DT164" s="15"/>
      <c r="DU164" s="15"/>
    </row>
    <row r="165" spans="1:128" s="98" customFormat="1" ht="18.75" customHeight="1" x14ac:dyDescent="0.2">
      <c r="A165" s="2614" t="s">
        <v>297</v>
      </c>
      <c r="B165" s="2615"/>
      <c r="C165" s="2615"/>
      <c r="D165" s="2615"/>
      <c r="E165" s="2615"/>
      <c r="F165" s="2615"/>
      <c r="G165" s="2616"/>
      <c r="H165" s="1535"/>
      <c r="I165" s="398" t="s">
        <v>616</v>
      </c>
      <c r="J165" s="2359" t="str">
        <f>IF(H165&gt;0.1,IF($C$13&lt;1,"Fehler",O165)," ")</f>
        <v xml:space="preserve"> </v>
      </c>
      <c r="K165" s="2360"/>
      <c r="L165" s="2353"/>
      <c r="M165" s="2354"/>
      <c r="N165" s="16"/>
      <c r="O165" s="144" t="str">
        <f>IF(($C$13*H165*0.85)/1000=0," ",($C$13*H165*0.85)/1000)</f>
        <v xml:space="preserve"> </v>
      </c>
      <c r="P165" s="202">
        <f>IF(O165=" ",0,O165)</f>
        <v>0</v>
      </c>
      <c r="Q165" s="157">
        <f>IF(O165=" ",0,O165)</f>
        <v>0</v>
      </c>
      <c r="R165" s="157">
        <f t="shared" ref="R165:R170" si="229">IF(Y165=1,Q165,0)</f>
        <v>0</v>
      </c>
      <c r="S165" s="160"/>
      <c r="T165" s="160"/>
      <c r="U165" s="160"/>
      <c r="V165" s="160"/>
      <c r="W165" s="160"/>
      <c r="X165" s="160"/>
      <c r="Y165" s="160">
        <v>2</v>
      </c>
      <c r="Z165" s="96"/>
      <c r="AA165" s="96"/>
      <c r="AB165" s="96"/>
      <c r="AC165" s="96"/>
      <c r="AD165" s="160"/>
      <c r="AE165" s="160"/>
      <c r="AF165" s="160"/>
      <c r="AG165" s="160"/>
      <c r="AH165" s="160"/>
      <c r="AI165" s="160"/>
      <c r="AJ165" s="160"/>
      <c r="AK165" s="160"/>
      <c r="AL165" s="160"/>
      <c r="AM165" s="160"/>
      <c r="AN165" s="160"/>
      <c r="AO165" s="160"/>
      <c r="AP165" s="160"/>
      <c r="AQ165" s="160"/>
      <c r="AR165" s="160"/>
      <c r="AS165" s="160"/>
      <c r="AT165" s="160"/>
      <c r="AU165" s="160"/>
      <c r="AV165" s="160"/>
      <c r="AW165" s="160"/>
      <c r="AX165" s="160"/>
      <c r="AY165" s="160"/>
      <c r="AZ165" s="160"/>
      <c r="BA165" s="160"/>
      <c r="BB165" s="160"/>
      <c r="BC165" s="160"/>
      <c r="BD165" s="160"/>
      <c r="BE165" s="160"/>
      <c r="BF165" s="160"/>
      <c r="BG165" s="160"/>
      <c r="BH165" s="160"/>
      <c r="BI165" s="160"/>
      <c r="BJ165" s="160"/>
      <c r="BK165" s="160"/>
      <c r="BL165" s="657"/>
      <c r="BM165" s="160"/>
      <c r="BN165" s="160"/>
      <c r="BO165" s="160"/>
      <c r="BP165" s="157"/>
      <c r="BQ165" s="157"/>
      <c r="BR165" s="157"/>
      <c r="BS165" s="157"/>
      <c r="BT165" s="157"/>
      <c r="BU165" s="157"/>
      <c r="BV165" s="157"/>
      <c r="BW165" s="157"/>
      <c r="BX165" s="157"/>
      <c r="BY165" s="160"/>
      <c r="BZ165" s="160"/>
      <c r="CA165" s="160"/>
      <c r="CB165" s="160"/>
      <c r="CC165" s="160"/>
      <c r="CD165" s="160"/>
      <c r="CE165" s="160"/>
      <c r="CF165" s="2120"/>
      <c r="CG165" s="2120"/>
      <c r="CH165" s="2120"/>
      <c r="CI165" s="160"/>
      <c r="CO165" s="204"/>
      <c r="CP165" s="199"/>
      <c r="CQ165" s="160"/>
      <c r="CR165" s="160"/>
      <c r="CS165" s="160"/>
      <c r="CT165" s="160"/>
      <c r="CU165" s="96"/>
      <c r="CV165" s="96"/>
      <c r="CW165" s="97"/>
      <c r="CX165" s="96"/>
      <c r="CY165" s="96"/>
      <c r="CZ165" s="96"/>
      <c r="DA165" s="96"/>
      <c r="DB165" s="96"/>
      <c r="DC165" s="96"/>
      <c r="DD165" s="96"/>
      <c r="DE165" s="96"/>
      <c r="DF165" s="96"/>
      <c r="DG165" s="96"/>
      <c r="DH165" s="96"/>
      <c r="DI165" s="96"/>
      <c r="DJ165" s="96"/>
      <c r="DK165" s="96"/>
      <c r="DL165" s="96"/>
      <c r="DM165" s="96"/>
      <c r="DN165" s="96"/>
      <c r="DO165" s="96"/>
      <c r="DP165" s="96"/>
      <c r="DQ165" s="96"/>
      <c r="DR165" s="96"/>
      <c r="DS165" s="96"/>
      <c r="DT165" s="96"/>
      <c r="DU165" s="96"/>
      <c r="DX165" s="2172"/>
    </row>
    <row r="166" spans="1:128" s="98" customFormat="1" ht="18.75" customHeight="1" x14ac:dyDescent="0.2">
      <c r="A166" s="2377" t="s">
        <v>8338</v>
      </c>
      <c r="B166" s="2378"/>
      <c r="C166" s="2378"/>
      <c r="D166" s="2378"/>
      <c r="E166" s="2378"/>
      <c r="F166" s="2378"/>
      <c r="G166" s="2379"/>
      <c r="H166" s="1536"/>
      <c r="I166" s="504" t="s">
        <v>616</v>
      </c>
      <c r="J166" s="2469" t="str">
        <f>IF(H166&gt;0.1,IF($C$13&lt;1,"Fehler",O166)," ")</f>
        <v xml:space="preserve"> </v>
      </c>
      <c r="K166" s="2470"/>
      <c r="L166" s="2375"/>
      <c r="M166" s="2376"/>
      <c r="N166" s="16"/>
      <c r="O166" s="144" t="str">
        <f>IF(($C$13*H166*0.85)/1000=0," ",($C$13*H166*0.85)/1000)</f>
        <v xml:space="preserve"> </v>
      </c>
      <c r="P166" s="202"/>
      <c r="Q166" s="157">
        <f>IF(O166=" ",0,O166)</f>
        <v>0</v>
      </c>
      <c r="R166" s="157">
        <f t="shared" si="229"/>
        <v>0</v>
      </c>
      <c r="S166" s="160"/>
      <c r="T166" s="160"/>
      <c r="U166" s="160"/>
      <c r="V166" s="160"/>
      <c r="W166" s="160"/>
      <c r="X166" s="160"/>
      <c r="Y166" s="160">
        <v>2</v>
      </c>
      <c r="Z166" s="96"/>
      <c r="AA166" s="96"/>
      <c r="AB166" s="96"/>
      <c r="AC166" s="96"/>
      <c r="AD166" s="160"/>
      <c r="AE166" s="160"/>
      <c r="AF166" s="160"/>
      <c r="AG166" s="160"/>
      <c r="AH166" s="160"/>
      <c r="AI166" s="160"/>
      <c r="AJ166" s="160"/>
      <c r="AK166" s="160"/>
      <c r="AL166" s="160"/>
      <c r="AM166" s="160"/>
      <c r="AN166" s="160"/>
      <c r="AO166" s="160"/>
      <c r="AP166" s="160"/>
      <c r="AQ166" s="160"/>
      <c r="AR166" s="160"/>
      <c r="AS166" s="160"/>
      <c r="AT166" s="160"/>
      <c r="AU166" s="160"/>
      <c r="AV166" s="160"/>
      <c r="AW166" s="160"/>
      <c r="AX166" s="160"/>
      <c r="AY166" s="160"/>
      <c r="AZ166" s="160"/>
      <c r="BA166" s="160"/>
      <c r="BB166" s="160"/>
      <c r="BC166" s="160"/>
      <c r="BD166" s="160"/>
      <c r="BE166" s="160"/>
      <c r="BF166" s="160"/>
      <c r="BG166" s="160"/>
      <c r="BH166" s="160"/>
      <c r="BI166" s="160"/>
      <c r="BJ166" s="160"/>
      <c r="BK166" s="160"/>
      <c r="BL166" s="657"/>
      <c r="BM166" s="160"/>
      <c r="BN166" s="160"/>
      <c r="BO166" s="160"/>
      <c r="BP166" s="160"/>
      <c r="BQ166" s="160"/>
      <c r="BR166" s="160"/>
      <c r="BS166" s="160"/>
      <c r="BT166" s="160"/>
      <c r="BU166" s="160"/>
      <c r="BV166" s="160"/>
      <c r="BW166" s="160"/>
      <c r="BX166" s="160"/>
      <c r="BY166" s="160"/>
      <c r="BZ166" s="160"/>
      <c r="CA166" s="160"/>
      <c r="CB166" s="160"/>
      <c r="CC166" s="160"/>
      <c r="CD166" s="160"/>
      <c r="CE166" s="160"/>
      <c r="CF166" s="2120"/>
      <c r="CG166" s="2120"/>
      <c r="CH166" s="2120"/>
      <c r="CI166" s="160"/>
      <c r="CO166" s="204"/>
      <c r="CP166" s="199"/>
      <c r="CQ166" s="160"/>
      <c r="CR166" s="160"/>
      <c r="CS166" s="160"/>
      <c r="CT166" s="160"/>
      <c r="CU166" s="96"/>
      <c r="CV166" s="96"/>
      <c r="CW166" s="97"/>
      <c r="CX166" s="96"/>
      <c r="CY166" s="96"/>
      <c r="CZ166" s="96"/>
      <c r="DA166" s="96"/>
      <c r="DB166" s="96"/>
      <c r="DC166" s="96"/>
      <c r="DD166" s="96"/>
      <c r="DE166" s="96"/>
      <c r="DF166" s="96"/>
      <c r="DG166" s="96"/>
      <c r="DH166" s="96"/>
      <c r="DI166" s="96"/>
      <c r="DJ166" s="96"/>
      <c r="DK166" s="96"/>
      <c r="DL166" s="96"/>
      <c r="DM166" s="96"/>
      <c r="DN166" s="96"/>
      <c r="DO166" s="96"/>
      <c r="DP166" s="96"/>
      <c r="DQ166" s="96"/>
      <c r="DR166" s="96"/>
      <c r="DS166" s="96"/>
      <c r="DT166" s="96"/>
      <c r="DU166" s="96"/>
      <c r="DX166" s="2172"/>
    </row>
    <row r="167" spans="1:128" s="98" customFormat="1" ht="18.75" customHeight="1" x14ac:dyDescent="0.2">
      <c r="A167" s="2614" t="s">
        <v>289</v>
      </c>
      <c r="B167" s="2615"/>
      <c r="C167" s="2615"/>
      <c r="D167" s="2615"/>
      <c r="E167" s="2615"/>
      <c r="F167" s="2615"/>
      <c r="G167" s="2616"/>
      <c r="H167" s="1537"/>
      <c r="I167" s="505" t="s">
        <v>617</v>
      </c>
      <c r="J167" s="2359" t="str">
        <f>+IF(H167&gt;0.1,H167*33.2," ")</f>
        <v xml:space="preserve"> </v>
      </c>
      <c r="K167" s="2360"/>
      <c r="L167" s="2353"/>
      <c r="M167" s="2354"/>
      <c r="N167" s="16"/>
      <c r="O167" s="96"/>
      <c r="P167" s="203"/>
      <c r="Q167" s="157">
        <f>IF(J167=" ",0,J167)</f>
        <v>0</v>
      </c>
      <c r="R167" s="157">
        <f t="shared" si="229"/>
        <v>0</v>
      </c>
      <c r="S167" s="160"/>
      <c r="T167" s="160"/>
      <c r="U167" s="160"/>
      <c r="V167" s="160"/>
      <c r="W167" s="160"/>
      <c r="X167" s="160"/>
      <c r="Y167" s="160">
        <v>2</v>
      </c>
      <c r="Z167" s="96"/>
      <c r="AA167" s="96"/>
      <c r="AB167" s="96"/>
      <c r="AC167" s="96"/>
      <c r="AD167" s="160"/>
      <c r="AE167" s="160"/>
      <c r="AF167" s="160"/>
      <c r="AG167" s="160"/>
      <c r="AH167" s="160"/>
      <c r="AI167" s="160"/>
      <c r="AJ167" s="160"/>
      <c r="AK167" s="160"/>
      <c r="AL167" s="160"/>
      <c r="AM167" s="160"/>
      <c r="AN167" s="160"/>
      <c r="AO167" s="160"/>
      <c r="AP167" s="160"/>
      <c r="AQ167" s="160"/>
      <c r="AR167" s="160"/>
      <c r="AS167" s="160"/>
      <c r="AT167" s="160"/>
      <c r="AU167" s="160"/>
      <c r="AV167" s="160"/>
      <c r="AW167" s="160"/>
      <c r="AX167" s="160"/>
      <c r="AY167" s="160"/>
      <c r="AZ167" s="160"/>
      <c r="BA167" s="160"/>
      <c r="BB167" s="160"/>
      <c r="BC167" s="160"/>
      <c r="BD167" s="160"/>
      <c r="BE167" s="160"/>
      <c r="BF167" s="160"/>
      <c r="BG167" s="160"/>
      <c r="BH167" s="160"/>
      <c r="BI167" s="160"/>
      <c r="BJ167" s="160"/>
      <c r="BK167" s="160"/>
      <c r="BL167" s="657"/>
      <c r="BM167" s="160"/>
      <c r="BN167" s="160"/>
      <c r="BO167" s="160"/>
      <c r="BP167" s="160"/>
      <c r="BQ167" s="160"/>
      <c r="BR167" s="160"/>
      <c r="BS167" s="160"/>
      <c r="BT167" s="160"/>
      <c r="BU167" s="160"/>
      <c r="BV167" s="160"/>
      <c r="BW167" s="160"/>
      <c r="BX167" s="160"/>
      <c r="BY167" s="160"/>
      <c r="BZ167" s="160"/>
      <c r="CA167" s="160"/>
      <c r="CB167" s="160"/>
      <c r="CC167" s="160"/>
      <c r="CD167" s="160"/>
      <c r="CE167" s="160"/>
      <c r="CF167" s="2120"/>
      <c r="CG167" s="2120"/>
      <c r="CH167" s="2120"/>
      <c r="CI167" s="160"/>
      <c r="CO167" s="204"/>
      <c r="CP167" s="199"/>
      <c r="CQ167" s="160"/>
      <c r="CR167" s="160"/>
      <c r="CS167" s="160"/>
      <c r="CT167" s="160"/>
      <c r="CU167" s="96"/>
      <c r="CV167" s="96"/>
      <c r="CW167" s="96"/>
      <c r="CX167" s="96"/>
      <c r="CY167" s="96"/>
      <c r="CZ167" s="96"/>
      <c r="DA167" s="96"/>
      <c r="DB167" s="96"/>
      <c r="DC167" s="96"/>
      <c r="DD167" s="96"/>
      <c r="DE167" s="96"/>
      <c r="DF167" s="96"/>
      <c r="DG167" s="96"/>
      <c r="DH167" s="96"/>
      <c r="DI167" s="96"/>
      <c r="DJ167" s="96"/>
      <c r="DK167" s="96"/>
      <c r="DL167" s="96"/>
      <c r="DM167" s="96"/>
      <c r="DN167" s="96"/>
      <c r="DO167" s="96"/>
      <c r="DP167" s="96"/>
      <c r="DQ167" s="96"/>
      <c r="DR167" s="96"/>
      <c r="DS167" s="96"/>
      <c r="DT167" s="96"/>
      <c r="DU167" s="96"/>
      <c r="DX167" s="2172"/>
    </row>
    <row r="168" spans="1:128" s="98" customFormat="1" ht="18.75" customHeight="1" x14ac:dyDescent="0.2">
      <c r="A168" s="2462" t="s">
        <v>296</v>
      </c>
      <c r="B168" s="2463"/>
      <c r="C168" s="2463"/>
      <c r="D168" s="2463"/>
      <c r="E168" s="2463"/>
      <c r="F168" s="2463"/>
      <c r="G168" s="2464"/>
      <c r="H168" s="1538"/>
      <c r="I168" s="399" t="s">
        <v>1</v>
      </c>
      <c r="J168" s="2385" t="str">
        <f>IF(H168&gt;0.1,H168," ")</f>
        <v xml:space="preserve"> </v>
      </c>
      <c r="K168" s="2386"/>
      <c r="L168" s="2383"/>
      <c r="M168" s="2384"/>
      <c r="N168" s="16"/>
      <c r="O168" s="96"/>
      <c r="P168" s="206">
        <f>IF(J168=" ",0,J168)</f>
        <v>0</v>
      </c>
      <c r="Q168" s="157">
        <f>IF(J168=" ",0,J168)</f>
        <v>0</v>
      </c>
      <c r="R168" s="157">
        <f t="shared" si="229"/>
        <v>0</v>
      </c>
      <c r="S168" s="160"/>
      <c r="T168" s="160"/>
      <c r="U168" s="160"/>
      <c r="V168" s="160"/>
      <c r="W168" s="160"/>
      <c r="X168" s="160"/>
      <c r="Y168" s="160">
        <v>2</v>
      </c>
      <c r="Z168" s="96"/>
      <c r="AA168" s="96"/>
      <c r="AB168" s="96"/>
      <c r="AC168" s="96"/>
      <c r="AD168" s="160"/>
      <c r="AE168" s="160"/>
      <c r="AF168" s="160"/>
      <c r="AG168" s="160"/>
      <c r="AH168" s="160"/>
      <c r="AI168" s="160"/>
      <c r="AJ168" s="160"/>
      <c r="AK168" s="160"/>
      <c r="AL168" s="160"/>
      <c r="AM168" s="160"/>
      <c r="AN168" s="160"/>
      <c r="AO168" s="160"/>
      <c r="AP168" s="160"/>
      <c r="AQ168" s="160"/>
      <c r="AR168" s="160"/>
      <c r="AS168" s="160"/>
      <c r="AT168" s="160"/>
      <c r="AU168" s="160"/>
      <c r="AV168" s="160"/>
      <c r="AW168" s="160"/>
      <c r="AX168" s="160"/>
      <c r="AY168" s="160"/>
      <c r="AZ168" s="160"/>
      <c r="BA168" s="160"/>
      <c r="BB168" s="160"/>
      <c r="BC168" s="160"/>
      <c r="BD168" s="160"/>
      <c r="BE168" s="160"/>
      <c r="BF168" s="160"/>
      <c r="BG168" s="160"/>
      <c r="BH168" s="160"/>
      <c r="BI168" s="160"/>
      <c r="BJ168" s="160"/>
      <c r="BK168" s="160"/>
      <c r="BL168" s="657"/>
      <c r="BM168" s="160"/>
      <c r="BN168" s="160"/>
      <c r="BO168" s="160"/>
      <c r="BP168" s="160"/>
      <c r="BQ168" s="160"/>
      <c r="BR168" s="160"/>
      <c r="BS168" s="160"/>
      <c r="BT168" s="160"/>
      <c r="BU168" s="160"/>
      <c r="BV168" s="160"/>
      <c r="BW168" s="160"/>
      <c r="BX168" s="160"/>
      <c r="BY168" s="160"/>
      <c r="BZ168" s="160"/>
      <c r="CA168" s="160"/>
      <c r="CB168" s="160"/>
      <c r="CC168" s="160"/>
      <c r="CD168" s="160"/>
      <c r="CE168" s="160"/>
      <c r="CF168" s="2120"/>
      <c r="CG168" s="2120"/>
      <c r="CH168" s="2120"/>
      <c r="CI168" s="160"/>
      <c r="CO168" s="204"/>
      <c r="CP168" s="199"/>
      <c r="CQ168" s="160"/>
      <c r="CR168" s="160"/>
      <c r="CS168" s="160"/>
      <c r="CT168" s="160"/>
      <c r="CU168" s="96"/>
      <c r="CV168" s="96"/>
      <c r="CW168" s="97"/>
      <c r="CX168" s="96"/>
      <c r="CY168" s="96"/>
      <c r="CZ168" s="96"/>
      <c r="DA168" s="96"/>
      <c r="DB168" s="96"/>
      <c r="DC168" s="96"/>
      <c r="DD168" s="96"/>
      <c r="DE168" s="96"/>
      <c r="DF168" s="96"/>
      <c r="DG168" s="96"/>
      <c r="DH168" s="96"/>
      <c r="DI168" s="96"/>
      <c r="DJ168" s="96"/>
      <c r="DK168" s="96"/>
      <c r="DL168" s="96"/>
      <c r="DM168" s="96"/>
      <c r="DN168" s="96"/>
      <c r="DO168" s="96"/>
      <c r="DP168" s="96"/>
      <c r="DQ168" s="96"/>
      <c r="DR168" s="96"/>
      <c r="DS168" s="96"/>
      <c r="DT168" s="96"/>
      <c r="DU168" s="96"/>
      <c r="DX168" s="2172"/>
    </row>
    <row r="169" spans="1:128" s="98" customFormat="1" ht="18.75" customHeight="1" x14ac:dyDescent="0.2">
      <c r="A169" s="2832" t="s">
        <v>8740</v>
      </c>
      <c r="B169" s="2833"/>
      <c r="C169" s="2833"/>
      <c r="D169" s="2833"/>
      <c r="E169" s="2833"/>
      <c r="F169" s="2833"/>
      <c r="G169" s="2834"/>
      <c r="H169" s="1537"/>
      <c r="I169" s="400" t="s">
        <v>1</v>
      </c>
      <c r="J169" s="2467" t="str">
        <f>IF(H169&gt;0.1,H169," ")</f>
        <v xml:space="preserve"> </v>
      </c>
      <c r="K169" s="2468"/>
      <c r="L169" s="2618" t="s">
        <v>611</v>
      </c>
      <c r="M169" s="2619"/>
      <c r="N169" s="16"/>
      <c r="O169" s="96"/>
      <c r="P169" s="160"/>
      <c r="Q169" s="157">
        <f>IF(J169=" ",0,J169)</f>
        <v>0</v>
      </c>
      <c r="R169" s="157">
        <f t="shared" si="229"/>
        <v>0</v>
      </c>
      <c r="S169" s="160"/>
      <c r="T169" s="160"/>
      <c r="U169" s="160"/>
      <c r="V169" s="160"/>
      <c r="W169" s="160"/>
      <c r="X169" s="160"/>
      <c r="Y169" s="160">
        <v>1</v>
      </c>
      <c r="Z169" s="96"/>
      <c r="AA169" s="96"/>
      <c r="AB169" s="96"/>
      <c r="AC169" s="96"/>
      <c r="AD169" s="160"/>
      <c r="AE169" s="160"/>
      <c r="AF169" s="160"/>
      <c r="AG169" s="160"/>
      <c r="AH169" s="160"/>
      <c r="AI169" s="160"/>
      <c r="AJ169" s="160"/>
      <c r="AK169" s="160"/>
      <c r="AL169" s="160"/>
      <c r="AM169" s="160"/>
      <c r="AN169" s="160"/>
      <c r="AO169" s="160"/>
      <c r="AP169" s="160"/>
      <c r="AQ169" s="160"/>
      <c r="AR169" s="160"/>
      <c r="AS169" s="160"/>
      <c r="AT169" s="160"/>
      <c r="AU169" s="160"/>
      <c r="AV169" s="160"/>
      <c r="AW169" s="160"/>
      <c r="AX169" s="160"/>
      <c r="AY169" s="160"/>
      <c r="AZ169" s="160"/>
      <c r="BA169" s="160"/>
      <c r="BB169" s="160"/>
      <c r="BC169" s="160"/>
      <c r="BD169" s="160"/>
      <c r="BE169" s="160"/>
      <c r="BF169" s="160"/>
      <c r="BG169" s="160"/>
      <c r="BH169" s="160"/>
      <c r="BI169" s="160"/>
      <c r="BJ169" s="160"/>
      <c r="BK169" s="160"/>
      <c r="BL169" s="657"/>
      <c r="BM169" s="160"/>
      <c r="BN169" s="160"/>
      <c r="BO169" s="160"/>
      <c r="BP169" s="160"/>
      <c r="BQ169" s="160"/>
      <c r="BR169" s="160"/>
      <c r="BS169" s="160"/>
      <c r="BT169" s="160"/>
      <c r="BU169" s="160"/>
      <c r="BV169" s="160"/>
      <c r="BW169" s="160"/>
      <c r="BX169" s="160"/>
      <c r="BY169" s="160"/>
      <c r="BZ169" s="160"/>
      <c r="CA169" s="160"/>
      <c r="CB169" s="160"/>
      <c r="CC169" s="160"/>
      <c r="CD169" s="160"/>
      <c r="CE169" s="160"/>
      <c r="CF169" s="2120"/>
      <c r="CG169" s="2120"/>
      <c r="CH169" s="2120"/>
      <c r="CI169" s="160"/>
      <c r="CO169" s="204"/>
      <c r="CP169" s="199"/>
      <c r="CQ169" s="160"/>
      <c r="CR169" s="160"/>
      <c r="CS169" s="160"/>
      <c r="CT169" s="160"/>
      <c r="CU169" s="96"/>
      <c r="CV169" s="96"/>
      <c r="CW169" s="97"/>
      <c r="CX169" s="96"/>
      <c r="CY169" s="96"/>
      <c r="CZ169" s="96"/>
      <c r="DA169" s="96"/>
      <c r="DB169" s="96"/>
      <c r="DC169" s="96"/>
      <c r="DD169" s="96"/>
      <c r="DE169" s="96"/>
      <c r="DF169" s="96"/>
      <c r="DG169" s="96"/>
      <c r="DH169" s="96"/>
      <c r="DI169" s="96"/>
      <c r="DJ169" s="96"/>
      <c r="DK169" s="96"/>
      <c r="DL169" s="96"/>
      <c r="DM169" s="96"/>
      <c r="DN169" s="96"/>
      <c r="DO169" s="96"/>
      <c r="DP169" s="96"/>
      <c r="DQ169" s="96"/>
      <c r="DR169" s="96"/>
      <c r="DS169" s="96"/>
      <c r="DT169" s="96"/>
      <c r="DU169" s="96"/>
      <c r="DX169" s="2172"/>
    </row>
    <row r="170" spans="1:128" s="98" customFormat="1" ht="18.75" customHeight="1" thickBot="1" x14ac:dyDescent="0.25">
      <c r="A170" s="2835" t="s">
        <v>8740</v>
      </c>
      <c r="B170" s="2836"/>
      <c r="C170" s="2836"/>
      <c r="D170" s="2836"/>
      <c r="E170" s="2836"/>
      <c r="F170" s="2836"/>
      <c r="G170" s="2837"/>
      <c r="H170" s="1539"/>
      <c r="I170" s="245" t="s">
        <v>1</v>
      </c>
      <c r="J170" s="2465" t="str">
        <f>IF(H170&gt;0.1,H170," ")</f>
        <v xml:space="preserve"> </v>
      </c>
      <c r="K170" s="2466"/>
      <c r="L170" s="2393" t="s">
        <v>620</v>
      </c>
      <c r="M170" s="2394"/>
      <c r="N170" s="16"/>
      <c r="O170" s="96"/>
      <c r="P170" s="160"/>
      <c r="Q170" s="157">
        <f>IF(J170=" ",0,J170)</f>
        <v>0</v>
      </c>
      <c r="R170" s="157">
        <f t="shared" si="229"/>
        <v>0</v>
      </c>
      <c r="S170" s="160"/>
      <c r="T170" s="160"/>
      <c r="U170" s="160"/>
      <c r="V170" s="160"/>
      <c r="W170" s="160"/>
      <c r="X170" s="160"/>
      <c r="Y170" s="160">
        <v>2</v>
      </c>
      <c r="Z170" s="96"/>
      <c r="AA170" s="96"/>
      <c r="AB170" s="96"/>
      <c r="AC170" s="96"/>
      <c r="AD170" s="160"/>
      <c r="AE170" s="160"/>
      <c r="AF170" s="160"/>
      <c r="AG170" s="160"/>
      <c r="AH170" s="160"/>
      <c r="AI170" s="160"/>
      <c r="AJ170" s="160"/>
      <c r="AK170" s="160"/>
      <c r="AL170" s="160"/>
      <c r="AM170" s="160"/>
      <c r="AN170" s="160"/>
      <c r="AO170" s="160"/>
      <c r="AP170" s="160"/>
      <c r="AQ170" s="160"/>
      <c r="AR170" s="160"/>
      <c r="AS170" s="160"/>
      <c r="AT170" s="160"/>
      <c r="AU170" s="160"/>
      <c r="AV170" s="160"/>
      <c r="AW170" s="160"/>
      <c r="AX170" s="160"/>
      <c r="AY170" s="160"/>
      <c r="AZ170" s="160"/>
      <c r="BA170" s="160"/>
      <c r="BB170" s="160"/>
      <c r="BC170" s="160"/>
      <c r="BD170" s="160"/>
      <c r="BE170" s="160"/>
      <c r="BF170" s="160"/>
      <c r="BG170" s="160"/>
      <c r="BH170" s="160"/>
      <c r="BI170" s="160"/>
      <c r="BJ170" s="160"/>
      <c r="BK170" s="160"/>
      <c r="BL170" s="657"/>
      <c r="BM170" s="160"/>
      <c r="BN170" s="160"/>
      <c r="BO170" s="160"/>
      <c r="BP170" s="160"/>
      <c r="BQ170" s="160"/>
      <c r="BR170" s="160"/>
      <c r="BS170" s="160"/>
      <c r="BT170" s="160"/>
      <c r="BU170" s="160"/>
      <c r="BV170" s="160"/>
      <c r="BW170" s="160"/>
      <c r="BX170" s="160"/>
      <c r="BY170" s="160"/>
      <c r="BZ170" s="160"/>
      <c r="CA170" s="160"/>
      <c r="CB170" s="160"/>
      <c r="CC170" s="160"/>
      <c r="CD170" s="160"/>
      <c r="CE170" s="160"/>
      <c r="CF170" s="2120"/>
      <c r="CG170" s="2120"/>
      <c r="CH170" s="2120"/>
      <c r="CI170" s="160"/>
      <c r="CO170" s="204"/>
      <c r="CP170" s="199"/>
      <c r="CQ170" s="160"/>
      <c r="CR170" s="160"/>
      <c r="CS170" s="160"/>
      <c r="CT170" s="160"/>
      <c r="CU170" s="96"/>
      <c r="CV170" s="96"/>
      <c r="CW170" s="96"/>
      <c r="CX170" s="96"/>
      <c r="CY170" s="96"/>
      <c r="CZ170" s="96"/>
      <c r="DA170" s="96"/>
      <c r="DB170" s="96"/>
      <c r="DC170" s="96"/>
      <c r="DD170" s="96"/>
      <c r="DE170" s="96"/>
      <c r="DF170" s="96"/>
      <c r="DG170" s="96"/>
      <c r="DH170" s="96"/>
      <c r="DI170" s="96"/>
      <c r="DJ170" s="96"/>
      <c r="DK170" s="96"/>
      <c r="DL170" s="96"/>
      <c r="DM170" s="96"/>
      <c r="DN170" s="96"/>
      <c r="DO170" s="96"/>
      <c r="DP170" s="96"/>
      <c r="DQ170" s="96"/>
      <c r="DR170" s="96"/>
      <c r="DS170" s="96"/>
      <c r="DT170" s="96"/>
      <c r="DU170" s="96"/>
      <c r="DX170" s="2172"/>
    </row>
    <row r="171" spans="1:128" s="98" customFormat="1" ht="17.25" customHeight="1" x14ac:dyDescent="0.2">
      <c r="A171" s="2617"/>
      <c r="B171" s="2617"/>
      <c r="C171" s="2617"/>
      <c r="D171" s="2617"/>
      <c r="E171" s="2617"/>
      <c r="F171" s="2617"/>
      <c r="G171" s="2617"/>
      <c r="H171" s="2617"/>
      <c r="I171" s="2617"/>
      <c r="J171" s="2617"/>
      <c r="K171" s="2617"/>
      <c r="L171" s="2617"/>
      <c r="M171" s="20"/>
      <c r="N171" s="17"/>
      <c r="O171" s="97"/>
      <c r="P171" s="207"/>
      <c r="Q171" s="207"/>
      <c r="R171" s="207">
        <f>SUM(R164:R170)</f>
        <v>0</v>
      </c>
      <c r="S171" s="207"/>
      <c r="T171" s="207"/>
      <c r="U171" s="207"/>
      <c r="V171" s="207"/>
      <c r="W171" s="207"/>
      <c r="X171" s="207"/>
      <c r="Y171" s="207"/>
      <c r="AD171" s="216"/>
      <c r="AE171" s="216"/>
      <c r="AF171" s="216"/>
      <c r="AG171" s="216"/>
      <c r="AH171" s="216"/>
      <c r="AI171" s="216"/>
      <c r="AJ171" s="216"/>
      <c r="AK171" s="216"/>
      <c r="AL171" s="216"/>
      <c r="AM171" s="216"/>
      <c r="AN171" s="216"/>
      <c r="AO171" s="216"/>
      <c r="AP171" s="216"/>
      <c r="AQ171" s="216"/>
      <c r="AR171" s="216"/>
      <c r="AS171" s="216"/>
      <c r="AT171" s="216"/>
      <c r="AU171" s="216"/>
      <c r="AV171" s="216"/>
      <c r="AW171" s="217"/>
      <c r="AX171" s="207"/>
      <c r="AY171" s="207"/>
      <c r="AZ171" s="207"/>
      <c r="BA171" s="207"/>
      <c r="BB171" s="207"/>
      <c r="BC171" s="207"/>
      <c r="BD171" s="207"/>
      <c r="BE171" s="207"/>
      <c r="BF171" s="207"/>
      <c r="BG171" s="207"/>
      <c r="BH171" s="207"/>
      <c r="BI171" s="207"/>
      <c r="BJ171" s="207"/>
      <c r="BK171" s="160"/>
      <c r="BL171" s="657"/>
      <c r="BM171" s="160"/>
      <c r="BN171" s="160"/>
      <c r="BO171" s="160"/>
      <c r="BP171" s="160"/>
      <c r="BQ171" s="160"/>
      <c r="BR171" s="160"/>
      <c r="BS171" s="160"/>
      <c r="BT171" s="160"/>
      <c r="BU171" s="160"/>
      <c r="BV171" s="160"/>
      <c r="BW171" s="160"/>
      <c r="BX171" s="160"/>
      <c r="BY171" s="160"/>
      <c r="BZ171" s="160"/>
      <c r="CA171" s="160"/>
      <c r="CB171" s="160"/>
      <c r="CC171" s="160"/>
      <c r="CD171" s="160"/>
      <c r="CE171" s="160"/>
      <c r="CF171" s="2120"/>
      <c r="CG171" s="2120"/>
      <c r="CH171" s="2120"/>
      <c r="CI171" s="160"/>
      <c r="CO171" s="204"/>
      <c r="CP171" s="199"/>
      <c r="CQ171" s="160"/>
      <c r="CR171" s="160"/>
      <c r="CS171" s="160"/>
      <c r="CT171" s="160"/>
      <c r="CU171" s="96"/>
      <c r="CV171" s="96"/>
      <c r="CW171" s="96"/>
      <c r="CX171" s="96"/>
      <c r="CY171" s="96"/>
      <c r="CZ171" s="96"/>
      <c r="DA171" s="96"/>
      <c r="DB171" s="96"/>
      <c r="DC171" s="96"/>
      <c r="DD171" s="96"/>
      <c r="DE171" s="96"/>
      <c r="DF171" s="96"/>
      <c r="DG171" s="96"/>
      <c r="DH171" s="96"/>
      <c r="DI171" s="96"/>
      <c r="DJ171" s="96"/>
      <c r="DK171" s="96"/>
      <c r="DL171" s="96"/>
      <c r="DM171" s="96"/>
      <c r="DN171" s="96"/>
      <c r="DO171" s="96"/>
      <c r="DP171" s="96"/>
      <c r="DQ171" s="96"/>
      <c r="DR171" s="96"/>
      <c r="DS171" s="96"/>
      <c r="DT171" s="96"/>
      <c r="DU171" s="96"/>
      <c r="DX171" s="2172"/>
    </row>
    <row r="172" spans="1:128" s="98" customFormat="1" ht="17.25" customHeight="1" thickBot="1" x14ac:dyDescent="0.25">
      <c r="A172" s="20"/>
      <c r="B172" s="20"/>
      <c r="C172" s="20"/>
      <c r="D172" s="20"/>
      <c r="E172" s="20"/>
      <c r="F172" s="20"/>
      <c r="G172" s="20"/>
      <c r="H172" s="20"/>
      <c r="I172" s="20"/>
      <c r="J172" s="20"/>
      <c r="K172" s="20"/>
      <c r="L172" s="20"/>
      <c r="M172" s="20"/>
      <c r="N172" s="17"/>
      <c r="O172" s="97"/>
      <c r="P172" s="207"/>
      <c r="Q172" s="207"/>
      <c r="R172" s="207"/>
      <c r="S172" s="207"/>
      <c r="T172" s="207"/>
      <c r="U172" s="207"/>
      <c r="V172" s="207"/>
      <c r="W172" s="207"/>
      <c r="X172" s="207"/>
      <c r="Y172" s="207"/>
      <c r="AD172" s="216"/>
      <c r="AE172" s="216"/>
      <c r="AF172" s="216"/>
      <c r="AG172" s="216"/>
      <c r="AH172" s="216"/>
      <c r="AI172" s="216"/>
      <c r="AJ172" s="216"/>
      <c r="AK172" s="216"/>
      <c r="AL172" s="216"/>
      <c r="AM172" s="216"/>
      <c r="AN172" s="216"/>
      <c r="AO172" s="216"/>
      <c r="AP172" s="216"/>
      <c r="AQ172" s="216"/>
      <c r="AR172" s="216"/>
      <c r="AS172" s="216"/>
      <c r="AT172" s="216"/>
      <c r="AU172" s="216"/>
      <c r="AV172" s="216"/>
      <c r="AW172" s="217"/>
      <c r="AX172" s="207"/>
      <c r="AY172" s="207"/>
      <c r="AZ172" s="207"/>
      <c r="BA172" s="207"/>
      <c r="BB172" s="207"/>
      <c r="BC172" s="207"/>
      <c r="BD172" s="207"/>
      <c r="BE172" s="207"/>
      <c r="BF172" s="207"/>
      <c r="BG172" s="207"/>
      <c r="BH172" s="207"/>
      <c r="BI172" s="207"/>
      <c r="BJ172" s="207"/>
      <c r="BK172" s="160"/>
      <c r="BL172" s="657"/>
      <c r="BM172" s="160"/>
      <c r="BN172" s="160"/>
      <c r="BO172" s="160"/>
      <c r="BP172" s="160"/>
      <c r="BQ172" s="160"/>
      <c r="BR172" s="160"/>
      <c r="BS172" s="160"/>
      <c r="BT172" s="160"/>
      <c r="BU172" s="160"/>
      <c r="BV172" s="160"/>
      <c r="BW172" s="160"/>
      <c r="BX172" s="160"/>
      <c r="BY172" s="160"/>
      <c r="BZ172" s="160"/>
      <c r="CA172" s="160"/>
      <c r="CB172" s="160"/>
      <c r="CC172" s="160"/>
      <c r="CD172" s="160"/>
      <c r="CE172" s="160"/>
      <c r="CF172" s="2120"/>
      <c r="CG172" s="2120"/>
      <c r="CH172" s="2120"/>
      <c r="CI172" s="160"/>
      <c r="CO172" s="204"/>
      <c r="CP172" s="199"/>
      <c r="CQ172" s="160"/>
      <c r="CR172" s="160"/>
      <c r="CS172" s="160"/>
      <c r="CT172" s="160"/>
      <c r="CU172" s="96"/>
      <c r="CV172" s="96"/>
      <c r="CW172" s="96"/>
      <c r="CX172" s="96"/>
      <c r="CY172" s="96"/>
      <c r="CZ172" s="96"/>
      <c r="DA172" s="96"/>
      <c r="DB172" s="96"/>
      <c r="DC172" s="96"/>
      <c r="DD172" s="96"/>
      <c r="DE172" s="96"/>
      <c r="DF172" s="96"/>
      <c r="DG172" s="96"/>
      <c r="DH172" s="96"/>
      <c r="DI172" s="96"/>
      <c r="DJ172" s="96"/>
      <c r="DK172" s="96"/>
      <c r="DL172" s="96"/>
      <c r="DM172" s="96"/>
      <c r="DN172" s="96"/>
      <c r="DO172" s="96"/>
      <c r="DP172" s="96"/>
      <c r="DQ172" s="96"/>
      <c r="DR172" s="96"/>
      <c r="DS172" s="96"/>
      <c r="DT172" s="96"/>
      <c r="DU172" s="96"/>
      <c r="DX172" s="2172"/>
    </row>
    <row r="173" spans="1:128" s="98" customFormat="1" ht="17.25" customHeight="1" thickBot="1" x14ac:dyDescent="0.25">
      <c r="A173" s="643" t="s">
        <v>740</v>
      </c>
      <c r="B173" s="644"/>
      <c r="C173" s="644"/>
      <c r="D173" s="644"/>
      <c r="E173" s="644"/>
      <c r="F173" s="644"/>
      <c r="G173" s="644"/>
      <c r="H173" s="644"/>
      <c r="I173" s="644"/>
      <c r="J173" s="644"/>
      <c r="K173" s="644"/>
      <c r="L173" s="644"/>
      <c r="M173" s="645"/>
      <c r="N173" s="17"/>
      <c r="O173" s="97"/>
      <c r="P173" s="207"/>
      <c r="Q173" s="270" t="s">
        <v>429</v>
      </c>
      <c r="R173" s="336" t="s">
        <v>426</v>
      </c>
      <c r="S173" s="207" t="s">
        <v>434</v>
      </c>
      <c r="T173" s="207"/>
      <c r="U173" s="207"/>
      <c r="V173" s="207"/>
      <c r="W173" s="207"/>
      <c r="X173" s="207"/>
      <c r="Y173" s="207"/>
      <c r="AD173" s="216"/>
      <c r="AE173" s="216"/>
      <c r="AF173" s="216"/>
      <c r="AG173" s="216"/>
      <c r="AH173" s="216"/>
      <c r="AI173" s="216"/>
      <c r="AJ173" s="216"/>
      <c r="AK173" s="216"/>
      <c r="AL173" s="216"/>
      <c r="AM173" s="216"/>
      <c r="AN173" s="216"/>
      <c r="AO173" s="216"/>
      <c r="AP173" s="216"/>
      <c r="AQ173" s="216"/>
      <c r="AR173" s="216"/>
      <c r="AS173" s="216"/>
      <c r="AT173" s="216"/>
      <c r="AU173" s="216"/>
      <c r="AV173" s="216"/>
      <c r="AW173" s="217"/>
      <c r="AX173" s="207"/>
      <c r="AY173" s="207"/>
      <c r="AZ173" s="207"/>
      <c r="BA173" s="207"/>
      <c r="BB173" s="207"/>
      <c r="BC173" s="207"/>
      <c r="BD173" s="207"/>
      <c r="BE173" s="207"/>
      <c r="BF173" s="207"/>
      <c r="BG173" s="207"/>
      <c r="BH173" s="207"/>
      <c r="BI173" s="207"/>
      <c r="BJ173" s="207"/>
      <c r="BK173" s="160"/>
      <c r="BL173" s="657"/>
      <c r="BM173" s="160"/>
      <c r="BN173" s="160"/>
      <c r="BO173" s="160"/>
      <c r="BP173" s="160"/>
      <c r="BQ173" s="160"/>
      <c r="BR173" s="160"/>
      <c r="BS173" s="160"/>
      <c r="BT173" s="160"/>
      <c r="BU173" s="160"/>
      <c r="BV173" s="160"/>
      <c r="BW173" s="160"/>
      <c r="BX173" s="160"/>
      <c r="BY173" s="160"/>
      <c r="BZ173" s="160"/>
      <c r="CA173" s="160"/>
      <c r="CB173" s="160"/>
      <c r="CC173" s="160"/>
      <c r="CD173" s="160"/>
      <c r="CE173" s="160"/>
      <c r="CF173" s="2120"/>
      <c r="CG173" s="2120"/>
      <c r="CH173" s="2120"/>
      <c r="CI173" s="160"/>
      <c r="CO173" s="204"/>
      <c r="CP173" s="199"/>
      <c r="CQ173" s="160"/>
      <c r="CR173" s="160"/>
      <c r="CS173" s="160"/>
      <c r="CT173" s="160"/>
      <c r="CU173" s="96"/>
      <c r="CV173" s="96"/>
      <c r="CW173" s="96"/>
      <c r="CX173" s="96"/>
      <c r="CY173" s="96"/>
      <c r="CZ173" s="96"/>
      <c r="DA173" s="96"/>
      <c r="DB173" s="96"/>
      <c r="DC173" s="96"/>
      <c r="DD173" s="96"/>
      <c r="DE173" s="96"/>
      <c r="DF173" s="96"/>
      <c r="DG173" s="96"/>
      <c r="DH173" s="96"/>
      <c r="DI173" s="96"/>
      <c r="DJ173" s="96"/>
      <c r="DK173" s="96"/>
      <c r="DL173" s="96"/>
      <c r="DM173" s="96"/>
      <c r="DN173" s="96"/>
      <c r="DO173" s="96"/>
      <c r="DP173" s="96"/>
      <c r="DQ173" s="96"/>
      <c r="DR173" s="96"/>
      <c r="DS173" s="96"/>
      <c r="DT173" s="96"/>
      <c r="DU173" s="96"/>
      <c r="DX173" s="2172"/>
    </row>
    <row r="174" spans="1:128" s="98" customFormat="1" ht="17.25" customHeight="1" thickBot="1" x14ac:dyDescent="0.25">
      <c r="A174" s="20"/>
      <c r="B174" s="20"/>
      <c r="C174" s="20"/>
      <c r="D174" s="20"/>
      <c r="E174" s="20"/>
      <c r="F174" s="20"/>
      <c r="G174" s="20"/>
      <c r="H174" s="20"/>
      <c r="I174" s="20"/>
      <c r="J174" s="20"/>
      <c r="K174" s="20"/>
      <c r="L174" s="20"/>
      <c r="M174" s="20"/>
      <c r="N174" s="17"/>
      <c r="O174" s="97"/>
      <c r="P174" s="207"/>
      <c r="Q174" s="274" t="s">
        <v>435</v>
      </c>
      <c r="R174" s="337" t="s">
        <v>565</v>
      </c>
      <c r="S174" s="98" t="s">
        <v>606</v>
      </c>
      <c r="T174" s="207"/>
      <c r="U174" s="207"/>
      <c r="V174" s="207"/>
      <c r="W174" s="207"/>
      <c r="X174" s="207"/>
      <c r="Y174" s="207"/>
      <c r="AD174" s="216"/>
      <c r="AE174" s="216"/>
      <c r="AF174" s="216"/>
      <c r="AG174" s="216"/>
      <c r="AH174" s="216"/>
      <c r="AI174" s="216"/>
      <c r="AJ174" s="216"/>
      <c r="AK174" s="216"/>
      <c r="AL174" s="216"/>
      <c r="AM174" s="216"/>
      <c r="AN174" s="216"/>
      <c r="AO174" s="216"/>
      <c r="AP174" s="216"/>
      <c r="AQ174" s="216"/>
      <c r="AR174" s="216"/>
      <c r="AS174" s="216"/>
      <c r="AT174" s="216"/>
      <c r="AU174" s="216"/>
      <c r="AV174" s="216"/>
      <c r="AW174" s="217"/>
      <c r="AX174" s="207"/>
      <c r="AY174" s="207"/>
      <c r="AZ174" s="207"/>
      <c r="BA174" s="207"/>
      <c r="BB174" s="207"/>
      <c r="BC174" s="207"/>
      <c r="BD174" s="207"/>
      <c r="BE174" s="207"/>
      <c r="BF174" s="207"/>
      <c r="BG174" s="207"/>
      <c r="BH174" s="207"/>
      <c r="BI174" s="207"/>
      <c r="BJ174" s="207"/>
      <c r="BK174" s="160"/>
      <c r="BL174" s="657"/>
      <c r="BM174" s="160"/>
      <c r="BN174" s="160"/>
      <c r="BO174" s="160"/>
      <c r="BP174" s="160"/>
      <c r="BQ174" s="160"/>
      <c r="BR174" s="160"/>
      <c r="BS174" s="160"/>
      <c r="BT174" s="160"/>
      <c r="BU174" s="160"/>
      <c r="BV174" s="160"/>
      <c r="BW174" s="160"/>
      <c r="BX174" s="160"/>
      <c r="BY174" s="160"/>
      <c r="BZ174" s="160"/>
      <c r="CA174" s="160"/>
      <c r="CB174" s="160"/>
      <c r="CC174" s="160"/>
      <c r="CD174" s="160"/>
      <c r="CE174" s="160"/>
      <c r="CF174" s="2120"/>
      <c r="CG174" s="2120"/>
      <c r="CH174" s="2120"/>
      <c r="CI174" s="160"/>
      <c r="CO174" s="204"/>
      <c r="CP174" s="199"/>
      <c r="CQ174" s="160"/>
      <c r="CR174" s="160"/>
      <c r="CS174" s="160"/>
      <c r="CT174" s="160"/>
      <c r="CU174" s="96"/>
      <c r="CV174" s="96"/>
      <c r="CW174" s="96"/>
      <c r="CX174" s="96"/>
      <c r="CY174" s="96"/>
      <c r="CZ174" s="96"/>
      <c r="DA174" s="96"/>
      <c r="DB174" s="96"/>
      <c r="DC174" s="96"/>
      <c r="DD174" s="96"/>
      <c r="DE174" s="96"/>
      <c r="DF174" s="96"/>
      <c r="DG174" s="96"/>
      <c r="DH174" s="96"/>
      <c r="DI174" s="96"/>
      <c r="DJ174" s="96"/>
      <c r="DK174" s="96"/>
      <c r="DL174" s="96"/>
      <c r="DM174" s="96"/>
      <c r="DN174" s="96"/>
      <c r="DO174" s="96"/>
      <c r="DP174" s="96"/>
      <c r="DQ174" s="96"/>
      <c r="DR174" s="96"/>
      <c r="DS174" s="96"/>
      <c r="DT174" s="96"/>
      <c r="DU174" s="96"/>
      <c r="DX174" s="2172"/>
    </row>
    <row r="175" spans="1:128" s="98" customFormat="1" ht="17.25" customHeight="1" x14ac:dyDescent="0.25">
      <c r="A175" s="579" t="s">
        <v>584</v>
      </c>
      <c r="B175" s="580"/>
      <c r="C175" s="580"/>
      <c r="D175" s="580"/>
      <c r="E175" s="580"/>
      <c r="F175" s="581"/>
      <c r="G175" s="581"/>
      <c r="H175" s="2810"/>
      <c r="I175" s="2811"/>
      <c r="J175" s="2812"/>
      <c r="K175" s="582" t="s">
        <v>583</v>
      </c>
      <c r="L175" s="583"/>
      <c r="M175" s="584"/>
      <c r="N175" s="296"/>
      <c r="O175" s="296"/>
      <c r="Q175" s="290" t="s">
        <v>416</v>
      </c>
      <c r="R175" s="338"/>
      <c r="S175" s="207" t="s">
        <v>2</v>
      </c>
      <c r="T175" s="207"/>
      <c r="U175" s="207"/>
      <c r="V175" s="207"/>
      <c r="W175" s="207"/>
      <c r="X175" s="207"/>
      <c r="Y175" s="207"/>
      <c r="AD175" s="216"/>
      <c r="AE175" s="216"/>
      <c r="AF175" s="216"/>
      <c r="AG175" s="216"/>
      <c r="AH175" s="216"/>
      <c r="AI175" s="216"/>
      <c r="AJ175" s="216"/>
      <c r="AK175" s="216"/>
      <c r="AL175" s="216"/>
      <c r="AM175" s="216"/>
      <c r="AN175" s="216"/>
      <c r="AO175" s="216"/>
      <c r="AP175" s="216"/>
      <c r="AQ175" s="216"/>
      <c r="AR175" s="216"/>
      <c r="AS175" s="216"/>
      <c r="AT175" s="216"/>
      <c r="AU175" s="216"/>
      <c r="AV175" s="216"/>
      <c r="AW175" s="217"/>
      <c r="AX175" s="207"/>
      <c r="AY175" s="207"/>
      <c r="AZ175" s="207"/>
      <c r="BA175" s="207"/>
      <c r="BB175" s="207"/>
      <c r="BC175" s="207"/>
      <c r="BD175" s="207"/>
      <c r="BE175" s="207"/>
      <c r="BF175" s="207"/>
      <c r="BG175" s="207"/>
      <c r="BH175" s="207"/>
      <c r="BI175" s="207"/>
      <c r="BJ175" s="207"/>
      <c r="BK175" s="160"/>
      <c r="BL175" s="657"/>
      <c r="BM175" s="160"/>
      <c r="BN175" s="160"/>
      <c r="BO175" s="160"/>
      <c r="BP175" s="160"/>
      <c r="BQ175" s="160"/>
      <c r="BR175" s="160"/>
      <c r="BS175" s="160"/>
      <c r="BT175" s="160"/>
      <c r="BU175" s="160"/>
      <c r="BV175" s="160"/>
      <c r="BW175" s="160"/>
      <c r="BX175" s="160"/>
      <c r="BY175" s="160"/>
      <c r="BZ175" s="160"/>
      <c r="CA175" s="160"/>
      <c r="CB175" s="160"/>
      <c r="CC175" s="160"/>
      <c r="CD175" s="160"/>
      <c r="CE175" s="160"/>
      <c r="CF175" s="2120"/>
      <c r="CG175" s="2120"/>
      <c r="CH175" s="2120"/>
      <c r="CI175" s="160"/>
      <c r="CO175" s="204"/>
      <c r="CP175" s="199"/>
      <c r="CQ175" s="160"/>
      <c r="CR175" s="160"/>
      <c r="CS175" s="160"/>
      <c r="CT175" s="160"/>
      <c r="CU175" s="96"/>
      <c r="CV175" s="96"/>
      <c r="CW175" s="96"/>
      <c r="CX175" s="96"/>
      <c r="CY175" s="96"/>
      <c r="CZ175" s="96"/>
      <c r="DA175" s="96"/>
      <c r="DB175" s="96"/>
      <c r="DC175" s="96"/>
      <c r="DD175" s="96"/>
      <c r="DE175" s="96"/>
      <c r="DF175" s="96"/>
      <c r="DG175" s="96"/>
      <c r="DH175" s="96"/>
      <c r="DI175" s="96"/>
      <c r="DJ175" s="96"/>
      <c r="DK175" s="96"/>
      <c r="DL175" s="96"/>
      <c r="DM175" s="96"/>
      <c r="DN175" s="96"/>
      <c r="DO175" s="96"/>
      <c r="DP175" s="96"/>
      <c r="DQ175" s="96"/>
      <c r="DR175" s="96"/>
      <c r="DS175" s="96"/>
      <c r="DT175" s="96"/>
      <c r="DU175" s="96"/>
      <c r="DX175" s="2172"/>
    </row>
    <row r="176" spans="1:128" s="98" customFormat="1" ht="17.25" customHeight="1" x14ac:dyDescent="0.25">
      <c r="A176" s="409" t="s">
        <v>585</v>
      </c>
      <c r="B176" s="342"/>
      <c r="C176" s="342"/>
      <c r="D176" s="342"/>
      <c r="E176" s="342"/>
      <c r="F176" s="410"/>
      <c r="G176" s="410"/>
      <c r="H176" s="2350"/>
      <c r="I176" s="2351"/>
      <c r="J176" s="2352"/>
      <c r="K176" s="411" t="s">
        <v>583</v>
      </c>
      <c r="L176" s="389"/>
      <c r="M176" s="412"/>
      <c r="N176" s="296"/>
      <c r="O176" s="296"/>
      <c r="P176" s="98" t="s">
        <v>593</v>
      </c>
      <c r="Q176" s="207">
        <f>+Q157</f>
        <v>0</v>
      </c>
      <c r="R176" s="207">
        <f>+R157</f>
        <v>0</v>
      </c>
      <c r="S176" s="216">
        <f>IF(Q176=0,0,R176/Q176*100)</f>
        <v>0</v>
      </c>
      <c r="T176" s="207"/>
      <c r="U176" s="207"/>
      <c r="V176" s="207"/>
      <c r="W176" s="207"/>
      <c r="X176" s="207"/>
      <c r="Y176" s="207"/>
      <c r="AD176" s="216"/>
      <c r="AE176" s="216"/>
      <c r="AF176" s="216"/>
      <c r="AG176" s="216"/>
      <c r="AH176" s="216"/>
      <c r="AI176" s="216"/>
      <c r="AJ176" s="216"/>
      <c r="AK176" s="216"/>
      <c r="AL176" s="216"/>
      <c r="AM176" s="216"/>
      <c r="AN176" s="216"/>
      <c r="AO176" s="216"/>
      <c r="AP176" s="216"/>
      <c r="AQ176" s="216"/>
      <c r="AR176" s="216"/>
      <c r="AS176" s="216"/>
      <c r="AT176" s="216"/>
      <c r="AU176" s="216"/>
      <c r="AV176" s="216"/>
      <c r="AW176" s="217"/>
      <c r="AX176" s="207"/>
      <c r="AY176" s="207"/>
      <c r="AZ176" s="207"/>
      <c r="BA176" s="207"/>
      <c r="BB176" s="207"/>
      <c r="BC176" s="207"/>
      <c r="BD176" s="207"/>
      <c r="BE176" s="207"/>
      <c r="BF176" s="207"/>
      <c r="BG176" s="207"/>
      <c r="BH176" s="207"/>
      <c r="BI176" s="207"/>
      <c r="BJ176" s="207"/>
      <c r="BK176" s="160"/>
      <c r="BL176" s="657"/>
      <c r="BM176" s="160"/>
      <c r="BN176" s="160"/>
      <c r="BO176" s="160"/>
      <c r="BP176" s="160"/>
      <c r="BQ176" s="160"/>
      <c r="BR176" s="160"/>
      <c r="BS176" s="160"/>
      <c r="BT176" s="160"/>
      <c r="BU176" s="160"/>
      <c r="BV176" s="160"/>
      <c r="BW176" s="160"/>
      <c r="BX176" s="160"/>
      <c r="BY176" s="160"/>
      <c r="BZ176" s="160"/>
      <c r="CA176" s="160"/>
      <c r="CB176" s="160"/>
      <c r="CC176" s="160"/>
      <c r="CD176" s="160"/>
      <c r="CE176" s="160"/>
      <c r="CF176" s="2120"/>
      <c r="CG176" s="2120"/>
      <c r="CH176" s="2120"/>
      <c r="CI176" s="160"/>
      <c r="CO176" s="204"/>
      <c r="CP176" s="199"/>
      <c r="CQ176" s="160"/>
      <c r="CR176" s="160"/>
      <c r="CS176" s="160"/>
      <c r="CT176" s="160"/>
      <c r="CU176" s="96"/>
      <c r="CV176" s="96"/>
      <c r="CW176" s="96"/>
      <c r="CX176" s="96"/>
      <c r="CY176" s="96"/>
      <c r="CZ176" s="96"/>
      <c r="DA176" s="96"/>
      <c r="DB176" s="96"/>
      <c r="DC176" s="96"/>
      <c r="DD176" s="96"/>
      <c r="DE176" s="96"/>
      <c r="DF176" s="96"/>
      <c r="DG176" s="96"/>
      <c r="DH176" s="96"/>
      <c r="DI176" s="96"/>
      <c r="DJ176" s="96"/>
      <c r="DK176" s="96"/>
      <c r="DL176" s="96"/>
      <c r="DM176" s="96"/>
      <c r="DN176" s="96"/>
      <c r="DO176" s="96"/>
      <c r="DP176" s="96"/>
      <c r="DQ176" s="96"/>
      <c r="DR176" s="96"/>
      <c r="DS176" s="96"/>
      <c r="DT176" s="96"/>
      <c r="DU176" s="96"/>
      <c r="DX176" s="2172"/>
    </row>
    <row r="177" spans="1:128" s="98" customFormat="1" ht="17.25" customHeight="1" x14ac:dyDescent="0.25">
      <c r="A177" s="409" t="s">
        <v>888</v>
      </c>
      <c r="B177" s="342"/>
      <c r="C177" s="342"/>
      <c r="D177" s="342"/>
      <c r="E177" s="342"/>
      <c r="F177" s="410"/>
      <c r="G177" s="410"/>
      <c r="H177" s="2804"/>
      <c r="I177" s="2805"/>
      <c r="J177" s="2806"/>
      <c r="K177" s="1264" t="s">
        <v>887</v>
      </c>
      <c r="L177" s="1265"/>
      <c r="M177" s="1266"/>
      <c r="N177" s="296"/>
      <c r="O177" s="296"/>
      <c r="Q177" s="637"/>
      <c r="R177" s="637"/>
      <c r="S177" s="216"/>
      <c r="T177" s="98" t="s">
        <v>889</v>
      </c>
      <c r="U177" s="637">
        <f>H177*9.0816/1000*H178/100</f>
        <v>0</v>
      </c>
      <c r="V177" s="637" t="s">
        <v>891</v>
      </c>
      <c r="W177" s="637"/>
      <c r="X177" s="637"/>
      <c r="Y177" s="637"/>
      <c r="AD177" s="216"/>
      <c r="AE177" s="216"/>
      <c r="AF177" s="216"/>
      <c r="AG177" s="216"/>
      <c r="AH177" s="216"/>
      <c r="AI177" s="216"/>
      <c r="AJ177" s="216"/>
      <c r="AK177" s="216"/>
      <c r="AL177" s="216"/>
      <c r="AM177" s="216"/>
      <c r="AN177" s="216"/>
      <c r="AO177" s="216"/>
      <c r="AP177" s="216"/>
      <c r="AQ177" s="216"/>
      <c r="AR177" s="216"/>
      <c r="AS177" s="216"/>
      <c r="AT177" s="216"/>
      <c r="AU177" s="216"/>
      <c r="AV177" s="216"/>
      <c r="AW177" s="217"/>
      <c r="AX177" s="637"/>
      <c r="AY177" s="637"/>
      <c r="AZ177" s="637"/>
      <c r="BA177" s="637"/>
      <c r="BB177" s="637"/>
      <c r="BC177" s="637"/>
      <c r="BD177" s="637"/>
      <c r="BE177" s="637"/>
      <c r="BF177" s="637"/>
      <c r="BG177" s="637"/>
      <c r="BH177" s="637"/>
      <c r="BI177" s="637"/>
      <c r="BJ177" s="637"/>
      <c r="BK177" s="636"/>
      <c r="BL177" s="657"/>
      <c r="BM177" s="636"/>
      <c r="BN177" s="636"/>
      <c r="BO177" s="636"/>
      <c r="BP177" s="636"/>
      <c r="BQ177" s="636"/>
      <c r="BR177" s="636"/>
      <c r="BS177" s="636"/>
      <c r="BT177" s="636"/>
      <c r="BU177" s="636"/>
      <c r="BV177" s="636"/>
      <c r="BW177" s="636"/>
      <c r="BX177" s="636"/>
      <c r="BY177" s="636"/>
      <c r="BZ177" s="636"/>
      <c r="CA177" s="636"/>
      <c r="CB177" s="636"/>
      <c r="CC177" s="636"/>
      <c r="CD177" s="636"/>
      <c r="CE177" s="636"/>
      <c r="CF177" s="2120"/>
      <c r="CG177" s="2120"/>
      <c r="CH177" s="2120"/>
      <c r="CI177" s="636"/>
      <c r="CO177" s="204"/>
      <c r="CP177" s="199"/>
      <c r="CQ177" s="636"/>
      <c r="CR177" s="636"/>
      <c r="CS177" s="636"/>
      <c r="CT177" s="636"/>
      <c r="CU177" s="96"/>
      <c r="CV177" s="96"/>
      <c r="CW177" s="96"/>
      <c r="CX177" s="96"/>
      <c r="CY177" s="96"/>
      <c r="CZ177" s="96"/>
      <c r="DA177" s="96"/>
      <c r="DB177" s="96"/>
      <c r="DC177" s="96"/>
      <c r="DD177" s="96"/>
      <c r="DE177" s="96"/>
      <c r="DF177" s="96"/>
      <c r="DG177" s="96"/>
      <c r="DH177" s="96"/>
      <c r="DI177" s="96"/>
      <c r="DJ177" s="96"/>
      <c r="DK177" s="96"/>
      <c r="DL177" s="96"/>
      <c r="DM177" s="96"/>
      <c r="DN177" s="96"/>
      <c r="DO177" s="96"/>
      <c r="DP177" s="96"/>
      <c r="DQ177" s="96"/>
      <c r="DR177" s="96"/>
      <c r="DS177" s="96"/>
      <c r="DT177" s="96"/>
      <c r="DU177" s="96"/>
      <c r="DX177" s="2172"/>
    </row>
    <row r="178" spans="1:128" s="98" customFormat="1" ht="17.25" customHeight="1" x14ac:dyDescent="0.25">
      <c r="A178" s="1267" t="s">
        <v>755</v>
      </c>
      <c r="B178" s="1268"/>
      <c r="C178" s="1268"/>
      <c r="D178" s="1268"/>
      <c r="E178" s="1268"/>
      <c r="F178" s="1269"/>
      <c r="G178" s="1269"/>
      <c r="H178" s="2341">
        <v>38</v>
      </c>
      <c r="I178" s="2342"/>
      <c r="J178" s="2343"/>
      <c r="K178" s="413" t="s">
        <v>2</v>
      </c>
      <c r="L178" s="413"/>
      <c r="M178" s="414"/>
      <c r="N178" s="17"/>
      <c r="O178" s="97"/>
      <c r="P178" s="207" t="s">
        <v>451</v>
      </c>
      <c r="Q178" s="207">
        <f>+Q156</f>
        <v>0</v>
      </c>
      <c r="R178" s="207">
        <f>+R156</f>
        <v>0</v>
      </c>
      <c r="S178" s="216">
        <f>IF(Q178=0,0,R178/Q178*100)</f>
        <v>0</v>
      </c>
      <c r="T178" s="207"/>
      <c r="U178" s="207"/>
      <c r="V178" s="207"/>
      <c r="W178" s="207"/>
      <c r="X178" s="207"/>
      <c r="Y178" s="207"/>
      <c r="AD178" s="216"/>
      <c r="AE178" s="216"/>
      <c r="AF178" s="216"/>
      <c r="AG178" s="216"/>
      <c r="AH178" s="216"/>
      <c r="AI178" s="216"/>
      <c r="AJ178" s="216"/>
      <c r="AK178" s="216"/>
      <c r="AL178" s="216"/>
      <c r="AM178" s="216"/>
      <c r="AN178" s="216"/>
      <c r="AO178" s="216"/>
      <c r="AP178" s="216"/>
      <c r="AQ178" s="216"/>
      <c r="AR178" s="216"/>
      <c r="AS178" s="216"/>
      <c r="AT178" s="216"/>
      <c r="AU178" s="216"/>
      <c r="AV178" s="216"/>
      <c r="AW178" s="217"/>
      <c r="AX178" s="207"/>
      <c r="AY178" s="207"/>
      <c r="AZ178" s="207"/>
      <c r="BA178" s="207"/>
      <c r="BB178" s="207"/>
      <c r="BC178" s="207"/>
      <c r="BD178" s="207"/>
      <c r="BE178" s="207"/>
      <c r="BF178" s="207"/>
      <c r="BG178" s="207"/>
      <c r="BH178" s="207"/>
      <c r="BI178" s="207"/>
      <c r="BJ178" s="207"/>
      <c r="BK178" s="160"/>
      <c r="BL178" s="657"/>
      <c r="BM178" s="160"/>
      <c r="BN178" s="160"/>
      <c r="BO178" s="160"/>
      <c r="BP178" s="160"/>
      <c r="BQ178" s="160"/>
      <c r="BR178" s="160"/>
      <c r="BS178" s="160"/>
      <c r="BT178" s="160"/>
      <c r="BU178" s="160"/>
      <c r="BV178" s="160"/>
      <c r="BW178" s="160"/>
      <c r="BX178" s="160"/>
      <c r="BY178" s="160"/>
      <c r="BZ178" s="160"/>
      <c r="CA178" s="160"/>
      <c r="CB178" s="160"/>
      <c r="CC178" s="160"/>
      <c r="CD178" s="160"/>
      <c r="CE178" s="160"/>
      <c r="CF178" s="2120"/>
      <c r="CG178" s="2120"/>
      <c r="CH178" s="2120"/>
      <c r="CI178" s="160"/>
      <c r="CO178" s="204"/>
      <c r="CP178" s="199"/>
      <c r="CQ178" s="160"/>
      <c r="CR178" s="160"/>
      <c r="CS178" s="160"/>
      <c r="CT178" s="160"/>
      <c r="CU178" s="96"/>
      <c r="CV178" s="96"/>
      <c r="CW178" s="96"/>
      <c r="CX178" s="96"/>
      <c r="CY178" s="96"/>
      <c r="CZ178" s="96"/>
      <c r="DA178" s="96"/>
      <c r="DB178" s="96"/>
      <c r="DC178" s="96"/>
      <c r="DD178" s="96"/>
      <c r="DE178" s="96"/>
      <c r="DF178" s="96"/>
      <c r="DG178" s="96"/>
      <c r="DH178" s="96"/>
      <c r="DI178" s="96"/>
      <c r="DJ178" s="96"/>
      <c r="DK178" s="96"/>
      <c r="DL178" s="96"/>
      <c r="DM178" s="96"/>
      <c r="DN178" s="96"/>
      <c r="DO178" s="96"/>
      <c r="DP178" s="96"/>
      <c r="DQ178" s="96"/>
      <c r="DR178" s="96"/>
      <c r="DS178" s="96"/>
      <c r="DT178" s="96"/>
      <c r="DU178" s="96"/>
      <c r="DX178" s="2172"/>
    </row>
    <row r="179" spans="1:128" s="98" customFormat="1" ht="17.25" customHeight="1" x14ac:dyDescent="0.2">
      <c r="A179" s="506" t="s">
        <v>586</v>
      </c>
      <c r="B179" s="507"/>
      <c r="C179" s="507"/>
      <c r="D179" s="507"/>
      <c r="E179" s="507"/>
      <c r="F179" s="508"/>
      <c r="G179" s="509" t="s">
        <v>587</v>
      </c>
      <c r="H179" s="2344">
        <f>IF(H189&gt;H187*1.2,20,IF(H189&lt;H187*0.9,-10,IF(H189=0,0,(H189/H187*100)-100)))</f>
        <v>0</v>
      </c>
      <c r="I179" s="2345"/>
      <c r="J179" s="2346"/>
      <c r="K179" s="510" t="s">
        <v>2</v>
      </c>
      <c r="L179" s="510"/>
      <c r="M179" s="511"/>
      <c r="N179" s="17"/>
      <c r="O179" s="97"/>
      <c r="P179" s="207" t="s">
        <v>468</v>
      </c>
      <c r="Q179" s="207">
        <f>+Q178+Q176</f>
        <v>0</v>
      </c>
      <c r="R179" s="207">
        <f>+R178+R176</f>
        <v>0</v>
      </c>
      <c r="S179" s="216">
        <f>IF(Q179=0,0,R179/Q179*100)</f>
        <v>0</v>
      </c>
      <c r="T179" s="207"/>
      <c r="U179" s="207"/>
      <c r="V179" s="207"/>
      <c r="W179" s="207"/>
      <c r="X179" s="207"/>
      <c r="Y179" s="207"/>
      <c r="AD179" s="216"/>
      <c r="AE179" s="216"/>
      <c r="AF179" s="216"/>
      <c r="AG179" s="216"/>
      <c r="AH179" s="216"/>
      <c r="AI179" s="216"/>
      <c r="AJ179" s="216"/>
      <c r="AK179" s="216"/>
      <c r="AL179" s="216"/>
      <c r="AM179" s="216"/>
      <c r="AN179" s="216"/>
      <c r="AO179" s="216"/>
      <c r="AP179" s="216"/>
      <c r="AQ179" s="216"/>
      <c r="AR179" s="216"/>
      <c r="AS179" s="216"/>
      <c r="AT179" s="216"/>
      <c r="AU179" s="216"/>
      <c r="AV179" s="216"/>
      <c r="AW179" s="217"/>
      <c r="AX179" s="207"/>
      <c r="AY179" s="207"/>
      <c r="AZ179" s="207"/>
      <c r="BA179" s="207"/>
      <c r="BB179" s="207"/>
      <c r="BC179" s="207"/>
      <c r="BD179" s="207"/>
      <c r="BE179" s="207"/>
      <c r="BF179" s="207"/>
      <c r="BG179" s="207"/>
      <c r="BH179" s="207"/>
      <c r="BI179" s="207"/>
      <c r="BJ179" s="207"/>
      <c r="BK179" s="160"/>
      <c r="BL179" s="657"/>
      <c r="BM179" s="160"/>
      <c r="BN179" s="160"/>
      <c r="BO179" s="160"/>
      <c r="BP179" s="160"/>
      <c r="BQ179" s="160"/>
      <c r="BR179" s="160"/>
      <c r="BS179" s="160"/>
      <c r="BT179" s="160"/>
      <c r="BU179" s="160"/>
      <c r="BV179" s="160"/>
      <c r="BW179" s="160"/>
      <c r="BX179" s="160"/>
      <c r="BY179" s="160"/>
      <c r="BZ179" s="160"/>
      <c r="CA179" s="160"/>
      <c r="CB179" s="160"/>
      <c r="CC179" s="160"/>
      <c r="CD179" s="160"/>
      <c r="CE179" s="160"/>
      <c r="CF179" s="2120"/>
      <c r="CG179" s="2120"/>
      <c r="CH179" s="2120"/>
      <c r="CI179" s="160"/>
      <c r="CO179" s="204"/>
      <c r="CP179" s="199"/>
      <c r="CQ179" s="160"/>
      <c r="CR179" s="160"/>
      <c r="CS179" s="160"/>
      <c r="CT179" s="160"/>
      <c r="CU179" s="96"/>
      <c r="CV179" s="96"/>
      <c r="CW179" s="96"/>
      <c r="CX179" s="96"/>
      <c r="CY179" s="96"/>
      <c r="CZ179" s="96"/>
      <c r="DA179" s="96"/>
      <c r="DB179" s="96"/>
      <c r="DC179" s="96"/>
      <c r="DD179" s="96"/>
      <c r="DE179" s="96"/>
      <c r="DF179" s="96"/>
      <c r="DG179" s="96"/>
      <c r="DH179" s="96"/>
      <c r="DI179" s="96"/>
      <c r="DJ179" s="96"/>
      <c r="DK179" s="96"/>
      <c r="DL179" s="96"/>
      <c r="DM179" s="96"/>
      <c r="DN179" s="96"/>
      <c r="DO179" s="96"/>
      <c r="DP179" s="96"/>
      <c r="DQ179" s="96"/>
      <c r="DR179" s="96"/>
      <c r="DS179" s="96"/>
      <c r="DT179" s="96"/>
      <c r="DU179" s="96"/>
      <c r="DX179" s="2172"/>
    </row>
    <row r="180" spans="1:128" s="98" customFormat="1" ht="17.25" customHeight="1" thickBot="1" x14ac:dyDescent="0.3">
      <c r="A180" s="402" t="s">
        <v>737</v>
      </c>
      <c r="B180" s="346"/>
      <c r="C180" s="346"/>
      <c r="D180" s="346"/>
      <c r="E180" s="346"/>
      <c r="F180" s="401"/>
      <c r="G180" s="607" t="str">
        <f>IF(H180=""," ",IF(H180&gt;H179+0.1,"!!Zahl muss ≤ Vorschlag sein!!"," "))</f>
        <v xml:space="preserve"> </v>
      </c>
      <c r="H180" s="2347"/>
      <c r="I180" s="2348"/>
      <c r="J180" s="2349"/>
      <c r="K180" s="20" t="s">
        <v>2</v>
      </c>
      <c r="L180" s="20"/>
      <c r="M180" s="403"/>
      <c r="N180" s="17"/>
      <c r="O180" s="97"/>
      <c r="P180" s="207"/>
      <c r="Q180" s="207"/>
      <c r="R180" s="207"/>
      <c r="S180" s="207"/>
      <c r="T180" s="207"/>
      <c r="U180" s="207"/>
      <c r="V180" s="207"/>
      <c r="W180" s="207"/>
      <c r="X180" s="207"/>
      <c r="Y180" s="207"/>
      <c r="AD180" s="216"/>
      <c r="AE180" s="216"/>
      <c r="AF180" s="216"/>
      <c r="AG180" s="216"/>
      <c r="AH180" s="216"/>
      <c r="AI180" s="216"/>
      <c r="AJ180" s="216"/>
      <c r="AK180" s="216"/>
      <c r="AL180" s="216"/>
      <c r="AM180" s="216"/>
      <c r="AN180" s="216"/>
      <c r="AO180" s="216"/>
      <c r="AP180" s="216"/>
      <c r="AQ180" s="216"/>
      <c r="AR180" s="216"/>
      <c r="AS180" s="216"/>
      <c r="AT180" s="216"/>
      <c r="AU180" s="216"/>
      <c r="AV180" s="216"/>
      <c r="AW180" s="217"/>
      <c r="AX180" s="207"/>
      <c r="AY180" s="207"/>
      <c r="AZ180" s="207"/>
      <c r="BA180" s="207"/>
      <c r="BB180" s="207"/>
      <c r="BC180" s="207"/>
      <c r="BD180" s="207"/>
      <c r="BE180" s="207"/>
      <c r="BF180" s="207"/>
      <c r="BG180" s="207"/>
      <c r="BH180" s="207"/>
      <c r="BI180" s="207"/>
      <c r="BJ180" s="207"/>
      <c r="BK180" s="160"/>
      <c r="BL180" s="657"/>
      <c r="BM180" s="160"/>
      <c r="BN180" s="160"/>
      <c r="BO180" s="160"/>
      <c r="BP180" s="160"/>
      <c r="BQ180" s="160"/>
      <c r="BR180" s="160"/>
      <c r="BS180" s="160"/>
      <c r="BT180" s="160"/>
      <c r="BU180" s="160"/>
      <c r="BV180" s="160"/>
      <c r="BW180" s="160"/>
      <c r="BX180" s="160"/>
      <c r="BY180" s="160"/>
      <c r="BZ180" s="160"/>
      <c r="CA180" s="160"/>
      <c r="CB180" s="160"/>
      <c r="CC180" s="160"/>
      <c r="CD180" s="160"/>
      <c r="CE180" s="160"/>
      <c r="CF180" s="2120"/>
      <c r="CG180" s="2120"/>
      <c r="CH180" s="2120"/>
      <c r="CI180" s="160"/>
      <c r="CO180" s="204"/>
      <c r="CP180" s="199"/>
      <c r="CQ180" s="160"/>
      <c r="CR180" s="160"/>
      <c r="CS180" s="160"/>
      <c r="CT180" s="160"/>
      <c r="CU180" s="96"/>
      <c r="CV180" s="96"/>
      <c r="CW180" s="96"/>
      <c r="CX180" s="96"/>
      <c r="CY180" s="96"/>
      <c r="CZ180" s="96"/>
      <c r="DA180" s="96"/>
      <c r="DB180" s="96"/>
      <c r="DC180" s="96"/>
      <c r="DD180" s="96"/>
      <c r="DE180" s="96"/>
      <c r="DF180" s="96"/>
      <c r="DG180" s="96"/>
      <c r="DH180" s="96"/>
      <c r="DI180" s="96"/>
      <c r="DJ180" s="96"/>
      <c r="DK180" s="96"/>
      <c r="DL180" s="96"/>
      <c r="DM180" s="96"/>
      <c r="DN180" s="96"/>
      <c r="DO180" s="96"/>
      <c r="DP180" s="96"/>
      <c r="DQ180" s="96"/>
      <c r="DR180" s="96"/>
      <c r="DS180" s="96"/>
      <c r="DT180" s="96"/>
      <c r="DU180" s="96"/>
      <c r="DX180" s="2172"/>
    </row>
    <row r="181" spans="1:128" s="98" customFormat="1" ht="17.25" customHeight="1" thickBot="1" x14ac:dyDescent="0.25">
      <c r="A181" s="404" t="s">
        <v>678</v>
      </c>
      <c r="B181" s="405"/>
      <c r="C181" s="405"/>
      <c r="D181" s="405"/>
      <c r="E181" s="405"/>
      <c r="F181" s="367"/>
      <c r="G181" s="367"/>
      <c r="H181" s="2807"/>
      <c r="I181" s="2808"/>
      <c r="J181" s="2809"/>
      <c r="K181" s="406" t="s">
        <v>677</v>
      </c>
      <c r="L181" s="407"/>
      <c r="M181" s="408"/>
      <c r="N181" s="17"/>
      <c r="O181" s="97"/>
      <c r="P181" s="207"/>
      <c r="Q181" s="207"/>
      <c r="R181" s="207"/>
      <c r="S181" s="207"/>
      <c r="T181" s="207"/>
      <c r="U181" s="207"/>
      <c r="V181" s="207"/>
      <c r="W181" s="207"/>
      <c r="X181" s="207"/>
      <c r="Y181" s="207"/>
      <c r="AD181" s="216"/>
      <c r="AE181" s="216"/>
      <c r="AF181" s="216"/>
      <c r="AG181" s="216"/>
      <c r="AH181" s="216"/>
      <c r="AI181" s="216"/>
      <c r="AJ181" s="216"/>
      <c r="AK181" s="216"/>
      <c r="AL181" s="216"/>
      <c r="AM181" s="216"/>
      <c r="AN181" s="216"/>
      <c r="AO181" s="216"/>
      <c r="AP181" s="216"/>
      <c r="AQ181" s="216"/>
      <c r="AR181" s="216"/>
      <c r="AS181" s="216"/>
      <c r="AT181" s="216"/>
      <c r="AU181" s="216"/>
      <c r="AV181" s="216"/>
      <c r="AW181" s="217"/>
      <c r="AX181" s="207"/>
      <c r="AY181" s="207"/>
      <c r="AZ181" s="207"/>
      <c r="BA181" s="207"/>
      <c r="BB181" s="207"/>
      <c r="BC181" s="207"/>
      <c r="BD181" s="207"/>
      <c r="BE181" s="207"/>
      <c r="BF181" s="207"/>
      <c r="BG181" s="207"/>
      <c r="BH181" s="207"/>
      <c r="BI181" s="207"/>
      <c r="BJ181" s="207"/>
      <c r="BK181" s="160"/>
      <c r="BL181" s="657"/>
      <c r="BM181" s="160"/>
      <c r="BN181" s="160"/>
      <c r="BO181" s="160"/>
      <c r="BP181" s="160"/>
      <c r="BQ181" s="160"/>
      <c r="BR181" s="160"/>
      <c r="BS181" s="160"/>
      <c r="BT181" s="160"/>
      <c r="BU181" s="160"/>
      <c r="BV181" s="160"/>
      <c r="BW181" s="160"/>
      <c r="BX181" s="160"/>
      <c r="BY181" s="160"/>
      <c r="BZ181" s="160"/>
      <c r="CA181" s="160"/>
      <c r="CB181" s="160"/>
      <c r="CC181" s="160"/>
      <c r="CD181" s="160"/>
      <c r="CE181" s="160"/>
      <c r="CF181" s="2120"/>
      <c r="CG181" s="2120"/>
      <c r="CH181" s="2120"/>
      <c r="CI181" s="160"/>
      <c r="CO181" s="204"/>
      <c r="CP181" s="199"/>
      <c r="CQ181" s="160"/>
      <c r="CR181" s="160"/>
      <c r="CS181" s="160"/>
      <c r="CT181" s="160"/>
      <c r="CU181" s="96"/>
      <c r="CV181" s="96"/>
      <c r="CW181" s="96"/>
      <c r="CX181" s="96"/>
      <c r="CY181" s="96"/>
      <c r="CZ181" s="96"/>
      <c r="DA181" s="96"/>
      <c r="DB181" s="96"/>
      <c r="DC181" s="96"/>
      <c r="DD181" s="96"/>
      <c r="DE181" s="96"/>
      <c r="DF181" s="96"/>
      <c r="DG181" s="96"/>
      <c r="DH181" s="96"/>
      <c r="DI181" s="96"/>
      <c r="DJ181" s="96"/>
      <c r="DK181" s="96"/>
      <c r="DL181" s="96"/>
      <c r="DM181" s="96"/>
      <c r="DN181" s="96"/>
      <c r="DO181" s="96"/>
      <c r="DP181" s="96"/>
      <c r="DQ181" s="96"/>
      <c r="DR181" s="96"/>
      <c r="DS181" s="96"/>
      <c r="DT181" s="96"/>
      <c r="DU181" s="96"/>
      <c r="DX181" s="2172"/>
    </row>
    <row r="182" spans="1:128" s="115" customFormat="1" ht="17.25" customHeight="1" thickBot="1" x14ac:dyDescent="0.3">
      <c r="A182" s="340"/>
      <c r="B182" s="340"/>
      <c r="C182" s="340"/>
      <c r="D182" s="340"/>
      <c r="E182" s="341"/>
      <c r="F182" s="343"/>
      <c r="G182" s="343"/>
      <c r="H182" s="21"/>
      <c r="I182" s="21"/>
      <c r="J182" s="21"/>
      <c r="K182" s="21"/>
      <c r="L182" s="21"/>
      <c r="M182" s="21"/>
      <c r="N182" s="17"/>
      <c r="O182" s="97"/>
      <c r="P182" s="207"/>
      <c r="Q182" s="207"/>
      <c r="R182" s="207"/>
      <c r="S182" s="207"/>
      <c r="T182" s="207"/>
      <c r="U182" s="207"/>
      <c r="V182" s="207"/>
      <c r="W182" s="207"/>
      <c r="X182" s="207"/>
      <c r="Y182" s="207"/>
      <c r="AD182" s="216"/>
      <c r="AE182" s="216"/>
      <c r="AF182" s="216"/>
      <c r="AG182" s="216"/>
      <c r="AH182" s="216"/>
      <c r="AI182" s="216"/>
      <c r="AJ182" s="216"/>
      <c r="AK182" s="216"/>
      <c r="AL182" s="216"/>
      <c r="AM182" s="216"/>
      <c r="AN182" s="216"/>
      <c r="AO182" s="216"/>
      <c r="AP182" s="216"/>
      <c r="AQ182" s="216"/>
      <c r="AR182" s="216"/>
      <c r="AS182" s="216"/>
      <c r="AT182" s="216"/>
      <c r="AU182" s="216"/>
      <c r="AV182" s="216"/>
      <c r="AW182" s="217"/>
      <c r="AX182" s="207"/>
      <c r="AY182" s="207"/>
      <c r="AZ182" s="207"/>
      <c r="BA182" s="207"/>
      <c r="BB182" s="207"/>
      <c r="BC182" s="207"/>
      <c r="BD182" s="207"/>
      <c r="BE182" s="207"/>
      <c r="BF182" s="207"/>
      <c r="BG182" s="207"/>
      <c r="BH182" s="207"/>
      <c r="BI182" s="207"/>
      <c r="BJ182" s="207"/>
      <c r="BK182" s="160"/>
      <c r="BL182" s="657"/>
      <c r="BM182" s="160"/>
      <c r="BN182" s="160"/>
      <c r="BO182" s="160"/>
      <c r="BP182" s="160"/>
      <c r="BQ182" s="160"/>
      <c r="BR182" s="160"/>
      <c r="BS182" s="160"/>
      <c r="BT182" s="160"/>
      <c r="BU182" s="160"/>
      <c r="BV182" s="160"/>
      <c r="BW182" s="160"/>
      <c r="BX182" s="160"/>
      <c r="BY182" s="160"/>
      <c r="BZ182" s="160"/>
      <c r="CA182" s="160"/>
      <c r="CB182" s="160"/>
      <c r="CC182" s="160"/>
      <c r="CD182" s="160"/>
      <c r="CE182" s="160"/>
      <c r="CF182" s="2120"/>
      <c r="CG182" s="2120"/>
      <c r="CH182" s="2120"/>
      <c r="CI182" s="160"/>
      <c r="CO182" s="203"/>
      <c r="CP182" s="189"/>
      <c r="CQ182" s="160"/>
      <c r="CR182" s="160"/>
      <c r="CS182" s="160"/>
      <c r="CT182" s="160"/>
      <c r="CU182" s="96"/>
      <c r="CV182" s="96"/>
      <c r="CW182" s="96"/>
      <c r="CX182" s="96"/>
      <c r="CY182" s="96"/>
      <c r="CZ182" s="96"/>
      <c r="DA182" s="96"/>
      <c r="DB182" s="96"/>
      <c r="DC182" s="96"/>
      <c r="DD182" s="96"/>
      <c r="DE182" s="96"/>
      <c r="DF182" s="96"/>
      <c r="DG182" s="96"/>
      <c r="DH182" s="96"/>
      <c r="DI182" s="96"/>
      <c r="DJ182" s="96"/>
      <c r="DK182" s="96"/>
      <c r="DL182" s="96"/>
      <c r="DM182" s="96"/>
      <c r="DN182" s="96"/>
      <c r="DO182" s="96"/>
      <c r="DP182" s="96"/>
      <c r="DQ182" s="96"/>
      <c r="DR182" s="96"/>
      <c r="DS182" s="96"/>
      <c r="DT182" s="96"/>
      <c r="DU182" s="96"/>
      <c r="DX182" s="2172"/>
    </row>
    <row r="183" spans="1:128" s="115" customFormat="1" ht="17.25" customHeight="1" x14ac:dyDescent="0.25">
      <c r="A183" s="512"/>
      <c r="B183" s="513"/>
      <c r="C183" s="513"/>
      <c r="D183" s="513"/>
      <c r="E183" s="513"/>
      <c r="F183" s="513"/>
      <c r="G183" s="514"/>
      <c r="H183" s="515"/>
      <c r="I183" s="516" t="s">
        <v>738</v>
      </c>
      <c r="J183" s="517"/>
      <c r="K183" s="21"/>
      <c r="L183" s="21"/>
      <c r="M183" s="21"/>
      <c r="N183" s="17"/>
      <c r="O183" s="97"/>
      <c r="P183" s="207"/>
      <c r="Q183" s="207"/>
      <c r="R183" s="207"/>
      <c r="S183" s="207"/>
      <c r="T183" s="207"/>
      <c r="U183" s="207"/>
      <c r="V183" s="207"/>
      <c r="W183" s="207"/>
      <c r="X183" s="207"/>
      <c r="Y183" s="207"/>
      <c r="AD183" s="216"/>
      <c r="AE183" s="216"/>
      <c r="AF183" s="216"/>
      <c r="AG183" s="216"/>
      <c r="AH183" s="216"/>
      <c r="AI183" s="216"/>
      <c r="AJ183" s="216"/>
      <c r="AK183" s="216"/>
      <c r="AL183" s="216"/>
      <c r="AM183" s="216"/>
      <c r="AN183" s="216"/>
      <c r="AO183" s="216"/>
      <c r="AP183" s="216"/>
      <c r="AQ183" s="216"/>
      <c r="AR183" s="216"/>
      <c r="AS183" s="216"/>
      <c r="AT183" s="216"/>
      <c r="AU183" s="216"/>
      <c r="AV183" s="216"/>
      <c r="AW183" s="217"/>
      <c r="AX183" s="207"/>
      <c r="AY183" s="207"/>
      <c r="AZ183" s="207"/>
      <c r="BA183" s="207"/>
      <c r="BB183" s="207"/>
      <c r="BC183" s="207"/>
      <c r="BD183" s="207"/>
      <c r="BE183" s="207"/>
      <c r="BF183" s="207"/>
      <c r="BG183" s="207"/>
      <c r="BH183" s="207"/>
      <c r="BI183" s="207"/>
      <c r="BJ183" s="207"/>
      <c r="BK183" s="160"/>
      <c r="BL183" s="657"/>
      <c r="BM183" s="160"/>
      <c r="BN183" s="160"/>
      <c r="BO183" s="160"/>
      <c r="BP183" s="160"/>
      <c r="BQ183" s="160"/>
      <c r="BR183" s="160"/>
      <c r="BS183" s="160"/>
      <c r="BT183" s="160"/>
      <c r="BU183" s="160"/>
      <c r="BV183" s="160"/>
      <c r="BW183" s="160"/>
      <c r="BX183" s="160"/>
      <c r="BY183" s="160"/>
      <c r="BZ183" s="160"/>
      <c r="CA183" s="160"/>
      <c r="CB183" s="160"/>
      <c r="CC183" s="160"/>
      <c r="CD183" s="160"/>
      <c r="CE183" s="160"/>
      <c r="CF183" s="2120"/>
      <c r="CG183" s="2120"/>
      <c r="CH183" s="2120"/>
      <c r="CI183" s="160"/>
      <c r="CO183" s="203"/>
      <c r="CP183" s="189"/>
      <c r="CQ183" s="160"/>
      <c r="CR183" s="160"/>
      <c r="CS183" s="160"/>
      <c r="CT183" s="160"/>
      <c r="CU183" s="96"/>
      <c r="CV183" s="96"/>
      <c r="CW183" s="96"/>
      <c r="CX183" s="96"/>
      <c r="CY183" s="96"/>
      <c r="CZ183" s="96"/>
      <c r="DA183" s="96"/>
      <c r="DB183" s="96"/>
      <c r="DC183" s="96"/>
      <c r="DD183" s="96"/>
      <c r="DE183" s="96"/>
      <c r="DF183" s="96"/>
      <c r="DG183" s="96"/>
      <c r="DH183" s="96"/>
      <c r="DI183" s="96"/>
      <c r="DJ183" s="96"/>
      <c r="DK183" s="96"/>
      <c r="DL183" s="96"/>
      <c r="DM183" s="96"/>
      <c r="DN183" s="96"/>
      <c r="DO183" s="96"/>
      <c r="DP183" s="96"/>
      <c r="DQ183" s="96"/>
      <c r="DR183" s="96"/>
      <c r="DS183" s="96"/>
      <c r="DT183" s="96"/>
      <c r="DU183" s="96"/>
      <c r="DX183" s="2172"/>
    </row>
    <row r="184" spans="1:128" s="115" customFormat="1" ht="9.75" customHeight="1" x14ac:dyDescent="0.2">
      <c r="A184" s="518"/>
      <c r="B184" s="519"/>
      <c r="C184" s="519"/>
      <c r="D184" s="519"/>
      <c r="E184" s="519"/>
      <c r="F184" s="519"/>
      <c r="G184" s="520"/>
      <c r="H184" s="521"/>
      <c r="I184" s="522"/>
      <c r="J184" s="523"/>
      <c r="K184" s="21"/>
      <c r="L184" s="21"/>
      <c r="M184" s="21"/>
      <c r="N184" s="17"/>
      <c r="O184" s="97"/>
      <c r="P184" s="207"/>
      <c r="Q184" s="207"/>
      <c r="R184" s="207"/>
      <c r="S184" s="207"/>
      <c r="T184" s="207"/>
      <c r="U184" s="207"/>
      <c r="V184" s="207"/>
      <c r="W184" s="207"/>
      <c r="X184" s="207"/>
      <c r="Y184" s="207"/>
      <c r="AD184" s="216"/>
      <c r="AE184" s="216"/>
      <c r="AF184" s="216"/>
      <c r="AG184" s="216"/>
      <c r="AH184" s="216"/>
      <c r="AI184" s="216"/>
      <c r="AJ184" s="216"/>
      <c r="AK184" s="216"/>
      <c r="AL184" s="216"/>
      <c r="AM184" s="216"/>
      <c r="AN184" s="216"/>
      <c r="AO184" s="216"/>
      <c r="AP184" s="216"/>
      <c r="AQ184" s="216"/>
      <c r="AR184" s="216"/>
      <c r="AS184" s="216"/>
      <c r="AT184" s="216"/>
      <c r="AU184" s="216"/>
      <c r="AV184" s="216"/>
      <c r="AW184" s="217"/>
      <c r="AX184" s="207"/>
      <c r="AY184" s="207"/>
      <c r="AZ184" s="207"/>
      <c r="BA184" s="207"/>
      <c r="BB184" s="207"/>
      <c r="BC184" s="207"/>
      <c r="BD184" s="207"/>
      <c r="BE184" s="207"/>
      <c r="BF184" s="207"/>
      <c r="BG184" s="207"/>
      <c r="BH184" s="207"/>
      <c r="BI184" s="207"/>
      <c r="BJ184" s="207"/>
      <c r="BK184" s="160"/>
      <c r="BL184" s="657"/>
      <c r="BM184" s="160"/>
      <c r="BN184" s="160"/>
      <c r="BO184" s="160"/>
      <c r="BP184" s="160"/>
      <c r="BQ184" s="160"/>
      <c r="BR184" s="160"/>
      <c r="BS184" s="160"/>
      <c r="BT184" s="160"/>
      <c r="BU184" s="160"/>
      <c r="BV184" s="160"/>
      <c r="BW184" s="160"/>
      <c r="BX184" s="160"/>
      <c r="BY184" s="160"/>
      <c r="BZ184" s="160"/>
      <c r="CA184" s="160"/>
      <c r="CB184" s="160"/>
      <c r="CC184" s="160"/>
      <c r="CD184" s="160"/>
      <c r="CE184" s="160"/>
      <c r="CF184" s="2120"/>
      <c r="CG184" s="2120"/>
      <c r="CH184" s="2120"/>
      <c r="CI184" s="160"/>
      <c r="CO184" s="203"/>
      <c r="CP184" s="189"/>
      <c r="CQ184" s="160"/>
      <c r="CR184" s="160"/>
      <c r="CS184" s="160"/>
      <c r="CT184" s="160"/>
      <c r="CU184" s="96"/>
      <c r="CV184" s="96"/>
      <c r="CW184" s="96"/>
      <c r="CX184" s="96"/>
      <c r="CY184" s="96"/>
      <c r="CZ184" s="96"/>
      <c r="DA184" s="96"/>
      <c r="DB184" s="96"/>
      <c r="DC184" s="96"/>
      <c r="DD184" s="96"/>
      <c r="DE184" s="96"/>
      <c r="DF184" s="96"/>
      <c r="DG184" s="96"/>
      <c r="DH184" s="96"/>
      <c r="DI184" s="96"/>
      <c r="DJ184" s="96"/>
      <c r="DK184" s="96"/>
      <c r="DL184" s="96"/>
      <c r="DM184" s="96"/>
      <c r="DN184" s="96"/>
      <c r="DO184" s="96"/>
      <c r="DP184" s="96"/>
      <c r="DQ184" s="96"/>
      <c r="DR184" s="96"/>
      <c r="DS184" s="96"/>
      <c r="DT184" s="96"/>
      <c r="DU184" s="96"/>
      <c r="DX184" s="2172"/>
    </row>
    <row r="185" spans="1:128" s="115" customFormat="1" ht="17.25" customHeight="1" x14ac:dyDescent="0.25">
      <c r="A185" s="524" t="s">
        <v>679</v>
      </c>
      <c r="B185" s="519"/>
      <c r="C185" s="519"/>
      <c r="D185" s="519"/>
      <c r="E185" s="519"/>
      <c r="F185" s="519"/>
      <c r="G185" s="520"/>
      <c r="H185" s="521"/>
      <c r="I185" s="525" t="s">
        <v>739</v>
      </c>
      <c r="J185" s="523"/>
      <c r="K185" s="21"/>
      <c r="L185" s="21"/>
      <c r="M185" s="21"/>
      <c r="N185" s="17"/>
      <c r="O185" s="97"/>
      <c r="P185" s="207"/>
      <c r="Q185" s="207"/>
      <c r="R185" s="207"/>
      <c r="S185" s="207"/>
      <c r="T185" s="207"/>
      <c r="U185" s="207"/>
      <c r="V185" s="207"/>
      <c r="W185" s="207"/>
      <c r="X185" s="207"/>
      <c r="Y185" s="207"/>
      <c r="AD185" s="216"/>
      <c r="AE185" s="216"/>
      <c r="AF185" s="216"/>
      <c r="AG185" s="216"/>
      <c r="AH185" s="216"/>
      <c r="AI185" s="216"/>
      <c r="AJ185" s="216"/>
      <c r="AK185" s="216"/>
      <c r="AL185" s="216"/>
      <c r="AM185" s="216"/>
      <c r="AN185" s="216"/>
      <c r="AO185" s="216"/>
      <c r="AP185" s="216"/>
      <c r="AQ185" s="216"/>
      <c r="AR185" s="216"/>
      <c r="AS185" s="216"/>
      <c r="AT185" s="216"/>
      <c r="AU185" s="216"/>
      <c r="AV185" s="216"/>
      <c r="AW185" s="217"/>
      <c r="AX185" s="207"/>
      <c r="AY185" s="207"/>
      <c r="AZ185" s="207"/>
      <c r="BA185" s="207"/>
      <c r="BB185" s="207"/>
      <c r="BC185" s="207"/>
      <c r="BD185" s="207"/>
      <c r="BE185" s="207"/>
      <c r="BF185" s="207"/>
      <c r="BG185" s="207"/>
      <c r="BH185" s="207"/>
      <c r="BI185" s="207"/>
      <c r="BJ185" s="207"/>
      <c r="BK185" s="160"/>
      <c r="BL185" s="657"/>
      <c r="BM185" s="160"/>
      <c r="BN185" s="160"/>
      <c r="BO185" s="160"/>
      <c r="BP185" s="160"/>
      <c r="BQ185" s="160"/>
      <c r="BR185" s="160"/>
      <c r="BS185" s="160"/>
      <c r="BT185" s="160"/>
      <c r="BU185" s="160"/>
      <c r="BV185" s="160"/>
      <c r="BW185" s="160"/>
      <c r="BX185" s="160"/>
      <c r="BY185" s="160"/>
      <c r="BZ185" s="160"/>
      <c r="CA185" s="160"/>
      <c r="CB185" s="160"/>
      <c r="CC185" s="160"/>
      <c r="CD185" s="160"/>
      <c r="CE185" s="160"/>
      <c r="CF185" s="2120"/>
      <c r="CG185" s="2120"/>
      <c r="CH185" s="2120"/>
      <c r="CI185" s="160"/>
      <c r="CO185" s="203"/>
      <c r="CP185" s="189"/>
      <c r="CQ185" s="160"/>
      <c r="CR185" s="160"/>
      <c r="CS185" s="160"/>
      <c r="CT185" s="160"/>
      <c r="CU185" s="96"/>
      <c r="CV185" s="96"/>
      <c r="CW185" s="96"/>
      <c r="CX185" s="96"/>
      <c r="CY185" s="96"/>
      <c r="CZ185" s="96"/>
      <c r="DA185" s="96"/>
      <c r="DB185" s="96"/>
      <c r="DC185" s="96"/>
      <c r="DD185" s="96"/>
      <c r="DE185" s="96"/>
      <c r="DF185" s="96"/>
      <c r="DG185" s="96"/>
      <c r="DH185" s="96"/>
      <c r="DI185" s="96"/>
      <c r="DJ185" s="96"/>
      <c r="DK185" s="96"/>
      <c r="DL185" s="96"/>
      <c r="DM185" s="96"/>
      <c r="DN185" s="96"/>
      <c r="DO185" s="96"/>
      <c r="DP185" s="96"/>
      <c r="DQ185" s="96"/>
      <c r="DR185" s="96"/>
      <c r="DS185" s="96"/>
      <c r="DT185" s="96"/>
      <c r="DU185" s="96"/>
      <c r="DX185" s="2172"/>
    </row>
    <row r="186" spans="1:128" s="115" customFormat="1" ht="6.75" customHeight="1" thickBot="1" x14ac:dyDescent="0.25">
      <c r="A186" s="526"/>
      <c r="B186" s="527"/>
      <c r="C186" s="527"/>
      <c r="D186" s="527"/>
      <c r="E186" s="527"/>
      <c r="F186" s="527"/>
      <c r="G186" s="528"/>
      <c r="H186" s="529"/>
      <c r="I186" s="530"/>
      <c r="J186" s="531"/>
      <c r="K186" s="21"/>
      <c r="L186" s="21"/>
      <c r="M186" s="21"/>
      <c r="N186" s="17"/>
      <c r="O186" s="97"/>
      <c r="P186" s="207"/>
      <c r="Q186" s="207"/>
      <c r="R186" s="207"/>
      <c r="S186" s="207"/>
      <c r="T186" s="207"/>
      <c r="U186" s="207"/>
      <c r="V186" s="207"/>
      <c r="W186" s="207"/>
      <c r="X186" s="207"/>
      <c r="Y186" s="207"/>
      <c r="AD186" s="216"/>
      <c r="AE186" s="216"/>
      <c r="AF186" s="216"/>
      <c r="AG186" s="216"/>
      <c r="AH186" s="216"/>
      <c r="AI186" s="216"/>
      <c r="AJ186" s="216"/>
      <c r="AK186" s="216"/>
      <c r="AL186" s="216"/>
      <c r="AM186" s="216"/>
      <c r="AN186" s="216"/>
      <c r="AO186" s="216"/>
      <c r="AP186" s="216"/>
      <c r="AQ186" s="216"/>
      <c r="AR186" s="216"/>
      <c r="AS186" s="216"/>
      <c r="AT186" s="216"/>
      <c r="AU186" s="216"/>
      <c r="AV186" s="216"/>
      <c r="AW186" s="217"/>
      <c r="AX186" s="207"/>
      <c r="AY186" s="207"/>
      <c r="AZ186" s="207"/>
      <c r="BA186" s="207"/>
      <c r="BB186" s="207"/>
      <c r="BC186" s="207"/>
      <c r="BD186" s="207"/>
      <c r="BE186" s="207"/>
      <c r="BF186" s="207"/>
      <c r="BG186" s="207"/>
      <c r="BH186" s="207"/>
      <c r="BI186" s="207"/>
      <c r="BJ186" s="207"/>
      <c r="BK186" s="160"/>
      <c r="BL186" s="657"/>
      <c r="BM186" s="160"/>
      <c r="BN186" s="160"/>
      <c r="BO186" s="160"/>
      <c r="BP186" s="160"/>
      <c r="BQ186" s="160"/>
      <c r="BR186" s="160"/>
      <c r="BS186" s="160"/>
      <c r="BT186" s="160"/>
      <c r="BU186" s="160"/>
      <c r="BV186" s="160"/>
      <c r="BW186" s="160"/>
      <c r="BX186" s="160"/>
      <c r="BY186" s="160"/>
      <c r="BZ186" s="160"/>
      <c r="CA186" s="160"/>
      <c r="CB186" s="160"/>
      <c r="CC186" s="160"/>
      <c r="CD186" s="160"/>
      <c r="CE186" s="160"/>
      <c r="CF186" s="2120"/>
      <c r="CG186" s="2120"/>
      <c r="CH186" s="2120"/>
      <c r="CI186" s="160"/>
      <c r="CO186" s="203"/>
      <c r="CP186" s="189"/>
      <c r="CQ186" s="160"/>
      <c r="CR186" s="160"/>
      <c r="CS186" s="160"/>
      <c r="CT186" s="160"/>
      <c r="CU186" s="96"/>
      <c r="CV186" s="96"/>
      <c r="CW186" s="96"/>
      <c r="CX186" s="96"/>
      <c r="CY186" s="96"/>
      <c r="CZ186" s="96"/>
      <c r="DA186" s="96"/>
      <c r="DB186" s="96"/>
      <c r="DC186" s="96"/>
      <c r="DD186" s="96"/>
      <c r="DE186" s="96"/>
      <c r="DF186" s="96"/>
      <c r="DG186" s="96"/>
      <c r="DH186" s="96"/>
      <c r="DI186" s="96"/>
      <c r="DJ186" s="96"/>
      <c r="DK186" s="96"/>
      <c r="DL186" s="96"/>
      <c r="DM186" s="96"/>
      <c r="DN186" s="96"/>
      <c r="DO186" s="96"/>
      <c r="DP186" s="96"/>
      <c r="DQ186" s="96"/>
      <c r="DR186" s="96"/>
      <c r="DS186" s="96"/>
      <c r="DT186" s="96"/>
      <c r="DU186" s="96"/>
      <c r="DX186" s="2172"/>
    </row>
    <row r="187" spans="1:128" s="115" customFormat="1" ht="17.25" customHeight="1" x14ac:dyDescent="0.2">
      <c r="A187" s="2479" t="s">
        <v>580</v>
      </c>
      <c r="B187" s="2480"/>
      <c r="C187" s="2480"/>
      <c r="D187" s="2480"/>
      <c r="E187" s="2480"/>
      <c r="F187" s="2480"/>
      <c r="G187" s="2480"/>
      <c r="H187" s="2387">
        <f>+Q179</f>
        <v>0</v>
      </c>
      <c r="I187" s="2388"/>
      <c r="J187" s="2389"/>
      <c r="K187" s="21"/>
      <c r="L187" s="21"/>
      <c r="M187" s="21"/>
      <c r="N187" s="17"/>
      <c r="O187" s="97"/>
      <c r="P187" s="207"/>
      <c r="Q187" s="207"/>
      <c r="R187" s="207"/>
      <c r="S187" s="207"/>
      <c r="T187" s="207"/>
      <c r="U187" s="207"/>
      <c r="V187" s="207"/>
      <c r="W187" s="207"/>
      <c r="X187" s="207"/>
      <c r="Y187" s="207"/>
      <c r="AD187" s="216"/>
      <c r="AE187" s="216"/>
      <c r="AF187" s="216"/>
      <c r="AG187" s="216"/>
      <c r="AH187" s="216"/>
      <c r="AI187" s="216"/>
      <c r="AJ187" s="216"/>
      <c r="AK187" s="216"/>
      <c r="AL187" s="216"/>
      <c r="AM187" s="216"/>
      <c r="AN187" s="216"/>
      <c r="AO187" s="216"/>
      <c r="AP187" s="216"/>
      <c r="AQ187" s="216"/>
      <c r="AR187" s="216"/>
      <c r="AS187" s="216"/>
      <c r="AT187" s="216"/>
      <c r="AU187" s="216"/>
      <c r="AV187" s="216"/>
      <c r="AW187" s="217"/>
      <c r="AX187" s="207"/>
      <c r="AY187" s="207"/>
      <c r="AZ187" s="207"/>
      <c r="BA187" s="207"/>
      <c r="BB187" s="207"/>
      <c r="BC187" s="207"/>
      <c r="BD187" s="207"/>
      <c r="BE187" s="207"/>
      <c r="BF187" s="207"/>
      <c r="BG187" s="207"/>
      <c r="BH187" s="207"/>
      <c r="BI187" s="207"/>
      <c r="BJ187" s="207"/>
      <c r="BK187" s="160"/>
      <c r="BL187" s="657"/>
      <c r="BM187" s="160"/>
      <c r="BN187" s="160"/>
      <c r="BO187" s="160"/>
      <c r="BP187" s="160"/>
      <c r="BQ187" s="160"/>
      <c r="BR187" s="160"/>
      <c r="BS187" s="160"/>
      <c r="BT187" s="160"/>
      <c r="BU187" s="160"/>
      <c r="BV187" s="160"/>
      <c r="BW187" s="160"/>
      <c r="BX187" s="160"/>
      <c r="BY187" s="160"/>
      <c r="BZ187" s="160"/>
      <c r="CA187" s="160"/>
      <c r="CB187" s="160"/>
      <c r="CC187" s="160"/>
      <c r="CD187" s="160"/>
      <c r="CE187" s="160"/>
      <c r="CF187" s="2120"/>
      <c r="CG187" s="2120"/>
      <c r="CH187" s="2120"/>
      <c r="CI187" s="160"/>
      <c r="CO187" s="203"/>
      <c r="CP187" s="189"/>
      <c r="CQ187" s="160"/>
      <c r="CR187" s="160"/>
      <c r="CS187" s="160"/>
      <c r="CT187" s="160"/>
      <c r="CU187" s="96"/>
      <c r="CV187" s="96"/>
      <c r="CW187" s="96"/>
      <c r="CX187" s="96"/>
      <c r="CY187" s="96"/>
      <c r="CZ187" s="96"/>
      <c r="DA187" s="96"/>
      <c r="DB187" s="96"/>
      <c r="DC187" s="96"/>
      <c r="DD187" s="96"/>
      <c r="DE187" s="96"/>
      <c r="DF187" s="96"/>
      <c r="DG187" s="96"/>
      <c r="DH187" s="96"/>
      <c r="DI187" s="96"/>
      <c r="DJ187" s="96"/>
      <c r="DK187" s="96"/>
      <c r="DL187" s="96"/>
      <c r="DM187" s="96"/>
      <c r="DN187" s="96"/>
      <c r="DO187" s="96"/>
      <c r="DP187" s="96"/>
      <c r="DQ187" s="96"/>
      <c r="DR187" s="96"/>
      <c r="DS187" s="96"/>
      <c r="DT187" s="96"/>
      <c r="DU187" s="96"/>
      <c r="DX187" s="2172"/>
    </row>
    <row r="188" spans="1:128" s="115" customFormat="1" ht="17.25" customHeight="1" x14ac:dyDescent="0.2">
      <c r="A188" s="2481" t="s">
        <v>581</v>
      </c>
      <c r="B188" s="2482"/>
      <c r="C188" s="2482"/>
      <c r="D188" s="2482"/>
      <c r="E188" s="2482"/>
      <c r="F188" s="2482"/>
      <c r="G188" s="2482"/>
      <c r="H188" s="2390">
        <f>+H187*(100+H180)/100</f>
        <v>0</v>
      </c>
      <c r="I188" s="2391"/>
      <c r="J188" s="2392"/>
      <c r="K188" s="21"/>
      <c r="L188" s="21"/>
      <c r="M188" s="21"/>
      <c r="N188" s="17"/>
      <c r="O188" s="97"/>
      <c r="P188" s="207"/>
      <c r="Q188" s="207"/>
      <c r="R188" s="207"/>
      <c r="S188" s="207"/>
      <c r="T188" s="207"/>
      <c r="U188" s="207"/>
      <c r="V188" s="207"/>
      <c r="W188" s="207"/>
      <c r="X188" s="207"/>
      <c r="Y188" s="207"/>
      <c r="AD188" s="216"/>
      <c r="AE188" s="216"/>
      <c r="AF188" s="216"/>
      <c r="AG188" s="216"/>
      <c r="AH188" s="216"/>
      <c r="AI188" s="216"/>
      <c r="AJ188" s="216"/>
      <c r="AK188" s="216"/>
      <c r="AL188" s="216"/>
      <c r="AM188" s="216"/>
      <c r="AN188" s="216"/>
      <c r="AO188" s="216"/>
      <c r="AP188" s="216"/>
      <c r="AQ188" s="216"/>
      <c r="AR188" s="216"/>
      <c r="AS188" s="216"/>
      <c r="AT188" s="216"/>
      <c r="AU188" s="216"/>
      <c r="AV188" s="216"/>
      <c r="AW188" s="217"/>
      <c r="AX188" s="207"/>
      <c r="AY188" s="207"/>
      <c r="AZ188" s="207"/>
      <c r="BA188" s="207"/>
      <c r="BB188" s="207"/>
      <c r="BC188" s="207"/>
      <c r="BD188" s="207"/>
      <c r="BE188" s="207"/>
      <c r="BF188" s="207"/>
      <c r="BG188" s="207"/>
      <c r="BH188" s="207"/>
      <c r="BI188" s="207"/>
      <c r="BJ188" s="207"/>
      <c r="BK188" s="160"/>
      <c r="BL188" s="657"/>
      <c r="BM188" s="160"/>
      <c r="BN188" s="160"/>
      <c r="BO188" s="160"/>
      <c r="BP188" s="160"/>
      <c r="BQ188" s="160"/>
      <c r="BR188" s="160"/>
      <c r="BS188" s="160"/>
      <c r="BT188" s="160"/>
      <c r="BU188" s="160"/>
      <c r="BV188" s="160"/>
      <c r="BW188" s="160"/>
      <c r="BX188" s="160"/>
      <c r="BY188" s="160"/>
      <c r="BZ188" s="160"/>
      <c r="CA188" s="160"/>
      <c r="CB188" s="160"/>
      <c r="CC188" s="160"/>
      <c r="CD188" s="160"/>
      <c r="CE188" s="160"/>
      <c r="CF188" s="2120"/>
      <c r="CG188" s="2120"/>
      <c r="CH188" s="2120"/>
      <c r="CI188" s="160"/>
      <c r="CO188" s="203"/>
      <c r="CP188" s="189"/>
      <c r="CQ188" s="160"/>
      <c r="CR188" s="160"/>
      <c r="CS188" s="160"/>
      <c r="CT188" s="160"/>
      <c r="CU188" s="96"/>
      <c r="CV188" s="96"/>
      <c r="CW188" s="96"/>
      <c r="CX188" s="96"/>
      <c r="CY188" s="96"/>
      <c r="CZ188" s="96"/>
      <c r="DA188" s="96"/>
      <c r="DB188" s="96"/>
      <c r="DC188" s="96"/>
      <c r="DD188" s="96"/>
      <c r="DE188" s="96"/>
      <c r="DF188" s="96"/>
      <c r="DG188" s="96"/>
      <c r="DH188" s="96"/>
      <c r="DI188" s="96"/>
      <c r="DJ188" s="96"/>
      <c r="DK188" s="96"/>
      <c r="DL188" s="96"/>
      <c r="DM188" s="96"/>
      <c r="DN188" s="96"/>
      <c r="DO188" s="96"/>
      <c r="DP188" s="96"/>
      <c r="DQ188" s="96"/>
      <c r="DR188" s="96"/>
      <c r="DS188" s="96"/>
      <c r="DT188" s="96"/>
      <c r="DU188" s="96"/>
      <c r="DX188" s="2172"/>
    </row>
    <row r="189" spans="1:128" s="115" customFormat="1" ht="17.25" customHeight="1" thickBot="1" x14ac:dyDescent="0.25">
      <c r="A189" s="2477" t="s">
        <v>582</v>
      </c>
      <c r="B189" s="2478"/>
      <c r="C189" s="2478"/>
      <c r="D189" s="2478"/>
      <c r="E189" s="2478"/>
      <c r="F189" s="2478"/>
      <c r="G189" s="2478"/>
      <c r="H189" s="2380">
        <f>IF(H175+S179=0,0,IF(S179=0,"Eingabe Substrate!",H181+((H175+H176-U177)/9.97/(H178/100)/(S179/100))))</f>
        <v>0</v>
      </c>
      <c r="I189" s="2381"/>
      <c r="J189" s="2382"/>
      <c r="K189" s="21"/>
      <c r="L189" s="21"/>
      <c r="M189" s="21"/>
      <c r="N189" s="17"/>
      <c r="O189" s="97"/>
      <c r="P189" s="207" t="s">
        <v>1118</v>
      </c>
      <c r="Q189" s="207"/>
      <c r="R189" s="207"/>
      <c r="S189" s="207"/>
      <c r="T189" s="207"/>
      <c r="U189" s="207"/>
      <c r="V189" s="207"/>
      <c r="W189" s="207"/>
      <c r="X189" s="207"/>
      <c r="Y189" s="207"/>
      <c r="AD189" s="216"/>
      <c r="AE189" s="216"/>
      <c r="AF189" s="216"/>
      <c r="AG189" s="216"/>
      <c r="AH189" s="216"/>
      <c r="AI189" s="216"/>
      <c r="AJ189" s="216"/>
      <c r="AK189" s="216"/>
      <c r="AL189" s="216"/>
      <c r="AM189" s="216"/>
      <c r="AN189" s="216"/>
      <c r="AO189" s="216"/>
      <c r="AP189" s="216"/>
      <c r="AQ189" s="216"/>
      <c r="AR189" s="216"/>
      <c r="AS189" s="216"/>
      <c r="AT189" s="216"/>
      <c r="AU189" s="216"/>
      <c r="AV189" s="216"/>
      <c r="AW189" s="217"/>
      <c r="AX189" s="207"/>
      <c r="AY189" s="207"/>
      <c r="AZ189" s="207"/>
      <c r="BA189" s="207"/>
      <c r="BB189" s="207"/>
      <c r="BC189" s="207"/>
      <c r="BD189" s="207"/>
      <c r="BE189" s="207"/>
      <c r="BF189" s="207"/>
      <c r="BG189" s="207"/>
      <c r="BH189" s="207"/>
      <c r="BI189" s="207"/>
      <c r="BJ189" s="207"/>
      <c r="BK189" s="160"/>
      <c r="BL189" s="657"/>
      <c r="BM189" s="160"/>
      <c r="BN189" s="160"/>
      <c r="BO189" s="160"/>
      <c r="BP189" s="160"/>
      <c r="BQ189" s="160"/>
      <c r="BR189" s="160"/>
      <c r="BS189" s="160"/>
      <c r="BT189" s="160"/>
      <c r="BU189" s="160"/>
      <c r="BV189" s="160"/>
      <c r="BW189" s="160"/>
      <c r="BX189" s="160"/>
      <c r="BY189" s="160"/>
      <c r="BZ189" s="160"/>
      <c r="CA189" s="160"/>
      <c r="CB189" s="160"/>
      <c r="CC189" s="160"/>
      <c r="CD189" s="160"/>
      <c r="CE189" s="160"/>
      <c r="CF189" s="2120"/>
      <c r="CG189" s="2120"/>
      <c r="CH189" s="2120"/>
      <c r="CI189" s="160"/>
      <c r="CO189" s="203"/>
      <c r="CP189" s="189"/>
      <c r="CQ189" s="160"/>
      <c r="CR189" s="160"/>
      <c r="CS189" s="160"/>
      <c r="CT189" s="160"/>
      <c r="CU189" s="96"/>
      <c r="CV189" s="96"/>
      <c r="CW189" s="96"/>
      <c r="CX189" s="96"/>
      <c r="CY189" s="96"/>
      <c r="CZ189" s="96"/>
      <c r="DA189" s="96"/>
      <c r="DB189" s="96"/>
      <c r="DC189" s="96"/>
      <c r="DD189" s="96"/>
      <c r="DE189" s="96"/>
      <c r="DF189" s="96"/>
      <c r="DG189" s="96"/>
      <c r="DH189" s="96"/>
      <c r="DI189" s="96"/>
      <c r="DJ189" s="96"/>
      <c r="DK189" s="96"/>
      <c r="DL189" s="96"/>
      <c r="DM189" s="96"/>
      <c r="DN189" s="96"/>
      <c r="DO189" s="96"/>
      <c r="DP189" s="96"/>
      <c r="DQ189" s="96"/>
      <c r="DR189" s="96"/>
      <c r="DS189" s="96"/>
      <c r="DT189" s="96"/>
      <c r="DU189" s="96"/>
      <c r="DX189" s="2172"/>
    </row>
    <row r="190" spans="1:128" s="115" customFormat="1" ht="17.25" customHeight="1" x14ac:dyDescent="0.2">
      <c r="A190" s="2457" t="s">
        <v>568</v>
      </c>
      <c r="B190" s="2458"/>
      <c r="C190" s="2458"/>
      <c r="D190" s="2458"/>
      <c r="E190" s="2458"/>
      <c r="F190" s="2458"/>
      <c r="G190" s="2458"/>
      <c r="H190" s="2397">
        <f>IF(H188=0,IF(H189=0,0,H189/H188*100),H189/H188*100)</f>
        <v>0</v>
      </c>
      <c r="I190" s="2398"/>
      <c r="J190" s="2399"/>
      <c r="K190" s="21"/>
      <c r="L190" s="21"/>
      <c r="M190" s="21"/>
      <c r="N190" s="17"/>
      <c r="O190" s="97"/>
      <c r="P190" s="207">
        <v>90</v>
      </c>
      <c r="Q190" s="217" t="s">
        <v>1119</v>
      </c>
      <c r="R190" s="207"/>
      <c r="S190" s="207"/>
      <c r="T190" s="207"/>
      <c r="U190" s="207"/>
      <c r="V190" s="207"/>
      <c r="W190" s="207"/>
      <c r="X190" s="207"/>
      <c r="Y190" s="207"/>
      <c r="AD190" s="216"/>
      <c r="AE190" s="216"/>
      <c r="AF190" s="216"/>
      <c r="AG190" s="216"/>
      <c r="AH190" s="216"/>
      <c r="AI190" s="216"/>
      <c r="AJ190" s="216"/>
      <c r="AK190" s="216"/>
      <c r="AL190" s="216"/>
      <c r="AM190" s="216"/>
      <c r="AN190" s="216"/>
      <c r="AO190" s="216"/>
      <c r="AP190" s="216"/>
      <c r="AQ190" s="216"/>
      <c r="AR190" s="216"/>
      <c r="AS190" s="216"/>
      <c r="AT190" s="216"/>
      <c r="AU190" s="216"/>
      <c r="AV190" s="216"/>
      <c r="AW190" s="217"/>
      <c r="AX190" s="207"/>
      <c r="AY190" s="207"/>
      <c r="AZ190" s="207"/>
      <c r="BA190" s="207"/>
      <c r="BB190" s="207"/>
      <c r="BC190" s="207"/>
      <c r="BD190" s="207"/>
      <c r="BE190" s="207"/>
      <c r="BF190" s="207"/>
      <c r="BG190" s="207"/>
      <c r="BH190" s="207"/>
      <c r="BI190" s="207"/>
      <c r="BJ190" s="207"/>
      <c r="BK190" s="160"/>
      <c r="BL190" s="657"/>
      <c r="BM190" s="160"/>
      <c r="BN190" s="160"/>
      <c r="BO190" s="160"/>
      <c r="BP190" s="160"/>
      <c r="BQ190" s="160"/>
      <c r="BR190" s="160"/>
      <c r="BS190" s="160"/>
      <c r="BT190" s="160"/>
      <c r="BU190" s="160"/>
      <c r="BV190" s="160"/>
      <c r="BW190" s="160"/>
      <c r="BX190" s="160"/>
      <c r="BY190" s="160"/>
      <c r="BZ190" s="160"/>
      <c r="CA190" s="160"/>
      <c r="CB190" s="160"/>
      <c r="CC190" s="160"/>
      <c r="CD190" s="160"/>
      <c r="CE190" s="160"/>
      <c r="CF190" s="2120"/>
      <c r="CG190" s="2120"/>
      <c r="CH190" s="2120"/>
      <c r="CI190" s="160"/>
      <c r="CO190" s="203"/>
      <c r="CP190" s="189"/>
      <c r="CQ190" s="160"/>
      <c r="CR190" s="160"/>
      <c r="CS190" s="160"/>
      <c r="CT190" s="160"/>
      <c r="CU190" s="96"/>
      <c r="CV190" s="96"/>
      <c r="CW190" s="96"/>
      <c r="CX190" s="96"/>
      <c r="CY190" s="96"/>
      <c r="CZ190" s="96"/>
      <c r="DA190" s="96"/>
      <c r="DB190" s="96"/>
      <c r="DC190" s="96"/>
      <c r="DD190" s="96"/>
      <c r="DE190" s="96"/>
      <c r="DF190" s="96"/>
      <c r="DG190" s="96"/>
      <c r="DH190" s="96"/>
      <c r="DI190" s="96"/>
      <c r="DJ190" s="96"/>
      <c r="DK190" s="96"/>
      <c r="DL190" s="96"/>
      <c r="DM190" s="96"/>
      <c r="DN190" s="96"/>
      <c r="DO190" s="96"/>
      <c r="DP190" s="96"/>
      <c r="DQ190" s="96"/>
      <c r="DR190" s="96"/>
      <c r="DS190" s="96"/>
      <c r="DT190" s="96"/>
      <c r="DU190" s="96"/>
      <c r="DX190" s="2172"/>
    </row>
    <row r="191" spans="1:128" s="115" customFormat="1" ht="17.25" customHeight="1" thickBot="1" x14ac:dyDescent="0.25">
      <c r="A191" s="2475" t="s">
        <v>674</v>
      </c>
      <c r="B191" s="2476"/>
      <c r="C191" s="2476"/>
      <c r="D191" s="2476"/>
      <c r="E191" s="2476"/>
      <c r="F191" s="2476"/>
      <c r="G191" s="2476"/>
      <c r="H191" s="2427" t="str">
        <f>IF(H190=0," ",IF(H190&lt;P190,"nein",IF(H190&gt;P191,"nein","ja")))</f>
        <v xml:space="preserve"> </v>
      </c>
      <c r="I191" s="2428"/>
      <c r="J191" s="2429"/>
      <c r="K191" s="21"/>
      <c r="L191" s="21"/>
      <c r="M191" s="21"/>
      <c r="N191" s="17"/>
      <c r="O191" s="97"/>
      <c r="P191" s="853">
        <f>IF(H178&lt;=40,110,110-((H178-40)/40)*100)</f>
        <v>110</v>
      </c>
      <c r="Q191" s="217" t="s">
        <v>1120</v>
      </c>
      <c r="R191" s="207"/>
      <c r="S191" s="207"/>
      <c r="T191" s="207"/>
      <c r="U191" s="207"/>
      <c r="V191" s="207"/>
      <c r="W191" s="207"/>
      <c r="X191" s="207"/>
      <c r="Y191" s="207"/>
      <c r="AD191" s="216"/>
      <c r="AE191" s="216"/>
      <c r="AF191" s="216"/>
      <c r="AG191" s="216"/>
      <c r="AH191" s="216"/>
      <c r="AI191" s="216"/>
      <c r="AJ191" s="216"/>
      <c r="AK191" s="216"/>
      <c r="AL191" s="216"/>
      <c r="AM191" s="216"/>
      <c r="AN191" s="216"/>
      <c r="AO191" s="216"/>
      <c r="AP191" s="216"/>
      <c r="AQ191" s="216"/>
      <c r="AR191" s="216"/>
      <c r="AS191" s="216"/>
      <c r="AT191" s="216"/>
      <c r="AU191" s="216"/>
      <c r="AV191" s="216"/>
      <c r="AW191" s="217"/>
      <c r="AX191" s="207"/>
      <c r="AY191" s="207"/>
      <c r="AZ191" s="207"/>
      <c r="BA191" s="207"/>
      <c r="BB191" s="207"/>
      <c r="BC191" s="207"/>
      <c r="BD191" s="207"/>
      <c r="BE191" s="207"/>
      <c r="BF191" s="207"/>
      <c r="BG191" s="207"/>
      <c r="BH191" s="207"/>
      <c r="BI191" s="207"/>
      <c r="BJ191" s="207"/>
      <c r="BK191" s="160"/>
      <c r="BL191" s="657"/>
      <c r="BM191" s="160"/>
      <c r="BN191" s="160"/>
      <c r="BO191" s="160"/>
      <c r="BP191" s="160"/>
      <c r="BQ191" s="160"/>
      <c r="BR191" s="160"/>
      <c r="BS191" s="160"/>
      <c r="BT191" s="160"/>
      <c r="BU191" s="160"/>
      <c r="BV191" s="160"/>
      <c r="BW191" s="160"/>
      <c r="BX191" s="160"/>
      <c r="BY191" s="160"/>
      <c r="BZ191" s="160"/>
      <c r="CA191" s="160"/>
      <c r="CB191" s="160"/>
      <c r="CC191" s="160"/>
      <c r="CD191" s="160"/>
      <c r="CE191" s="160"/>
      <c r="CF191" s="2120"/>
      <c r="CG191" s="2120"/>
      <c r="CH191" s="2120"/>
      <c r="CI191" s="160"/>
      <c r="CO191" s="203"/>
      <c r="CP191" s="189"/>
      <c r="CQ191" s="160"/>
      <c r="CR191" s="160"/>
      <c r="CS191" s="160"/>
      <c r="CT191" s="160"/>
      <c r="CU191" s="96"/>
      <c r="CV191" s="96"/>
      <c r="CW191" s="96"/>
      <c r="CX191" s="96"/>
      <c r="CY191" s="96"/>
      <c r="CZ191" s="96"/>
      <c r="DA191" s="96"/>
      <c r="DB191" s="96"/>
      <c r="DC191" s="96"/>
      <c r="DD191" s="96"/>
      <c r="DE191" s="96"/>
      <c r="DF191" s="96"/>
      <c r="DG191" s="96"/>
      <c r="DH191" s="96"/>
      <c r="DI191" s="96"/>
      <c r="DJ191" s="96"/>
      <c r="DK191" s="96"/>
      <c r="DL191" s="96"/>
      <c r="DM191" s="96"/>
      <c r="DN191" s="96"/>
      <c r="DO191" s="96"/>
      <c r="DP191" s="96"/>
      <c r="DQ191" s="96"/>
      <c r="DR191" s="96"/>
      <c r="DS191" s="96"/>
      <c r="DT191" s="96"/>
      <c r="DU191" s="96"/>
      <c r="DX191" s="2172"/>
    </row>
    <row r="192" spans="1:128" s="115" customFormat="1" ht="17.25" customHeight="1" x14ac:dyDescent="0.25">
      <c r="A192" s="340"/>
      <c r="B192" s="340"/>
      <c r="C192" s="340"/>
      <c r="D192" s="340"/>
      <c r="E192" s="341"/>
      <c r="F192" s="343"/>
      <c r="G192" s="343"/>
      <c r="H192" s="21"/>
      <c r="I192" s="21"/>
      <c r="J192" s="21"/>
      <c r="K192" s="21"/>
      <c r="L192" s="21"/>
      <c r="M192" s="21"/>
      <c r="N192" s="17"/>
      <c r="O192" s="97"/>
      <c r="P192" s="872"/>
      <c r="Q192" s="207"/>
      <c r="R192" s="207"/>
      <c r="S192" s="207"/>
      <c r="T192" s="207"/>
      <c r="U192" s="207"/>
      <c r="V192" s="207"/>
      <c r="W192" s="207"/>
      <c r="X192" s="207"/>
      <c r="Y192" s="207"/>
      <c r="AD192" s="216"/>
      <c r="AE192" s="216"/>
      <c r="AF192" s="216"/>
      <c r="AG192" s="216"/>
      <c r="AH192" s="216"/>
      <c r="AI192" s="216"/>
      <c r="AJ192" s="216"/>
      <c r="AK192" s="216"/>
      <c r="AL192" s="216"/>
      <c r="AM192" s="216"/>
      <c r="AN192" s="216"/>
      <c r="AO192" s="216"/>
      <c r="AP192" s="216"/>
      <c r="AQ192" s="216"/>
      <c r="AR192" s="216"/>
      <c r="AS192" s="216"/>
      <c r="AT192" s="216"/>
      <c r="AU192" s="216"/>
      <c r="AV192" s="216"/>
      <c r="AW192" s="217"/>
      <c r="AX192" s="207"/>
      <c r="AY192" s="207"/>
      <c r="AZ192" s="207"/>
      <c r="BA192" s="207"/>
      <c r="BB192" s="207"/>
      <c r="BC192" s="207"/>
      <c r="BD192" s="207"/>
      <c r="BE192" s="207"/>
      <c r="BF192" s="207"/>
      <c r="BG192" s="207"/>
      <c r="BH192" s="207"/>
      <c r="BI192" s="207"/>
      <c r="BJ192" s="207"/>
      <c r="BK192" s="160"/>
      <c r="BL192" s="657"/>
      <c r="BM192" s="160"/>
      <c r="BN192" s="160"/>
      <c r="BO192" s="160"/>
      <c r="BP192" s="160"/>
      <c r="BQ192" s="160"/>
      <c r="BR192" s="160"/>
      <c r="BS192" s="160"/>
      <c r="BT192" s="160"/>
      <c r="BU192" s="160"/>
      <c r="BV192" s="160"/>
      <c r="BW192" s="160"/>
      <c r="BX192" s="160"/>
      <c r="BY192" s="160"/>
      <c r="BZ192" s="160"/>
      <c r="CA192" s="160"/>
      <c r="CB192" s="160"/>
      <c r="CC192" s="160"/>
      <c r="CD192" s="160"/>
      <c r="CE192" s="160"/>
      <c r="CF192" s="2120"/>
      <c r="CG192" s="2120"/>
      <c r="CH192" s="2120"/>
      <c r="CI192" s="160"/>
      <c r="CO192" s="203"/>
      <c r="CP192" s="189"/>
      <c r="CQ192" s="160"/>
      <c r="CR192" s="160"/>
      <c r="CS192" s="160"/>
      <c r="CT192" s="160"/>
      <c r="CU192" s="96"/>
      <c r="CV192" s="96"/>
      <c r="CW192" s="96"/>
      <c r="CX192" s="96"/>
      <c r="CY192" s="96"/>
      <c r="CZ192" s="96"/>
      <c r="DA192" s="96"/>
      <c r="DB192" s="96"/>
      <c r="DC192" s="96"/>
      <c r="DD192" s="96"/>
      <c r="DE192" s="96"/>
      <c r="DF192" s="96"/>
      <c r="DG192" s="96"/>
      <c r="DH192" s="96"/>
      <c r="DI192" s="96"/>
      <c r="DJ192" s="96"/>
      <c r="DK192" s="96"/>
      <c r="DL192" s="96"/>
      <c r="DM192" s="96"/>
      <c r="DN192" s="96"/>
      <c r="DO192" s="96"/>
      <c r="DP192" s="96"/>
      <c r="DQ192" s="96"/>
      <c r="DR192" s="96"/>
      <c r="DS192" s="96"/>
      <c r="DT192" s="96"/>
      <c r="DU192" s="96"/>
      <c r="DX192" s="2172"/>
    </row>
    <row r="193" spans="1:128" s="115" customFormat="1" ht="17.25" customHeight="1" x14ac:dyDescent="0.25">
      <c r="A193" s="340"/>
      <c r="B193" s="340"/>
      <c r="C193" s="340"/>
      <c r="D193" s="340"/>
      <c r="E193" s="341"/>
      <c r="F193" s="343"/>
      <c r="G193" s="343"/>
      <c r="H193" s="21"/>
      <c r="I193" s="21"/>
      <c r="J193" s="21"/>
      <c r="K193" s="21"/>
      <c r="L193" s="21"/>
      <c r="M193" s="21"/>
      <c r="N193" s="17"/>
      <c r="O193" s="97"/>
      <c r="P193" s="396"/>
      <c r="Q193" s="207"/>
      <c r="R193" s="207"/>
      <c r="S193" s="207"/>
      <c r="T193" s="207"/>
      <c r="U193" s="207"/>
      <c r="V193" s="207"/>
      <c r="W193" s="207"/>
      <c r="X193" s="207"/>
      <c r="Y193" s="207"/>
      <c r="AD193" s="216"/>
      <c r="AE193" s="216"/>
      <c r="AF193" s="216"/>
      <c r="AG193" s="216"/>
      <c r="AH193" s="216"/>
      <c r="AI193" s="216"/>
      <c r="AJ193" s="216"/>
      <c r="AK193" s="216"/>
      <c r="AL193" s="216"/>
      <c r="AM193" s="216"/>
      <c r="AN193" s="216"/>
      <c r="AO193" s="216"/>
      <c r="AP193" s="216"/>
      <c r="AQ193" s="216"/>
      <c r="AR193" s="216"/>
      <c r="AS193" s="216"/>
      <c r="AT193" s="216"/>
      <c r="AU193" s="216"/>
      <c r="AV193" s="216"/>
      <c r="AW193" s="217"/>
      <c r="AX193" s="207"/>
      <c r="AY193" s="207"/>
      <c r="AZ193" s="207"/>
      <c r="BA193" s="207"/>
      <c r="BB193" s="207"/>
      <c r="BC193" s="207"/>
      <c r="BD193" s="207"/>
      <c r="BE193" s="207"/>
      <c r="BF193" s="207"/>
      <c r="BG193" s="207"/>
      <c r="BH193" s="207"/>
      <c r="BI193" s="207"/>
      <c r="BJ193" s="207"/>
      <c r="BK193" s="160"/>
      <c r="BL193" s="657"/>
      <c r="BM193" s="160"/>
      <c r="BN193" s="160"/>
      <c r="BO193" s="160"/>
      <c r="BP193" s="160"/>
      <c r="BQ193" s="160"/>
      <c r="BR193" s="160"/>
      <c r="BS193" s="160"/>
      <c r="BT193" s="160"/>
      <c r="BU193" s="160"/>
      <c r="BV193" s="160"/>
      <c r="BW193" s="160"/>
      <c r="BX193" s="160"/>
      <c r="BY193" s="160"/>
      <c r="BZ193" s="160"/>
      <c r="CA193" s="160"/>
      <c r="CB193" s="160"/>
      <c r="CC193" s="160"/>
      <c r="CD193" s="160"/>
      <c r="CE193" s="160"/>
      <c r="CF193" s="2120"/>
      <c r="CG193" s="2120"/>
      <c r="CH193" s="2120"/>
      <c r="CI193" s="160"/>
      <c r="CO193" s="203"/>
      <c r="CP193" s="189"/>
      <c r="CQ193" s="160"/>
      <c r="CR193" s="160"/>
      <c r="CS193" s="160"/>
      <c r="CT193" s="160"/>
      <c r="CU193" s="96"/>
      <c r="CV193" s="96"/>
      <c r="CW193" s="96"/>
      <c r="CX193" s="96"/>
      <c r="CY193" s="96"/>
      <c r="CZ193" s="96"/>
      <c r="DA193" s="96"/>
      <c r="DB193" s="96"/>
      <c r="DC193" s="96"/>
      <c r="DD193" s="96"/>
      <c r="DE193" s="96"/>
      <c r="DF193" s="96"/>
      <c r="DG193" s="96"/>
      <c r="DH193" s="96"/>
      <c r="DI193" s="96"/>
      <c r="DJ193" s="96"/>
      <c r="DK193" s="96"/>
      <c r="DL193" s="96"/>
      <c r="DM193" s="96"/>
      <c r="DN193" s="96"/>
      <c r="DO193" s="96"/>
      <c r="DP193" s="96"/>
      <c r="DQ193" s="96"/>
      <c r="DR193" s="96"/>
      <c r="DS193" s="96"/>
      <c r="DT193" s="96"/>
      <c r="DU193" s="96"/>
      <c r="DX193" s="2172"/>
    </row>
    <row r="194" spans="1:128" s="115" customFormat="1" ht="17.25" customHeight="1" x14ac:dyDescent="0.25">
      <c r="A194" s="340"/>
      <c r="B194" s="340"/>
      <c r="C194" s="340"/>
      <c r="D194" s="340"/>
      <c r="E194" s="341"/>
      <c r="F194" s="343"/>
      <c r="G194" s="343"/>
      <c r="H194" s="21"/>
      <c r="I194" s="21"/>
      <c r="J194" s="21"/>
      <c r="K194" s="21"/>
      <c r="L194" s="21"/>
      <c r="M194" s="21"/>
      <c r="N194" s="17"/>
      <c r="O194" s="97"/>
      <c r="P194" s="207"/>
      <c r="Q194" s="207"/>
      <c r="R194" s="207"/>
      <c r="S194" s="207"/>
      <c r="T194" s="207"/>
      <c r="U194" s="207"/>
      <c r="V194" s="207"/>
      <c r="W194" s="207"/>
      <c r="X194" s="207"/>
      <c r="Y194" s="207"/>
      <c r="AD194" s="216"/>
      <c r="AE194" s="216"/>
      <c r="AF194" s="216"/>
      <c r="AG194" s="216"/>
      <c r="AH194" s="216"/>
      <c r="AI194" s="216"/>
      <c r="AJ194" s="216"/>
      <c r="AK194" s="216"/>
      <c r="AL194" s="216"/>
      <c r="AM194" s="216"/>
      <c r="AN194" s="216"/>
      <c r="AO194" s="216"/>
      <c r="AP194" s="216"/>
      <c r="AQ194" s="216"/>
      <c r="AR194" s="216"/>
      <c r="AS194" s="216"/>
      <c r="AT194" s="216"/>
      <c r="AU194" s="216"/>
      <c r="AV194" s="216"/>
      <c r="AW194" s="217"/>
      <c r="AX194" s="207"/>
      <c r="AY194" s="207"/>
      <c r="AZ194" s="207"/>
      <c r="BA194" s="207"/>
      <c r="BB194" s="207"/>
      <c r="BC194" s="207"/>
      <c r="BD194" s="207"/>
      <c r="BE194" s="207"/>
      <c r="BF194" s="207"/>
      <c r="BG194" s="207"/>
      <c r="BH194" s="207"/>
      <c r="BI194" s="207"/>
      <c r="BJ194" s="207"/>
      <c r="BK194" s="160"/>
      <c r="BL194" s="657"/>
      <c r="BM194" s="160"/>
      <c r="BN194" s="160"/>
      <c r="BO194" s="160"/>
      <c r="BP194" s="160"/>
      <c r="BQ194" s="160"/>
      <c r="BR194" s="160"/>
      <c r="BS194" s="160"/>
      <c r="BT194" s="160"/>
      <c r="BU194" s="160"/>
      <c r="BV194" s="160"/>
      <c r="BW194" s="160"/>
      <c r="BX194" s="160"/>
      <c r="BY194" s="160"/>
      <c r="BZ194" s="160"/>
      <c r="CA194" s="160"/>
      <c r="CB194" s="160"/>
      <c r="CC194" s="160"/>
      <c r="CD194" s="160"/>
      <c r="CE194" s="160"/>
      <c r="CF194" s="2120"/>
      <c r="CG194" s="2120"/>
      <c r="CH194" s="2120"/>
      <c r="CI194" s="160"/>
      <c r="CO194" s="203"/>
      <c r="CP194" s="189"/>
      <c r="CQ194" s="160"/>
      <c r="CR194" s="160"/>
      <c r="CS194" s="160"/>
      <c r="CT194" s="160"/>
      <c r="CU194" s="96"/>
      <c r="CV194" s="96"/>
      <c r="CW194" s="96"/>
      <c r="CX194" s="96"/>
      <c r="CY194" s="96"/>
      <c r="CZ194" s="96"/>
      <c r="DA194" s="96"/>
      <c r="DB194" s="96"/>
      <c r="DC194" s="96"/>
      <c r="DD194" s="96"/>
      <c r="DE194" s="96"/>
      <c r="DF194" s="96"/>
      <c r="DG194" s="96"/>
      <c r="DH194" s="96"/>
      <c r="DI194" s="96"/>
      <c r="DJ194" s="96"/>
      <c r="DK194" s="96"/>
      <c r="DL194" s="96"/>
      <c r="DM194" s="96"/>
      <c r="DN194" s="96"/>
      <c r="DO194" s="96"/>
      <c r="DP194" s="96"/>
      <c r="DQ194" s="96"/>
      <c r="DR194" s="96"/>
      <c r="DS194" s="96"/>
      <c r="DT194" s="96"/>
      <c r="DU194" s="96"/>
      <c r="DX194" s="2172"/>
    </row>
    <row r="195" spans="1:128" s="98" customFormat="1" ht="17.25" customHeight="1" x14ac:dyDescent="0.2">
      <c r="A195" s="20"/>
      <c r="B195" s="20"/>
      <c r="C195" s="20"/>
      <c r="D195" s="20"/>
      <c r="E195" s="20"/>
      <c r="F195" s="20"/>
      <c r="G195" s="20"/>
      <c r="H195" s="20"/>
      <c r="I195" s="20"/>
      <c r="J195" s="20"/>
      <c r="K195" s="20"/>
      <c r="L195" s="20"/>
      <c r="M195" s="20"/>
      <c r="N195" s="17"/>
      <c r="O195" s="97"/>
      <c r="P195" s="207"/>
      <c r="Q195" s="207"/>
      <c r="R195" s="207"/>
      <c r="S195" s="207"/>
      <c r="T195" s="207"/>
      <c r="U195" s="207"/>
      <c r="V195" s="207"/>
      <c r="W195" s="207"/>
      <c r="X195" s="207"/>
      <c r="Y195" s="207"/>
      <c r="AD195" s="216"/>
      <c r="AE195" s="216"/>
      <c r="AF195" s="216"/>
      <c r="AG195" s="216"/>
      <c r="AH195" s="216"/>
      <c r="AI195" s="216"/>
      <c r="AJ195" s="216"/>
      <c r="AK195" s="216"/>
      <c r="AL195" s="216"/>
      <c r="AM195" s="216"/>
      <c r="AN195" s="216"/>
      <c r="AO195" s="216"/>
      <c r="AP195" s="216"/>
      <c r="AQ195" s="216"/>
      <c r="AR195" s="216"/>
      <c r="AS195" s="216"/>
      <c r="AT195" s="216"/>
      <c r="AU195" s="216"/>
      <c r="AV195" s="216"/>
      <c r="AW195" s="217"/>
      <c r="AX195" s="207"/>
      <c r="AY195" s="207"/>
      <c r="AZ195" s="207"/>
      <c r="BA195" s="207"/>
      <c r="BB195" s="207"/>
      <c r="BC195" s="207"/>
      <c r="BD195" s="207"/>
      <c r="BE195" s="207"/>
      <c r="BF195" s="207"/>
      <c r="BG195" s="207"/>
      <c r="BH195" s="207"/>
      <c r="BI195" s="207"/>
      <c r="BJ195" s="207"/>
      <c r="BK195" s="160"/>
      <c r="BL195" s="657"/>
      <c r="BM195" s="160"/>
      <c r="BN195" s="160"/>
      <c r="BO195" s="160"/>
      <c r="BP195" s="160"/>
      <c r="BQ195" s="160"/>
      <c r="BR195" s="160"/>
      <c r="BS195" s="160"/>
      <c r="BT195" s="160"/>
      <c r="BU195" s="160"/>
      <c r="BV195" s="160"/>
      <c r="BW195" s="160"/>
      <c r="BX195" s="160"/>
      <c r="BY195" s="160"/>
      <c r="BZ195" s="160"/>
      <c r="CA195" s="160"/>
      <c r="CB195" s="160"/>
      <c r="CC195" s="160"/>
      <c r="CD195" s="160"/>
      <c r="CE195" s="160"/>
      <c r="CF195" s="2120"/>
      <c r="CG195" s="2120"/>
      <c r="CH195" s="2120"/>
      <c r="CI195" s="160"/>
      <c r="CO195" s="204"/>
      <c r="CP195" s="199"/>
      <c r="CQ195" s="160"/>
      <c r="CR195" s="160"/>
      <c r="CS195" s="160"/>
      <c r="CT195" s="160"/>
      <c r="CU195" s="96"/>
      <c r="CV195" s="96"/>
      <c r="CW195" s="96"/>
      <c r="CX195" s="96"/>
      <c r="CY195" s="96"/>
      <c r="CZ195" s="96"/>
      <c r="DA195" s="96"/>
      <c r="DB195" s="96"/>
      <c r="DC195" s="96"/>
      <c r="DD195" s="96"/>
      <c r="DE195" s="96"/>
      <c r="DF195" s="96"/>
      <c r="DG195" s="96"/>
      <c r="DH195" s="96"/>
      <c r="DI195" s="96"/>
      <c r="DJ195" s="96"/>
      <c r="DK195" s="96"/>
      <c r="DL195" s="96"/>
      <c r="DM195" s="96"/>
      <c r="DN195" s="96"/>
      <c r="DO195" s="96"/>
      <c r="DP195" s="96"/>
      <c r="DQ195" s="96"/>
      <c r="DR195" s="96"/>
      <c r="DS195" s="96"/>
      <c r="DT195" s="96"/>
      <c r="DU195" s="96"/>
      <c r="DX195" s="2172"/>
    </row>
    <row r="196" spans="1:128" s="98" customFormat="1" ht="17.25" customHeight="1" thickBot="1" x14ac:dyDescent="0.25">
      <c r="A196" s="20"/>
      <c r="B196" s="20"/>
      <c r="C196" s="20"/>
      <c r="D196" s="20"/>
      <c r="E196" s="20"/>
      <c r="F196" s="20"/>
      <c r="G196" s="20"/>
      <c r="H196" s="20"/>
      <c r="I196" s="20"/>
      <c r="J196" s="20"/>
      <c r="K196" s="20"/>
      <c r="L196" s="20"/>
      <c r="M196" s="20"/>
      <c r="N196" s="17"/>
      <c r="O196" s="97"/>
      <c r="P196" s="207"/>
      <c r="Q196" s="207"/>
      <c r="R196" s="207"/>
      <c r="S196" s="207"/>
      <c r="T196" s="207"/>
      <c r="U196" s="207"/>
      <c r="V196" s="207"/>
      <c r="W196" s="207"/>
      <c r="X196" s="207"/>
      <c r="Y196" s="207"/>
      <c r="AD196" s="216"/>
      <c r="AE196" s="216"/>
      <c r="AF196" s="216"/>
      <c r="AG196" s="216"/>
      <c r="AH196" s="216"/>
      <c r="AI196" s="216"/>
      <c r="AJ196" s="216"/>
      <c r="AK196" s="216"/>
      <c r="AL196" s="216"/>
      <c r="AM196" s="216"/>
      <c r="AN196" s="216"/>
      <c r="AO196" s="216"/>
      <c r="AP196" s="216"/>
      <c r="AQ196" s="216"/>
      <c r="AR196" s="216"/>
      <c r="AS196" s="216"/>
      <c r="AT196" s="216"/>
      <c r="AU196" s="216"/>
      <c r="AV196" s="216"/>
      <c r="AW196" s="217"/>
      <c r="AX196" s="207"/>
      <c r="AY196" s="207"/>
      <c r="AZ196" s="207"/>
      <c r="BA196" s="207"/>
      <c r="BB196" s="207"/>
      <c r="BC196" s="207"/>
      <c r="BD196" s="207"/>
      <c r="BE196" s="207"/>
      <c r="BF196" s="207"/>
      <c r="BG196" s="207"/>
      <c r="BH196" s="207"/>
      <c r="BI196" s="207"/>
      <c r="BJ196" s="207"/>
      <c r="BK196" s="160"/>
      <c r="BL196" s="657"/>
      <c r="BM196" s="160"/>
      <c r="BN196" s="160"/>
      <c r="BO196" s="160"/>
      <c r="BP196" s="160"/>
      <c r="BQ196" s="160"/>
      <c r="BR196" s="160"/>
      <c r="BS196" s="160"/>
      <c r="BT196" s="160"/>
      <c r="BU196" s="160"/>
      <c r="BV196" s="160"/>
      <c r="BW196" s="160"/>
      <c r="BX196" s="160"/>
      <c r="BY196" s="160"/>
      <c r="BZ196" s="160"/>
      <c r="CA196" s="160"/>
      <c r="CB196" s="160"/>
      <c r="CC196" s="160"/>
      <c r="CD196" s="160"/>
      <c r="CE196" s="160"/>
      <c r="CF196" s="2120"/>
      <c r="CG196" s="2120"/>
      <c r="CH196" s="2120"/>
      <c r="CI196" s="160"/>
      <c r="CO196" s="204"/>
      <c r="CP196" s="199"/>
      <c r="CQ196" s="160"/>
      <c r="CR196" s="160"/>
      <c r="CS196" s="160"/>
      <c r="CT196" s="160"/>
      <c r="CU196" s="96"/>
      <c r="CV196" s="96"/>
      <c r="CW196" s="96"/>
      <c r="CX196" s="96"/>
      <c r="CY196" s="96"/>
      <c r="CZ196" s="96"/>
      <c r="DA196" s="96"/>
      <c r="DB196" s="96"/>
      <c r="DC196" s="96"/>
      <c r="DD196" s="96"/>
      <c r="DE196" s="96"/>
      <c r="DF196" s="96"/>
      <c r="DG196" s="96"/>
      <c r="DH196" s="96"/>
      <c r="DI196" s="96"/>
      <c r="DJ196" s="96"/>
      <c r="DK196" s="96"/>
      <c r="DL196" s="96"/>
      <c r="DM196" s="96"/>
      <c r="DN196" s="96"/>
      <c r="DO196" s="96"/>
      <c r="DP196" s="96"/>
      <c r="DQ196" s="96"/>
      <c r="DR196" s="96"/>
      <c r="DS196" s="96"/>
      <c r="DT196" s="96"/>
      <c r="DU196" s="96"/>
      <c r="DX196" s="2172"/>
    </row>
    <row r="197" spans="1:128" s="98" customFormat="1" ht="17.25" customHeight="1" thickBot="1" x14ac:dyDescent="0.25">
      <c r="A197" s="643" t="s">
        <v>746</v>
      </c>
      <c r="B197" s="644"/>
      <c r="C197" s="644"/>
      <c r="D197" s="644"/>
      <c r="E197" s="644"/>
      <c r="F197" s="644"/>
      <c r="G197" s="644"/>
      <c r="H197" s="644"/>
      <c r="I197" s="644"/>
      <c r="J197" s="644"/>
      <c r="K197" s="644"/>
      <c r="L197" s="644"/>
      <c r="M197" s="645"/>
      <c r="N197" s="17"/>
      <c r="O197" s="97"/>
      <c r="P197" s="207"/>
      <c r="Q197" s="207"/>
      <c r="R197" s="207"/>
      <c r="S197" s="207"/>
      <c r="T197" s="207"/>
      <c r="U197" s="207"/>
      <c r="V197" s="207"/>
      <c r="W197" s="207"/>
      <c r="X197" s="207"/>
      <c r="Y197" s="207"/>
      <c r="AD197" s="216"/>
      <c r="AE197" s="216"/>
      <c r="AF197" s="216"/>
      <c r="AG197" s="216"/>
      <c r="AH197" s="216"/>
      <c r="AI197" s="216"/>
      <c r="AJ197" s="216"/>
      <c r="AK197" s="216"/>
      <c r="AL197" s="216"/>
      <c r="AM197" s="216"/>
      <c r="AN197" s="216"/>
      <c r="AO197" s="216"/>
      <c r="AP197" s="216"/>
      <c r="AQ197" s="216"/>
      <c r="AR197" s="216"/>
      <c r="AS197" s="216"/>
      <c r="AT197" s="216"/>
      <c r="AU197" s="216"/>
      <c r="AV197" s="216"/>
      <c r="AW197" s="217"/>
      <c r="AX197" s="207"/>
      <c r="AY197" s="207"/>
      <c r="AZ197" s="207"/>
      <c r="BA197" s="207"/>
      <c r="BB197" s="207"/>
      <c r="BC197" s="207"/>
      <c r="BD197" s="207"/>
      <c r="BE197" s="207"/>
      <c r="BF197" s="207"/>
      <c r="BG197" s="207"/>
      <c r="BH197" s="207"/>
      <c r="BI197" s="207"/>
      <c r="BJ197" s="207"/>
      <c r="BK197" s="160"/>
      <c r="BL197" s="657"/>
      <c r="BM197" s="160"/>
      <c r="BN197" s="160"/>
      <c r="BO197" s="160"/>
      <c r="BP197" s="160"/>
      <c r="BQ197" s="160"/>
      <c r="BR197" s="160"/>
      <c r="BS197" s="160"/>
      <c r="BT197" s="160"/>
      <c r="BU197" s="160"/>
      <c r="BV197" s="160"/>
      <c r="BW197" s="160"/>
      <c r="BX197" s="160"/>
      <c r="BY197" s="160"/>
      <c r="BZ197" s="160"/>
      <c r="CA197" s="160"/>
      <c r="CB197" s="160"/>
      <c r="CC197" s="160"/>
      <c r="CD197" s="160"/>
      <c r="CE197" s="160"/>
      <c r="CF197" s="2120"/>
      <c r="CG197" s="2120"/>
      <c r="CH197" s="2120"/>
      <c r="CI197" s="160"/>
      <c r="CO197" s="204"/>
      <c r="CP197" s="199"/>
      <c r="CQ197" s="160"/>
      <c r="CR197" s="160"/>
      <c r="CS197" s="160"/>
      <c r="CT197" s="160"/>
      <c r="CU197" s="96"/>
      <c r="CV197" s="96"/>
      <c r="CW197" s="96"/>
      <c r="CX197" s="96"/>
      <c r="CY197" s="96"/>
      <c r="CZ197" s="96"/>
      <c r="DA197" s="96"/>
      <c r="DB197" s="96"/>
      <c r="DC197" s="96"/>
      <c r="DD197" s="96"/>
      <c r="DE197" s="96"/>
      <c r="DF197" s="96"/>
      <c r="DG197" s="96"/>
      <c r="DH197" s="96"/>
      <c r="DI197" s="96"/>
      <c r="DJ197" s="96"/>
      <c r="DK197" s="96"/>
      <c r="DL197" s="96"/>
      <c r="DM197" s="96"/>
      <c r="DN197" s="96"/>
      <c r="DO197" s="96"/>
      <c r="DP197" s="96"/>
      <c r="DQ197" s="96"/>
      <c r="DR197" s="96"/>
      <c r="DS197" s="96"/>
      <c r="DT197" s="96"/>
      <c r="DU197" s="96"/>
      <c r="DX197" s="2172"/>
    </row>
    <row r="198" spans="1:128" s="98" customFormat="1" ht="17.25" customHeight="1" x14ac:dyDescent="0.2">
      <c r="A198" s="339" t="s">
        <v>723</v>
      </c>
      <c r="B198" s="20"/>
      <c r="C198" s="20"/>
      <c r="D198" s="20"/>
      <c r="E198" s="20"/>
      <c r="F198" s="20"/>
      <c r="G198" s="20"/>
      <c r="H198" s="20"/>
      <c r="I198" s="20"/>
      <c r="J198" s="20"/>
      <c r="K198" s="20"/>
      <c r="L198" s="20"/>
      <c r="M198" s="20"/>
      <c r="N198" s="17"/>
      <c r="O198" s="97"/>
      <c r="P198" s="207"/>
      <c r="Q198" s="207"/>
      <c r="R198" s="207"/>
      <c r="S198" s="207"/>
      <c r="T198" s="207"/>
      <c r="U198" s="207"/>
      <c r="V198" s="207"/>
      <c r="W198" s="207"/>
      <c r="X198" s="207"/>
      <c r="Y198" s="207"/>
      <c r="AD198" s="216"/>
      <c r="AE198" s="216"/>
      <c r="AF198" s="216"/>
      <c r="AG198" s="216"/>
      <c r="AH198" s="216"/>
      <c r="AI198" s="216"/>
      <c r="AJ198" s="216"/>
      <c r="AK198" s="216"/>
      <c r="AL198" s="216"/>
      <c r="AM198" s="216"/>
      <c r="AN198" s="216"/>
      <c r="AO198" s="216"/>
      <c r="AP198" s="216"/>
      <c r="AQ198" s="216"/>
      <c r="AR198" s="216"/>
      <c r="AS198" s="216"/>
      <c r="AT198" s="216"/>
      <c r="AU198" s="216"/>
      <c r="AV198" s="216"/>
      <c r="AW198" s="217"/>
      <c r="AX198" s="207"/>
      <c r="AY198" s="207"/>
      <c r="AZ198" s="207"/>
      <c r="BA198" s="207"/>
      <c r="BB198" s="207"/>
      <c r="BC198" s="207"/>
      <c r="BD198" s="207"/>
      <c r="BE198" s="207"/>
      <c r="BF198" s="207"/>
      <c r="BG198" s="207"/>
      <c r="BH198" s="207"/>
      <c r="BI198" s="207"/>
      <c r="BJ198" s="207"/>
      <c r="BK198" s="160"/>
      <c r="BL198" s="657"/>
      <c r="BM198" s="160"/>
      <c r="BN198" s="160"/>
      <c r="BO198" s="160"/>
      <c r="BP198" s="160"/>
      <c r="BQ198" s="160"/>
      <c r="BR198" s="160"/>
      <c r="BS198" s="160"/>
      <c r="BT198" s="160"/>
      <c r="BU198" s="160"/>
      <c r="BV198" s="160"/>
      <c r="BW198" s="160"/>
      <c r="BX198" s="160"/>
      <c r="BY198" s="160"/>
      <c r="BZ198" s="160"/>
      <c r="CA198" s="160"/>
      <c r="CB198" s="160"/>
      <c r="CC198" s="160"/>
      <c r="CD198" s="160"/>
      <c r="CE198" s="160"/>
      <c r="CF198" s="2120"/>
      <c r="CG198" s="2120"/>
      <c r="CH198" s="2120"/>
      <c r="CI198" s="160"/>
      <c r="CO198" s="204"/>
      <c r="CP198" s="199"/>
      <c r="CQ198" s="160"/>
      <c r="CR198" s="160"/>
      <c r="CS198" s="160"/>
      <c r="CT198" s="160"/>
      <c r="CU198" s="96"/>
      <c r="CV198" s="96"/>
      <c r="CW198" s="96"/>
      <c r="CX198" s="96"/>
      <c r="CY198" s="96"/>
      <c r="CZ198" s="96"/>
      <c r="DA198" s="96"/>
      <c r="DB198" s="96"/>
      <c r="DC198" s="96"/>
      <c r="DD198" s="96"/>
      <c r="DE198" s="96"/>
      <c r="DF198" s="96"/>
      <c r="DG198" s="96"/>
      <c r="DH198" s="96"/>
      <c r="DI198" s="96"/>
      <c r="DJ198" s="96"/>
      <c r="DK198" s="96"/>
      <c r="DL198" s="96"/>
      <c r="DM198" s="96"/>
      <c r="DN198" s="96"/>
      <c r="DO198" s="96"/>
      <c r="DP198" s="96"/>
      <c r="DQ198" s="96"/>
      <c r="DR198" s="96"/>
      <c r="DS198" s="96"/>
      <c r="DT198" s="96"/>
      <c r="DU198" s="96"/>
      <c r="DX198" s="2172"/>
    </row>
    <row r="199" spans="1:128" s="98" customFormat="1" ht="17.25" customHeight="1" x14ac:dyDescent="0.2">
      <c r="A199" s="20"/>
      <c r="B199" s="20"/>
      <c r="C199" s="20"/>
      <c r="D199" s="20"/>
      <c r="E199" s="20"/>
      <c r="F199" s="20"/>
      <c r="G199" s="20"/>
      <c r="H199" s="20"/>
      <c r="I199" s="20"/>
      <c r="J199" s="20"/>
      <c r="K199" s="20"/>
      <c r="L199" s="20"/>
      <c r="M199" s="20"/>
      <c r="N199" s="17"/>
      <c r="O199" s="97"/>
      <c r="P199" s="207"/>
      <c r="Q199" s="207"/>
      <c r="R199" s="207"/>
      <c r="S199" s="207"/>
      <c r="T199" s="207"/>
      <c r="U199" s="207"/>
      <c r="V199" s="207"/>
      <c r="W199" s="207"/>
      <c r="X199" s="207"/>
      <c r="Y199" s="207"/>
      <c r="AD199" s="216"/>
      <c r="AE199" s="216"/>
      <c r="AF199" s="216"/>
      <c r="AG199" s="216"/>
      <c r="AH199" s="216"/>
      <c r="AI199" s="216"/>
      <c r="AJ199" s="216"/>
      <c r="AK199" s="216"/>
      <c r="AL199" s="216"/>
      <c r="AM199" s="216"/>
      <c r="AN199" s="216"/>
      <c r="AO199" s="216"/>
      <c r="AP199" s="216"/>
      <c r="AQ199" s="216"/>
      <c r="AR199" s="216"/>
      <c r="AS199" s="216"/>
      <c r="AT199" s="216"/>
      <c r="AU199" s="216"/>
      <c r="AV199" s="216"/>
      <c r="AW199" s="217"/>
      <c r="AX199" s="207"/>
      <c r="AY199" s="207"/>
      <c r="AZ199" s="207"/>
      <c r="BA199" s="207"/>
      <c r="BB199" s="207"/>
      <c r="BC199" s="207"/>
      <c r="BD199" s="207"/>
      <c r="BE199" s="207"/>
      <c r="BF199" s="207"/>
      <c r="BG199" s="207"/>
      <c r="BH199" s="207"/>
      <c r="BI199" s="207"/>
      <c r="BJ199" s="207"/>
      <c r="BK199" s="160"/>
      <c r="BL199" s="657"/>
      <c r="BM199" s="160"/>
      <c r="BN199" s="160"/>
      <c r="BO199" s="160"/>
      <c r="BP199" s="160"/>
      <c r="BQ199" s="160"/>
      <c r="BR199" s="160"/>
      <c r="BS199" s="160"/>
      <c r="BT199" s="160"/>
      <c r="BU199" s="160"/>
      <c r="BV199" s="160"/>
      <c r="BW199" s="160"/>
      <c r="BX199" s="160"/>
      <c r="BY199" s="160"/>
      <c r="BZ199" s="160"/>
      <c r="CA199" s="160"/>
      <c r="CB199" s="160"/>
      <c r="CC199" s="160"/>
      <c r="CD199" s="160"/>
      <c r="CE199" s="160"/>
      <c r="CF199" s="2120"/>
      <c r="CG199" s="2120"/>
      <c r="CH199" s="2120"/>
      <c r="CI199" s="160"/>
      <c r="CO199" s="204"/>
      <c r="CP199" s="199"/>
      <c r="CQ199" s="160"/>
      <c r="CR199" s="160"/>
      <c r="CS199" s="160"/>
      <c r="CT199" s="160"/>
      <c r="CU199" s="96"/>
      <c r="CV199" s="96"/>
      <c r="CW199" s="96"/>
      <c r="CX199" s="96"/>
      <c r="CY199" s="96"/>
      <c r="CZ199" s="96"/>
      <c r="DA199" s="96"/>
      <c r="DB199" s="96"/>
      <c r="DC199" s="96"/>
      <c r="DD199" s="96"/>
      <c r="DE199" s="96"/>
      <c r="DF199" s="96"/>
      <c r="DG199" s="96"/>
      <c r="DH199" s="96"/>
      <c r="DI199" s="96"/>
      <c r="DJ199" s="96"/>
      <c r="DK199" s="96"/>
      <c r="DL199" s="96"/>
      <c r="DM199" s="96"/>
      <c r="DN199" s="96"/>
      <c r="DO199" s="96"/>
      <c r="DP199" s="96"/>
      <c r="DQ199" s="96"/>
      <c r="DR199" s="96"/>
      <c r="DS199" s="96"/>
      <c r="DT199" s="96"/>
      <c r="DU199" s="96"/>
      <c r="DX199" s="2172"/>
    </row>
    <row r="200" spans="1:128" s="98" customFormat="1" ht="16.5" customHeight="1" thickBot="1" x14ac:dyDescent="0.25">
      <c r="A200" s="20"/>
      <c r="B200" s="20"/>
      <c r="C200" s="20"/>
      <c r="D200" s="20"/>
      <c r="E200" s="20"/>
      <c r="F200" s="20"/>
      <c r="G200" s="20"/>
      <c r="H200" s="20"/>
      <c r="I200" s="20"/>
      <c r="J200" s="20"/>
      <c r="K200" s="20"/>
      <c r="L200" s="20"/>
      <c r="M200" s="20"/>
      <c r="N200" s="17"/>
      <c r="O200" s="97"/>
      <c r="P200" s="207"/>
      <c r="Q200" s="207"/>
      <c r="R200" s="207"/>
      <c r="S200" s="207"/>
      <c r="T200" s="207"/>
      <c r="U200" s="207"/>
      <c r="V200" s="207"/>
      <c r="W200" s="207"/>
      <c r="X200" s="207"/>
      <c r="Y200" s="207"/>
      <c r="AD200" s="216"/>
      <c r="AE200" s="216"/>
      <c r="AF200" s="216"/>
      <c r="AG200" s="216"/>
      <c r="AH200" s="216"/>
      <c r="AI200" s="216"/>
      <c r="AJ200" s="216"/>
      <c r="AK200" s="216"/>
      <c r="AL200" s="216"/>
      <c r="AM200" s="216"/>
      <c r="AN200" s="216"/>
      <c r="AO200" s="216"/>
      <c r="AP200" s="216"/>
      <c r="AQ200" s="216"/>
      <c r="AR200" s="216"/>
      <c r="AS200" s="216"/>
      <c r="AT200" s="216"/>
      <c r="AU200" s="216"/>
      <c r="AV200" s="216"/>
      <c r="AW200" s="217"/>
      <c r="AX200" s="207"/>
      <c r="AY200" s="207"/>
      <c r="AZ200" s="207"/>
      <c r="BA200" s="207"/>
      <c r="BB200" s="207"/>
      <c r="BC200" s="207"/>
      <c r="BD200" s="207"/>
      <c r="BE200" s="207"/>
      <c r="BF200" s="207"/>
      <c r="BG200" s="207"/>
      <c r="BH200" s="207"/>
      <c r="BI200" s="207"/>
      <c r="BJ200" s="207"/>
      <c r="BK200" s="160"/>
      <c r="BL200" s="657"/>
      <c r="BM200" s="160"/>
      <c r="BN200" s="160"/>
      <c r="BO200" s="160"/>
      <c r="BP200" s="160"/>
      <c r="BQ200" s="160"/>
      <c r="BR200" s="160"/>
      <c r="BS200" s="160"/>
      <c r="BT200" s="160"/>
      <c r="BU200" s="160"/>
      <c r="BV200" s="160"/>
      <c r="BW200" s="160"/>
      <c r="BX200" s="160"/>
      <c r="BY200" s="160"/>
      <c r="BZ200" s="160"/>
      <c r="CA200" s="160"/>
      <c r="CB200" s="160"/>
      <c r="CC200" s="160"/>
      <c r="CD200" s="160"/>
      <c r="CE200" s="160"/>
      <c r="CF200" s="2120"/>
      <c r="CG200" s="2120"/>
      <c r="CH200" s="2120"/>
      <c r="CI200" s="160"/>
      <c r="CO200" s="204"/>
      <c r="CP200" s="199"/>
      <c r="CQ200" s="160"/>
      <c r="CR200" s="160"/>
      <c r="CS200" s="160"/>
      <c r="CT200" s="160"/>
      <c r="CU200" s="96"/>
      <c r="CV200" s="96"/>
      <c r="CW200" s="96"/>
      <c r="CX200" s="96"/>
      <c r="CY200" s="96"/>
      <c r="CZ200" s="96"/>
      <c r="DA200" s="96"/>
      <c r="DB200" s="96"/>
      <c r="DC200" s="96"/>
      <c r="DD200" s="96"/>
      <c r="DE200" s="96"/>
      <c r="DF200" s="96"/>
      <c r="DG200" s="96"/>
      <c r="DH200" s="96"/>
      <c r="DI200" s="96"/>
      <c r="DJ200" s="96"/>
      <c r="DK200" s="96"/>
      <c r="DL200" s="96"/>
      <c r="DM200" s="96"/>
      <c r="DN200" s="96"/>
      <c r="DO200" s="96"/>
      <c r="DP200" s="96"/>
      <c r="DQ200" s="96"/>
      <c r="DR200" s="96"/>
      <c r="DS200" s="96"/>
      <c r="DT200" s="96"/>
      <c r="DU200" s="96"/>
      <c r="DX200" s="2172"/>
    </row>
    <row r="201" spans="1:128" s="98" customFormat="1" ht="17.25" customHeight="1" thickBot="1" x14ac:dyDescent="0.25">
      <c r="A201" s="643" t="s">
        <v>418</v>
      </c>
      <c r="B201" s="644"/>
      <c r="C201" s="644"/>
      <c r="D201" s="644"/>
      <c r="E201" s="644"/>
      <c r="F201" s="644"/>
      <c r="G201" s="644"/>
      <c r="H201" s="644"/>
      <c r="I201" s="644"/>
      <c r="J201" s="644"/>
      <c r="K201" s="644"/>
      <c r="L201" s="644"/>
      <c r="M201" s="645"/>
      <c r="N201" s="17"/>
      <c r="O201" s="97"/>
      <c r="P201" s="207"/>
      <c r="Q201" s="207"/>
      <c r="R201" s="207"/>
      <c r="S201" s="207"/>
      <c r="T201" s="207"/>
      <c r="U201" s="207"/>
      <c r="V201" s="207"/>
      <c r="W201" s="207"/>
      <c r="X201" s="207"/>
      <c r="Y201" s="207"/>
      <c r="AD201" s="216"/>
      <c r="AE201" s="216"/>
      <c r="AF201" s="216"/>
      <c r="AG201" s="216"/>
      <c r="AH201" s="216"/>
      <c r="AI201" s="216"/>
      <c r="AJ201" s="216"/>
      <c r="AK201" s="216"/>
      <c r="AL201" s="216"/>
      <c r="AM201" s="216"/>
      <c r="AN201" s="216"/>
      <c r="AO201" s="216"/>
      <c r="AP201" s="216"/>
      <c r="AQ201" s="216"/>
      <c r="AR201" s="216"/>
      <c r="AS201" s="216"/>
      <c r="AT201" s="216"/>
      <c r="AU201" s="216"/>
      <c r="AV201" s="216"/>
      <c r="AW201" s="217"/>
      <c r="AX201" s="207"/>
      <c r="AY201" s="207"/>
      <c r="AZ201" s="207"/>
      <c r="BA201" s="207"/>
      <c r="BB201" s="207"/>
      <c r="BC201" s="207"/>
      <c r="BD201" s="207"/>
      <c r="BE201" s="207"/>
      <c r="BF201" s="207"/>
      <c r="BG201" s="207"/>
      <c r="BH201" s="207"/>
      <c r="BI201" s="207"/>
      <c r="BJ201" s="207"/>
      <c r="BK201" s="160"/>
      <c r="BL201" s="657"/>
      <c r="BM201" s="160"/>
      <c r="BN201" s="160"/>
      <c r="BO201" s="160"/>
      <c r="BP201" s="160"/>
      <c r="BQ201" s="160"/>
      <c r="BR201" s="160"/>
      <c r="BS201" s="160"/>
      <c r="BT201" s="160"/>
      <c r="BU201" s="160"/>
      <c r="BV201" s="160"/>
      <c r="BW201" s="160"/>
      <c r="BX201" s="160"/>
      <c r="BY201" s="160"/>
      <c r="BZ201" s="160"/>
      <c r="CA201" s="160"/>
      <c r="CB201" s="160"/>
      <c r="CC201" s="160"/>
      <c r="CD201" s="160"/>
      <c r="CE201" s="160"/>
      <c r="CF201" s="2120"/>
      <c r="CG201" s="2120"/>
      <c r="CH201" s="2120"/>
      <c r="CI201" s="160"/>
      <c r="CO201" s="204"/>
      <c r="CP201" s="199"/>
      <c r="CQ201" s="160"/>
      <c r="CR201" s="160"/>
      <c r="CS201" s="160"/>
      <c r="CT201" s="160"/>
      <c r="CU201" s="96"/>
      <c r="CV201" s="96"/>
      <c r="CW201" s="96"/>
      <c r="CX201" s="96"/>
      <c r="CY201" s="96"/>
      <c r="CZ201" s="96"/>
      <c r="DA201" s="96"/>
      <c r="DB201" s="96"/>
      <c r="DC201" s="96"/>
      <c r="DD201" s="96"/>
      <c r="DE201" s="96"/>
      <c r="DF201" s="96"/>
      <c r="DG201" s="96"/>
      <c r="DH201" s="96"/>
      <c r="DI201" s="96"/>
      <c r="DJ201" s="96"/>
      <c r="DK201" s="96"/>
      <c r="DL201" s="96"/>
      <c r="DM201" s="96"/>
      <c r="DN201" s="96"/>
      <c r="DO201" s="96"/>
      <c r="DP201" s="96"/>
      <c r="DQ201" s="96"/>
      <c r="DR201" s="96"/>
      <c r="DS201" s="96"/>
      <c r="DT201" s="96"/>
      <c r="DU201" s="96"/>
      <c r="DX201" s="2172"/>
    </row>
    <row r="202" spans="1:128" s="98" customFormat="1" ht="17.25" customHeight="1" thickBot="1" x14ac:dyDescent="0.25">
      <c r="A202" s="415"/>
      <c r="B202" s="415"/>
      <c r="C202" s="415"/>
      <c r="D202" s="415"/>
      <c r="E202" s="415"/>
      <c r="F202" s="415"/>
      <c r="G202" s="415"/>
      <c r="H202" s="415"/>
      <c r="I202" s="415"/>
      <c r="J202" s="415"/>
      <c r="K202" s="415"/>
      <c r="L202" s="415"/>
      <c r="M202" s="415"/>
      <c r="N202" s="17"/>
      <c r="O202" s="97"/>
      <c r="P202" s="207"/>
      <c r="Q202" s="207"/>
      <c r="R202" s="207"/>
      <c r="S202" s="207"/>
      <c r="T202" s="207"/>
      <c r="U202" s="207"/>
      <c r="V202" s="207"/>
      <c r="W202" s="207"/>
      <c r="X202" s="207"/>
      <c r="Y202" s="207"/>
      <c r="AD202" s="216"/>
      <c r="AE202" s="216"/>
      <c r="AF202" s="216"/>
      <c r="AG202" s="216"/>
      <c r="AH202" s="216"/>
      <c r="AI202" s="216"/>
      <c r="AJ202" s="216"/>
      <c r="AK202" s="216"/>
      <c r="AL202" s="216"/>
      <c r="AM202" s="216"/>
      <c r="AN202" s="216"/>
      <c r="AO202" s="216"/>
      <c r="AP202" s="216"/>
      <c r="AQ202" s="216"/>
      <c r="AR202" s="216"/>
      <c r="AS202" s="216"/>
      <c r="AT202" s="216"/>
      <c r="AU202" s="216"/>
      <c r="AV202" s="216"/>
      <c r="AW202" s="217"/>
      <c r="AX202" s="207"/>
      <c r="AY202" s="207"/>
      <c r="AZ202" s="207"/>
      <c r="BA202" s="207"/>
      <c r="BB202" s="207"/>
      <c r="BC202" s="207"/>
      <c r="BD202" s="207"/>
      <c r="BE202" s="207"/>
      <c r="BF202" s="207"/>
      <c r="BG202" s="207"/>
      <c r="BH202" s="207"/>
      <c r="BI202" s="207"/>
      <c r="BJ202" s="207"/>
      <c r="BK202" s="160"/>
      <c r="BL202" s="657"/>
      <c r="BM202" s="160"/>
      <c r="BN202" s="160"/>
      <c r="BO202" s="160"/>
      <c r="BP202" s="160"/>
      <c r="BQ202" s="160"/>
      <c r="BR202" s="160"/>
      <c r="BS202" s="160"/>
      <c r="BT202" s="160"/>
      <c r="BU202" s="160"/>
      <c r="BV202" s="160"/>
      <c r="BW202" s="160"/>
      <c r="BX202" s="160"/>
      <c r="BY202" s="160"/>
      <c r="BZ202" s="160"/>
      <c r="CA202" s="160"/>
      <c r="CB202" s="160"/>
      <c r="CC202" s="160"/>
      <c r="CD202" s="160"/>
      <c r="CE202" s="160"/>
      <c r="CF202" s="2120"/>
      <c r="CG202" s="2120"/>
      <c r="CH202" s="2120"/>
      <c r="CI202" s="160"/>
      <c r="CO202" s="204"/>
      <c r="CP202" s="199"/>
      <c r="CQ202" s="160"/>
      <c r="CR202" s="160"/>
      <c r="CS202" s="160"/>
      <c r="CT202" s="160"/>
      <c r="CU202" s="96"/>
      <c r="CV202" s="96"/>
      <c r="CW202" s="96"/>
      <c r="CX202" s="96"/>
      <c r="CY202" s="96"/>
      <c r="CZ202" s="96"/>
      <c r="DA202" s="96"/>
      <c r="DB202" s="96"/>
      <c r="DC202" s="96"/>
      <c r="DD202" s="96"/>
      <c r="DE202" s="96"/>
      <c r="DF202" s="96"/>
      <c r="DG202" s="96"/>
      <c r="DH202" s="96"/>
      <c r="DI202" s="96"/>
      <c r="DJ202" s="96"/>
      <c r="DK202" s="96"/>
      <c r="DL202" s="96"/>
      <c r="DM202" s="96"/>
      <c r="DN202" s="96"/>
      <c r="DO202" s="96"/>
      <c r="DP202" s="96"/>
      <c r="DQ202" s="96"/>
      <c r="DR202" s="96"/>
      <c r="DS202" s="96"/>
      <c r="DT202" s="96"/>
      <c r="DU202" s="96"/>
      <c r="DX202" s="2172"/>
    </row>
    <row r="203" spans="1:128" s="98" customFormat="1" ht="17.25" customHeight="1" x14ac:dyDescent="0.2">
      <c r="A203" s="547"/>
      <c r="B203" s="2471" t="s">
        <v>567</v>
      </c>
      <c r="C203" s="2471"/>
      <c r="D203" s="549" t="s">
        <v>276</v>
      </c>
      <c r="E203" s="551" t="s">
        <v>4</v>
      </c>
      <c r="F203" s="552" t="s">
        <v>741</v>
      </c>
      <c r="G203" s="553" t="s">
        <v>209</v>
      </c>
      <c r="H203" s="549" t="s">
        <v>210</v>
      </c>
      <c r="I203" s="20"/>
      <c r="J203" s="20"/>
      <c r="K203" s="20"/>
      <c r="L203" s="20"/>
      <c r="M203" s="20"/>
      <c r="N203" s="17"/>
      <c r="O203" s="97"/>
      <c r="P203" s="207"/>
      <c r="Q203" s="207"/>
      <c r="R203" s="207"/>
      <c r="S203" s="207"/>
      <c r="T203" s="207"/>
      <c r="U203" s="207"/>
      <c r="V203" s="207"/>
      <c r="W203" s="207"/>
      <c r="X203" s="207"/>
      <c r="Y203" s="207"/>
      <c r="AD203" s="216"/>
      <c r="AE203" s="216"/>
      <c r="AF203" s="216"/>
      <c r="AG203" s="216"/>
      <c r="AH203" s="216"/>
      <c r="AI203" s="216"/>
      <c r="AJ203" s="216"/>
      <c r="AK203" s="216"/>
      <c r="AL203" s="216"/>
      <c r="AM203" s="216"/>
      <c r="AN203" s="216"/>
      <c r="AO203" s="216"/>
      <c r="AP203" s="216"/>
      <c r="AQ203" s="216"/>
      <c r="AR203" s="216"/>
      <c r="AS203" s="216"/>
      <c r="AT203" s="216"/>
      <c r="AU203" s="216"/>
      <c r="AV203" s="216"/>
      <c r="AW203" s="217"/>
      <c r="AX203" s="207"/>
      <c r="AY203" s="207"/>
      <c r="AZ203" s="207"/>
      <c r="BA203" s="207"/>
      <c r="BB203" s="207"/>
      <c r="BC203" s="207"/>
      <c r="BD203" s="207"/>
      <c r="BE203" s="207"/>
      <c r="BF203" s="207"/>
      <c r="BG203" s="207"/>
      <c r="BH203" s="207"/>
      <c r="BI203" s="207"/>
      <c r="BJ203" s="207"/>
      <c r="BK203" s="160"/>
      <c r="BL203" s="657"/>
      <c r="BM203" s="160"/>
      <c r="BN203" s="160"/>
      <c r="BO203" s="160"/>
      <c r="BP203" s="160"/>
      <c r="BQ203" s="160"/>
      <c r="BR203" s="160"/>
      <c r="BS203" s="160"/>
      <c r="BT203" s="160"/>
      <c r="BU203" s="160"/>
      <c r="BV203" s="160"/>
      <c r="BW203" s="160"/>
      <c r="BX203" s="160"/>
      <c r="BY203" s="160"/>
      <c r="BZ203" s="160"/>
      <c r="CA203" s="160"/>
      <c r="CB203" s="160"/>
      <c r="CC203" s="160"/>
      <c r="CD203" s="160"/>
      <c r="CE203" s="160"/>
      <c r="CF203" s="2120"/>
      <c r="CG203" s="2120"/>
      <c r="CH203" s="2120"/>
      <c r="CI203" s="160"/>
      <c r="CO203" s="204"/>
      <c r="CP203" s="199"/>
      <c r="CQ203" s="160"/>
      <c r="CR203" s="160"/>
      <c r="CS203" s="160"/>
      <c r="CT203" s="160"/>
      <c r="CU203" s="96"/>
      <c r="CV203" s="96"/>
      <c r="CW203" s="96"/>
      <c r="CX203" s="96"/>
      <c r="CY203" s="96"/>
      <c r="CZ203" s="96"/>
      <c r="DA203" s="96"/>
      <c r="DB203" s="96"/>
      <c r="DC203" s="96"/>
      <c r="DD203" s="96"/>
      <c r="DE203" s="96"/>
      <c r="DF203" s="96"/>
      <c r="DG203" s="96"/>
      <c r="DH203" s="96"/>
      <c r="DI203" s="96"/>
      <c r="DJ203" s="96"/>
      <c r="DK203" s="96"/>
      <c r="DL203" s="96"/>
      <c r="DM203" s="96"/>
      <c r="DN203" s="96"/>
      <c r="DO203" s="96"/>
      <c r="DP203" s="96"/>
      <c r="DQ203" s="96"/>
      <c r="DR203" s="96"/>
      <c r="DS203" s="96"/>
      <c r="DT203" s="96"/>
      <c r="DU203" s="96"/>
      <c r="DX203" s="2172"/>
    </row>
    <row r="204" spans="1:128" s="98" customFormat="1" ht="17.25" customHeight="1" x14ac:dyDescent="0.2">
      <c r="A204" s="548"/>
      <c r="B204" s="2395" t="s">
        <v>1</v>
      </c>
      <c r="C204" s="2395"/>
      <c r="D204" s="550" t="s">
        <v>2</v>
      </c>
      <c r="E204" s="2472" t="s">
        <v>1108</v>
      </c>
      <c r="F204" s="2473"/>
      <c r="G204" s="2473"/>
      <c r="H204" s="2474"/>
      <c r="I204" s="20"/>
      <c r="J204" s="20"/>
      <c r="K204" s="20"/>
      <c r="L204" s="20"/>
      <c r="M204" s="20"/>
      <c r="N204" s="17"/>
      <c r="O204" s="97"/>
      <c r="P204" s="207"/>
      <c r="Q204" s="207"/>
      <c r="R204" s="207"/>
      <c r="S204" s="207"/>
      <c r="T204" s="207"/>
      <c r="U204" s="207"/>
      <c r="V204" s="207"/>
      <c r="W204" s="207"/>
      <c r="X204" s="207"/>
      <c r="Y204" s="207"/>
      <c r="AD204" s="216"/>
      <c r="AE204" s="216"/>
      <c r="AF204" s="216"/>
      <c r="AG204" s="216"/>
      <c r="AH204" s="216"/>
      <c r="AI204" s="216"/>
      <c r="AJ204" s="216"/>
      <c r="AK204" s="216"/>
      <c r="AL204" s="216"/>
      <c r="AM204" s="216"/>
      <c r="AN204" s="216"/>
      <c r="AO204" s="216"/>
      <c r="AP204" s="216"/>
      <c r="AQ204" s="216"/>
      <c r="AR204" s="216"/>
      <c r="AS204" s="216"/>
      <c r="AT204" s="216"/>
      <c r="AU204" s="216"/>
      <c r="AV204" s="216"/>
      <c r="AW204" s="217"/>
      <c r="AX204" s="207"/>
      <c r="AY204" s="207"/>
      <c r="AZ204" s="207"/>
      <c r="BA204" s="207"/>
      <c r="BB204" s="207"/>
      <c r="BC204" s="207"/>
      <c r="BD204" s="207"/>
      <c r="BE204" s="207"/>
      <c r="BF204" s="207"/>
      <c r="BG204" s="207"/>
      <c r="BH204" s="207"/>
      <c r="BI204" s="207"/>
      <c r="BJ204" s="207"/>
      <c r="BK204" s="160"/>
      <c r="BL204" s="657"/>
      <c r="BM204" s="160"/>
      <c r="BN204" s="160"/>
      <c r="BO204" s="160"/>
      <c r="BP204" s="160"/>
      <c r="BQ204" s="160"/>
      <c r="BR204" s="160"/>
      <c r="BS204" s="160"/>
      <c r="BT204" s="160"/>
      <c r="BU204" s="160"/>
      <c r="BV204" s="160"/>
      <c r="BW204" s="160"/>
      <c r="BX204" s="160"/>
      <c r="BY204" s="160"/>
      <c r="BZ204" s="160"/>
      <c r="CA204" s="160"/>
      <c r="CB204" s="160"/>
      <c r="CC204" s="160"/>
      <c r="CD204" s="160"/>
      <c r="CE204" s="160"/>
      <c r="CF204" s="2120"/>
      <c r="CG204" s="2120"/>
      <c r="CH204" s="2120"/>
      <c r="CI204" s="160"/>
      <c r="CO204" s="204"/>
      <c r="CP204" s="199"/>
      <c r="CQ204" s="160"/>
      <c r="CR204" s="160"/>
      <c r="CS204" s="160"/>
      <c r="CT204" s="160"/>
      <c r="CU204" s="96"/>
      <c r="CV204" s="96"/>
      <c r="CW204" s="96"/>
      <c r="CX204" s="96"/>
      <c r="CY204" s="96"/>
      <c r="CZ204" s="96"/>
      <c r="DA204" s="96"/>
      <c r="DB204" s="96"/>
      <c r="DC204" s="96"/>
      <c r="DD204" s="96"/>
      <c r="DE204" s="96"/>
      <c r="DF204" s="96"/>
      <c r="DG204" s="96"/>
      <c r="DH204" s="96"/>
      <c r="DI204" s="96"/>
      <c r="DJ204" s="96"/>
      <c r="DK204" s="96"/>
      <c r="DL204" s="96"/>
      <c r="DM204" s="96"/>
      <c r="DN204" s="96"/>
      <c r="DO204" s="96"/>
      <c r="DP204" s="96"/>
      <c r="DQ204" s="96"/>
      <c r="DR204" s="96"/>
      <c r="DS204" s="96"/>
      <c r="DT204" s="96"/>
      <c r="DU204" s="96"/>
      <c r="DX204" s="2172"/>
    </row>
    <row r="205" spans="1:128" s="98" customFormat="1" ht="17.25" customHeight="1" thickBot="1" x14ac:dyDescent="0.25">
      <c r="A205" s="546" t="s">
        <v>566</v>
      </c>
      <c r="B205" s="2483">
        <f>+F41</f>
        <v>0</v>
      </c>
      <c r="C205" s="2483"/>
      <c r="D205" s="1408">
        <f>IF($F$41=0,0,J41/$F$41*100)</f>
        <v>0</v>
      </c>
      <c r="E205" s="1409">
        <f>IF($F$41=0,0,G41/$F$41*1000)</f>
        <v>0</v>
      </c>
      <c r="F205" s="1410">
        <f>+E25</f>
        <v>0</v>
      </c>
      <c r="G205" s="1410">
        <f>IF($F$41=0,0,H41/$F$41*1000)</f>
        <v>0</v>
      </c>
      <c r="H205" s="1408">
        <f>IF($F$41=0,0,I41/$F$41*1000)</f>
        <v>0</v>
      </c>
      <c r="I205" s="20"/>
      <c r="J205" s="20"/>
      <c r="K205" s="20"/>
      <c r="L205" s="20"/>
      <c r="M205" s="20"/>
      <c r="N205" s="17"/>
      <c r="O205" s="97"/>
      <c r="P205" s="207"/>
      <c r="Q205" s="207"/>
      <c r="R205" s="207"/>
      <c r="S205" s="207"/>
      <c r="T205" s="207"/>
      <c r="U205" s="207"/>
      <c r="V205" s="207"/>
      <c r="W205" s="207"/>
      <c r="X205" s="207"/>
      <c r="Y205" s="207"/>
      <c r="AD205" s="216"/>
      <c r="AE205" s="216"/>
      <c r="AF205" s="216"/>
      <c r="AG205" s="216"/>
      <c r="AH205" s="216"/>
      <c r="AI205" s="216"/>
      <c r="AJ205" s="216"/>
      <c r="AK205" s="216"/>
      <c r="AL205" s="216"/>
      <c r="AM205" s="216"/>
      <c r="AN205" s="216"/>
      <c r="AO205" s="216"/>
      <c r="AP205" s="216"/>
      <c r="AQ205" s="216"/>
      <c r="AR205" s="216"/>
      <c r="AS205" s="216"/>
      <c r="AT205" s="216"/>
      <c r="AU205" s="216"/>
      <c r="AV205" s="216"/>
      <c r="AW205" s="217"/>
      <c r="AX205" s="207"/>
      <c r="AY205" s="207"/>
      <c r="AZ205" s="207"/>
      <c r="BA205" s="207"/>
      <c r="BB205" s="207"/>
      <c r="BC205" s="207"/>
      <c r="BD205" s="207"/>
      <c r="BE205" s="207"/>
      <c r="BF205" s="207"/>
      <c r="BG205" s="207"/>
      <c r="BH205" s="207"/>
      <c r="BI205" s="207"/>
      <c r="BJ205" s="207"/>
      <c r="BK205" s="160"/>
      <c r="BL205" s="657"/>
      <c r="BM205" s="160"/>
      <c r="BN205" s="160"/>
      <c r="BO205" s="160"/>
      <c r="BP205" s="160"/>
      <c r="BQ205" s="160"/>
      <c r="BR205" s="160"/>
      <c r="BS205" s="160"/>
      <c r="BT205" s="160"/>
      <c r="BU205" s="160"/>
      <c r="BV205" s="160"/>
      <c r="BW205" s="160"/>
      <c r="BX205" s="160"/>
      <c r="BY205" s="160"/>
      <c r="BZ205" s="160"/>
      <c r="CA205" s="160"/>
      <c r="CB205" s="160"/>
      <c r="CC205" s="160"/>
      <c r="CD205" s="160"/>
      <c r="CE205" s="160"/>
      <c r="CF205" s="2120"/>
      <c r="CG205" s="2120"/>
      <c r="CH205" s="2120"/>
      <c r="CI205" s="160"/>
      <c r="CO205" s="204"/>
      <c r="CP205" s="199"/>
      <c r="CQ205" s="160"/>
      <c r="CR205" s="160"/>
      <c r="CS205" s="160"/>
      <c r="CT205" s="160"/>
      <c r="CU205" s="96"/>
      <c r="CV205" s="96"/>
      <c r="CW205" s="96"/>
      <c r="CX205" s="96"/>
      <c r="CY205" s="96"/>
      <c r="CZ205" s="96"/>
      <c r="DA205" s="96"/>
      <c r="DB205" s="96"/>
      <c r="DC205" s="96"/>
      <c r="DD205" s="96"/>
      <c r="DE205" s="96"/>
      <c r="DF205" s="96"/>
      <c r="DG205" s="96"/>
      <c r="DH205" s="96"/>
      <c r="DI205" s="96"/>
      <c r="DJ205" s="96"/>
      <c r="DK205" s="96"/>
      <c r="DL205" s="96"/>
      <c r="DM205" s="96"/>
      <c r="DN205" s="96"/>
      <c r="DO205" s="96"/>
      <c r="DP205" s="96"/>
      <c r="DQ205" s="96"/>
      <c r="DR205" s="96"/>
      <c r="DS205" s="96"/>
      <c r="DT205" s="96"/>
      <c r="DU205" s="96"/>
      <c r="DX205" s="2172"/>
    </row>
    <row r="206" spans="1:128" s="98" customFormat="1" ht="17.25" customHeight="1" thickBot="1" x14ac:dyDescent="0.25">
      <c r="A206" s="20"/>
      <c r="B206" s="1411"/>
      <c r="C206" s="1411"/>
      <c r="D206" s="1411"/>
      <c r="E206" s="1584">
        <f>IF(G34=0,0,(G35+AS156)/G34*100)</f>
        <v>0</v>
      </c>
      <c r="F206" s="1412"/>
      <c r="G206" s="1583">
        <f>IF(H34=0,0,(H35+AT156)/H34*100)</f>
        <v>0</v>
      </c>
      <c r="H206" s="1413"/>
      <c r="I206" s="2459" t="s">
        <v>705</v>
      </c>
      <c r="J206" s="2460"/>
      <c r="K206" s="2460"/>
      <c r="L206" s="2461"/>
      <c r="M206" s="20"/>
      <c r="N206" s="17"/>
      <c r="O206" s="97"/>
      <c r="P206" s="207"/>
      <c r="Q206" s="207"/>
      <c r="R206" s="207"/>
      <c r="S206" s="207"/>
      <c r="T206" s="207"/>
      <c r="U206" s="207"/>
      <c r="V206" s="207"/>
      <c r="W206" s="207"/>
      <c r="X206" s="207"/>
      <c r="Y206" s="207"/>
      <c r="AD206" s="216"/>
      <c r="AE206" s="216"/>
      <c r="AF206" s="216"/>
      <c r="AG206" s="216"/>
      <c r="AH206" s="216"/>
      <c r="AI206" s="216"/>
      <c r="AJ206" s="216"/>
      <c r="AK206" s="216"/>
      <c r="AL206" s="216"/>
      <c r="AM206" s="216"/>
      <c r="AN206" s="216"/>
      <c r="AO206" s="216"/>
      <c r="AP206" s="216"/>
      <c r="AQ206" s="216"/>
      <c r="AR206" s="216"/>
      <c r="AS206" s="216"/>
      <c r="AT206" s="216"/>
      <c r="AU206" s="216"/>
      <c r="AV206" s="216"/>
      <c r="AW206" s="217"/>
      <c r="AX206" s="207"/>
      <c r="AY206" s="207"/>
      <c r="AZ206" s="207"/>
      <c r="BA206" s="207"/>
      <c r="BB206" s="207"/>
      <c r="BC206" s="207"/>
      <c r="BD206" s="207"/>
      <c r="BE206" s="207"/>
      <c r="BF206" s="207"/>
      <c r="BG206" s="207"/>
      <c r="BH206" s="207"/>
      <c r="BI206" s="207"/>
      <c r="BJ206" s="207"/>
      <c r="BK206" s="160"/>
      <c r="BL206" s="657"/>
      <c r="BM206" s="160"/>
      <c r="BN206" s="160"/>
      <c r="BO206" s="160"/>
      <c r="BP206" s="160"/>
      <c r="BQ206" s="160"/>
      <c r="BR206" s="160"/>
      <c r="BS206" s="160"/>
      <c r="BT206" s="160"/>
      <c r="BU206" s="160"/>
      <c r="BV206" s="160"/>
      <c r="BW206" s="160"/>
      <c r="BX206" s="160"/>
      <c r="BY206" s="160"/>
      <c r="BZ206" s="160"/>
      <c r="CA206" s="160"/>
      <c r="CB206" s="160"/>
      <c r="CC206" s="160"/>
      <c r="CD206" s="160"/>
      <c r="CE206" s="160"/>
      <c r="CF206" s="2120"/>
      <c r="CG206" s="2120"/>
      <c r="CH206" s="2120"/>
      <c r="CI206" s="160"/>
      <c r="CO206" s="204"/>
      <c r="CP206" s="199"/>
      <c r="CQ206" s="160"/>
      <c r="CR206" s="160"/>
      <c r="CS206" s="160"/>
      <c r="CT206" s="160"/>
      <c r="CU206" s="96"/>
      <c r="CV206" s="96"/>
      <c r="CW206" s="96"/>
      <c r="CX206" s="96"/>
      <c r="CY206" s="96"/>
      <c r="CZ206" s="96"/>
      <c r="DA206" s="96"/>
      <c r="DB206" s="96"/>
      <c r="DC206" s="96"/>
      <c r="DD206" s="96"/>
      <c r="DE206" s="96"/>
      <c r="DF206" s="96"/>
      <c r="DG206" s="96"/>
      <c r="DH206" s="96"/>
      <c r="DI206" s="96"/>
      <c r="DJ206" s="96"/>
      <c r="DK206" s="96"/>
      <c r="DL206" s="96"/>
      <c r="DM206" s="96"/>
      <c r="DN206" s="96"/>
      <c r="DO206" s="96"/>
      <c r="DP206" s="96"/>
      <c r="DQ206" s="96"/>
      <c r="DR206" s="96"/>
      <c r="DS206" s="96"/>
      <c r="DT206" s="96"/>
      <c r="DU206" s="96"/>
      <c r="DX206" s="2172"/>
    </row>
    <row r="207" spans="1:128" s="98" customFormat="1" ht="17.25" customHeight="1" x14ac:dyDescent="0.2">
      <c r="A207" s="20"/>
      <c r="C207" s="20"/>
      <c r="D207" s="20"/>
      <c r="E207" s="20"/>
      <c r="F207" s="20"/>
      <c r="G207" s="20"/>
      <c r="H207" s="20"/>
      <c r="I207" s="20"/>
      <c r="J207" s="20"/>
      <c r="K207" s="20"/>
      <c r="L207" s="20"/>
      <c r="M207" s="20"/>
      <c r="N207" s="17"/>
      <c r="O207" s="97"/>
      <c r="P207" s="207"/>
      <c r="Q207" s="207"/>
      <c r="R207" s="207"/>
      <c r="S207" s="207"/>
      <c r="T207" s="207"/>
      <c r="U207" s="207"/>
      <c r="V207" s="207"/>
      <c r="W207" s="207"/>
      <c r="X207" s="207"/>
      <c r="Y207" s="207"/>
      <c r="AD207" s="216"/>
      <c r="AE207" s="216"/>
      <c r="AF207" s="216"/>
      <c r="AG207" s="216"/>
      <c r="AH207" s="216"/>
      <c r="AI207" s="216"/>
      <c r="AJ207" s="216"/>
      <c r="AK207" s="216"/>
      <c r="AL207" s="216"/>
      <c r="AM207" s="216"/>
      <c r="AN207" s="216"/>
      <c r="AO207" s="216"/>
      <c r="AP207" s="216"/>
      <c r="AQ207" s="216"/>
      <c r="AR207" s="216"/>
      <c r="AS207" s="216"/>
      <c r="AT207" s="216"/>
      <c r="AU207" s="216"/>
      <c r="AV207" s="216"/>
      <c r="AW207" s="217"/>
      <c r="AX207" s="207"/>
      <c r="AY207" s="207"/>
      <c r="AZ207" s="207"/>
      <c r="BA207" s="207"/>
      <c r="BB207" s="207"/>
      <c r="BC207" s="207"/>
      <c r="BD207" s="207"/>
      <c r="BE207" s="207"/>
      <c r="BF207" s="207"/>
      <c r="BG207" s="207"/>
      <c r="BH207" s="207"/>
      <c r="BI207" s="207"/>
      <c r="BJ207" s="207"/>
      <c r="BK207" s="160"/>
      <c r="BL207" s="657"/>
      <c r="BM207" s="160"/>
      <c r="BN207" s="160"/>
      <c r="BO207" s="160"/>
      <c r="BP207" s="160"/>
      <c r="BQ207" s="160"/>
      <c r="BR207" s="160"/>
      <c r="BS207" s="160"/>
      <c r="BT207" s="160"/>
      <c r="BU207" s="160"/>
      <c r="BV207" s="160"/>
      <c r="BW207" s="160"/>
      <c r="BX207" s="160"/>
      <c r="BY207" s="160"/>
      <c r="BZ207" s="160"/>
      <c r="CA207" s="160"/>
      <c r="CB207" s="160"/>
      <c r="CC207" s="160"/>
      <c r="CD207" s="160"/>
      <c r="CE207" s="160"/>
      <c r="CF207" s="2120"/>
      <c r="CG207" s="2120"/>
      <c r="CH207" s="2120"/>
      <c r="CI207" s="160"/>
      <c r="CO207" s="204"/>
      <c r="CP207" s="199"/>
      <c r="CQ207" s="160"/>
      <c r="CR207" s="160"/>
      <c r="CS207" s="160"/>
      <c r="CT207" s="160"/>
      <c r="CU207" s="96"/>
      <c r="CV207" s="96"/>
      <c r="CW207" s="96"/>
      <c r="CX207" s="96"/>
      <c r="CY207" s="96"/>
      <c r="CZ207" s="96"/>
      <c r="DA207" s="96"/>
      <c r="DB207" s="96"/>
      <c r="DC207" s="96"/>
      <c r="DD207" s="96"/>
      <c r="DE207" s="96"/>
      <c r="DF207" s="96"/>
      <c r="DG207" s="96"/>
      <c r="DH207" s="96"/>
      <c r="DI207" s="96"/>
      <c r="DJ207" s="96"/>
      <c r="DK207" s="96"/>
      <c r="DL207" s="96"/>
      <c r="DM207" s="96"/>
      <c r="DN207" s="96"/>
      <c r="DO207" s="96"/>
      <c r="DP207" s="96"/>
      <c r="DQ207" s="96"/>
      <c r="DR207" s="96"/>
      <c r="DS207" s="96"/>
      <c r="DT207" s="96"/>
      <c r="DU207" s="96"/>
      <c r="DX207" s="2172"/>
    </row>
    <row r="208" spans="1:128" s="98" customFormat="1" ht="15.75" customHeight="1" thickBot="1" x14ac:dyDescent="0.25">
      <c r="B208" s="20"/>
      <c r="H208" s="88"/>
      <c r="I208" s="88"/>
      <c r="J208" s="88"/>
      <c r="K208" s="88"/>
      <c r="L208" s="88"/>
      <c r="M208" s="88"/>
      <c r="N208" s="16"/>
      <c r="O208" s="96"/>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0"/>
      <c r="AU208" s="160"/>
      <c r="AV208" s="160"/>
      <c r="AW208" s="160"/>
      <c r="AX208" s="160"/>
      <c r="AY208" s="160"/>
      <c r="AZ208" s="160"/>
      <c r="BA208" s="160"/>
      <c r="BB208" s="160"/>
      <c r="BC208" s="160"/>
      <c r="BD208" s="160"/>
      <c r="BE208" s="160"/>
      <c r="BF208" s="160"/>
      <c r="BG208" s="160"/>
      <c r="BH208" s="160"/>
      <c r="BI208" s="160"/>
      <c r="BJ208" s="160"/>
      <c r="BK208" s="160"/>
      <c r="BL208" s="657"/>
      <c r="BM208" s="160"/>
      <c r="BN208" s="160"/>
      <c r="BO208" s="160"/>
      <c r="BP208" s="160"/>
      <c r="BQ208" s="160"/>
      <c r="BR208" s="160"/>
      <c r="BS208" s="160"/>
      <c r="BT208" s="160"/>
      <c r="BU208" s="160"/>
      <c r="BV208" s="160"/>
      <c r="BW208" s="160"/>
      <c r="BX208" s="160"/>
      <c r="CO208" s="204"/>
      <c r="CP208" s="218"/>
      <c r="CQ208" s="96"/>
      <c r="CR208" s="96"/>
      <c r="CS208" s="96"/>
      <c r="CT208" s="96"/>
      <c r="CU208" s="96"/>
      <c r="CV208" s="96"/>
      <c r="CW208" s="96"/>
      <c r="CX208" s="96"/>
      <c r="CY208" s="96"/>
      <c r="CZ208" s="96"/>
      <c r="DA208" s="96"/>
      <c r="DB208" s="96"/>
      <c r="DC208" s="96"/>
      <c r="DD208" s="96"/>
      <c r="DE208" s="96"/>
      <c r="DF208" s="96"/>
      <c r="DG208" s="96"/>
      <c r="DH208" s="96"/>
      <c r="DI208" s="96"/>
      <c r="DJ208" s="96"/>
      <c r="DK208" s="96"/>
      <c r="DL208" s="96"/>
      <c r="DM208" s="96"/>
      <c r="DN208" s="96"/>
      <c r="DO208" s="96"/>
      <c r="DP208" s="96"/>
      <c r="DQ208" s="96"/>
      <c r="DX208" s="2172"/>
    </row>
    <row r="209" spans="1:128" s="98" customFormat="1" ht="15.75" customHeight="1" thickBot="1" x14ac:dyDescent="0.25">
      <c r="A209" s="643" t="s">
        <v>789</v>
      </c>
      <c r="B209" s="644"/>
      <c r="C209" s="644"/>
      <c r="D209" s="644"/>
      <c r="E209" s="644"/>
      <c r="F209" s="644"/>
      <c r="G209" s="644"/>
      <c r="H209" s="644"/>
      <c r="I209" s="644"/>
      <c r="J209" s="644"/>
      <c r="K209" s="644"/>
      <c r="L209" s="644"/>
      <c r="M209" s="645"/>
      <c r="N209" s="16"/>
      <c r="O209" s="96"/>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c r="AM209" s="160"/>
      <c r="AN209" s="160"/>
      <c r="AO209" s="160"/>
      <c r="AP209" s="160"/>
      <c r="AQ209" s="160"/>
      <c r="AR209" s="160"/>
      <c r="AS209" s="160"/>
      <c r="AT209" s="160"/>
      <c r="AU209" s="160"/>
      <c r="AV209" s="160"/>
      <c r="AW209" s="160"/>
      <c r="AX209" s="160"/>
      <c r="AY209" s="160"/>
      <c r="AZ209" s="160"/>
      <c r="BA209" s="160"/>
      <c r="BB209" s="160"/>
      <c r="BC209" s="160"/>
      <c r="BD209" s="160"/>
      <c r="BE209" s="160"/>
      <c r="BF209" s="160"/>
      <c r="BG209" s="160"/>
      <c r="BH209" s="160"/>
      <c r="BI209" s="160"/>
      <c r="BJ209" s="160"/>
      <c r="BK209" s="160"/>
      <c r="BL209" s="657"/>
      <c r="BM209" s="160"/>
      <c r="BN209" s="160"/>
      <c r="BO209" s="160"/>
      <c r="BP209" s="160"/>
      <c r="BQ209" s="160"/>
      <c r="BR209" s="160"/>
      <c r="BS209" s="160"/>
      <c r="BT209" s="160"/>
      <c r="BU209" s="160"/>
      <c r="BV209" s="160"/>
      <c r="BW209" s="160"/>
      <c r="BX209" s="160"/>
      <c r="CO209" s="204"/>
      <c r="CP209" s="218"/>
      <c r="CQ209" s="96"/>
      <c r="CR209" s="96"/>
      <c r="CS209" s="96"/>
      <c r="CT209" s="96"/>
      <c r="CU209" s="96"/>
      <c r="CV209" s="96"/>
      <c r="CW209" s="96"/>
      <c r="CX209" s="96"/>
      <c r="CY209" s="96"/>
      <c r="CZ209" s="96"/>
      <c r="DA209" s="96"/>
      <c r="DB209" s="96"/>
      <c r="DC209" s="96"/>
      <c r="DD209" s="96"/>
      <c r="DE209" s="96"/>
      <c r="DF209" s="96"/>
      <c r="DG209" s="96"/>
      <c r="DH209" s="96"/>
      <c r="DI209" s="96"/>
      <c r="DJ209" s="96"/>
      <c r="DK209" s="96"/>
      <c r="DL209" s="96"/>
      <c r="DM209" s="96"/>
      <c r="DN209" s="96"/>
      <c r="DO209" s="96"/>
      <c r="DP209" s="96"/>
      <c r="DQ209" s="96"/>
      <c r="DX209" s="2172"/>
    </row>
    <row r="210" spans="1:128" s="98" customFormat="1" ht="15.75" customHeight="1" x14ac:dyDescent="0.2">
      <c r="H210" s="445"/>
      <c r="I210" s="89"/>
      <c r="J210" s="89"/>
      <c r="K210" s="89"/>
      <c r="L210" s="89"/>
      <c r="M210" s="89"/>
      <c r="N210" s="16"/>
      <c r="O210" s="96"/>
      <c r="P210" s="160"/>
      <c r="Q210" s="160"/>
      <c r="R210" s="160"/>
      <c r="S210" s="160"/>
      <c r="T210" s="160"/>
      <c r="U210" s="160"/>
      <c r="V210" s="160"/>
      <c r="W210" s="160"/>
      <c r="X210" s="160"/>
      <c r="Y210" s="160"/>
      <c r="Z210" s="160"/>
      <c r="AA210" s="160"/>
      <c r="AB210" s="160"/>
      <c r="AC210" s="160"/>
      <c r="AD210" s="160"/>
      <c r="AE210" s="160"/>
      <c r="AF210" s="160"/>
      <c r="AG210" s="160"/>
      <c r="AH210" s="160"/>
      <c r="AI210" s="160"/>
      <c r="AJ210" s="160"/>
      <c r="AK210" s="160"/>
      <c r="AL210" s="160"/>
      <c r="AM210" s="160"/>
      <c r="AN210" s="160"/>
      <c r="AO210" s="160"/>
      <c r="AP210" s="160"/>
      <c r="AQ210" s="160"/>
      <c r="AR210" s="160"/>
      <c r="AS210" s="160"/>
      <c r="AT210" s="160"/>
      <c r="AU210" s="160"/>
      <c r="AV210" s="160"/>
      <c r="AW210" s="160"/>
      <c r="AX210" s="160"/>
      <c r="AY210" s="160"/>
      <c r="AZ210" s="160"/>
      <c r="BA210" s="160"/>
      <c r="BB210" s="160"/>
      <c r="BC210" s="160"/>
      <c r="BD210" s="160"/>
      <c r="BE210" s="160"/>
      <c r="BF210" s="160"/>
      <c r="BG210" s="160"/>
      <c r="BH210" s="160"/>
      <c r="BI210" s="160"/>
      <c r="BJ210" s="160"/>
      <c r="BK210" s="160"/>
      <c r="BL210" s="657"/>
      <c r="BM210" s="160"/>
      <c r="BN210" s="160"/>
      <c r="BO210" s="160"/>
      <c r="BP210" s="160"/>
      <c r="BQ210" s="160"/>
      <c r="BR210" s="160"/>
      <c r="BS210" s="160"/>
      <c r="BT210" s="160"/>
      <c r="BU210" s="160"/>
      <c r="BV210" s="160"/>
      <c r="BW210" s="160"/>
      <c r="BX210" s="160"/>
      <c r="CO210" s="204"/>
      <c r="CP210" s="218"/>
      <c r="CQ210" s="96"/>
      <c r="CR210" s="96"/>
      <c r="CS210" s="96"/>
      <c r="CT210" s="96"/>
      <c r="CU210" s="96"/>
      <c r="CV210" s="96"/>
      <c r="CW210" s="96"/>
      <c r="CX210" s="96"/>
      <c r="CY210" s="96"/>
      <c r="CZ210" s="96"/>
      <c r="DA210" s="96"/>
      <c r="DB210" s="96"/>
      <c r="DC210" s="96"/>
      <c r="DD210" s="96"/>
      <c r="DE210" s="96"/>
      <c r="DF210" s="96"/>
      <c r="DG210" s="96"/>
      <c r="DH210" s="96"/>
      <c r="DI210" s="96"/>
      <c r="DJ210" s="96"/>
      <c r="DK210" s="96"/>
      <c r="DL210" s="96"/>
      <c r="DM210" s="96"/>
      <c r="DN210" s="96"/>
      <c r="DO210" s="96"/>
      <c r="DP210" s="96"/>
      <c r="DQ210" s="96"/>
      <c r="DX210" s="2172"/>
    </row>
    <row r="211" spans="1:128" s="98" customFormat="1" ht="15.75" customHeight="1" x14ac:dyDescent="0.2">
      <c r="A211" s="83"/>
      <c r="B211" s="84"/>
      <c r="C211" s="84"/>
      <c r="D211" s="87"/>
      <c r="E211" s="81"/>
      <c r="F211" s="81"/>
      <c r="G211" s="81"/>
      <c r="H211" s="87"/>
      <c r="I211" s="87"/>
      <c r="J211" s="87"/>
      <c r="K211" s="87"/>
      <c r="L211" s="81"/>
      <c r="M211" s="81"/>
      <c r="N211" s="16"/>
      <c r="O211" s="96"/>
      <c r="P211" s="160"/>
      <c r="Q211" s="660"/>
      <c r="S211" s="660"/>
      <c r="T211" s="660"/>
      <c r="U211" s="660"/>
      <c r="V211" s="660"/>
      <c r="W211" s="660"/>
      <c r="X211" s="660"/>
      <c r="Y211" s="660"/>
      <c r="Z211" s="660"/>
      <c r="AA211" s="660"/>
      <c r="AB211" s="160"/>
      <c r="AC211" s="160"/>
      <c r="AD211" s="160"/>
      <c r="AE211" s="160"/>
      <c r="AF211" s="160"/>
      <c r="AG211" s="160"/>
      <c r="AH211" s="160"/>
      <c r="AI211" s="160"/>
      <c r="AJ211" s="160"/>
      <c r="AK211" s="160"/>
      <c r="AL211" s="160"/>
      <c r="AM211" s="160"/>
      <c r="AN211" s="160"/>
      <c r="AO211" s="160"/>
      <c r="AP211" s="160"/>
      <c r="AQ211" s="160"/>
      <c r="AR211" s="160"/>
      <c r="AS211" s="160"/>
      <c r="AT211" s="160"/>
      <c r="AU211" s="160"/>
      <c r="AV211" s="160"/>
      <c r="AW211" s="160"/>
      <c r="AX211" s="160"/>
      <c r="AY211" s="160"/>
      <c r="AZ211" s="160"/>
      <c r="BA211" s="160"/>
      <c r="BB211" s="160"/>
      <c r="BC211" s="160"/>
      <c r="BD211" s="160"/>
      <c r="BE211" s="160"/>
      <c r="BF211" s="160"/>
      <c r="BG211" s="160"/>
      <c r="BH211" s="160"/>
      <c r="BI211" s="160"/>
      <c r="BJ211" s="160"/>
      <c r="BK211" s="160"/>
      <c r="BL211" s="657"/>
      <c r="BM211" s="160"/>
      <c r="BN211" s="160"/>
      <c r="BO211" s="160"/>
      <c r="BP211" s="160"/>
      <c r="BQ211" s="160"/>
      <c r="BR211" s="160"/>
      <c r="BS211" s="160"/>
      <c r="BT211" s="160"/>
      <c r="BU211" s="160"/>
      <c r="BV211" s="160"/>
      <c r="BW211" s="160"/>
      <c r="BX211" s="160"/>
      <c r="CO211" s="204"/>
      <c r="CP211" s="199"/>
      <c r="CQ211" s="96"/>
      <c r="CR211" s="96"/>
      <c r="CS211" s="96"/>
      <c r="CT211" s="96"/>
      <c r="CU211" s="96"/>
      <c r="CV211" s="96"/>
      <c r="CW211" s="96"/>
      <c r="CX211" s="96"/>
      <c r="CY211" s="96"/>
      <c r="CZ211" s="96"/>
      <c r="DA211" s="96"/>
      <c r="DB211" s="96"/>
      <c r="DC211" s="96"/>
      <c r="DD211" s="96"/>
      <c r="DE211" s="96"/>
      <c r="DF211" s="96"/>
      <c r="DG211" s="96"/>
      <c r="DH211" s="96"/>
      <c r="DI211" s="96"/>
      <c r="DJ211" s="96"/>
      <c r="DK211" s="96"/>
      <c r="DL211" s="96"/>
      <c r="DM211" s="96"/>
      <c r="DN211" s="96"/>
      <c r="DO211" s="96"/>
      <c r="DP211" s="96"/>
      <c r="DQ211" s="96"/>
      <c r="DX211" s="2172"/>
    </row>
    <row r="212" spans="1:128" s="98" customFormat="1" ht="15.75" customHeight="1" thickBot="1" x14ac:dyDescent="0.3">
      <c r="A212" s="80"/>
      <c r="B212" s="446"/>
      <c r="C212" s="446"/>
      <c r="D212" s="446"/>
      <c r="E212" s="446"/>
      <c r="F212" s="446"/>
      <c r="G212" s="446"/>
      <c r="H212" s="446"/>
      <c r="I212" s="446"/>
      <c r="J212" s="446"/>
      <c r="K212" s="446"/>
      <c r="L212" s="446"/>
      <c r="M212" s="446"/>
      <c r="N212" s="16"/>
      <c r="O212" s="96"/>
      <c r="P212" s="160"/>
      <c r="R212" s="660"/>
      <c r="S212" s="660"/>
      <c r="T212" s="660"/>
      <c r="U212" s="2432" t="s">
        <v>239</v>
      </c>
      <c r="V212" s="2432"/>
      <c r="W212" s="2432" t="s">
        <v>240</v>
      </c>
      <c r="X212" s="2432"/>
      <c r="Y212" s="660"/>
      <c r="Z212" s="660"/>
      <c r="AA212" s="660"/>
      <c r="AB212" s="160"/>
      <c r="AC212" s="160"/>
      <c r="AD212" s="160"/>
      <c r="AE212" s="160"/>
      <c r="AF212" s="160"/>
      <c r="AG212" s="160"/>
      <c r="AH212" s="160"/>
      <c r="AI212" s="160"/>
      <c r="AJ212" s="160"/>
      <c r="AK212" s="160"/>
      <c r="AL212" s="160"/>
      <c r="AM212" s="160"/>
      <c r="AN212" s="160"/>
      <c r="AO212" s="160"/>
      <c r="AP212" s="160"/>
      <c r="AQ212" s="160"/>
      <c r="AR212" s="160"/>
      <c r="AS212" s="160"/>
      <c r="AT212" s="160"/>
      <c r="AU212" s="160"/>
      <c r="AV212" s="160"/>
      <c r="AW212" s="160"/>
      <c r="AX212" s="160"/>
      <c r="AY212" s="160"/>
      <c r="AZ212" s="160"/>
      <c r="BA212" s="160"/>
      <c r="BB212" s="160"/>
      <c r="BC212" s="160"/>
      <c r="BD212" s="160"/>
      <c r="BE212" s="160"/>
      <c r="BF212" s="160"/>
      <c r="BG212" s="160"/>
      <c r="BH212" s="160"/>
      <c r="BI212" s="160"/>
      <c r="BJ212" s="160"/>
      <c r="BK212" s="160"/>
      <c r="BL212" s="657"/>
      <c r="BM212" s="160"/>
      <c r="BN212" s="160"/>
      <c r="BO212" s="160"/>
      <c r="BP212" s="160"/>
      <c r="BQ212" s="160"/>
      <c r="BR212" s="160"/>
      <c r="BS212" s="160"/>
      <c r="BT212" s="160"/>
      <c r="BU212" s="160"/>
      <c r="BV212" s="160"/>
      <c r="BW212" s="160"/>
      <c r="BX212" s="160"/>
      <c r="CO212" s="204"/>
      <c r="CP212" s="199"/>
      <c r="CQ212" s="96"/>
      <c r="CR212" s="96"/>
      <c r="CS212" s="96"/>
      <c r="CT212" s="96"/>
      <c r="CU212" s="96"/>
      <c r="CV212" s="96"/>
      <c r="CW212" s="96"/>
      <c r="CX212" s="96"/>
      <c r="CY212" s="96"/>
      <c r="CZ212" s="96"/>
      <c r="DA212" s="96"/>
      <c r="DB212" s="96"/>
      <c r="DC212" s="96"/>
      <c r="DD212" s="96"/>
      <c r="DE212" s="96"/>
      <c r="DF212" s="96"/>
      <c r="DG212" s="96"/>
      <c r="DH212" s="96"/>
      <c r="DI212" s="96"/>
      <c r="DJ212" s="96"/>
      <c r="DK212" s="96"/>
      <c r="DL212" s="96"/>
      <c r="DM212" s="96"/>
      <c r="DN212" s="96"/>
      <c r="DO212" s="96"/>
      <c r="DP212" s="96"/>
      <c r="DQ212" s="96"/>
      <c r="DX212" s="2172"/>
    </row>
    <row r="213" spans="1:128" s="98" customFormat="1" ht="15.75" customHeight="1" thickBot="1" x14ac:dyDescent="0.25">
      <c r="A213" s="85"/>
      <c r="B213" s="4"/>
      <c r="C213" s="4"/>
      <c r="D213" s="4"/>
      <c r="E213" s="4"/>
      <c r="F213" s="4"/>
      <c r="G213" s="4"/>
      <c r="H213" s="4"/>
      <c r="I213" s="4"/>
      <c r="J213" s="4"/>
      <c r="K213" s="4"/>
      <c r="L213" s="4"/>
      <c r="M213" s="4"/>
      <c r="N213" s="16"/>
      <c r="O213" s="96"/>
      <c r="P213" s="160"/>
      <c r="Q213" s="660"/>
      <c r="R213" s="660"/>
      <c r="S213" s="660"/>
      <c r="T213" s="660"/>
      <c r="U213" s="98" t="s">
        <v>897</v>
      </c>
      <c r="W213" s="2433" t="s">
        <v>897</v>
      </c>
      <c r="X213" s="2434"/>
      <c r="Y213" s="662"/>
      <c r="Z213" s="663" t="s">
        <v>898</v>
      </c>
      <c r="AA213" s="664"/>
      <c r="AB213" s="160"/>
      <c r="AC213" s="160"/>
      <c r="AD213" s="160"/>
      <c r="AE213" s="160"/>
      <c r="AF213" s="160"/>
      <c r="AG213" s="160"/>
      <c r="AH213" s="160"/>
      <c r="AI213" s="160"/>
      <c r="AJ213" s="160"/>
      <c r="AK213" s="160"/>
      <c r="AL213" s="160"/>
      <c r="AM213" s="160"/>
      <c r="AN213" s="160"/>
      <c r="AO213" s="160"/>
      <c r="AP213" s="160"/>
      <c r="AQ213" s="160"/>
      <c r="AR213" s="160"/>
      <c r="AS213" s="160"/>
      <c r="AT213" s="160"/>
      <c r="AU213" s="160"/>
      <c r="AV213" s="160"/>
      <c r="AW213" s="160"/>
      <c r="AX213" s="160"/>
      <c r="AY213" s="160"/>
      <c r="AZ213" s="160"/>
      <c r="BA213" s="160"/>
      <c r="BB213" s="160"/>
      <c r="BC213" s="160"/>
      <c r="BD213" s="160"/>
      <c r="BE213" s="160"/>
      <c r="BF213" s="160"/>
      <c r="BG213" s="160"/>
      <c r="BH213" s="160"/>
      <c r="BI213" s="160"/>
      <c r="BJ213" s="160"/>
      <c r="BK213" s="160"/>
      <c r="BL213" s="657"/>
      <c r="BM213" s="160"/>
      <c r="BN213" s="160"/>
      <c r="BO213" s="160"/>
      <c r="BP213" s="160"/>
      <c r="BQ213" s="160"/>
      <c r="BR213" s="160"/>
      <c r="BS213" s="160"/>
      <c r="BT213" s="160"/>
      <c r="BU213" s="160"/>
      <c r="BV213" s="160"/>
      <c r="BW213" s="160"/>
      <c r="BX213" s="160"/>
      <c r="CO213" s="204"/>
      <c r="CP213" s="199"/>
      <c r="CQ213" s="96"/>
      <c r="CR213" s="96"/>
      <c r="CS213" s="96"/>
      <c r="CT213" s="96"/>
      <c r="CU213" s="96"/>
      <c r="CV213" s="96"/>
      <c r="CW213" s="96"/>
      <c r="CX213" s="96"/>
      <c r="CY213" s="96"/>
      <c r="CZ213" s="96"/>
      <c r="DA213" s="96"/>
      <c r="DB213" s="96"/>
      <c r="DC213" s="96"/>
      <c r="DD213" s="96"/>
      <c r="DE213" s="96"/>
      <c r="DF213" s="96"/>
      <c r="DG213" s="96"/>
      <c r="DH213" s="96"/>
      <c r="DI213" s="96"/>
      <c r="DJ213" s="96"/>
      <c r="DK213" s="96"/>
      <c r="DL213" s="96"/>
      <c r="DM213" s="96"/>
      <c r="DN213" s="96"/>
      <c r="DO213" s="96"/>
      <c r="DP213" s="96"/>
      <c r="DQ213" s="96"/>
      <c r="DX213" s="2172"/>
    </row>
    <row r="214" spans="1:128" s="98" customFormat="1" ht="15.75" customHeight="1" thickBot="1" x14ac:dyDescent="0.3">
      <c r="A214" s="4"/>
      <c r="B214" s="121"/>
      <c r="C214" s="121"/>
      <c r="D214" s="135">
        <f>100-E214</f>
        <v>100</v>
      </c>
      <c r="E214" s="1540"/>
      <c r="F214" s="82" t="s">
        <v>291</v>
      </c>
      <c r="G214" s="121"/>
      <c r="H214" s="121"/>
      <c r="I214" s="121"/>
      <c r="J214" s="121"/>
      <c r="K214" s="121"/>
      <c r="L214" s="121"/>
      <c r="M214" s="121"/>
      <c r="N214" s="16"/>
      <c r="O214" s="96"/>
      <c r="P214" s="160"/>
      <c r="Q214" s="660" t="s">
        <v>432</v>
      </c>
      <c r="R214" s="660"/>
      <c r="S214" s="660" t="s">
        <v>899</v>
      </c>
      <c r="T214" s="660"/>
      <c r="U214" s="98" t="s">
        <v>276</v>
      </c>
      <c r="V214" s="98" t="s">
        <v>899</v>
      </c>
      <c r="W214" s="98" t="s">
        <v>276</v>
      </c>
      <c r="X214" s="660" t="s">
        <v>899</v>
      </c>
      <c r="Y214" s="665"/>
      <c r="Z214" s="660" t="s">
        <v>239</v>
      </c>
      <c r="AA214" s="666" t="s">
        <v>240</v>
      </c>
      <c r="AB214" s="160"/>
      <c r="AC214" s="160"/>
      <c r="AD214" s="160"/>
      <c r="AE214" s="160"/>
      <c r="AF214" s="160"/>
      <c r="AG214" s="160"/>
      <c r="AH214" s="160"/>
      <c r="AI214" s="160"/>
      <c r="AJ214" s="160"/>
      <c r="AK214" s="160"/>
      <c r="AL214" s="160"/>
      <c r="AM214" s="160"/>
      <c r="AN214" s="160"/>
      <c r="AO214" s="160"/>
      <c r="AP214" s="160"/>
      <c r="AQ214" s="160"/>
      <c r="AR214" s="160"/>
      <c r="AS214" s="160"/>
      <c r="AT214" s="160"/>
      <c r="AU214" s="160"/>
      <c r="AV214" s="160"/>
      <c r="AW214" s="160"/>
      <c r="AX214" s="160"/>
      <c r="AY214" s="160"/>
      <c r="AZ214" s="160"/>
      <c r="BA214" s="160"/>
      <c r="BB214" s="160"/>
      <c r="BC214" s="160"/>
      <c r="BD214" s="160"/>
      <c r="BE214" s="160"/>
      <c r="BF214" s="160"/>
      <c r="BG214" s="160"/>
      <c r="BH214" s="160"/>
      <c r="BI214" s="160"/>
      <c r="BJ214" s="160"/>
      <c r="BK214" s="160"/>
      <c r="BL214" s="657"/>
      <c r="BM214" s="160"/>
      <c r="BN214" s="160"/>
      <c r="BO214" s="160"/>
      <c r="BP214" s="160"/>
      <c r="BQ214" s="160"/>
      <c r="BR214" s="160"/>
      <c r="BS214" s="160"/>
      <c r="BT214" s="160"/>
      <c r="BU214" s="160"/>
      <c r="BV214" s="160"/>
      <c r="BW214" s="160"/>
      <c r="BX214" s="160"/>
      <c r="CO214" s="204"/>
      <c r="CP214" s="199"/>
      <c r="CQ214" s="96"/>
      <c r="CR214" s="96"/>
      <c r="CS214" s="96"/>
      <c r="CT214" s="96"/>
      <c r="CU214" s="96"/>
      <c r="CV214" s="96"/>
      <c r="CW214" s="96"/>
      <c r="CX214" s="96"/>
      <c r="CY214" s="96"/>
      <c r="CZ214" s="96"/>
      <c r="DA214" s="96"/>
      <c r="DB214" s="96"/>
      <c r="DC214" s="96"/>
      <c r="DD214" s="96"/>
      <c r="DE214" s="96"/>
      <c r="DF214" s="96"/>
      <c r="DG214" s="96"/>
      <c r="DH214" s="96"/>
      <c r="DI214" s="96"/>
      <c r="DJ214" s="96"/>
      <c r="DK214" s="96"/>
      <c r="DL214" s="96"/>
      <c r="DM214" s="96"/>
      <c r="DN214" s="96"/>
      <c r="DO214" s="96"/>
      <c r="DP214" s="96"/>
      <c r="DQ214" s="96"/>
      <c r="DX214" s="2172"/>
    </row>
    <row r="215" spans="1:128" s="98" customFormat="1" ht="15.75" customHeight="1" x14ac:dyDescent="0.25">
      <c r="A215" s="85"/>
      <c r="B215" s="121"/>
      <c r="C215" s="121"/>
      <c r="D215" s="86"/>
      <c r="E215" s="81"/>
      <c r="F215" s="82"/>
      <c r="G215" s="121"/>
      <c r="H215" s="121"/>
      <c r="I215" s="121"/>
      <c r="J215" s="121"/>
      <c r="K215" s="121"/>
      <c r="L215" s="121"/>
      <c r="M215" s="121"/>
      <c r="N215" s="16"/>
      <c r="O215" s="96"/>
      <c r="P215" s="160"/>
      <c r="Q215" s="660">
        <v>30</v>
      </c>
      <c r="R215" s="660"/>
      <c r="S215" s="660">
        <f>100-Q215</f>
        <v>70</v>
      </c>
      <c r="T215" s="667"/>
      <c r="U215" s="660">
        <f>IF(OR(D205="0,00",B205=0,E214=0),0,B205*E214/100*E205*Q215/100/(B205*E214/100*D205/100)*F229*F230/100)</f>
        <v>0</v>
      </c>
      <c r="V215" s="668">
        <f>IF(OR(D205="0,00",B205=0,E214=0),0,B205*E214/100*E205*S215/100/(B205*E214/100*(1-(D205/100)))*F229*(1-(F230/100)))</f>
        <v>0</v>
      </c>
      <c r="W215" s="668">
        <f>IF(OR(D205="0,00",B205=0,E214=0),0,B205*E214/100*E205*Q215/100/(B205*E214/100*D205/100)*K229*K230/100)</f>
        <v>0</v>
      </c>
      <c r="X215" s="667">
        <f>IF(OR(D205="0,00",B205=0,E214=0),0,B205*E214/100*E205*S215/100/(B205*E214/100*(1-(D205/100)))*K229*(1-(K230/100)))</f>
        <v>0</v>
      </c>
      <c r="Y215" s="669" t="s">
        <v>4</v>
      </c>
      <c r="Z215" s="98">
        <f>IF($F$229=0,0,(U215+V215)/$F$229)</f>
        <v>0</v>
      </c>
      <c r="AA215" s="666" t="e">
        <f>IF($K$229=0,0,(W215+X215)/$K$229)</f>
        <v>#DIV/0!</v>
      </c>
      <c r="AB215" s="160"/>
      <c r="AC215" s="160"/>
      <c r="AD215" s="160"/>
      <c r="AE215" s="160"/>
      <c r="AF215" s="160"/>
      <c r="AG215" s="160"/>
      <c r="AH215" s="160"/>
      <c r="AI215" s="160"/>
      <c r="AJ215" s="160"/>
      <c r="AK215" s="160"/>
      <c r="AL215" s="160"/>
      <c r="AM215" s="160"/>
      <c r="AN215" s="160"/>
      <c r="AO215" s="160"/>
      <c r="AP215" s="160"/>
      <c r="AQ215" s="160"/>
      <c r="AR215" s="160"/>
      <c r="AS215" s="160"/>
      <c r="AT215" s="160"/>
      <c r="AU215" s="160"/>
      <c r="AV215" s="160"/>
      <c r="AW215" s="160"/>
      <c r="AX215" s="160"/>
      <c r="AY215" s="160"/>
      <c r="AZ215" s="160"/>
      <c r="BA215" s="160"/>
      <c r="BB215" s="160"/>
      <c r="BC215" s="160"/>
      <c r="BD215" s="160"/>
      <c r="BE215" s="160"/>
      <c r="BF215" s="160"/>
      <c r="BG215" s="160"/>
      <c r="BH215" s="160"/>
      <c r="BI215" s="160"/>
      <c r="BJ215" s="160"/>
      <c r="BK215" s="160"/>
      <c r="BL215" s="657"/>
      <c r="BM215" s="160"/>
      <c r="BN215" s="160"/>
      <c r="BO215" s="160"/>
      <c r="BP215" s="160"/>
      <c r="BQ215" s="160"/>
      <c r="BR215" s="160"/>
      <c r="BS215" s="160"/>
      <c r="BT215" s="160"/>
      <c r="BU215" s="160"/>
      <c r="BV215" s="160"/>
      <c r="BW215" s="160"/>
      <c r="BX215" s="160"/>
      <c r="CO215" s="204"/>
      <c r="CP215" s="199"/>
      <c r="CQ215" s="96"/>
      <c r="CR215" s="96"/>
      <c r="CS215" s="96"/>
      <c r="CT215" s="96"/>
      <c r="CU215" s="96"/>
      <c r="CV215" s="96"/>
      <c r="CW215" s="96"/>
      <c r="CX215" s="96"/>
      <c r="CY215" s="96"/>
      <c r="CZ215" s="96"/>
      <c r="DA215" s="96"/>
      <c r="DB215" s="96"/>
      <c r="DC215" s="96"/>
      <c r="DD215" s="96"/>
      <c r="DE215" s="96"/>
      <c r="DF215" s="96"/>
      <c r="DG215" s="96"/>
      <c r="DH215" s="96"/>
      <c r="DI215" s="96"/>
      <c r="DJ215" s="96"/>
      <c r="DK215" s="96"/>
      <c r="DL215" s="96"/>
      <c r="DM215" s="96"/>
      <c r="DN215" s="96"/>
      <c r="DO215" s="96"/>
      <c r="DP215" s="96"/>
      <c r="DQ215" s="96"/>
      <c r="DX215" s="2172"/>
    </row>
    <row r="216" spans="1:128" s="98" customFormat="1" ht="15.75" customHeight="1" x14ac:dyDescent="0.25">
      <c r="A216" s="85"/>
      <c r="B216" s="121"/>
      <c r="C216" s="121"/>
      <c r="D216" s="86"/>
      <c r="E216" s="81"/>
      <c r="F216" s="82"/>
      <c r="G216" s="121"/>
      <c r="H216" s="121"/>
      <c r="I216" s="121"/>
      <c r="J216" s="121"/>
      <c r="K216" s="121"/>
      <c r="L216" s="121"/>
      <c r="M216" s="121"/>
      <c r="N216" s="16"/>
      <c r="O216" s="96"/>
      <c r="P216" s="160"/>
      <c r="Q216" s="670">
        <v>10</v>
      </c>
      <c r="R216" s="660"/>
      <c r="S216" s="1142">
        <f t="shared" ref="S216:S218" si="230">100-Q216</f>
        <v>90</v>
      </c>
      <c r="T216" s="667"/>
      <c r="U216" s="668">
        <f>IF(OR(D205="0,00",B205=0,E214=0),0,B205*E214/100*F205*Q216/100/(B205*E214/100*D205/100)*F229*F230/100)</f>
        <v>0</v>
      </c>
      <c r="V216" s="668">
        <f>IF(OR(D205="0,00",B205=0,E214=0),0,B205*E214/100*F205*S216/100/(B205*E214/100*(1-(D205/100)))*F229*(1-(F230/100)))</f>
        <v>0</v>
      </c>
      <c r="W216" s="668">
        <f>IF(OR(D205="0,00",B205=0,E214=0),0,B205*E214/100*F205*Q216/100/(B205*E214/100*D205/100)*K229*K230/100)</f>
        <v>0</v>
      </c>
      <c r="X216" s="667">
        <f>IF(OR(D205="0,00",B205=0,E214=0),0,B205*E214/100*F205*S216/100/(B205*E214/100*(1-(D205/100)))*K229*(1-(K230/100)))</f>
        <v>0</v>
      </c>
      <c r="Y216" s="671" t="s">
        <v>900</v>
      </c>
      <c r="Z216" s="660">
        <f>IF($F$229=0,0,(U216+V216)/$F$229)</f>
        <v>0</v>
      </c>
      <c r="AA216" s="666" t="e">
        <f>IF($K$229=0,0,(W216+X216)/$K$229)</f>
        <v>#DIV/0!</v>
      </c>
      <c r="AB216" s="160"/>
      <c r="AC216" s="160"/>
      <c r="AD216" s="160"/>
      <c r="AE216" s="160"/>
      <c r="AF216" s="160"/>
      <c r="AG216" s="160"/>
      <c r="AH216" s="160"/>
      <c r="AI216" s="160"/>
      <c r="AJ216" s="160"/>
      <c r="AK216" s="160"/>
      <c r="AL216" s="160"/>
      <c r="AM216" s="160"/>
      <c r="AN216" s="160"/>
      <c r="AO216" s="160"/>
      <c r="AP216" s="160"/>
      <c r="AQ216" s="160"/>
      <c r="AR216" s="160"/>
      <c r="AS216" s="160"/>
      <c r="AT216" s="160"/>
      <c r="AU216" s="160"/>
      <c r="AV216" s="160"/>
      <c r="AW216" s="160"/>
      <c r="AX216" s="160"/>
      <c r="AY216" s="160"/>
      <c r="AZ216" s="160"/>
      <c r="BA216" s="160"/>
      <c r="BB216" s="160"/>
      <c r="BC216" s="160"/>
      <c r="BD216" s="160"/>
      <c r="BE216" s="160"/>
      <c r="BF216" s="160"/>
      <c r="BG216" s="160"/>
      <c r="BH216" s="160"/>
      <c r="BI216" s="160"/>
      <c r="BJ216" s="160"/>
      <c r="BK216" s="160"/>
      <c r="BL216" s="657"/>
      <c r="BM216" s="160"/>
      <c r="BN216" s="160"/>
      <c r="BO216" s="160"/>
      <c r="BP216" s="160"/>
      <c r="BQ216" s="160"/>
      <c r="BR216" s="160"/>
      <c r="BS216" s="160"/>
      <c r="BT216" s="160"/>
      <c r="BU216" s="160"/>
      <c r="BV216" s="160"/>
      <c r="BW216" s="160"/>
      <c r="BX216" s="160"/>
      <c r="CO216" s="204"/>
      <c r="CP216" s="199"/>
      <c r="CQ216" s="96"/>
      <c r="CR216" s="96"/>
      <c r="CS216" s="96"/>
      <c r="CT216" s="96"/>
      <c r="CU216" s="96"/>
      <c r="CV216" s="96"/>
      <c r="CW216" s="96"/>
      <c r="CX216" s="96"/>
      <c r="CY216" s="96"/>
      <c r="CZ216" s="96"/>
      <c r="DA216" s="96"/>
      <c r="DB216" s="96"/>
      <c r="DC216" s="96"/>
      <c r="DD216" s="96"/>
      <c r="DE216" s="96"/>
      <c r="DF216" s="96"/>
      <c r="DG216" s="96"/>
      <c r="DH216" s="96"/>
      <c r="DI216" s="96"/>
      <c r="DJ216" s="96"/>
      <c r="DK216" s="96"/>
      <c r="DL216" s="96"/>
      <c r="DM216" s="96"/>
      <c r="DN216" s="96"/>
      <c r="DO216" s="96"/>
      <c r="DP216" s="96"/>
      <c r="DQ216" s="96"/>
      <c r="DX216" s="2172"/>
    </row>
    <row r="217" spans="1:128" s="98" customFormat="1" ht="15.75" customHeight="1" x14ac:dyDescent="0.25">
      <c r="A217" s="85"/>
      <c r="B217" s="121"/>
      <c r="C217" s="121"/>
      <c r="D217" s="86"/>
      <c r="E217" s="81"/>
      <c r="F217" s="82"/>
      <c r="G217" s="121"/>
      <c r="H217" s="121"/>
      <c r="I217" s="121"/>
      <c r="J217" s="121"/>
      <c r="K217" s="121"/>
      <c r="L217" s="121"/>
      <c r="M217" s="121"/>
      <c r="N217" s="16"/>
      <c r="O217" s="96"/>
      <c r="P217" s="160"/>
      <c r="Q217" s="672">
        <v>75</v>
      </c>
      <c r="R217" s="660"/>
      <c r="S217" s="1142">
        <f t="shared" si="230"/>
        <v>25</v>
      </c>
      <c r="T217" s="667"/>
      <c r="U217" s="668">
        <f>IF(OR(D205="0,00",B205=0,E214=0),0,B205*E214/100*G205*Q217/100/(B205*E214/100*D205/100)*F229*F230/100)</f>
        <v>0</v>
      </c>
      <c r="V217" s="668">
        <f>IF(OR(D205="0,00",B205=0,E214=0),0,B205*E214/100*G205*S217/100/(B205*E214/100*(1-(D205/100)))*F229*(1-(F230/100)))</f>
        <v>0</v>
      </c>
      <c r="W217" s="668">
        <f>IF(OR(D205="0,00",B205=0,E214=0),0,B205*E214/100*G205*Q217/100/(B205*E214/100*D205/100)*K229*K230/100)</f>
        <v>0</v>
      </c>
      <c r="X217" s="667">
        <f>IF(OR(D205="0,00",B205=0,E214=0),0,B205*E214/100*G205*S217/100/(B205*E214/100*(1-(D205/100)))*K229*(1-(K230/100)))</f>
        <v>0</v>
      </c>
      <c r="Y217" s="669" t="s">
        <v>901</v>
      </c>
      <c r="Z217" s="660">
        <f>IF($F$229=0,0,(U217+V217)/$F$229)</f>
        <v>0</v>
      </c>
      <c r="AA217" s="666" t="e">
        <f>IF($K$229=0,0,(W217+X217)/$K$229)</f>
        <v>#DIV/0!</v>
      </c>
      <c r="AB217" s="160"/>
      <c r="AC217" s="160"/>
      <c r="AD217" s="160"/>
      <c r="AE217" s="160"/>
      <c r="AF217" s="160"/>
      <c r="AG217" s="160"/>
      <c r="AH217" s="160"/>
      <c r="AI217" s="160"/>
      <c r="AJ217" s="160"/>
      <c r="AK217" s="160"/>
      <c r="AL217" s="160"/>
      <c r="AM217" s="160"/>
      <c r="AN217" s="160"/>
      <c r="AO217" s="160"/>
      <c r="AP217" s="160"/>
      <c r="AQ217" s="160"/>
      <c r="AR217" s="160"/>
      <c r="AS217" s="160"/>
      <c r="AT217" s="160"/>
      <c r="AU217" s="160"/>
      <c r="AV217" s="160"/>
      <c r="AW217" s="160"/>
      <c r="AX217" s="160"/>
      <c r="AY217" s="160"/>
      <c r="AZ217" s="160"/>
      <c r="BA217" s="160"/>
      <c r="BB217" s="160"/>
      <c r="BC217" s="160"/>
      <c r="BD217" s="160"/>
      <c r="BE217" s="160"/>
      <c r="BF217" s="160"/>
      <c r="BG217" s="160"/>
      <c r="BH217" s="160"/>
      <c r="BI217" s="160"/>
      <c r="BJ217" s="160"/>
      <c r="BK217" s="160"/>
      <c r="BL217" s="657"/>
      <c r="BM217" s="160"/>
      <c r="BN217" s="160"/>
      <c r="BO217" s="160"/>
      <c r="BP217" s="160"/>
      <c r="BQ217" s="160"/>
      <c r="BR217" s="160"/>
      <c r="BS217" s="160"/>
      <c r="BT217" s="160"/>
      <c r="BU217" s="160"/>
      <c r="BV217" s="160"/>
      <c r="BW217" s="160"/>
      <c r="BX217" s="160"/>
      <c r="CO217" s="204"/>
      <c r="CP217" s="199"/>
      <c r="CQ217" s="96"/>
      <c r="CR217" s="96"/>
      <c r="CS217" s="96"/>
      <c r="CT217" s="96"/>
      <c r="CU217" s="96"/>
      <c r="CV217" s="96"/>
      <c r="CW217" s="96"/>
      <c r="CX217" s="96"/>
      <c r="CY217" s="96"/>
      <c r="CZ217" s="96"/>
      <c r="DA217" s="96"/>
      <c r="DB217" s="96"/>
      <c r="DC217" s="96"/>
      <c r="DD217" s="96"/>
      <c r="DE217" s="96"/>
      <c r="DF217" s="96"/>
      <c r="DG217" s="96"/>
      <c r="DH217" s="96"/>
      <c r="DI217" s="96"/>
      <c r="DJ217" s="96"/>
      <c r="DK217" s="96"/>
      <c r="DL217" s="96"/>
      <c r="DM217" s="96"/>
      <c r="DN217" s="96"/>
      <c r="DO217" s="96"/>
      <c r="DP217" s="96"/>
      <c r="DQ217" s="96"/>
      <c r="DX217" s="2172"/>
    </row>
    <row r="218" spans="1:128" s="98" customFormat="1" ht="15.75" customHeight="1" thickBot="1" x14ac:dyDescent="0.3">
      <c r="A218" s="85"/>
      <c r="B218" s="121"/>
      <c r="C218" s="121"/>
      <c r="D218" s="86"/>
      <c r="E218" s="81"/>
      <c r="F218" s="82"/>
      <c r="G218" s="121"/>
      <c r="H218" s="121"/>
      <c r="I218" s="121"/>
      <c r="J218" s="121"/>
      <c r="K218" s="121"/>
      <c r="L218" s="121"/>
      <c r="M218" s="121"/>
      <c r="N218" s="16"/>
      <c r="O218" s="96"/>
      <c r="P218" s="160"/>
      <c r="Q218" s="670">
        <v>10</v>
      </c>
      <c r="R218" s="660"/>
      <c r="S218" s="1142">
        <f t="shared" si="230"/>
        <v>90</v>
      </c>
      <c r="T218" s="667"/>
      <c r="U218" s="668">
        <f>IF(OR(D205="0,00",B205=0,E214=0),0,B205*E214/100*H205*Q218/100/(B205*E214/100*D205/100)*F229*F230/100)</f>
        <v>0</v>
      </c>
      <c r="V218" s="668">
        <f>IF(OR(D205="0,00",B205=0,E214=0),0,B205*E214/100*H205*S218/100/(B205*E214/100*(1-(D205/100)))*F229*(1-(F230/100)))</f>
        <v>0</v>
      </c>
      <c r="W218" s="668">
        <f>IF(OR(D205="0,00",B205=0,E214=0),0,B205*E214/100*H205*Q218/100/(B205*E214/100*D205/100)*K229*K230/100)</f>
        <v>0</v>
      </c>
      <c r="X218" s="667">
        <f>IF(OR(D205="0,00",B205=0,E214=0),0,B205*E214/100*H205*S218/100/(B205*E214/100*(1-(D205/100)))*K229*(1-(K230/100)))</f>
        <v>0</v>
      </c>
      <c r="Y218" s="673" t="s">
        <v>902</v>
      </c>
      <c r="Z218" s="674">
        <f>IF($F$229=0,0,(U218+V218)/$F$229)</f>
        <v>0</v>
      </c>
      <c r="AA218" s="675" t="e">
        <f>IF($K$229=0,0,(W218+X218)/$K$229)</f>
        <v>#DIV/0!</v>
      </c>
      <c r="AB218" s="160"/>
      <c r="AC218" s="160"/>
      <c r="AD218" s="160"/>
      <c r="AE218" s="160"/>
      <c r="AF218" s="160"/>
      <c r="AG218" s="160"/>
      <c r="AH218" s="160"/>
      <c r="AI218" s="160"/>
      <c r="AJ218" s="160"/>
      <c r="AK218" s="160"/>
      <c r="AL218" s="160"/>
      <c r="AM218" s="160"/>
      <c r="AN218" s="160"/>
      <c r="AO218" s="160"/>
      <c r="AP218" s="160"/>
      <c r="AQ218" s="160"/>
      <c r="AR218" s="160"/>
      <c r="AS218" s="160"/>
      <c r="AT218" s="160"/>
      <c r="AU218" s="160"/>
      <c r="AV218" s="160"/>
      <c r="AW218" s="160"/>
      <c r="AX218" s="160"/>
      <c r="AY218" s="160"/>
      <c r="AZ218" s="160"/>
      <c r="BA218" s="160"/>
      <c r="BB218" s="160"/>
      <c r="BC218" s="160"/>
      <c r="BD218" s="160"/>
      <c r="BE218" s="160"/>
      <c r="BF218" s="160"/>
      <c r="BG218" s="160"/>
      <c r="BH218" s="160"/>
      <c r="BI218" s="160"/>
      <c r="BJ218" s="160"/>
      <c r="BK218" s="160"/>
      <c r="BL218" s="657"/>
      <c r="BM218" s="160"/>
      <c r="BN218" s="160"/>
      <c r="BO218" s="160"/>
      <c r="BP218" s="160"/>
      <c r="BQ218" s="160"/>
      <c r="BR218" s="160"/>
      <c r="BS218" s="160"/>
      <c r="BT218" s="160"/>
      <c r="BU218" s="160"/>
      <c r="BV218" s="160"/>
      <c r="BW218" s="160"/>
      <c r="BX218" s="160"/>
      <c r="CO218" s="204"/>
      <c r="CP218" s="199"/>
      <c r="CQ218" s="96"/>
      <c r="CR218" s="96"/>
      <c r="CS218" s="96"/>
      <c r="CT218" s="96"/>
      <c r="CU218" s="96"/>
      <c r="CV218" s="96"/>
      <c r="CW218" s="96"/>
      <c r="CX218" s="96"/>
      <c r="CY218" s="96"/>
      <c r="CZ218" s="96"/>
      <c r="DA218" s="96"/>
      <c r="DB218" s="96"/>
      <c r="DC218" s="96"/>
      <c r="DD218" s="96"/>
      <c r="DE218" s="96"/>
      <c r="DF218" s="96"/>
      <c r="DG218" s="96"/>
      <c r="DH218" s="96"/>
      <c r="DI218" s="96"/>
      <c r="DJ218" s="96"/>
      <c r="DK218" s="96"/>
      <c r="DL218" s="96"/>
      <c r="DM218" s="96"/>
      <c r="DN218" s="96"/>
      <c r="DO218" s="96"/>
      <c r="DP218" s="96"/>
      <c r="DQ218" s="96"/>
      <c r="DX218" s="2172"/>
    </row>
    <row r="219" spans="1:128" s="98" customFormat="1" ht="15.75" customHeight="1" x14ac:dyDescent="0.25">
      <c r="A219" s="85"/>
      <c r="B219" s="121"/>
      <c r="C219" s="121"/>
      <c r="D219" s="86"/>
      <c r="E219" s="81"/>
      <c r="F219" s="82"/>
      <c r="G219" s="121"/>
      <c r="H219" s="121"/>
      <c r="I219" s="121"/>
      <c r="J219" s="121"/>
      <c r="K219" s="121"/>
      <c r="L219" s="121"/>
      <c r="M219" s="121"/>
      <c r="N219" s="16"/>
      <c r="O219" s="96"/>
      <c r="P219" s="160"/>
      <c r="Q219" s="160"/>
      <c r="R219" s="160"/>
      <c r="S219" s="160"/>
      <c r="T219" s="160"/>
      <c r="U219" s="160"/>
      <c r="V219" s="160"/>
      <c r="W219" s="160"/>
      <c r="X219" s="160"/>
      <c r="Y219" s="160"/>
      <c r="Z219" s="160"/>
      <c r="AA219" s="160"/>
      <c r="AB219" s="160"/>
      <c r="AC219" s="160"/>
      <c r="AD219" s="160"/>
      <c r="AE219" s="160"/>
      <c r="AF219" s="160"/>
      <c r="AG219" s="160"/>
      <c r="AH219" s="160"/>
      <c r="AI219" s="160"/>
      <c r="AJ219" s="160"/>
      <c r="AK219" s="160"/>
      <c r="AL219" s="160"/>
      <c r="AM219" s="160"/>
      <c r="AN219" s="160"/>
      <c r="AO219" s="160"/>
      <c r="AP219" s="160"/>
      <c r="AQ219" s="160"/>
      <c r="AR219" s="160"/>
      <c r="AS219" s="160"/>
      <c r="AT219" s="160"/>
      <c r="AU219" s="160"/>
      <c r="AV219" s="160"/>
      <c r="AW219" s="160"/>
      <c r="AX219" s="160"/>
      <c r="AY219" s="160"/>
      <c r="AZ219" s="160"/>
      <c r="BA219" s="160"/>
      <c r="BB219" s="160"/>
      <c r="BC219" s="160"/>
      <c r="BD219" s="160"/>
      <c r="BE219" s="160"/>
      <c r="BF219" s="160"/>
      <c r="BG219" s="160"/>
      <c r="BH219" s="160"/>
      <c r="BI219" s="160"/>
      <c r="BJ219" s="160"/>
      <c r="BK219" s="160"/>
      <c r="BL219" s="657"/>
      <c r="BM219" s="160"/>
      <c r="BN219" s="160"/>
      <c r="BO219" s="160"/>
      <c r="BP219" s="160"/>
      <c r="BQ219" s="160"/>
      <c r="BR219" s="160"/>
      <c r="BS219" s="160"/>
      <c r="BT219" s="160"/>
      <c r="BU219" s="160"/>
      <c r="BV219" s="160"/>
      <c r="BW219" s="160"/>
      <c r="BX219" s="160"/>
      <c r="CO219" s="204"/>
      <c r="CP219" s="199"/>
      <c r="CQ219" s="96"/>
      <c r="CR219" s="96"/>
      <c r="CS219" s="96"/>
      <c r="CT219" s="96"/>
      <c r="CU219" s="96"/>
      <c r="CV219" s="96"/>
      <c r="CW219" s="96"/>
      <c r="CX219" s="96"/>
      <c r="CY219" s="96"/>
      <c r="CZ219" s="96"/>
      <c r="DA219" s="96"/>
      <c r="DB219" s="96"/>
      <c r="DC219" s="96"/>
      <c r="DD219" s="96"/>
      <c r="DE219" s="96"/>
      <c r="DF219" s="96"/>
      <c r="DG219" s="96"/>
      <c r="DH219" s="96"/>
      <c r="DI219" s="96"/>
      <c r="DJ219" s="96"/>
      <c r="DK219" s="96"/>
      <c r="DL219" s="96"/>
      <c r="DM219" s="96"/>
      <c r="DN219" s="96"/>
      <c r="DO219" s="96"/>
      <c r="DP219" s="96"/>
      <c r="DQ219" s="96"/>
      <c r="DX219" s="2172"/>
    </row>
    <row r="220" spans="1:128" s="98" customFormat="1" ht="15.75" customHeight="1" x14ac:dyDescent="0.25">
      <c r="A220" s="85"/>
      <c r="B220" s="121"/>
      <c r="C220" s="121"/>
      <c r="D220" s="86"/>
      <c r="E220" s="81"/>
      <c r="F220" s="82"/>
      <c r="G220" s="121"/>
      <c r="H220" s="121"/>
      <c r="I220" s="121"/>
      <c r="J220" s="121"/>
      <c r="K220" s="121"/>
      <c r="L220" s="121"/>
      <c r="M220" s="121"/>
      <c r="N220" s="16"/>
      <c r="O220" s="96"/>
      <c r="P220" s="160"/>
      <c r="Q220" s="160"/>
      <c r="R220" s="160"/>
      <c r="S220" s="160"/>
      <c r="T220" s="160"/>
      <c r="U220" s="160"/>
      <c r="V220" s="160"/>
      <c r="W220" s="160"/>
      <c r="X220" s="160"/>
      <c r="Y220" s="160"/>
      <c r="Z220" s="160"/>
      <c r="AA220" s="160"/>
      <c r="AB220" s="160"/>
      <c r="AC220" s="160"/>
      <c r="AD220" s="160"/>
      <c r="AE220" s="160"/>
      <c r="AF220" s="160"/>
      <c r="AG220" s="160"/>
      <c r="AH220" s="160"/>
      <c r="AI220" s="160"/>
      <c r="AJ220" s="160"/>
      <c r="AK220" s="160"/>
      <c r="AL220" s="160"/>
      <c r="AM220" s="160"/>
      <c r="AN220" s="160"/>
      <c r="AO220" s="160"/>
      <c r="AP220" s="160"/>
      <c r="AQ220" s="160"/>
      <c r="AR220" s="160"/>
      <c r="AS220" s="160"/>
      <c r="AT220" s="160"/>
      <c r="AU220" s="160"/>
      <c r="AV220" s="160"/>
      <c r="AW220" s="160"/>
      <c r="AX220" s="160"/>
      <c r="AY220" s="160"/>
      <c r="AZ220" s="160"/>
      <c r="BA220" s="160"/>
      <c r="BB220" s="160"/>
      <c r="BC220" s="160"/>
      <c r="BD220" s="160"/>
      <c r="BE220" s="160"/>
      <c r="BF220" s="160"/>
      <c r="BG220" s="160"/>
      <c r="BH220" s="160"/>
      <c r="BI220" s="160"/>
      <c r="BJ220" s="160"/>
      <c r="BK220" s="160"/>
      <c r="BL220" s="657"/>
      <c r="BM220" s="160"/>
      <c r="BN220" s="160"/>
      <c r="BO220" s="160"/>
      <c r="BP220" s="160"/>
      <c r="BQ220" s="160"/>
      <c r="BR220" s="160"/>
      <c r="BS220" s="160"/>
      <c r="BT220" s="160"/>
      <c r="BU220" s="160"/>
      <c r="BV220" s="160"/>
      <c r="BW220" s="160"/>
      <c r="BX220" s="160"/>
      <c r="CO220" s="204"/>
      <c r="CP220" s="199"/>
      <c r="CQ220" s="96"/>
      <c r="CR220" s="96"/>
      <c r="CS220" s="96"/>
      <c r="CT220" s="96"/>
      <c r="CU220" s="96"/>
      <c r="CV220" s="96"/>
      <c r="CW220" s="96"/>
      <c r="CX220" s="96"/>
      <c r="CY220" s="96"/>
      <c r="CZ220" s="96"/>
      <c r="DA220" s="96"/>
      <c r="DB220" s="96"/>
      <c r="DC220" s="96"/>
      <c r="DD220" s="96"/>
      <c r="DE220" s="96"/>
      <c r="DF220" s="96"/>
      <c r="DG220" s="96"/>
      <c r="DH220" s="96"/>
      <c r="DI220" s="96"/>
      <c r="DJ220" s="96"/>
      <c r="DK220" s="96"/>
      <c r="DL220" s="96"/>
      <c r="DM220" s="96"/>
      <c r="DN220" s="96"/>
      <c r="DO220" s="96"/>
      <c r="DP220" s="96"/>
      <c r="DQ220" s="96"/>
      <c r="DX220" s="2172"/>
    </row>
    <row r="221" spans="1:128" s="98" customFormat="1" ht="15.75" customHeight="1" x14ac:dyDescent="0.25">
      <c r="A221" s="85"/>
      <c r="B221" s="121"/>
      <c r="C221" s="121"/>
      <c r="D221" s="86"/>
      <c r="E221" s="81"/>
      <c r="F221" s="82"/>
      <c r="G221" s="121"/>
      <c r="H221" s="121"/>
      <c r="I221" s="121"/>
      <c r="J221" s="121"/>
      <c r="K221" s="121"/>
      <c r="L221" s="121"/>
      <c r="M221" s="121"/>
      <c r="N221" s="16"/>
      <c r="O221" s="96"/>
      <c r="P221" s="160"/>
      <c r="Q221" s="160"/>
      <c r="R221" s="160"/>
      <c r="S221" s="160"/>
      <c r="T221" s="160"/>
      <c r="U221" s="160"/>
      <c r="V221" s="160"/>
      <c r="W221" s="160"/>
      <c r="X221" s="160"/>
      <c r="Y221" s="160"/>
      <c r="Z221" s="160"/>
      <c r="AA221" s="160"/>
      <c r="AB221" s="160"/>
      <c r="AC221" s="160"/>
      <c r="AD221" s="160"/>
      <c r="AE221" s="160"/>
      <c r="AF221" s="160"/>
      <c r="AG221" s="160"/>
      <c r="AH221" s="160"/>
      <c r="AI221" s="160"/>
      <c r="AJ221" s="160"/>
      <c r="AK221" s="160"/>
      <c r="AL221" s="160"/>
      <c r="AM221" s="160"/>
      <c r="AN221" s="160"/>
      <c r="AO221" s="160"/>
      <c r="AP221" s="160"/>
      <c r="AQ221" s="160"/>
      <c r="AR221" s="160"/>
      <c r="AS221" s="160"/>
      <c r="AT221" s="160"/>
      <c r="AU221" s="160"/>
      <c r="AV221" s="160"/>
      <c r="AW221" s="160"/>
      <c r="AX221" s="160"/>
      <c r="AY221" s="160"/>
      <c r="AZ221" s="160"/>
      <c r="BA221" s="160"/>
      <c r="BB221" s="160"/>
      <c r="BC221" s="160"/>
      <c r="BD221" s="160"/>
      <c r="BE221" s="160"/>
      <c r="BF221" s="160"/>
      <c r="BG221" s="160"/>
      <c r="BH221" s="160"/>
      <c r="BI221" s="160"/>
      <c r="BJ221" s="160"/>
      <c r="BK221" s="160"/>
      <c r="BL221" s="657"/>
      <c r="BM221" s="160"/>
      <c r="BN221" s="160"/>
      <c r="BO221" s="160"/>
      <c r="BP221" s="160"/>
      <c r="BQ221" s="160"/>
      <c r="BR221" s="160"/>
      <c r="BS221" s="160"/>
      <c r="BT221" s="160"/>
      <c r="BU221" s="160"/>
      <c r="BV221" s="160"/>
      <c r="BW221" s="160"/>
      <c r="BX221" s="160"/>
      <c r="CO221" s="204"/>
      <c r="CP221" s="199"/>
      <c r="CQ221" s="96"/>
      <c r="CR221" s="96"/>
      <c r="CS221" s="96"/>
      <c r="CT221" s="96"/>
      <c r="CU221" s="96"/>
      <c r="CV221" s="96"/>
      <c r="CW221" s="96"/>
      <c r="CX221" s="96"/>
      <c r="CY221" s="96"/>
      <c r="CZ221" s="96"/>
      <c r="DA221" s="96"/>
      <c r="DB221" s="96"/>
      <c r="DC221" s="96"/>
      <c r="DD221" s="96"/>
      <c r="DE221" s="96"/>
      <c r="DF221" s="96"/>
      <c r="DG221" s="96"/>
      <c r="DH221" s="96"/>
      <c r="DI221" s="96"/>
      <c r="DJ221" s="96"/>
      <c r="DK221" s="96"/>
      <c r="DL221" s="96"/>
      <c r="DM221" s="96"/>
      <c r="DN221" s="96"/>
      <c r="DO221" s="96"/>
      <c r="DP221" s="96"/>
      <c r="DQ221" s="96"/>
      <c r="DX221" s="2172"/>
    </row>
    <row r="222" spans="1:128" s="98" customFormat="1" ht="15.75" customHeight="1" x14ac:dyDescent="0.25">
      <c r="A222" s="83"/>
      <c r="B222" s="121"/>
      <c r="C222" s="121"/>
      <c r="D222" s="121"/>
      <c r="E222" s="121"/>
      <c r="F222" s="121"/>
      <c r="G222" s="121"/>
      <c r="H222" s="121"/>
      <c r="I222" s="121"/>
      <c r="J222" s="121"/>
      <c r="K222" s="121"/>
      <c r="L222" s="121"/>
      <c r="M222" s="121"/>
      <c r="N222" s="16"/>
      <c r="O222" s="96"/>
      <c r="P222" s="160"/>
      <c r="Q222" s="160"/>
      <c r="R222" s="160"/>
      <c r="S222" s="160"/>
      <c r="T222" s="160"/>
      <c r="U222" s="160"/>
      <c r="V222" s="160"/>
      <c r="W222" s="160"/>
      <c r="X222" s="160"/>
      <c r="Y222" s="160"/>
      <c r="Z222" s="160"/>
      <c r="AA222" s="160"/>
      <c r="AB222" s="160"/>
      <c r="AC222" s="160"/>
      <c r="AD222" s="160"/>
      <c r="AE222" s="160"/>
      <c r="AF222" s="160"/>
      <c r="AG222" s="160"/>
      <c r="AH222" s="160"/>
      <c r="AI222" s="160"/>
      <c r="AJ222" s="160"/>
      <c r="AK222" s="160"/>
      <c r="AL222" s="160"/>
      <c r="AM222" s="160"/>
      <c r="AN222" s="160"/>
      <c r="AO222" s="160"/>
      <c r="AP222" s="160"/>
      <c r="AQ222" s="160"/>
      <c r="AR222" s="160"/>
      <c r="AS222" s="160"/>
      <c r="AT222" s="160"/>
      <c r="AU222" s="160"/>
      <c r="AV222" s="160"/>
      <c r="AW222" s="160"/>
      <c r="AX222" s="160"/>
      <c r="AY222" s="160"/>
      <c r="AZ222" s="160"/>
      <c r="BA222" s="160"/>
      <c r="BB222" s="160"/>
      <c r="BC222" s="160"/>
      <c r="BD222" s="160"/>
      <c r="BE222" s="160"/>
      <c r="BF222" s="160"/>
      <c r="BG222" s="160"/>
      <c r="BH222" s="160"/>
      <c r="BI222" s="160"/>
      <c r="BJ222" s="160"/>
      <c r="BK222" s="160"/>
      <c r="BL222" s="657"/>
      <c r="BM222" s="160"/>
      <c r="BN222" s="160"/>
      <c r="BO222" s="160"/>
      <c r="BP222" s="160"/>
      <c r="BQ222" s="160"/>
      <c r="BR222" s="160"/>
      <c r="BS222" s="160"/>
      <c r="BT222" s="160"/>
      <c r="BU222" s="160"/>
      <c r="BV222" s="160"/>
      <c r="BW222" s="160"/>
      <c r="BX222" s="160"/>
      <c r="CO222" s="204"/>
      <c r="CP222" s="199"/>
      <c r="CQ222" s="96"/>
      <c r="CR222" s="96"/>
      <c r="CS222" s="96"/>
      <c r="CT222" s="96"/>
      <c r="CU222" s="96"/>
      <c r="CV222" s="96"/>
      <c r="CW222" s="96"/>
      <c r="CX222" s="96"/>
      <c r="CY222" s="96"/>
      <c r="CZ222" s="96"/>
      <c r="DA222" s="96"/>
      <c r="DB222" s="96"/>
      <c r="DC222" s="96"/>
      <c r="DD222" s="96"/>
      <c r="DE222" s="96"/>
      <c r="DF222" s="96"/>
      <c r="DG222" s="96"/>
      <c r="DH222" s="96"/>
      <c r="DI222" s="96"/>
      <c r="DJ222" s="96"/>
      <c r="DK222" s="96"/>
      <c r="DL222" s="96"/>
      <c r="DM222" s="96"/>
      <c r="DN222" s="96"/>
      <c r="DO222" s="96"/>
      <c r="DP222" s="96"/>
      <c r="DQ222" s="96"/>
      <c r="DX222" s="2172"/>
    </row>
    <row r="223" spans="1:128" s="98" customFormat="1" ht="15.75" customHeight="1" x14ac:dyDescent="0.25">
      <c r="A223" s="83"/>
      <c r="B223" s="121"/>
      <c r="C223" s="121"/>
      <c r="D223" s="121"/>
      <c r="E223" s="121"/>
      <c r="F223" s="121"/>
      <c r="G223" s="121"/>
      <c r="H223" s="121"/>
      <c r="I223" s="121"/>
      <c r="J223" s="121"/>
      <c r="K223" s="121"/>
      <c r="L223" s="121"/>
      <c r="M223" s="121"/>
      <c r="N223" s="16"/>
      <c r="O223" s="96"/>
      <c r="P223" s="160"/>
      <c r="Q223" s="160"/>
      <c r="R223" s="160"/>
      <c r="S223" s="160"/>
      <c r="T223" s="160"/>
      <c r="U223" s="160"/>
      <c r="V223" s="160"/>
      <c r="W223" s="160"/>
      <c r="X223" s="160"/>
      <c r="Y223" s="160"/>
      <c r="Z223" s="160"/>
      <c r="AA223" s="160"/>
      <c r="AB223" s="160"/>
      <c r="AC223" s="160"/>
      <c r="AD223" s="160"/>
      <c r="AE223" s="160"/>
      <c r="AF223" s="160"/>
      <c r="AG223" s="160"/>
      <c r="AH223" s="160"/>
      <c r="AI223" s="160"/>
      <c r="AJ223" s="160"/>
      <c r="AK223" s="160"/>
      <c r="AL223" s="160"/>
      <c r="AM223" s="160"/>
      <c r="AN223" s="160"/>
      <c r="AO223" s="160"/>
      <c r="AP223" s="160"/>
      <c r="AQ223" s="160"/>
      <c r="AR223" s="160"/>
      <c r="AS223" s="160"/>
      <c r="AT223" s="160"/>
      <c r="AU223" s="160"/>
      <c r="AV223" s="160"/>
      <c r="AW223" s="160"/>
      <c r="AX223" s="160"/>
      <c r="AY223" s="160"/>
      <c r="AZ223" s="160"/>
      <c r="BA223" s="160"/>
      <c r="BB223" s="160"/>
      <c r="BC223" s="160"/>
      <c r="BD223" s="160"/>
      <c r="BE223" s="160"/>
      <c r="BF223" s="160"/>
      <c r="BG223" s="160"/>
      <c r="BH223" s="160"/>
      <c r="BI223" s="160"/>
      <c r="BJ223" s="160"/>
      <c r="BK223" s="160"/>
      <c r="BL223" s="657"/>
      <c r="BM223" s="160"/>
      <c r="BN223" s="160"/>
      <c r="BO223" s="160"/>
      <c r="BP223" s="160"/>
      <c r="BQ223" s="160"/>
      <c r="BR223" s="160"/>
      <c r="BS223" s="160"/>
      <c r="BT223" s="160"/>
      <c r="BU223" s="160"/>
      <c r="BV223" s="160"/>
      <c r="BW223" s="160"/>
      <c r="BX223" s="160"/>
      <c r="CO223" s="204"/>
      <c r="CP223" s="199"/>
      <c r="CQ223" s="96"/>
      <c r="CR223" s="96"/>
      <c r="CS223" s="96"/>
      <c r="CT223" s="96"/>
      <c r="CU223" s="96"/>
      <c r="CV223" s="96"/>
      <c r="CW223" s="96"/>
      <c r="CX223" s="96"/>
      <c r="CY223" s="96"/>
      <c r="CZ223" s="96"/>
      <c r="DA223" s="96"/>
      <c r="DB223" s="96"/>
      <c r="DC223" s="96"/>
      <c r="DD223" s="96"/>
      <c r="DE223" s="96"/>
      <c r="DF223" s="96"/>
      <c r="DG223" s="96"/>
      <c r="DH223" s="96"/>
      <c r="DI223" s="96"/>
      <c r="DJ223" s="96"/>
      <c r="DK223" s="96"/>
      <c r="DL223" s="96"/>
      <c r="DM223" s="96"/>
      <c r="DN223" s="96"/>
      <c r="DO223" s="96"/>
      <c r="DP223" s="96"/>
      <c r="DQ223" s="96"/>
      <c r="DX223" s="2172"/>
    </row>
    <row r="224" spans="1:128" s="98" customFormat="1" ht="15.75" customHeight="1" x14ac:dyDescent="0.2">
      <c r="A224" s="4"/>
      <c r="B224" s="4"/>
      <c r="C224" s="4"/>
      <c r="D224" s="4"/>
      <c r="E224" s="4"/>
      <c r="F224" s="4"/>
      <c r="G224" s="4"/>
      <c r="H224" s="4"/>
      <c r="I224" s="4"/>
      <c r="J224" s="4"/>
      <c r="K224" s="4"/>
      <c r="L224" s="4"/>
      <c r="M224" s="4"/>
      <c r="N224" s="16"/>
      <c r="O224" s="96"/>
      <c r="P224" s="160"/>
      <c r="Q224" s="160"/>
      <c r="R224" s="160"/>
      <c r="S224" s="160"/>
      <c r="T224" s="160"/>
      <c r="U224" s="160"/>
      <c r="V224" s="160"/>
      <c r="W224" s="160"/>
      <c r="X224" s="160"/>
      <c r="Y224" s="160"/>
      <c r="Z224" s="160"/>
      <c r="AA224" s="160"/>
      <c r="AB224" s="160"/>
      <c r="AC224" s="160"/>
      <c r="AD224" s="160"/>
      <c r="AE224" s="160"/>
      <c r="AF224" s="160"/>
      <c r="AG224" s="160"/>
      <c r="AH224" s="160"/>
      <c r="AI224" s="160"/>
      <c r="AJ224" s="160"/>
      <c r="AK224" s="160"/>
      <c r="AL224" s="160"/>
      <c r="AM224" s="160"/>
      <c r="AN224" s="160"/>
      <c r="AO224" s="160"/>
      <c r="AP224" s="160"/>
      <c r="AQ224" s="160"/>
      <c r="AR224" s="160"/>
      <c r="AS224" s="160"/>
      <c r="AT224" s="160"/>
      <c r="AU224" s="160"/>
      <c r="AV224" s="160"/>
      <c r="AW224" s="160"/>
      <c r="AX224" s="160"/>
      <c r="AY224" s="160"/>
      <c r="AZ224" s="160"/>
      <c r="BA224" s="160"/>
      <c r="BB224" s="160"/>
      <c r="BC224" s="160"/>
      <c r="BD224" s="160"/>
      <c r="BE224" s="160"/>
      <c r="BF224" s="160"/>
      <c r="BG224" s="160"/>
      <c r="BH224" s="160"/>
      <c r="BI224" s="160"/>
      <c r="BJ224" s="160"/>
      <c r="BK224" s="160"/>
      <c r="BL224" s="657"/>
      <c r="BM224" s="160"/>
      <c r="BN224" s="160"/>
      <c r="BO224" s="160"/>
      <c r="BP224" s="160"/>
      <c r="BQ224" s="160"/>
      <c r="BR224" s="160"/>
      <c r="BS224" s="160"/>
      <c r="BT224" s="160"/>
      <c r="BU224" s="160"/>
      <c r="BV224" s="160"/>
      <c r="BW224" s="160"/>
      <c r="BX224" s="160"/>
      <c r="CO224" s="204"/>
      <c r="CP224" s="199"/>
      <c r="CQ224" s="96"/>
      <c r="CR224" s="96"/>
      <c r="CS224" s="96"/>
      <c r="CT224" s="96"/>
      <c r="CU224" s="96"/>
      <c r="CV224" s="96"/>
      <c r="CW224" s="96"/>
      <c r="CX224" s="96"/>
      <c r="CY224" s="96"/>
      <c r="CZ224" s="96"/>
      <c r="DA224" s="96"/>
      <c r="DB224" s="96"/>
      <c r="DC224" s="96"/>
      <c r="DD224" s="96"/>
      <c r="DE224" s="96"/>
      <c r="DF224" s="96"/>
      <c r="DG224" s="96"/>
      <c r="DH224" s="96"/>
      <c r="DI224" s="96"/>
      <c r="DJ224" s="96"/>
      <c r="DK224" s="96"/>
      <c r="DL224" s="96"/>
      <c r="DM224" s="96"/>
      <c r="DN224" s="96"/>
      <c r="DO224" s="96"/>
      <c r="DP224" s="96"/>
      <c r="DQ224" s="96"/>
      <c r="DX224" s="2172"/>
    </row>
    <row r="225" spans="1:167" s="98" customFormat="1" ht="15.75" customHeight="1" x14ac:dyDescent="0.25">
      <c r="A225" s="80"/>
      <c r="B225" s="121"/>
      <c r="C225" s="121"/>
      <c r="D225" s="121"/>
      <c r="E225" s="121"/>
      <c r="F225" s="121"/>
      <c r="G225" s="121"/>
      <c r="H225" s="121"/>
      <c r="I225" s="121"/>
      <c r="J225" s="121"/>
      <c r="K225" s="121"/>
      <c r="L225" s="121"/>
      <c r="M225" s="121"/>
      <c r="N225" s="16"/>
      <c r="O225" s="96"/>
      <c r="P225" s="160"/>
      <c r="Q225" s="160"/>
      <c r="R225" s="160"/>
      <c r="S225" s="160"/>
      <c r="T225" s="160"/>
      <c r="U225" s="160"/>
      <c r="V225" s="160"/>
      <c r="W225" s="160"/>
      <c r="X225" s="160"/>
      <c r="Y225" s="160"/>
      <c r="Z225" s="160"/>
      <c r="AA225" s="160"/>
      <c r="AB225" s="160"/>
      <c r="AC225" s="160"/>
      <c r="AD225" s="160"/>
      <c r="AE225" s="160"/>
      <c r="AF225" s="160"/>
      <c r="AG225" s="160"/>
      <c r="AH225" s="160"/>
      <c r="AI225" s="160"/>
      <c r="AJ225" s="160"/>
      <c r="AK225" s="160"/>
      <c r="AL225" s="160"/>
      <c r="AM225" s="160"/>
      <c r="AN225" s="160"/>
      <c r="AO225" s="160"/>
      <c r="AP225" s="160"/>
      <c r="AQ225" s="160"/>
      <c r="AR225" s="160"/>
      <c r="AS225" s="160"/>
      <c r="AT225" s="160"/>
      <c r="AU225" s="160"/>
      <c r="AV225" s="160"/>
      <c r="AW225" s="160"/>
      <c r="AX225" s="160"/>
      <c r="AY225" s="160"/>
      <c r="AZ225" s="160"/>
      <c r="BA225" s="160"/>
      <c r="BB225" s="160"/>
      <c r="BC225" s="160"/>
      <c r="BD225" s="160"/>
      <c r="BE225" s="160"/>
      <c r="BF225" s="160"/>
      <c r="BG225" s="160"/>
      <c r="BH225" s="160"/>
      <c r="BI225" s="160"/>
      <c r="BJ225" s="160"/>
      <c r="BK225" s="160"/>
      <c r="BL225" s="657"/>
      <c r="BM225" s="160"/>
      <c r="BN225" s="160"/>
      <c r="BO225" s="160"/>
      <c r="BP225" s="160"/>
      <c r="BQ225" s="160"/>
      <c r="BR225" s="160"/>
      <c r="BS225" s="160"/>
      <c r="BT225" s="160"/>
      <c r="BU225" s="160"/>
      <c r="BV225" s="160"/>
      <c r="BW225" s="160"/>
      <c r="BX225" s="160"/>
      <c r="CO225" s="204"/>
      <c r="CP225" s="199"/>
      <c r="CQ225" s="96"/>
      <c r="CR225" s="96"/>
      <c r="CS225" s="96"/>
      <c r="CT225" s="96"/>
      <c r="CU225" s="96"/>
      <c r="CV225" s="96"/>
      <c r="CW225" s="96"/>
      <c r="CX225" s="96"/>
      <c r="CY225" s="96"/>
      <c r="CZ225" s="96"/>
      <c r="DA225" s="96"/>
      <c r="DB225" s="96"/>
      <c r="DC225" s="96"/>
      <c r="DD225" s="96"/>
      <c r="DE225" s="96"/>
      <c r="DF225" s="96"/>
      <c r="DG225" s="96"/>
      <c r="DH225" s="96"/>
      <c r="DI225" s="96"/>
      <c r="DJ225" s="96"/>
      <c r="DK225" s="96"/>
      <c r="DL225" s="96"/>
      <c r="DM225" s="96"/>
      <c r="DN225" s="96"/>
      <c r="DO225" s="96"/>
      <c r="DP225" s="96"/>
      <c r="DQ225" s="96"/>
      <c r="DX225" s="2172"/>
    </row>
    <row r="226" spans="1:167" s="98" customFormat="1" ht="15.75" customHeight="1" x14ac:dyDescent="0.25">
      <c r="A226" s="80"/>
      <c r="B226" s="121"/>
      <c r="C226" s="121"/>
      <c r="D226" s="121"/>
      <c r="E226" s="121"/>
      <c r="F226" s="121"/>
      <c r="G226" s="121"/>
      <c r="H226" s="121"/>
      <c r="I226" s="121"/>
      <c r="J226" s="121"/>
      <c r="K226" s="121"/>
      <c r="L226" s="121"/>
      <c r="M226" s="121"/>
      <c r="N226" s="16"/>
      <c r="O226" s="96"/>
      <c r="P226" s="160"/>
      <c r="Q226" s="160"/>
      <c r="R226" s="160"/>
      <c r="S226" s="219" t="s">
        <v>241</v>
      </c>
      <c r="T226" s="219" t="s">
        <v>285</v>
      </c>
      <c r="U226" s="160"/>
      <c r="V226" s="160"/>
      <c r="W226" s="160"/>
      <c r="X226" s="160"/>
      <c r="Y226" s="160"/>
      <c r="Z226" s="160"/>
      <c r="AA226" s="160"/>
      <c r="AB226" s="160"/>
      <c r="AC226" s="160"/>
      <c r="AD226" s="160"/>
      <c r="AE226" s="160"/>
      <c r="AF226" s="160"/>
      <c r="AG226" s="160"/>
      <c r="AH226" s="160"/>
      <c r="AI226" s="160"/>
      <c r="AJ226" s="160"/>
      <c r="AK226" s="160"/>
      <c r="AL226" s="160"/>
      <c r="AM226" s="160"/>
      <c r="AN226" s="160"/>
      <c r="AO226" s="160"/>
      <c r="AP226" s="160"/>
      <c r="AQ226" s="160"/>
      <c r="AR226" s="160"/>
      <c r="AS226" s="160"/>
      <c r="AT226" s="160"/>
      <c r="AU226" s="160"/>
      <c r="AV226" s="160"/>
      <c r="AW226" s="160"/>
      <c r="AX226" s="160"/>
      <c r="AY226" s="160"/>
      <c r="AZ226" s="160"/>
      <c r="BA226" s="160"/>
      <c r="BB226" s="160"/>
      <c r="BC226" s="160"/>
      <c r="BD226" s="160"/>
      <c r="BE226" s="160"/>
      <c r="BF226" s="160"/>
      <c r="BG226" s="160"/>
      <c r="BH226" s="160"/>
      <c r="BI226" s="160"/>
      <c r="BJ226" s="160"/>
      <c r="BK226" s="160"/>
      <c r="BL226" s="657"/>
      <c r="BM226" s="160"/>
      <c r="BN226" s="160"/>
      <c r="BO226" s="160"/>
      <c r="BP226" s="160"/>
      <c r="BQ226" s="160"/>
      <c r="BR226" s="160"/>
      <c r="BS226" s="160"/>
      <c r="BT226" s="160"/>
      <c r="BU226" s="160"/>
      <c r="BV226" s="160"/>
      <c r="BW226" s="160"/>
      <c r="BX226" s="160"/>
      <c r="CO226" s="204"/>
      <c r="CP226" s="199"/>
      <c r="CQ226" s="96"/>
      <c r="CR226" s="96"/>
      <c r="CS226" s="96"/>
      <c r="CT226" s="96"/>
      <c r="CU226" s="96"/>
      <c r="CV226" s="96"/>
      <c r="CW226" s="96"/>
      <c r="CX226" s="96"/>
      <c r="CY226" s="96"/>
      <c r="CZ226" s="96"/>
      <c r="DA226" s="96"/>
      <c r="DB226" s="96"/>
      <c r="DC226" s="96"/>
      <c r="DD226" s="96"/>
      <c r="DE226" s="96"/>
      <c r="DF226" s="96"/>
      <c r="DG226" s="96"/>
      <c r="DH226" s="96"/>
      <c r="DI226" s="96"/>
      <c r="DJ226" s="96"/>
      <c r="DK226" s="96"/>
      <c r="DL226" s="96"/>
      <c r="DM226" s="96"/>
      <c r="DN226" s="96"/>
      <c r="DO226" s="96"/>
      <c r="DP226" s="96"/>
      <c r="DQ226" s="96"/>
      <c r="DX226" s="2172"/>
    </row>
    <row r="227" spans="1:167" s="98" customFormat="1" ht="15.75" customHeight="1" x14ac:dyDescent="0.25">
      <c r="A227" s="2365" t="s">
        <v>8249</v>
      </c>
      <c r="B227" s="2365"/>
      <c r="C227" s="2365"/>
      <c r="D227" s="2365"/>
      <c r="E227" s="2365"/>
      <c r="F227" s="2365"/>
      <c r="G227" s="2365"/>
      <c r="H227" s="2365"/>
      <c r="I227" s="2365"/>
      <c r="J227" s="2365"/>
      <c r="K227" s="2365"/>
      <c r="L227" s="2365"/>
      <c r="M227" s="2365"/>
      <c r="N227" s="16"/>
      <c r="O227" s="678"/>
      <c r="P227" s="1272"/>
      <c r="Q227" s="1272"/>
      <c r="R227" s="1272"/>
      <c r="S227" s="219"/>
      <c r="T227" s="219"/>
      <c r="U227" s="1272"/>
      <c r="V227" s="1272"/>
      <c r="W227" s="1272"/>
      <c r="X227" s="1272"/>
      <c r="Y227" s="1272"/>
      <c r="Z227" s="1272"/>
      <c r="AA227" s="1272"/>
      <c r="AB227" s="1272"/>
      <c r="AC227" s="1272"/>
      <c r="AD227" s="1272"/>
      <c r="AE227" s="1272"/>
      <c r="AF227" s="1272"/>
      <c r="AG227" s="1272"/>
      <c r="AH227" s="1272"/>
      <c r="AI227" s="1272"/>
      <c r="AJ227" s="1272"/>
      <c r="AK227" s="1272"/>
      <c r="AL227" s="1272"/>
      <c r="AM227" s="1272"/>
      <c r="AN227" s="1272"/>
      <c r="AO227" s="1272"/>
      <c r="AP227" s="1272"/>
      <c r="AQ227" s="1272"/>
      <c r="AR227" s="1272"/>
      <c r="AS227" s="1272"/>
      <c r="AT227" s="1272"/>
      <c r="AU227" s="1272"/>
      <c r="AV227" s="1272"/>
      <c r="AW227" s="1272"/>
      <c r="AX227" s="1272"/>
      <c r="AY227" s="1272"/>
      <c r="AZ227" s="1272"/>
      <c r="BA227" s="1272"/>
      <c r="BB227" s="1272"/>
      <c r="BC227" s="1272"/>
      <c r="BD227" s="1272"/>
      <c r="BE227" s="1272"/>
      <c r="BF227" s="1272"/>
      <c r="BG227" s="1272"/>
      <c r="BH227" s="1272"/>
      <c r="BI227" s="1272"/>
      <c r="BJ227" s="1272"/>
      <c r="BK227" s="1272"/>
      <c r="BL227" s="1272"/>
      <c r="BM227" s="1272"/>
      <c r="BN227" s="1272"/>
      <c r="BO227" s="1272"/>
      <c r="BP227" s="1272"/>
      <c r="BQ227" s="1272"/>
      <c r="BR227" s="1272"/>
      <c r="BS227" s="1272"/>
      <c r="BT227" s="1272"/>
      <c r="BU227" s="1272"/>
      <c r="BV227" s="1272"/>
      <c r="BW227" s="1272"/>
      <c r="BX227" s="1272"/>
      <c r="CO227" s="204"/>
      <c r="CP227" s="199"/>
      <c r="CQ227" s="678"/>
      <c r="CR227" s="678"/>
      <c r="CS227" s="678"/>
      <c r="CT227" s="678"/>
      <c r="CU227" s="678"/>
      <c r="CV227" s="678"/>
      <c r="CW227" s="678"/>
      <c r="CX227" s="678"/>
      <c r="CY227" s="678"/>
      <c r="CZ227" s="678"/>
      <c r="DA227" s="678"/>
      <c r="DB227" s="678"/>
      <c r="DC227" s="678"/>
      <c r="DD227" s="678"/>
      <c r="DE227" s="678"/>
      <c r="DF227" s="678"/>
      <c r="DG227" s="678"/>
      <c r="DH227" s="678"/>
      <c r="DI227" s="678"/>
      <c r="DJ227" s="678"/>
      <c r="DK227" s="678"/>
      <c r="DL227" s="678"/>
      <c r="DM227" s="678"/>
      <c r="DN227" s="678"/>
      <c r="DO227" s="678"/>
      <c r="DP227" s="678"/>
      <c r="DQ227" s="678"/>
      <c r="DX227" s="2172"/>
    </row>
    <row r="228" spans="1:167" s="98" customFormat="1" ht="8.25" customHeight="1" thickBot="1" x14ac:dyDescent="0.3">
      <c r="A228" s="80"/>
      <c r="B228" s="121"/>
      <c r="C228" s="121"/>
      <c r="D228" s="121"/>
      <c r="E228" s="121"/>
      <c r="F228" s="121"/>
      <c r="G228" s="121"/>
      <c r="H228" s="121"/>
      <c r="I228" s="121"/>
      <c r="J228" s="121"/>
      <c r="K228" s="121"/>
      <c r="L228" s="121"/>
      <c r="M228" s="121"/>
      <c r="N228" s="16"/>
      <c r="O228" s="678"/>
      <c r="P228" s="1272"/>
      <c r="Q228" s="1272"/>
      <c r="R228" s="1272"/>
      <c r="S228" s="219"/>
      <c r="T228" s="219"/>
      <c r="U228" s="1272"/>
      <c r="V228" s="1272"/>
      <c r="W228" s="1272"/>
      <c r="X228" s="1272"/>
      <c r="Y228" s="1272"/>
      <c r="Z228" s="1272"/>
      <c r="AA228" s="1272"/>
      <c r="AB228" s="1272"/>
      <c r="AC228" s="1272"/>
      <c r="AD228" s="1272"/>
      <c r="AE228" s="1272"/>
      <c r="AF228" s="1272"/>
      <c r="AG228" s="1272"/>
      <c r="AH228" s="1272"/>
      <c r="AI228" s="1272"/>
      <c r="AJ228" s="1272"/>
      <c r="AK228" s="1272"/>
      <c r="AL228" s="1272"/>
      <c r="AM228" s="1272"/>
      <c r="AN228" s="1272"/>
      <c r="AO228" s="1272"/>
      <c r="AP228" s="1272"/>
      <c r="AQ228" s="1272"/>
      <c r="AR228" s="1272"/>
      <c r="AS228" s="1272"/>
      <c r="AT228" s="1272"/>
      <c r="AU228" s="1272"/>
      <c r="AV228" s="1272"/>
      <c r="AW228" s="1272"/>
      <c r="AX228" s="1272"/>
      <c r="AY228" s="1272"/>
      <c r="AZ228" s="1272"/>
      <c r="BA228" s="1272"/>
      <c r="BB228" s="1272"/>
      <c r="BC228" s="1272"/>
      <c r="BD228" s="1272"/>
      <c r="BE228" s="1272"/>
      <c r="BF228" s="1272"/>
      <c r="BG228" s="1272"/>
      <c r="BH228" s="1272"/>
      <c r="BI228" s="1272"/>
      <c r="BJ228" s="1272"/>
      <c r="BK228" s="1272"/>
      <c r="BL228" s="1272"/>
      <c r="BM228" s="1272"/>
      <c r="BN228" s="1272"/>
      <c r="BO228" s="1272"/>
      <c r="BP228" s="1272"/>
      <c r="BQ228" s="1272"/>
      <c r="BR228" s="1272"/>
      <c r="BS228" s="1272"/>
      <c r="BT228" s="1272"/>
      <c r="BU228" s="1272"/>
      <c r="BV228" s="1272"/>
      <c r="BW228" s="1272"/>
      <c r="BX228" s="1272"/>
      <c r="CO228" s="204"/>
      <c r="CP228" s="199"/>
      <c r="CQ228" s="678"/>
      <c r="CR228" s="678"/>
      <c r="CS228" s="678"/>
      <c r="CT228" s="678"/>
      <c r="CU228" s="678"/>
      <c r="CV228" s="678"/>
      <c r="CW228" s="678"/>
      <c r="CX228" s="678"/>
      <c r="CY228" s="678"/>
      <c r="CZ228" s="678"/>
      <c r="DA228" s="678"/>
      <c r="DB228" s="678"/>
      <c r="DC228" s="678"/>
      <c r="DD228" s="678"/>
      <c r="DE228" s="678"/>
      <c r="DF228" s="678"/>
      <c r="DG228" s="678"/>
      <c r="DH228" s="678"/>
      <c r="DI228" s="678"/>
      <c r="DJ228" s="678"/>
      <c r="DK228" s="678"/>
      <c r="DL228" s="678"/>
      <c r="DM228" s="678"/>
      <c r="DN228" s="678"/>
      <c r="DO228" s="678"/>
      <c r="DP228" s="678"/>
      <c r="DQ228" s="678"/>
      <c r="DX228" s="2172"/>
    </row>
    <row r="229" spans="1:167" s="115" customFormat="1" ht="15.75" customHeight="1" x14ac:dyDescent="0.2">
      <c r="A229" s="651" t="s">
        <v>279</v>
      </c>
      <c r="B229" s="1404">
        <f>P229</f>
        <v>0</v>
      </c>
      <c r="C229" s="293"/>
      <c r="D229" s="2363" t="s">
        <v>279</v>
      </c>
      <c r="E229" s="2364"/>
      <c r="F229" s="1401">
        <f>+Q229</f>
        <v>0</v>
      </c>
      <c r="H229" s="2373" t="s">
        <v>280</v>
      </c>
      <c r="I229" s="2374"/>
      <c r="J229" s="2374"/>
      <c r="K229" s="2451" t="str">
        <f>+S229</f>
        <v>0</v>
      </c>
      <c r="L229" s="2451"/>
      <c r="M229" s="2452"/>
      <c r="N229" s="16"/>
      <c r="O229" s="96"/>
      <c r="P229" s="220">
        <f>B205*D214/100</f>
        <v>0</v>
      </c>
      <c r="Q229" s="221">
        <f>B205-B229-K229</f>
        <v>0</v>
      </c>
      <c r="R229" s="222"/>
      <c r="S229" s="221" t="str">
        <f>IF(F230+K230=0,"0",B205*E214/100*((D205-F230)/(K230-F230)))</f>
        <v>0</v>
      </c>
      <c r="T229" s="223">
        <f>S229*(1/0.9)</f>
        <v>0</v>
      </c>
      <c r="U229" s="160"/>
      <c r="V229" s="160"/>
      <c r="W229" s="160"/>
      <c r="X229" s="2818"/>
      <c r="Y229" s="2818"/>
      <c r="Z229" s="2818"/>
      <c r="AA229" s="160"/>
      <c r="AB229" s="160"/>
      <c r="AC229" s="160"/>
      <c r="AD229" s="160"/>
      <c r="AE229" s="160"/>
      <c r="AF229" s="160"/>
      <c r="AG229" s="160"/>
      <c r="AH229" s="160"/>
      <c r="AI229" s="160"/>
      <c r="AJ229" s="160"/>
      <c r="AK229" s="160"/>
      <c r="AL229" s="160"/>
      <c r="AM229" s="160"/>
      <c r="AN229" s="160"/>
      <c r="AO229" s="160"/>
      <c r="AP229" s="160"/>
      <c r="AQ229" s="160"/>
      <c r="AR229" s="160"/>
      <c r="AS229" s="160"/>
      <c r="AT229" s="160"/>
      <c r="AU229" s="160"/>
      <c r="AV229" s="160"/>
      <c r="AW229" s="160"/>
      <c r="AX229" s="160"/>
      <c r="AY229" s="160"/>
      <c r="AZ229" s="160"/>
      <c r="BA229" s="160"/>
      <c r="BB229" s="160"/>
      <c r="BC229" s="160"/>
      <c r="BD229" s="160"/>
      <c r="BE229" s="160"/>
      <c r="BF229" s="160"/>
      <c r="BG229" s="160"/>
      <c r="BH229" s="160"/>
      <c r="BI229" s="160"/>
      <c r="BJ229" s="160"/>
      <c r="BK229" s="160"/>
      <c r="BL229" s="657"/>
      <c r="BM229" s="160"/>
      <c r="BN229" s="160"/>
      <c r="BO229" s="160"/>
      <c r="BP229" s="160"/>
      <c r="BQ229" s="160"/>
      <c r="BR229" s="160"/>
      <c r="BS229" s="160"/>
      <c r="BT229" s="160"/>
      <c r="BU229" s="160"/>
      <c r="BV229" s="160"/>
      <c r="BW229" s="160"/>
      <c r="BX229" s="160"/>
      <c r="CO229" s="203">
        <f>+AI298</f>
        <v>0</v>
      </c>
      <c r="CP229" s="224">
        <f>IF(T229=" ",0,CO229*T229)</f>
        <v>0</v>
      </c>
      <c r="CQ229" s="96"/>
      <c r="CR229" s="96"/>
      <c r="CS229" s="96"/>
      <c r="CT229" s="96"/>
      <c r="CU229" s="96"/>
      <c r="CV229" s="96"/>
      <c r="CW229" s="96"/>
      <c r="CX229" s="96"/>
      <c r="CY229" s="96"/>
      <c r="CZ229" s="96"/>
      <c r="DA229" s="96"/>
      <c r="DB229" s="96"/>
      <c r="DC229" s="96"/>
      <c r="DD229" s="96"/>
      <c r="DE229" s="96"/>
      <c r="DF229" s="96"/>
      <c r="DG229" s="96"/>
      <c r="DH229" s="96"/>
      <c r="DI229" s="96"/>
      <c r="DJ229" s="96"/>
      <c r="DK229" s="96"/>
      <c r="DL229" s="96"/>
      <c r="DM229" s="96"/>
      <c r="DN229" s="96"/>
      <c r="DO229" s="96"/>
      <c r="DP229" s="96"/>
      <c r="DQ229" s="96"/>
      <c r="DX229" s="2172"/>
      <c r="FK229" s="1913"/>
    </row>
    <row r="230" spans="1:167" s="115" customFormat="1" ht="15.75" customHeight="1" x14ac:dyDescent="0.2">
      <c r="A230" s="1910" t="s">
        <v>281</v>
      </c>
      <c r="B230" s="1405" t="str">
        <f>IF(B229=0,"",D205)</f>
        <v/>
      </c>
      <c r="C230" s="300"/>
      <c r="D230" s="2309" t="s">
        <v>281</v>
      </c>
      <c r="E230" s="2310"/>
      <c r="F230" s="1541"/>
      <c r="H230" s="2339" t="s">
        <v>281</v>
      </c>
      <c r="I230" s="2340"/>
      <c r="J230" s="2340"/>
      <c r="K230" s="2453"/>
      <c r="L230" s="2453"/>
      <c r="M230" s="2454"/>
      <c r="N230" s="16"/>
      <c r="O230" s="96"/>
      <c r="P230" s="160"/>
      <c r="Q230" s="160"/>
      <c r="R230" s="160"/>
      <c r="S230" s="160"/>
      <c r="T230" s="160"/>
      <c r="U230" s="160"/>
      <c r="V230" s="160"/>
      <c r="W230" s="160"/>
      <c r="X230" s="160"/>
      <c r="Y230" s="160"/>
      <c r="Z230" s="160"/>
      <c r="AA230" s="160"/>
      <c r="AB230" s="160"/>
      <c r="AC230" s="160"/>
      <c r="AD230" s="160"/>
      <c r="AE230" s="160"/>
      <c r="AF230" s="160"/>
      <c r="AG230" s="160"/>
      <c r="AH230" s="160"/>
      <c r="AI230" s="160"/>
      <c r="AJ230" s="160"/>
      <c r="AK230" s="160"/>
      <c r="AL230" s="160"/>
      <c r="AM230" s="160"/>
      <c r="AN230" s="160"/>
      <c r="AO230" s="160"/>
      <c r="AP230" s="160"/>
      <c r="AQ230" s="160"/>
      <c r="AR230" s="160"/>
      <c r="AS230" s="160"/>
      <c r="AT230" s="160"/>
      <c r="AU230" s="160"/>
      <c r="AV230" s="160"/>
      <c r="AW230" s="160"/>
      <c r="AX230" s="160"/>
      <c r="AY230" s="160"/>
      <c r="AZ230" s="160"/>
      <c r="BA230" s="160"/>
      <c r="BB230" s="160"/>
      <c r="BC230" s="160"/>
      <c r="BD230" s="160"/>
      <c r="BE230" s="160"/>
      <c r="BF230" s="160"/>
      <c r="BG230" s="160"/>
      <c r="BH230" s="160"/>
      <c r="BI230" s="160"/>
      <c r="BJ230" s="160"/>
      <c r="BK230" s="160"/>
      <c r="BL230" s="657"/>
      <c r="BM230" s="160"/>
      <c r="BN230" s="160"/>
      <c r="BO230" s="160"/>
      <c r="BP230" s="160"/>
      <c r="BQ230" s="160"/>
      <c r="BR230" s="160"/>
      <c r="BS230" s="160"/>
      <c r="BT230" s="160"/>
      <c r="BU230" s="160"/>
      <c r="BV230" s="160"/>
      <c r="BW230" s="160"/>
      <c r="BX230" s="160"/>
      <c r="CO230" s="204"/>
      <c r="CP230" s="218"/>
      <c r="CQ230" s="96"/>
      <c r="CR230" s="96"/>
      <c r="CS230" s="96"/>
      <c r="CT230" s="96"/>
      <c r="CU230" s="96"/>
      <c r="CV230" s="96"/>
      <c r="CW230" s="96"/>
      <c r="CX230" s="96"/>
      <c r="CY230" s="96"/>
      <c r="CZ230" s="96"/>
      <c r="DA230" s="96"/>
      <c r="DB230" s="96"/>
      <c r="DC230" s="96"/>
      <c r="DD230" s="96"/>
      <c r="DE230" s="96"/>
      <c r="DF230" s="96"/>
      <c r="DG230" s="96"/>
      <c r="DH230" s="96"/>
      <c r="DI230" s="96"/>
      <c r="DJ230" s="96"/>
      <c r="DK230" s="96"/>
      <c r="DL230" s="96"/>
      <c r="DM230" s="96"/>
      <c r="DN230" s="96"/>
      <c r="DO230" s="96"/>
      <c r="DP230" s="96"/>
      <c r="DQ230" s="96"/>
      <c r="DX230" s="2172"/>
    </row>
    <row r="231" spans="1:167" s="115" customFormat="1" ht="15.75" customHeight="1" x14ac:dyDescent="0.2">
      <c r="A231" s="1910" t="s">
        <v>8660</v>
      </c>
      <c r="B231" s="1406" t="str">
        <f>IF(B229=0,"",E205)</f>
        <v/>
      </c>
      <c r="C231" s="116"/>
      <c r="D231" s="2297" t="s">
        <v>8660</v>
      </c>
      <c r="E231" s="2298"/>
      <c r="F231" s="1402" t="str">
        <f>IF(OR($F$229=0,$F$230=""),"",Z215)</f>
        <v/>
      </c>
      <c r="H231" s="2326" t="s">
        <v>8664</v>
      </c>
      <c r="I231" s="2327"/>
      <c r="J231" s="2327"/>
      <c r="K231" s="2307" t="str">
        <f>IF(OR($K$229=0,$K$229="0",$K$230=""),"",AA215)</f>
        <v/>
      </c>
      <c r="L231" s="2307"/>
      <c r="M231" s="2308"/>
      <c r="N231" s="16"/>
      <c r="O231" s="96"/>
      <c r="P231" s="160"/>
      <c r="Q231" s="160"/>
      <c r="R231" s="160"/>
      <c r="S231" s="160"/>
      <c r="T231" s="160"/>
      <c r="U231" s="160"/>
      <c r="V231" s="160"/>
      <c r="W231" s="160"/>
      <c r="X231" s="160"/>
      <c r="Y231" s="160"/>
      <c r="Z231" s="160"/>
      <c r="AA231" s="160"/>
      <c r="AB231" s="160"/>
      <c r="AC231" s="160"/>
      <c r="AD231" s="160"/>
      <c r="AE231" s="160"/>
      <c r="AF231" s="160"/>
      <c r="AG231" s="160"/>
      <c r="AH231" s="160"/>
      <c r="AI231" s="160"/>
      <c r="AJ231" s="160"/>
      <c r="AK231" s="160"/>
      <c r="AL231" s="160"/>
      <c r="AM231" s="160"/>
      <c r="AN231" s="160"/>
      <c r="AO231" s="160"/>
      <c r="AP231" s="160"/>
      <c r="AQ231" s="160"/>
      <c r="AR231" s="160"/>
      <c r="AS231" s="160"/>
      <c r="AT231" s="160"/>
      <c r="AU231" s="160"/>
      <c r="AV231" s="160"/>
      <c r="AW231" s="160"/>
      <c r="AX231" s="160"/>
      <c r="AY231" s="160"/>
      <c r="AZ231" s="160"/>
      <c r="BA231" s="160"/>
      <c r="BB231" s="160"/>
      <c r="BC231" s="160"/>
      <c r="BD231" s="160"/>
      <c r="BE231" s="160"/>
      <c r="BF231" s="160"/>
      <c r="BG231" s="160"/>
      <c r="BH231" s="160"/>
      <c r="BI231" s="160"/>
      <c r="BJ231" s="160"/>
      <c r="BK231" s="160"/>
      <c r="BL231" s="657"/>
      <c r="BM231" s="160"/>
      <c r="BN231" s="160"/>
      <c r="BO231" s="160"/>
      <c r="BP231" s="160"/>
      <c r="BQ231" s="160"/>
      <c r="BR231" s="160"/>
      <c r="BS231" s="160"/>
      <c r="BT231" s="160"/>
      <c r="BU231" s="160"/>
      <c r="BV231" s="160"/>
      <c r="BW231" s="160"/>
      <c r="BX231" s="160"/>
      <c r="CO231" s="204"/>
      <c r="CP231" s="199"/>
      <c r="CQ231" s="96"/>
      <c r="CR231" s="96"/>
      <c r="CS231" s="96"/>
      <c r="CT231" s="96"/>
      <c r="CU231" s="96"/>
      <c r="CV231" s="96"/>
      <c r="CW231" s="96"/>
      <c r="CX231" s="96"/>
      <c r="CY231" s="96"/>
      <c r="CZ231" s="96"/>
      <c r="DA231" s="96"/>
      <c r="DB231" s="96"/>
      <c r="DC231" s="96"/>
      <c r="DD231" s="96"/>
      <c r="DE231" s="96"/>
      <c r="DF231" s="96"/>
      <c r="DG231" s="96"/>
      <c r="DH231" s="96"/>
      <c r="DI231" s="96"/>
      <c r="DJ231" s="96"/>
      <c r="DK231" s="96"/>
      <c r="DL231" s="96"/>
      <c r="DM231" s="96"/>
      <c r="DN231" s="96"/>
      <c r="DO231" s="96"/>
      <c r="DP231" s="96"/>
      <c r="DQ231" s="96"/>
      <c r="DX231" s="2172"/>
    </row>
    <row r="232" spans="1:167" s="115" customFormat="1" ht="15.75" customHeight="1" x14ac:dyDescent="0.2">
      <c r="A232" s="1910" t="s">
        <v>8661</v>
      </c>
      <c r="B232" s="1402" t="str">
        <f>IF(B229=0,"",F205)</f>
        <v/>
      </c>
      <c r="C232" s="116"/>
      <c r="D232" s="2297" t="s">
        <v>8661</v>
      </c>
      <c r="E232" s="2298"/>
      <c r="F232" s="1402" t="str">
        <f>IF(OR($F$229=0,$F$230=""),"",Z216)</f>
        <v/>
      </c>
      <c r="H232" s="2326" t="s">
        <v>8665</v>
      </c>
      <c r="I232" s="2327"/>
      <c r="J232" s="2327"/>
      <c r="K232" s="2307" t="str">
        <f>IF(OR($K$229=0,$K$229="0",$K$230=""),"",AA216)</f>
        <v/>
      </c>
      <c r="L232" s="2307"/>
      <c r="M232" s="2308"/>
      <c r="N232" s="16"/>
      <c r="O232" s="96"/>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c r="AM232" s="160"/>
      <c r="AN232" s="160"/>
      <c r="AO232" s="160"/>
      <c r="AP232" s="160"/>
      <c r="AQ232" s="160"/>
      <c r="AR232" s="160"/>
      <c r="AS232" s="160"/>
      <c r="AT232" s="160"/>
      <c r="AU232" s="160"/>
      <c r="AV232" s="160"/>
      <c r="AW232" s="160"/>
      <c r="AX232" s="160"/>
      <c r="AY232" s="160"/>
      <c r="AZ232" s="160"/>
      <c r="BA232" s="160"/>
      <c r="BB232" s="160"/>
      <c r="BC232" s="160"/>
      <c r="BD232" s="160"/>
      <c r="BE232" s="160"/>
      <c r="BF232" s="160"/>
      <c r="BG232" s="160"/>
      <c r="BH232" s="160"/>
      <c r="BI232" s="160"/>
      <c r="BJ232" s="160"/>
      <c r="BK232" s="160"/>
      <c r="BL232" s="657"/>
      <c r="BM232" s="160"/>
      <c r="BN232" s="160"/>
      <c r="BO232" s="160"/>
      <c r="BP232" s="160"/>
      <c r="BQ232" s="160"/>
      <c r="BR232" s="160"/>
      <c r="BS232" s="160"/>
      <c r="BT232" s="160"/>
      <c r="BU232" s="160"/>
      <c r="BV232" s="160"/>
      <c r="BW232" s="160"/>
      <c r="BX232" s="160"/>
      <c r="CO232" s="204"/>
      <c r="CP232" s="199"/>
      <c r="CQ232" s="96"/>
      <c r="CR232" s="96"/>
      <c r="CS232" s="96"/>
      <c r="CT232" s="96"/>
      <c r="CU232" s="96"/>
      <c r="CV232" s="96"/>
      <c r="CW232" s="96"/>
      <c r="CX232" s="96"/>
      <c r="CY232" s="96"/>
      <c r="CZ232" s="96"/>
      <c r="DA232" s="96"/>
      <c r="DB232" s="96"/>
      <c r="DC232" s="96"/>
      <c r="DD232" s="96"/>
      <c r="DE232" s="96"/>
      <c r="DF232" s="96"/>
      <c r="DG232" s="96"/>
      <c r="DH232" s="96"/>
      <c r="DI232" s="96"/>
      <c r="DJ232" s="96"/>
      <c r="DK232" s="96"/>
      <c r="DL232" s="96"/>
      <c r="DM232" s="96"/>
      <c r="DN232" s="96"/>
      <c r="DO232" s="96"/>
      <c r="DP232" s="96"/>
      <c r="DQ232" s="96"/>
      <c r="DX232" s="2172"/>
    </row>
    <row r="233" spans="1:167" s="117" customFormat="1" ht="15.75" x14ac:dyDescent="0.2">
      <c r="A233" s="1910" t="s">
        <v>8662</v>
      </c>
      <c r="B233" s="1406" t="str">
        <f>IF(B229=0,"",G205)</f>
        <v/>
      </c>
      <c r="D233" s="2297" t="s">
        <v>8662</v>
      </c>
      <c r="E233" s="2298"/>
      <c r="F233" s="1402" t="str">
        <f>IF(OR($F$229=0,$F$230=""),"",Z217)</f>
        <v/>
      </c>
      <c r="H233" s="2328" t="s">
        <v>8666</v>
      </c>
      <c r="I233" s="2329"/>
      <c r="J233" s="2329"/>
      <c r="K233" s="2307" t="str">
        <f>IF(OR($K$229=0,$K$229="0",$K$230=""),"",AA217)</f>
        <v/>
      </c>
      <c r="L233" s="2307"/>
      <c r="M233" s="2308"/>
      <c r="N233" s="9"/>
      <c r="P233" s="147"/>
      <c r="Q233" s="147"/>
      <c r="R233" s="147"/>
      <c r="S233" s="147"/>
      <c r="T233" s="147"/>
      <c r="U233" s="147"/>
      <c r="V233" s="147"/>
      <c r="W233" s="147"/>
      <c r="X233" s="147"/>
      <c r="Y233" s="147"/>
      <c r="Z233" s="147"/>
      <c r="AA233" s="147"/>
      <c r="AB233" s="147"/>
      <c r="AC233" s="147"/>
      <c r="AD233" s="147"/>
      <c r="AE233" s="147"/>
      <c r="AF233" s="147"/>
      <c r="AG233" s="147"/>
      <c r="AH233" s="147"/>
      <c r="AI233" s="147"/>
      <c r="AJ233" s="147"/>
      <c r="AK233" s="147"/>
      <c r="AL233" s="147"/>
      <c r="AM233" s="147"/>
      <c r="AN233" s="147"/>
      <c r="AO233" s="147"/>
      <c r="AP233" s="147"/>
      <c r="AQ233" s="147"/>
      <c r="AR233" s="147"/>
      <c r="AS233" s="147"/>
      <c r="AT233" s="147"/>
      <c r="AU233" s="147"/>
      <c r="AV233" s="147"/>
      <c r="AW233" s="147"/>
      <c r="AX233" s="147"/>
      <c r="AY233" s="147"/>
      <c r="AZ233" s="147"/>
      <c r="BA233" s="147"/>
      <c r="BB233" s="147"/>
      <c r="BC233" s="147"/>
      <c r="BD233" s="147"/>
      <c r="BE233" s="147"/>
      <c r="BF233" s="147"/>
      <c r="BG233" s="147"/>
      <c r="BH233" s="147"/>
      <c r="BI233" s="147"/>
      <c r="BJ233" s="147"/>
      <c r="BK233" s="147"/>
      <c r="BL233" s="147"/>
      <c r="BM233" s="147"/>
      <c r="BN233" s="147"/>
      <c r="BO233" s="147"/>
      <c r="BP233" s="147"/>
      <c r="BQ233" s="147"/>
      <c r="BR233" s="147"/>
      <c r="BS233" s="147"/>
      <c r="BT233" s="147"/>
      <c r="BU233" s="147"/>
      <c r="BV233" s="147"/>
      <c r="BW233" s="147"/>
      <c r="BX233" s="147"/>
      <c r="CO233" s="225"/>
      <c r="CP233" s="199"/>
      <c r="DX233" s="2171"/>
    </row>
    <row r="234" spans="1:167" s="117" customFormat="1" ht="16.5" thickBot="1" x14ac:dyDescent="0.25">
      <c r="A234" s="1911" t="s">
        <v>8663</v>
      </c>
      <c r="B234" s="1407" t="str">
        <f>IF(B229=0,"",H205)</f>
        <v/>
      </c>
      <c r="D234" s="2299" t="s">
        <v>8663</v>
      </c>
      <c r="E234" s="2300"/>
      <c r="F234" s="1403" t="str">
        <f>IF(OR($F$229=0,$F$230=""),"",Z218)</f>
        <v/>
      </c>
      <c r="H234" s="2330" t="s">
        <v>8667</v>
      </c>
      <c r="I234" s="2331"/>
      <c r="J234" s="2331"/>
      <c r="K234" s="2320" t="str">
        <f>IF(OR($K$229=0,$K$229="0",$K$230=""),"",AA218)</f>
        <v/>
      </c>
      <c r="L234" s="2320"/>
      <c r="M234" s="2321"/>
      <c r="N234" s="9"/>
      <c r="P234" s="147"/>
      <c r="Q234" s="147"/>
      <c r="R234" s="147"/>
      <c r="S234" s="147"/>
      <c r="T234" s="147"/>
      <c r="U234" s="147"/>
      <c r="V234" s="160"/>
      <c r="W234" s="160"/>
      <c r="X234" s="147"/>
      <c r="Y234" s="147"/>
      <c r="Z234" s="147"/>
      <c r="AA234" s="147"/>
      <c r="AB234" s="147"/>
      <c r="AC234" s="147"/>
      <c r="AD234" s="147"/>
      <c r="AE234" s="147"/>
      <c r="AF234" s="147"/>
      <c r="AG234" s="147"/>
      <c r="AH234" s="147"/>
      <c r="AI234" s="147"/>
      <c r="AJ234" s="147"/>
      <c r="AK234" s="147"/>
      <c r="AL234" s="147"/>
      <c r="AM234" s="147"/>
      <c r="AN234" s="147"/>
      <c r="AO234" s="147"/>
      <c r="AP234" s="147"/>
      <c r="AQ234" s="147"/>
      <c r="AR234" s="147"/>
      <c r="AS234" s="147"/>
      <c r="AT234" s="147"/>
      <c r="AU234" s="147"/>
      <c r="AV234" s="147"/>
      <c r="AW234" s="147"/>
      <c r="AX234" s="147"/>
      <c r="AY234" s="147"/>
      <c r="AZ234" s="147"/>
      <c r="BA234" s="147"/>
      <c r="BB234" s="147"/>
      <c r="BC234" s="147"/>
      <c r="BD234" s="147"/>
      <c r="BE234" s="147"/>
      <c r="BF234" s="147"/>
      <c r="BG234" s="147"/>
      <c r="BH234" s="147"/>
      <c r="BI234" s="147"/>
      <c r="BJ234" s="147"/>
      <c r="BK234" s="147"/>
      <c r="BL234" s="147"/>
      <c r="BM234" s="147"/>
      <c r="BN234" s="147"/>
      <c r="BO234" s="147"/>
      <c r="BP234" s="147"/>
      <c r="BQ234" s="147"/>
      <c r="BR234" s="147"/>
      <c r="BS234" s="147"/>
      <c r="BT234" s="147"/>
      <c r="BU234" s="147"/>
      <c r="BV234" s="147"/>
      <c r="BW234" s="147"/>
      <c r="BX234" s="147"/>
      <c r="CO234" s="225"/>
      <c r="CP234" s="199"/>
      <c r="DX234" s="2171"/>
    </row>
    <row r="235" spans="1:167" s="115" customFormat="1" ht="15.75" customHeight="1" x14ac:dyDescent="0.2">
      <c r="G235" s="1271" t="str">
        <f>IF(OR(F229&lt;-0.01,K229&lt;0.01,AND(E214&gt;0,OR(F230="",K230=""))),"Fehler TS","")</f>
        <v/>
      </c>
      <c r="N235" s="16"/>
      <c r="O235" s="96"/>
      <c r="P235" s="160"/>
      <c r="Q235" s="207"/>
      <c r="R235" s="160"/>
      <c r="S235" s="160"/>
      <c r="T235" s="160"/>
      <c r="U235" s="160"/>
      <c r="V235" s="160"/>
      <c r="W235" s="160"/>
      <c r="X235" s="160"/>
      <c r="Y235" s="160"/>
      <c r="Z235" s="160"/>
      <c r="AA235" s="160"/>
      <c r="AB235" s="160"/>
      <c r="AC235" s="160"/>
      <c r="AD235" s="160"/>
      <c r="AE235" s="160"/>
      <c r="AF235" s="160"/>
      <c r="AG235" s="160"/>
      <c r="AH235" s="160"/>
      <c r="AI235" s="160"/>
      <c r="AJ235" s="160"/>
      <c r="AK235" s="160"/>
      <c r="AL235" s="160"/>
      <c r="AM235" s="160"/>
      <c r="AN235" s="160"/>
      <c r="AO235" s="160"/>
      <c r="AP235" s="160"/>
      <c r="AQ235" s="160"/>
      <c r="AR235" s="160"/>
      <c r="AS235" s="160"/>
      <c r="AT235" s="160"/>
      <c r="AU235" s="160"/>
      <c r="AV235" s="160"/>
      <c r="AW235" s="160"/>
      <c r="AX235" s="160"/>
      <c r="AY235" s="160"/>
      <c r="AZ235" s="160"/>
      <c r="BA235" s="160"/>
      <c r="BB235" s="160"/>
      <c r="BC235" s="160"/>
      <c r="BD235" s="160"/>
      <c r="BE235" s="160"/>
      <c r="BF235" s="160"/>
      <c r="BG235" s="160"/>
      <c r="BH235" s="160"/>
      <c r="BI235" s="160"/>
      <c r="BJ235" s="160"/>
      <c r="BK235" s="160"/>
      <c r="BL235" s="657"/>
      <c r="BM235" s="160"/>
      <c r="BN235" s="160"/>
      <c r="BO235" s="160"/>
      <c r="BP235" s="160"/>
      <c r="BQ235" s="160"/>
      <c r="BR235" s="160"/>
      <c r="BS235" s="160"/>
      <c r="BT235" s="160"/>
      <c r="BU235" s="160"/>
      <c r="BV235" s="160"/>
      <c r="BW235" s="160"/>
      <c r="BX235" s="160"/>
      <c r="CO235" s="204"/>
      <c r="CP235" s="199"/>
      <c r="CQ235" s="96"/>
      <c r="CR235" s="96"/>
      <c r="CS235" s="96"/>
      <c r="CT235" s="96"/>
      <c r="CU235" s="96"/>
      <c r="CV235" s="96"/>
      <c r="CW235" s="96"/>
      <c r="CX235" s="96"/>
      <c r="CY235" s="96"/>
      <c r="CZ235" s="96"/>
      <c r="DA235" s="96"/>
      <c r="DB235" s="96"/>
      <c r="DC235" s="96"/>
      <c r="DD235" s="96"/>
      <c r="DE235" s="96"/>
      <c r="DF235" s="96"/>
      <c r="DG235" s="96"/>
      <c r="DH235" s="96"/>
      <c r="DI235" s="96"/>
      <c r="DJ235" s="96"/>
      <c r="DK235" s="96"/>
      <c r="DL235" s="96"/>
      <c r="DM235" s="96"/>
      <c r="DN235" s="96"/>
      <c r="DO235" s="96"/>
      <c r="DP235" s="96"/>
      <c r="DQ235" s="96"/>
      <c r="DX235" s="2172"/>
    </row>
    <row r="236" spans="1:167" s="115" customFormat="1" ht="15.75" customHeight="1" thickBot="1" x14ac:dyDescent="0.25">
      <c r="N236" s="16"/>
      <c r="O236" s="96"/>
      <c r="P236" s="395">
        <f>B229+F229</f>
        <v>0</v>
      </c>
      <c r="Q236" s="207"/>
      <c r="R236" s="160"/>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0"/>
      <c r="AU236" s="160"/>
      <c r="AV236" s="160"/>
      <c r="AW236" s="160"/>
      <c r="AX236" s="160"/>
      <c r="AY236" s="160"/>
      <c r="AZ236" s="160"/>
      <c r="BA236" s="160"/>
      <c r="BB236" s="160"/>
      <c r="BC236" s="160"/>
      <c r="BD236" s="160"/>
      <c r="BE236" s="160"/>
      <c r="BF236" s="160"/>
      <c r="BG236" s="160"/>
      <c r="BH236" s="160"/>
      <c r="BI236" s="160"/>
      <c r="BJ236" s="160"/>
      <c r="BK236" s="160"/>
      <c r="BL236" s="657"/>
      <c r="BM236" s="160"/>
      <c r="BN236" s="160"/>
      <c r="BO236" s="160"/>
      <c r="BP236" s="160"/>
      <c r="BQ236" s="160"/>
      <c r="BR236" s="160"/>
      <c r="BS236" s="160"/>
      <c r="BT236" s="160"/>
      <c r="BU236" s="160"/>
      <c r="BV236" s="160"/>
      <c r="BW236" s="160"/>
      <c r="BX236" s="160"/>
      <c r="CO236" s="204"/>
      <c r="CP236" s="199"/>
      <c r="CQ236" s="96"/>
      <c r="CR236" s="96"/>
      <c r="CS236" s="96"/>
      <c r="CT236" s="96"/>
      <c r="CU236" s="96"/>
      <c r="CV236" s="96"/>
      <c r="CW236" s="96"/>
      <c r="CX236" s="96"/>
      <c r="CY236" s="96"/>
      <c r="CZ236" s="96"/>
      <c r="DA236" s="96"/>
      <c r="DB236" s="96"/>
      <c r="DC236" s="96"/>
      <c r="DD236" s="96"/>
      <c r="DE236" s="96"/>
      <c r="DF236" s="96"/>
      <c r="DG236" s="96"/>
      <c r="DH236" s="96"/>
      <c r="DI236" s="96"/>
      <c r="DJ236" s="96"/>
      <c r="DK236" s="96"/>
      <c r="DL236" s="96"/>
      <c r="DM236" s="96"/>
      <c r="DN236" s="96"/>
      <c r="DO236" s="96"/>
      <c r="DP236" s="96"/>
      <c r="DQ236" s="96"/>
      <c r="DX236" s="2172"/>
    </row>
    <row r="237" spans="1:167" s="115" customFormat="1" ht="38.25" customHeight="1" x14ac:dyDescent="0.2">
      <c r="B237" s="681" t="s">
        <v>903</v>
      </c>
      <c r="C237" s="2322" t="s">
        <v>566</v>
      </c>
      <c r="D237" s="2322"/>
      <c r="E237" s="2243" t="s">
        <v>921</v>
      </c>
      <c r="F237" s="2244"/>
      <c r="H237" s="2430" t="s">
        <v>904</v>
      </c>
      <c r="I237" s="2431"/>
      <c r="J237" s="2255" t="s">
        <v>905</v>
      </c>
      <c r="K237" s="2256"/>
      <c r="L237" s="2455" t="s">
        <v>8248</v>
      </c>
      <c r="M237" s="2456"/>
      <c r="N237" s="16"/>
      <c r="O237" s="96"/>
      <c r="P237" s="160"/>
      <c r="Q237" s="207"/>
      <c r="R237" s="160"/>
      <c r="S237" s="160"/>
      <c r="T237" s="160"/>
      <c r="U237" s="160"/>
      <c r="V237" s="160"/>
      <c r="W237" s="160"/>
      <c r="X237" s="160"/>
      <c r="Y237" s="160"/>
      <c r="Z237" s="160"/>
      <c r="AA237" s="160"/>
      <c r="AB237" s="160"/>
      <c r="AC237" s="160"/>
      <c r="AD237" s="160"/>
      <c r="AE237" s="160"/>
      <c r="AF237" s="160"/>
      <c r="AG237" s="160"/>
      <c r="AH237" s="160"/>
      <c r="AI237" s="160"/>
      <c r="AJ237" s="160"/>
      <c r="AK237" s="160"/>
      <c r="AL237" s="160"/>
      <c r="AM237" s="160"/>
      <c r="AN237" s="160"/>
      <c r="AO237" s="160"/>
      <c r="AP237" s="160"/>
      <c r="AQ237" s="160"/>
      <c r="AR237" s="160"/>
      <c r="AS237" s="160"/>
      <c r="AT237" s="160"/>
      <c r="AU237" s="160"/>
      <c r="AV237" s="160"/>
      <c r="AW237" s="160"/>
      <c r="AX237" s="160"/>
      <c r="AY237" s="160"/>
      <c r="AZ237" s="160"/>
      <c r="BA237" s="160"/>
      <c r="BB237" s="160"/>
      <c r="BC237" s="160"/>
      <c r="BD237" s="160"/>
      <c r="BE237" s="160"/>
      <c r="BF237" s="160"/>
      <c r="BG237" s="160"/>
      <c r="BH237" s="160"/>
      <c r="BI237" s="160"/>
      <c r="BJ237" s="160"/>
      <c r="BK237" s="160"/>
      <c r="BL237" s="657"/>
      <c r="BM237" s="160"/>
      <c r="BN237" s="160"/>
      <c r="BO237" s="160"/>
      <c r="BP237" s="160"/>
      <c r="BQ237" s="160"/>
      <c r="BR237" s="160"/>
      <c r="BS237" s="160"/>
      <c r="BT237" s="160"/>
      <c r="BU237" s="160"/>
      <c r="BV237" s="160"/>
      <c r="BW237" s="160"/>
      <c r="BX237" s="160"/>
      <c r="CO237" s="172"/>
      <c r="CP237" s="189"/>
      <c r="CQ237" s="96"/>
      <c r="CR237" s="96"/>
      <c r="CS237" s="96"/>
      <c r="CT237" s="96"/>
      <c r="CU237" s="96"/>
      <c r="CV237" s="96"/>
      <c r="CW237" s="96"/>
      <c r="CX237" s="96"/>
      <c r="CY237" s="96"/>
      <c r="CZ237" s="96"/>
      <c r="DA237" s="96"/>
      <c r="DB237" s="96"/>
      <c r="DC237" s="96"/>
      <c r="DD237" s="96"/>
      <c r="DE237" s="96"/>
      <c r="DF237" s="96"/>
      <c r="DG237" s="96"/>
      <c r="DH237" s="96"/>
      <c r="DI237" s="96"/>
      <c r="DJ237" s="96"/>
      <c r="DK237" s="96"/>
      <c r="DL237" s="96"/>
      <c r="DM237" s="96"/>
      <c r="DN237" s="96"/>
      <c r="DO237" s="96"/>
      <c r="DP237" s="96"/>
      <c r="DQ237" s="96"/>
      <c r="DX237" s="2172"/>
    </row>
    <row r="238" spans="1:167" s="115" customFormat="1" ht="15.75" customHeight="1" x14ac:dyDescent="0.2">
      <c r="B238" s="2265" t="s">
        <v>279</v>
      </c>
      <c r="C238" s="2827">
        <f>P236</f>
        <v>0</v>
      </c>
      <c r="D238" s="2827"/>
      <c r="E238" s="2245">
        <f>(S88+T88)/2</f>
        <v>0</v>
      </c>
      <c r="F238" s="2246"/>
      <c r="H238" s="2251" t="s">
        <v>227</v>
      </c>
      <c r="I238" s="2252"/>
      <c r="J238" s="2257" t="str">
        <f>+S229</f>
        <v>0</v>
      </c>
      <c r="K238" s="2258"/>
      <c r="L238" s="2257">
        <f>Q91</f>
        <v>0</v>
      </c>
      <c r="M238" s="2312"/>
      <c r="N238" s="16"/>
      <c r="O238" s="96"/>
      <c r="P238" s="660" t="e">
        <f>(F229*F230/100+B229*D205/100)/P236*100</f>
        <v>#DIV/0!</v>
      </c>
      <c r="Q238" s="207"/>
      <c r="R238" s="160"/>
      <c r="S238" s="160"/>
      <c r="T238" s="160"/>
      <c r="U238" s="160"/>
      <c r="V238" s="160"/>
      <c r="W238" s="160"/>
      <c r="X238" s="160"/>
      <c r="Y238" s="160"/>
      <c r="Z238" s="160"/>
      <c r="AA238" s="160"/>
      <c r="AB238" s="160"/>
      <c r="AC238" s="160"/>
      <c r="AD238" s="160"/>
      <c r="AE238" s="160"/>
      <c r="AF238" s="160"/>
      <c r="AG238" s="160"/>
      <c r="AH238" s="160"/>
      <c r="AI238" s="160"/>
      <c r="AJ238" s="160"/>
      <c r="AK238" s="160"/>
      <c r="AL238" s="160"/>
      <c r="AM238" s="160"/>
      <c r="AN238" s="160"/>
      <c r="AO238" s="160"/>
      <c r="AP238" s="160"/>
      <c r="AQ238" s="160"/>
      <c r="AR238" s="160"/>
      <c r="AS238" s="160"/>
      <c r="AT238" s="160"/>
      <c r="AU238" s="160"/>
      <c r="AV238" s="160"/>
      <c r="AW238" s="160"/>
      <c r="AX238" s="160"/>
      <c r="AY238" s="160"/>
      <c r="AZ238" s="160"/>
      <c r="BA238" s="160"/>
      <c r="BB238" s="160"/>
      <c r="BC238" s="160"/>
      <c r="BD238" s="160"/>
      <c r="BE238" s="160"/>
      <c r="BF238" s="160"/>
      <c r="BG238" s="160"/>
      <c r="BH238" s="160"/>
      <c r="BI238" s="160"/>
      <c r="BJ238" s="160"/>
      <c r="BK238" s="160"/>
      <c r="BL238" s="657"/>
      <c r="BM238" s="160"/>
      <c r="BN238" s="160"/>
      <c r="BO238" s="160"/>
      <c r="BP238" s="160"/>
      <c r="BQ238" s="160"/>
      <c r="BR238" s="160"/>
      <c r="BS238" s="160"/>
      <c r="BT238" s="160"/>
      <c r="BU238" s="160"/>
      <c r="BV238" s="160"/>
      <c r="BW238" s="160"/>
      <c r="BX238" s="160"/>
      <c r="CO238" s="203"/>
      <c r="CP238" s="188">
        <f>SUM(CP68:CP237)</f>
        <v>0</v>
      </c>
      <c r="CQ238" s="96"/>
      <c r="CR238" s="96"/>
      <c r="CS238" s="96"/>
      <c r="CT238" s="96"/>
      <c r="CU238" s="96"/>
      <c r="CV238" s="96"/>
      <c r="CW238" s="96"/>
      <c r="CX238" s="96"/>
      <c r="CY238" s="96"/>
      <c r="CZ238" s="96"/>
      <c r="DA238" s="96"/>
      <c r="DB238" s="96"/>
      <c r="DC238" s="96"/>
      <c r="DD238" s="96"/>
      <c r="DE238" s="96"/>
      <c r="DF238" s="96"/>
      <c r="DG238" s="96"/>
      <c r="DH238" s="96"/>
      <c r="DI238" s="96"/>
      <c r="DJ238" s="96"/>
      <c r="DK238" s="96"/>
      <c r="DL238" s="96"/>
      <c r="DM238" s="96"/>
      <c r="DN238" s="96"/>
      <c r="DO238" s="96"/>
      <c r="DP238" s="96"/>
      <c r="DQ238" s="96"/>
      <c r="DX238" s="2172"/>
    </row>
    <row r="239" spans="1:167" s="115" customFormat="1" ht="15.75" customHeight="1" x14ac:dyDescent="0.2">
      <c r="B239" s="2265"/>
      <c r="C239" s="2323">
        <f>C238+E238</f>
        <v>0</v>
      </c>
      <c r="D239" s="2324"/>
      <c r="E239" s="2324"/>
      <c r="F239" s="2325"/>
      <c r="H239" s="2251"/>
      <c r="I239" s="2252"/>
      <c r="J239" s="2314">
        <f>J238+L238</f>
        <v>0</v>
      </c>
      <c r="K239" s="2315"/>
      <c r="L239" s="2315"/>
      <c r="M239" s="2316"/>
      <c r="N239" s="16"/>
      <c r="O239" s="96"/>
      <c r="P239" s="660" t="e">
        <f>(F229*Z215/100+B229*E205/100)/P236*100</f>
        <v>#DIV/0!</v>
      </c>
      <c r="Q239" s="207"/>
      <c r="R239" s="160"/>
      <c r="S239" s="160"/>
      <c r="T239" s="160"/>
      <c r="U239" s="160"/>
      <c r="V239" s="160"/>
      <c r="W239" s="160"/>
      <c r="X239" s="160"/>
      <c r="Y239" s="160"/>
      <c r="Z239" s="160"/>
      <c r="AA239" s="160"/>
      <c r="AB239" s="160"/>
      <c r="AC239" s="160"/>
      <c r="AD239" s="160"/>
      <c r="AE239" s="160"/>
      <c r="AF239" s="160"/>
      <c r="AG239" s="160"/>
      <c r="AH239" s="160"/>
      <c r="AI239" s="160"/>
      <c r="AJ239" s="160"/>
      <c r="AK239" s="160"/>
      <c r="AL239" s="160"/>
      <c r="AM239" s="160"/>
      <c r="AN239" s="160"/>
      <c r="AO239" s="160"/>
      <c r="AP239" s="160"/>
      <c r="AQ239" s="160"/>
      <c r="AR239" s="160"/>
      <c r="AS239" s="160"/>
      <c r="AT239" s="160"/>
      <c r="AU239" s="160"/>
      <c r="AV239" s="160"/>
      <c r="AW239" s="160"/>
      <c r="AX239" s="160"/>
      <c r="AY239" s="160"/>
      <c r="AZ239" s="160"/>
      <c r="BA239" s="160"/>
      <c r="BB239" s="160"/>
      <c r="BC239" s="160"/>
      <c r="BD239" s="160"/>
      <c r="BE239" s="160"/>
      <c r="BF239" s="160"/>
      <c r="BG239" s="160"/>
      <c r="BH239" s="160"/>
      <c r="BI239" s="160"/>
      <c r="BJ239" s="160"/>
      <c r="BK239" s="160"/>
      <c r="BL239" s="657"/>
      <c r="BM239" s="160"/>
      <c r="BN239" s="160"/>
      <c r="BO239" s="160"/>
      <c r="BP239" s="160"/>
      <c r="BQ239" s="160"/>
      <c r="BR239" s="160"/>
      <c r="BS239" s="160"/>
      <c r="BT239" s="160"/>
      <c r="BU239" s="160"/>
      <c r="BV239" s="160"/>
      <c r="BW239" s="160"/>
      <c r="BX239" s="160"/>
      <c r="CO239" s="206"/>
      <c r="CP239" s="257">
        <f>IF(CP238=0,0,CP238/(R88+T229))</f>
        <v>0</v>
      </c>
      <c r="CQ239" s="96"/>
      <c r="CR239" s="96"/>
      <c r="CS239" s="96"/>
      <c r="CT239" s="96"/>
      <c r="CU239" s="96"/>
      <c r="CV239" s="96"/>
      <c r="CW239" s="96"/>
      <c r="CX239" s="96"/>
      <c r="CY239" s="96"/>
      <c r="CZ239" s="96"/>
      <c r="DA239" s="96"/>
      <c r="DB239" s="96"/>
      <c r="DC239" s="96"/>
      <c r="DD239" s="96"/>
      <c r="DE239" s="96"/>
      <c r="DF239" s="96"/>
      <c r="DG239" s="96"/>
      <c r="DH239" s="96"/>
      <c r="DI239" s="96"/>
      <c r="DJ239" s="96"/>
      <c r="DK239" s="96"/>
      <c r="DL239" s="96"/>
      <c r="DM239" s="96"/>
      <c r="DN239" s="96"/>
      <c r="DO239" s="96"/>
      <c r="DP239" s="96"/>
      <c r="DQ239" s="96"/>
      <c r="DX239" s="2172"/>
    </row>
    <row r="240" spans="1:167" s="98" customFormat="1" ht="15.75" customHeight="1" x14ac:dyDescent="0.2">
      <c r="B240" s="1910" t="s">
        <v>281</v>
      </c>
      <c r="C240" s="2311" t="str">
        <f>+IF($C$238=0,"",P238)</f>
        <v/>
      </c>
      <c r="D240" s="2311"/>
      <c r="E240" s="2247" t="str">
        <f>IF(E238=0,"",(AJ92*CQ88+AK92*CR88)/(CQ88+CR88))</f>
        <v/>
      </c>
      <c r="F240" s="2248"/>
      <c r="H240" s="2253" t="s">
        <v>226</v>
      </c>
      <c r="I240" s="2254"/>
      <c r="J240" s="2259">
        <f>+T229</f>
        <v>0</v>
      </c>
      <c r="K240" s="2260"/>
      <c r="L240" s="2259">
        <f>R91</f>
        <v>0</v>
      </c>
      <c r="M240" s="2313"/>
      <c r="N240" s="16"/>
      <c r="O240" s="96"/>
      <c r="P240" s="660" t="e">
        <f>(F229*Z216/100+B229*F205/100)/P236*100</f>
        <v>#DIV/0!</v>
      </c>
      <c r="Q240" s="207"/>
      <c r="R240" s="160"/>
      <c r="S240" s="160"/>
      <c r="T240" s="160"/>
      <c r="U240" s="160"/>
      <c r="V240" s="160"/>
      <c r="W240" s="160"/>
      <c r="X240" s="160"/>
      <c r="Y240" s="160"/>
      <c r="Z240" s="160"/>
      <c r="AA240" s="160"/>
      <c r="AB240" s="160"/>
      <c r="AC240" s="160"/>
      <c r="AD240" s="160"/>
      <c r="AE240" s="160"/>
      <c r="AF240" s="160"/>
      <c r="AG240" s="160"/>
      <c r="AH240" s="160"/>
      <c r="AI240" s="160"/>
      <c r="AJ240" s="160"/>
      <c r="AK240" s="160"/>
      <c r="AL240" s="160"/>
      <c r="AM240" s="160"/>
      <c r="AN240" s="160"/>
      <c r="AO240" s="160"/>
      <c r="AP240" s="160"/>
      <c r="AQ240" s="160"/>
      <c r="AR240" s="160"/>
      <c r="AS240" s="160"/>
      <c r="AT240" s="160"/>
      <c r="AU240" s="160"/>
      <c r="AV240" s="160"/>
      <c r="AW240" s="160"/>
      <c r="AX240" s="160"/>
      <c r="AY240" s="160"/>
      <c r="AZ240" s="160"/>
      <c r="BA240" s="160"/>
      <c r="BB240" s="160"/>
      <c r="BC240" s="160"/>
      <c r="BD240" s="160"/>
      <c r="BE240" s="160"/>
      <c r="BF240" s="160"/>
      <c r="BG240" s="160"/>
      <c r="BH240" s="160"/>
      <c r="BI240" s="160"/>
      <c r="BJ240" s="160"/>
      <c r="BK240" s="160"/>
      <c r="BL240" s="657"/>
      <c r="BM240" s="160"/>
      <c r="BN240" s="160"/>
      <c r="BO240" s="160"/>
      <c r="BP240" s="160"/>
      <c r="BQ240" s="160"/>
      <c r="BR240" s="160"/>
      <c r="BS240" s="160"/>
      <c r="BT240" s="160"/>
      <c r="BU240" s="160"/>
      <c r="BV240" s="160"/>
      <c r="BW240" s="160"/>
      <c r="BX240" s="160"/>
      <c r="BY240" s="160"/>
      <c r="BZ240" s="160"/>
      <c r="CA240" s="160"/>
      <c r="CB240" s="160"/>
      <c r="CC240" s="160"/>
      <c r="CD240" s="160"/>
      <c r="CE240" s="160"/>
      <c r="CF240" s="2120"/>
      <c r="CG240" s="2120"/>
      <c r="CH240" s="2120"/>
      <c r="CI240" s="160"/>
      <c r="CJ240" s="160"/>
      <c r="CK240" s="96"/>
      <c r="CL240" s="678"/>
      <c r="CM240" s="678"/>
      <c r="CN240" s="678"/>
      <c r="CO240" s="96"/>
      <c r="CP240" s="96"/>
      <c r="CQ240" s="96"/>
      <c r="CR240" s="96"/>
      <c r="CS240" s="96"/>
      <c r="CT240" s="96"/>
      <c r="CU240" s="96"/>
      <c r="CV240" s="96"/>
      <c r="DX240" s="2172"/>
    </row>
    <row r="241" spans="1:128" s="98" customFormat="1" ht="15.75" customHeight="1" x14ac:dyDescent="0.2">
      <c r="B241" s="1910" t="s">
        <v>8660</v>
      </c>
      <c r="C241" s="2264" t="str">
        <f>+IF($C$238=0,"",P239)</f>
        <v/>
      </c>
      <c r="D241" s="2264"/>
      <c r="E241" s="2249" t="str">
        <f>IF(E238=0,"",(AB94+AF94)/2)</f>
        <v/>
      </c>
      <c r="F241" s="2250"/>
      <c r="H241" s="2253"/>
      <c r="I241" s="2254"/>
      <c r="J241" s="2317">
        <f>J240+L240</f>
        <v>0</v>
      </c>
      <c r="K241" s="2318"/>
      <c r="L241" s="2318"/>
      <c r="M241" s="2319"/>
      <c r="N241" s="16"/>
      <c r="O241" s="96"/>
      <c r="P241" s="660" t="e">
        <f>(F229*Z217/100+B229*G205/100)/P236*100</f>
        <v>#DIV/0!</v>
      </c>
      <c r="Q241" s="207"/>
      <c r="W241" s="160"/>
      <c r="X241" s="160"/>
      <c r="Y241" s="160"/>
      <c r="Z241" s="160"/>
      <c r="AA241" s="160"/>
      <c r="AB241" s="160"/>
      <c r="AC241" s="160"/>
      <c r="AD241" s="160"/>
      <c r="AE241" s="160"/>
      <c r="AF241" s="160"/>
      <c r="AG241" s="160"/>
      <c r="AH241" s="160"/>
      <c r="AI241" s="160"/>
      <c r="AJ241" s="160"/>
      <c r="AK241" s="160"/>
      <c r="AL241" s="160"/>
      <c r="AM241" s="160"/>
      <c r="AN241" s="160"/>
      <c r="AO241" s="160"/>
      <c r="AP241" s="160"/>
      <c r="AQ241" s="160"/>
      <c r="AR241" s="160"/>
      <c r="AS241" s="160"/>
      <c r="AT241" s="160"/>
      <c r="AU241" s="160"/>
      <c r="AV241" s="160"/>
      <c r="AW241" s="160"/>
      <c r="AX241" s="160"/>
      <c r="AY241" s="160"/>
      <c r="AZ241" s="160"/>
      <c r="BA241" s="160"/>
      <c r="BB241" s="160"/>
      <c r="BC241" s="160"/>
      <c r="BD241" s="160"/>
      <c r="BE241" s="160"/>
      <c r="BF241" s="160"/>
      <c r="BG241" s="160"/>
      <c r="BH241" s="160"/>
      <c r="BI241" s="160"/>
      <c r="BJ241" s="160"/>
      <c r="BK241" s="160"/>
      <c r="BL241" s="657"/>
      <c r="BM241" s="160"/>
      <c r="BN241" s="160"/>
      <c r="BO241" s="160"/>
      <c r="BP241" s="160"/>
      <c r="BQ241" s="160"/>
      <c r="BR241" s="160"/>
      <c r="BS241" s="160"/>
      <c r="BT241" s="160"/>
      <c r="BU241" s="160"/>
      <c r="BV241" s="160"/>
      <c r="BW241" s="160"/>
      <c r="BX241" s="160"/>
      <c r="BY241" s="160"/>
      <c r="BZ241" s="160"/>
      <c r="CA241" s="160"/>
      <c r="CB241" s="160"/>
      <c r="CC241" s="160"/>
      <c r="CD241" s="160"/>
      <c r="CE241" s="160"/>
      <c r="CF241" s="2120"/>
      <c r="CG241" s="2120"/>
      <c r="CH241" s="2120"/>
      <c r="CI241" s="160"/>
      <c r="CJ241" s="160"/>
      <c r="CK241" s="96"/>
      <c r="CL241" s="678"/>
      <c r="CM241" s="678"/>
      <c r="CN241" s="678"/>
      <c r="CO241" s="96"/>
      <c r="CP241" s="96"/>
      <c r="CQ241" s="96"/>
      <c r="CR241" s="96"/>
      <c r="CS241" s="96"/>
      <c r="CT241" s="96"/>
      <c r="CU241" s="96"/>
      <c r="CV241" s="96"/>
      <c r="DX241" s="2172"/>
    </row>
    <row r="242" spans="1:128" s="98" customFormat="1" ht="15.75" customHeight="1" x14ac:dyDescent="0.2">
      <c r="B242" s="1910" t="s">
        <v>8661</v>
      </c>
      <c r="C242" s="2307" t="str">
        <f>+IF($C$238=0,"",P240)</f>
        <v/>
      </c>
      <c r="D242" s="2307"/>
      <c r="E242" s="2249" t="str">
        <f>IF(E238=0,"",CY90/F96)</f>
        <v/>
      </c>
      <c r="F242" s="2250"/>
      <c r="H242" s="2251" t="s">
        <v>281</v>
      </c>
      <c r="I242" s="2252"/>
      <c r="J242" s="2261" t="str">
        <f>IF(J238="0","",K230)</f>
        <v/>
      </c>
      <c r="K242" s="2262"/>
      <c r="L242" s="2261" t="str">
        <f>IF(L238=0,"",AR95)</f>
        <v/>
      </c>
      <c r="M242" s="2263"/>
      <c r="N242" s="16"/>
      <c r="O242" s="96"/>
      <c r="P242" s="660" t="e">
        <f>(F229*Z218/100+B229*H205/100)/P236*100</f>
        <v>#DIV/0!</v>
      </c>
      <c r="Q242" s="207"/>
      <c r="W242" s="160"/>
      <c r="X242" s="160"/>
      <c r="Y242" s="160"/>
      <c r="Z242" s="160"/>
      <c r="AA242" s="160"/>
      <c r="AB242" s="160"/>
      <c r="AC242" s="160"/>
      <c r="AD242" s="160"/>
      <c r="AE242" s="160"/>
      <c r="AF242" s="160"/>
      <c r="AG242" s="160"/>
      <c r="AH242" s="160"/>
      <c r="AI242" s="160"/>
      <c r="AJ242" s="160"/>
      <c r="AK242" s="160"/>
      <c r="AL242" s="160"/>
      <c r="AM242" s="160"/>
      <c r="AN242" s="160"/>
      <c r="AO242" s="160"/>
      <c r="AP242" s="160"/>
      <c r="AQ242" s="160"/>
      <c r="AR242" s="160"/>
      <c r="AS242" s="160"/>
      <c r="AT242" s="160"/>
      <c r="AU242" s="160"/>
      <c r="AV242" s="160"/>
      <c r="AW242" s="160"/>
      <c r="AX242" s="160"/>
      <c r="AY242" s="160"/>
      <c r="AZ242" s="160"/>
      <c r="BA242" s="160"/>
      <c r="BB242" s="160"/>
      <c r="BC242" s="160"/>
      <c r="BD242" s="160"/>
      <c r="BE242" s="160"/>
      <c r="BF242" s="160"/>
      <c r="BG242" s="160"/>
      <c r="BH242" s="160"/>
      <c r="BI242" s="160"/>
      <c r="BJ242" s="160"/>
      <c r="BK242" s="160"/>
      <c r="BL242" s="657"/>
      <c r="BM242" s="160"/>
      <c r="BN242" s="160"/>
      <c r="BO242" s="160"/>
      <c r="BP242" s="160"/>
      <c r="BQ242" s="160"/>
      <c r="BR242" s="160"/>
      <c r="BS242" s="160"/>
      <c r="BT242" s="160"/>
      <c r="BU242" s="160"/>
      <c r="BV242" s="160"/>
      <c r="BW242" s="160"/>
      <c r="BX242" s="160"/>
      <c r="BY242" s="160"/>
      <c r="BZ242" s="160"/>
      <c r="CA242" s="160"/>
      <c r="CB242" s="160"/>
      <c r="CC242" s="160"/>
      <c r="CD242" s="160"/>
      <c r="CE242" s="160"/>
      <c r="CF242" s="2120"/>
      <c r="CG242" s="2120"/>
      <c r="CH242" s="2120"/>
      <c r="CI242" s="160"/>
      <c r="CJ242" s="160"/>
      <c r="CK242" s="96"/>
      <c r="CL242" s="678"/>
      <c r="CM242" s="678"/>
      <c r="CN242" s="678"/>
      <c r="CO242" s="96"/>
      <c r="CP242" s="96"/>
      <c r="CQ242" s="96"/>
      <c r="CR242" s="96"/>
      <c r="CS242" s="96"/>
      <c r="CT242" s="96"/>
      <c r="CU242" s="96"/>
      <c r="CV242" s="96"/>
      <c r="DX242" s="2172"/>
    </row>
    <row r="243" spans="1:128" s="98" customFormat="1" ht="15.75" customHeight="1" x14ac:dyDescent="0.2">
      <c r="B243" s="1910" t="s">
        <v>8662</v>
      </c>
      <c r="C243" s="2264" t="str">
        <f>+IF($C$238=0,"",P241)</f>
        <v/>
      </c>
      <c r="D243" s="2264"/>
      <c r="E243" s="2249" t="str">
        <f>IF(E238=0,"",(AD94+AH94)/2)</f>
        <v/>
      </c>
      <c r="F243" s="2250"/>
      <c r="H243" s="2297" t="s">
        <v>8664</v>
      </c>
      <c r="I243" s="2298"/>
      <c r="J243" s="2261" t="str">
        <f>IF($J$238=0,"",K231)</f>
        <v/>
      </c>
      <c r="K243" s="2262"/>
      <c r="L243" s="2261" t="str">
        <f>IF(L238=0,"",(AS95+AV95)/2)</f>
        <v/>
      </c>
      <c r="M243" s="2263"/>
      <c r="N243" s="16"/>
      <c r="O243" s="96"/>
      <c r="P243" s="160"/>
      <c r="Q243" s="207"/>
      <c r="R243" s="160"/>
      <c r="S243" s="160"/>
      <c r="T243" s="160"/>
      <c r="U243" s="160"/>
      <c r="V243" s="160"/>
      <c r="W243" s="160"/>
      <c r="X243" s="160"/>
      <c r="Y243" s="160"/>
      <c r="Z243" s="160"/>
      <c r="AA243" s="160"/>
      <c r="AB243" s="160"/>
      <c r="AC243" s="160"/>
      <c r="AD243" s="160"/>
      <c r="AE243" s="160"/>
      <c r="AF243" s="160"/>
      <c r="AG243" s="160"/>
      <c r="AH243" s="160"/>
      <c r="AI243" s="160"/>
      <c r="AJ243" s="160"/>
      <c r="AK243" s="160"/>
      <c r="AL243" s="160"/>
      <c r="AM243" s="160"/>
      <c r="AN243" s="160"/>
      <c r="AO243" s="160"/>
      <c r="AP243" s="160"/>
      <c r="AQ243" s="160"/>
      <c r="AR243" s="160"/>
      <c r="AS243" s="160"/>
      <c r="AT243" s="160"/>
      <c r="AU243" s="160"/>
      <c r="AV243" s="160"/>
      <c r="AW243" s="160"/>
      <c r="AX243" s="160"/>
      <c r="AY243" s="160"/>
      <c r="AZ243" s="160"/>
      <c r="BA243" s="160"/>
      <c r="BB243" s="160"/>
      <c r="BC243" s="160"/>
      <c r="BD243" s="160"/>
      <c r="BE243" s="160"/>
      <c r="BF243" s="160"/>
      <c r="BG243" s="160"/>
      <c r="BH243" s="160"/>
      <c r="BI243" s="160"/>
      <c r="BJ243" s="160"/>
      <c r="BK243" s="160"/>
      <c r="BL243" s="657"/>
      <c r="BM243" s="160"/>
      <c r="BN243" s="160"/>
      <c r="BO243" s="160"/>
      <c r="BP243" s="160"/>
      <c r="BQ243" s="160"/>
      <c r="BR243" s="160"/>
      <c r="BS243" s="160"/>
      <c r="BT243" s="160"/>
      <c r="BU243" s="160"/>
      <c r="BV243" s="160"/>
      <c r="BW243" s="160"/>
      <c r="BX243" s="160"/>
      <c r="BY243" s="160"/>
      <c r="BZ243" s="160"/>
      <c r="CA243" s="160"/>
      <c r="CB243" s="160"/>
      <c r="CC243" s="160"/>
      <c r="CD243" s="160"/>
      <c r="CE243" s="160"/>
      <c r="CF243" s="2120"/>
      <c r="CG243" s="2120"/>
      <c r="CH243" s="2120"/>
      <c r="CI243" s="160"/>
      <c r="CJ243" s="160"/>
      <c r="CK243" s="96"/>
      <c r="CL243" s="678"/>
      <c r="CM243" s="678"/>
      <c r="CN243" s="678"/>
      <c r="CO243" s="96"/>
      <c r="CP243" s="96"/>
      <c r="CQ243" s="96"/>
      <c r="CR243" s="96"/>
      <c r="CS243" s="96"/>
      <c r="CT243" s="96"/>
      <c r="CU243" s="96"/>
      <c r="CV243" s="96"/>
      <c r="DX243" s="2172"/>
    </row>
    <row r="244" spans="1:128" s="98" customFormat="1" ht="15.75" customHeight="1" x14ac:dyDescent="0.2">
      <c r="A244" s="677"/>
      <c r="B244" s="1912" t="s">
        <v>8663</v>
      </c>
      <c r="C244" s="2264" t="str">
        <f>+IF($C$238=0,"",P242)</f>
        <v/>
      </c>
      <c r="D244" s="2264"/>
      <c r="E244" s="2249" t="str">
        <f>IF(E238=0,"",(AE94+AI94)/2)</f>
        <v/>
      </c>
      <c r="F244" s="2250"/>
      <c r="G244" s="677"/>
      <c r="H244" s="2297" t="s">
        <v>8665</v>
      </c>
      <c r="I244" s="2298"/>
      <c r="J244" s="2261" t="str">
        <f>IF($J$238=0,"",K232)</f>
        <v/>
      </c>
      <c r="K244" s="2262"/>
      <c r="L244" s="2261" t="str">
        <f>IF(L238=0,"",CZ90/Q91)</f>
        <v/>
      </c>
      <c r="M244" s="2263"/>
      <c r="N244" s="16"/>
      <c r="O244" s="96"/>
      <c r="P244" s="160"/>
      <c r="Q244" s="207"/>
      <c r="R244" s="160"/>
      <c r="S244" s="160"/>
      <c r="T244" s="160"/>
      <c r="U244" s="160"/>
      <c r="V244" s="160"/>
      <c r="W244" s="160"/>
      <c r="X244" s="160"/>
      <c r="Y244" s="160"/>
      <c r="Z244" s="160"/>
      <c r="AA244" s="160"/>
      <c r="AB244" s="160"/>
      <c r="AC244" s="160"/>
      <c r="AD244" s="160"/>
      <c r="AE244" s="160"/>
      <c r="AF244" s="160"/>
      <c r="AG244" s="160"/>
      <c r="AH244" s="160"/>
      <c r="AI244" s="160"/>
      <c r="AJ244" s="160"/>
      <c r="AK244" s="160"/>
      <c r="AL244" s="160"/>
      <c r="AM244" s="160"/>
      <c r="AN244" s="160"/>
      <c r="AO244" s="160"/>
      <c r="AP244" s="160"/>
      <c r="AQ244" s="160"/>
      <c r="AR244" s="160"/>
      <c r="AS244" s="160"/>
      <c r="AT244" s="160"/>
      <c r="AU244" s="160"/>
      <c r="AV244" s="160"/>
      <c r="AW244" s="160"/>
      <c r="AX244" s="160"/>
      <c r="AY244" s="160"/>
      <c r="AZ244" s="160"/>
      <c r="BA244" s="160"/>
      <c r="BB244" s="160"/>
      <c r="BC244" s="160"/>
      <c r="BD244" s="160"/>
      <c r="BE244" s="160"/>
      <c r="BF244" s="160"/>
      <c r="BG244" s="160"/>
      <c r="BH244" s="160"/>
      <c r="BI244" s="160"/>
      <c r="BJ244" s="160"/>
      <c r="BK244" s="160"/>
      <c r="BL244" s="657"/>
      <c r="BM244" s="160"/>
      <c r="BN244" s="160"/>
      <c r="BO244" s="160"/>
      <c r="BP244" s="160"/>
      <c r="BQ244" s="160"/>
      <c r="BR244" s="160"/>
      <c r="BS244" s="160"/>
      <c r="BT244" s="160"/>
      <c r="BU244" s="160"/>
      <c r="BV244" s="160"/>
      <c r="BW244" s="160"/>
      <c r="BX244" s="160"/>
      <c r="BY244" s="160"/>
      <c r="BZ244" s="160"/>
      <c r="CA244" s="160"/>
      <c r="CB244" s="160"/>
      <c r="CC244" s="160"/>
      <c r="CD244" s="160"/>
      <c r="CE244" s="160"/>
      <c r="CF244" s="2120"/>
      <c r="CG244" s="2120"/>
      <c r="CH244" s="2120"/>
      <c r="CI244" s="160"/>
      <c r="CJ244" s="160"/>
      <c r="CK244" s="96"/>
      <c r="CL244" s="678"/>
      <c r="CM244" s="678"/>
      <c r="CN244" s="678"/>
      <c r="CO244" s="96"/>
      <c r="CP244" s="96"/>
      <c r="CQ244" s="96"/>
      <c r="CR244" s="96"/>
      <c r="CS244" s="96"/>
      <c r="CT244" s="96"/>
      <c r="CU244" s="96"/>
      <c r="CV244" s="96"/>
      <c r="DX244" s="2172"/>
    </row>
    <row r="245" spans="1:128" s="98" customFormat="1" ht="15.75" customHeight="1" x14ac:dyDescent="0.2">
      <c r="A245" s="677"/>
      <c r="B245" s="2239" t="s">
        <v>775</v>
      </c>
      <c r="C245" s="2241" t="str">
        <f>IF(C238=0,"","Biogasgärrest flüssig")</f>
        <v/>
      </c>
      <c r="D245" s="2241"/>
      <c r="E245" s="2241" t="str">
        <f>IF(E238=0,"",W99)</f>
        <v/>
      </c>
      <c r="F245" s="2825"/>
      <c r="G245" s="677"/>
      <c r="H245" s="2297" t="s">
        <v>8666</v>
      </c>
      <c r="I245" s="2298"/>
      <c r="J245" s="2261" t="str">
        <f>IF($J$238=0,"",K233)</f>
        <v/>
      </c>
      <c r="K245" s="2262"/>
      <c r="L245" s="2261" t="str">
        <f>IF(L238=0,"",(AT95+AW95)/2)</f>
        <v/>
      </c>
      <c r="M245" s="2263"/>
      <c r="N245" s="16"/>
      <c r="O245" s="96"/>
      <c r="P245" s="160"/>
      <c r="Q245" s="207"/>
      <c r="R245" s="160"/>
      <c r="S245" s="160"/>
      <c r="T245" s="160"/>
      <c r="U245" s="160"/>
      <c r="V245" s="160"/>
      <c r="W245" s="160"/>
      <c r="X245" s="160"/>
      <c r="Y245" s="160"/>
      <c r="Z245" s="160"/>
      <c r="AA245" s="160"/>
      <c r="AB245" s="160"/>
      <c r="AC245" s="160"/>
      <c r="AD245" s="160"/>
      <c r="AE245" s="160"/>
      <c r="AF245" s="160"/>
      <c r="AG245" s="160"/>
      <c r="AH245" s="160"/>
      <c r="AI245" s="160"/>
      <c r="AJ245" s="160"/>
      <c r="AK245" s="160"/>
      <c r="AL245" s="160"/>
      <c r="AM245" s="160"/>
      <c r="AN245" s="160"/>
      <c r="AO245" s="160"/>
      <c r="AP245" s="160"/>
      <c r="AQ245" s="160"/>
      <c r="AR245" s="160"/>
      <c r="AS245" s="160"/>
      <c r="AT245" s="160"/>
      <c r="AU245" s="160"/>
      <c r="AV245" s="160"/>
      <c r="AW245" s="160"/>
      <c r="AX245" s="160"/>
      <c r="AY245" s="160"/>
      <c r="AZ245" s="160"/>
      <c r="BA245" s="160"/>
      <c r="BB245" s="160"/>
      <c r="BC245" s="160"/>
      <c r="BD245" s="160"/>
      <c r="BE245" s="160"/>
      <c r="BF245" s="160"/>
      <c r="BG245" s="160"/>
      <c r="BH245" s="160"/>
      <c r="BI245" s="160"/>
      <c r="BJ245" s="160"/>
      <c r="BK245" s="160"/>
      <c r="BL245" s="657"/>
      <c r="BM245" s="160"/>
      <c r="BN245" s="160"/>
      <c r="BO245" s="160"/>
      <c r="BP245" s="160"/>
      <c r="BQ245" s="160"/>
      <c r="BR245" s="160"/>
      <c r="BS245" s="160"/>
      <c r="BT245" s="160"/>
      <c r="BU245" s="160"/>
      <c r="BV245" s="160"/>
      <c r="BW245" s="160"/>
      <c r="BX245" s="160"/>
      <c r="BY245" s="160"/>
      <c r="BZ245" s="160"/>
      <c r="CA245" s="160"/>
      <c r="CB245" s="160"/>
      <c r="CC245" s="160"/>
      <c r="CD245" s="160"/>
      <c r="CE245" s="160"/>
      <c r="CF245" s="2120"/>
      <c r="CG245" s="2120"/>
      <c r="CH245" s="2120"/>
      <c r="CI245" s="160"/>
      <c r="CJ245" s="160"/>
      <c r="CK245" s="96"/>
      <c r="CL245" s="678"/>
      <c r="CM245" s="678"/>
      <c r="CN245" s="678"/>
      <c r="CO245" s="96"/>
      <c r="CP245" s="96"/>
      <c r="CQ245" s="96"/>
      <c r="CR245" s="96"/>
      <c r="CS245" s="96"/>
      <c r="CT245" s="96"/>
      <c r="CU245" s="96"/>
      <c r="CV245" s="96"/>
      <c r="DX245" s="2172"/>
    </row>
    <row r="246" spans="1:128" s="98" customFormat="1" ht="15.75" customHeight="1" thickBot="1" x14ac:dyDescent="0.25">
      <c r="A246" s="90"/>
      <c r="B246" s="2240"/>
      <c r="C246" s="2242"/>
      <c r="D246" s="2242"/>
      <c r="E246" s="2242"/>
      <c r="F246" s="2826"/>
      <c r="G246" s="656"/>
      <c r="H246" s="2299" t="s">
        <v>8667</v>
      </c>
      <c r="I246" s="2300"/>
      <c r="J246" s="2301" t="str">
        <f>IF($J$238=0,"",K234)</f>
        <v/>
      </c>
      <c r="K246" s="2302"/>
      <c r="L246" s="2280" t="str">
        <f>IF(L238=0,"",(AU95+AX95)/2)</f>
        <v/>
      </c>
      <c r="M246" s="2281"/>
      <c r="N246" s="16"/>
      <c r="O246" s="96"/>
      <c r="P246" s="160"/>
      <c r="Q246" s="207"/>
      <c r="R246" s="160"/>
      <c r="S246" s="160"/>
      <c r="T246" s="160"/>
      <c r="U246" s="160"/>
      <c r="V246" s="160"/>
      <c r="W246" s="160"/>
      <c r="X246" s="160"/>
      <c r="Y246" s="160"/>
      <c r="Z246" s="160"/>
      <c r="AA246" s="160"/>
      <c r="AB246" s="160"/>
      <c r="AC246" s="160"/>
      <c r="AD246" s="160"/>
      <c r="AE246" s="160"/>
      <c r="AF246" s="160"/>
      <c r="AG246" s="160"/>
      <c r="AH246" s="160"/>
      <c r="AI246" s="160"/>
      <c r="AJ246" s="160"/>
      <c r="AK246" s="160"/>
      <c r="AL246" s="160"/>
      <c r="AM246" s="160"/>
      <c r="AN246" s="160"/>
      <c r="AO246" s="160"/>
      <c r="AP246" s="160"/>
      <c r="AQ246" s="160"/>
      <c r="AR246" s="160"/>
      <c r="AS246" s="160"/>
      <c r="AT246" s="160"/>
      <c r="AU246" s="160"/>
      <c r="AV246" s="160"/>
      <c r="AW246" s="160"/>
      <c r="AX246" s="160"/>
      <c r="AY246" s="160"/>
      <c r="AZ246" s="160"/>
      <c r="BA246" s="160"/>
      <c r="BB246" s="160"/>
      <c r="BC246" s="160"/>
      <c r="BD246" s="160"/>
      <c r="BE246" s="160"/>
      <c r="BF246" s="160"/>
      <c r="BG246" s="160"/>
      <c r="BH246" s="160"/>
      <c r="BI246" s="160"/>
      <c r="BJ246" s="160"/>
      <c r="BK246" s="160"/>
      <c r="BL246" s="657"/>
      <c r="BM246" s="160"/>
      <c r="BN246" s="160"/>
      <c r="BO246" s="160"/>
      <c r="BP246" s="160"/>
      <c r="BQ246" s="160"/>
      <c r="BR246" s="160"/>
      <c r="BS246" s="160"/>
      <c r="BT246" s="160"/>
      <c r="BU246" s="160"/>
      <c r="BV246" s="160"/>
      <c r="BW246" s="160"/>
      <c r="BX246" s="160"/>
      <c r="BY246" s="160"/>
      <c r="BZ246" s="160"/>
      <c r="CA246" s="160"/>
      <c r="CB246" s="160"/>
      <c r="CC246" s="160"/>
      <c r="CD246" s="160"/>
      <c r="CE246" s="160"/>
      <c r="CF246" s="2120"/>
      <c r="CG246" s="2120"/>
      <c r="CH246" s="2120"/>
      <c r="CI246" s="160"/>
      <c r="CJ246" s="160"/>
      <c r="CK246" s="96"/>
      <c r="CL246" s="678"/>
      <c r="CM246" s="678"/>
      <c r="CN246" s="678"/>
      <c r="CO246" s="96"/>
      <c r="CP246" s="96"/>
      <c r="CQ246" s="96"/>
      <c r="CR246" s="96"/>
      <c r="CS246" s="96"/>
      <c r="CT246" s="96"/>
      <c r="CU246" s="96"/>
      <c r="CV246" s="96"/>
      <c r="DX246" s="2172"/>
    </row>
    <row r="247" spans="1:128" s="98" customFormat="1" ht="15.75" customHeight="1" x14ac:dyDescent="0.2">
      <c r="N247" s="16"/>
      <c r="O247" s="96"/>
      <c r="P247" s="160"/>
      <c r="Q247" s="207"/>
      <c r="R247" s="160"/>
      <c r="S247" s="160"/>
      <c r="T247" s="160"/>
      <c r="U247" s="160"/>
      <c r="V247" s="160"/>
      <c r="W247" s="160"/>
      <c r="X247" s="160"/>
      <c r="Y247" s="160"/>
      <c r="Z247" s="160"/>
      <c r="AA247" s="160"/>
      <c r="AB247" s="160"/>
      <c r="AC247" s="160"/>
      <c r="AD247" s="160"/>
      <c r="AE247" s="160"/>
      <c r="AF247" s="160"/>
      <c r="AG247" s="160"/>
      <c r="AH247" s="160"/>
      <c r="AI247" s="160"/>
      <c r="AJ247" s="160"/>
      <c r="AK247" s="160"/>
      <c r="AL247" s="160"/>
      <c r="AM247" s="160"/>
      <c r="AN247" s="160"/>
      <c r="AO247" s="160"/>
      <c r="AP247" s="160"/>
      <c r="AQ247" s="160"/>
      <c r="AR247" s="160"/>
      <c r="AS247" s="160"/>
      <c r="AT247" s="160"/>
      <c r="AU247" s="160"/>
      <c r="AV247" s="160"/>
      <c r="AW247" s="160"/>
      <c r="AX247" s="160"/>
      <c r="AY247" s="160"/>
      <c r="AZ247" s="160"/>
      <c r="BA247" s="160"/>
      <c r="BB247" s="160"/>
      <c r="BC247" s="160"/>
      <c r="BD247" s="160"/>
      <c r="BE247" s="160"/>
      <c r="BF247" s="160"/>
      <c r="BG247" s="160"/>
      <c r="BH247" s="160"/>
      <c r="BI247" s="160"/>
      <c r="BJ247" s="160"/>
      <c r="BK247" s="160"/>
      <c r="BL247" s="657"/>
      <c r="BM247" s="160"/>
      <c r="BN247" s="160"/>
      <c r="BO247" s="160"/>
      <c r="BP247" s="160"/>
      <c r="BQ247" s="160"/>
      <c r="BR247" s="160"/>
      <c r="BS247" s="160"/>
      <c r="BT247" s="160"/>
      <c r="BU247" s="160"/>
      <c r="BV247" s="160"/>
      <c r="BW247" s="160"/>
      <c r="BX247" s="160"/>
      <c r="BY247" s="160"/>
      <c r="BZ247" s="160"/>
      <c r="CA247" s="160"/>
      <c r="CB247" s="160"/>
      <c r="CC247" s="160"/>
      <c r="CD247" s="160"/>
      <c r="CE247" s="160"/>
      <c r="CF247" s="2120"/>
      <c r="CG247" s="2120"/>
      <c r="CH247" s="2120"/>
      <c r="CI247" s="160"/>
      <c r="CJ247" s="160"/>
      <c r="CK247" s="96"/>
      <c r="CL247" s="678"/>
      <c r="CM247" s="678"/>
      <c r="CN247" s="678"/>
      <c r="CO247" s="96"/>
      <c r="CP247" s="96"/>
      <c r="CQ247" s="96"/>
      <c r="CR247" s="96"/>
      <c r="CS247" s="96"/>
      <c r="CT247" s="96"/>
      <c r="CU247" s="96"/>
      <c r="CV247" s="96"/>
      <c r="DX247" s="2172"/>
    </row>
    <row r="248" spans="1:128" s="98" customFormat="1" ht="15.75" hidden="1" customHeight="1" x14ac:dyDescent="0.2">
      <c r="A248" s="679"/>
      <c r="B248" s="90"/>
      <c r="C248" s="700"/>
      <c r="D248" s="22"/>
      <c r="E248" s="22"/>
      <c r="F248" s="22"/>
      <c r="G248" s="16"/>
      <c r="H248" s="16"/>
      <c r="I248" s="16"/>
      <c r="J248" s="699"/>
      <c r="K248" s="294"/>
      <c r="L248" s="699"/>
      <c r="M248" s="699"/>
      <c r="N248" s="16"/>
      <c r="O248" s="96"/>
      <c r="P248" s="160"/>
      <c r="Q248" s="207"/>
      <c r="R248" s="160"/>
      <c r="S248" s="160"/>
      <c r="T248" s="160"/>
      <c r="U248" s="160"/>
      <c r="V248" s="160"/>
      <c r="W248" s="160"/>
      <c r="X248" s="160"/>
      <c r="Y248" s="160"/>
      <c r="Z248" s="160"/>
      <c r="AA248" s="160"/>
      <c r="AB248" s="160"/>
      <c r="AC248" s="160"/>
      <c r="AD248" s="160"/>
      <c r="AE248" s="160"/>
      <c r="AF248" s="160"/>
      <c r="AG248" s="160"/>
      <c r="AH248" s="160"/>
      <c r="AI248" s="160"/>
      <c r="AJ248" s="160"/>
      <c r="AK248" s="160"/>
      <c r="AL248" s="160"/>
      <c r="AM248" s="160"/>
      <c r="AN248" s="160"/>
      <c r="AO248" s="160"/>
      <c r="AP248" s="160"/>
      <c r="AQ248" s="160"/>
      <c r="AR248" s="160"/>
      <c r="AS248" s="160"/>
      <c r="AT248" s="160"/>
      <c r="AU248" s="160"/>
      <c r="AV248" s="160"/>
      <c r="AW248" s="160"/>
      <c r="AX248" s="160"/>
      <c r="AY248" s="160"/>
      <c r="AZ248" s="160"/>
      <c r="BA248" s="160"/>
      <c r="BB248" s="160"/>
      <c r="BC248" s="160"/>
      <c r="BD248" s="160"/>
      <c r="BE248" s="160"/>
      <c r="BF248" s="160"/>
      <c r="BG248" s="160"/>
      <c r="BH248" s="160"/>
      <c r="BI248" s="160"/>
      <c r="BJ248" s="160"/>
      <c r="BK248" s="160"/>
      <c r="BL248" s="657"/>
      <c r="BM248" s="160"/>
      <c r="BN248" s="160"/>
      <c r="BO248" s="160"/>
      <c r="BP248" s="160"/>
      <c r="BQ248" s="160"/>
      <c r="BR248" s="160"/>
      <c r="BS248" s="160"/>
      <c r="BT248" s="160"/>
      <c r="BU248" s="160"/>
      <c r="BV248" s="160"/>
      <c r="BW248" s="160"/>
      <c r="BX248" s="160"/>
      <c r="BY248" s="160"/>
      <c r="BZ248" s="160"/>
      <c r="CA248" s="160"/>
      <c r="CB248" s="160"/>
      <c r="CC248" s="160"/>
      <c r="CD248" s="160"/>
      <c r="CE248" s="160"/>
      <c r="CF248" s="2120"/>
      <c r="CG248" s="2120"/>
      <c r="CH248" s="2120"/>
      <c r="CI248" s="160"/>
      <c r="CJ248" s="160"/>
      <c r="CK248" s="96"/>
      <c r="CL248" s="678"/>
      <c r="CM248" s="678"/>
      <c r="CN248" s="678"/>
      <c r="CO248" s="96"/>
      <c r="CP248" s="96"/>
      <c r="CQ248" s="96"/>
      <c r="CR248" s="96"/>
      <c r="CS248" s="96"/>
      <c r="CT248" s="96"/>
      <c r="CU248" s="96"/>
      <c r="CV248" s="96"/>
      <c r="DX248" s="2172"/>
    </row>
    <row r="249" spans="1:128" s="98" customFormat="1" ht="13.5" hidden="1" customHeight="1" x14ac:dyDescent="0.2">
      <c r="A249" s="679"/>
      <c r="B249" s="699"/>
      <c r="C249" s="699"/>
      <c r="D249" s="699"/>
      <c r="E249" s="699"/>
      <c r="F249" s="699"/>
      <c r="G249" s="682"/>
      <c r="H249" s="682"/>
      <c r="I249" s="682"/>
      <c r="J249" s="655"/>
      <c r="K249" s="655"/>
      <c r="L249" s="655"/>
      <c r="M249" s="655"/>
      <c r="N249" s="16"/>
      <c r="O249" s="96"/>
      <c r="P249" s="160"/>
      <c r="Q249" s="160"/>
      <c r="R249" s="160"/>
      <c r="S249" s="160"/>
      <c r="T249" s="160"/>
      <c r="U249" s="160"/>
      <c r="V249" s="160"/>
      <c r="W249" s="160"/>
      <c r="X249" s="160"/>
      <c r="Y249" s="160"/>
      <c r="Z249" s="160"/>
      <c r="AA249" s="160"/>
      <c r="AB249" s="160"/>
      <c r="AC249" s="160"/>
      <c r="AD249" s="160"/>
      <c r="AE249" s="160"/>
      <c r="AF249" s="160"/>
      <c r="AG249" s="160"/>
      <c r="AH249" s="160"/>
      <c r="AI249" s="160"/>
      <c r="AJ249" s="160"/>
      <c r="AK249" s="160"/>
      <c r="AL249" s="160"/>
      <c r="AM249" s="160"/>
      <c r="AN249" s="160"/>
      <c r="AO249" s="160"/>
      <c r="AP249" s="160"/>
      <c r="AQ249" s="160"/>
      <c r="AR249" s="160"/>
      <c r="AS249" s="160"/>
      <c r="AT249" s="160"/>
      <c r="AU249" s="160"/>
      <c r="AV249" s="160"/>
      <c r="AW249" s="160"/>
      <c r="AX249" s="160"/>
      <c r="AY249" s="160"/>
      <c r="AZ249" s="160"/>
      <c r="BA249" s="160"/>
      <c r="BB249" s="160"/>
      <c r="BC249" s="160"/>
      <c r="BD249" s="160"/>
      <c r="BE249" s="160"/>
      <c r="BF249" s="160"/>
      <c r="BG249" s="160"/>
      <c r="BH249" s="160"/>
      <c r="BI249" s="160"/>
      <c r="BJ249" s="160"/>
      <c r="BK249" s="160"/>
      <c r="BL249" s="657"/>
      <c r="BM249" s="160"/>
      <c r="BN249" s="160"/>
      <c r="BO249" s="160"/>
      <c r="BP249" s="160"/>
      <c r="BQ249" s="160"/>
      <c r="BR249" s="160"/>
      <c r="BS249" s="160"/>
      <c r="BT249" s="160"/>
      <c r="BU249" s="160"/>
      <c r="BV249" s="160"/>
      <c r="BW249" s="160"/>
      <c r="BX249" s="160"/>
      <c r="BY249" s="160"/>
      <c r="BZ249" s="160"/>
      <c r="CA249" s="160"/>
      <c r="CB249" s="160"/>
      <c r="CC249" s="160"/>
      <c r="CD249" s="160"/>
      <c r="CE249" s="160"/>
      <c r="CF249" s="2120"/>
      <c r="CG249" s="2120"/>
      <c r="CH249" s="2120"/>
      <c r="CI249" s="160"/>
      <c r="CJ249" s="160"/>
      <c r="CK249" s="96"/>
      <c r="CL249" s="678"/>
      <c r="CM249" s="678"/>
      <c r="CN249" s="678"/>
      <c r="CO249" s="96"/>
      <c r="CP249" s="96"/>
      <c r="CQ249" s="96"/>
      <c r="CR249" s="96"/>
      <c r="CS249" s="96"/>
      <c r="CT249" s="96"/>
      <c r="CU249" s="96"/>
      <c r="CV249" s="96"/>
      <c r="DX249" s="2172"/>
    </row>
    <row r="250" spans="1:128" s="98" customFormat="1" ht="14.25" hidden="1" customHeight="1" x14ac:dyDescent="0.2">
      <c r="A250" s="699"/>
      <c r="B250" s="699"/>
      <c r="C250" s="699"/>
      <c r="D250" s="699"/>
      <c r="E250" s="699"/>
      <c r="F250" s="699"/>
      <c r="G250" s="682"/>
      <c r="H250" s="682"/>
      <c r="I250" s="682"/>
      <c r="J250" s="655"/>
      <c r="K250" s="655"/>
      <c r="L250" s="701"/>
      <c r="M250" s="701"/>
      <c r="N250" s="16"/>
      <c r="O250" s="96"/>
      <c r="P250" s="160"/>
      <c r="Q250" s="160"/>
      <c r="R250" s="160"/>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c r="AU250" s="160"/>
      <c r="AV250" s="160"/>
      <c r="AW250" s="160"/>
      <c r="AX250" s="160"/>
      <c r="AY250" s="160"/>
      <c r="AZ250" s="160"/>
      <c r="BA250" s="160"/>
      <c r="BB250" s="160"/>
      <c r="BC250" s="160"/>
      <c r="BD250" s="160"/>
      <c r="BE250" s="160"/>
      <c r="BF250" s="160"/>
      <c r="BG250" s="160"/>
      <c r="BH250" s="160"/>
      <c r="BI250" s="160"/>
      <c r="BJ250" s="160"/>
      <c r="BK250" s="160"/>
      <c r="BL250" s="657"/>
      <c r="BM250" s="160"/>
      <c r="BN250" s="160"/>
      <c r="BO250" s="160"/>
      <c r="BP250" s="160"/>
      <c r="BQ250" s="160"/>
      <c r="BR250" s="160"/>
      <c r="BS250" s="160"/>
      <c r="BT250" s="160"/>
      <c r="BU250" s="160"/>
      <c r="BV250" s="160"/>
      <c r="BW250" s="160"/>
      <c r="BX250" s="160"/>
      <c r="BY250" s="160"/>
      <c r="BZ250" s="160"/>
      <c r="CA250" s="160"/>
      <c r="CB250" s="160"/>
      <c r="CC250" s="160"/>
      <c r="CD250" s="160"/>
      <c r="CE250" s="160"/>
      <c r="CF250" s="2120"/>
      <c r="CG250" s="2120"/>
      <c r="CH250" s="2120"/>
      <c r="CI250" s="160"/>
      <c r="CJ250" s="160"/>
      <c r="CK250" s="96"/>
      <c r="CL250" s="678"/>
      <c r="CM250" s="678"/>
      <c r="CN250" s="678"/>
      <c r="CO250" s="96"/>
      <c r="CP250" s="96"/>
      <c r="CQ250" s="96"/>
      <c r="CR250" s="96"/>
      <c r="CS250" s="96"/>
      <c r="CT250" s="96"/>
      <c r="CU250" s="96"/>
      <c r="CV250" s="96"/>
      <c r="DX250" s="2172"/>
    </row>
    <row r="251" spans="1:128" s="98" customFormat="1" ht="15.75" hidden="1" customHeight="1" x14ac:dyDescent="0.2">
      <c r="A251" s="19"/>
      <c r="B251" s="19"/>
      <c r="C251" s="19"/>
      <c r="D251" s="19"/>
      <c r="E251" s="19"/>
      <c r="F251" s="19"/>
      <c r="G251" s="19"/>
      <c r="H251" s="19"/>
      <c r="I251" s="19"/>
      <c r="J251" s="19"/>
      <c r="K251" s="19"/>
      <c r="L251" s="19"/>
      <c r="M251" s="20"/>
      <c r="N251" s="16"/>
      <c r="O251" s="96"/>
      <c r="P251" s="160"/>
      <c r="Q251" s="160"/>
      <c r="R251" s="160"/>
      <c r="S251" s="160"/>
      <c r="T251" s="160"/>
      <c r="U251" s="160"/>
      <c r="V251" s="160"/>
      <c r="W251" s="160"/>
      <c r="X251" s="160"/>
      <c r="Y251" s="160"/>
      <c r="Z251" s="160"/>
      <c r="AA251" s="160"/>
      <c r="AB251" s="160"/>
      <c r="AC251" s="160"/>
      <c r="AD251" s="160"/>
      <c r="AE251" s="160"/>
      <c r="AF251" s="160"/>
      <c r="AG251" s="160"/>
      <c r="AH251" s="160"/>
      <c r="AI251" s="160"/>
      <c r="AJ251" s="160"/>
      <c r="AK251" s="160"/>
      <c r="AL251" s="160"/>
      <c r="AM251" s="160"/>
      <c r="AN251" s="160"/>
      <c r="AO251" s="160"/>
      <c r="AP251" s="160"/>
      <c r="AQ251" s="160"/>
      <c r="AR251" s="160"/>
      <c r="AS251" s="160"/>
      <c r="AT251" s="160"/>
      <c r="AU251" s="160"/>
      <c r="AV251" s="160"/>
      <c r="AW251" s="160"/>
      <c r="AX251" s="160"/>
      <c r="AY251" s="160"/>
      <c r="AZ251" s="160"/>
      <c r="BA251" s="160"/>
      <c r="BB251" s="160"/>
      <c r="BC251" s="160"/>
      <c r="BD251" s="160"/>
      <c r="BE251" s="160"/>
      <c r="BF251" s="160"/>
      <c r="BG251" s="160"/>
      <c r="BH251" s="160"/>
      <c r="BI251" s="160"/>
      <c r="BJ251" s="160"/>
      <c r="BK251" s="160"/>
      <c r="BL251" s="657"/>
      <c r="BM251" s="160"/>
      <c r="BN251" s="160"/>
      <c r="BO251" s="160"/>
      <c r="BP251" s="160"/>
      <c r="BQ251" s="160"/>
      <c r="BR251" s="160"/>
      <c r="BS251" s="160"/>
      <c r="BT251" s="160"/>
      <c r="BU251" s="160"/>
      <c r="BV251" s="160"/>
      <c r="BW251" s="160"/>
      <c r="BX251" s="160"/>
      <c r="BY251" s="160"/>
      <c r="BZ251" s="160"/>
      <c r="CA251" s="160"/>
      <c r="CB251" s="160"/>
      <c r="CC251" s="160"/>
      <c r="CD251" s="160"/>
      <c r="CE251" s="160"/>
      <c r="CF251" s="2120"/>
      <c r="CG251" s="2120"/>
      <c r="CH251" s="2120"/>
      <c r="CI251" s="160"/>
      <c r="CJ251" s="160"/>
      <c r="CK251" s="96"/>
      <c r="CL251" s="678"/>
      <c r="CM251" s="678"/>
      <c r="CN251" s="678"/>
      <c r="CO251" s="96"/>
      <c r="CP251" s="96"/>
      <c r="CQ251" s="96"/>
      <c r="CR251" s="96"/>
      <c r="CS251" s="96"/>
      <c r="CT251" s="96"/>
      <c r="CU251" s="96"/>
      <c r="CV251" s="96"/>
      <c r="DX251" s="2172"/>
    </row>
    <row r="252" spans="1:128" s="98" customFormat="1" ht="6.75" customHeight="1" thickBot="1" x14ac:dyDescent="0.25">
      <c r="A252" s="20"/>
      <c r="B252" s="20"/>
      <c r="C252" s="20"/>
      <c r="D252" s="20"/>
      <c r="E252" s="20"/>
      <c r="F252" s="20"/>
      <c r="G252" s="20"/>
      <c r="H252" s="20"/>
      <c r="I252" s="20"/>
      <c r="J252" s="20"/>
      <c r="K252" s="20"/>
      <c r="L252" s="20"/>
      <c r="M252" s="20"/>
      <c r="N252" s="16"/>
      <c r="O252" s="96"/>
      <c r="P252" s="160"/>
      <c r="Q252" s="160"/>
      <c r="R252" s="160"/>
      <c r="S252" s="160"/>
      <c r="T252" s="160"/>
      <c r="U252" s="160"/>
      <c r="V252" s="160"/>
      <c r="W252" s="160"/>
      <c r="X252" s="160"/>
      <c r="Y252" s="160"/>
      <c r="Z252" s="160"/>
      <c r="AA252" s="160"/>
      <c r="AB252" s="160"/>
      <c r="AC252" s="160"/>
      <c r="AD252" s="160"/>
      <c r="AE252" s="160"/>
      <c r="AF252" s="160"/>
      <c r="AG252" s="160"/>
      <c r="AH252" s="160"/>
      <c r="AI252" s="160"/>
      <c r="AJ252" s="160"/>
      <c r="AK252" s="160"/>
      <c r="AL252" s="160"/>
      <c r="AM252" s="160"/>
      <c r="AN252" s="160"/>
      <c r="AO252" s="160"/>
      <c r="AP252" s="160"/>
      <c r="AQ252" s="160"/>
      <c r="AR252" s="160"/>
      <c r="AS252" s="160"/>
      <c r="AT252" s="160"/>
      <c r="AU252" s="160"/>
      <c r="AV252" s="160"/>
      <c r="AW252" s="160"/>
      <c r="AX252" s="160"/>
      <c r="AY252" s="160"/>
      <c r="AZ252" s="160"/>
      <c r="BA252" s="160"/>
      <c r="BB252" s="160"/>
      <c r="BC252" s="160"/>
      <c r="BD252" s="160"/>
      <c r="BE252" s="160"/>
      <c r="BF252" s="160"/>
      <c r="BG252" s="160"/>
      <c r="BH252" s="160"/>
      <c r="BI252" s="160"/>
      <c r="BJ252" s="160"/>
      <c r="BK252" s="160"/>
      <c r="BL252" s="657"/>
      <c r="BM252" s="160"/>
      <c r="BN252" s="160"/>
      <c r="BO252" s="160"/>
      <c r="BP252" s="160"/>
      <c r="BQ252" s="160"/>
      <c r="BR252" s="160"/>
      <c r="BS252" s="160"/>
      <c r="BT252" s="160"/>
      <c r="BU252" s="160"/>
      <c r="BV252" s="160"/>
      <c r="BW252" s="160"/>
      <c r="BX252" s="160"/>
      <c r="BY252" s="160"/>
      <c r="BZ252" s="160"/>
      <c r="CA252" s="160"/>
      <c r="CB252" s="160"/>
      <c r="CC252" s="160"/>
      <c r="CD252" s="160"/>
      <c r="CE252" s="160"/>
      <c r="CF252" s="2120"/>
      <c r="CG252" s="2120"/>
      <c r="CH252" s="2120"/>
      <c r="CI252" s="160"/>
      <c r="CJ252" s="160"/>
      <c r="CK252" s="96"/>
      <c r="CL252" s="678"/>
      <c r="CM252" s="678"/>
      <c r="CN252" s="678"/>
      <c r="CO252" s="96"/>
      <c r="CP252" s="96"/>
      <c r="CQ252" s="96"/>
      <c r="CR252" s="96"/>
      <c r="CS252" s="96"/>
      <c r="CT252" s="96"/>
      <c r="CU252" s="96"/>
      <c r="CV252" s="96"/>
      <c r="DX252" s="2172"/>
    </row>
    <row r="253" spans="1:128" s="98" customFormat="1" ht="15.75" customHeight="1" thickBot="1" x14ac:dyDescent="0.25">
      <c r="A253" s="2237" t="s">
        <v>756</v>
      </c>
      <c r="B253" s="2238"/>
      <c r="C253" s="2238"/>
      <c r="D253" s="2238"/>
      <c r="E253" s="2238"/>
      <c r="F253" s="2238"/>
      <c r="G253" s="2238"/>
      <c r="H253" s="2238"/>
      <c r="I253" s="2238"/>
      <c r="J253" s="2238"/>
      <c r="K253" s="2238"/>
      <c r="L253" s="2238"/>
      <c r="M253" s="2282"/>
      <c r="N253" s="16"/>
      <c r="O253" s="96"/>
      <c r="P253" s="160"/>
      <c r="Q253" s="160"/>
      <c r="R253" s="160"/>
      <c r="S253" s="160"/>
      <c r="T253" s="160"/>
      <c r="U253" s="160"/>
      <c r="V253" s="160"/>
      <c r="W253" s="160"/>
      <c r="X253" s="160"/>
      <c r="Y253" s="160"/>
      <c r="Z253" s="160"/>
      <c r="AA253" s="160"/>
      <c r="AB253" s="160"/>
      <c r="AC253" s="160"/>
      <c r="AD253" s="160"/>
      <c r="AE253" s="160"/>
      <c r="AF253" s="160"/>
      <c r="AG253" s="160"/>
      <c r="AH253" s="160"/>
      <c r="AI253" s="160"/>
      <c r="AJ253" s="160"/>
      <c r="AK253" s="160"/>
      <c r="AL253" s="160"/>
      <c r="AM253" s="160"/>
      <c r="AN253" s="160"/>
      <c r="AO253" s="160"/>
      <c r="AP253" s="160"/>
      <c r="AQ253" s="160"/>
      <c r="AR253" s="160"/>
      <c r="AS253" s="160"/>
      <c r="AT253" s="160"/>
      <c r="AU253" s="160"/>
      <c r="AV253" s="160"/>
      <c r="AW253" s="160"/>
      <c r="AX253" s="160"/>
      <c r="AY253" s="160"/>
      <c r="AZ253" s="160"/>
      <c r="BA253" s="160"/>
      <c r="BB253" s="160"/>
      <c r="BC253" s="160"/>
      <c r="BD253" s="160"/>
      <c r="BE253" s="160"/>
      <c r="BF253" s="160"/>
      <c r="BG253" s="160"/>
      <c r="BH253" s="160"/>
      <c r="BI253" s="160"/>
      <c r="BJ253" s="160"/>
      <c r="BK253" s="160"/>
      <c r="BL253" s="657"/>
      <c r="BM253" s="160"/>
      <c r="BN253" s="160"/>
      <c r="BO253" s="160"/>
      <c r="BP253" s="160"/>
      <c r="BQ253" s="160"/>
      <c r="BR253" s="160"/>
      <c r="BS253" s="160"/>
      <c r="BT253" s="160"/>
      <c r="BU253" s="160"/>
      <c r="BV253" s="160"/>
      <c r="BW253" s="160"/>
      <c r="BX253" s="160"/>
      <c r="BY253" s="160"/>
      <c r="BZ253" s="160"/>
      <c r="CA253" s="160"/>
      <c r="CB253" s="160"/>
      <c r="CC253" s="160"/>
      <c r="CD253" s="160"/>
      <c r="CE253" s="160"/>
      <c r="CF253" s="2120"/>
      <c r="CG253" s="2120"/>
      <c r="CH253" s="2120"/>
      <c r="CI253" s="160"/>
      <c r="CJ253" s="160"/>
      <c r="CK253" s="96"/>
      <c r="CL253" s="678"/>
      <c r="CM253" s="678"/>
      <c r="CN253" s="678"/>
      <c r="CO253" s="96"/>
      <c r="CP253" s="96"/>
      <c r="CQ253" s="96"/>
      <c r="CR253" s="96"/>
      <c r="CS253" s="96"/>
      <c r="CT253" s="96"/>
      <c r="CU253" s="96"/>
      <c r="CV253" s="96"/>
      <c r="DX253" s="2172"/>
    </row>
    <row r="254" spans="1:128" s="94" customFormat="1" ht="6.75" customHeight="1" thickBot="1" x14ac:dyDescent="0.25">
      <c r="A254" s="1"/>
      <c r="B254" s="19"/>
      <c r="C254" s="19"/>
      <c r="D254" s="19"/>
      <c r="E254" s="20"/>
      <c r="F254" s="20"/>
      <c r="G254" s="20"/>
      <c r="H254" s="20"/>
      <c r="I254" s="20"/>
      <c r="J254" s="20"/>
      <c r="K254" s="20"/>
      <c r="L254" s="21"/>
      <c r="M254" s="21"/>
      <c r="N254" s="21"/>
      <c r="O254" s="103"/>
      <c r="P254" s="226"/>
      <c r="Q254" s="226"/>
      <c r="R254" s="226"/>
      <c r="S254" s="226"/>
      <c r="T254" s="226"/>
      <c r="U254" s="226"/>
      <c r="V254" s="226"/>
      <c r="W254" s="226"/>
      <c r="X254" s="226"/>
      <c r="Y254" s="226"/>
      <c r="Z254" s="226"/>
      <c r="AA254" s="226"/>
      <c r="AB254" s="226"/>
      <c r="AC254" s="226"/>
      <c r="AD254" s="226"/>
      <c r="AE254" s="226"/>
      <c r="AF254" s="226"/>
      <c r="AG254" s="226"/>
      <c r="AH254" s="226"/>
      <c r="AI254" s="226"/>
      <c r="AJ254" s="226"/>
      <c r="AK254" s="226"/>
      <c r="AL254" s="226"/>
      <c r="AM254" s="226"/>
      <c r="AN254" s="226"/>
      <c r="AO254" s="226"/>
      <c r="AP254" s="226"/>
      <c r="AQ254" s="226"/>
      <c r="AR254" s="226"/>
      <c r="AS254" s="226"/>
      <c r="AT254" s="226"/>
      <c r="AU254" s="226"/>
      <c r="AV254" s="226"/>
      <c r="AW254" s="226"/>
      <c r="AX254" s="226"/>
      <c r="AY254" s="226"/>
      <c r="AZ254" s="226"/>
      <c r="BA254" s="226"/>
      <c r="BB254" s="226"/>
      <c r="BC254" s="226"/>
      <c r="BD254" s="226"/>
      <c r="BE254" s="226"/>
      <c r="BF254" s="226"/>
      <c r="BG254" s="226"/>
      <c r="BH254" s="226"/>
      <c r="BI254" s="226"/>
      <c r="BJ254" s="226"/>
      <c r="BK254" s="226"/>
      <c r="BL254" s="226"/>
      <c r="BM254" s="226"/>
      <c r="BN254" s="226"/>
      <c r="BO254" s="226"/>
      <c r="BP254" s="226"/>
      <c r="BQ254" s="226"/>
      <c r="BR254" s="226"/>
      <c r="BS254" s="226"/>
      <c r="BT254" s="226"/>
      <c r="BU254" s="226"/>
      <c r="BV254" s="226"/>
      <c r="BW254" s="226"/>
      <c r="BX254" s="226"/>
      <c r="BY254" s="226"/>
      <c r="BZ254" s="226"/>
      <c r="CA254" s="226"/>
      <c r="CB254" s="226"/>
      <c r="CC254" s="226"/>
      <c r="CD254" s="226"/>
      <c r="CE254" s="103"/>
      <c r="CF254" s="103"/>
      <c r="CG254" s="103"/>
      <c r="CH254" s="103"/>
      <c r="CI254" s="103"/>
      <c r="CJ254" s="103"/>
      <c r="CK254" s="103"/>
      <c r="CL254" s="103"/>
      <c r="CM254" s="103"/>
      <c r="CN254" s="103"/>
      <c r="CO254" s="103"/>
      <c r="CP254" s="103"/>
      <c r="CQ254" s="103"/>
      <c r="CR254" s="103"/>
      <c r="DX254" s="2171"/>
    </row>
    <row r="255" spans="1:128" s="98" customFormat="1" ht="15.75" customHeight="1" x14ac:dyDescent="0.2">
      <c r="A255" s="107" t="s">
        <v>726</v>
      </c>
      <c r="B255" s="422"/>
      <c r="C255" s="2792" t="s">
        <v>611</v>
      </c>
      <c r="D255" s="2821" t="s">
        <v>246</v>
      </c>
      <c r="E255" s="2822"/>
      <c r="F255" s="2821" t="s">
        <v>26</v>
      </c>
      <c r="G255" s="2822"/>
      <c r="H255" s="2415" t="s">
        <v>287</v>
      </c>
      <c r="I255" s="2415"/>
      <c r="J255" s="2418" t="s">
        <v>247</v>
      </c>
      <c r="K255" s="2415"/>
      <c r="L255" s="2415"/>
      <c r="M255" s="2419"/>
      <c r="N255" s="16"/>
      <c r="O255" s="96"/>
      <c r="P255" s="160"/>
      <c r="Q255" s="2222" t="s">
        <v>611</v>
      </c>
      <c r="R255" s="2222"/>
      <c r="S255" s="160"/>
      <c r="T255" s="160" t="s">
        <v>687</v>
      </c>
      <c r="U255" s="160"/>
      <c r="V255" s="160"/>
      <c r="W255" s="160"/>
      <c r="X255" s="160"/>
      <c r="Y255" s="160"/>
      <c r="Z255" s="160"/>
      <c r="AA255" s="160"/>
      <c r="AB255" s="160"/>
      <c r="AC255" s="160"/>
      <c r="AD255" s="160"/>
      <c r="AE255" s="160"/>
      <c r="AF255" s="160"/>
      <c r="AG255" s="160"/>
      <c r="AH255" s="160"/>
      <c r="AI255" s="160"/>
      <c r="AJ255" s="160"/>
      <c r="AK255" s="160"/>
      <c r="AL255" s="160"/>
      <c r="AM255" s="160"/>
      <c r="AN255" s="160"/>
      <c r="AO255" s="160"/>
      <c r="AP255" s="160"/>
      <c r="AQ255" s="160"/>
      <c r="AR255" s="160"/>
      <c r="AS255" s="160"/>
      <c r="AT255" s="160"/>
      <c r="AU255" s="160"/>
      <c r="AV255" s="160"/>
      <c r="AW255" s="160"/>
      <c r="AX255" s="160"/>
      <c r="AY255" s="160"/>
      <c r="AZ255" s="160"/>
      <c r="BA255" s="160"/>
      <c r="BB255" s="160"/>
      <c r="BC255" s="160"/>
      <c r="BD255" s="160"/>
      <c r="BE255" s="160"/>
      <c r="BF255" s="160"/>
      <c r="BG255" s="160"/>
      <c r="BH255" s="160"/>
      <c r="BI255" s="160"/>
      <c r="BJ255" s="160"/>
      <c r="BK255" s="160"/>
      <c r="BL255" s="657"/>
      <c r="BM255" s="160"/>
      <c r="BN255" s="160"/>
      <c r="BO255" s="160"/>
      <c r="BP255" s="160"/>
      <c r="BQ255" s="160"/>
      <c r="BR255" s="160"/>
      <c r="BS255" s="160"/>
      <c r="BT255" s="160"/>
      <c r="BU255" s="160"/>
      <c r="BV255" s="160"/>
      <c r="BW255" s="160"/>
      <c r="BX255" s="160"/>
      <c r="BY255" s="160"/>
      <c r="BZ255" s="160"/>
      <c r="CA255" s="160"/>
      <c r="CB255" s="160"/>
      <c r="CC255" s="160"/>
      <c r="CD255" s="160"/>
      <c r="CE255" s="96"/>
      <c r="CF255" s="678"/>
      <c r="CG255" s="678"/>
      <c r="CH255" s="678"/>
      <c r="CI255" s="96"/>
      <c r="CJ255" s="96"/>
      <c r="CK255" s="96"/>
      <c r="CL255" s="678"/>
      <c r="CM255" s="678"/>
      <c r="CN255" s="678"/>
      <c r="CO255" s="96"/>
      <c r="CP255" s="96"/>
      <c r="CQ255" s="96"/>
      <c r="CR255" s="96"/>
      <c r="DX255" s="2172"/>
    </row>
    <row r="256" spans="1:128" s="98" customFormat="1" ht="16.5" customHeight="1" thickBot="1" x14ac:dyDescent="0.25">
      <c r="A256" s="424" t="s">
        <v>682</v>
      </c>
      <c r="B256" s="423"/>
      <c r="C256" s="2793"/>
      <c r="D256" s="2531" t="s">
        <v>278</v>
      </c>
      <c r="E256" s="2532"/>
      <c r="F256" s="2531" t="s">
        <v>876</v>
      </c>
      <c r="G256" s="2532"/>
      <c r="H256" s="2541" t="s">
        <v>876</v>
      </c>
      <c r="I256" s="2541"/>
      <c r="J256" s="2823" t="s">
        <v>239</v>
      </c>
      <c r="K256" s="2824"/>
      <c r="L256" s="2441" t="s">
        <v>240</v>
      </c>
      <c r="M256" s="2442"/>
      <c r="N256" s="16"/>
      <c r="O256" s="96"/>
      <c r="P256" s="160"/>
      <c r="Q256" s="160"/>
      <c r="R256" s="160" t="s">
        <v>686</v>
      </c>
      <c r="S256" s="160" t="s">
        <v>1</v>
      </c>
      <c r="T256" s="160" t="s">
        <v>1</v>
      </c>
      <c r="U256" s="160"/>
      <c r="V256" s="160"/>
      <c r="W256" s="160"/>
      <c r="X256" s="160"/>
      <c r="Y256" s="160"/>
      <c r="Z256" s="160"/>
      <c r="AA256" s="160"/>
      <c r="AB256" s="160"/>
      <c r="AC256" s="160"/>
      <c r="AD256" s="160"/>
      <c r="AE256" s="160"/>
      <c r="AF256" s="160"/>
      <c r="AG256" s="160"/>
      <c r="AH256" s="160"/>
      <c r="AI256" s="160"/>
      <c r="AJ256" s="160"/>
      <c r="AK256" s="160"/>
      <c r="AL256" s="160"/>
      <c r="AM256" s="160"/>
      <c r="AN256" s="160"/>
      <c r="AO256" s="160"/>
      <c r="AP256" s="160"/>
      <c r="AQ256" s="160"/>
      <c r="AR256" s="160"/>
      <c r="AS256" s="160"/>
      <c r="AT256" s="160"/>
      <c r="AU256" s="160"/>
      <c r="AV256" s="160"/>
      <c r="AW256" s="160"/>
      <c r="AX256" s="160"/>
      <c r="AY256" s="160"/>
      <c r="AZ256" s="160"/>
      <c r="BA256" s="160"/>
      <c r="BB256" s="160"/>
      <c r="BC256" s="160"/>
      <c r="BD256" s="160"/>
      <c r="BE256" s="160"/>
      <c r="BF256" s="160"/>
      <c r="BG256" s="160"/>
      <c r="BH256" s="160"/>
      <c r="BI256" s="160"/>
      <c r="BJ256" s="160"/>
      <c r="BK256" s="160"/>
      <c r="BL256" s="657"/>
      <c r="BM256" s="160"/>
      <c r="BN256" s="160"/>
      <c r="BO256" s="160"/>
      <c r="BP256" s="160"/>
      <c r="BQ256" s="160"/>
      <c r="BR256" s="160"/>
      <c r="BS256" s="160"/>
      <c r="BT256" s="160"/>
      <c r="BU256" s="160"/>
      <c r="BV256" s="160"/>
      <c r="BW256" s="160"/>
      <c r="BX256" s="160"/>
      <c r="BY256" s="160"/>
      <c r="BZ256" s="160"/>
      <c r="CA256" s="160"/>
      <c r="CB256" s="160"/>
      <c r="CC256" s="160"/>
      <c r="CD256" s="160"/>
      <c r="CE256" s="96"/>
      <c r="CF256" s="678"/>
      <c r="CG256" s="678"/>
      <c r="CH256" s="678"/>
      <c r="CI256" s="96"/>
      <c r="CJ256" s="96"/>
      <c r="CK256" s="96"/>
      <c r="CL256" s="678"/>
      <c r="CM256" s="678"/>
      <c r="CN256" s="678"/>
      <c r="CO256" s="96"/>
      <c r="CP256" s="96"/>
      <c r="CQ256" s="96"/>
      <c r="CR256" s="96"/>
      <c r="DX256" s="2172"/>
    </row>
    <row r="257" spans="1:128" s="98" customFormat="1" ht="18" customHeight="1" x14ac:dyDescent="0.2">
      <c r="A257" s="2779" t="s">
        <v>27</v>
      </c>
      <c r="B257" s="2780"/>
      <c r="C257" s="416"/>
      <c r="D257" s="2819" t="s">
        <v>239</v>
      </c>
      <c r="E257" s="2820"/>
      <c r="F257" s="2522"/>
      <c r="G257" s="2425"/>
      <c r="H257" s="2425"/>
      <c r="I257" s="2426"/>
      <c r="J257" s="2445" t="str">
        <f t="shared" ref="J257:J263" si="231">IF(P257=TRUE,F257/2*F257/2*3.1415926*H257," ")</f>
        <v xml:space="preserve"> </v>
      </c>
      <c r="K257" s="2446"/>
      <c r="L257" s="2418"/>
      <c r="M257" s="2419"/>
      <c r="N257" s="16"/>
      <c r="O257" s="96"/>
      <c r="P257" s="160" t="b">
        <f t="shared" ref="P257:P263" si="232">AND(F257&gt;0.1,H257&gt;0.1)</f>
        <v>0</v>
      </c>
      <c r="Q257" s="160" t="b">
        <v>0</v>
      </c>
      <c r="R257" s="207">
        <f>SUM(J257:M257)</f>
        <v>0</v>
      </c>
      <c r="S257" s="160">
        <f>IF(Q257=TRUE,R257,0)</f>
        <v>0</v>
      </c>
      <c r="T257" s="160" t="s">
        <v>10</v>
      </c>
      <c r="U257" s="160"/>
      <c r="V257" s="160"/>
      <c r="W257" s="160"/>
      <c r="X257" s="160"/>
      <c r="Y257" s="160"/>
      <c r="Z257" s="160"/>
      <c r="AA257" s="160"/>
      <c r="AB257" s="160"/>
      <c r="AC257" s="160"/>
      <c r="AD257" s="160"/>
      <c r="AE257" s="160"/>
      <c r="AF257" s="160"/>
      <c r="AG257" s="160"/>
      <c r="AH257" s="160"/>
      <c r="AI257" s="160"/>
      <c r="AJ257" s="160"/>
      <c r="AK257" s="160"/>
      <c r="AL257" s="160"/>
      <c r="AM257" s="160"/>
      <c r="AN257" s="160"/>
      <c r="AO257" s="160"/>
      <c r="AP257" s="160"/>
      <c r="AQ257" s="160"/>
      <c r="AR257" s="160"/>
      <c r="AS257" s="160"/>
      <c r="AT257" s="160"/>
      <c r="AU257" s="160"/>
      <c r="AV257" s="160"/>
      <c r="AW257" s="160"/>
      <c r="AX257" s="160"/>
      <c r="AY257" s="160"/>
      <c r="AZ257" s="160"/>
      <c r="BA257" s="160"/>
      <c r="BB257" s="160"/>
      <c r="BC257" s="160"/>
      <c r="BD257" s="160"/>
      <c r="BE257" s="160"/>
      <c r="BF257" s="160"/>
      <c r="BG257" s="160"/>
      <c r="BH257" s="160"/>
      <c r="BI257" s="160"/>
      <c r="BJ257" s="160"/>
      <c r="BK257" s="160"/>
      <c r="BL257" s="657"/>
      <c r="BM257" s="160"/>
      <c r="BN257" s="160"/>
      <c r="BO257" s="160"/>
      <c r="BP257" s="160"/>
      <c r="BQ257" s="160"/>
      <c r="BR257" s="160"/>
      <c r="BS257" s="160"/>
      <c r="BT257" s="160"/>
      <c r="BU257" s="160"/>
      <c r="BV257" s="160"/>
      <c r="BW257" s="160"/>
      <c r="BX257" s="160"/>
      <c r="BY257" s="160"/>
      <c r="BZ257" s="160"/>
      <c r="CA257" s="160"/>
      <c r="CB257" s="160"/>
      <c r="CC257" s="160"/>
      <c r="CD257" s="160"/>
      <c r="CE257" s="96"/>
      <c r="CF257" s="678"/>
      <c r="CG257" s="678"/>
      <c r="CH257" s="678"/>
      <c r="CI257" s="96"/>
      <c r="CJ257" s="96"/>
      <c r="CK257" s="96"/>
      <c r="CL257" s="678"/>
      <c r="CM257" s="678"/>
      <c r="CN257" s="678"/>
      <c r="CO257" s="96"/>
      <c r="CP257" s="96"/>
      <c r="CQ257" s="96"/>
      <c r="CR257" s="96"/>
      <c r="DX257" s="2172"/>
    </row>
    <row r="258" spans="1:128" s="98" customFormat="1" ht="18" customHeight="1" x14ac:dyDescent="0.2">
      <c r="A258" s="2526" t="s">
        <v>28</v>
      </c>
      <c r="B258" s="2527"/>
      <c r="C258" s="417"/>
      <c r="D258" s="2813" t="s">
        <v>239</v>
      </c>
      <c r="E258" s="2814"/>
      <c r="F258" s="2525"/>
      <c r="G258" s="2523"/>
      <c r="H258" s="2523"/>
      <c r="I258" s="2524"/>
      <c r="J258" s="2439" t="str">
        <f t="shared" si="231"/>
        <v xml:space="preserve"> </v>
      </c>
      <c r="K258" s="2440"/>
      <c r="L258" s="2441"/>
      <c r="M258" s="2442"/>
      <c r="N258" s="16"/>
      <c r="O258" s="96"/>
      <c r="P258" s="160" t="b">
        <f t="shared" si="232"/>
        <v>0</v>
      </c>
      <c r="Q258" s="160" t="b">
        <v>0</v>
      </c>
      <c r="R258" s="207">
        <f t="shared" ref="R258:R269" si="233">SUM(J258:M258)</f>
        <v>0</v>
      </c>
      <c r="S258" s="160">
        <f t="shared" ref="S258:S269" si="234">IF(Q258=TRUE,R258,0)</f>
        <v>0</v>
      </c>
      <c r="T258" s="160" t="s">
        <v>688</v>
      </c>
      <c r="U258" s="160"/>
      <c r="V258" s="160"/>
      <c r="W258" s="160"/>
      <c r="X258" s="160"/>
      <c r="Y258" s="160"/>
      <c r="Z258" s="160"/>
      <c r="AA258" s="160"/>
      <c r="AB258" s="160"/>
      <c r="AC258" s="160"/>
      <c r="AD258" s="160"/>
      <c r="AE258" s="160"/>
      <c r="AF258" s="160"/>
      <c r="AG258" s="160"/>
      <c r="AH258" s="160"/>
      <c r="AI258" s="160"/>
      <c r="AJ258" s="160"/>
      <c r="AK258" s="160"/>
      <c r="AL258" s="160"/>
      <c r="AM258" s="160"/>
      <c r="AN258" s="160"/>
      <c r="AO258" s="160"/>
      <c r="AP258" s="160"/>
      <c r="AQ258" s="160"/>
      <c r="AR258" s="160"/>
      <c r="AS258" s="160"/>
      <c r="AT258" s="160"/>
      <c r="AU258" s="160"/>
      <c r="AV258" s="160"/>
      <c r="AW258" s="160"/>
      <c r="AX258" s="160"/>
      <c r="AY258" s="160"/>
      <c r="AZ258" s="160"/>
      <c r="BA258" s="160"/>
      <c r="BB258" s="160"/>
      <c r="BC258" s="160"/>
      <c r="BD258" s="160"/>
      <c r="BE258" s="160"/>
      <c r="BF258" s="160"/>
      <c r="BG258" s="160"/>
      <c r="BH258" s="160"/>
      <c r="BI258" s="160"/>
      <c r="BJ258" s="160"/>
      <c r="BK258" s="160"/>
      <c r="BL258" s="657"/>
      <c r="BM258" s="160"/>
      <c r="BN258" s="160"/>
      <c r="BO258" s="160"/>
      <c r="BP258" s="160"/>
      <c r="BQ258" s="160"/>
      <c r="BR258" s="160"/>
      <c r="BS258" s="160"/>
      <c r="BT258" s="160"/>
      <c r="BU258" s="160"/>
      <c r="BV258" s="160"/>
      <c r="BW258" s="160"/>
      <c r="BX258" s="160"/>
      <c r="BY258" s="160"/>
      <c r="BZ258" s="160"/>
      <c r="CA258" s="160"/>
      <c r="CB258" s="160"/>
      <c r="CC258" s="160"/>
      <c r="CD258" s="160"/>
      <c r="CE258" s="96"/>
      <c r="CF258" s="678"/>
      <c r="CG258" s="678"/>
      <c r="CH258" s="678"/>
      <c r="CI258" s="96"/>
      <c r="CJ258" s="96"/>
      <c r="CK258" s="96"/>
      <c r="CL258" s="678"/>
      <c r="CM258" s="678"/>
      <c r="CN258" s="678"/>
      <c r="CO258" s="96"/>
      <c r="CP258" s="96"/>
      <c r="CQ258" s="96"/>
      <c r="CR258" s="96"/>
      <c r="DX258" s="2172"/>
    </row>
    <row r="259" spans="1:128" s="98" customFormat="1" ht="18" customHeight="1" x14ac:dyDescent="0.2">
      <c r="A259" s="2526" t="s">
        <v>29</v>
      </c>
      <c r="B259" s="2527"/>
      <c r="C259" s="417"/>
      <c r="D259" s="2813" t="s">
        <v>239</v>
      </c>
      <c r="E259" s="2814"/>
      <c r="F259" s="2525"/>
      <c r="G259" s="2523"/>
      <c r="H259" s="2523"/>
      <c r="I259" s="2524"/>
      <c r="J259" s="2439" t="str">
        <f t="shared" si="231"/>
        <v xml:space="preserve"> </v>
      </c>
      <c r="K259" s="2440"/>
      <c r="L259" s="2441"/>
      <c r="M259" s="2442"/>
      <c r="N259" s="16"/>
      <c r="O259" s="96"/>
      <c r="P259" s="160" t="b">
        <f t="shared" si="232"/>
        <v>0</v>
      </c>
      <c r="Q259" s="160" t="b">
        <v>0</v>
      </c>
      <c r="R259" s="207">
        <f t="shared" si="233"/>
        <v>0</v>
      </c>
      <c r="S259" s="160">
        <f t="shared" si="234"/>
        <v>0</v>
      </c>
      <c r="T259" s="160" t="s">
        <v>615</v>
      </c>
      <c r="U259" s="160"/>
      <c r="V259" s="160"/>
      <c r="W259" s="160"/>
      <c r="X259" s="160"/>
      <c r="Y259" s="160"/>
      <c r="Z259" s="160"/>
      <c r="AA259" s="160"/>
      <c r="AB259" s="160"/>
      <c r="AC259" s="160"/>
      <c r="AD259" s="160"/>
      <c r="AE259" s="160"/>
      <c r="AF259" s="160"/>
      <c r="AG259" s="160"/>
      <c r="AH259" s="160"/>
      <c r="AI259" s="160"/>
      <c r="AJ259" s="160"/>
      <c r="AK259" s="160"/>
      <c r="AL259" s="160"/>
      <c r="AM259" s="160"/>
      <c r="AN259" s="160"/>
      <c r="AO259" s="160"/>
      <c r="AP259" s="160"/>
      <c r="AQ259" s="160"/>
      <c r="AR259" s="160"/>
      <c r="AS259" s="160"/>
      <c r="AT259" s="160"/>
      <c r="AU259" s="160"/>
      <c r="AV259" s="160"/>
      <c r="AW259" s="160"/>
      <c r="AX259" s="160"/>
      <c r="AY259" s="160"/>
      <c r="AZ259" s="160"/>
      <c r="BA259" s="160"/>
      <c r="BB259" s="160"/>
      <c r="BC259" s="160"/>
      <c r="BD259" s="160"/>
      <c r="BE259" s="160"/>
      <c r="BF259" s="160"/>
      <c r="BG259" s="160"/>
      <c r="BH259" s="160"/>
      <c r="BI259" s="160"/>
      <c r="BJ259" s="160"/>
      <c r="BK259" s="160"/>
      <c r="BL259" s="657"/>
      <c r="BM259" s="160"/>
      <c r="BN259" s="160"/>
      <c r="BO259" s="160"/>
      <c r="BP259" s="160"/>
      <c r="BQ259" s="160"/>
      <c r="BR259" s="160"/>
      <c r="BS259" s="160"/>
      <c r="BT259" s="160"/>
      <c r="BU259" s="160"/>
      <c r="BV259" s="160"/>
      <c r="BW259" s="160"/>
      <c r="BX259" s="160"/>
      <c r="BY259" s="160"/>
      <c r="BZ259" s="160"/>
      <c r="CA259" s="160"/>
      <c r="CB259" s="160"/>
      <c r="CC259" s="160"/>
      <c r="CD259" s="160"/>
      <c r="CE259" s="96"/>
      <c r="CF259" s="678"/>
      <c r="CG259" s="678"/>
      <c r="CH259" s="678"/>
      <c r="CI259" s="96"/>
      <c r="CJ259" s="96"/>
      <c r="CK259" s="96"/>
      <c r="CL259" s="678"/>
      <c r="CM259" s="678"/>
      <c r="CN259" s="678"/>
      <c r="CO259" s="96"/>
      <c r="CP259" s="96"/>
      <c r="CQ259" s="96"/>
      <c r="CR259" s="96"/>
      <c r="DX259" s="2172"/>
    </row>
    <row r="260" spans="1:128" s="98" customFormat="1" ht="18" customHeight="1" x14ac:dyDescent="0.2">
      <c r="A260" s="2526" t="s">
        <v>573</v>
      </c>
      <c r="B260" s="2527"/>
      <c r="C260" s="417"/>
      <c r="D260" s="2813" t="s">
        <v>239</v>
      </c>
      <c r="E260" s="2814"/>
      <c r="F260" s="2525"/>
      <c r="G260" s="2523"/>
      <c r="H260" s="2523"/>
      <c r="I260" s="2524"/>
      <c r="J260" s="2439" t="str">
        <f t="shared" si="231"/>
        <v xml:space="preserve"> </v>
      </c>
      <c r="K260" s="2440"/>
      <c r="L260" s="2441"/>
      <c r="M260" s="2442"/>
      <c r="N260" s="16"/>
      <c r="O260" s="96"/>
      <c r="P260" s="160" t="b">
        <f t="shared" si="232"/>
        <v>0</v>
      </c>
      <c r="Q260" s="160" t="b">
        <v>0</v>
      </c>
      <c r="R260" s="207">
        <f t="shared" si="233"/>
        <v>0</v>
      </c>
      <c r="S260" s="160">
        <f t="shared" si="234"/>
        <v>0</v>
      </c>
      <c r="T260" s="160" t="s">
        <v>614</v>
      </c>
      <c r="U260" s="160"/>
      <c r="V260" s="160"/>
      <c r="W260" s="160"/>
      <c r="X260" s="160"/>
      <c r="Y260" s="160"/>
      <c r="Z260" s="160"/>
      <c r="AA260" s="160"/>
      <c r="AB260" s="160"/>
      <c r="AC260" s="160"/>
      <c r="AD260" s="160"/>
      <c r="AE260" s="160"/>
      <c r="AF260" s="160"/>
      <c r="AG260" s="160"/>
      <c r="AH260" s="160"/>
      <c r="AI260" s="160"/>
      <c r="AJ260" s="160"/>
      <c r="AK260" s="160"/>
      <c r="AL260" s="160"/>
      <c r="AM260" s="160"/>
      <c r="AN260" s="160"/>
      <c r="AO260" s="160"/>
      <c r="AP260" s="160"/>
      <c r="AQ260" s="160"/>
      <c r="AR260" s="160"/>
      <c r="AS260" s="160"/>
      <c r="AT260" s="160"/>
      <c r="AU260" s="160"/>
      <c r="AV260" s="160"/>
      <c r="AW260" s="160"/>
      <c r="AX260" s="160"/>
      <c r="AY260" s="160"/>
      <c r="AZ260" s="160"/>
      <c r="BA260" s="160"/>
      <c r="BB260" s="160"/>
      <c r="BC260" s="160"/>
      <c r="BD260" s="160"/>
      <c r="BE260" s="160"/>
      <c r="BF260" s="160"/>
      <c r="BG260" s="160"/>
      <c r="BH260" s="160"/>
      <c r="BI260" s="160"/>
      <c r="BJ260" s="160"/>
      <c r="BK260" s="160"/>
      <c r="BL260" s="657"/>
      <c r="BM260" s="160"/>
      <c r="BN260" s="160"/>
      <c r="BO260" s="160"/>
      <c r="BP260" s="160"/>
      <c r="BQ260" s="160"/>
      <c r="BR260" s="160"/>
      <c r="BS260" s="160"/>
      <c r="BT260" s="160"/>
      <c r="BU260" s="160"/>
      <c r="BV260" s="160"/>
      <c r="BW260" s="160"/>
      <c r="BX260" s="160"/>
      <c r="BY260" s="160"/>
      <c r="BZ260" s="160"/>
      <c r="CA260" s="160"/>
      <c r="CB260" s="160"/>
      <c r="CC260" s="160"/>
      <c r="CD260" s="160"/>
      <c r="CE260" s="96"/>
      <c r="CF260" s="678"/>
      <c r="CG260" s="678"/>
      <c r="CH260" s="678"/>
      <c r="CI260" s="96"/>
      <c r="CJ260" s="96"/>
      <c r="CK260" s="96"/>
      <c r="CL260" s="678"/>
      <c r="CM260" s="678"/>
      <c r="CN260" s="678"/>
      <c r="CO260" s="96"/>
      <c r="CP260" s="96"/>
      <c r="CQ260" s="96"/>
      <c r="CR260" s="96"/>
      <c r="DX260" s="2172"/>
    </row>
    <row r="261" spans="1:128" s="98" customFormat="1" ht="18" customHeight="1" x14ac:dyDescent="0.2">
      <c r="A261" s="2526" t="s">
        <v>574</v>
      </c>
      <c r="B261" s="2527"/>
      <c r="C261" s="417"/>
      <c r="D261" s="2813" t="s">
        <v>239</v>
      </c>
      <c r="E261" s="2814"/>
      <c r="F261" s="2525"/>
      <c r="G261" s="2523"/>
      <c r="H261" s="2523"/>
      <c r="I261" s="2524"/>
      <c r="J261" s="2439" t="str">
        <f>IF(P261=TRUE,F261/2*F261/2*3.1415926*H261," ")</f>
        <v xml:space="preserve"> </v>
      </c>
      <c r="K261" s="2440"/>
      <c r="L261" s="2441"/>
      <c r="M261" s="2442"/>
      <c r="N261" s="16"/>
      <c r="O261" s="96"/>
      <c r="P261" s="160" t="b">
        <f>AND(F261&gt;0.1,H261&gt;0.1)</f>
        <v>0</v>
      </c>
      <c r="Q261" s="160" t="b">
        <v>0</v>
      </c>
      <c r="R261" s="207">
        <f t="shared" si="233"/>
        <v>0</v>
      </c>
      <c r="S261" s="160">
        <f t="shared" si="234"/>
        <v>0</v>
      </c>
      <c r="T261" s="160" t="e">
        <f>+(BJ156+EB88)/(EK88+E156+E157)</f>
        <v>#DIV/0!</v>
      </c>
      <c r="U261" s="160"/>
      <c r="V261" s="160"/>
      <c r="W261" s="160"/>
      <c r="X261" s="160"/>
      <c r="Y261" s="160"/>
      <c r="Z261" s="160"/>
      <c r="AA261" s="160"/>
      <c r="AB261" s="160"/>
      <c r="AC261" s="160"/>
      <c r="AD261" s="160"/>
      <c r="AE261" s="160"/>
      <c r="AF261" s="160"/>
      <c r="AG261" s="160"/>
      <c r="AH261" s="160"/>
      <c r="AI261" s="160"/>
      <c r="AJ261" s="160"/>
      <c r="AK261" s="160"/>
      <c r="AL261" s="160"/>
      <c r="AM261" s="160"/>
      <c r="AN261" s="160"/>
      <c r="AO261" s="160"/>
      <c r="AP261" s="160"/>
      <c r="AQ261" s="160"/>
      <c r="AR261" s="160"/>
      <c r="AS261" s="160"/>
      <c r="AT261" s="160"/>
      <c r="AU261" s="160"/>
      <c r="AV261" s="160"/>
      <c r="AW261" s="160"/>
      <c r="AX261" s="160"/>
      <c r="AY261" s="160"/>
      <c r="AZ261" s="160"/>
      <c r="BA261" s="160"/>
      <c r="BB261" s="160"/>
      <c r="BC261" s="160"/>
      <c r="BD261" s="160"/>
      <c r="BE261" s="160"/>
      <c r="BF261" s="160"/>
      <c r="BG261" s="160"/>
      <c r="BH261" s="160"/>
      <c r="BI261" s="160"/>
      <c r="BJ261" s="160"/>
      <c r="BK261" s="160"/>
      <c r="BL261" s="657"/>
      <c r="BM261" s="160"/>
      <c r="BN261" s="160"/>
      <c r="BO261" s="160"/>
      <c r="BP261" s="160"/>
      <c r="BQ261" s="160"/>
      <c r="BR261" s="160"/>
      <c r="BS261" s="160"/>
      <c r="BT261" s="160"/>
      <c r="BU261" s="160"/>
      <c r="BV261" s="160"/>
      <c r="BW261" s="160"/>
      <c r="BX261" s="160"/>
      <c r="BY261" s="160"/>
      <c r="BZ261" s="160"/>
      <c r="CA261" s="160"/>
      <c r="CB261" s="160"/>
      <c r="CC261" s="160"/>
      <c r="CD261" s="160"/>
      <c r="CE261" s="96"/>
      <c r="CF261" s="678"/>
      <c r="CG261" s="678"/>
      <c r="CH261" s="678"/>
      <c r="CI261" s="96"/>
      <c r="CJ261" s="96"/>
      <c r="CK261" s="96"/>
      <c r="CL261" s="678"/>
      <c r="CM261" s="678"/>
      <c r="CN261" s="678"/>
      <c r="CO261" s="96"/>
      <c r="CP261" s="96"/>
      <c r="CQ261" s="96"/>
      <c r="CR261" s="96"/>
      <c r="DX261" s="2172"/>
    </row>
    <row r="262" spans="1:128" s="98" customFormat="1" ht="18" customHeight="1" x14ac:dyDescent="0.2">
      <c r="A262" s="2526" t="s">
        <v>575</v>
      </c>
      <c r="B262" s="2527"/>
      <c r="C262" s="417"/>
      <c r="D262" s="2813" t="s">
        <v>239</v>
      </c>
      <c r="E262" s="2814"/>
      <c r="F262" s="2525"/>
      <c r="G262" s="2523"/>
      <c r="H262" s="2523"/>
      <c r="I262" s="2524"/>
      <c r="J262" s="2439" t="str">
        <f t="shared" si="231"/>
        <v xml:space="preserve"> </v>
      </c>
      <c r="K262" s="2440"/>
      <c r="L262" s="2441"/>
      <c r="M262" s="2442"/>
      <c r="N262" s="16"/>
      <c r="O262" s="96"/>
      <c r="P262" s="160" t="b">
        <f t="shared" si="232"/>
        <v>0</v>
      </c>
      <c r="Q262" s="160" t="b">
        <v>0</v>
      </c>
      <c r="R262" s="207">
        <f t="shared" si="233"/>
        <v>0</v>
      </c>
      <c r="S262" s="160">
        <f t="shared" si="234"/>
        <v>0</v>
      </c>
      <c r="T262" s="160"/>
      <c r="U262" s="160"/>
      <c r="V262" s="160"/>
      <c r="W262" s="160"/>
      <c r="X262" s="160"/>
      <c r="Y262" s="160"/>
      <c r="Z262" s="160"/>
      <c r="AA262" s="160"/>
      <c r="AB262" s="160"/>
      <c r="AC262" s="160"/>
      <c r="AD262" s="160"/>
      <c r="AE262" s="160"/>
      <c r="AF262" s="160"/>
      <c r="AG262" s="160"/>
      <c r="AH262" s="160"/>
      <c r="AI262" s="160"/>
      <c r="AJ262" s="160"/>
      <c r="AK262" s="160"/>
      <c r="AL262" s="160"/>
      <c r="AM262" s="160"/>
      <c r="AN262" s="160"/>
      <c r="AO262" s="160"/>
      <c r="AP262" s="160"/>
      <c r="AQ262" s="160"/>
      <c r="AR262" s="160"/>
      <c r="AS262" s="160"/>
      <c r="AT262" s="160"/>
      <c r="AU262" s="160"/>
      <c r="AV262" s="160"/>
      <c r="AW262" s="160"/>
      <c r="AX262" s="160"/>
      <c r="AY262" s="160"/>
      <c r="AZ262" s="160"/>
      <c r="BA262" s="160"/>
      <c r="BB262" s="160"/>
      <c r="BC262" s="160"/>
      <c r="BD262" s="160"/>
      <c r="BE262" s="160"/>
      <c r="BF262" s="160"/>
      <c r="BG262" s="160"/>
      <c r="BH262" s="160"/>
      <c r="BI262" s="160"/>
      <c r="BJ262" s="160"/>
      <c r="BK262" s="160"/>
      <c r="BL262" s="657"/>
      <c r="BM262" s="160"/>
      <c r="BN262" s="160"/>
      <c r="BO262" s="160"/>
      <c r="BP262" s="160"/>
      <c r="BQ262" s="160"/>
      <c r="BR262" s="160"/>
      <c r="BS262" s="160"/>
      <c r="BT262" s="160"/>
      <c r="BU262" s="160"/>
      <c r="BV262" s="160"/>
      <c r="BW262" s="160"/>
      <c r="BX262" s="160"/>
      <c r="BY262" s="160"/>
      <c r="BZ262" s="160"/>
      <c r="CA262" s="160"/>
      <c r="CB262" s="160"/>
      <c r="CC262" s="160"/>
      <c r="CD262" s="160"/>
      <c r="CE262" s="96"/>
      <c r="CF262" s="678"/>
      <c r="CG262" s="678"/>
      <c r="CH262" s="678"/>
      <c r="CI262" s="96"/>
      <c r="CJ262" s="96"/>
      <c r="CK262" s="96"/>
      <c r="CL262" s="678"/>
      <c r="CM262" s="678"/>
      <c r="CN262" s="678"/>
      <c r="CO262" s="96"/>
      <c r="CP262" s="96"/>
      <c r="CQ262" s="96"/>
      <c r="CR262" s="96"/>
      <c r="DX262" s="2172"/>
    </row>
    <row r="263" spans="1:128" s="98" customFormat="1" ht="18" customHeight="1" thickBot="1" x14ac:dyDescent="0.25">
      <c r="A263" s="2533" t="s">
        <v>681</v>
      </c>
      <c r="B263" s="2534"/>
      <c r="C263" s="418"/>
      <c r="D263" s="2815" t="s">
        <v>239</v>
      </c>
      <c r="E263" s="2816"/>
      <c r="F263" s="2817"/>
      <c r="G263" s="2420"/>
      <c r="H263" s="2420"/>
      <c r="I263" s="2421"/>
      <c r="J263" s="2447" t="str">
        <f t="shared" si="231"/>
        <v xml:space="preserve"> </v>
      </c>
      <c r="K263" s="2448"/>
      <c r="L263" s="2788"/>
      <c r="M263" s="2789"/>
      <c r="N263" s="16"/>
      <c r="O263" s="96"/>
      <c r="P263" s="160" t="b">
        <f t="shared" si="232"/>
        <v>0</v>
      </c>
      <c r="Q263" s="160" t="b">
        <v>0</v>
      </c>
      <c r="R263" s="207">
        <f t="shared" si="233"/>
        <v>0</v>
      </c>
      <c r="S263" s="160">
        <f t="shared" si="234"/>
        <v>0</v>
      </c>
      <c r="T263" s="160"/>
      <c r="U263" s="160"/>
      <c r="V263" s="160"/>
      <c r="W263" s="160"/>
      <c r="X263" s="160"/>
      <c r="Y263" s="160"/>
      <c r="Z263" s="160"/>
      <c r="AA263" s="160"/>
      <c r="AB263" s="160"/>
      <c r="AC263" s="160"/>
      <c r="AD263" s="160"/>
      <c r="AE263" s="160"/>
      <c r="AF263" s="160"/>
      <c r="AG263" s="160"/>
      <c r="AH263" s="160"/>
      <c r="AI263" s="160"/>
      <c r="AJ263" s="160"/>
      <c r="AK263" s="160"/>
      <c r="AL263" s="160"/>
      <c r="AM263" s="160"/>
      <c r="AN263" s="160"/>
      <c r="AO263" s="160"/>
      <c r="AP263" s="160"/>
      <c r="AQ263" s="160"/>
      <c r="AR263" s="160"/>
      <c r="AS263" s="160"/>
      <c r="AT263" s="160"/>
      <c r="AU263" s="160"/>
      <c r="AV263" s="160"/>
      <c r="AW263" s="160"/>
      <c r="AX263" s="160"/>
      <c r="AY263" s="160"/>
      <c r="AZ263" s="160"/>
      <c r="BA263" s="160"/>
      <c r="BB263" s="160"/>
      <c r="BC263" s="160"/>
      <c r="BD263" s="160"/>
      <c r="BE263" s="160"/>
      <c r="BF263" s="160"/>
      <c r="BG263" s="160"/>
      <c r="BH263" s="160"/>
      <c r="BI263" s="160"/>
      <c r="BJ263" s="160"/>
      <c r="BK263" s="160"/>
      <c r="BL263" s="657"/>
      <c r="BM263" s="160"/>
      <c r="BN263" s="160"/>
      <c r="BO263" s="160"/>
      <c r="BP263" s="160"/>
      <c r="BQ263" s="160"/>
      <c r="BR263" s="160"/>
      <c r="BS263" s="160"/>
      <c r="BT263" s="160"/>
      <c r="BU263" s="160"/>
      <c r="BV263" s="160"/>
      <c r="BW263" s="160"/>
      <c r="BX263" s="160"/>
      <c r="BY263" s="160"/>
      <c r="BZ263" s="160"/>
      <c r="CA263" s="160"/>
      <c r="CB263" s="160"/>
      <c r="CC263" s="160"/>
      <c r="CD263" s="160"/>
      <c r="CE263" s="96"/>
      <c r="CF263" s="678"/>
      <c r="CG263" s="678"/>
      <c r="CH263" s="678"/>
      <c r="CI263" s="96"/>
      <c r="CJ263" s="96"/>
      <c r="CK263" s="96"/>
      <c r="CL263" s="678"/>
      <c r="CM263" s="678"/>
      <c r="CN263" s="678"/>
      <c r="CO263" s="96"/>
      <c r="CP263" s="96"/>
      <c r="CQ263" s="96"/>
      <c r="CR263" s="96"/>
      <c r="DX263" s="2172"/>
    </row>
    <row r="264" spans="1:128" s="98" customFormat="1" ht="16.5" customHeight="1" x14ac:dyDescent="0.2">
      <c r="A264" s="1945" t="s">
        <v>724</v>
      </c>
      <c r="B264" s="425"/>
      <c r="C264" s="2792" t="s">
        <v>611</v>
      </c>
      <c r="D264" s="2531" t="s">
        <v>246</v>
      </c>
      <c r="E264" s="2532"/>
      <c r="F264" s="394" t="s">
        <v>30</v>
      </c>
      <c r="G264" s="394" t="s">
        <v>31</v>
      </c>
      <c r="H264" s="2531" t="s">
        <v>287</v>
      </c>
      <c r="I264" s="2541"/>
      <c r="J264" s="2786"/>
      <c r="K264" s="2787"/>
      <c r="L264" s="2801" t="str">
        <f>IF(Y270&gt;0,"!!Fehler!!"," ")</f>
        <v xml:space="preserve"> </v>
      </c>
      <c r="M264" s="2802"/>
      <c r="N264" s="16"/>
      <c r="O264" s="96"/>
      <c r="P264" s="160"/>
      <c r="Q264" s="160"/>
      <c r="R264" s="207">
        <f t="shared" si="233"/>
        <v>0</v>
      </c>
      <c r="S264" s="160">
        <f t="shared" si="234"/>
        <v>0</v>
      </c>
      <c r="T264" s="160"/>
      <c r="U264" s="160"/>
      <c r="V264" s="160"/>
      <c r="W264" s="160"/>
      <c r="X264" s="160"/>
      <c r="Y264" s="160" t="s">
        <v>691</v>
      </c>
      <c r="Z264" s="160"/>
      <c r="AA264" s="160"/>
      <c r="AB264" s="160"/>
      <c r="AC264" s="160"/>
      <c r="AD264" s="160"/>
      <c r="AE264" s="160"/>
      <c r="AF264" s="160"/>
      <c r="AG264" s="160"/>
      <c r="AH264" s="160"/>
      <c r="AI264" s="160"/>
      <c r="AJ264" s="160"/>
      <c r="AK264" s="160"/>
      <c r="AL264" s="160"/>
      <c r="AM264" s="160"/>
      <c r="AN264" s="160"/>
      <c r="AO264" s="160"/>
      <c r="AP264" s="160"/>
      <c r="AQ264" s="160"/>
      <c r="AR264" s="160"/>
      <c r="AS264" s="160"/>
      <c r="AT264" s="160"/>
      <c r="AU264" s="160"/>
      <c r="AV264" s="160"/>
      <c r="AW264" s="160"/>
      <c r="AX264" s="160"/>
      <c r="AY264" s="160"/>
      <c r="AZ264" s="160"/>
      <c r="BA264" s="160"/>
      <c r="BB264" s="160"/>
      <c r="BC264" s="160"/>
      <c r="BD264" s="160"/>
      <c r="BE264" s="160"/>
      <c r="BF264" s="160"/>
      <c r="BG264" s="160"/>
      <c r="BH264" s="160"/>
      <c r="BI264" s="160"/>
      <c r="BJ264" s="160"/>
      <c r="BK264" s="160"/>
      <c r="BL264" s="657"/>
      <c r="BM264" s="160"/>
      <c r="BN264" s="160"/>
      <c r="BO264" s="160"/>
      <c r="BP264" s="160"/>
      <c r="BQ264" s="160"/>
      <c r="BR264" s="160"/>
      <c r="BS264" s="160"/>
      <c r="BT264" s="160"/>
      <c r="BU264" s="160"/>
      <c r="BV264" s="160"/>
      <c r="BW264" s="160"/>
      <c r="BX264" s="160"/>
      <c r="BY264" s="160"/>
      <c r="BZ264" s="160"/>
      <c r="CA264" s="160"/>
      <c r="CB264" s="160"/>
      <c r="CC264" s="160"/>
      <c r="CD264" s="160"/>
      <c r="CE264" s="96"/>
      <c r="CF264" s="678"/>
      <c r="CG264" s="678"/>
      <c r="CH264" s="678"/>
      <c r="CI264" s="96"/>
      <c r="CJ264" s="96"/>
      <c r="CK264" s="96"/>
      <c r="CL264" s="678"/>
      <c r="CM264" s="678"/>
      <c r="CN264" s="678"/>
      <c r="CO264" s="96"/>
      <c r="CP264" s="96"/>
      <c r="CQ264" s="96"/>
      <c r="CR264" s="96"/>
      <c r="DX264" s="2172"/>
    </row>
    <row r="265" spans="1:128" s="98" customFormat="1" ht="16.5" customHeight="1" thickBot="1" x14ac:dyDescent="0.25">
      <c r="A265" s="1945" t="s">
        <v>725</v>
      </c>
      <c r="B265" s="425"/>
      <c r="C265" s="2793"/>
      <c r="D265" s="2531" t="s">
        <v>278</v>
      </c>
      <c r="E265" s="2532"/>
      <c r="F265" s="394" t="s">
        <v>876</v>
      </c>
      <c r="G265" s="394" t="s">
        <v>876</v>
      </c>
      <c r="H265" s="2539" t="s">
        <v>876</v>
      </c>
      <c r="I265" s="2540"/>
      <c r="J265" s="2797"/>
      <c r="K265" s="2798"/>
      <c r="L265" s="2790" t="str">
        <f>IF(Y270&gt;0,"Ferm. fest"," ")</f>
        <v xml:space="preserve"> </v>
      </c>
      <c r="M265" s="2791"/>
      <c r="N265" s="16"/>
      <c r="O265" s="96"/>
      <c r="P265" s="160"/>
      <c r="Q265" s="160"/>
      <c r="R265" s="207">
        <f t="shared" si="233"/>
        <v>0</v>
      </c>
      <c r="S265" s="160">
        <f t="shared" si="234"/>
        <v>0</v>
      </c>
      <c r="T265" s="160"/>
      <c r="U265" s="160" t="s">
        <v>21</v>
      </c>
      <c r="V265" s="160"/>
      <c r="W265" s="160"/>
      <c r="X265" s="160"/>
      <c r="Y265" s="160" t="s">
        <v>611</v>
      </c>
      <c r="Z265" s="160"/>
      <c r="AA265" s="160"/>
      <c r="AB265" s="160"/>
      <c r="AC265" s="160"/>
      <c r="AD265" s="160"/>
      <c r="AE265" s="160"/>
      <c r="AF265" s="160"/>
      <c r="AG265" s="160"/>
      <c r="AH265" s="160"/>
      <c r="AI265" s="160"/>
      <c r="AJ265" s="160"/>
      <c r="AK265" s="160"/>
      <c r="AL265" s="160"/>
      <c r="AM265" s="160"/>
      <c r="AN265" s="160"/>
      <c r="AO265" s="160"/>
      <c r="AP265" s="160"/>
      <c r="AQ265" s="160"/>
      <c r="AR265" s="160"/>
      <c r="AS265" s="160"/>
      <c r="AT265" s="160"/>
      <c r="AU265" s="160"/>
      <c r="AV265" s="160"/>
      <c r="AW265" s="160"/>
      <c r="AX265" s="160"/>
      <c r="AY265" s="160"/>
      <c r="AZ265" s="160"/>
      <c r="BA265" s="160"/>
      <c r="BB265" s="160"/>
      <c r="BC265" s="160"/>
      <c r="BD265" s="160"/>
      <c r="BE265" s="160"/>
      <c r="BF265" s="160"/>
      <c r="BG265" s="160"/>
      <c r="BH265" s="160"/>
      <c r="BI265" s="160"/>
      <c r="BJ265" s="160"/>
      <c r="BK265" s="160"/>
      <c r="BL265" s="657"/>
      <c r="BM265" s="160"/>
      <c r="BN265" s="160"/>
      <c r="BO265" s="160"/>
      <c r="BP265" s="160"/>
      <c r="BQ265" s="160"/>
      <c r="BR265" s="160"/>
      <c r="BS265" s="160"/>
      <c r="BT265" s="160"/>
      <c r="BU265" s="160"/>
      <c r="BV265" s="160"/>
      <c r="BW265" s="160"/>
      <c r="BX265" s="160"/>
      <c r="BY265" s="160"/>
      <c r="BZ265" s="160"/>
      <c r="CA265" s="160"/>
      <c r="CB265" s="160"/>
      <c r="CC265" s="160"/>
      <c r="CD265" s="160"/>
      <c r="CE265" s="96"/>
      <c r="CF265" s="678"/>
      <c r="CG265" s="678"/>
      <c r="CH265" s="678"/>
      <c r="CI265" s="96"/>
      <c r="CJ265" s="96"/>
      <c r="CK265" s="96"/>
      <c r="CL265" s="678"/>
      <c r="CM265" s="678"/>
      <c r="CN265" s="678"/>
      <c r="CO265" s="96"/>
      <c r="CP265" s="96"/>
      <c r="CQ265" s="96"/>
      <c r="CR265" s="96"/>
      <c r="DX265" s="2172"/>
    </row>
    <row r="266" spans="1:128" s="98" customFormat="1" ht="18" customHeight="1" x14ac:dyDescent="0.2">
      <c r="A266" s="2779" t="s">
        <v>570</v>
      </c>
      <c r="B266" s="2780"/>
      <c r="C266" s="416"/>
      <c r="D266" s="2537"/>
      <c r="E266" s="2538"/>
      <c r="F266" s="1542"/>
      <c r="G266" s="1543"/>
      <c r="H266" s="2425"/>
      <c r="I266" s="2426"/>
      <c r="J266" s="2445" t="str">
        <f>IF(P266=TRUE,IF(X266=2,F266*G266*H266," ")," ")</f>
        <v xml:space="preserve"> </v>
      </c>
      <c r="K266" s="2446"/>
      <c r="L266" s="2445" t="str">
        <f>IF(P266=TRUE,IF(X266=3,F266*G266*H266," ")," ")</f>
        <v xml:space="preserve"> </v>
      </c>
      <c r="M266" s="2446"/>
      <c r="N266" s="16"/>
      <c r="O266" s="96"/>
      <c r="P266" s="160" t="b">
        <f>AND(F266&gt;0.1,G266&gt;0.1,H266&gt;0.1)</f>
        <v>0</v>
      </c>
      <c r="Q266" s="160" t="b">
        <v>0</v>
      </c>
      <c r="R266" s="207">
        <f t="shared" si="233"/>
        <v>0</v>
      </c>
      <c r="S266" s="160">
        <f t="shared" si="234"/>
        <v>0</v>
      </c>
      <c r="T266" s="160" t="s">
        <v>689</v>
      </c>
      <c r="U266" s="160" t="s">
        <v>239</v>
      </c>
      <c r="V266" s="160"/>
      <c r="W266" s="160"/>
      <c r="X266" s="160">
        <v>1</v>
      </c>
      <c r="Y266" s="160">
        <f>IF(X266=3,IF(Q266=TRUE,1,0),0)</f>
        <v>0</v>
      </c>
      <c r="Z266" s="160"/>
      <c r="AA266" s="160"/>
      <c r="AB266" s="160"/>
      <c r="AC266" s="160"/>
      <c r="AD266" s="160"/>
      <c r="AE266" s="160"/>
      <c r="AF266" s="160"/>
      <c r="AG266" s="160"/>
      <c r="AH266" s="160"/>
      <c r="AI266" s="160"/>
      <c r="AJ266" s="160"/>
      <c r="AK266" s="160"/>
      <c r="AL266" s="160"/>
      <c r="AM266" s="160"/>
      <c r="AN266" s="160"/>
      <c r="AO266" s="160"/>
      <c r="AP266" s="160"/>
      <c r="AQ266" s="160"/>
      <c r="AR266" s="160"/>
      <c r="AS266" s="160"/>
      <c r="AT266" s="160"/>
      <c r="AU266" s="160"/>
      <c r="AV266" s="160"/>
      <c r="AW266" s="160"/>
      <c r="AX266" s="160"/>
      <c r="AY266" s="160"/>
      <c r="AZ266" s="160"/>
      <c r="BA266" s="160"/>
      <c r="BB266" s="160"/>
      <c r="BC266" s="160"/>
      <c r="BD266" s="160"/>
      <c r="BE266" s="160"/>
      <c r="BF266" s="160"/>
      <c r="BG266" s="160"/>
      <c r="BH266" s="160"/>
      <c r="BI266" s="160"/>
      <c r="BJ266" s="160"/>
      <c r="BK266" s="160"/>
      <c r="BL266" s="657"/>
      <c r="BM266" s="160"/>
      <c r="BN266" s="160"/>
      <c r="BO266" s="160"/>
      <c r="BP266" s="160"/>
      <c r="BQ266" s="160"/>
      <c r="BR266" s="160"/>
      <c r="BS266" s="160"/>
      <c r="BT266" s="160"/>
      <c r="BU266" s="160"/>
      <c r="BV266" s="160"/>
      <c r="BW266" s="160"/>
      <c r="BX266" s="160"/>
      <c r="BY266" s="160"/>
      <c r="BZ266" s="160"/>
      <c r="CA266" s="160"/>
      <c r="CB266" s="160"/>
      <c r="CC266" s="160"/>
      <c r="CD266" s="160"/>
      <c r="CE266" s="96"/>
      <c r="CF266" s="678"/>
      <c r="CG266" s="678"/>
      <c r="CH266" s="678"/>
      <c r="CI266" s="96"/>
      <c r="CJ266" s="96"/>
      <c r="CK266" s="96"/>
      <c r="CL266" s="678"/>
      <c r="CM266" s="678"/>
      <c r="CN266" s="678"/>
      <c r="CO266" s="96"/>
      <c r="CP266" s="96"/>
      <c r="CQ266" s="96"/>
      <c r="CR266" s="96"/>
      <c r="DX266" s="2172"/>
    </row>
    <row r="267" spans="1:128" s="98" customFormat="1" ht="18" customHeight="1" x14ac:dyDescent="0.2">
      <c r="A267" s="2526" t="s">
        <v>571</v>
      </c>
      <c r="B267" s="2527"/>
      <c r="C267" s="417"/>
      <c r="D267" s="2535"/>
      <c r="E267" s="2536"/>
      <c r="F267" s="1544"/>
      <c r="G267" s="1545"/>
      <c r="H267" s="2523"/>
      <c r="I267" s="2524"/>
      <c r="J267" s="2439" t="str">
        <f>IF(P267=TRUE,IF(X267=2,F267*G267*H267," ")," ")</f>
        <v xml:space="preserve"> </v>
      </c>
      <c r="K267" s="2440"/>
      <c r="L267" s="2439" t="str">
        <f>IF(P267=TRUE,IF(X267=3,F267*G267*H267," ")," ")</f>
        <v xml:space="preserve"> </v>
      </c>
      <c r="M267" s="2440"/>
      <c r="N267" s="16"/>
      <c r="O267" s="96"/>
      <c r="P267" s="160" t="b">
        <f>AND(F267&gt;0.1,G267&gt;0.1,H267&gt;0.1)</f>
        <v>0</v>
      </c>
      <c r="Q267" s="160" t="b">
        <v>0</v>
      </c>
      <c r="R267" s="207">
        <f t="shared" si="233"/>
        <v>0</v>
      </c>
      <c r="S267" s="160">
        <f t="shared" si="234"/>
        <v>0</v>
      </c>
      <c r="T267" s="160" t="e">
        <f>+(EK88+E156+E157+F39)/365*T261</f>
        <v>#DIV/0!</v>
      </c>
      <c r="U267" s="160" t="s">
        <v>240</v>
      </c>
      <c r="V267" s="160"/>
      <c r="W267" s="160"/>
      <c r="X267" s="160">
        <v>1</v>
      </c>
      <c r="Y267" s="160">
        <f>IF(X267=3,IF(Q267=TRUE,1,0),0)</f>
        <v>0</v>
      </c>
      <c r="Z267" s="160"/>
      <c r="AA267" s="160"/>
      <c r="AB267" s="160"/>
      <c r="AC267" s="160"/>
      <c r="AD267" s="160"/>
      <c r="AE267" s="160"/>
      <c r="AF267" s="160"/>
      <c r="AG267" s="160"/>
      <c r="AH267" s="160"/>
      <c r="AI267" s="160"/>
      <c r="AJ267" s="160"/>
      <c r="AK267" s="160"/>
      <c r="AL267" s="160"/>
      <c r="AM267" s="160"/>
      <c r="AN267" s="160"/>
      <c r="AO267" s="160"/>
      <c r="AP267" s="160"/>
      <c r="AQ267" s="160"/>
      <c r="AR267" s="160"/>
      <c r="AS267" s="160"/>
      <c r="AT267" s="160"/>
      <c r="AU267" s="160"/>
      <c r="AV267" s="160"/>
      <c r="AW267" s="160"/>
      <c r="AX267" s="160"/>
      <c r="AY267" s="160"/>
      <c r="AZ267" s="160"/>
      <c r="BA267" s="160"/>
      <c r="BB267" s="160"/>
      <c r="BC267" s="160"/>
      <c r="BD267" s="160"/>
      <c r="BE267" s="160"/>
      <c r="BF267" s="160"/>
      <c r="BG267" s="160"/>
      <c r="BH267" s="160"/>
      <c r="BI267" s="160"/>
      <c r="BJ267" s="160"/>
      <c r="BK267" s="160"/>
      <c r="BL267" s="657"/>
      <c r="BM267" s="160"/>
      <c r="BN267" s="160"/>
      <c r="BO267" s="160"/>
      <c r="BP267" s="160"/>
      <c r="BQ267" s="160"/>
      <c r="BR267" s="160"/>
      <c r="BS267" s="160"/>
      <c r="BT267" s="160"/>
      <c r="BU267" s="160"/>
      <c r="BV267" s="160"/>
      <c r="BW267" s="160"/>
      <c r="BX267" s="160"/>
      <c r="BY267" s="160"/>
      <c r="BZ267" s="160"/>
      <c r="CA267" s="160"/>
      <c r="CB267" s="160"/>
      <c r="CC267" s="160"/>
      <c r="CD267" s="160"/>
      <c r="CE267" s="96"/>
      <c r="CF267" s="678"/>
      <c r="CG267" s="678"/>
      <c r="CH267" s="678"/>
      <c r="CI267" s="96"/>
      <c r="CJ267" s="96"/>
      <c r="CK267" s="96"/>
      <c r="CL267" s="678"/>
      <c r="CM267" s="678"/>
      <c r="CN267" s="678"/>
      <c r="CO267" s="96"/>
      <c r="CP267" s="96"/>
      <c r="CQ267" s="96"/>
      <c r="CR267" s="96"/>
      <c r="DX267" s="2172"/>
    </row>
    <row r="268" spans="1:128" s="98" customFormat="1" ht="18" customHeight="1" x14ac:dyDescent="0.2">
      <c r="A268" s="2526" t="s">
        <v>572</v>
      </c>
      <c r="B268" s="2527"/>
      <c r="C268" s="417"/>
      <c r="D268" s="2535"/>
      <c r="E268" s="2536"/>
      <c r="F268" s="1544"/>
      <c r="G268" s="1545"/>
      <c r="H268" s="2523"/>
      <c r="I268" s="2524"/>
      <c r="J268" s="2439" t="str">
        <f>IF(P268=TRUE,IF(X268=2,F268*G268*H268," ")," ")</f>
        <v xml:space="preserve"> </v>
      </c>
      <c r="K268" s="2440"/>
      <c r="L268" s="2439" t="str">
        <f>IF(P268=TRUE,IF(X268=3,F268*G268*H268," ")," ")</f>
        <v xml:space="preserve"> </v>
      </c>
      <c r="M268" s="2440"/>
      <c r="N268" s="16"/>
      <c r="O268" s="96"/>
      <c r="P268" s="160" t="b">
        <f>AND(F268&gt;0.1,G268&gt;0.1,H268&gt;0.1)</f>
        <v>0</v>
      </c>
      <c r="Q268" s="160" t="b">
        <v>0</v>
      </c>
      <c r="R268" s="207">
        <f t="shared" si="233"/>
        <v>0</v>
      </c>
      <c r="S268" s="160">
        <f t="shared" si="234"/>
        <v>0</v>
      </c>
      <c r="T268" s="98" t="s">
        <v>277</v>
      </c>
      <c r="U268" s="160"/>
      <c r="V268" s="160"/>
      <c r="W268" s="160"/>
      <c r="X268" s="160">
        <v>1</v>
      </c>
      <c r="Y268" s="160">
        <f>IF(X268=3,IF(Q268=TRUE,1,0),0)</f>
        <v>0</v>
      </c>
      <c r="Z268" s="160"/>
      <c r="AA268" s="160"/>
      <c r="AB268" s="160"/>
      <c r="AC268" s="160"/>
      <c r="AD268" s="160"/>
      <c r="AE268" s="160"/>
      <c r="AF268" s="160"/>
      <c r="AG268" s="160"/>
      <c r="AH268" s="160"/>
      <c r="AI268" s="160"/>
      <c r="AJ268" s="160"/>
      <c r="AK268" s="160"/>
      <c r="AL268" s="160"/>
      <c r="AM268" s="160"/>
      <c r="AN268" s="160"/>
      <c r="AO268" s="160"/>
      <c r="AP268" s="160"/>
      <c r="AQ268" s="160"/>
      <c r="AR268" s="160"/>
      <c r="AS268" s="160"/>
      <c r="AT268" s="160"/>
      <c r="AU268" s="160"/>
      <c r="AV268" s="160"/>
      <c r="AW268" s="160"/>
      <c r="AX268" s="160"/>
      <c r="AY268" s="160"/>
      <c r="AZ268" s="160"/>
      <c r="BA268" s="160"/>
      <c r="BB268" s="160"/>
      <c r="BC268" s="160"/>
      <c r="BD268" s="160"/>
      <c r="BE268" s="160"/>
      <c r="BF268" s="160"/>
      <c r="BG268" s="160"/>
      <c r="BH268" s="160"/>
      <c r="BI268" s="160"/>
      <c r="BJ268" s="160"/>
      <c r="BK268" s="160"/>
      <c r="BL268" s="657"/>
      <c r="BM268" s="160"/>
      <c r="BN268" s="160"/>
      <c r="BO268" s="160"/>
      <c r="BP268" s="160"/>
      <c r="BQ268" s="160"/>
      <c r="BR268" s="160"/>
      <c r="BS268" s="160"/>
      <c r="BT268" s="160"/>
      <c r="BU268" s="160"/>
      <c r="BV268" s="160"/>
      <c r="BW268" s="160"/>
      <c r="BX268" s="160"/>
      <c r="BY268" s="160"/>
      <c r="BZ268" s="160"/>
      <c r="CA268" s="160"/>
      <c r="CB268" s="160"/>
      <c r="CC268" s="160"/>
      <c r="CD268" s="160"/>
      <c r="CE268" s="96"/>
      <c r="CF268" s="678"/>
      <c r="CG268" s="678"/>
      <c r="CH268" s="678"/>
      <c r="CI268" s="96"/>
      <c r="CJ268" s="96"/>
      <c r="CK268" s="96"/>
      <c r="CL268" s="678"/>
      <c r="CM268" s="678"/>
      <c r="CN268" s="678"/>
      <c r="CO268" s="96"/>
      <c r="CP268" s="96"/>
      <c r="CQ268" s="96"/>
      <c r="CR268" s="96"/>
      <c r="DX268" s="2172"/>
    </row>
    <row r="269" spans="1:128" s="98" customFormat="1" ht="18" customHeight="1" thickBot="1" x14ac:dyDescent="0.25">
      <c r="A269" s="2533" t="s">
        <v>249</v>
      </c>
      <c r="B269" s="2534"/>
      <c r="C269" s="418"/>
      <c r="D269" s="2784"/>
      <c r="E269" s="2785"/>
      <c r="F269" s="1546"/>
      <c r="G269" s="1547"/>
      <c r="H269" s="2420"/>
      <c r="I269" s="2421"/>
      <c r="J269" s="2447" t="str">
        <f>IF(P269=TRUE,IF(X269=2,F269*G269*H269," ")," ")</f>
        <v xml:space="preserve"> </v>
      </c>
      <c r="K269" s="2448"/>
      <c r="L269" s="2447" t="str">
        <f>IF(P269=TRUE,IF(X269=3,F269*G269*H269," ")," ")</f>
        <v xml:space="preserve"> </v>
      </c>
      <c r="M269" s="2448"/>
      <c r="N269" s="16"/>
      <c r="O269" s="96"/>
      <c r="P269" s="160" t="b">
        <f>AND(F269&gt;0.1,G269&gt;0.1,H269&gt;0.1)</f>
        <v>0</v>
      </c>
      <c r="Q269" s="160" t="b">
        <v>0</v>
      </c>
      <c r="R269" s="207">
        <f t="shared" si="233"/>
        <v>0</v>
      </c>
      <c r="S269" s="160">
        <f t="shared" si="234"/>
        <v>0</v>
      </c>
      <c r="T269" s="160" t="e">
        <f>+R171/365*T261</f>
        <v>#DIV/0!</v>
      </c>
      <c r="U269" s="160"/>
      <c r="V269" s="160"/>
      <c r="W269" s="160"/>
      <c r="X269" s="160">
        <v>1</v>
      </c>
      <c r="Y269" s="160">
        <f>IF(X269=3,IF(Q269=TRUE,1,0),0)</f>
        <v>0</v>
      </c>
      <c r="Z269" s="160"/>
      <c r="AA269" s="160"/>
      <c r="AB269" s="160"/>
      <c r="AC269" s="160"/>
      <c r="AD269" s="160"/>
      <c r="AE269" s="160"/>
      <c r="AF269" s="160"/>
      <c r="AG269" s="160"/>
      <c r="AH269" s="160"/>
      <c r="AI269" s="160"/>
      <c r="AJ269" s="160"/>
      <c r="AK269" s="160"/>
      <c r="AL269" s="160"/>
      <c r="AM269" s="160"/>
      <c r="AN269" s="160"/>
      <c r="AO269" s="160"/>
      <c r="AP269" s="160"/>
      <c r="AQ269" s="160"/>
      <c r="AR269" s="160"/>
      <c r="AS269" s="160"/>
      <c r="AT269" s="160"/>
      <c r="AU269" s="160"/>
      <c r="AV269" s="160"/>
      <c r="AW269" s="160"/>
      <c r="AX269" s="160"/>
      <c r="AY269" s="160"/>
      <c r="AZ269" s="160"/>
      <c r="BA269" s="160"/>
      <c r="BB269" s="160"/>
      <c r="BC269" s="160"/>
      <c r="BD269" s="160"/>
      <c r="BE269" s="160"/>
      <c r="BF269" s="160"/>
      <c r="BG269" s="160"/>
      <c r="BH269" s="160"/>
      <c r="BI269" s="160"/>
      <c r="BJ269" s="160"/>
      <c r="BK269" s="160"/>
      <c r="BL269" s="657"/>
      <c r="BM269" s="160"/>
      <c r="BN269" s="160"/>
      <c r="BO269" s="160"/>
      <c r="BP269" s="160"/>
      <c r="BQ269" s="160"/>
      <c r="BR269" s="160"/>
      <c r="BS269" s="160"/>
      <c r="BT269" s="160"/>
      <c r="BU269" s="160"/>
      <c r="BV269" s="160"/>
      <c r="BW269" s="160"/>
      <c r="BX269" s="160"/>
      <c r="BY269" s="160"/>
      <c r="BZ269" s="160"/>
      <c r="CA269" s="160"/>
      <c r="CB269" s="160"/>
      <c r="CC269" s="160"/>
      <c r="CD269" s="160"/>
      <c r="CE269" s="96"/>
      <c r="CF269" s="678"/>
      <c r="CG269" s="678"/>
      <c r="CH269" s="678"/>
      <c r="CI269" s="96"/>
      <c r="CJ269" s="96"/>
      <c r="CK269" s="96"/>
      <c r="CL269" s="678"/>
      <c r="CM269" s="678"/>
      <c r="CN269" s="678"/>
      <c r="CO269" s="96"/>
      <c r="CP269" s="96"/>
      <c r="CQ269" s="96"/>
      <c r="CR269" s="96"/>
      <c r="DX269" s="2172"/>
    </row>
    <row r="270" spans="1:128" s="98" customFormat="1" ht="21" customHeight="1" thickBot="1" x14ac:dyDescent="0.25">
      <c r="A270" s="2283" t="s">
        <v>727</v>
      </c>
      <c r="B270" s="2284"/>
      <c r="C270" s="2284"/>
      <c r="D270" s="2284"/>
      <c r="E270" s="2284"/>
      <c r="F270" s="2284"/>
      <c r="G270" s="2284"/>
      <c r="H270" s="2284"/>
      <c r="I270" s="2285"/>
      <c r="J270" s="2334"/>
      <c r="K270" s="2335"/>
      <c r="L270" s="2334"/>
      <c r="M270" s="2335"/>
      <c r="N270" s="16"/>
      <c r="O270" s="96"/>
      <c r="P270" s="160"/>
      <c r="Q270" s="160"/>
      <c r="R270" s="160" t="s">
        <v>468</v>
      </c>
      <c r="S270" s="160">
        <f>SUM(S257:S269)</f>
        <v>0</v>
      </c>
      <c r="T270" s="98">
        <f>IF(EK88+E156+E157=0,0,T269+T267)</f>
        <v>0</v>
      </c>
      <c r="U270" s="160"/>
      <c r="V270" s="160"/>
      <c r="W270" s="160"/>
      <c r="X270" s="160"/>
      <c r="Y270" s="160">
        <f>SUM(Y266:Y269)</f>
        <v>0</v>
      </c>
      <c r="Z270" s="160"/>
      <c r="AA270" s="160"/>
      <c r="AB270" s="160"/>
      <c r="AC270" s="160"/>
      <c r="AD270" s="160"/>
      <c r="AE270" s="160"/>
      <c r="AF270" s="160"/>
      <c r="AG270" s="160"/>
      <c r="AH270" s="160"/>
      <c r="AI270" s="160"/>
      <c r="AJ270" s="160"/>
      <c r="AK270" s="160"/>
      <c r="AL270" s="160"/>
      <c r="AM270" s="160"/>
      <c r="AN270" s="160"/>
      <c r="AO270" s="160"/>
      <c r="AP270" s="160"/>
      <c r="AQ270" s="160"/>
      <c r="AR270" s="160"/>
      <c r="AS270" s="160"/>
      <c r="AT270" s="160"/>
      <c r="AU270" s="160"/>
      <c r="AV270" s="160"/>
      <c r="AW270" s="160"/>
      <c r="AX270" s="160"/>
      <c r="AY270" s="160"/>
      <c r="AZ270" s="160"/>
      <c r="BA270" s="160"/>
      <c r="BB270" s="160"/>
      <c r="BC270" s="160"/>
      <c r="BD270" s="160"/>
      <c r="BE270" s="160"/>
      <c r="BF270" s="160"/>
      <c r="BG270" s="160"/>
      <c r="BH270" s="160"/>
      <c r="BI270" s="160"/>
      <c r="BJ270" s="160"/>
      <c r="BK270" s="160"/>
      <c r="BL270" s="657"/>
      <c r="BM270" s="160"/>
      <c r="BN270" s="160"/>
      <c r="BO270" s="160"/>
      <c r="BP270" s="160"/>
      <c r="BQ270" s="160"/>
      <c r="BR270" s="160"/>
      <c r="BS270" s="160"/>
      <c r="BT270" s="160"/>
      <c r="BU270" s="160"/>
      <c r="BV270" s="160"/>
      <c r="BW270" s="160"/>
      <c r="BX270" s="160"/>
      <c r="BY270" s="160"/>
      <c r="BZ270" s="160"/>
      <c r="CA270" s="160"/>
      <c r="CB270" s="160"/>
      <c r="CC270" s="160"/>
      <c r="CD270" s="160"/>
      <c r="CE270" s="96"/>
      <c r="CF270" s="678"/>
      <c r="CG270" s="678"/>
      <c r="CH270" s="678"/>
      <c r="CI270" s="96"/>
      <c r="CJ270" s="96"/>
      <c r="CK270" s="96"/>
      <c r="CL270" s="678"/>
      <c r="CM270" s="678"/>
      <c r="CN270" s="678"/>
      <c r="CO270" s="96"/>
      <c r="CP270" s="96"/>
      <c r="CQ270" s="96"/>
      <c r="CR270" s="96"/>
      <c r="DX270" s="2172"/>
    </row>
    <row r="271" spans="1:128" s="98" customFormat="1" ht="18" customHeight="1" x14ac:dyDescent="0.2">
      <c r="A271" s="419" t="s">
        <v>570</v>
      </c>
      <c r="B271" s="2781"/>
      <c r="C271" s="2782"/>
      <c r="D271" s="2782"/>
      <c r="E271" s="2782"/>
      <c r="F271" s="2782"/>
      <c r="G271" s="2782"/>
      <c r="H271" s="2782"/>
      <c r="I271" s="2783"/>
      <c r="J271" s="2437"/>
      <c r="K271" s="2438"/>
      <c r="L271" s="2437"/>
      <c r="M271" s="2438"/>
      <c r="N271" s="16"/>
      <c r="O271" s="96"/>
      <c r="P271" s="160"/>
      <c r="R271" s="160" t="s">
        <v>690</v>
      </c>
      <c r="S271" s="160">
        <f>MAX(S270:T270)</f>
        <v>0</v>
      </c>
      <c r="T271" s="160"/>
      <c r="U271" s="160"/>
      <c r="V271" s="160"/>
      <c r="W271" s="160"/>
      <c r="X271" s="160"/>
      <c r="Y271" s="160"/>
      <c r="Z271" s="160"/>
      <c r="AA271" s="160"/>
      <c r="AB271" s="160"/>
      <c r="AC271" s="160"/>
      <c r="AD271" s="160"/>
      <c r="AE271" s="160"/>
      <c r="AF271" s="160"/>
      <c r="AG271" s="160"/>
      <c r="AH271" s="160"/>
      <c r="AI271" s="160"/>
      <c r="AJ271" s="160"/>
      <c r="AK271" s="160"/>
      <c r="AL271" s="160"/>
      <c r="AM271" s="160"/>
      <c r="AN271" s="160"/>
      <c r="AO271" s="160"/>
      <c r="AP271" s="160"/>
      <c r="AQ271" s="160"/>
      <c r="AR271" s="160"/>
      <c r="AS271" s="160"/>
      <c r="AT271" s="160"/>
      <c r="AU271" s="160"/>
      <c r="AV271" s="160"/>
      <c r="AW271" s="160"/>
      <c r="AX271" s="160"/>
      <c r="AY271" s="160"/>
      <c r="AZ271" s="160"/>
      <c r="BA271" s="160"/>
      <c r="BB271" s="160"/>
      <c r="BC271" s="160"/>
      <c r="BD271" s="160"/>
      <c r="BE271" s="160"/>
      <c r="BF271" s="160"/>
      <c r="BG271" s="160"/>
      <c r="BH271" s="160"/>
      <c r="BI271" s="160"/>
      <c r="BJ271" s="160"/>
      <c r="BK271" s="160"/>
      <c r="BL271" s="657"/>
      <c r="BM271" s="160"/>
      <c r="BN271" s="160"/>
      <c r="BO271" s="160"/>
      <c r="BP271" s="160"/>
      <c r="BQ271" s="160"/>
      <c r="BR271" s="160"/>
      <c r="BS271" s="160"/>
      <c r="BT271" s="160"/>
      <c r="BU271" s="160"/>
      <c r="BV271" s="160"/>
      <c r="BW271" s="160"/>
      <c r="BX271" s="160"/>
      <c r="BY271" s="160"/>
      <c r="BZ271" s="160"/>
      <c r="CA271" s="160"/>
      <c r="CB271" s="160"/>
      <c r="CC271" s="160"/>
      <c r="CD271" s="160"/>
      <c r="CE271" s="96"/>
      <c r="CF271" s="678"/>
      <c r="CG271" s="678"/>
      <c r="CH271" s="678"/>
      <c r="CI271" s="96"/>
      <c r="CJ271" s="96"/>
      <c r="CK271" s="96"/>
      <c r="CL271" s="678"/>
      <c r="CM271" s="678"/>
      <c r="CN271" s="678"/>
      <c r="CO271" s="96"/>
      <c r="CP271" s="96"/>
      <c r="CQ271" s="96"/>
      <c r="CR271" s="96"/>
      <c r="DX271" s="2172"/>
    </row>
    <row r="272" spans="1:128" s="98" customFormat="1" ht="18" customHeight="1" x14ac:dyDescent="0.2">
      <c r="A272" s="420" t="s">
        <v>571</v>
      </c>
      <c r="B272" s="2794"/>
      <c r="C272" s="2795"/>
      <c r="D272" s="2795"/>
      <c r="E272" s="2795"/>
      <c r="F272" s="2795"/>
      <c r="G272" s="2795"/>
      <c r="H272" s="2795"/>
      <c r="I272" s="2796"/>
      <c r="J272" s="2400"/>
      <c r="K272" s="2401"/>
      <c r="L272" s="2400"/>
      <c r="M272" s="2401"/>
      <c r="N272" s="16"/>
      <c r="O272" s="96"/>
      <c r="P272" s="160"/>
      <c r="Q272" s="160"/>
      <c r="R272" s="160"/>
      <c r="S272" s="160"/>
      <c r="T272" s="160"/>
      <c r="U272" s="160"/>
      <c r="V272" s="160"/>
      <c r="W272" s="160"/>
      <c r="X272" s="160"/>
      <c r="Y272" s="160"/>
      <c r="Z272" s="160"/>
      <c r="AA272" s="160"/>
      <c r="AB272" s="160"/>
      <c r="AC272" s="160"/>
      <c r="AD272" s="160"/>
      <c r="AE272" s="160"/>
      <c r="AF272" s="160"/>
      <c r="AG272" s="160"/>
      <c r="AH272" s="160"/>
      <c r="AI272" s="160"/>
      <c r="AJ272" s="160"/>
      <c r="AK272" s="160"/>
      <c r="AL272" s="160"/>
      <c r="AM272" s="160"/>
      <c r="AN272" s="160"/>
      <c r="AO272" s="160"/>
      <c r="AP272" s="160"/>
      <c r="AQ272" s="160"/>
      <c r="AR272" s="160"/>
      <c r="AS272" s="160"/>
      <c r="AT272" s="160"/>
      <c r="AU272" s="160"/>
      <c r="AV272" s="160"/>
      <c r="AW272" s="160"/>
      <c r="AX272" s="160"/>
      <c r="AY272" s="160"/>
      <c r="AZ272" s="160"/>
      <c r="BA272" s="160"/>
      <c r="BB272" s="160"/>
      <c r="BC272" s="160"/>
      <c r="BD272" s="160"/>
      <c r="BE272" s="160"/>
      <c r="BF272" s="160"/>
      <c r="BG272" s="160"/>
      <c r="BH272" s="160"/>
      <c r="BI272" s="160"/>
      <c r="BJ272" s="160"/>
      <c r="BK272" s="160"/>
      <c r="BL272" s="657"/>
      <c r="BM272" s="160"/>
      <c r="BN272" s="160"/>
      <c r="BO272" s="160"/>
      <c r="BP272" s="160"/>
      <c r="BQ272" s="160"/>
      <c r="BR272" s="160"/>
      <c r="BS272" s="160"/>
      <c r="BT272" s="160"/>
      <c r="BU272" s="160"/>
      <c r="BV272" s="160"/>
      <c r="BW272" s="160"/>
      <c r="BX272" s="160"/>
      <c r="BY272" s="160"/>
      <c r="BZ272" s="160"/>
      <c r="CA272" s="160"/>
      <c r="CB272" s="160"/>
      <c r="CC272" s="160"/>
      <c r="CD272" s="160"/>
      <c r="CE272" s="96"/>
      <c r="CF272" s="678"/>
      <c r="CG272" s="678"/>
      <c r="CH272" s="678"/>
      <c r="CI272" s="96"/>
      <c r="CJ272" s="96"/>
      <c r="CK272" s="96"/>
      <c r="CL272" s="678"/>
      <c r="CM272" s="678"/>
      <c r="CN272" s="678"/>
      <c r="CO272" s="96"/>
      <c r="CP272" s="96"/>
      <c r="CQ272" s="96"/>
      <c r="CR272" s="96"/>
      <c r="DX272" s="2172"/>
    </row>
    <row r="273" spans="1:128" s="98" customFormat="1" ht="18" customHeight="1" x14ac:dyDescent="0.2">
      <c r="A273" s="420" t="s">
        <v>572</v>
      </c>
      <c r="B273" s="2794"/>
      <c r="C273" s="2795"/>
      <c r="D273" s="2795"/>
      <c r="E273" s="2795"/>
      <c r="F273" s="2795"/>
      <c r="G273" s="2795"/>
      <c r="H273" s="2795"/>
      <c r="I273" s="2796"/>
      <c r="J273" s="2400"/>
      <c r="K273" s="2401"/>
      <c r="L273" s="2400"/>
      <c r="M273" s="2401"/>
      <c r="N273" s="16"/>
      <c r="O273" s="96"/>
      <c r="P273" s="160"/>
      <c r="Q273" s="160"/>
      <c r="R273" s="160"/>
      <c r="S273" s="160"/>
      <c r="T273" s="160"/>
      <c r="U273" s="160"/>
      <c r="V273" s="160"/>
      <c r="W273" s="160"/>
      <c r="X273" s="160"/>
      <c r="Y273" s="160"/>
      <c r="Z273" s="160"/>
      <c r="AA273" s="160"/>
      <c r="AB273" s="160"/>
      <c r="AC273" s="160"/>
      <c r="AD273" s="160"/>
      <c r="AE273" s="160"/>
      <c r="AF273" s="160"/>
      <c r="AG273" s="160"/>
      <c r="AH273" s="160"/>
      <c r="AI273" s="160"/>
      <c r="AJ273" s="160"/>
      <c r="AK273" s="160"/>
      <c r="AL273" s="160"/>
      <c r="AM273" s="160"/>
      <c r="AN273" s="160"/>
      <c r="AO273" s="160"/>
      <c r="AP273" s="160"/>
      <c r="AQ273" s="160"/>
      <c r="AR273" s="160"/>
      <c r="AS273" s="160"/>
      <c r="AT273" s="160"/>
      <c r="AU273" s="160"/>
      <c r="AV273" s="160"/>
      <c r="AW273" s="160"/>
      <c r="AX273" s="160"/>
      <c r="AY273" s="160"/>
      <c r="AZ273" s="160"/>
      <c r="BA273" s="160"/>
      <c r="BB273" s="160"/>
      <c r="BC273" s="160"/>
      <c r="BD273" s="160"/>
      <c r="BE273" s="160"/>
      <c r="BF273" s="160"/>
      <c r="BG273" s="160"/>
      <c r="BH273" s="160"/>
      <c r="BI273" s="160"/>
      <c r="BJ273" s="160"/>
      <c r="BK273" s="160"/>
      <c r="BL273" s="657"/>
      <c r="BM273" s="160"/>
      <c r="BN273" s="160"/>
      <c r="BO273" s="160"/>
      <c r="BP273" s="160"/>
      <c r="BQ273" s="160"/>
      <c r="BR273" s="160"/>
      <c r="BS273" s="160"/>
      <c r="BT273" s="160"/>
      <c r="BU273" s="160"/>
      <c r="BV273" s="160"/>
      <c r="BW273" s="160"/>
      <c r="BX273" s="160"/>
      <c r="BY273" s="160"/>
      <c r="BZ273" s="160"/>
      <c r="CA273" s="160"/>
      <c r="CB273" s="160"/>
      <c r="CC273" s="160"/>
      <c r="CD273" s="160"/>
      <c r="CE273" s="96"/>
      <c r="CF273" s="678"/>
      <c r="CG273" s="678"/>
      <c r="CH273" s="678"/>
      <c r="CI273" s="96"/>
      <c r="CJ273" s="96"/>
      <c r="CK273" s="96"/>
      <c r="CL273" s="678"/>
      <c r="CM273" s="678"/>
      <c r="CN273" s="678"/>
      <c r="CO273" s="96"/>
      <c r="CP273" s="96"/>
      <c r="CQ273" s="96"/>
      <c r="CR273" s="96"/>
      <c r="DX273" s="2172"/>
    </row>
    <row r="274" spans="1:128" s="98" customFormat="1" ht="18" customHeight="1" thickBot="1" x14ac:dyDescent="0.25">
      <c r="A274" s="421" t="s">
        <v>249</v>
      </c>
      <c r="B274" s="2422"/>
      <c r="C274" s="2423"/>
      <c r="D274" s="2423"/>
      <c r="E274" s="2423"/>
      <c r="F274" s="2423"/>
      <c r="G274" s="2423"/>
      <c r="H274" s="2423"/>
      <c r="I274" s="2424"/>
      <c r="J274" s="2402"/>
      <c r="K274" s="2403"/>
      <c r="L274" s="2402"/>
      <c r="M274" s="2403"/>
      <c r="N274" s="16"/>
      <c r="O274" s="96"/>
      <c r="P274" s="160"/>
      <c r="Q274" s="160"/>
      <c r="R274" s="160"/>
      <c r="S274" s="160"/>
      <c r="T274" s="160"/>
      <c r="U274" s="160"/>
      <c r="V274" s="160"/>
      <c r="W274" s="160"/>
      <c r="X274" s="160"/>
      <c r="Y274" s="160"/>
      <c r="Z274" s="160"/>
      <c r="AA274" s="160"/>
      <c r="AB274" s="160"/>
      <c r="AC274" s="160"/>
      <c r="AD274" s="160"/>
      <c r="AE274" s="160"/>
      <c r="AF274" s="160"/>
      <c r="AG274" s="160"/>
      <c r="AH274" s="160"/>
      <c r="AI274" s="160"/>
      <c r="AJ274" s="160"/>
      <c r="AK274" s="160"/>
      <c r="AL274" s="160"/>
      <c r="AM274" s="160"/>
      <c r="AN274" s="160"/>
      <c r="AO274" s="160"/>
      <c r="AP274" s="160"/>
      <c r="AQ274" s="160"/>
      <c r="AR274" s="160"/>
      <c r="AS274" s="160"/>
      <c r="AT274" s="160"/>
      <c r="AU274" s="160"/>
      <c r="AV274" s="160"/>
      <c r="AW274" s="160"/>
      <c r="AX274" s="160"/>
      <c r="AY274" s="160"/>
      <c r="AZ274" s="160"/>
      <c r="BA274" s="160"/>
      <c r="BB274" s="160"/>
      <c r="BC274" s="160"/>
      <c r="BD274" s="160"/>
      <c r="BE274" s="160"/>
      <c r="BF274" s="160"/>
      <c r="BG274" s="160"/>
      <c r="BH274" s="160"/>
      <c r="BI274" s="160"/>
      <c r="BJ274" s="160"/>
      <c r="BK274" s="160"/>
      <c r="BL274" s="657"/>
      <c r="BM274" s="160"/>
      <c r="BN274" s="160"/>
      <c r="BO274" s="160"/>
      <c r="BP274" s="160"/>
      <c r="BQ274" s="160"/>
      <c r="BR274" s="160"/>
      <c r="BS274" s="160"/>
      <c r="BT274" s="160"/>
      <c r="BU274" s="160"/>
      <c r="BV274" s="160"/>
      <c r="BW274" s="160"/>
      <c r="BX274" s="160"/>
      <c r="BY274" s="160"/>
      <c r="BZ274" s="160"/>
      <c r="CA274" s="160"/>
      <c r="CB274" s="160"/>
      <c r="CC274" s="160"/>
      <c r="CD274" s="160"/>
      <c r="CE274" s="96"/>
      <c r="CF274" s="678"/>
      <c r="CG274" s="678"/>
      <c r="CH274" s="678"/>
      <c r="CI274" s="96"/>
      <c r="CJ274" s="96"/>
      <c r="CK274" s="96"/>
      <c r="CL274" s="678"/>
      <c r="CM274" s="678"/>
      <c r="CN274" s="678"/>
      <c r="CO274" s="96"/>
      <c r="CP274" s="96"/>
      <c r="CQ274" s="96"/>
      <c r="CR274" s="96"/>
      <c r="DX274" s="2172"/>
    </row>
    <row r="275" spans="1:128" s="94" customFormat="1" ht="20.25" customHeight="1" x14ac:dyDescent="0.2">
      <c r="A275" s="107" t="s">
        <v>250</v>
      </c>
      <c r="B275" s="554"/>
      <c r="C275" s="554"/>
      <c r="D275" s="554"/>
      <c r="E275" s="555" t="str">
        <f>IF(AA282&gt;1,"Verpacht mit Vorzeichen minus"," ")</f>
        <v xml:space="preserve"> </v>
      </c>
      <c r="F275" s="556"/>
      <c r="G275" s="556"/>
      <c r="H275" s="556"/>
      <c r="I275" s="556"/>
      <c r="J275" s="2418"/>
      <c r="K275" s="2419"/>
      <c r="L275" s="2418"/>
      <c r="M275" s="2419"/>
      <c r="N275" s="21"/>
      <c r="O275" s="103"/>
      <c r="P275" s="226"/>
      <c r="Q275" s="226"/>
      <c r="R275" s="226"/>
      <c r="S275" s="226"/>
      <c r="T275" s="226"/>
      <c r="U275" s="226"/>
      <c r="V275" s="226"/>
      <c r="W275" s="226"/>
      <c r="X275" s="226"/>
      <c r="Y275" s="226"/>
      <c r="Z275" s="226"/>
      <c r="AA275" s="226"/>
      <c r="AB275" s="226"/>
      <c r="AC275" s="226"/>
      <c r="AD275" s="226"/>
      <c r="AE275" s="226"/>
      <c r="AF275" s="226"/>
      <c r="AG275" s="226"/>
      <c r="AH275" s="226"/>
      <c r="AI275" s="226"/>
      <c r="AJ275" s="226"/>
      <c r="AK275" s="226"/>
      <c r="AL275" s="226"/>
      <c r="AM275" s="226"/>
      <c r="AN275" s="226"/>
      <c r="AO275" s="226"/>
      <c r="AP275" s="226"/>
      <c r="AQ275" s="226"/>
      <c r="AR275" s="226"/>
      <c r="AS275" s="226"/>
      <c r="AT275" s="226"/>
      <c r="AU275" s="226"/>
      <c r="AV275" s="226"/>
      <c r="AW275" s="226"/>
      <c r="AX275" s="226"/>
      <c r="AY275" s="226"/>
      <c r="AZ275" s="226"/>
      <c r="BA275" s="226"/>
      <c r="BB275" s="226"/>
      <c r="BC275" s="226"/>
      <c r="BD275" s="226"/>
      <c r="BE275" s="226"/>
      <c r="BF275" s="226"/>
      <c r="BG275" s="226"/>
      <c r="BH275" s="226"/>
      <c r="BI275" s="226"/>
      <c r="BJ275" s="226"/>
      <c r="BK275" s="226"/>
      <c r="BL275" s="226"/>
      <c r="BM275" s="226"/>
      <c r="BN275" s="226"/>
      <c r="BO275" s="226"/>
      <c r="BP275" s="226"/>
      <c r="BQ275" s="226"/>
      <c r="BR275" s="226"/>
      <c r="BS275" s="226"/>
      <c r="BT275" s="226"/>
      <c r="BU275" s="226"/>
      <c r="BV275" s="226"/>
      <c r="BW275" s="226"/>
      <c r="BX275" s="226"/>
      <c r="BY275" s="226"/>
      <c r="BZ275" s="226"/>
      <c r="CA275" s="226"/>
      <c r="CB275" s="226"/>
      <c r="CC275" s="226"/>
      <c r="CD275" s="226"/>
      <c r="CE275" s="103"/>
      <c r="CF275" s="103"/>
      <c r="CG275" s="103"/>
      <c r="CH275" s="103"/>
      <c r="CI275" s="103"/>
      <c r="CJ275" s="103"/>
      <c r="CK275" s="103"/>
      <c r="CL275" s="103"/>
      <c r="CM275" s="103"/>
      <c r="CN275" s="103"/>
      <c r="CO275" s="103"/>
      <c r="CP275" s="103"/>
      <c r="CQ275" s="103"/>
      <c r="CR275" s="103"/>
      <c r="DX275" s="2171"/>
    </row>
    <row r="276" spans="1:128" s="98" customFormat="1" ht="19.5" customHeight="1" thickBot="1" x14ac:dyDescent="0.25">
      <c r="A276" s="557" t="s">
        <v>248</v>
      </c>
      <c r="B276" s="557" t="s">
        <v>728</v>
      </c>
      <c r="C276" s="558"/>
      <c r="D276" s="558"/>
      <c r="E276" s="470"/>
      <c r="F276" s="470"/>
      <c r="G276" s="470"/>
      <c r="H276" s="470"/>
      <c r="I276" s="470"/>
      <c r="J276" s="2788"/>
      <c r="K276" s="2789"/>
      <c r="L276" s="2788"/>
      <c r="M276" s="2789"/>
      <c r="N276" s="17"/>
      <c r="O276" s="97"/>
      <c r="P276" s="207"/>
      <c r="Q276" s="207"/>
      <c r="R276" s="207"/>
      <c r="S276" s="207"/>
      <c r="T276" s="207"/>
      <c r="U276" s="207"/>
      <c r="V276" s="207"/>
      <c r="W276" s="207"/>
      <c r="X276" s="207">
        <v>1</v>
      </c>
      <c r="Y276" s="207"/>
      <c r="Z276" s="207"/>
      <c r="AA276" s="207"/>
      <c r="AB276" s="207"/>
      <c r="AC276" s="207"/>
      <c r="AD276" s="207"/>
      <c r="AE276" s="207"/>
      <c r="AF276" s="207"/>
      <c r="AG276" s="207"/>
      <c r="AH276" s="207"/>
      <c r="AI276" s="207"/>
      <c r="AJ276" s="207"/>
      <c r="AK276" s="207"/>
      <c r="AL276" s="207"/>
      <c r="AM276" s="207"/>
      <c r="AN276" s="207"/>
      <c r="AO276" s="207"/>
      <c r="AP276" s="207"/>
      <c r="AQ276" s="207"/>
      <c r="AR276" s="207"/>
      <c r="AS276" s="207"/>
      <c r="AT276" s="207"/>
      <c r="AU276" s="207"/>
      <c r="AV276" s="207"/>
      <c r="AW276" s="207"/>
      <c r="AX276" s="207"/>
      <c r="AY276" s="160"/>
      <c r="AZ276" s="160"/>
      <c r="BA276" s="160"/>
      <c r="BB276" s="160"/>
      <c r="BC276" s="160"/>
      <c r="BD276" s="160"/>
      <c r="BE276" s="160"/>
      <c r="BF276" s="160"/>
      <c r="BG276" s="160"/>
      <c r="BH276" s="160"/>
      <c r="BI276" s="160"/>
      <c r="BJ276" s="160"/>
      <c r="BK276" s="160"/>
      <c r="BL276" s="657"/>
      <c r="BM276" s="160"/>
      <c r="BN276" s="160"/>
      <c r="BO276" s="160"/>
      <c r="BP276" s="160"/>
      <c r="BQ276" s="160"/>
      <c r="BR276" s="160"/>
      <c r="BS276" s="160"/>
      <c r="BT276" s="160"/>
      <c r="BU276" s="160"/>
      <c r="BV276" s="160"/>
      <c r="BW276" s="160"/>
      <c r="BX276" s="160"/>
      <c r="BY276" s="160"/>
      <c r="BZ276" s="160"/>
      <c r="CA276" s="160"/>
      <c r="CB276" s="160"/>
      <c r="CC276" s="160"/>
      <c r="CD276" s="160"/>
      <c r="CE276" s="96"/>
      <c r="CF276" s="678"/>
      <c r="CG276" s="678"/>
      <c r="CH276" s="678"/>
      <c r="CI276" s="96"/>
      <c r="CJ276" s="96"/>
      <c r="CK276" s="96"/>
      <c r="CL276" s="678"/>
      <c r="CM276" s="678"/>
      <c r="CN276" s="678"/>
      <c r="CO276" s="96"/>
      <c r="CP276" s="96"/>
      <c r="CQ276" s="96"/>
      <c r="CR276" s="96"/>
      <c r="DX276" s="2172"/>
    </row>
    <row r="277" spans="1:128" s="98" customFormat="1" ht="18" customHeight="1" x14ac:dyDescent="0.2">
      <c r="A277" s="66"/>
      <c r="B277" s="2404"/>
      <c r="C277" s="2405"/>
      <c r="D277" s="2405"/>
      <c r="E277" s="2405"/>
      <c r="F277" s="2405"/>
      <c r="G277" s="2405"/>
      <c r="H277" s="2405"/>
      <c r="I277" s="2406"/>
      <c r="J277" s="2437"/>
      <c r="K277" s="2438"/>
      <c r="L277" s="2799"/>
      <c r="M277" s="2800"/>
      <c r="N277" s="17"/>
      <c r="O277" s="97"/>
      <c r="P277" s="207"/>
      <c r="Q277" s="207"/>
      <c r="R277" s="207"/>
      <c r="S277" s="207"/>
      <c r="T277" s="207"/>
      <c r="U277" s="160" t="s">
        <v>21</v>
      </c>
      <c r="V277" s="207"/>
      <c r="W277" s="207"/>
      <c r="X277" s="207">
        <v>2</v>
      </c>
      <c r="Y277" s="207"/>
      <c r="Z277" s="207"/>
      <c r="AA277" s="207">
        <f>IF(X277=3,IF(J277&gt;0,99,IF(L277&gt;0,99,0)),0)</f>
        <v>0</v>
      </c>
      <c r="AB277" s="207">
        <f>IF(X277=1,IF(J277&gt;0,99,IF(L277&gt;0,99,0)),0)</f>
        <v>0</v>
      </c>
      <c r="AC277" s="207">
        <f>IF(X277=1,IF(J277&lt;0,99,IF(L277&lt;0,99,0)),0)</f>
        <v>0</v>
      </c>
      <c r="AD277" s="207"/>
      <c r="AE277" s="207"/>
      <c r="AF277" s="207"/>
      <c r="AG277" s="207"/>
      <c r="AH277" s="207"/>
      <c r="AI277" s="207"/>
      <c r="AJ277" s="207"/>
      <c r="AK277" s="207"/>
      <c r="AL277" s="207"/>
      <c r="AM277" s="207"/>
      <c r="AN277" s="207"/>
      <c r="AO277" s="207"/>
      <c r="AP277" s="207"/>
      <c r="AQ277" s="207"/>
      <c r="AR277" s="207"/>
      <c r="AS277" s="207"/>
      <c r="AT277" s="207"/>
      <c r="AU277" s="207"/>
      <c r="AV277" s="207"/>
      <c r="AW277" s="207"/>
      <c r="AX277" s="207"/>
      <c r="AY277" s="160"/>
      <c r="AZ277" s="160"/>
      <c r="BA277" s="160"/>
      <c r="BB277" s="160"/>
      <c r="BC277" s="160"/>
      <c r="BD277" s="160"/>
      <c r="BE277" s="160"/>
      <c r="BF277" s="160"/>
      <c r="BG277" s="160"/>
      <c r="BH277" s="160"/>
      <c r="BI277" s="160"/>
      <c r="BJ277" s="160"/>
      <c r="BK277" s="160"/>
      <c r="BL277" s="657"/>
      <c r="BM277" s="160"/>
      <c r="BN277" s="160"/>
      <c r="BO277" s="160"/>
      <c r="BP277" s="160"/>
      <c r="BQ277" s="160"/>
      <c r="BR277" s="160"/>
      <c r="BS277" s="160"/>
      <c r="BT277" s="160"/>
      <c r="BU277" s="160"/>
      <c r="BV277" s="160"/>
      <c r="BW277" s="160"/>
      <c r="BX277" s="160"/>
      <c r="BY277" s="160"/>
      <c r="BZ277" s="160"/>
      <c r="CA277" s="160"/>
      <c r="CB277" s="160"/>
      <c r="CC277" s="160"/>
      <c r="CD277" s="160"/>
      <c r="CE277" s="96"/>
      <c r="CF277" s="678"/>
      <c r="CG277" s="678"/>
      <c r="CH277" s="678"/>
      <c r="CI277" s="96"/>
      <c r="CJ277" s="96"/>
      <c r="CK277" s="96"/>
      <c r="CL277" s="678"/>
      <c r="CM277" s="678"/>
      <c r="CN277" s="678"/>
      <c r="CO277" s="96"/>
      <c r="CP277" s="96"/>
      <c r="CQ277" s="96"/>
      <c r="CR277" s="96"/>
      <c r="DX277" s="2172"/>
    </row>
    <row r="278" spans="1:128" s="98" customFormat="1" ht="18" customHeight="1" x14ac:dyDescent="0.2">
      <c r="A278" s="67"/>
      <c r="B278" s="2528"/>
      <c r="C278" s="2529"/>
      <c r="D278" s="2529"/>
      <c r="E278" s="2529"/>
      <c r="F278" s="2529"/>
      <c r="G278" s="2529"/>
      <c r="H278" s="2529"/>
      <c r="I278" s="2530"/>
      <c r="J278" s="2400"/>
      <c r="K278" s="2401"/>
      <c r="L278" s="2400"/>
      <c r="M278" s="2401"/>
      <c r="N278" s="17"/>
      <c r="O278" s="97"/>
      <c r="P278" s="207"/>
      <c r="Q278" s="207"/>
      <c r="R278" s="207"/>
      <c r="S278" s="207"/>
      <c r="T278" s="207"/>
      <c r="U278" s="160" t="s">
        <v>261</v>
      </c>
      <c r="V278" s="207"/>
      <c r="W278" s="207"/>
      <c r="X278" s="207">
        <v>2</v>
      </c>
      <c r="Y278" s="207"/>
      <c r="Z278" s="207"/>
      <c r="AA278" s="207">
        <f>IF(X278=3,IF(J278&gt;0,99,IF(L278&gt;0,99,0)),0)</f>
        <v>0</v>
      </c>
      <c r="AB278" s="207">
        <f>IF(X278=1,IF(J278&gt;0,99,IF(L278&gt;0,99,0)),0)</f>
        <v>0</v>
      </c>
      <c r="AC278" s="207">
        <f>IF(X278=1,IF(J278&lt;0,99,IF(L278&lt;0,99,0)),0)</f>
        <v>0</v>
      </c>
      <c r="AD278" s="207"/>
      <c r="AE278" s="207"/>
      <c r="AF278" s="207"/>
      <c r="AG278" s="207"/>
      <c r="AH278" s="207"/>
      <c r="AI278" s="207"/>
      <c r="AJ278" s="207"/>
      <c r="AK278" s="207"/>
      <c r="AL278" s="207"/>
      <c r="AM278" s="207"/>
      <c r="AN278" s="207"/>
      <c r="AO278" s="207"/>
      <c r="AP278" s="207"/>
      <c r="AQ278" s="207"/>
      <c r="AR278" s="207"/>
      <c r="AS278" s="207"/>
      <c r="AT278" s="207"/>
      <c r="AU278" s="207"/>
      <c r="AV278" s="207"/>
      <c r="AW278" s="207"/>
      <c r="AX278" s="207"/>
      <c r="AY278" s="160"/>
      <c r="AZ278" s="160"/>
      <c r="BA278" s="160"/>
      <c r="BB278" s="160"/>
      <c r="BC278" s="160"/>
      <c r="BD278" s="160"/>
      <c r="BE278" s="160"/>
      <c r="BF278" s="160"/>
      <c r="BG278" s="160"/>
      <c r="BH278" s="160"/>
      <c r="BI278" s="160"/>
      <c r="BJ278" s="160"/>
      <c r="BK278" s="160"/>
      <c r="BL278" s="657"/>
      <c r="BM278" s="160"/>
      <c r="BN278" s="160"/>
      <c r="BO278" s="160"/>
      <c r="BP278" s="160"/>
      <c r="BQ278" s="160"/>
      <c r="BR278" s="160"/>
      <c r="BS278" s="160"/>
      <c r="BT278" s="160"/>
      <c r="BU278" s="160"/>
      <c r="BV278" s="160"/>
      <c r="BW278" s="160"/>
      <c r="BX278" s="160"/>
      <c r="BY278" s="160"/>
      <c r="BZ278" s="160"/>
      <c r="CA278" s="160"/>
      <c r="CB278" s="160"/>
      <c r="CC278" s="160"/>
      <c r="CD278" s="160"/>
      <c r="CE278" s="96"/>
      <c r="CF278" s="678"/>
      <c r="CG278" s="678"/>
      <c r="CH278" s="678"/>
      <c r="CI278" s="96"/>
      <c r="CJ278" s="96"/>
      <c r="CK278" s="96"/>
      <c r="CL278" s="678"/>
      <c r="CM278" s="678"/>
      <c r="CN278" s="678"/>
      <c r="CO278" s="96"/>
      <c r="CP278" s="96"/>
      <c r="CQ278" s="96"/>
      <c r="CR278" s="96"/>
      <c r="DX278" s="2172"/>
    </row>
    <row r="279" spans="1:128" s="98" customFormat="1" ht="18" customHeight="1" x14ac:dyDescent="0.2">
      <c r="A279" s="67"/>
      <c r="B279" s="2528"/>
      <c r="C279" s="2529"/>
      <c r="D279" s="2529"/>
      <c r="E279" s="2529"/>
      <c r="F279" s="2529"/>
      <c r="G279" s="2529"/>
      <c r="H279" s="2529"/>
      <c r="I279" s="2530"/>
      <c r="J279" s="2400"/>
      <c r="K279" s="2401"/>
      <c r="L279" s="2400"/>
      <c r="M279" s="2401"/>
      <c r="N279" s="17"/>
      <c r="O279" s="97"/>
      <c r="P279" s="207"/>
      <c r="Q279" s="207"/>
      <c r="R279" s="207"/>
      <c r="S279" s="207"/>
      <c r="T279" s="207"/>
      <c r="U279" s="160" t="s">
        <v>262</v>
      </c>
      <c r="V279" s="207"/>
      <c r="W279" s="207"/>
      <c r="X279" s="207">
        <v>2</v>
      </c>
      <c r="Y279" s="207"/>
      <c r="Z279" s="207"/>
      <c r="AA279" s="207">
        <f>IF(X279=3,IF(J279&gt;0,99,IF(L279&gt;0,99,0)),0)</f>
        <v>0</v>
      </c>
      <c r="AB279" s="207">
        <f>IF(X279=1,IF(J279&gt;0,99,IF(L279&gt;0,99,0)),0)</f>
        <v>0</v>
      </c>
      <c r="AC279" s="207">
        <f>IF(X279=1,IF(J279&lt;0,99,IF(L279&lt;0,99,0)),0)</f>
        <v>0</v>
      </c>
      <c r="AD279" s="207"/>
      <c r="AE279" s="207"/>
      <c r="AF279" s="207"/>
      <c r="AG279" s="207"/>
      <c r="AH279" s="207"/>
      <c r="AI279" s="207"/>
      <c r="AJ279" s="207"/>
      <c r="AK279" s="207"/>
      <c r="AL279" s="207"/>
      <c r="AM279" s="207"/>
      <c r="AN279" s="207"/>
      <c r="AO279" s="207"/>
      <c r="AP279" s="207"/>
      <c r="AQ279" s="207"/>
      <c r="AR279" s="207"/>
      <c r="AS279" s="207"/>
      <c r="AT279" s="207"/>
      <c r="AU279" s="207"/>
      <c r="AV279" s="207"/>
      <c r="AW279" s="207"/>
      <c r="AX279" s="207"/>
      <c r="AY279" s="160"/>
      <c r="AZ279" s="160"/>
      <c r="BA279" s="160"/>
      <c r="BB279" s="160"/>
      <c r="BC279" s="160"/>
      <c r="BD279" s="160"/>
      <c r="BE279" s="160"/>
      <c r="BF279" s="160"/>
      <c r="BG279" s="160"/>
      <c r="BH279" s="160"/>
      <c r="BI279" s="160"/>
      <c r="BJ279" s="160"/>
      <c r="BK279" s="160"/>
      <c r="BL279" s="657"/>
      <c r="BM279" s="160"/>
      <c r="BN279" s="160"/>
      <c r="BO279" s="160"/>
      <c r="BP279" s="160"/>
      <c r="BQ279" s="160"/>
      <c r="BR279" s="160"/>
      <c r="BS279" s="160"/>
      <c r="BT279" s="160"/>
      <c r="BU279" s="160"/>
      <c r="BV279" s="160"/>
      <c r="BW279" s="160"/>
      <c r="BX279" s="160"/>
      <c r="BY279" s="160"/>
      <c r="BZ279" s="160"/>
      <c r="CA279" s="160"/>
      <c r="CB279" s="160"/>
      <c r="CC279" s="160"/>
      <c r="CD279" s="160"/>
      <c r="CE279" s="96"/>
      <c r="CF279" s="678"/>
      <c r="CG279" s="678"/>
      <c r="CH279" s="678"/>
      <c r="CI279" s="96"/>
      <c r="CJ279" s="96"/>
      <c r="CK279" s="96"/>
      <c r="CL279" s="678"/>
      <c r="CM279" s="678"/>
      <c r="CN279" s="678"/>
      <c r="CO279" s="96"/>
      <c r="CP279" s="96"/>
      <c r="CQ279" s="96"/>
      <c r="CR279" s="96"/>
      <c r="DX279" s="2172"/>
    </row>
    <row r="280" spans="1:128" s="98" customFormat="1" ht="18" customHeight="1" x14ac:dyDescent="0.2">
      <c r="A280" s="67"/>
      <c r="B280" s="2528"/>
      <c r="C280" s="2529"/>
      <c r="D280" s="2529"/>
      <c r="E280" s="2529"/>
      <c r="F280" s="2529"/>
      <c r="G280" s="2529"/>
      <c r="H280" s="2529"/>
      <c r="I280" s="2530"/>
      <c r="J280" s="2400"/>
      <c r="K280" s="2401"/>
      <c r="L280" s="2400"/>
      <c r="M280" s="2401"/>
      <c r="N280" s="17"/>
      <c r="O280" s="97"/>
      <c r="P280" s="207"/>
      <c r="Q280" s="207"/>
      <c r="R280" s="207"/>
      <c r="S280" s="207"/>
      <c r="T280" s="207"/>
      <c r="U280" s="160"/>
      <c r="V280" s="207"/>
      <c r="W280" s="207"/>
      <c r="X280" s="207">
        <v>2</v>
      </c>
      <c r="Y280" s="207"/>
      <c r="Z280" s="207"/>
      <c r="AA280" s="207">
        <f>IF(X280=3,IF(J280&gt;0,99,IF(L280&gt;0,99,0)),0)</f>
        <v>0</v>
      </c>
      <c r="AB280" s="207">
        <f>IF(X280=1,IF(J280&gt;0,99,IF(L280&gt;0,99,0)),0)</f>
        <v>0</v>
      </c>
      <c r="AC280" s="207">
        <f>IF(X280=1,IF(J280&lt;0,99,IF(L280&lt;0,99,0)),0)</f>
        <v>0</v>
      </c>
      <c r="AD280" s="207"/>
      <c r="AE280" s="207"/>
      <c r="AF280" s="207"/>
      <c r="AG280" s="207"/>
      <c r="AH280" s="207"/>
      <c r="AI280" s="207"/>
      <c r="AJ280" s="207"/>
      <c r="AK280" s="207"/>
      <c r="AL280" s="207"/>
      <c r="AM280" s="207"/>
      <c r="AN280" s="207"/>
      <c r="AO280" s="207"/>
      <c r="AP280" s="207"/>
      <c r="AQ280" s="207"/>
      <c r="AR280" s="207"/>
      <c r="AS280" s="207"/>
      <c r="AT280" s="207"/>
      <c r="AU280" s="207"/>
      <c r="AV280" s="207"/>
      <c r="AW280" s="207"/>
      <c r="AX280" s="207"/>
      <c r="AY280" s="160"/>
      <c r="AZ280" s="160"/>
      <c r="BA280" s="160"/>
      <c r="BB280" s="160"/>
      <c r="BC280" s="160"/>
      <c r="BD280" s="160"/>
      <c r="BE280" s="160"/>
      <c r="BF280" s="160"/>
      <c r="BG280" s="160"/>
      <c r="BH280" s="160"/>
      <c r="BI280" s="160"/>
      <c r="BJ280" s="160"/>
      <c r="BK280" s="160"/>
      <c r="BL280" s="657"/>
      <c r="BM280" s="160"/>
      <c r="BN280" s="160"/>
      <c r="BO280" s="160"/>
      <c r="BP280" s="160"/>
      <c r="BQ280" s="160"/>
      <c r="BR280" s="160"/>
      <c r="BS280" s="160"/>
      <c r="BT280" s="160"/>
      <c r="BU280" s="160"/>
      <c r="BV280" s="160"/>
      <c r="BW280" s="160"/>
      <c r="BX280" s="160"/>
      <c r="BY280" s="160"/>
      <c r="BZ280" s="160"/>
      <c r="CA280" s="160"/>
      <c r="CB280" s="160"/>
      <c r="CC280" s="160"/>
      <c r="CD280" s="160"/>
      <c r="CE280" s="96"/>
      <c r="CF280" s="678"/>
      <c r="CG280" s="678"/>
      <c r="CH280" s="678"/>
      <c r="CI280" s="96"/>
      <c r="CJ280" s="96"/>
      <c r="CK280" s="96"/>
      <c r="CL280" s="678"/>
      <c r="CM280" s="678"/>
      <c r="CN280" s="678"/>
      <c r="CO280" s="96"/>
      <c r="CP280" s="96"/>
      <c r="CQ280" s="96"/>
      <c r="CR280" s="96"/>
      <c r="DX280" s="2172"/>
    </row>
    <row r="281" spans="1:128" s="98" customFormat="1" ht="18" customHeight="1" thickBot="1" x14ac:dyDescent="0.25">
      <c r="A281" s="67"/>
      <c r="B281" s="2753"/>
      <c r="C281" s="2754"/>
      <c r="D281" s="2754"/>
      <c r="E281" s="2754"/>
      <c r="F281" s="2754"/>
      <c r="G281" s="2754"/>
      <c r="H281" s="2754"/>
      <c r="I281" s="2755"/>
      <c r="J281" s="2402"/>
      <c r="K281" s="2403"/>
      <c r="L281" s="2402"/>
      <c r="M281" s="2403"/>
      <c r="N281" s="17"/>
      <c r="O281" s="97"/>
      <c r="P281" s="207"/>
      <c r="Q281" s="207"/>
      <c r="R281" s="207"/>
      <c r="S281" s="207"/>
      <c r="T281" s="207"/>
      <c r="U281" s="207"/>
      <c r="V281" s="207"/>
      <c r="W281" s="207"/>
      <c r="X281" s="207">
        <v>2</v>
      </c>
      <c r="Y281" s="207"/>
      <c r="Z281" s="207"/>
      <c r="AA281" s="207">
        <f>IF(X281=3,IF(J281&gt;0,99,IF(L281&gt;0,99,0)),0)</f>
        <v>0</v>
      </c>
      <c r="AB281" s="207">
        <f>IF(X281=1,IF(J281&gt;0,99,IF(L281&gt;0,99,0)),0)</f>
        <v>0</v>
      </c>
      <c r="AC281" s="207">
        <f>IF(X281=1,IF(J281&lt;0,99,IF(L281&lt;0,99,0)),0)</f>
        <v>0</v>
      </c>
      <c r="AD281" s="207"/>
      <c r="AE281" s="207"/>
      <c r="AF281" s="207"/>
      <c r="AG281" s="207"/>
      <c r="AH281" s="207"/>
      <c r="AI281" s="207"/>
      <c r="AJ281" s="207"/>
      <c r="AK281" s="207"/>
      <c r="AL281" s="207"/>
      <c r="AM281" s="207"/>
      <c r="AN281" s="207"/>
      <c r="AO281" s="207"/>
      <c r="AP281" s="207"/>
      <c r="AQ281" s="207"/>
      <c r="AR281" s="207"/>
      <c r="AS281" s="207"/>
      <c r="AT281" s="207"/>
      <c r="AU281" s="207"/>
      <c r="AV281" s="207"/>
      <c r="AW281" s="207"/>
      <c r="AX281" s="207"/>
      <c r="AY281" s="160"/>
      <c r="AZ281" s="160"/>
      <c r="BA281" s="160"/>
      <c r="BB281" s="160"/>
      <c r="BC281" s="160"/>
      <c r="BD281" s="160"/>
      <c r="BE281" s="160"/>
      <c r="BF281" s="160"/>
      <c r="BG281" s="160"/>
      <c r="BH281" s="160"/>
      <c r="BI281" s="160"/>
      <c r="BJ281" s="160"/>
      <c r="BK281" s="160"/>
      <c r="BL281" s="657"/>
      <c r="BM281" s="160"/>
      <c r="BN281" s="160"/>
      <c r="BO281" s="160"/>
      <c r="BP281" s="160"/>
      <c r="BQ281" s="160"/>
      <c r="BR281" s="160"/>
      <c r="BS281" s="160"/>
      <c r="BT281" s="160"/>
      <c r="BU281" s="160"/>
      <c r="BV281" s="160"/>
      <c r="BW281" s="160"/>
      <c r="BX281" s="160"/>
      <c r="BY281" s="160"/>
      <c r="BZ281" s="160"/>
      <c r="CA281" s="160"/>
      <c r="CB281" s="160"/>
      <c r="CC281" s="160"/>
      <c r="CD281" s="160"/>
      <c r="CE281" s="96"/>
      <c r="CF281" s="678"/>
      <c r="CG281" s="678"/>
      <c r="CH281" s="678"/>
      <c r="CI281" s="96"/>
      <c r="CJ281" s="96"/>
      <c r="CK281" s="96"/>
      <c r="CL281" s="678"/>
      <c r="CM281" s="678"/>
      <c r="CN281" s="678"/>
      <c r="CO281" s="96"/>
      <c r="CP281" s="96"/>
      <c r="CQ281" s="96"/>
      <c r="CR281" s="96"/>
      <c r="DX281" s="2172"/>
    </row>
    <row r="282" spans="1:128" s="100" customFormat="1" ht="27.75" customHeight="1" thickBot="1" x14ac:dyDescent="0.25">
      <c r="A282" s="109" t="s">
        <v>869</v>
      </c>
      <c r="B282" s="110"/>
      <c r="C282" s="110"/>
      <c r="D282" s="110"/>
      <c r="E282" s="111"/>
      <c r="F282" s="111"/>
      <c r="G282" s="111"/>
      <c r="H282" s="111"/>
      <c r="I282" s="111"/>
      <c r="J282" s="2416" t="str">
        <f>IF(P282=0," ",IF(AD282&gt;1,"Fehler",P282))</f>
        <v xml:space="preserve"> </v>
      </c>
      <c r="K282" s="2417"/>
      <c r="L282" s="2416" t="str">
        <f>IF(Q282=0," ",IF(AD282&gt;0,"Fehler",Q282))</f>
        <v xml:space="preserve"> </v>
      </c>
      <c r="M282" s="2417"/>
      <c r="N282" s="71"/>
      <c r="O282" s="208"/>
      <c r="P282" s="210">
        <f>+P283+P284</f>
        <v>0</v>
      </c>
      <c r="Q282" s="210">
        <f>+Q283+Q284</f>
        <v>0</v>
      </c>
      <c r="R282" s="209"/>
      <c r="S282" s="209"/>
      <c r="T282" s="209"/>
      <c r="U282" s="209"/>
      <c r="V282" s="209"/>
      <c r="W282" s="209"/>
      <c r="X282" s="209"/>
      <c r="Y282" s="209"/>
      <c r="Z282" s="209"/>
      <c r="AA282" s="209">
        <f>SUM(AA277:AA281)</f>
        <v>0</v>
      </c>
      <c r="AB282" s="209">
        <f>SUM(AB277:AB281)</f>
        <v>0</v>
      </c>
      <c r="AC282" s="209">
        <f>SUM(AC277:AC281)</f>
        <v>0</v>
      </c>
      <c r="AD282" s="209">
        <f>+AA282+AB282+AC282</f>
        <v>0</v>
      </c>
      <c r="AE282" s="209"/>
      <c r="AF282" s="209"/>
      <c r="AG282" s="209"/>
      <c r="AH282" s="209"/>
      <c r="AI282" s="209"/>
      <c r="AJ282" s="209"/>
      <c r="AK282" s="209"/>
      <c r="AL282" s="209"/>
      <c r="AM282" s="209"/>
      <c r="AN282" s="209"/>
      <c r="AO282" s="209"/>
      <c r="AP282" s="209"/>
      <c r="AQ282" s="209"/>
      <c r="AR282" s="209"/>
      <c r="AS282" s="209"/>
      <c r="AT282" s="209"/>
      <c r="AU282" s="209"/>
      <c r="AV282" s="209"/>
      <c r="AW282" s="209"/>
      <c r="AX282" s="209"/>
      <c r="AY282" s="211"/>
      <c r="AZ282" s="211"/>
      <c r="BA282" s="211"/>
      <c r="BB282" s="211"/>
      <c r="BC282" s="211"/>
      <c r="BD282" s="211"/>
      <c r="BE282" s="211"/>
      <c r="BF282" s="211"/>
      <c r="BG282" s="211"/>
      <c r="BH282" s="211"/>
      <c r="BI282" s="211"/>
      <c r="BJ282" s="211"/>
      <c r="BK282" s="211"/>
      <c r="BL282" s="211"/>
      <c r="BM282" s="211"/>
      <c r="BN282" s="211"/>
      <c r="BO282" s="211"/>
      <c r="BP282" s="211"/>
      <c r="BQ282" s="211"/>
      <c r="BR282" s="211"/>
      <c r="BS282" s="211"/>
      <c r="BT282" s="211"/>
      <c r="BU282" s="211"/>
      <c r="BV282" s="211"/>
      <c r="BW282" s="211"/>
      <c r="BX282" s="211"/>
      <c r="BY282" s="211"/>
      <c r="BZ282" s="211"/>
      <c r="CA282" s="211"/>
      <c r="CB282" s="211"/>
      <c r="CC282" s="211"/>
      <c r="CD282" s="211"/>
      <c r="CE282" s="99"/>
      <c r="CF282" s="99"/>
      <c r="CG282" s="99"/>
      <c r="CH282" s="99"/>
      <c r="CI282" s="99"/>
      <c r="CJ282" s="99"/>
      <c r="CK282" s="99"/>
      <c r="CL282" s="99"/>
      <c r="CM282" s="99"/>
      <c r="CN282" s="99"/>
      <c r="CO282" s="99"/>
      <c r="CP282" s="99"/>
      <c r="CQ282" s="99"/>
      <c r="CR282" s="99"/>
      <c r="DX282" s="2172"/>
    </row>
    <row r="283" spans="1:128" s="102" customFormat="1" ht="10.5" customHeight="1" thickBot="1" x14ac:dyDescent="0.25">
      <c r="A283" s="131" t="s">
        <v>873</v>
      </c>
      <c r="B283" s="132"/>
      <c r="C283" s="132"/>
      <c r="D283" s="132"/>
      <c r="E283" s="133"/>
      <c r="F283" s="133"/>
      <c r="G283" s="133"/>
      <c r="H283" s="133"/>
      <c r="I283" s="133"/>
      <c r="J283" s="2757" t="str">
        <f>IF(P283=0," ",P283)</f>
        <v xml:space="preserve"> </v>
      </c>
      <c r="K283" s="2758"/>
      <c r="L283" s="2757" t="str">
        <f>IF(Q283=0," ",Q283)</f>
        <v xml:space="preserve"> </v>
      </c>
      <c r="M283" s="2758"/>
      <c r="N283" s="65"/>
      <c r="O283" s="213"/>
      <c r="P283" s="227">
        <f>SUM(J257:J274)</f>
        <v>0</v>
      </c>
      <c r="Q283" s="228">
        <f>SUM(L257:L274)</f>
        <v>0</v>
      </c>
      <c r="R283" s="214"/>
      <c r="S283" s="214"/>
      <c r="T283" s="214"/>
      <c r="U283" s="214"/>
      <c r="V283" s="214"/>
      <c r="W283" s="214"/>
      <c r="X283" s="214"/>
      <c r="Y283" s="214"/>
      <c r="Z283" s="214"/>
      <c r="AA283" s="214"/>
      <c r="AB283" s="214"/>
      <c r="AC283" s="214"/>
      <c r="AD283" s="214"/>
      <c r="AE283" s="214"/>
      <c r="AF283" s="214"/>
      <c r="AG283" s="214"/>
      <c r="AH283" s="214"/>
      <c r="AI283" s="214"/>
      <c r="AJ283" s="214"/>
      <c r="AK283" s="214"/>
      <c r="AL283" s="214"/>
      <c r="AM283" s="214"/>
      <c r="AN283" s="214"/>
      <c r="AO283" s="214"/>
      <c r="AP283" s="214"/>
      <c r="AQ283" s="214"/>
      <c r="AR283" s="214"/>
      <c r="AS283" s="214"/>
      <c r="AT283" s="214"/>
      <c r="AU283" s="214"/>
      <c r="AV283" s="214"/>
      <c r="AW283" s="214"/>
      <c r="AX283" s="214"/>
      <c r="AY283" s="215"/>
      <c r="AZ283" s="215"/>
      <c r="BA283" s="215"/>
      <c r="BB283" s="215"/>
      <c r="BC283" s="215"/>
      <c r="BD283" s="215"/>
      <c r="BE283" s="215"/>
      <c r="BF283" s="215"/>
      <c r="BG283" s="215"/>
      <c r="BH283" s="215"/>
      <c r="BI283" s="215"/>
      <c r="BJ283" s="215"/>
      <c r="BK283" s="215"/>
      <c r="BL283" s="215"/>
      <c r="BM283" s="215"/>
      <c r="BN283" s="215"/>
      <c r="BO283" s="215"/>
      <c r="BP283" s="215"/>
      <c r="BQ283" s="215"/>
      <c r="BR283" s="215"/>
      <c r="BS283" s="215"/>
      <c r="BT283" s="215"/>
      <c r="BU283" s="215"/>
      <c r="BV283" s="215"/>
      <c r="BW283" s="215"/>
      <c r="BX283" s="215"/>
      <c r="BY283" s="215"/>
      <c r="BZ283" s="215"/>
      <c r="CA283" s="215"/>
      <c r="CB283" s="215"/>
      <c r="CC283" s="215"/>
      <c r="CD283" s="215"/>
      <c r="CE283" s="101"/>
      <c r="CF283" s="101"/>
      <c r="CG283" s="101"/>
      <c r="CH283" s="101"/>
      <c r="CI283" s="101"/>
      <c r="CJ283" s="101"/>
      <c r="CK283" s="101"/>
      <c r="CL283" s="101"/>
      <c r="CM283" s="101"/>
      <c r="CN283" s="101"/>
      <c r="CO283" s="101"/>
      <c r="CP283" s="101"/>
      <c r="CQ283" s="101"/>
      <c r="CR283" s="101"/>
      <c r="DX283" s="2171"/>
    </row>
    <row r="284" spans="1:128" s="102" customFormat="1" ht="10.5" customHeight="1" thickBot="1" x14ac:dyDescent="0.25">
      <c r="A284" s="134" t="s">
        <v>259</v>
      </c>
      <c r="B284" s="132"/>
      <c r="C284" s="132"/>
      <c r="D284" s="132"/>
      <c r="E284" s="133"/>
      <c r="F284" s="133"/>
      <c r="G284" s="133"/>
      <c r="H284" s="133"/>
      <c r="I284" s="133"/>
      <c r="J284" s="2757" t="str">
        <f>IF(P284=0," ",P284)</f>
        <v xml:space="preserve"> </v>
      </c>
      <c r="K284" s="2758"/>
      <c r="L284" s="2757" t="str">
        <f>IF(Q284=0," ",Q284)</f>
        <v xml:space="preserve"> </v>
      </c>
      <c r="M284" s="2758"/>
      <c r="N284" s="65"/>
      <c r="O284" s="213"/>
      <c r="P284" s="229">
        <f>SUM(J277:J281)</f>
        <v>0</v>
      </c>
      <c r="Q284" s="229">
        <f>SUM(L277:L281)</f>
        <v>0</v>
      </c>
      <c r="R284" s="214"/>
      <c r="S284" s="159" t="s">
        <v>657</v>
      </c>
      <c r="T284" s="160"/>
      <c r="U284" s="98"/>
      <c r="V284" s="160"/>
      <c r="W284" s="2137" t="s">
        <v>642</v>
      </c>
      <c r="X284" s="160" t="s">
        <v>643</v>
      </c>
      <c r="Y284" s="214"/>
      <c r="Z284" s="214"/>
      <c r="AA284" s="214"/>
      <c r="AB284" s="214"/>
      <c r="AC284" s="231"/>
      <c r="AD284" s="231"/>
      <c r="AE284" s="231"/>
      <c r="AF284" s="231"/>
      <c r="AG284" s="231"/>
      <c r="AH284" s="231"/>
      <c r="AI284" s="231"/>
      <c r="AJ284" s="231"/>
      <c r="AK284" s="214"/>
      <c r="AL284" s="214"/>
      <c r="AM284" s="214"/>
      <c r="AN284" s="214"/>
      <c r="AO284" s="214"/>
      <c r="AP284" s="214"/>
      <c r="AQ284" s="214"/>
      <c r="AR284" s="214"/>
      <c r="AS284" s="230" t="s">
        <v>253</v>
      </c>
      <c r="AT284" s="214"/>
      <c r="AU284" s="214"/>
      <c r="AV284" s="214"/>
      <c r="AW284" s="214"/>
      <c r="AX284" s="214"/>
      <c r="AY284" s="215"/>
      <c r="AZ284" s="215"/>
      <c r="BA284" s="215"/>
      <c r="BB284" s="215"/>
      <c r="BC284" s="215"/>
      <c r="BD284" s="215"/>
      <c r="BE284" s="215"/>
      <c r="BF284" s="215"/>
      <c r="BG284" s="215"/>
      <c r="BH284" s="215"/>
      <c r="BI284" s="215"/>
      <c r="BJ284" s="215"/>
      <c r="BK284" s="215"/>
      <c r="BL284" s="215"/>
      <c r="BM284" s="215"/>
      <c r="BN284" s="215"/>
      <c r="BO284" s="215"/>
      <c r="BP284" s="215"/>
      <c r="BQ284" s="215"/>
      <c r="BR284" s="215"/>
      <c r="BS284" s="215"/>
      <c r="BT284" s="215"/>
      <c r="BU284" s="215"/>
      <c r="BV284" s="215"/>
      <c r="BW284" s="215"/>
      <c r="BX284" s="215"/>
      <c r="BY284" s="215"/>
      <c r="BZ284" s="215"/>
      <c r="CA284" s="215"/>
      <c r="CB284" s="215"/>
      <c r="CC284" s="215"/>
      <c r="CD284" s="215"/>
      <c r="CE284" s="101"/>
      <c r="CF284" s="101"/>
      <c r="CG284" s="101"/>
      <c r="CH284" s="101"/>
      <c r="CI284" s="101"/>
      <c r="CJ284" s="101"/>
      <c r="CK284" s="101"/>
      <c r="CL284" s="101"/>
      <c r="CM284" s="101"/>
      <c r="CN284" s="101"/>
      <c r="CO284" s="101"/>
      <c r="CP284" s="101"/>
      <c r="CQ284" s="101"/>
      <c r="CR284" s="101"/>
      <c r="DX284" s="2171"/>
    </row>
    <row r="285" spans="1:128" s="98" customFormat="1" ht="7.5" customHeight="1" x14ac:dyDescent="0.2">
      <c r="A285" s="378"/>
      <c r="B285" s="378"/>
      <c r="C285" s="378"/>
      <c r="D285" s="378"/>
      <c r="E285" s="378"/>
      <c r="F285" s="378"/>
      <c r="G285" s="378"/>
      <c r="H285" s="378"/>
      <c r="I285" s="378"/>
      <c r="J285" s="378"/>
      <c r="K285" s="378"/>
      <c r="L285" s="378"/>
      <c r="M285" s="378"/>
      <c r="N285" s="378"/>
      <c r="P285" s="232"/>
      <c r="Q285" s="232"/>
      <c r="R285" s="207"/>
      <c r="S285" s="2222" t="s">
        <v>879</v>
      </c>
      <c r="T285" s="2222"/>
      <c r="V285" s="2223">
        <f>+G6-H8+Z9-H11</f>
        <v>9.9999999999999995E-7</v>
      </c>
      <c r="W285" s="2222">
        <f>+V285</f>
        <v>9.9999999999999995E-7</v>
      </c>
      <c r="X285" s="2222">
        <f>+V285</f>
        <v>9.9999999999999995E-7</v>
      </c>
      <c r="Y285" s="207"/>
      <c r="Z285" s="207"/>
      <c r="AA285" s="207"/>
      <c r="AB285" s="207"/>
      <c r="AC285" s="207"/>
      <c r="AD285" s="207"/>
      <c r="AE285" s="207"/>
      <c r="AF285" s="207"/>
      <c r="AG285" s="207"/>
      <c r="AH285" s="207"/>
      <c r="AI285" s="207"/>
      <c r="AJ285" s="207"/>
      <c r="AK285" s="207"/>
      <c r="AL285" s="207"/>
      <c r="AM285" s="207"/>
      <c r="AN285" s="207"/>
      <c r="AO285" s="207"/>
      <c r="AP285" s="207"/>
      <c r="AQ285" s="207"/>
      <c r="AR285" s="207"/>
      <c r="AS285" s="207"/>
      <c r="AT285" s="207"/>
      <c r="AU285" s="207"/>
      <c r="AV285" s="207"/>
      <c r="AW285" s="207"/>
      <c r="AX285" s="207"/>
      <c r="AY285" s="160"/>
      <c r="AZ285" s="160"/>
      <c r="BA285" s="160"/>
      <c r="BB285" s="160"/>
      <c r="BC285" s="160"/>
      <c r="BD285" s="160"/>
      <c r="BE285" s="160"/>
      <c r="BF285" s="160"/>
      <c r="BG285" s="160"/>
      <c r="BH285" s="160"/>
      <c r="BI285" s="160"/>
      <c r="BJ285" s="160"/>
      <c r="BK285" s="160"/>
      <c r="BL285" s="657"/>
      <c r="BM285" s="160"/>
      <c r="BN285" s="160"/>
      <c r="BO285" s="160"/>
      <c r="BP285" s="160"/>
      <c r="BQ285" s="160"/>
      <c r="BR285" s="160"/>
      <c r="BS285" s="160"/>
      <c r="BT285" s="160"/>
      <c r="BU285" s="160"/>
      <c r="BV285" s="160"/>
      <c r="BW285" s="160"/>
      <c r="BX285" s="160"/>
      <c r="BY285" s="160"/>
      <c r="BZ285" s="160"/>
      <c r="CA285" s="160"/>
      <c r="CB285" s="160"/>
      <c r="CC285" s="160"/>
      <c r="CD285" s="160"/>
      <c r="CE285" s="96"/>
      <c r="CF285" s="678"/>
      <c r="CG285" s="678"/>
      <c r="CH285" s="678"/>
      <c r="CI285" s="96"/>
      <c r="CJ285" s="96"/>
      <c r="CK285" s="96"/>
      <c r="CL285" s="678"/>
      <c r="CM285" s="678"/>
      <c r="CN285" s="678"/>
      <c r="CO285" s="96"/>
      <c r="CP285" s="96"/>
      <c r="CQ285" s="96"/>
      <c r="CR285" s="96"/>
      <c r="DX285" s="2172"/>
    </row>
    <row r="286" spans="1:128" s="98" customFormat="1" ht="4.5" customHeight="1" x14ac:dyDescent="0.2">
      <c r="A286" s="18"/>
      <c r="B286" s="2"/>
      <c r="C286" s="2"/>
      <c r="D286" s="2"/>
      <c r="E286" s="3"/>
      <c r="F286" s="3"/>
      <c r="G286" s="3"/>
      <c r="H286" s="3"/>
      <c r="I286" s="3"/>
      <c r="J286" s="16"/>
      <c r="K286" s="16"/>
      <c r="L286" s="8"/>
      <c r="M286" s="8"/>
      <c r="N286" s="16"/>
      <c r="O286" s="96"/>
      <c r="P286" s="160"/>
      <c r="Q286" s="160"/>
      <c r="R286" s="160"/>
      <c r="S286" s="2222"/>
      <c r="T286" s="2222"/>
      <c r="U286" s="160"/>
      <c r="V286" s="2223"/>
      <c r="W286" s="2222"/>
      <c r="X286" s="2222"/>
      <c r="Y286" s="160"/>
      <c r="Z286" s="160"/>
      <c r="AA286" s="160"/>
      <c r="AB286" s="160"/>
      <c r="AC286" s="160"/>
      <c r="AD286" s="160"/>
      <c r="AE286" s="160"/>
      <c r="AF286" s="160"/>
      <c r="AG286" s="160"/>
      <c r="AH286" s="160"/>
      <c r="AI286" s="160"/>
      <c r="AJ286" s="160"/>
      <c r="AK286" s="160"/>
      <c r="AL286" s="160"/>
      <c r="AM286" s="160"/>
      <c r="AN286" s="160"/>
      <c r="AO286" s="160"/>
      <c r="AP286" s="160"/>
      <c r="AQ286" s="160"/>
      <c r="AR286" s="160"/>
      <c r="AS286" s="160"/>
      <c r="AT286" s="160"/>
      <c r="AU286" s="160"/>
      <c r="AV286" s="160"/>
      <c r="AW286" s="160"/>
      <c r="AX286" s="160"/>
      <c r="AY286" s="160"/>
      <c r="AZ286" s="160"/>
      <c r="BA286" s="160"/>
      <c r="BB286" s="160"/>
      <c r="BC286" s="160"/>
      <c r="BD286" s="160"/>
      <c r="BE286" s="160"/>
      <c r="BF286" s="160"/>
      <c r="BG286" s="160"/>
      <c r="BH286" s="160"/>
      <c r="BI286" s="160"/>
      <c r="BJ286" s="160"/>
      <c r="BK286" s="160"/>
      <c r="BL286" s="657"/>
      <c r="BM286" s="160"/>
      <c r="BN286" s="160"/>
      <c r="BO286" s="160"/>
      <c r="BP286" s="160"/>
      <c r="BQ286" s="160"/>
      <c r="BR286" s="160"/>
      <c r="BS286" s="160"/>
      <c r="BT286" s="160"/>
      <c r="BU286" s="160"/>
      <c r="BV286" s="160"/>
      <c r="BW286" s="160"/>
      <c r="BX286" s="160"/>
      <c r="BY286" s="160"/>
      <c r="BZ286" s="160"/>
      <c r="CA286" s="160"/>
      <c r="CB286" s="160"/>
      <c r="CC286" s="160"/>
      <c r="CD286" s="160"/>
      <c r="CE286" s="96"/>
      <c r="CF286" s="678"/>
      <c r="CG286" s="678"/>
      <c r="CH286" s="678"/>
      <c r="CI286" s="96"/>
      <c r="CJ286" s="96"/>
      <c r="CK286" s="96"/>
      <c r="CL286" s="678"/>
      <c r="CM286" s="678"/>
      <c r="CN286" s="678"/>
      <c r="CO286" s="96"/>
      <c r="CP286" s="96"/>
      <c r="CQ286" s="96"/>
      <c r="CR286" s="96"/>
      <c r="DX286" s="2172"/>
    </row>
    <row r="287" spans="1:128" s="98" customFormat="1" ht="9.75" customHeight="1" thickBot="1" x14ac:dyDescent="0.25">
      <c r="A287" s="18"/>
      <c r="B287" s="2"/>
      <c r="C287" s="2"/>
      <c r="D287" s="2"/>
      <c r="E287" s="3"/>
      <c r="F287" s="3"/>
      <c r="G287" s="3"/>
      <c r="H287" s="3"/>
      <c r="I287" s="3"/>
      <c r="J287" s="16"/>
      <c r="K287" s="16"/>
      <c r="L287" s="8"/>
      <c r="M287" s="8"/>
      <c r="N287" s="16"/>
      <c r="O287" s="96"/>
      <c r="P287" s="160"/>
      <c r="Q287" s="160"/>
      <c r="R287" s="160"/>
      <c r="S287" s="2222"/>
      <c r="T287" s="2222"/>
      <c r="V287" s="2223"/>
      <c r="W287" s="2222"/>
      <c r="X287" s="2222"/>
      <c r="Y287" s="160"/>
      <c r="AA287" s="159" t="s">
        <v>658</v>
      </c>
      <c r="AE287" s="160"/>
      <c r="AF287" s="160"/>
      <c r="AG287" s="160"/>
      <c r="AH287" s="160"/>
      <c r="AI287" s="160"/>
      <c r="AJ287" s="160"/>
      <c r="AK287" s="160"/>
      <c r="AL287" s="160"/>
      <c r="AM287" s="160"/>
      <c r="AN287" s="160"/>
      <c r="AO287" s="160"/>
      <c r="AP287" s="160"/>
      <c r="AQ287" s="160"/>
      <c r="AR287" s="160"/>
      <c r="AS287" s="160"/>
      <c r="AT287" s="160"/>
      <c r="AU287" s="160"/>
      <c r="AV287" s="160"/>
      <c r="AW287" s="160"/>
      <c r="AX287" s="160"/>
      <c r="AY287" s="160"/>
      <c r="AZ287" s="160"/>
      <c r="BA287" s="160"/>
      <c r="BB287" s="160"/>
      <c r="BC287" s="160"/>
      <c r="BD287" s="160"/>
      <c r="BE287" s="160"/>
      <c r="BF287" s="160"/>
      <c r="BG287" s="160"/>
      <c r="BH287" s="96"/>
      <c r="BI287" s="96"/>
      <c r="BJ287" s="96"/>
      <c r="BK287" s="96"/>
      <c r="BL287" s="678"/>
      <c r="BM287" s="96"/>
      <c r="BN287" s="96"/>
      <c r="BO287" s="96"/>
      <c r="BP287" s="96"/>
      <c r="DX287" s="2172"/>
    </row>
    <row r="288" spans="1:128" s="98" customFormat="1" ht="26.25" customHeight="1" thickTop="1" thickBot="1" x14ac:dyDescent="0.25">
      <c r="A288" s="559" t="s">
        <v>788</v>
      </c>
      <c r="B288" s="560"/>
      <c r="C288" s="560"/>
      <c r="D288" s="560"/>
      <c r="E288" s="560"/>
      <c r="F288" s="560"/>
      <c r="G288" s="560"/>
      <c r="H288" s="560"/>
      <c r="I288" s="561"/>
      <c r="J288" s="2761" t="s">
        <v>239</v>
      </c>
      <c r="K288" s="2762"/>
      <c r="L288" s="2409" t="s">
        <v>240</v>
      </c>
      <c r="M288" s="2410"/>
      <c r="N288" s="16"/>
      <c r="O288" s="96"/>
      <c r="P288" s="233" t="str">
        <f>IF(J290=0,"0",ROUND(P289,1))</f>
        <v>0</v>
      </c>
      <c r="Q288" s="233">
        <f>ROUND(Q289,1)</f>
        <v>0</v>
      </c>
      <c r="R288" s="160"/>
      <c r="S288" s="2205" t="s">
        <v>8843</v>
      </c>
      <c r="T288" s="2205"/>
      <c r="U288" s="2205"/>
      <c r="V288" s="2205">
        <f>+G6-H8-H7+Z9-H11-H10</f>
        <v>9.9999999999999995E-7</v>
      </c>
      <c r="W288" s="2205">
        <f>+V288</f>
        <v>9.9999999999999995E-7</v>
      </c>
      <c r="X288" s="2205">
        <f>+V288</f>
        <v>9.9999999999999995E-7</v>
      </c>
      <c r="Y288" s="160"/>
      <c r="AA288" s="237" t="s">
        <v>221</v>
      </c>
      <c r="AB288" s="160"/>
      <c r="AE288" s="160" t="s">
        <v>654</v>
      </c>
      <c r="AF288" s="160"/>
      <c r="AG288" s="160" t="s">
        <v>656</v>
      </c>
      <c r="AH288" s="160" t="s">
        <v>666</v>
      </c>
      <c r="AI288" s="160"/>
      <c r="AJ288" s="160" t="s">
        <v>221</v>
      </c>
      <c r="AK288" s="160"/>
      <c r="AL288" s="160"/>
      <c r="AM288" s="160"/>
      <c r="AN288" s="160"/>
      <c r="AO288" s="160" t="s">
        <v>8844</v>
      </c>
      <c r="AP288" s="160"/>
      <c r="AQ288" s="160"/>
      <c r="AR288" s="160"/>
      <c r="AS288" s="160"/>
      <c r="AT288" s="160"/>
      <c r="AU288" s="160"/>
      <c r="AV288" s="160"/>
      <c r="AW288" s="160"/>
      <c r="AX288" s="160"/>
      <c r="AY288" s="160"/>
      <c r="AZ288" s="160"/>
      <c r="BA288" s="160"/>
      <c r="BB288" s="160"/>
      <c r="BC288" s="160"/>
      <c r="BD288" s="160"/>
      <c r="BE288" s="160"/>
      <c r="BF288" s="160"/>
      <c r="BG288" s="160"/>
      <c r="BH288" s="96"/>
      <c r="BI288" s="96"/>
      <c r="BJ288" s="96"/>
      <c r="BK288" s="96"/>
      <c r="BL288" s="678"/>
      <c r="BM288" s="96"/>
      <c r="BN288" s="96"/>
      <c r="BO288" s="96"/>
      <c r="BP288" s="96"/>
      <c r="DX288" s="2172"/>
    </row>
    <row r="289" spans="1:128" s="98" customFormat="1" ht="18" customHeight="1" thickBot="1" x14ac:dyDescent="0.25">
      <c r="A289" s="562" t="s">
        <v>413</v>
      </c>
      <c r="B289" s="2"/>
      <c r="C289" s="2"/>
      <c r="D289" s="2"/>
      <c r="E289" s="2"/>
      <c r="F289" s="2"/>
      <c r="G289" s="2"/>
      <c r="H289" s="2"/>
      <c r="I289" s="3"/>
      <c r="J289" s="2407" t="str">
        <f>CONCATENATE(P288," Mo.")</f>
        <v>0 Mo.</v>
      </c>
      <c r="K289" s="2408"/>
      <c r="L289" s="2407" t="str">
        <f>CONCATENATE(Q288," Mo.")</f>
        <v>0 Mo.</v>
      </c>
      <c r="M289" s="2803"/>
      <c r="N289" s="16"/>
      <c r="O289" s="96"/>
      <c r="P289" s="235">
        <f>+AI298</f>
        <v>0</v>
      </c>
      <c r="Q289" s="236">
        <f>+CP239</f>
        <v>0</v>
      </c>
      <c r="R289" s="160"/>
      <c r="S289" s="115" t="s">
        <v>648</v>
      </c>
      <c r="T289" s="115"/>
      <c r="U289" s="115"/>
      <c r="V289" s="115">
        <f>+G12</f>
        <v>0</v>
      </c>
      <c r="W289" s="115"/>
      <c r="X289" s="115"/>
      <c r="Y289" s="160"/>
      <c r="AB289" s="160"/>
      <c r="AE289" s="160" t="s">
        <v>409</v>
      </c>
      <c r="AF289" s="160" t="s">
        <v>408</v>
      </c>
      <c r="AG289" s="160"/>
      <c r="AH289" s="160"/>
      <c r="AI289" s="160"/>
      <c r="AJ289" s="160" t="str">
        <f>+AE289</f>
        <v>Winter</v>
      </c>
      <c r="AK289" s="160" t="str">
        <f>+AF289</f>
        <v>Sommer</v>
      </c>
      <c r="AL289" s="160"/>
      <c r="AM289" s="160"/>
      <c r="AN289" s="160"/>
      <c r="AO289" s="2139">
        <f>SUM(J164:K170)</f>
        <v>0</v>
      </c>
      <c r="AP289" s="160"/>
      <c r="AQ289" s="160"/>
      <c r="AR289" s="160"/>
      <c r="AS289" s="160"/>
      <c r="AT289" s="160"/>
      <c r="AU289" s="160"/>
      <c r="AV289" s="160"/>
      <c r="AW289" s="160"/>
      <c r="AX289" s="160"/>
      <c r="AY289" s="160"/>
      <c r="AZ289" s="160"/>
      <c r="BA289" s="160"/>
      <c r="BB289" s="160"/>
      <c r="BC289" s="160"/>
      <c r="BD289" s="160"/>
      <c r="BE289" s="160"/>
      <c r="BF289" s="160"/>
      <c r="BG289" s="160"/>
      <c r="BH289" s="96"/>
      <c r="BI289" s="96"/>
      <c r="BJ289" s="96"/>
      <c r="BK289" s="96"/>
      <c r="BL289" s="678"/>
      <c r="BM289" s="96"/>
      <c r="BN289" s="96"/>
      <c r="BO289" s="96"/>
      <c r="BP289" s="96"/>
      <c r="DX289" s="2172"/>
    </row>
    <row r="290" spans="1:128" s="98" customFormat="1" ht="18" customHeight="1" thickBot="1" x14ac:dyDescent="0.25">
      <c r="A290" s="563" t="s">
        <v>260</v>
      </c>
      <c r="B290" s="478"/>
      <c r="C290" s="478"/>
      <c r="D290" s="478"/>
      <c r="E290" s="478"/>
      <c r="F290" s="478"/>
      <c r="G290" s="478"/>
      <c r="H290" s="478"/>
      <c r="I290" s="479"/>
      <c r="J290" s="2303">
        <f>IF(F229&lt;-0.1,"Fehler",IF(F41+F42=0,0,P290))</f>
        <v>0</v>
      </c>
      <c r="K290" s="2304"/>
      <c r="L290" s="2292">
        <f>IF(K229&lt;-0.1,"Fehler",IF(Q290=0,0,Q290))</f>
        <v>0</v>
      </c>
      <c r="M290" s="2293"/>
      <c r="N290" s="16"/>
      <c r="O290" s="96"/>
      <c r="P290" s="258">
        <f>+AG300</f>
        <v>0</v>
      </c>
      <c r="Q290" s="205">
        <f>(R88+T229)/12*Q289</f>
        <v>0</v>
      </c>
      <c r="R290" s="160"/>
      <c r="S290" s="2222" t="s">
        <v>641</v>
      </c>
      <c r="T290" s="2222"/>
      <c r="U290" s="115"/>
      <c r="V290" s="2209">
        <f>+Z9-H10-H11</f>
        <v>9.9999999999999995E-7</v>
      </c>
      <c r="W290" s="2191">
        <f>+V290</f>
        <v>9.9999999999999995E-7</v>
      </c>
      <c r="X290" s="2191">
        <f>IF(W290&lt;V292/255,W290,V292/255)</f>
        <v>0</v>
      </c>
      <c r="Y290" s="160"/>
      <c r="AA290" s="379" t="s">
        <v>655</v>
      </c>
      <c r="AE290" s="212">
        <f>+S90</f>
        <v>0</v>
      </c>
      <c r="AF290" s="212">
        <f>+T90</f>
        <v>0</v>
      </c>
      <c r="AG290" s="160">
        <f>+AE290*6+AF290*6</f>
        <v>0</v>
      </c>
      <c r="AH290" s="160"/>
      <c r="AI290" s="160"/>
      <c r="AJ290" s="160">
        <f>+AE290</f>
        <v>0</v>
      </c>
      <c r="AK290" s="160">
        <f>+AF290</f>
        <v>0</v>
      </c>
      <c r="AL290" s="160">
        <f>+AG290</f>
        <v>0</v>
      </c>
      <c r="AM290" s="160"/>
      <c r="AN290" s="160"/>
      <c r="AO290" s="160"/>
      <c r="AP290" s="160"/>
      <c r="AQ290" s="160"/>
      <c r="AR290" s="160"/>
      <c r="AS290" s="160"/>
      <c r="AT290" s="160"/>
      <c r="AU290" s="160"/>
      <c r="AV290" s="160"/>
      <c r="AW290" s="160"/>
      <c r="AX290" s="160"/>
      <c r="AY290" s="160"/>
      <c r="AZ290" s="160"/>
      <c r="BA290" s="160"/>
      <c r="BB290" s="160"/>
      <c r="BC290" s="160"/>
      <c r="BD290" s="160"/>
      <c r="BE290" s="160"/>
      <c r="BF290" s="160"/>
      <c r="BG290" s="160"/>
      <c r="BH290" s="160"/>
      <c r="BI290" s="160"/>
      <c r="BJ290" s="96"/>
      <c r="BK290" s="96"/>
      <c r="BL290" s="678"/>
      <c r="BM290" s="96"/>
      <c r="BN290" s="96"/>
      <c r="BO290" s="96"/>
      <c r="BP290" s="96"/>
      <c r="BQ290" s="96"/>
      <c r="BR290" s="96"/>
      <c r="DX290" s="2172"/>
    </row>
    <row r="291" spans="1:128" s="98" customFormat="1" ht="18" customHeight="1" x14ac:dyDescent="0.2">
      <c r="A291" s="564" t="s">
        <v>871</v>
      </c>
      <c r="B291" s="426"/>
      <c r="C291" s="426"/>
      <c r="D291" s="426"/>
      <c r="E291" s="426"/>
      <c r="F291" s="426"/>
      <c r="G291" s="426"/>
      <c r="H291" s="426"/>
      <c r="I291" s="426"/>
      <c r="J291" s="2443">
        <f>+P291</f>
        <v>0</v>
      </c>
      <c r="K291" s="2444"/>
      <c r="L291" s="1414"/>
      <c r="M291" s="1415"/>
      <c r="N291" s="16"/>
      <c r="O291" s="96"/>
      <c r="P291" s="207">
        <f>IF(J282=" ",0,J282)</f>
        <v>0</v>
      </c>
      <c r="Q291" s="207">
        <f>IF(L282=" ",0,L282)</f>
        <v>0</v>
      </c>
      <c r="R291" s="160"/>
      <c r="S291" s="460" t="s">
        <v>252</v>
      </c>
      <c r="T291" s="460"/>
      <c r="U291" s="115"/>
      <c r="V291" s="2193">
        <f>IF(V285=0,100,BQ88/V285)</f>
        <v>0</v>
      </c>
      <c r="W291" s="115"/>
      <c r="X291" s="115"/>
      <c r="Y291" s="160"/>
      <c r="AA291" s="237" t="s">
        <v>559</v>
      </c>
      <c r="AB291" s="237"/>
      <c r="AE291" s="238">
        <f>IF(AG291=" ",0,AG291/12)</f>
        <v>0</v>
      </c>
      <c r="AF291" s="212">
        <f>AE291</f>
        <v>0</v>
      </c>
      <c r="AG291" s="207">
        <f>IF(F41=" ",0,F41)</f>
        <v>0</v>
      </c>
      <c r="AH291" s="160"/>
      <c r="AI291" s="160"/>
      <c r="AJ291" s="238">
        <f>IF(AL291=" ",0,AL291/12)</f>
        <v>0</v>
      </c>
      <c r="AK291" s="212">
        <f>AJ291</f>
        <v>0</v>
      </c>
      <c r="AL291" s="160">
        <f>IF(C238=" ",0,C238)</f>
        <v>0</v>
      </c>
      <c r="AM291" s="160"/>
      <c r="AN291" s="160"/>
      <c r="AO291" s="160"/>
      <c r="AP291" s="232"/>
      <c r="AQ291" s="232"/>
      <c r="AR291" s="232"/>
      <c r="AS291" s="212"/>
      <c r="AT291" s="238"/>
      <c r="AU291" s="238"/>
      <c r="AV291" s="232"/>
      <c r="AW291" s="238"/>
      <c r="AX291" s="238"/>
      <c r="AY291" s="238"/>
      <c r="AZ291" s="160"/>
      <c r="BA291" s="160"/>
      <c r="BB291" s="160"/>
      <c r="BC291" s="160"/>
      <c r="BD291" s="160"/>
      <c r="BE291" s="160"/>
      <c r="BF291" s="160"/>
      <c r="BG291" s="160"/>
      <c r="BH291" s="160"/>
      <c r="BI291" s="160"/>
      <c r="BJ291" s="160"/>
      <c r="BK291" s="160"/>
      <c r="BL291" s="657"/>
      <c r="BM291" s="160"/>
      <c r="BN291" s="160"/>
      <c r="BO291" s="160"/>
      <c r="BP291" s="160"/>
      <c r="BQ291" s="160"/>
      <c r="BR291" s="160"/>
      <c r="BS291" s="160"/>
      <c r="BT291" s="160"/>
      <c r="BU291" s="160"/>
      <c r="BV291" s="160"/>
      <c r="BW291" s="160"/>
      <c r="BX291" s="160"/>
      <c r="BY291" s="160"/>
      <c r="BZ291" s="160"/>
      <c r="CA291" s="160"/>
      <c r="CB291" s="160"/>
      <c r="CC291" s="160"/>
      <c r="CD291" s="160"/>
      <c r="CE291" s="160"/>
      <c r="CF291" s="2120"/>
      <c r="CG291" s="2120"/>
      <c r="CH291" s="2120"/>
      <c r="CI291" s="160"/>
      <c r="CJ291" s="160"/>
      <c r="CK291" s="160"/>
      <c r="CL291" s="2120"/>
      <c r="CM291" s="2120"/>
      <c r="CN291" s="2120"/>
      <c r="CO291" s="96"/>
      <c r="CP291" s="96"/>
      <c r="CQ291" s="96"/>
      <c r="CR291" s="96"/>
      <c r="CS291" s="96"/>
      <c r="CT291" s="96"/>
      <c r="CU291" s="96"/>
      <c r="CV291" s="96"/>
      <c r="DX291" s="2172"/>
    </row>
    <row r="292" spans="1:128" s="98" customFormat="1" ht="18" customHeight="1" thickBot="1" x14ac:dyDescent="0.25">
      <c r="A292" s="2750" t="s">
        <v>872</v>
      </c>
      <c r="B292" s="2751"/>
      <c r="C292" s="2751"/>
      <c r="D292" s="2751"/>
      <c r="E292" s="2751"/>
      <c r="F292" s="2751"/>
      <c r="G292" s="2751"/>
      <c r="H292" s="2751"/>
      <c r="I292" s="2752"/>
      <c r="J292" s="2443">
        <f>+P292</f>
        <v>0</v>
      </c>
      <c r="K292" s="2756"/>
      <c r="L292" s="1414"/>
      <c r="M292" s="1415"/>
      <c r="N292" s="16"/>
      <c r="O292" s="96"/>
      <c r="P292" s="207">
        <f>+S271</f>
        <v>0</v>
      </c>
      <c r="Q292" s="207"/>
      <c r="R292" s="160"/>
      <c r="S292" s="159" t="s">
        <v>647</v>
      </c>
      <c r="T292" s="2191"/>
      <c r="U292" s="115"/>
      <c r="V292" s="2191">
        <f>+(AC88+AG88)/2</f>
        <v>0</v>
      </c>
      <c r="W292" s="2191"/>
      <c r="X292" s="2191"/>
      <c r="Y292" s="160" t="s">
        <v>665</v>
      </c>
      <c r="AA292" s="98" t="s">
        <v>659</v>
      </c>
      <c r="AB292" s="237"/>
      <c r="AE292" s="238">
        <f>+W88/12-AE290</f>
        <v>0</v>
      </c>
      <c r="AF292" s="160">
        <f>+U88/12-AF290</f>
        <v>0</v>
      </c>
      <c r="AG292" s="160">
        <f>+AE292*6+AF292*6</f>
        <v>0</v>
      </c>
      <c r="AH292" s="160"/>
      <c r="AI292" s="160"/>
      <c r="AJ292" s="160">
        <f>+AE292</f>
        <v>0</v>
      </c>
      <c r="AK292" s="160">
        <f>+AF292</f>
        <v>0</v>
      </c>
      <c r="AL292" s="160">
        <f>+AG292</f>
        <v>0</v>
      </c>
      <c r="AM292" s="160"/>
      <c r="AN292" s="160"/>
      <c r="AO292" s="160"/>
      <c r="AP292" s="232"/>
      <c r="AQ292" s="232"/>
      <c r="AR292" s="232"/>
      <c r="AS292" s="212"/>
      <c r="AT292" s="238"/>
      <c r="AU292" s="238"/>
      <c r="AV292" s="232"/>
      <c r="AW292" s="238"/>
      <c r="AX292" s="238"/>
      <c r="AY292" s="238"/>
      <c r="AZ292" s="160"/>
      <c r="BA292" s="160"/>
      <c r="BB292" s="160"/>
      <c r="BC292" s="160"/>
      <c r="BD292" s="160"/>
      <c r="BE292" s="160"/>
      <c r="BF292" s="160"/>
      <c r="BG292" s="160"/>
      <c r="BH292" s="160"/>
      <c r="BI292" s="160"/>
      <c r="BJ292" s="160"/>
      <c r="BK292" s="160"/>
      <c r="BL292" s="657"/>
      <c r="BM292" s="160"/>
      <c r="BN292" s="160"/>
      <c r="BO292" s="160"/>
      <c r="BP292" s="160"/>
      <c r="BQ292" s="160"/>
      <c r="BR292" s="160"/>
      <c r="BS292" s="160"/>
      <c r="BT292" s="160"/>
      <c r="BU292" s="160"/>
      <c r="BV292" s="160"/>
      <c r="BW292" s="160"/>
      <c r="BX292" s="160"/>
      <c r="BY292" s="160"/>
      <c r="BZ292" s="160"/>
      <c r="CA292" s="160"/>
      <c r="CB292" s="160"/>
      <c r="CC292" s="160"/>
      <c r="CD292" s="160"/>
      <c r="CE292" s="160"/>
      <c r="CF292" s="2120"/>
      <c r="CG292" s="2120"/>
      <c r="CH292" s="2120"/>
      <c r="CI292" s="160"/>
      <c r="CJ292" s="160"/>
      <c r="CK292" s="160"/>
      <c r="CL292" s="2120"/>
      <c r="CM292" s="2120"/>
      <c r="CN292" s="2120"/>
      <c r="CO292" s="96"/>
      <c r="CP292" s="96"/>
      <c r="CQ292" s="96"/>
      <c r="CR292" s="96"/>
      <c r="CS292" s="96"/>
      <c r="CT292" s="96"/>
      <c r="CU292" s="96"/>
      <c r="CV292" s="96"/>
      <c r="DX292" s="2172"/>
    </row>
    <row r="293" spans="1:128" s="98" customFormat="1" ht="18" customHeight="1" thickBot="1" x14ac:dyDescent="0.25">
      <c r="A293" s="2772" t="s">
        <v>8676</v>
      </c>
      <c r="B293" s="2773"/>
      <c r="C293" s="2773"/>
      <c r="D293" s="2773"/>
      <c r="E293" s="2773"/>
      <c r="F293" s="2773"/>
      <c r="G293" s="2773"/>
      <c r="H293" s="2773"/>
      <c r="I293" s="2773"/>
      <c r="J293" s="2303">
        <f>+P293</f>
        <v>0</v>
      </c>
      <c r="K293" s="2304"/>
      <c r="L293" s="2303">
        <f>+Q291</f>
        <v>0</v>
      </c>
      <c r="M293" s="2293"/>
      <c r="N293" s="16"/>
      <c r="O293" s="96"/>
      <c r="P293" s="207">
        <f>+P291-P292</f>
        <v>0</v>
      </c>
      <c r="Q293" s="207"/>
      <c r="R293" s="160"/>
      <c r="S293" s="159" t="s">
        <v>644</v>
      </c>
      <c r="T293" s="2191"/>
      <c r="U293" s="115"/>
      <c r="V293" s="2191"/>
      <c r="W293" s="2210">
        <f>+(W288+V289)*170</f>
        <v>1.6999999999999999E-4</v>
      </c>
      <c r="X293" s="2210">
        <f>+X290*255+(X288+V289-X290)*170</f>
        <v>1.6999999999999999E-4</v>
      </c>
      <c r="Y293" s="160">
        <f>IF(W13=0,W293,X293)</f>
        <v>1.6999999999999999E-4</v>
      </c>
      <c r="Z293" s="237" t="s">
        <v>668</v>
      </c>
      <c r="AA293" s="159" t="s">
        <v>468</v>
      </c>
      <c r="AB293" s="160"/>
      <c r="AD293" s="160"/>
      <c r="AE293" s="212">
        <f>+AE291+AE290</f>
        <v>0</v>
      </c>
      <c r="AF293" s="212">
        <f>+AF291+AF290</f>
        <v>0</v>
      </c>
      <c r="AG293" s="212">
        <f>+AG291+AG290</f>
        <v>0</v>
      </c>
      <c r="AH293" s="160"/>
      <c r="AI293" s="160"/>
      <c r="AJ293" s="212">
        <f>+AJ291+AJ290</f>
        <v>0</v>
      </c>
      <c r="AK293" s="212">
        <f>+AK291+AK290</f>
        <v>0</v>
      </c>
      <c r="AL293" s="212">
        <f>+AL291+AL290</f>
        <v>0</v>
      </c>
      <c r="AM293" s="160"/>
      <c r="AN293" s="160"/>
      <c r="AO293" s="160"/>
      <c r="AP293" s="232"/>
      <c r="AQ293" s="232"/>
      <c r="AR293" s="232"/>
      <c r="AS293" s="160"/>
      <c r="AT293" s="237"/>
      <c r="AU293" s="237"/>
      <c r="AV293" s="232"/>
      <c r="AW293" s="238"/>
      <c r="AX293" s="237"/>
      <c r="AY293" s="237"/>
      <c r="AZ293" s="160"/>
      <c r="BA293" s="160"/>
      <c r="BB293" s="160"/>
      <c r="BC293" s="160"/>
      <c r="BD293" s="160"/>
      <c r="BE293" s="160"/>
      <c r="BF293" s="160"/>
      <c r="BG293" s="160"/>
      <c r="BH293" s="160"/>
      <c r="BI293" s="160"/>
      <c r="BJ293" s="160"/>
      <c r="BK293" s="160"/>
      <c r="BL293" s="657"/>
      <c r="BM293" s="160"/>
      <c r="BN293" s="160"/>
      <c r="BO293" s="160"/>
      <c r="BP293" s="160"/>
      <c r="BQ293" s="160"/>
      <c r="BR293" s="160"/>
      <c r="BS293" s="160"/>
      <c r="BT293" s="160"/>
      <c r="BU293" s="160"/>
      <c r="BV293" s="160"/>
      <c r="BW293" s="160"/>
      <c r="BX293" s="160"/>
      <c r="BY293" s="160"/>
      <c r="BZ293" s="160"/>
      <c r="CA293" s="160"/>
      <c r="CB293" s="160"/>
      <c r="CC293" s="160"/>
      <c r="CD293" s="160"/>
      <c r="CE293" s="160"/>
      <c r="CF293" s="2120"/>
      <c r="CG293" s="2120"/>
      <c r="CH293" s="2120"/>
      <c r="CI293" s="160"/>
      <c r="CJ293" s="160"/>
      <c r="CK293" s="160"/>
      <c r="CL293" s="2120"/>
      <c r="CM293" s="2120"/>
      <c r="CN293" s="2120"/>
      <c r="CO293" s="96"/>
      <c r="CP293" s="96"/>
      <c r="CQ293" s="96"/>
      <c r="CR293" s="96"/>
      <c r="CS293" s="96"/>
      <c r="CT293" s="96"/>
      <c r="CU293" s="96"/>
      <c r="CV293" s="96"/>
      <c r="DX293" s="2172"/>
    </row>
    <row r="294" spans="1:128" s="98" customFormat="1" ht="18" customHeight="1" thickBot="1" x14ac:dyDescent="0.25">
      <c r="A294" s="565" t="s">
        <v>251</v>
      </c>
      <c r="B294" s="566"/>
      <c r="C294" s="566"/>
      <c r="D294" s="566"/>
      <c r="E294" s="567"/>
      <c r="F294" s="567"/>
      <c r="G294" s="567"/>
      <c r="H294" s="567"/>
      <c r="I294" s="568"/>
      <c r="J294" s="2748" t="str">
        <f>IF(J293="Fehler","Fehler",IF(J290="Fehler","Fehler",IF(J290&gt;0.1,IF(P290&lt;=P293,"ja","nein")," ")))</f>
        <v xml:space="preserve"> </v>
      </c>
      <c r="K294" s="2749"/>
      <c r="L294" s="2748" t="str">
        <f>IF(L293="Fehler","Fehler",IF(L290="Fehler","Fehler",IF(Q290&gt;0.1,IF(Q290&lt;=Q291,"ja","nein")," ")))</f>
        <v xml:space="preserve"> </v>
      </c>
      <c r="M294" s="2763"/>
      <c r="N294" s="16"/>
      <c r="O294" s="96"/>
      <c r="P294" s="216" t="e">
        <f>((P168+P165)/(F41+F42)*100)</f>
        <v>#DIV/0!</v>
      </c>
      <c r="Q294" s="160"/>
      <c r="R294" s="160"/>
      <c r="S294" s="380" t="s">
        <v>646</v>
      </c>
      <c r="T294" s="381"/>
      <c r="U294" s="382"/>
      <c r="V294" s="383"/>
      <c r="W294" s="383">
        <f>+V292-W293</f>
        <v>-1.6999999999999999E-4</v>
      </c>
      <c r="X294" s="383">
        <f>+V292-X293</f>
        <v>-1.6999999999999999E-4</v>
      </c>
      <c r="Y294" s="160" t="e">
        <f>+(G41+J96)*1000/(F41+F96)</f>
        <v>#DIV/0!</v>
      </c>
      <c r="Z294" s="160" t="s">
        <v>666</v>
      </c>
      <c r="AA294" s="375" t="s">
        <v>663</v>
      </c>
      <c r="AB294" s="374"/>
      <c r="AD294" s="160"/>
      <c r="AE294" s="160">
        <f>IF(V291&gt;3,0,(AG292+AG290))</f>
        <v>0</v>
      </c>
      <c r="AF294" s="160"/>
      <c r="AG294" s="160"/>
      <c r="AH294" s="160"/>
      <c r="AI294" s="160"/>
      <c r="AJ294" s="160"/>
      <c r="AK294" s="160"/>
      <c r="AL294" s="160"/>
      <c r="AM294" s="160"/>
      <c r="AN294" s="160"/>
      <c r="AO294" s="160"/>
      <c r="AP294" s="160"/>
      <c r="AQ294" s="160"/>
      <c r="AR294" s="160"/>
      <c r="AS294" s="160"/>
      <c r="AT294" s="160"/>
      <c r="AU294" s="160"/>
      <c r="AV294" s="160"/>
      <c r="AW294" s="160"/>
      <c r="AX294" s="160"/>
      <c r="AY294" s="160"/>
      <c r="AZ294" s="160"/>
      <c r="BA294" s="160"/>
      <c r="BB294" s="160"/>
      <c r="BC294" s="160"/>
      <c r="BD294" s="160"/>
      <c r="BE294" s="160"/>
      <c r="BF294" s="160"/>
      <c r="BG294" s="160"/>
      <c r="BH294" s="160"/>
      <c r="BI294" s="160"/>
      <c r="BJ294" s="160"/>
      <c r="BK294" s="160"/>
      <c r="BL294" s="657"/>
      <c r="BM294" s="160"/>
      <c r="BN294" s="160"/>
      <c r="BO294" s="160"/>
      <c r="BP294" s="160"/>
      <c r="BQ294" s="160"/>
      <c r="BR294" s="160"/>
      <c r="BS294" s="160"/>
      <c r="BT294" s="160"/>
      <c r="BU294" s="160"/>
      <c r="BV294" s="160"/>
      <c r="BW294" s="160"/>
      <c r="BX294" s="160"/>
      <c r="BY294" s="160"/>
      <c r="BZ294" s="160"/>
      <c r="CA294" s="160"/>
      <c r="CB294" s="160"/>
      <c r="CC294" s="160"/>
      <c r="CD294" s="160"/>
      <c r="CE294" s="160"/>
      <c r="CF294" s="2120"/>
      <c r="CG294" s="2120"/>
      <c r="CH294" s="2120"/>
      <c r="CI294" s="160"/>
      <c r="CJ294" s="160"/>
      <c r="CK294" s="160"/>
      <c r="CL294" s="2120"/>
      <c r="CM294" s="2120"/>
      <c r="CN294" s="2120"/>
      <c r="CO294" s="96"/>
      <c r="CP294" s="96"/>
      <c r="CQ294" s="96"/>
      <c r="CR294" s="96"/>
      <c r="CS294" s="96"/>
      <c r="CT294" s="96"/>
      <c r="CU294" s="96"/>
      <c r="CV294" s="96"/>
      <c r="DX294" s="2172"/>
    </row>
    <row r="295" spans="1:128" s="102" customFormat="1" ht="10.5" customHeight="1" thickTop="1" x14ac:dyDescent="0.2">
      <c r="A295" s="102" t="s">
        <v>878</v>
      </c>
      <c r="B295" s="2168">
        <f>+G6-H8+G9-H11</f>
        <v>0</v>
      </c>
      <c r="C295" s="145"/>
      <c r="D295" s="2"/>
      <c r="E295" s="2"/>
      <c r="F295" s="641" t="s">
        <v>265</v>
      </c>
      <c r="G295" s="2138" t="str">
        <f>IF(K299=0,"Betrieb ohne Fläche",V291)</f>
        <v>Betrieb ohne Fläche</v>
      </c>
      <c r="H295" s="2"/>
      <c r="I295" s="3"/>
      <c r="J295" s="17"/>
      <c r="K295" s="17"/>
      <c r="L295" s="17"/>
      <c r="M295" s="17"/>
      <c r="N295" s="139"/>
      <c r="O295" s="104"/>
      <c r="P295" s="239"/>
      <c r="Q295" s="239"/>
      <c r="R295" s="239"/>
      <c r="S295" s="384" t="s">
        <v>645</v>
      </c>
      <c r="T295" s="383"/>
      <c r="U295" s="385"/>
      <c r="V295" s="383"/>
      <c r="W295" s="383" t="e">
        <f>+(W293*6+W294*9)/V292</f>
        <v>#DIV/0!</v>
      </c>
      <c r="X295" s="383" t="e">
        <f>+(X293*6+X294*9)/V292</f>
        <v>#DIV/0!</v>
      </c>
      <c r="Y295" s="239" t="e">
        <f>IF(Y294=0,0,Y293/Y294)</f>
        <v>#DIV/0!</v>
      </c>
      <c r="Z295" s="239" t="s">
        <v>1</v>
      </c>
      <c r="AA295" s="159" t="s">
        <v>664</v>
      </c>
      <c r="AB295" s="160"/>
      <c r="AD295" s="160"/>
      <c r="AE295" s="160" t="e">
        <f>+IF(Y295&gt;AE294,Y295,AE294)</f>
        <v>#DIV/0!</v>
      </c>
      <c r="AF295" s="160"/>
      <c r="AG295" s="239"/>
      <c r="AH295" s="239"/>
      <c r="AI295" s="239"/>
      <c r="AJ295" s="239"/>
      <c r="AK295" s="239"/>
      <c r="AL295" s="239"/>
      <c r="AM295" s="239"/>
      <c r="AN295" s="239"/>
      <c r="AO295" s="239"/>
      <c r="AP295" s="239"/>
      <c r="AQ295" s="239"/>
      <c r="AR295" s="239"/>
      <c r="AS295" s="239"/>
      <c r="AT295" s="239"/>
      <c r="AU295" s="239"/>
      <c r="AV295" s="239"/>
      <c r="AW295" s="239"/>
      <c r="AX295" s="239"/>
      <c r="AY295" s="239"/>
      <c r="AZ295" s="239"/>
      <c r="BA295" s="239"/>
      <c r="BB295" s="239"/>
      <c r="BC295" s="239"/>
      <c r="BD295" s="239"/>
      <c r="BE295" s="239"/>
      <c r="BF295" s="239"/>
      <c r="BG295" s="239"/>
      <c r="BH295" s="239"/>
      <c r="BI295" s="239"/>
      <c r="BJ295" s="239"/>
      <c r="BK295" s="239"/>
      <c r="BL295" s="239"/>
      <c r="BM295" s="239"/>
      <c r="BN295" s="239"/>
      <c r="BO295" s="239"/>
      <c r="BP295" s="239"/>
      <c r="BQ295" s="239"/>
      <c r="BR295" s="239"/>
      <c r="BS295" s="239"/>
      <c r="BT295" s="239"/>
      <c r="BU295" s="239"/>
      <c r="BV295" s="239"/>
      <c r="BW295" s="239"/>
      <c r="BX295" s="239"/>
      <c r="BY295" s="240"/>
      <c r="BZ295" s="240"/>
      <c r="CA295" s="240"/>
      <c r="CB295" s="240"/>
      <c r="CC295" s="239"/>
      <c r="CD295" s="239"/>
      <c r="CE295" s="239"/>
      <c r="CF295" s="239"/>
      <c r="CG295" s="239"/>
      <c r="CH295" s="239"/>
      <c r="CI295" s="239"/>
      <c r="CJ295" s="239"/>
      <c r="CK295" s="239"/>
      <c r="CL295" s="239"/>
      <c r="CM295" s="239"/>
      <c r="CN295" s="239"/>
      <c r="CO295" s="104"/>
      <c r="CP295" s="104"/>
      <c r="CQ295" s="104"/>
      <c r="CR295" s="104"/>
      <c r="CS295" s="104"/>
      <c r="CT295" s="104"/>
      <c r="CU295" s="104"/>
      <c r="CV295" s="104"/>
      <c r="DX295" s="2171"/>
    </row>
    <row r="296" spans="1:128" s="102" customFormat="1" ht="5.25" customHeight="1" x14ac:dyDescent="0.2">
      <c r="A296" s="138"/>
      <c r="B296" s="378"/>
      <c r="C296" s="378"/>
      <c r="D296" s="2"/>
      <c r="E296" s="2"/>
      <c r="F296" s="2"/>
      <c r="G296" s="2"/>
      <c r="H296" s="2"/>
      <c r="I296" s="3"/>
      <c r="J296" s="3"/>
      <c r="K296" s="3"/>
      <c r="L296" s="16"/>
      <c r="M296" s="16"/>
      <c r="N296" s="139"/>
      <c r="O296" s="104"/>
      <c r="P296" s="239"/>
      <c r="Q296" s="239"/>
      <c r="R296" s="239"/>
      <c r="S296" s="384" t="s">
        <v>649</v>
      </c>
      <c r="T296" s="386"/>
      <c r="U296" s="385"/>
      <c r="V296" s="386"/>
      <c r="W296" s="386">
        <f>IF((V285+G12)=0,9,IF(V291&gt;3,W295,6))</f>
        <v>6</v>
      </c>
      <c r="X296" s="386">
        <f>IF((V285+G12)=0,9,IF(V291&gt;3,X295,6))</f>
        <v>6</v>
      </c>
      <c r="Y296" s="239"/>
      <c r="Z296" s="239"/>
      <c r="AA296" s="159"/>
      <c r="AB296" s="239"/>
      <c r="AD296" s="239"/>
      <c r="AE296" s="239"/>
      <c r="AF296" s="239"/>
      <c r="AG296" s="239"/>
      <c r="AH296" s="239"/>
      <c r="AI296" s="239"/>
      <c r="AJ296" s="239"/>
      <c r="AK296" s="239"/>
      <c r="AL296" s="239"/>
      <c r="AM296" s="239"/>
      <c r="AN296" s="239"/>
      <c r="AO296" s="239"/>
      <c r="AP296" s="239"/>
      <c r="AQ296" s="239"/>
      <c r="AR296" s="239"/>
      <c r="AS296" s="239"/>
      <c r="AT296" s="239"/>
      <c r="AU296" s="239"/>
      <c r="AV296" s="239"/>
      <c r="AW296" s="239"/>
      <c r="AX296" s="239"/>
      <c r="AY296" s="239"/>
      <c r="AZ296" s="239"/>
      <c r="BA296" s="239"/>
      <c r="BB296" s="239"/>
      <c r="BC296" s="239"/>
      <c r="BD296" s="239"/>
      <c r="BE296" s="239"/>
      <c r="BF296" s="239"/>
      <c r="BG296" s="239"/>
      <c r="BH296" s="239"/>
      <c r="BI296" s="239"/>
      <c r="BJ296" s="239"/>
      <c r="BK296" s="239"/>
      <c r="BL296" s="239"/>
      <c r="BM296" s="239"/>
      <c r="BN296" s="239"/>
      <c r="BO296" s="239"/>
      <c r="BP296" s="239"/>
      <c r="BQ296" s="239"/>
      <c r="BR296" s="239"/>
      <c r="BS296" s="239"/>
      <c r="BT296" s="239"/>
      <c r="BU296" s="240"/>
      <c r="BV296" s="240"/>
      <c r="BW296" s="240"/>
      <c r="BX296" s="240"/>
      <c r="BY296" s="239"/>
      <c r="BZ296" s="239"/>
      <c r="CA296" s="239"/>
      <c r="CB296" s="239"/>
      <c r="CC296" s="239"/>
      <c r="CD296" s="239"/>
      <c r="CE296" s="104"/>
      <c r="CF296" s="104"/>
      <c r="CG296" s="104"/>
      <c r="CH296" s="104"/>
      <c r="CI296" s="104"/>
      <c r="CJ296" s="104"/>
      <c r="CK296" s="104"/>
      <c r="CL296" s="104"/>
      <c r="CM296" s="104"/>
      <c r="CN296" s="104"/>
      <c r="CO296" s="104"/>
      <c r="CP296" s="104"/>
      <c r="CQ296" s="104"/>
      <c r="CR296" s="104"/>
      <c r="DX296" s="2171"/>
    </row>
    <row r="297" spans="1:128" s="102" customFormat="1" ht="11.25" customHeight="1" x14ac:dyDescent="0.2">
      <c r="A297" s="24" t="s">
        <v>286</v>
      </c>
      <c r="B297" s="13"/>
      <c r="C297" s="13"/>
      <c r="D297" s="13"/>
      <c r="E297" s="13"/>
      <c r="F297" s="13"/>
      <c r="G297" s="13"/>
      <c r="H297" s="13"/>
      <c r="I297" s="13"/>
      <c r="J297" s="13"/>
      <c r="K297" s="13"/>
      <c r="L297" s="4"/>
      <c r="M297" s="4"/>
      <c r="N297" s="139"/>
      <c r="O297" s="104"/>
      <c r="P297" s="239"/>
      <c r="Q297" s="239"/>
      <c r="R297" s="239"/>
      <c r="S297" s="239"/>
      <c r="T297" s="239"/>
      <c r="U297" s="239"/>
      <c r="V297" s="239"/>
      <c r="W297" s="239"/>
      <c r="X297" s="239"/>
      <c r="Y297" s="239"/>
      <c r="Z297" s="239"/>
      <c r="AA297" s="239" t="s">
        <v>660</v>
      </c>
      <c r="AB297" s="239"/>
      <c r="AC297" s="239"/>
      <c r="AD297" s="239"/>
      <c r="AE297" s="239" t="e">
        <f>IF(AG293&lt;AE295,AG293,AE295)</f>
        <v>#DIV/0!</v>
      </c>
      <c r="AF297" s="239"/>
      <c r="AG297" s="239"/>
      <c r="AH297" s="239"/>
      <c r="AI297" s="239" t="s">
        <v>639</v>
      </c>
      <c r="AJ297" s="239"/>
      <c r="AK297" s="239"/>
      <c r="AL297" s="239"/>
      <c r="AM297" s="239"/>
      <c r="AN297" s="239"/>
      <c r="AO297" s="239"/>
      <c r="AP297" s="239"/>
      <c r="AQ297" s="239"/>
      <c r="AR297" s="239"/>
      <c r="AS297" s="239"/>
      <c r="AT297" s="239"/>
      <c r="AU297" s="239"/>
      <c r="AV297" s="239"/>
      <c r="AW297" s="239"/>
      <c r="AX297" s="239"/>
      <c r="AY297" s="239"/>
      <c r="AZ297" s="239"/>
      <c r="BA297" s="239"/>
      <c r="BB297" s="239"/>
      <c r="BC297" s="239"/>
      <c r="BD297" s="239"/>
      <c r="BE297" s="239"/>
      <c r="BF297" s="239"/>
      <c r="BG297" s="239"/>
      <c r="BH297" s="239"/>
      <c r="BI297" s="239"/>
      <c r="BJ297" s="239"/>
      <c r="BK297" s="239"/>
      <c r="BL297" s="239"/>
      <c r="BM297" s="239"/>
      <c r="BN297" s="239"/>
      <c r="BO297" s="239"/>
      <c r="BP297" s="239"/>
      <c r="BQ297" s="239"/>
      <c r="BR297" s="239"/>
      <c r="BS297" s="239"/>
      <c r="BT297" s="239"/>
      <c r="BU297" s="240"/>
      <c r="BV297" s="240"/>
      <c r="BW297" s="240"/>
      <c r="BX297" s="240"/>
      <c r="BY297" s="239"/>
      <c r="BZ297" s="239"/>
      <c r="CA297" s="239"/>
      <c r="CB297" s="239"/>
      <c r="CC297" s="239"/>
      <c r="CD297" s="239"/>
      <c r="CE297" s="104"/>
      <c r="CF297" s="104"/>
      <c r="CG297" s="104"/>
      <c r="CH297" s="104"/>
      <c r="CI297" s="104"/>
      <c r="CJ297" s="104"/>
      <c r="CK297" s="104"/>
      <c r="CL297" s="104"/>
      <c r="CM297" s="104"/>
      <c r="CN297" s="104"/>
      <c r="CO297" s="104"/>
      <c r="CP297" s="104"/>
      <c r="CQ297" s="104"/>
      <c r="CR297" s="104"/>
      <c r="DX297" s="2171"/>
    </row>
    <row r="298" spans="1:128" s="102" customFormat="1" ht="34.5" customHeight="1" x14ac:dyDescent="0.2">
      <c r="A298" s="2760" t="s">
        <v>874</v>
      </c>
      <c r="B298" s="2760"/>
      <c r="C298" s="2760"/>
      <c r="D298" s="2760"/>
      <c r="E298" s="2760"/>
      <c r="F298" s="2760"/>
      <c r="G298" s="2760"/>
      <c r="H298" s="2760"/>
      <c r="I298" s="2760"/>
      <c r="J298" s="2760"/>
      <c r="K298" s="2760"/>
      <c r="L298" s="2760"/>
      <c r="M298" s="2760"/>
      <c r="N298" s="139"/>
      <c r="O298" s="104"/>
      <c r="P298" s="239"/>
      <c r="Q298" s="239"/>
      <c r="R298" s="239"/>
      <c r="S298" s="239"/>
      <c r="T298" s="239"/>
      <c r="U298" s="239"/>
      <c r="V298" s="239"/>
      <c r="W298" s="239"/>
      <c r="X298" s="239"/>
      <c r="Y298" s="239"/>
      <c r="Z298" s="239"/>
      <c r="AA298" s="239" t="s">
        <v>661</v>
      </c>
      <c r="AB298" s="239"/>
      <c r="AC298" s="239"/>
      <c r="AD298" s="239"/>
      <c r="AE298" s="239"/>
      <c r="AF298" s="239"/>
      <c r="AG298" s="387" t="e">
        <f>+AG293-AE297</f>
        <v>#DIV/0!</v>
      </c>
      <c r="AH298" s="239"/>
      <c r="AI298" s="239">
        <f>IF(AG293=0,0,(AE297*6+AG298*9)/AG293)</f>
        <v>0</v>
      </c>
      <c r="AJ298" s="239"/>
      <c r="AK298" s="239"/>
      <c r="AL298" s="239"/>
      <c r="AM298" s="239"/>
      <c r="AN298" s="239"/>
      <c r="AO298" s="239"/>
      <c r="AP298" s="239"/>
      <c r="AQ298" s="239"/>
      <c r="AR298" s="239"/>
      <c r="AS298" s="239"/>
      <c r="AT298" s="239"/>
      <c r="AU298" s="239"/>
      <c r="AV298" s="239"/>
      <c r="AW298" s="239"/>
      <c r="AX298" s="239"/>
      <c r="AY298" s="239"/>
      <c r="AZ298" s="239"/>
      <c r="BA298" s="239"/>
      <c r="BB298" s="239"/>
      <c r="BC298" s="239"/>
      <c r="BD298" s="239"/>
      <c r="BE298" s="239"/>
      <c r="BF298" s="239"/>
      <c r="BG298" s="239"/>
      <c r="BH298" s="239"/>
      <c r="BI298" s="239"/>
      <c r="BJ298" s="239"/>
      <c r="BK298" s="239"/>
      <c r="BL298" s="239"/>
      <c r="BM298" s="239"/>
      <c r="BN298" s="239"/>
      <c r="BO298" s="239"/>
      <c r="BP298" s="239"/>
      <c r="BQ298" s="239"/>
      <c r="BR298" s="239"/>
      <c r="BS298" s="239"/>
      <c r="BT298" s="239"/>
      <c r="BU298" s="240"/>
      <c r="BV298" s="240"/>
      <c r="BW298" s="240"/>
      <c r="BX298" s="240"/>
      <c r="BY298" s="239"/>
      <c r="BZ298" s="239"/>
      <c r="CA298" s="239"/>
      <c r="CB298" s="239"/>
      <c r="CC298" s="239"/>
      <c r="CD298" s="239"/>
      <c r="CE298" s="104"/>
      <c r="CF298" s="104"/>
      <c r="CG298" s="104"/>
      <c r="CH298" s="104"/>
      <c r="CI298" s="104"/>
      <c r="CJ298" s="104"/>
      <c r="CK298" s="104"/>
      <c r="CL298" s="104"/>
      <c r="CM298" s="104"/>
      <c r="CN298" s="104"/>
      <c r="CO298" s="104"/>
      <c r="CP298" s="104"/>
      <c r="CQ298" s="104"/>
      <c r="CR298" s="104"/>
      <c r="DX298" s="2171"/>
    </row>
    <row r="299" spans="1:128" ht="10.5" customHeight="1" x14ac:dyDescent="0.2">
      <c r="A299" s="102" t="s">
        <v>880</v>
      </c>
      <c r="B299" s="102"/>
      <c r="C299" s="102"/>
      <c r="D299" s="102"/>
      <c r="E299" s="102"/>
      <c r="F299" s="102"/>
      <c r="I299" s="102"/>
      <c r="K299" s="2774" cm="1">
        <f t="array" ref="K299">G5-SUM(H7:H8+H10:H11)</f>
        <v>0</v>
      </c>
      <c r="L299" s="2774"/>
      <c r="M299" s="102" t="s">
        <v>294</v>
      </c>
      <c r="N299" s="13"/>
      <c r="O299" s="105"/>
      <c r="P299" s="175"/>
      <c r="Q299" s="175"/>
      <c r="R299" s="175"/>
      <c r="S299" s="175"/>
      <c r="T299" s="175"/>
      <c r="U299" s="175"/>
      <c r="V299" s="175"/>
      <c r="W299" s="175"/>
      <c r="X299" s="175"/>
      <c r="Y299" s="175"/>
      <c r="Z299" s="175"/>
      <c r="AA299" s="175"/>
      <c r="AB299" s="175"/>
      <c r="AC299" s="175"/>
      <c r="AD299" s="175"/>
      <c r="AE299" s="175"/>
      <c r="AF299" s="175"/>
      <c r="AG299" s="175"/>
      <c r="AH299" s="175"/>
      <c r="AI299" s="175"/>
      <c r="AJ299" s="175"/>
      <c r="AK299" s="175"/>
      <c r="AL299" s="175"/>
      <c r="AM299" s="175"/>
      <c r="AN299" s="175"/>
      <c r="AO299" s="175"/>
      <c r="AP299" s="175"/>
      <c r="AQ299" s="175"/>
      <c r="AR299" s="175"/>
      <c r="AS299" s="175"/>
      <c r="AT299" s="175"/>
      <c r="AU299" s="175"/>
      <c r="AV299" s="175"/>
      <c r="AW299" s="175"/>
      <c r="AX299" s="175"/>
      <c r="AY299" s="175"/>
      <c r="AZ299" s="175"/>
      <c r="BA299" s="175"/>
      <c r="BB299" s="175"/>
      <c r="BC299" s="175"/>
      <c r="BD299" s="175"/>
      <c r="BE299" s="175"/>
      <c r="BF299" s="175"/>
      <c r="BG299" s="175"/>
      <c r="BH299" s="175"/>
      <c r="BI299" s="175"/>
      <c r="BJ299" s="175"/>
      <c r="BK299" s="175"/>
      <c r="BL299" s="175"/>
      <c r="BM299" s="175"/>
      <c r="BN299" s="175"/>
      <c r="BO299" s="175"/>
      <c r="BP299" s="175"/>
      <c r="BQ299" s="175"/>
      <c r="BR299" s="175"/>
      <c r="BS299" s="175"/>
      <c r="BT299" s="175"/>
      <c r="BU299" s="152"/>
      <c r="BV299" s="152"/>
      <c r="BW299" s="152"/>
      <c r="BX299" s="152"/>
      <c r="BY299" s="175"/>
      <c r="BZ299" s="175"/>
      <c r="CA299" s="175"/>
      <c r="CB299" s="175"/>
      <c r="CC299" s="175"/>
      <c r="CD299" s="175"/>
      <c r="CE299" s="105"/>
      <c r="CF299" s="105"/>
      <c r="CG299" s="105"/>
      <c r="CH299" s="105"/>
      <c r="CI299" s="105"/>
      <c r="CJ299" s="105"/>
      <c r="CK299" s="105"/>
      <c r="CL299" s="105"/>
      <c r="CM299" s="105"/>
      <c r="CN299" s="105"/>
      <c r="CO299" s="105"/>
      <c r="CP299" s="105"/>
      <c r="CQ299" s="105"/>
      <c r="CR299" s="105"/>
    </row>
    <row r="300" spans="1:128" ht="10.5" customHeight="1" x14ac:dyDescent="0.2">
      <c r="A300" s="64" t="s">
        <v>881</v>
      </c>
      <c r="B300" s="13"/>
      <c r="C300" s="13"/>
      <c r="D300" s="13"/>
      <c r="E300" s="13"/>
      <c r="F300" s="13"/>
      <c r="I300" s="13"/>
      <c r="K300" s="2759">
        <f>G12</f>
        <v>0</v>
      </c>
      <c r="L300" s="2759"/>
      <c r="M300" s="139" t="s">
        <v>294</v>
      </c>
      <c r="N300" s="13"/>
      <c r="O300" s="105"/>
      <c r="P300" s="175"/>
      <c r="Q300" s="175"/>
      <c r="R300" s="175"/>
      <c r="S300" s="175"/>
      <c r="T300" s="175"/>
      <c r="U300" s="175"/>
      <c r="V300" s="175"/>
      <c r="W300" s="175"/>
      <c r="X300" s="175"/>
      <c r="Y300" s="175"/>
      <c r="Z300" s="175"/>
      <c r="AA300" s="175" t="s">
        <v>662</v>
      </c>
      <c r="AB300" s="175">
        <f>+AI298</f>
        <v>0</v>
      </c>
      <c r="AC300" s="175" t="s">
        <v>639</v>
      </c>
      <c r="AD300" s="175"/>
      <c r="AE300" s="175">
        <f>+AJ293*6</f>
        <v>0</v>
      </c>
      <c r="AF300" s="175">
        <f>+AK293*(AB300-6)</f>
        <v>0</v>
      </c>
      <c r="AG300" s="175">
        <f>+AF300+AE300</f>
        <v>0</v>
      </c>
      <c r="AH300" s="175"/>
      <c r="AI300" s="175"/>
      <c r="AJ300" s="175"/>
      <c r="AK300" s="175"/>
      <c r="AL300" s="175"/>
      <c r="AM300" s="175"/>
      <c r="AN300" s="175"/>
      <c r="AO300" s="175"/>
      <c r="AP300" s="175"/>
      <c r="AQ300" s="175"/>
      <c r="AR300" s="175"/>
      <c r="AS300" s="175"/>
      <c r="AT300" s="175"/>
      <c r="AU300" s="175"/>
      <c r="AV300" s="175"/>
      <c r="AW300" s="175"/>
      <c r="AX300" s="175"/>
      <c r="AY300" s="175"/>
      <c r="AZ300" s="175"/>
      <c r="BA300" s="175"/>
      <c r="BB300" s="175"/>
      <c r="BC300" s="175"/>
      <c r="BD300" s="175"/>
      <c r="BE300" s="175"/>
      <c r="BF300" s="175"/>
      <c r="BG300" s="175"/>
      <c r="BH300" s="175"/>
      <c r="BI300" s="175"/>
      <c r="BJ300" s="175"/>
      <c r="BK300" s="175"/>
      <c r="BL300" s="175"/>
      <c r="BM300" s="175"/>
      <c r="BN300" s="175"/>
      <c r="BO300" s="175"/>
      <c r="BP300" s="175"/>
      <c r="BQ300" s="175"/>
      <c r="BR300" s="175"/>
      <c r="BS300" s="175"/>
      <c r="BT300" s="175"/>
      <c r="BU300" s="152"/>
      <c r="BV300" s="152"/>
      <c r="BW300" s="152"/>
      <c r="BX300" s="152"/>
      <c r="BY300" s="175"/>
      <c r="BZ300" s="175"/>
      <c r="CA300" s="175"/>
      <c r="CB300" s="175"/>
      <c r="CC300" s="175"/>
      <c r="CD300" s="175"/>
      <c r="CE300" s="105"/>
      <c r="CF300" s="105"/>
      <c r="CG300" s="105"/>
      <c r="CH300" s="105"/>
      <c r="CI300" s="105"/>
      <c r="CJ300" s="105"/>
      <c r="CK300" s="105"/>
      <c r="CL300" s="105"/>
      <c r="CM300" s="105"/>
      <c r="CN300" s="105"/>
      <c r="CO300" s="105"/>
      <c r="CP300" s="105"/>
      <c r="CQ300" s="105"/>
      <c r="CR300" s="105"/>
    </row>
    <row r="301" spans="1:128" ht="8.25" customHeight="1" x14ac:dyDescent="0.2">
      <c r="A301" s="22"/>
      <c r="B301" s="2"/>
      <c r="C301" s="2"/>
      <c r="D301" s="62"/>
      <c r="E301" s="61"/>
      <c r="F301" s="3"/>
      <c r="G301" s="3"/>
      <c r="H301" s="3"/>
      <c r="I301" s="3"/>
      <c r="J301" s="23"/>
      <c r="K301" s="23"/>
      <c r="L301" s="16"/>
      <c r="M301" s="16"/>
      <c r="N301" s="4"/>
    </row>
    <row r="302" spans="1:128" ht="5.25" customHeight="1" x14ac:dyDescent="0.2">
      <c r="A302" s="4"/>
      <c r="B302" s="4"/>
      <c r="C302" s="4"/>
      <c r="D302" s="4"/>
      <c r="E302" s="4"/>
      <c r="F302" s="4"/>
      <c r="G302" s="4"/>
      <c r="H302" s="4"/>
      <c r="I302" s="4"/>
      <c r="J302" s="4"/>
      <c r="K302" s="4"/>
      <c r="L302" s="4"/>
      <c r="M302" s="4"/>
      <c r="N302" s="4"/>
    </row>
    <row r="303" spans="1:128" ht="3" customHeight="1" thickBot="1" x14ac:dyDescent="0.25">
      <c r="A303" s="4"/>
      <c r="B303" s="4"/>
      <c r="C303" s="4"/>
      <c r="D303" s="4"/>
      <c r="E303" s="4"/>
      <c r="F303" s="4"/>
      <c r="G303" s="4"/>
      <c r="H303" s="4"/>
      <c r="I303" s="4"/>
      <c r="J303" s="4"/>
      <c r="K303" s="4"/>
      <c r="L303" s="4"/>
      <c r="M303" s="4"/>
      <c r="N303" s="4"/>
    </row>
    <row r="304" spans="1:128" ht="15.75" thickBot="1" x14ac:dyDescent="0.25">
      <c r="A304" s="2237" t="s">
        <v>886</v>
      </c>
      <c r="B304" s="2238"/>
      <c r="C304" s="2238"/>
      <c r="D304" s="2238"/>
      <c r="E304" s="2238"/>
      <c r="F304" s="2238"/>
      <c r="G304" s="2238"/>
      <c r="H304" s="2238"/>
      <c r="I304" s="2238"/>
      <c r="J304" s="2238"/>
      <c r="K304" s="2238"/>
      <c r="L304" s="2238"/>
      <c r="M304" s="2282"/>
      <c r="N304" s="296"/>
      <c r="O304" s="296"/>
      <c r="P304" s="296"/>
      <c r="Q304" s="296"/>
      <c r="R304" s="347" t="s">
        <v>627</v>
      </c>
      <c r="S304" s="296"/>
      <c r="T304" s="296"/>
      <c r="X304" s="176"/>
      <c r="Y304" s="347" t="s">
        <v>628</v>
      </c>
      <c r="Z304" s="296"/>
      <c r="AA304" s="296"/>
      <c r="AN304" s="807" t="s">
        <v>1001</v>
      </c>
    </row>
    <row r="305" spans="1:166" ht="3.75" customHeight="1" thickBot="1" x14ac:dyDescent="0.3">
      <c r="A305" s="269"/>
      <c r="B305" s="120"/>
      <c r="C305" s="120"/>
      <c r="D305" s="120"/>
      <c r="E305" s="120"/>
      <c r="F305" s="276"/>
      <c r="G305" s="296"/>
      <c r="H305" s="296"/>
      <c r="I305" s="296"/>
      <c r="J305" s="296"/>
      <c r="K305" s="296"/>
      <c r="L305" s="296"/>
      <c r="M305" s="296"/>
      <c r="N305" s="296"/>
      <c r="O305" s="296"/>
      <c r="P305" s="296"/>
      <c r="Q305" s="296"/>
      <c r="R305" s="296"/>
      <c r="S305" s="296"/>
      <c r="T305" s="296"/>
      <c r="X305" s="176"/>
      <c r="Y305" s="296"/>
      <c r="Z305" s="296"/>
      <c r="AA305" s="296"/>
      <c r="AE305" s="2396" t="s">
        <v>11</v>
      </c>
      <c r="AF305" s="2396"/>
      <c r="AG305" s="2396" t="s">
        <v>773</v>
      </c>
      <c r="AH305" s="2396"/>
      <c r="AI305" s="2604" t="s">
        <v>11</v>
      </c>
      <c r="AJ305" s="2661"/>
      <c r="AK305" s="2661" t="s">
        <v>773</v>
      </c>
      <c r="AL305" s="2661"/>
    </row>
    <row r="306" spans="1:166" ht="18" x14ac:dyDescent="0.35">
      <c r="A306" s="569" t="s">
        <v>743</v>
      </c>
      <c r="B306" s="500"/>
      <c r="C306" s="500"/>
      <c r="D306" s="2777" t="s">
        <v>8756</v>
      </c>
      <c r="E306" s="572" t="s">
        <v>579</v>
      </c>
      <c r="F306" s="497" t="s">
        <v>275</v>
      </c>
      <c r="G306" s="497" t="s">
        <v>276</v>
      </c>
      <c r="H306" s="2411" t="s">
        <v>577</v>
      </c>
      <c r="I306" s="2412"/>
      <c r="J306" s="498" t="s">
        <v>4</v>
      </c>
      <c r="K306" s="2411" t="s">
        <v>736</v>
      </c>
      <c r="L306" s="2412"/>
      <c r="M306" s="499" t="s">
        <v>742</v>
      </c>
      <c r="N306" s="4"/>
      <c r="O306" s="343"/>
      <c r="R306" s="273" t="s">
        <v>198</v>
      </c>
      <c r="S306" s="273" t="s">
        <v>277</v>
      </c>
      <c r="T306" s="273" t="s">
        <v>4</v>
      </c>
      <c r="U306" s="273" t="s">
        <v>427</v>
      </c>
      <c r="V306" s="272" t="s">
        <v>428</v>
      </c>
      <c r="W306" s="807" t="s">
        <v>634</v>
      </c>
      <c r="X306" s="808" t="s">
        <v>1000</v>
      </c>
      <c r="Y306" s="273" t="s">
        <v>198</v>
      </c>
      <c r="Z306" s="273" t="s">
        <v>277</v>
      </c>
      <c r="AA306" s="273" t="s">
        <v>4</v>
      </c>
      <c r="AB306" s="273" t="s">
        <v>427</v>
      </c>
      <c r="AC306" s="272" t="s">
        <v>428</v>
      </c>
      <c r="AD306" s="263" t="s">
        <v>774</v>
      </c>
      <c r="AE306" s="263" t="s">
        <v>4</v>
      </c>
      <c r="AF306" s="263" t="s">
        <v>776</v>
      </c>
      <c r="AG306" s="263" t="s">
        <v>4</v>
      </c>
      <c r="AH306" s="263" t="s">
        <v>776</v>
      </c>
      <c r="AI306" s="595" t="s">
        <v>5</v>
      </c>
      <c r="AJ306" s="596" t="s">
        <v>787</v>
      </c>
      <c r="AK306" s="595" t="s">
        <v>5</v>
      </c>
      <c r="AL306" s="596" t="s">
        <v>787</v>
      </c>
      <c r="AN306" s="807" t="s">
        <v>1002</v>
      </c>
      <c r="AP306" s="807" t="s">
        <v>1003</v>
      </c>
    </row>
    <row r="307" spans="1:166" ht="15.75" thickBot="1" x14ac:dyDescent="0.3">
      <c r="A307" s="570" t="s">
        <v>578</v>
      </c>
      <c r="B307" s="502"/>
      <c r="C307" s="502"/>
      <c r="D307" s="2778"/>
      <c r="E307" s="571"/>
      <c r="F307" s="707" t="s">
        <v>430</v>
      </c>
      <c r="G307" s="694" t="s">
        <v>34</v>
      </c>
      <c r="H307" s="2775" t="s">
        <v>576</v>
      </c>
      <c r="I307" s="2776"/>
      <c r="J307" s="2599" t="s">
        <v>238</v>
      </c>
      <c r="K307" s="2600"/>
      <c r="L307" s="2600"/>
      <c r="M307" s="2601"/>
      <c r="N307" s="4"/>
      <c r="O307" s="343"/>
      <c r="R307" s="286" t="s">
        <v>569</v>
      </c>
      <c r="S307" s="286"/>
      <c r="T307" s="286"/>
      <c r="U307" s="286"/>
      <c r="V307" s="299"/>
      <c r="W307" s="807" t="s">
        <v>220</v>
      </c>
      <c r="X307" s="808" t="s">
        <v>220</v>
      </c>
      <c r="Y307" s="286" t="s">
        <v>569</v>
      </c>
      <c r="Z307" s="286"/>
      <c r="AA307" s="286"/>
      <c r="AB307" s="286"/>
      <c r="AC307" s="299"/>
      <c r="AD307" s="263" t="s">
        <v>775</v>
      </c>
      <c r="AE307" s="263" t="s">
        <v>220</v>
      </c>
      <c r="AF307" s="263" t="s">
        <v>220</v>
      </c>
      <c r="AG307" s="263" t="s">
        <v>220</v>
      </c>
      <c r="AH307" s="263" t="s">
        <v>220</v>
      </c>
      <c r="AI307" s="595" t="s">
        <v>220</v>
      </c>
      <c r="AJ307" s="596" t="s">
        <v>220</v>
      </c>
      <c r="AK307" s="596" t="s">
        <v>220</v>
      </c>
      <c r="AL307" s="596" t="s">
        <v>220</v>
      </c>
      <c r="AN307" s="807" t="s">
        <v>4</v>
      </c>
      <c r="AO307" s="807"/>
      <c r="AP307" s="807" t="s">
        <v>4</v>
      </c>
      <c r="AQ307" s="807" t="s">
        <v>895</v>
      </c>
      <c r="FJ307" s="2040"/>
    </row>
    <row r="308" spans="1:166" ht="15.75" customHeight="1" x14ac:dyDescent="0.2">
      <c r="A308" s="2745"/>
      <c r="B308" s="2746"/>
      <c r="C308" s="2747"/>
      <c r="D308" s="608"/>
      <c r="E308" s="609"/>
      <c r="F308" s="1865"/>
      <c r="G308" s="1923"/>
      <c r="H308" s="2561"/>
      <c r="I308" s="2562"/>
      <c r="J308" s="1864"/>
      <c r="K308" s="2449"/>
      <c r="L308" s="2450"/>
      <c r="M308" s="1548"/>
      <c r="N308" s="117"/>
      <c r="O308" s="343"/>
      <c r="P308" s="146" t="b">
        <v>0</v>
      </c>
      <c r="Q308" s="92">
        <f>IF(P308=TRUE,1,0)</f>
        <v>0</v>
      </c>
      <c r="R308" s="282">
        <f>+F308*G308/100*Q308</f>
        <v>0</v>
      </c>
      <c r="S308" s="282">
        <f>+F308*(100-G308)/100*Q308</f>
        <v>0</v>
      </c>
      <c r="T308" s="283">
        <f>+J308*$F308/1000*Q308</f>
        <v>0</v>
      </c>
      <c r="U308" s="283">
        <f>+K308*$F308/1000*Q308</f>
        <v>0</v>
      </c>
      <c r="V308" s="284">
        <f>+M308*$F308/1000*Q308</f>
        <v>0</v>
      </c>
      <c r="W308" s="146">
        <f>T308*$R$98</f>
        <v>0</v>
      </c>
      <c r="X308" s="176">
        <f>U308*$S$98</f>
        <v>0</v>
      </c>
      <c r="Y308" s="282">
        <f t="shared" ref="Y308:Y337" si="235">+(F308*G308/100)-R308</f>
        <v>0</v>
      </c>
      <c r="Z308" s="282">
        <f t="shared" ref="Z308:Z337" si="236">+(F308*(100-G308)/100)-S308</f>
        <v>0</v>
      </c>
      <c r="AA308" s="456">
        <f t="shared" ref="AA308:AA337" si="237">+(J308*$F308/1000)-T308</f>
        <v>0</v>
      </c>
      <c r="AB308" s="283">
        <f t="shared" ref="AB308:AB337" si="238">+(K308*$F308/1000)-U308</f>
        <v>0</v>
      </c>
      <c r="AC308" s="284">
        <f t="shared" ref="AC308:AC337" si="239">+(M308*$F308/1000)-V308</f>
        <v>0</v>
      </c>
      <c r="AD308" s="146">
        <v>1</v>
      </c>
      <c r="AE308" s="146">
        <f t="shared" ref="AE308:AE337" si="240">IF(Q308=0,IF(AD308=3,AA308*AF308,0),0)</f>
        <v>0</v>
      </c>
      <c r="AF308" s="146">
        <f>IF(J97=0,0,J98/J97)</f>
        <v>0</v>
      </c>
      <c r="AG308" s="146">
        <f t="shared" ref="AG308:AG337" si="241">IF(Q308=0,IF(AD308=1,AA308*AH308,0),0)</f>
        <v>0</v>
      </c>
      <c r="AH308" s="146">
        <f>IF(J93=0,0,J94/G41)</f>
        <v>0</v>
      </c>
      <c r="AI308" s="174">
        <f>IF(Q308=0,IF(AD308=3,AB308*AJ308,0),0)</f>
        <v>0</v>
      </c>
      <c r="AJ308" s="175">
        <f>IF(K97=0,0,K98/K97)</f>
        <v>0</v>
      </c>
      <c r="AK308" s="175">
        <f>IF(Q308=0,IF(AD308=1,AB308*AL308,0),0)</f>
        <v>0</v>
      </c>
      <c r="AL308" s="175">
        <f>IF(N93=0,0,N94/K41)</f>
        <v>0</v>
      </c>
      <c r="AN308" s="146">
        <f>IF(Q308=0,IF(AD308=3,AA308*(1-AF308),IF(AD308=2,AA308,0)),0)</f>
        <v>0</v>
      </c>
      <c r="AP308" s="146">
        <f>IF(Q308=1,IF(AD308=3,T308*(1-AF308),IF(AD308=2,T308,0)),0)</f>
        <v>0</v>
      </c>
      <c r="AQ308" s="146">
        <f>IF(Q308=1,IF(AD308=3,U308*(1-AJ308),IF(AD308=2,U308,0)),0)</f>
        <v>0</v>
      </c>
    </row>
    <row r="309" spans="1:166" ht="15.75" customHeight="1" x14ac:dyDescent="0.2">
      <c r="A309" s="2413"/>
      <c r="B309" s="2414"/>
      <c r="C309" s="2414"/>
      <c r="D309" s="610"/>
      <c r="E309" s="611"/>
      <c r="F309" s="1528"/>
      <c r="G309" s="1528"/>
      <c r="H309" s="2294"/>
      <c r="I309" s="2295"/>
      <c r="J309" s="1863"/>
      <c r="K309" s="2288"/>
      <c r="L309" s="2289"/>
      <c r="M309" s="1550"/>
      <c r="N309" s="117"/>
      <c r="O309" s="343"/>
      <c r="P309" s="146" t="b">
        <v>0</v>
      </c>
      <c r="Q309" s="92">
        <f>IF(P309=TRUE,1,0)</f>
        <v>0</v>
      </c>
      <c r="R309" s="282">
        <f>+F309*G309/100*Q309</f>
        <v>0</v>
      </c>
      <c r="S309" s="282">
        <f>+F309*(100-G309)/100*Q309</f>
        <v>0</v>
      </c>
      <c r="T309" s="283">
        <f>+J309*$F309/1000*Q309</f>
        <v>0</v>
      </c>
      <c r="U309" s="283">
        <f>+K309*$F309/1000*Q309</f>
        <v>0</v>
      </c>
      <c r="V309" s="284">
        <f>+M309*$F309/1000*Q309</f>
        <v>0</v>
      </c>
      <c r="W309" s="146">
        <f t="shared" ref="W309:W337" si="242">T309*$R$98</f>
        <v>0</v>
      </c>
      <c r="X309" s="176">
        <f t="shared" ref="X309:X337" si="243">U309*$S$98</f>
        <v>0</v>
      </c>
      <c r="Y309" s="282">
        <f t="shared" si="235"/>
        <v>0</v>
      </c>
      <c r="Z309" s="282">
        <f t="shared" si="236"/>
        <v>0</v>
      </c>
      <c r="AA309" s="455">
        <f t="shared" si="237"/>
        <v>0</v>
      </c>
      <c r="AB309" s="283">
        <f t="shared" si="238"/>
        <v>0</v>
      </c>
      <c r="AC309" s="284">
        <f t="shared" si="239"/>
        <v>0</v>
      </c>
      <c r="AD309" s="146">
        <v>1</v>
      </c>
      <c r="AE309" s="146">
        <f t="shared" si="240"/>
        <v>0</v>
      </c>
      <c r="AF309" s="146">
        <f>+AF308</f>
        <v>0</v>
      </c>
      <c r="AG309" s="146">
        <f t="shared" si="241"/>
        <v>0</v>
      </c>
      <c r="AH309" s="146">
        <f>+AH308</f>
        <v>0</v>
      </c>
      <c r="AI309" s="174">
        <f t="shared" ref="AI309:AI337" si="244">IF(Q309=0,IF(AD309=3,AB309*AJ309,0),0)</f>
        <v>0</v>
      </c>
      <c r="AJ309" s="175">
        <f>+AJ308</f>
        <v>0</v>
      </c>
      <c r="AK309" s="175">
        <f t="shared" ref="AK309:AK337" si="245">IF(Q309=0,IF(AD309=1,AB309*AL309,0),0)</f>
        <v>0</v>
      </c>
      <c r="AL309" s="175">
        <f>+AL308</f>
        <v>0</v>
      </c>
      <c r="AN309" s="146">
        <f t="shared" ref="AN309:AN337" si="246">IF(Q309=0,IF(AD309=3,AA309*(1-AF309),IF(AD309=2,AA309,0)),0)</f>
        <v>0</v>
      </c>
      <c r="AP309" s="146">
        <f>IF(Q309=1,IF(AD309=3,T309*(1-AF309),IF(AD309=2,T309,0)),0)</f>
        <v>0</v>
      </c>
      <c r="AQ309" s="146">
        <f t="shared" ref="AQ309:AQ337" si="247">IF(Q309=1,IF(AD309=3,U309*(1-AJ309),IF(AD309=2,U309,0)),0)</f>
        <v>0</v>
      </c>
    </row>
    <row r="310" spans="1:166" ht="15.75" customHeight="1" x14ac:dyDescent="0.2">
      <c r="A310" s="2413"/>
      <c r="B310" s="2414"/>
      <c r="C310" s="2414"/>
      <c r="D310" s="610"/>
      <c r="E310" s="611"/>
      <c r="F310" s="1528"/>
      <c r="G310" s="1528"/>
      <c r="H310" s="2294"/>
      <c r="I310" s="2295"/>
      <c r="J310" s="1863"/>
      <c r="K310" s="2288"/>
      <c r="L310" s="2289"/>
      <c r="M310" s="1550"/>
      <c r="N310" s="117"/>
      <c r="O310" s="343"/>
      <c r="P310" s="146" t="b">
        <v>0</v>
      </c>
      <c r="Q310" s="92">
        <f>IF(P310=TRUE,1,0)</f>
        <v>0</v>
      </c>
      <c r="R310" s="282">
        <f>+F310*G310/100*Q310</f>
        <v>0</v>
      </c>
      <c r="S310" s="282">
        <f>+F310*(100-G310)/100*Q310</f>
        <v>0</v>
      </c>
      <c r="T310" s="283">
        <f>+J310*$F310/1000*Q310</f>
        <v>0</v>
      </c>
      <c r="U310" s="283">
        <f>+K310*$F310/1000*Q310</f>
        <v>0</v>
      </c>
      <c r="V310" s="284">
        <f>+M310*$F310/1000*Q310</f>
        <v>0</v>
      </c>
      <c r="W310" s="146">
        <f t="shared" si="242"/>
        <v>0</v>
      </c>
      <c r="X310" s="176">
        <f t="shared" si="243"/>
        <v>0</v>
      </c>
      <c r="Y310" s="282">
        <f t="shared" si="235"/>
        <v>0</v>
      </c>
      <c r="Z310" s="282">
        <f t="shared" si="236"/>
        <v>0</v>
      </c>
      <c r="AA310" s="283">
        <f t="shared" si="237"/>
        <v>0</v>
      </c>
      <c r="AB310" s="283">
        <f t="shared" si="238"/>
        <v>0</v>
      </c>
      <c r="AC310" s="284">
        <f t="shared" si="239"/>
        <v>0</v>
      </c>
      <c r="AD310" s="146">
        <v>1</v>
      </c>
      <c r="AE310" s="146">
        <f t="shared" si="240"/>
        <v>0</v>
      </c>
      <c r="AF310" s="146">
        <f t="shared" ref="AF310:AF337" si="248">+AF309</f>
        <v>0</v>
      </c>
      <c r="AG310" s="146">
        <f t="shared" si="241"/>
        <v>0</v>
      </c>
      <c r="AH310" s="146">
        <f t="shared" ref="AH310:AH337" si="249">+AH309</f>
        <v>0</v>
      </c>
      <c r="AI310" s="174">
        <f t="shared" si="244"/>
        <v>0</v>
      </c>
      <c r="AJ310" s="175">
        <f t="shared" ref="AJ310:AJ337" si="250">+AJ309</f>
        <v>0</v>
      </c>
      <c r="AK310" s="175">
        <f t="shared" si="245"/>
        <v>0</v>
      </c>
      <c r="AL310" s="175">
        <f t="shared" ref="AL310:AL337" si="251">+AL309</f>
        <v>0</v>
      </c>
      <c r="AN310" s="146">
        <f t="shared" si="246"/>
        <v>0</v>
      </c>
      <c r="AP310" s="146">
        <f t="shared" ref="AP310:AP337" si="252">IF(Q310=1,IF(AD310=3,T310*(1-AF310),IF(AD310=2,T310,0)),0)</f>
        <v>0</v>
      </c>
      <c r="AQ310" s="146">
        <f t="shared" si="247"/>
        <v>0</v>
      </c>
    </row>
    <row r="311" spans="1:166" ht="15.75" customHeight="1" x14ac:dyDescent="0.2">
      <c r="A311" s="2413"/>
      <c r="B311" s="2414"/>
      <c r="C311" s="2414"/>
      <c r="D311" s="610"/>
      <c r="E311" s="611"/>
      <c r="F311" s="1528"/>
      <c r="G311" s="1528"/>
      <c r="H311" s="2294"/>
      <c r="I311" s="2295"/>
      <c r="J311" s="1863"/>
      <c r="K311" s="2288"/>
      <c r="L311" s="2289"/>
      <c r="M311" s="1550"/>
      <c r="N311" s="117"/>
      <c r="O311" s="343"/>
      <c r="P311" s="146" t="b">
        <v>0</v>
      </c>
      <c r="Q311" s="92">
        <f t="shared" ref="Q311:Q337" si="253">IF(P311=TRUE,1,0)</f>
        <v>0</v>
      </c>
      <c r="R311" s="282">
        <f t="shared" ref="R311:R337" si="254">+F311*G311/100*Q311</f>
        <v>0</v>
      </c>
      <c r="S311" s="282">
        <f t="shared" ref="S311:S337" si="255">+F311*(100-G311)/100*Q311</f>
        <v>0</v>
      </c>
      <c r="T311" s="283">
        <f t="shared" ref="T311:T337" si="256">+J311*$F311/1000*Q311</f>
        <v>0</v>
      </c>
      <c r="U311" s="283">
        <f t="shared" ref="U311:U337" si="257">+K311*$F311/1000*Q311</f>
        <v>0</v>
      </c>
      <c r="V311" s="284">
        <f t="shared" ref="V311:V337" si="258">+M311*$F311/1000*Q311</f>
        <v>0</v>
      </c>
      <c r="W311" s="146">
        <f t="shared" si="242"/>
        <v>0</v>
      </c>
      <c r="X311" s="176">
        <f t="shared" si="243"/>
        <v>0</v>
      </c>
      <c r="Y311" s="282">
        <f t="shared" si="235"/>
        <v>0</v>
      </c>
      <c r="Z311" s="282">
        <f t="shared" si="236"/>
        <v>0</v>
      </c>
      <c r="AA311" s="283">
        <f t="shared" si="237"/>
        <v>0</v>
      </c>
      <c r="AB311" s="283">
        <f t="shared" si="238"/>
        <v>0</v>
      </c>
      <c r="AC311" s="284">
        <f t="shared" si="239"/>
        <v>0</v>
      </c>
      <c r="AD311" s="146">
        <v>1</v>
      </c>
      <c r="AE311" s="146">
        <f t="shared" si="240"/>
        <v>0</v>
      </c>
      <c r="AF311" s="146">
        <f t="shared" si="248"/>
        <v>0</v>
      </c>
      <c r="AG311" s="146">
        <f t="shared" si="241"/>
        <v>0</v>
      </c>
      <c r="AH311" s="146">
        <f t="shared" si="249"/>
        <v>0</v>
      </c>
      <c r="AI311" s="174">
        <f t="shared" si="244"/>
        <v>0</v>
      </c>
      <c r="AJ311" s="175">
        <f t="shared" si="250"/>
        <v>0</v>
      </c>
      <c r="AK311" s="175">
        <f t="shared" si="245"/>
        <v>0</v>
      </c>
      <c r="AL311" s="175">
        <f t="shared" si="251"/>
        <v>0</v>
      </c>
      <c r="AN311" s="146">
        <f t="shared" si="246"/>
        <v>0</v>
      </c>
      <c r="AP311" s="146">
        <f t="shared" si="252"/>
        <v>0</v>
      </c>
      <c r="AQ311" s="146">
        <f t="shared" si="247"/>
        <v>0</v>
      </c>
    </row>
    <row r="312" spans="1:166" ht="15.75" customHeight="1" x14ac:dyDescent="0.2">
      <c r="A312" s="2413"/>
      <c r="B312" s="2414"/>
      <c r="C312" s="2414"/>
      <c r="D312" s="610"/>
      <c r="E312" s="611"/>
      <c r="F312" s="1528"/>
      <c r="G312" s="1528"/>
      <c r="H312" s="2294"/>
      <c r="I312" s="2295"/>
      <c r="J312" s="1863"/>
      <c r="K312" s="2288"/>
      <c r="L312" s="2289"/>
      <c r="M312" s="1550"/>
      <c r="N312" s="117"/>
      <c r="O312" s="343"/>
      <c r="P312" s="146" t="b">
        <v>0</v>
      </c>
      <c r="Q312" s="92">
        <f t="shared" si="253"/>
        <v>0</v>
      </c>
      <c r="R312" s="282">
        <f t="shared" si="254"/>
        <v>0</v>
      </c>
      <c r="S312" s="282">
        <f t="shared" si="255"/>
        <v>0</v>
      </c>
      <c r="T312" s="283">
        <f t="shared" si="256"/>
        <v>0</v>
      </c>
      <c r="U312" s="283">
        <f t="shared" si="257"/>
        <v>0</v>
      </c>
      <c r="V312" s="284">
        <f t="shared" si="258"/>
        <v>0</v>
      </c>
      <c r="W312" s="146">
        <f t="shared" si="242"/>
        <v>0</v>
      </c>
      <c r="X312" s="176">
        <f t="shared" si="243"/>
        <v>0</v>
      </c>
      <c r="Y312" s="282">
        <f t="shared" si="235"/>
        <v>0</v>
      </c>
      <c r="Z312" s="282">
        <f t="shared" si="236"/>
        <v>0</v>
      </c>
      <c r="AA312" s="283">
        <f t="shared" si="237"/>
        <v>0</v>
      </c>
      <c r="AB312" s="283">
        <f t="shared" si="238"/>
        <v>0</v>
      </c>
      <c r="AC312" s="284">
        <f t="shared" si="239"/>
        <v>0</v>
      </c>
      <c r="AD312" s="146">
        <v>1</v>
      </c>
      <c r="AE312" s="146">
        <f t="shared" si="240"/>
        <v>0</v>
      </c>
      <c r="AF312" s="146">
        <f t="shared" si="248"/>
        <v>0</v>
      </c>
      <c r="AG312" s="146">
        <f t="shared" si="241"/>
        <v>0</v>
      </c>
      <c r="AH312" s="146">
        <f t="shared" si="249"/>
        <v>0</v>
      </c>
      <c r="AI312" s="174">
        <f t="shared" si="244"/>
        <v>0</v>
      </c>
      <c r="AJ312" s="175">
        <f t="shared" si="250"/>
        <v>0</v>
      </c>
      <c r="AK312" s="175">
        <f t="shared" si="245"/>
        <v>0</v>
      </c>
      <c r="AL312" s="175">
        <f t="shared" si="251"/>
        <v>0</v>
      </c>
      <c r="AN312" s="146">
        <f t="shared" si="246"/>
        <v>0</v>
      </c>
      <c r="AP312" s="146">
        <f t="shared" si="252"/>
        <v>0</v>
      </c>
      <c r="AQ312" s="146">
        <f t="shared" si="247"/>
        <v>0</v>
      </c>
    </row>
    <row r="313" spans="1:166" ht="15.75" customHeight="1" x14ac:dyDescent="0.2">
      <c r="A313" s="2413"/>
      <c r="B313" s="2414"/>
      <c r="C313" s="2414"/>
      <c r="D313" s="610"/>
      <c r="E313" s="611"/>
      <c r="F313" s="1528"/>
      <c r="G313" s="1528"/>
      <c r="H313" s="2294"/>
      <c r="I313" s="2295"/>
      <c r="J313" s="1863"/>
      <c r="K313" s="2288"/>
      <c r="L313" s="2289"/>
      <c r="M313" s="1550"/>
      <c r="N313" s="117"/>
      <c r="O313" s="343"/>
      <c r="P313" s="146" t="b">
        <v>0</v>
      </c>
      <c r="Q313" s="92">
        <f t="shared" si="253"/>
        <v>0</v>
      </c>
      <c r="R313" s="282">
        <f t="shared" si="254"/>
        <v>0</v>
      </c>
      <c r="S313" s="282">
        <f t="shared" si="255"/>
        <v>0</v>
      </c>
      <c r="T313" s="283">
        <f t="shared" si="256"/>
        <v>0</v>
      </c>
      <c r="U313" s="283">
        <f t="shared" si="257"/>
        <v>0</v>
      </c>
      <c r="V313" s="284">
        <f t="shared" si="258"/>
        <v>0</v>
      </c>
      <c r="W313" s="146">
        <f t="shared" si="242"/>
        <v>0</v>
      </c>
      <c r="X313" s="176">
        <f t="shared" si="243"/>
        <v>0</v>
      </c>
      <c r="Y313" s="282">
        <f t="shared" si="235"/>
        <v>0</v>
      </c>
      <c r="Z313" s="282">
        <f t="shared" si="236"/>
        <v>0</v>
      </c>
      <c r="AA313" s="283">
        <f t="shared" si="237"/>
        <v>0</v>
      </c>
      <c r="AB313" s="283">
        <f t="shared" si="238"/>
        <v>0</v>
      </c>
      <c r="AC313" s="284">
        <f t="shared" si="239"/>
        <v>0</v>
      </c>
      <c r="AD313" s="146">
        <v>1</v>
      </c>
      <c r="AE313" s="146">
        <f t="shared" si="240"/>
        <v>0</v>
      </c>
      <c r="AF313" s="146">
        <f t="shared" si="248"/>
        <v>0</v>
      </c>
      <c r="AG313" s="146">
        <f t="shared" si="241"/>
        <v>0</v>
      </c>
      <c r="AH313" s="146">
        <f t="shared" si="249"/>
        <v>0</v>
      </c>
      <c r="AI313" s="174">
        <f t="shared" si="244"/>
        <v>0</v>
      </c>
      <c r="AJ313" s="175">
        <f t="shared" si="250"/>
        <v>0</v>
      </c>
      <c r="AK313" s="175">
        <f t="shared" si="245"/>
        <v>0</v>
      </c>
      <c r="AL313" s="175">
        <f t="shared" si="251"/>
        <v>0</v>
      </c>
      <c r="AN313" s="146">
        <f t="shared" si="246"/>
        <v>0</v>
      </c>
      <c r="AP313" s="146">
        <f t="shared" si="252"/>
        <v>0</v>
      </c>
      <c r="AQ313" s="146">
        <f t="shared" si="247"/>
        <v>0</v>
      </c>
    </row>
    <row r="314" spans="1:166" ht="15.75" customHeight="1" x14ac:dyDescent="0.2">
      <c r="A314" s="2413"/>
      <c r="B314" s="2414"/>
      <c r="C314" s="2414"/>
      <c r="D314" s="610"/>
      <c r="E314" s="611"/>
      <c r="F314" s="1528"/>
      <c r="G314" s="1528"/>
      <c r="H314" s="2294"/>
      <c r="I314" s="2295"/>
      <c r="J314" s="1863"/>
      <c r="K314" s="2288"/>
      <c r="L314" s="2289"/>
      <c r="M314" s="1550"/>
      <c r="N314" s="117"/>
      <c r="O314" s="343"/>
      <c r="P314" s="146" t="b">
        <v>0</v>
      </c>
      <c r="Q314" s="92">
        <f t="shared" si="253"/>
        <v>0</v>
      </c>
      <c r="R314" s="282">
        <f t="shared" si="254"/>
        <v>0</v>
      </c>
      <c r="S314" s="282">
        <f t="shared" si="255"/>
        <v>0</v>
      </c>
      <c r="T314" s="283">
        <f t="shared" si="256"/>
        <v>0</v>
      </c>
      <c r="U314" s="283">
        <f t="shared" si="257"/>
        <v>0</v>
      </c>
      <c r="V314" s="284">
        <f t="shared" si="258"/>
        <v>0</v>
      </c>
      <c r="W314" s="146">
        <f t="shared" si="242"/>
        <v>0</v>
      </c>
      <c r="X314" s="176">
        <f t="shared" si="243"/>
        <v>0</v>
      </c>
      <c r="Y314" s="282">
        <f t="shared" si="235"/>
        <v>0</v>
      </c>
      <c r="Z314" s="282">
        <f t="shared" si="236"/>
        <v>0</v>
      </c>
      <c r="AA314" s="283">
        <f t="shared" si="237"/>
        <v>0</v>
      </c>
      <c r="AB314" s="283">
        <f t="shared" si="238"/>
        <v>0</v>
      </c>
      <c r="AC314" s="284">
        <f t="shared" si="239"/>
        <v>0</v>
      </c>
      <c r="AD314" s="146">
        <v>1</v>
      </c>
      <c r="AE314" s="146">
        <f t="shared" si="240"/>
        <v>0</v>
      </c>
      <c r="AF314" s="146">
        <f t="shared" si="248"/>
        <v>0</v>
      </c>
      <c r="AG314" s="146">
        <f t="shared" si="241"/>
        <v>0</v>
      </c>
      <c r="AH314" s="146">
        <f t="shared" si="249"/>
        <v>0</v>
      </c>
      <c r="AI314" s="174">
        <f t="shared" si="244"/>
        <v>0</v>
      </c>
      <c r="AJ314" s="175">
        <f t="shared" si="250"/>
        <v>0</v>
      </c>
      <c r="AK314" s="175">
        <f t="shared" si="245"/>
        <v>0</v>
      </c>
      <c r="AL314" s="175">
        <f t="shared" si="251"/>
        <v>0</v>
      </c>
      <c r="AN314" s="146">
        <f t="shared" si="246"/>
        <v>0</v>
      </c>
      <c r="AP314" s="146">
        <f t="shared" si="252"/>
        <v>0</v>
      </c>
      <c r="AQ314" s="146">
        <f t="shared" si="247"/>
        <v>0</v>
      </c>
    </row>
    <row r="315" spans="1:166" ht="15.75" customHeight="1" x14ac:dyDescent="0.2">
      <c r="A315" s="2413"/>
      <c r="B315" s="2414"/>
      <c r="C315" s="2414"/>
      <c r="D315" s="610"/>
      <c r="E315" s="611"/>
      <c r="F315" s="1528"/>
      <c r="G315" s="1528"/>
      <c r="H315" s="2294"/>
      <c r="I315" s="2295"/>
      <c r="J315" s="1863"/>
      <c r="K315" s="2288"/>
      <c r="L315" s="2289"/>
      <c r="M315" s="1550"/>
      <c r="N315" s="117"/>
      <c r="O315" s="343"/>
      <c r="P315" s="146" t="b">
        <v>0</v>
      </c>
      <c r="Q315" s="92">
        <f t="shared" si="253"/>
        <v>0</v>
      </c>
      <c r="R315" s="282">
        <f t="shared" si="254"/>
        <v>0</v>
      </c>
      <c r="S315" s="282">
        <f t="shared" si="255"/>
        <v>0</v>
      </c>
      <c r="T315" s="283">
        <f t="shared" si="256"/>
        <v>0</v>
      </c>
      <c r="U315" s="283">
        <f t="shared" si="257"/>
        <v>0</v>
      </c>
      <c r="V315" s="284">
        <f t="shared" si="258"/>
        <v>0</v>
      </c>
      <c r="W315" s="146">
        <f t="shared" si="242"/>
        <v>0</v>
      </c>
      <c r="X315" s="176">
        <f t="shared" si="243"/>
        <v>0</v>
      </c>
      <c r="Y315" s="282">
        <f t="shared" si="235"/>
        <v>0</v>
      </c>
      <c r="Z315" s="282">
        <f t="shared" si="236"/>
        <v>0</v>
      </c>
      <c r="AA315" s="283">
        <f t="shared" si="237"/>
        <v>0</v>
      </c>
      <c r="AB315" s="283">
        <f t="shared" si="238"/>
        <v>0</v>
      </c>
      <c r="AC315" s="284">
        <f t="shared" si="239"/>
        <v>0</v>
      </c>
      <c r="AD315" s="146">
        <v>1</v>
      </c>
      <c r="AE315" s="146">
        <f t="shared" si="240"/>
        <v>0</v>
      </c>
      <c r="AF315" s="146">
        <f t="shared" si="248"/>
        <v>0</v>
      </c>
      <c r="AG315" s="146">
        <f t="shared" si="241"/>
        <v>0</v>
      </c>
      <c r="AH315" s="146">
        <f t="shared" si="249"/>
        <v>0</v>
      </c>
      <c r="AI315" s="174">
        <f t="shared" si="244"/>
        <v>0</v>
      </c>
      <c r="AJ315" s="175">
        <f t="shared" si="250"/>
        <v>0</v>
      </c>
      <c r="AK315" s="175">
        <f t="shared" si="245"/>
        <v>0</v>
      </c>
      <c r="AL315" s="175">
        <f t="shared" si="251"/>
        <v>0</v>
      </c>
      <c r="AN315" s="146">
        <f t="shared" si="246"/>
        <v>0</v>
      </c>
      <c r="AP315" s="146">
        <f t="shared" si="252"/>
        <v>0</v>
      </c>
      <c r="AQ315" s="146">
        <f t="shared" si="247"/>
        <v>0</v>
      </c>
    </row>
    <row r="316" spans="1:166" ht="15.75" customHeight="1" x14ac:dyDescent="0.2">
      <c r="A316" s="2413"/>
      <c r="B316" s="2414"/>
      <c r="C316" s="2414"/>
      <c r="D316" s="610"/>
      <c r="E316" s="611"/>
      <c r="F316" s="1528"/>
      <c r="G316" s="1528"/>
      <c r="H316" s="2294"/>
      <c r="I316" s="2295"/>
      <c r="J316" s="1863"/>
      <c r="K316" s="2288"/>
      <c r="L316" s="2289"/>
      <c r="M316" s="1550"/>
      <c r="N316" s="117"/>
      <c r="O316" s="343"/>
      <c r="P316" s="146" t="b">
        <v>0</v>
      </c>
      <c r="Q316" s="92">
        <f t="shared" si="253"/>
        <v>0</v>
      </c>
      <c r="R316" s="282">
        <f t="shared" si="254"/>
        <v>0</v>
      </c>
      <c r="S316" s="282">
        <f t="shared" si="255"/>
        <v>0</v>
      </c>
      <c r="T316" s="283">
        <f t="shared" si="256"/>
        <v>0</v>
      </c>
      <c r="U316" s="283">
        <f t="shared" si="257"/>
        <v>0</v>
      </c>
      <c r="V316" s="284">
        <f t="shared" si="258"/>
        <v>0</v>
      </c>
      <c r="W316" s="146">
        <f t="shared" si="242"/>
        <v>0</v>
      </c>
      <c r="X316" s="176">
        <f t="shared" si="243"/>
        <v>0</v>
      </c>
      <c r="Y316" s="282">
        <f t="shared" si="235"/>
        <v>0</v>
      </c>
      <c r="Z316" s="282">
        <f t="shared" si="236"/>
        <v>0</v>
      </c>
      <c r="AA316" s="283">
        <f t="shared" si="237"/>
        <v>0</v>
      </c>
      <c r="AB316" s="283">
        <f t="shared" si="238"/>
        <v>0</v>
      </c>
      <c r="AC316" s="284">
        <f t="shared" si="239"/>
        <v>0</v>
      </c>
      <c r="AD316" s="146">
        <v>1</v>
      </c>
      <c r="AE316" s="146">
        <f t="shared" si="240"/>
        <v>0</v>
      </c>
      <c r="AF316" s="146">
        <f t="shared" si="248"/>
        <v>0</v>
      </c>
      <c r="AG316" s="146">
        <f t="shared" si="241"/>
        <v>0</v>
      </c>
      <c r="AH316" s="146">
        <f t="shared" si="249"/>
        <v>0</v>
      </c>
      <c r="AI316" s="174">
        <f t="shared" si="244"/>
        <v>0</v>
      </c>
      <c r="AJ316" s="175">
        <f t="shared" si="250"/>
        <v>0</v>
      </c>
      <c r="AK316" s="175">
        <f t="shared" si="245"/>
        <v>0</v>
      </c>
      <c r="AL316" s="175">
        <f t="shared" si="251"/>
        <v>0</v>
      </c>
      <c r="AN316" s="146">
        <f t="shared" si="246"/>
        <v>0</v>
      </c>
      <c r="AP316" s="146">
        <f t="shared" si="252"/>
        <v>0</v>
      </c>
      <c r="AQ316" s="146">
        <f t="shared" si="247"/>
        <v>0</v>
      </c>
    </row>
    <row r="317" spans="1:166" ht="15.75" customHeight="1" x14ac:dyDescent="0.2">
      <c r="A317" s="2413"/>
      <c r="B317" s="2414"/>
      <c r="C317" s="2414"/>
      <c r="D317" s="610"/>
      <c r="E317" s="611"/>
      <c r="F317" s="1528"/>
      <c r="G317" s="1528"/>
      <c r="H317" s="2294"/>
      <c r="I317" s="2295"/>
      <c r="J317" s="1863"/>
      <c r="K317" s="2288"/>
      <c r="L317" s="2289"/>
      <c r="M317" s="1550"/>
      <c r="N317" s="117"/>
      <c r="O317" s="343"/>
      <c r="P317" s="146" t="b">
        <v>0</v>
      </c>
      <c r="Q317" s="92">
        <f t="shared" si="253"/>
        <v>0</v>
      </c>
      <c r="R317" s="282">
        <f t="shared" si="254"/>
        <v>0</v>
      </c>
      <c r="S317" s="282">
        <f t="shared" si="255"/>
        <v>0</v>
      </c>
      <c r="T317" s="283">
        <f t="shared" si="256"/>
        <v>0</v>
      </c>
      <c r="U317" s="283">
        <f t="shared" si="257"/>
        <v>0</v>
      </c>
      <c r="V317" s="284">
        <f t="shared" si="258"/>
        <v>0</v>
      </c>
      <c r="W317" s="146">
        <f t="shared" si="242"/>
        <v>0</v>
      </c>
      <c r="X317" s="176">
        <f t="shared" si="243"/>
        <v>0</v>
      </c>
      <c r="Y317" s="282">
        <f t="shared" si="235"/>
        <v>0</v>
      </c>
      <c r="Z317" s="282">
        <f t="shared" si="236"/>
        <v>0</v>
      </c>
      <c r="AA317" s="283">
        <f t="shared" si="237"/>
        <v>0</v>
      </c>
      <c r="AB317" s="283">
        <f t="shared" si="238"/>
        <v>0</v>
      </c>
      <c r="AC317" s="284">
        <f t="shared" si="239"/>
        <v>0</v>
      </c>
      <c r="AD317" s="146">
        <v>1</v>
      </c>
      <c r="AE317" s="146">
        <f t="shared" si="240"/>
        <v>0</v>
      </c>
      <c r="AF317" s="146">
        <f t="shared" si="248"/>
        <v>0</v>
      </c>
      <c r="AG317" s="146">
        <f t="shared" si="241"/>
        <v>0</v>
      </c>
      <c r="AH317" s="146">
        <f t="shared" si="249"/>
        <v>0</v>
      </c>
      <c r="AI317" s="174">
        <f t="shared" si="244"/>
        <v>0</v>
      </c>
      <c r="AJ317" s="175">
        <f t="shared" si="250"/>
        <v>0</v>
      </c>
      <c r="AK317" s="175">
        <f t="shared" si="245"/>
        <v>0</v>
      </c>
      <c r="AL317" s="175">
        <f t="shared" si="251"/>
        <v>0</v>
      </c>
      <c r="AN317" s="146">
        <f t="shared" si="246"/>
        <v>0</v>
      </c>
      <c r="AP317" s="146">
        <f t="shared" si="252"/>
        <v>0</v>
      </c>
      <c r="AQ317" s="146">
        <f t="shared" si="247"/>
        <v>0</v>
      </c>
    </row>
    <row r="318" spans="1:166" ht="15.75" customHeight="1" x14ac:dyDescent="0.2">
      <c r="A318" s="2413"/>
      <c r="B318" s="2414"/>
      <c r="C318" s="2414"/>
      <c r="D318" s="610"/>
      <c r="E318" s="611"/>
      <c r="F318" s="1528"/>
      <c r="G318" s="1528"/>
      <c r="H318" s="2294"/>
      <c r="I318" s="2295"/>
      <c r="J318" s="1863"/>
      <c r="K318" s="2288"/>
      <c r="L318" s="2289"/>
      <c r="M318" s="1550"/>
      <c r="N318" s="117"/>
      <c r="O318" s="343"/>
      <c r="P318" s="146" t="b">
        <v>0</v>
      </c>
      <c r="Q318" s="92">
        <f t="shared" si="253"/>
        <v>0</v>
      </c>
      <c r="R318" s="282">
        <f t="shared" si="254"/>
        <v>0</v>
      </c>
      <c r="S318" s="282">
        <f t="shared" si="255"/>
        <v>0</v>
      </c>
      <c r="T318" s="283">
        <f t="shared" si="256"/>
        <v>0</v>
      </c>
      <c r="U318" s="283">
        <f t="shared" si="257"/>
        <v>0</v>
      </c>
      <c r="V318" s="284">
        <f t="shared" si="258"/>
        <v>0</v>
      </c>
      <c r="W318" s="146">
        <f t="shared" si="242"/>
        <v>0</v>
      </c>
      <c r="X318" s="176">
        <f t="shared" si="243"/>
        <v>0</v>
      </c>
      <c r="Y318" s="282">
        <f t="shared" si="235"/>
        <v>0</v>
      </c>
      <c r="Z318" s="282">
        <f t="shared" si="236"/>
        <v>0</v>
      </c>
      <c r="AA318" s="283">
        <f t="shared" si="237"/>
        <v>0</v>
      </c>
      <c r="AB318" s="283">
        <f t="shared" si="238"/>
        <v>0</v>
      </c>
      <c r="AC318" s="284">
        <f t="shared" si="239"/>
        <v>0</v>
      </c>
      <c r="AD318" s="146">
        <v>1</v>
      </c>
      <c r="AE318" s="146">
        <f t="shared" si="240"/>
        <v>0</v>
      </c>
      <c r="AF318" s="146">
        <f t="shared" si="248"/>
        <v>0</v>
      </c>
      <c r="AG318" s="146">
        <f t="shared" si="241"/>
        <v>0</v>
      </c>
      <c r="AH318" s="146">
        <f t="shared" si="249"/>
        <v>0</v>
      </c>
      <c r="AI318" s="174">
        <f t="shared" si="244"/>
        <v>0</v>
      </c>
      <c r="AJ318" s="175">
        <f t="shared" si="250"/>
        <v>0</v>
      </c>
      <c r="AK318" s="175">
        <f t="shared" si="245"/>
        <v>0</v>
      </c>
      <c r="AL318" s="175">
        <f t="shared" si="251"/>
        <v>0</v>
      </c>
      <c r="AN318" s="146">
        <f t="shared" si="246"/>
        <v>0</v>
      </c>
      <c r="AP318" s="146">
        <f t="shared" si="252"/>
        <v>0</v>
      </c>
      <c r="AQ318" s="146">
        <f t="shared" si="247"/>
        <v>0</v>
      </c>
    </row>
    <row r="319" spans="1:166" ht="15.75" customHeight="1" x14ac:dyDescent="0.2">
      <c r="A319" s="2413"/>
      <c r="B319" s="2414"/>
      <c r="C319" s="2414"/>
      <c r="D319" s="610"/>
      <c r="E319" s="611"/>
      <c r="F319" s="1528"/>
      <c r="G319" s="1528"/>
      <c r="H319" s="2294"/>
      <c r="I319" s="2295"/>
      <c r="J319" s="1863"/>
      <c r="K319" s="2288"/>
      <c r="L319" s="2289"/>
      <c r="M319" s="1550"/>
      <c r="N319" s="117"/>
      <c r="O319" s="343"/>
      <c r="P319" s="146" t="b">
        <v>0</v>
      </c>
      <c r="Q319" s="92">
        <f t="shared" si="253"/>
        <v>0</v>
      </c>
      <c r="R319" s="282">
        <f t="shared" si="254"/>
        <v>0</v>
      </c>
      <c r="S319" s="282">
        <f t="shared" si="255"/>
        <v>0</v>
      </c>
      <c r="T319" s="283">
        <f t="shared" si="256"/>
        <v>0</v>
      </c>
      <c r="U319" s="283">
        <f t="shared" si="257"/>
        <v>0</v>
      </c>
      <c r="V319" s="284">
        <f t="shared" si="258"/>
        <v>0</v>
      </c>
      <c r="W319" s="146">
        <f t="shared" si="242"/>
        <v>0</v>
      </c>
      <c r="X319" s="176">
        <f t="shared" si="243"/>
        <v>0</v>
      </c>
      <c r="Y319" s="282">
        <f t="shared" si="235"/>
        <v>0</v>
      </c>
      <c r="Z319" s="282">
        <f t="shared" si="236"/>
        <v>0</v>
      </c>
      <c r="AA319" s="283">
        <f t="shared" si="237"/>
        <v>0</v>
      </c>
      <c r="AB319" s="283">
        <f t="shared" si="238"/>
        <v>0</v>
      </c>
      <c r="AC319" s="284">
        <f t="shared" si="239"/>
        <v>0</v>
      </c>
      <c r="AD319" s="146">
        <v>1</v>
      </c>
      <c r="AE319" s="146">
        <f t="shared" si="240"/>
        <v>0</v>
      </c>
      <c r="AF319" s="146">
        <f t="shared" si="248"/>
        <v>0</v>
      </c>
      <c r="AG319" s="146">
        <f t="shared" si="241"/>
        <v>0</v>
      </c>
      <c r="AH319" s="146">
        <f t="shared" si="249"/>
        <v>0</v>
      </c>
      <c r="AI319" s="174">
        <f t="shared" si="244"/>
        <v>0</v>
      </c>
      <c r="AJ319" s="175">
        <f t="shared" si="250"/>
        <v>0</v>
      </c>
      <c r="AK319" s="175">
        <f t="shared" si="245"/>
        <v>0</v>
      </c>
      <c r="AL319" s="175">
        <f t="shared" si="251"/>
        <v>0</v>
      </c>
      <c r="AN319" s="146">
        <f t="shared" si="246"/>
        <v>0</v>
      </c>
      <c r="AP319" s="146">
        <f t="shared" si="252"/>
        <v>0</v>
      </c>
      <c r="AQ319" s="146">
        <f t="shared" si="247"/>
        <v>0</v>
      </c>
    </row>
    <row r="320" spans="1:166" ht="15.75" customHeight="1" x14ac:dyDescent="0.2">
      <c r="A320" s="2413"/>
      <c r="B320" s="2414"/>
      <c r="C320" s="2414"/>
      <c r="D320" s="610"/>
      <c r="E320" s="611"/>
      <c r="F320" s="1528"/>
      <c r="G320" s="1528"/>
      <c r="H320" s="2294"/>
      <c r="I320" s="2295"/>
      <c r="J320" s="1863"/>
      <c r="K320" s="2288"/>
      <c r="L320" s="2289"/>
      <c r="M320" s="1550"/>
      <c r="N320" s="117"/>
      <c r="O320" s="343"/>
      <c r="P320" s="146" t="b">
        <v>0</v>
      </c>
      <c r="Q320" s="92">
        <f t="shared" si="253"/>
        <v>0</v>
      </c>
      <c r="R320" s="282">
        <f t="shared" si="254"/>
        <v>0</v>
      </c>
      <c r="S320" s="282">
        <f t="shared" si="255"/>
        <v>0</v>
      </c>
      <c r="T320" s="283">
        <f t="shared" si="256"/>
        <v>0</v>
      </c>
      <c r="U320" s="283">
        <f t="shared" si="257"/>
        <v>0</v>
      </c>
      <c r="V320" s="284">
        <f t="shared" si="258"/>
        <v>0</v>
      </c>
      <c r="W320" s="146">
        <f t="shared" si="242"/>
        <v>0</v>
      </c>
      <c r="X320" s="176">
        <f t="shared" si="243"/>
        <v>0</v>
      </c>
      <c r="Y320" s="282">
        <f t="shared" si="235"/>
        <v>0</v>
      </c>
      <c r="Z320" s="282">
        <f t="shared" si="236"/>
        <v>0</v>
      </c>
      <c r="AA320" s="283">
        <f t="shared" si="237"/>
        <v>0</v>
      </c>
      <c r="AB320" s="283">
        <f t="shared" si="238"/>
        <v>0</v>
      </c>
      <c r="AC320" s="284">
        <f t="shared" si="239"/>
        <v>0</v>
      </c>
      <c r="AD320" s="146">
        <v>1</v>
      </c>
      <c r="AE320" s="146">
        <f t="shared" si="240"/>
        <v>0</v>
      </c>
      <c r="AF320" s="146">
        <f t="shared" si="248"/>
        <v>0</v>
      </c>
      <c r="AG320" s="146">
        <f t="shared" si="241"/>
        <v>0</v>
      </c>
      <c r="AH320" s="146">
        <f t="shared" si="249"/>
        <v>0</v>
      </c>
      <c r="AI320" s="174">
        <f t="shared" si="244"/>
        <v>0</v>
      </c>
      <c r="AJ320" s="175">
        <f t="shared" si="250"/>
        <v>0</v>
      </c>
      <c r="AK320" s="175">
        <f t="shared" si="245"/>
        <v>0</v>
      </c>
      <c r="AL320" s="175">
        <f t="shared" si="251"/>
        <v>0</v>
      </c>
      <c r="AN320" s="146">
        <f t="shared" si="246"/>
        <v>0</v>
      </c>
      <c r="AP320" s="146">
        <f t="shared" si="252"/>
        <v>0</v>
      </c>
      <c r="AQ320" s="146">
        <f t="shared" si="247"/>
        <v>0</v>
      </c>
    </row>
    <row r="321" spans="1:43" ht="15.75" customHeight="1" x14ac:dyDescent="0.2">
      <c r="A321" s="2413"/>
      <c r="B321" s="2414"/>
      <c r="C321" s="2414"/>
      <c r="D321" s="610"/>
      <c r="E321" s="611"/>
      <c r="F321" s="1528"/>
      <c r="G321" s="1528"/>
      <c r="H321" s="2294"/>
      <c r="I321" s="2295"/>
      <c r="J321" s="1863"/>
      <c r="K321" s="2288"/>
      <c r="L321" s="2289"/>
      <c r="M321" s="1550"/>
      <c r="N321" s="117"/>
      <c r="O321" s="343"/>
      <c r="P321" s="146" t="b">
        <v>0</v>
      </c>
      <c r="Q321" s="92">
        <f t="shared" si="253"/>
        <v>0</v>
      </c>
      <c r="R321" s="282">
        <f t="shared" si="254"/>
        <v>0</v>
      </c>
      <c r="S321" s="282">
        <f t="shared" si="255"/>
        <v>0</v>
      </c>
      <c r="T321" s="283">
        <f t="shared" si="256"/>
        <v>0</v>
      </c>
      <c r="U321" s="283">
        <f t="shared" si="257"/>
        <v>0</v>
      </c>
      <c r="V321" s="284">
        <f t="shared" si="258"/>
        <v>0</v>
      </c>
      <c r="W321" s="146">
        <f t="shared" si="242"/>
        <v>0</v>
      </c>
      <c r="X321" s="176">
        <f t="shared" si="243"/>
        <v>0</v>
      </c>
      <c r="Y321" s="282">
        <f t="shared" si="235"/>
        <v>0</v>
      </c>
      <c r="Z321" s="282">
        <f t="shared" si="236"/>
        <v>0</v>
      </c>
      <c r="AA321" s="283">
        <f t="shared" si="237"/>
        <v>0</v>
      </c>
      <c r="AB321" s="283">
        <f t="shared" si="238"/>
        <v>0</v>
      </c>
      <c r="AC321" s="284">
        <f t="shared" si="239"/>
        <v>0</v>
      </c>
      <c r="AD321" s="146">
        <v>1</v>
      </c>
      <c r="AE321" s="146">
        <f t="shared" si="240"/>
        <v>0</v>
      </c>
      <c r="AF321" s="146">
        <f t="shared" si="248"/>
        <v>0</v>
      </c>
      <c r="AG321" s="146">
        <f t="shared" si="241"/>
        <v>0</v>
      </c>
      <c r="AH321" s="146">
        <f t="shared" si="249"/>
        <v>0</v>
      </c>
      <c r="AI321" s="174">
        <f t="shared" si="244"/>
        <v>0</v>
      </c>
      <c r="AJ321" s="175">
        <f t="shared" si="250"/>
        <v>0</v>
      </c>
      <c r="AK321" s="175">
        <f t="shared" si="245"/>
        <v>0</v>
      </c>
      <c r="AL321" s="175">
        <f t="shared" si="251"/>
        <v>0</v>
      </c>
      <c r="AN321" s="146">
        <f t="shared" si="246"/>
        <v>0</v>
      </c>
      <c r="AP321" s="146">
        <f t="shared" si="252"/>
        <v>0</v>
      </c>
      <c r="AQ321" s="146">
        <f t="shared" si="247"/>
        <v>0</v>
      </c>
    </row>
    <row r="322" spans="1:43" ht="15.75" customHeight="1" x14ac:dyDescent="0.2">
      <c r="A322" s="2413"/>
      <c r="B322" s="2414"/>
      <c r="C322" s="2414"/>
      <c r="D322" s="610"/>
      <c r="E322" s="611"/>
      <c r="F322" s="1528"/>
      <c r="G322" s="1528"/>
      <c r="H322" s="2294"/>
      <c r="I322" s="2295"/>
      <c r="J322" s="1863"/>
      <c r="K322" s="2288"/>
      <c r="L322" s="2289"/>
      <c r="M322" s="1550"/>
      <c r="N322" s="117"/>
      <c r="O322" s="343"/>
      <c r="P322" s="146" t="b">
        <v>0</v>
      </c>
      <c r="Q322" s="92">
        <f t="shared" si="253"/>
        <v>0</v>
      </c>
      <c r="R322" s="282">
        <f t="shared" si="254"/>
        <v>0</v>
      </c>
      <c r="S322" s="282">
        <f t="shared" si="255"/>
        <v>0</v>
      </c>
      <c r="T322" s="283">
        <f t="shared" si="256"/>
        <v>0</v>
      </c>
      <c r="U322" s="283">
        <f t="shared" si="257"/>
        <v>0</v>
      </c>
      <c r="V322" s="284">
        <f t="shared" si="258"/>
        <v>0</v>
      </c>
      <c r="W322" s="146">
        <f t="shared" si="242"/>
        <v>0</v>
      </c>
      <c r="X322" s="176">
        <f t="shared" si="243"/>
        <v>0</v>
      </c>
      <c r="Y322" s="282">
        <f t="shared" si="235"/>
        <v>0</v>
      </c>
      <c r="Z322" s="282">
        <f t="shared" si="236"/>
        <v>0</v>
      </c>
      <c r="AA322" s="283">
        <f t="shared" si="237"/>
        <v>0</v>
      </c>
      <c r="AB322" s="283">
        <f t="shared" si="238"/>
        <v>0</v>
      </c>
      <c r="AC322" s="284">
        <f t="shared" si="239"/>
        <v>0</v>
      </c>
      <c r="AD322" s="146">
        <v>1</v>
      </c>
      <c r="AE322" s="146">
        <f t="shared" si="240"/>
        <v>0</v>
      </c>
      <c r="AF322" s="146">
        <f t="shared" si="248"/>
        <v>0</v>
      </c>
      <c r="AG322" s="146">
        <f t="shared" si="241"/>
        <v>0</v>
      </c>
      <c r="AH322" s="146">
        <f t="shared" si="249"/>
        <v>0</v>
      </c>
      <c r="AI322" s="174">
        <f t="shared" si="244"/>
        <v>0</v>
      </c>
      <c r="AJ322" s="175">
        <f t="shared" si="250"/>
        <v>0</v>
      </c>
      <c r="AK322" s="175">
        <f t="shared" si="245"/>
        <v>0</v>
      </c>
      <c r="AL322" s="175">
        <f t="shared" si="251"/>
        <v>0</v>
      </c>
      <c r="AN322" s="146">
        <f t="shared" si="246"/>
        <v>0</v>
      </c>
      <c r="AP322" s="146">
        <f t="shared" si="252"/>
        <v>0</v>
      </c>
      <c r="AQ322" s="146">
        <f t="shared" si="247"/>
        <v>0</v>
      </c>
    </row>
    <row r="323" spans="1:43" ht="15.75" customHeight="1" x14ac:dyDescent="0.2">
      <c r="A323" s="2413"/>
      <c r="B323" s="2414"/>
      <c r="C323" s="2414"/>
      <c r="D323" s="610"/>
      <c r="E323" s="611"/>
      <c r="F323" s="1528"/>
      <c r="G323" s="1528"/>
      <c r="H323" s="2294"/>
      <c r="I323" s="2295"/>
      <c r="J323" s="1863"/>
      <c r="K323" s="2288"/>
      <c r="L323" s="2289"/>
      <c r="M323" s="1550"/>
      <c r="N323" s="117"/>
      <c r="O323" s="343"/>
      <c r="P323" s="146" t="b">
        <v>0</v>
      </c>
      <c r="Q323" s="92">
        <f t="shared" si="253"/>
        <v>0</v>
      </c>
      <c r="R323" s="282">
        <f t="shared" si="254"/>
        <v>0</v>
      </c>
      <c r="S323" s="282">
        <f t="shared" si="255"/>
        <v>0</v>
      </c>
      <c r="T323" s="283">
        <f t="shared" si="256"/>
        <v>0</v>
      </c>
      <c r="U323" s="283">
        <f t="shared" si="257"/>
        <v>0</v>
      </c>
      <c r="V323" s="284">
        <f t="shared" si="258"/>
        <v>0</v>
      </c>
      <c r="W323" s="146">
        <f t="shared" si="242"/>
        <v>0</v>
      </c>
      <c r="X323" s="176">
        <f t="shared" si="243"/>
        <v>0</v>
      </c>
      <c r="Y323" s="282">
        <f t="shared" si="235"/>
        <v>0</v>
      </c>
      <c r="Z323" s="282">
        <f t="shared" si="236"/>
        <v>0</v>
      </c>
      <c r="AA323" s="283">
        <f t="shared" si="237"/>
        <v>0</v>
      </c>
      <c r="AB323" s="283">
        <f t="shared" si="238"/>
        <v>0</v>
      </c>
      <c r="AC323" s="284">
        <f t="shared" si="239"/>
        <v>0</v>
      </c>
      <c r="AD323" s="146">
        <v>1</v>
      </c>
      <c r="AE323" s="146">
        <f t="shared" si="240"/>
        <v>0</v>
      </c>
      <c r="AF323" s="146">
        <f t="shared" si="248"/>
        <v>0</v>
      </c>
      <c r="AG323" s="146">
        <f t="shared" si="241"/>
        <v>0</v>
      </c>
      <c r="AH323" s="146">
        <f t="shared" si="249"/>
        <v>0</v>
      </c>
      <c r="AI323" s="174">
        <f t="shared" si="244"/>
        <v>0</v>
      </c>
      <c r="AJ323" s="175">
        <f t="shared" si="250"/>
        <v>0</v>
      </c>
      <c r="AK323" s="175">
        <f t="shared" si="245"/>
        <v>0</v>
      </c>
      <c r="AL323" s="175">
        <f t="shared" si="251"/>
        <v>0</v>
      </c>
      <c r="AN323" s="146">
        <f t="shared" si="246"/>
        <v>0</v>
      </c>
      <c r="AP323" s="146">
        <f t="shared" si="252"/>
        <v>0</v>
      </c>
      <c r="AQ323" s="146">
        <f t="shared" si="247"/>
        <v>0</v>
      </c>
    </row>
    <row r="324" spans="1:43" ht="15.75" customHeight="1" x14ac:dyDescent="0.2">
      <c r="A324" s="2413"/>
      <c r="B324" s="2414"/>
      <c r="C324" s="2414"/>
      <c r="D324" s="610"/>
      <c r="E324" s="611"/>
      <c r="F324" s="1528"/>
      <c r="G324" s="1528"/>
      <c r="H324" s="2294"/>
      <c r="I324" s="2295"/>
      <c r="J324" s="1863"/>
      <c r="K324" s="2288"/>
      <c r="L324" s="2289"/>
      <c r="M324" s="1550"/>
      <c r="N324" s="117"/>
      <c r="O324" s="343"/>
      <c r="P324" s="146" t="b">
        <v>0</v>
      </c>
      <c r="Q324" s="92">
        <f t="shared" si="253"/>
        <v>0</v>
      </c>
      <c r="R324" s="282">
        <f t="shared" si="254"/>
        <v>0</v>
      </c>
      <c r="S324" s="282">
        <f t="shared" si="255"/>
        <v>0</v>
      </c>
      <c r="T324" s="283">
        <f t="shared" si="256"/>
        <v>0</v>
      </c>
      <c r="U324" s="283">
        <f t="shared" si="257"/>
        <v>0</v>
      </c>
      <c r="V324" s="284">
        <f t="shared" si="258"/>
        <v>0</v>
      </c>
      <c r="W324" s="146">
        <f t="shared" si="242"/>
        <v>0</v>
      </c>
      <c r="X324" s="176">
        <f t="shared" si="243"/>
        <v>0</v>
      </c>
      <c r="Y324" s="282">
        <f t="shared" si="235"/>
        <v>0</v>
      </c>
      <c r="Z324" s="282">
        <f t="shared" si="236"/>
        <v>0</v>
      </c>
      <c r="AA324" s="283">
        <f t="shared" si="237"/>
        <v>0</v>
      </c>
      <c r="AB324" s="283">
        <f t="shared" si="238"/>
        <v>0</v>
      </c>
      <c r="AC324" s="284">
        <f t="shared" si="239"/>
        <v>0</v>
      </c>
      <c r="AD324" s="146">
        <v>1</v>
      </c>
      <c r="AE324" s="146">
        <f t="shared" si="240"/>
        <v>0</v>
      </c>
      <c r="AF324" s="146">
        <f t="shared" si="248"/>
        <v>0</v>
      </c>
      <c r="AG324" s="146">
        <f t="shared" si="241"/>
        <v>0</v>
      </c>
      <c r="AH324" s="146">
        <f t="shared" si="249"/>
        <v>0</v>
      </c>
      <c r="AI324" s="174">
        <f t="shared" si="244"/>
        <v>0</v>
      </c>
      <c r="AJ324" s="175">
        <f t="shared" si="250"/>
        <v>0</v>
      </c>
      <c r="AK324" s="175">
        <f t="shared" si="245"/>
        <v>0</v>
      </c>
      <c r="AL324" s="175">
        <f t="shared" si="251"/>
        <v>0</v>
      </c>
      <c r="AN324" s="146">
        <f t="shared" si="246"/>
        <v>0</v>
      </c>
      <c r="AP324" s="146">
        <f t="shared" si="252"/>
        <v>0</v>
      </c>
      <c r="AQ324" s="146">
        <f t="shared" si="247"/>
        <v>0</v>
      </c>
    </row>
    <row r="325" spans="1:43" ht="15.75" customHeight="1" x14ac:dyDescent="0.2">
      <c r="A325" s="2413"/>
      <c r="B325" s="2414"/>
      <c r="C325" s="2414"/>
      <c r="D325" s="610"/>
      <c r="E325" s="611"/>
      <c r="F325" s="1528"/>
      <c r="G325" s="1528"/>
      <c r="H325" s="2294"/>
      <c r="I325" s="2295"/>
      <c r="J325" s="1863"/>
      <c r="K325" s="2288"/>
      <c r="L325" s="2289"/>
      <c r="M325" s="1550"/>
      <c r="N325" s="117"/>
      <c r="O325" s="343"/>
      <c r="P325" s="146" t="b">
        <v>0</v>
      </c>
      <c r="Q325" s="92">
        <f t="shared" si="253"/>
        <v>0</v>
      </c>
      <c r="R325" s="282">
        <f t="shared" si="254"/>
        <v>0</v>
      </c>
      <c r="S325" s="282">
        <f t="shared" si="255"/>
        <v>0</v>
      </c>
      <c r="T325" s="283">
        <f t="shared" si="256"/>
        <v>0</v>
      </c>
      <c r="U325" s="283">
        <f t="shared" si="257"/>
        <v>0</v>
      </c>
      <c r="V325" s="284">
        <f t="shared" si="258"/>
        <v>0</v>
      </c>
      <c r="W325" s="146">
        <f t="shared" si="242"/>
        <v>0</v>
      </c>
      <c r="X325" s="176">
        <f t="shared" si="243"/>
        <v>0</v>
      </c>
      <c r="Y325" s="282">
        <f t="shared" si="235"/>
        <v>0</v>
      </c>
      <c r="Z325" s="282">
        <f t="shared" si="236"/>
        <v>0</v>
      </c>
      <c r="AA325" s="283">
        <f t="shared" si="237"/>
        <v>0</v>
      </c>
      <c r="AB325" s="283">
        <f t="shared" si="238"/>
        <v>0</v>
      </c>
      <c r="AC325" s="284">
        <f t="shared" si="239"/>
        <v>0</v>
      </c>
      <c r="AD325" s="146">
        <v>1</v>
      </c>
      <c r="AE325" s="146">
        <f t="shared" si="240"/>
        <v>0</v>
      </c>
      <c r="AF325" s="146">
        <f t="shared" si="248"/>
        <v>0</v>
      </c>
      <c r="AG325" s="146">
        <f t="shared" si="241"/>
        <v>0</v>
      </c>
      <c r="AH325" s="146">
        <f t="shared" si="249"/>
        <v>0</v>
      </c>
      <c r="AI325" s="174">
        <f t="shared" si="244"/>
        <v>0</v>
      </c>
      <c r="AJ325" s="175">
        <f t="shared" si="250"/>
        <v>0</v>
      </c>
      <c r="AK325" s="175">
        <f t="shared" si="245"/>
        <v>0</v>
      </c>
      <c r="AL325" s="175">
        <f t="shared" si="251"/>
        <v>0</v>
      </c>
      <c r="AN325" s="146">
        <f t="shared" si="246"/>
        <v>0</v>
      </c>
      <c r="AP325" s="146">
        <f t="shared" si="252"/>
        <v>0</v>
      </c>
      <c r="AQ325" s="146">
        <f t="shared" si="247"/>
        <v>0</v>
      </c>
    </row>
    <row r="326" spans="1:43" ht="15.75" customHeight="1" x14ac:dyDescent="0.2">
      <c r="A326" s="2413"/>
      <c r="B326" s="2414"/>
      <c r="C326" s="2414"/>
      <c r="D326" s="610"/>
      <c r="E326" s="611"/>
      <c r="F326" s="1528"/>
      <c r="G326" s="1528"/>
      <c r="H326" s="2294"/>
      <c r="I326" s="2295"/>
      <c r="J326" s="1863"/>
      <c r="K326" s="2288"/>
      <c r="L326" s="2289"/>
      <c r="M326" s="1550"/>
      <c r="N326" s="117"/>
      <c r="O326" s="343"/>
      <c r="P326" s="146" t="b">
        <v>0</v>
      </c>
      <c r="Q326" s="92">
        <f t="shared" si="253"/>
        <v>0</v>
      </c>
      <c r="R326" s="282">
        <f t="shared" si="254"/>
        <v>0</v>
      </c>
      <c r="S326" s="282">
        <f t="shared" si="255"/>
        <v>0</v>
      </c>
      <c r="T326" s="283">
        <f t="shared" si="256"/>
        <v>0</v>
      </c>
      <c r="U326" s="283">
        <f t="shared" si="257"/>
        <v>0</v>
      </c>
      <c r="V326" s="284">
        <f t="shared" si="258"/>
        <v>0</v>
      </c>
      <c r="W326" s="146">
        <f t="shared" si="242"/>
        <v>0</v>
      </c>
      <c r="X326" s="176">
        <f t="shared" si="243"/>
        <v>0</v>
      </c>
      <c r="Y326" s="282">
        <f t="shared" si="235"/>
        <v>0</v>
      </c>
      <c r="Z326" s="282">
        <f t="shared" si="236"/>
        <v>0</v>
      </c>
      <c r="AA326" s="283">
        <f t="shared" si="237"/>
        <v>0</v>
      </c>
      <c r="AB326" s="283">
        <f t="shared" si="238"/>
        <v>0</v>
      </c>
      <c r="AC326" s="284">
        <f t="shared" si="239"/>
        <v>0</v>
      </c>
      <c r="AD326" s="146">
        <v>1</v>
      </c>
      <c r="AE326" s="146">
        <f t="shared" si="240"/>
        <v>0</v>
      </c>
      <c r="AF326" s="146">
        <f t="shared" si="248"/>
        <v>0</v>
      </c>
      <c r="AG326" s="146">
        <f t="shared" si="241"/>
        <v>0</v>
      </c>
      <c r="AH326" s="146">
        <f t="shared" si="249"/>
        <v>0</v>
      </c>
      <c r="AI326" s="174">
        <f t="shared" si="244"/>
        <v>0</v>
      </c>
      <c r="AJ326" s="175">
        <f t="shared" si="250"/>
        <v>0</v>
      </c>
      <c r="AK326" s="175">
        <f t="shared" si="245"/>
        <v>0</v>
      </c>
      <c r="AL326" s="175">
        <f t="shared" si="251"/>
        <v>0</v>
      </c>
      <c r="AN326" s="146">
        <f t="shared" si="246"/>
        <v>0</v>
      </c>
      <c r="AP326" s="146">
        <f t="shared" si="252"/>
        <v>0</v>
      </c>
      <c r="AQ326" s="146">
        <f t="shared" si="247"/>
        <v>0</v>
      </c>
    </row>
    <row r="327" spans="1:43" ht="15.75" customHeight="1" x14ac:dyDescent="0.2">
      <c r="A327" s="2413"/>
      <c r="B327" s="2414"/>
      <c r="C327" s="2414"/>
      <c r="D327" s="610"/>
      <c r="E327" s="611"/>
      <c r="F327" s="1528"/>
      <c r="G327" s="1528"/>
      <c r="H327" s="2294"/>
      <c r="I327" s="2295"/>
      <c r="J327" s="1863"/>
      <c r="K327" s="2288"/>
      <c r="L327" s="2289"/>
      <c r="M327" s="1550"/>
      <c r="N327" s="117"/>
      <c r="O327" s="343"/>
      <c r="P327" s="146" t="b">
        <v>0</v>
      </c>
      <c r="Q327" s="92">
        <f t="shared" si="253"/>
        <v>0</v>
      </c>
      <c r="R327" s="282">
        <f t="shared" si="254"/>
        <v>0</v>
      </c>
      <c r="S327" s="282">
        <f t="shared" si="255"/>
        <v>0</v>
      </c>
      <c r="T327" s="283">
        <f t="shared" si="256"/>
        <v>0</v>
      </c>
      <c r="U327" s="283">
        <f t="shared" si="257"/>
        <v>0</v>
      </c>
      <c r="V327" s="284">
        <f t="shared" si="258"/>
        <v>0</v>
      </c>
      <c r="W327" s="146">
        <f t="shared" si="242"/>
        <v>0</v>
      </c>
      <c r="X327" s="176">
        <f t="shared" si="243"/>
        <v>0</v>
      </c>
      <c r="Y327" s="282">
        <f t="shared" si="235"/>
        <v>0</v>
      </c>
      <c r="Z327" s="282">
        <f t="shared" si="236"/>
        <v>0</v>
      </c>
      <c r="AA327" s="283">
        <f t="shared" si="237"/>
        <v>0</v>
      </c>
      <c r="AB327" s="283">
        <f t="shared" si="238"/>
        <v>0</v>
      </c>
      <c r="AC327" s="284">
        <f t="shared" si="239"/>
        <v>0</v>
      </c>
      <c r="AD327" s="146">
        <v>1</v>
      </c>
      <c r="AE327" s="146">
        <f t="shared" si="240"/>
        <v>0</v>
      </c>
      <c r="AF327" s="146">
        <f t="shared" si="248"/>
        <v>0</v>
      </c>
      <c r="AG327" s="146">
        <f t="shared" si="241"/>
        <v>0</v>
      </c>
      <c r="AH327" s="146">
        <f t="shared" si="249"/>
        <v>0</v>
      </c>
      <c r="AI327" s="174">
        <f t="shared" si="244"/>
        <v>0</v>
      </c>
      <c r="AJ327" s="175">
        <f t="shared" si="250"/>
        <v>0</v>
      </c>
      <c r="AK327" s="175">
        <f t="shared" si="245"/>
        <v>0</v>
      </c>
      <c r="AL327" s="175">
        <f t="shared" si="251"/>
        <v>0</v>
      </c>
      <c r="AN327" s="146">
        <f t="shared" si="246"/>
        <v>0</v>
      </c>
      <c r="AP327" s="146">
        <f t="shared" si="252"/>
        <v>0</v>
      </c>
      <c r="AQ327" s="146">
        <f t="shared" si="247"/>
        <v>0</v>
      </c>
    </row>
    <row r="328" spans="1:43" ht="15.75" customHeight="1" x14ac:dyDescent="0.2">
      <c r="A328" s="2413"/>
      <c r="B328" s="2414"/>
      <c r="C328" s="2414"/>
      <c r="D328" s="610"/>
      <c r="E328" s="611"/>
      <c r="F328" s="1528"/>
      <c r="G328" s="1528"/>
      <c r="H328" s="2294"/>
      <c r="I328" s="2295"/>
      <c r="J328" s="1863"/>
      <c r="K328" s="2288"/>
      <c r="L328" s="2289"/>
      <c r="M328" s="1550"/>
      <c r="N328" s="117"/>
      <c r="O328" s="343"/>
      <c r="P328" s="146" t="b">
        <v>0</v>
      </c>
      <c r="Q328" s="92">
        <f t="shared" si="253"/>
        <v>0</v>
      </c>
      <c r="R328" s="282">
        <f t="shared" si="254"/>
        <v>0</v>
      </c>
      <c r="S328" s="282">
        <f t="shared" si="255"/>
        <v>0</v>
      </c>
      <c r="T328" s="283">
        <f t="shared" si="256"/>
        <v>0</v>
      </c>
      <c r="U328" s="283">
        <f t="shared" si="257"/>
        <v>0</v>
      </c>
      <c r="V328" s="284">
        <f t="shared" si="258"/>
        <v>0</v>
      </c>
      <c r="W328" s="146">
        <f t="shared" si="242"/>
        <v>0</v>
      </c>
      <c r="X328" s="176">
        <f t="shared" si="243"/>
        <v>0</v>
      </c>
      <c r="Y328" s="282">
        <f t="shared" si="235"/>
        <v>0</v>
      </c>
      <c r="Z328" s="282">
        <f t="shared" si="236"/>
        <v>0</v>
      </c>
      <c r="AA328" s="283">
        <f t="shared" si="237"/>
        <v>0</v>
      </c>
      <c r="AB328" s="283">
        <f t="shared" si="238"/>
        <v>0</v>
      </c>
      <c r="AC328" s="284">
        <f t="shared" si="239"/>
        <v>0</v>
      </c>
      <c r="AD328" s="146">
        <v>1</v>
      </c>
      <c r="AE328" s="146">
        <f t="shared" si="240"/>
        <v>0</v>
      </c>
      <c r="AF328" s="146">
        <f t="shared" si="248"/>
        <v>0</v>
      </c>
      <c r="AG328" s="146">
        <f t="shared" si="241"/>
        <v>0</v>
      </c>
      <c r="AH328" s="146">
        <f t="shared" si="249"/>
        <v>0</v>
      </c>
      <c r="AI328" s="174">
        <f t="shared" si="244"/>
        <v>0</v>
      </c>
      <c r="AJ328" s="175">
        <f t="shared" si="250"/>
        <v>0</v>
      </c>
      <c r="AK328" s="175">
        <f t="shared" si="245"/>
        <v>0</v>
      </c>
      <c r="AL328" s="175">
        <f t="shared" si="251"/>
        <v>0</v>
      </c>
      <c r="AN328" s="146">
        <f t="shared" si="246"/>
        <v>0</v>
      </c>
      <c r="AP328" s="146">
        <f t="shared" si="252"/>
        <v>0</v>
      </c>
      <c r="AQ328" s="146">
        <f t="shared" si="247"/>
        <v>0</v>
      </c>
    </row>
    <row r="329" spans="1:43" ht="15.75" customHeight="1" x14ac:dyDescent="0.2">
      <c r="A329" s="2413"/>
      <c r="B329" s="2414"/>
      <c r="C329" s="2414"/>
      <c r="D329" s="610"/>
      <c r="E329" s="611"/>
      <c r="F329" s="1528"/>
      <c r="G329" s="1528"/>
      <c r="H329" s="2294"/>
      <c r="I329" s="2295"/>
      <c r="J329" s="1863"/>
      <c r="K329" s="2288"/>
      <c r="L329" s="2289"/>
      <c r="M329" s="1550"/>
      <c r="N329" s="117"/>
      <c r="O329" s="343"/>
      <c r="P329" s="146" t="b">
        <v>0</v>
      </c>
      <c r="Q329" s="92">
        <f t="shared" si="253"/>
        <v>0</v>
      </c>
      <c r="R329" s="282">
        <f t="shared" si="254"/>
        <v>0</v>
      </c>
      <c r="S329" s="282">
        <f t="shared" si="255"/>
        <v>0</v>
      </c>
      <c r="T329" s="283">
        <f t="shared" si="256"/>
        <v>0</v>
      </c>
      <c r="U329" s="283">
        <f t="shared" si="257"/>
        <v>0</v>
      </c>
      <c r="V329" s="284">
        <f t="shared" si="258"/>
        <v>0</v>
      </c>
      <c r="W329" s="146">
        <f t="shared" si="242"/>
        <v>0</v>
      </c>
      <c r="X329" s="176">
        <f t="shared" si="243"/>
        <v>0</v>
      </c>
      <c r="Y329" s="282">
        <f t="shared" si="235"/>
        <v>0</v>
      </c>
      <c r="Z329" s="282">
        <f t="shared" si="236"/>
        <v>0</v>
      </c>
      <c r="AA329" s="283">
        <f t="shared" si="237"/>
        <v>0</v>
      </c>
      <c r="AB329" s="283">
        <f t="shared" si="238"/>
        <v>0</v>
      </c>
      <c r="AC329" s="284">
        <f t="shared" si="239"/>
        <v>0</v>
      </c>
      <c r="AD329" s="146">
        <v>1</v>
      </c>
      <c r="AE329" s="146">
        <f t="shared" si="240"/>
        <v>0</v>
      </c>
      <c r="AF329" s="146">
        <f t="shared" si="248"/>
        <v>0</v>
      </c>
      <c r="AG329" s="146">
        <f t="shared" si="241"/>
        <v>0</v>
      </c>
      <c r="AH329" s="146">
        <f t="shared" si="249"/>
        <v>0</v>
      </c>
      <c r="AI329" s="174">
        <f t="shared" si="244"/>
        <v>0</v>
      </c>
      <c r="AJ329" s="175">
        <f t="shared" si="250"/>
        <v>0</v>
      </c>
      <c r="AK329" s="175">
        <f t="shared" si="245"/>
        <v>0</v>
      </c>
      <c r="AL329" s="175">
        <f t="shared" si="251"/>
        <v>0</v>
      </c>
      <c r="AN329" s="146">
        <f t="shared" si="246"/>
        <v>0</v>
      </c>
      <c r="AP329" s="146">
        <f t="shared" si="252"/>
        <v>0</v>
      </c>
      <c r="AQ329" s="146">
        <f t="shared" si="247"/>
        <v>0</v>
      </c>
    </row>
    <row r="330" spans="1:43" ht="15.75" customHeight="1" x14ac:dyDescent="0.2">
      <c r="A330" s="2413"/>
      <c r="B330" s="2414"/>
      <c r="C330" s="2414"/>
      <c r="D330" s="610"/>
      <c r="E330" s="611"/>
      <c r="F330" s="1528"/>
      <c r="G330" s="1528"/>
      <c r="H330" s="2294"/>
      <c r="I330" s="2295"/>
      <c r="J330" s="1863"/>
      <c r="K330" s="2288"/>
      <c r="L330" s="2289"/>
      <c r="M330" s="1550"/>
      <c r="N330" s="117"/>
      <c r="O330" s="343"/>
      <c r="P330" s="146" t="b">
        <v>0</v>
      </c>
      <c r="Q330" s="92">
        <f t="shared" si="253"/>
        <v>0</v>
      </c>
      <c r="R330" s="282">
        <f t="shared" si="254"/>
        <v>0</v>
      </c>
      <c r="S330" s="282">
        <f t="shared" si="255"/>
        <v>0</v>
      </c>
      <c r="T330" s="283">
        <f t="shared" si="256"/>
        <v>0</v>
      </c>
      <c r="U330" s="283">
        <f t="shared" si="257"/>
        <v>0</v>
      </c>
      <c r="V330" s="284">
        <f t="shared" si="258"/>
        <v>0</v>
      </c>
      <c r="W330" s="146">
        <f t="shared" si="242"/>
        <v>0</v>
      </c>
      <c r="X330" s="176">
        <f t="shared" si="243"/>
        <v>0</v>
      </c>
      <c r="Y330" s="282">
        <f t="shared" si="235"/>
        <v>0</v>
      </c>
      <c r="Z330" s="282">
        <f t="shared" si="236"/>
        <v>0</v>
      </c>
      <c r="AA330" s="283">
        <f t="shared" si="237"/>
        <v>0</v>
      </c>
      <c r="AB330" s="283">
        <f t="shared" si="238"/>
        <v>0</v>
      </c>
      <c r="AC330" s="284">
        <f t="shared" si="239"/>
        <v>0</v>
      </c>
      <c r="AD330" s="146">
        <v>1</v>
      </c>
      <c r="AE330" s="146">
        <f t="shared" si="240"/>
        <v>0</v>
      </c>
      <c r="AF330" s="146">
        <f t="shared" si="248"/>
        <v>0</v>
      </c>
      <c r="AG330" s="146">
        <f t="shared" si="241"/>
        <v>0</v>
      </c>
      <c r="AH330" s="146">
        <f t="shared" si="249"/>
        <v>0</v>
      </c>
      <c r="AI330" s="174">
        <f t="shared" si="244"/>
        <v>0</v>
      </c>
      <c r="AJ330" s="175">
        <f t="shared" si="250"/>
        <v>0</v>
      </c>
      <c r="AK330" s="175">
        <f t="shared" si="245"/>
        <v>0</v>
      </c>
      <c r="AL330" s="175">
        <f t="shared" si="251"/>
        <v>0</v>
      </c>
      <c r="AN330" s="146">
        <f t="shared" si="246"/>
        <v>0</v>
      </c>
      <c r="AP330" s="146">
        <f t="shared" si="252"/>
        <v>0</v>
      </c>
      <c r="AQ330" s="146">
        <f t="shared" si="247"/>
        <v>0</v>
      </c>
    </row>
    <row r="331" spans="1:43" ht="15.75" customHeight="1" x14ac:dyDescent="0.2">
      <c r="A331" s="2413"/>
      <c r="B331" s="2414"/>
      <c r="C331" s="2414"/>
      <c r="D331" s="610"/>
      <c r="E331" s="611"/>
      <c r="F331" s="1528"/>
      <c r="G331" s="1528"/>
      <c r="H331" s="2294"/>
      <c r="I331" s="2295"/>
      <c r="J331" s="1863"/>
      <c r="K331" s="2288"/>
      <c r="L331" s="2289"/>
      <c r="M331" s="1550"/>
      <c r="N331" s="117"/>
      <c r="O331" s="343"/>
      <c r="P331" s="146" t="b">
        <v>0</v>
      </c>
      <c r="Q331" s="92">
        <f t="shared" si="253"/>
        <v>0</v>
      </c>
      <c r="R331" s="282">
        <f t="shared" si="254"/>
        <v>0</v>
      </c>
      <c r="S331" s="282">
        <f t="shared" si="255"/>
        <v>0</v>
      </c>
      <c r="T331" s="283">
        <f t="shared" si="256"/>
        <v>0</v>
      </c>
      <c r="U331" s="283">
        <f t="shared" si="257"/>
        <v>0</v>
      </c>
      <c r="V331" s="284">
        <f t="shared" si="258"/>
        <v>0</v>
      </c>
      <c r="W331" s="146">
        <f t="shared" si="242"/>
        <v>0</v>
      </c>
      <c r="X331" s="176">
        <f t="shared" si="243"/>
        <v>0</v>
      </c>
      <c r="Y331" s="282">
        <f t="shared" si="235"/>
        <v>0</v>
      </c>
      <c r="Z331" s="282">
        <f t="shared" si="236"/>
        <v>0</v>
      </c>
      <c r="AA331" s="283">
        <f t="shared" si="237"/>
        <v>0</v>
      </c>
      <c r="AB331" s="283">
        <f t="shared" si="238"/>
        <v>0</v>
      </c>
      <c r="AC331" s="284">
        <f t="shared" si="239"/>
        <v>0</v>
      </c>
      <c r="AD331" s="146">
        <v>1</v>
      </c>
      <c r="AE331" s="146">
        <f t="shared" si="240"/>
        <v>0</v>
      </c>
      <c r="AF331" s="146">
        <f t="shared" si="248"/>
        <v>0</v>
      </c>
      <c r="AG331" s="146">
        <f t="shared" si="241"/>
        <v>0</v>
      </c>
      <c r="AH331" s="146">
        <f t="shared" si="249"/>
        <v>0</v>
      </c>
      <c r="AI331" s="174">
        <f t="shared" si="244"/>
        <v>0</v>
      </c>
      <c r="AJ331" s="175">
        <f t="shared" si="250"/>
        <v>0</v>
      </c>
      <c r="AK331" s="175">
        <f t="shared" si="245"/>
        <v>0</v>
      </c>
      <c r="AL331" s="175">
        <f t="shared" si="251"/>
        <v>0</v>
      </c>
      <c r="AN331" s="146">
        <f t="shared" si="246"/>
        <v>0</v>
      </c>
      <c r="AP331" s="146">
        <f t="shared" si="252"/>
        <v>0</v>
      </c>
      <c r="AQ331" s="146">
        <f t="shared" si="247"/>
        <v>0</v>
      </c>
    </row>
    <row r="332" spans="1:43" ht="15.75" customHeight="1" x14ac:dyDescent="0.2">
      <c r="A332" s="2413"/>
      <c r="B332" s="2414"/>
      <c r="C332" s="2414"/>
      <c r="D332" s="610"/>
      <c r="E332" s="611"/>
      <c r="F332" s="1528"/>
      <c r="G332" s="1528"/>
      <c r="H332" s="2294"/>
      <c r="I332" s="2295"/>
      <c r="J332" s="1549"/>
      <c r="K332" s="2288"/>
      <c r="L332" s="2289"/>
      <c r="M332" s="1550"/>
      <c r="N332" s="117"/>
      <c r="O332" s="343"/>
      <c r="P332" s="146" t="b">
        <v>0</v>
      </c>
      <c r="Q332" s="92">
        <f t="shared" si="253"/>
        <v>0</v>
      </c>
      <c r="R332" s="282">
        <f t="shared" si="254"/>
        <v>0</v>
      </c>
      <c r="S332" s="282">
        <f t="shared" si="255"/>
        <v>0</v>
      </c>
      <c r="T332" s="283">
        <f t="shared" si="256"/>
        <v>0</v>
      </c>
      <c r="U332" s="283">
        <f t="shared" si="257"/>
        <v>0</v>
      </c>
      <c r="V332" s="284">
        <f t="shared" si="258"/>
        <v>0</v>
      </c>
      <c r="W332" s="146">
        <f t="shared" si="242"/>
        <v>0</v>
      </c>
      <c r="X332" s="176">
        <f t="shared" si="243"/>
        <v>0</v>
      </c>
      <c r="Y332" s="282">
        <f t="shared" si="235"/>
        <v>0</v>
      </c>
      <c r="Z332" s="282">
        <f t="shared" si="236"/>
        <v>0</v>
      </c>
      <c r="AA332" s="283">
        <f t="shared" si="237"/>
        <v>0</v>
      </c>
      <c r="AB332" s="283">
        <f t="shared" si="238"/>
        <v>0</v>
      </c>
      <c r="AC332" s="284">
        <f t="shared" si="239"/>
        <v>0</v>
      </c>
      <c r="AD332" s="146">
        <v>1</v>
      </c>
      <c r="AE332" s="146">
        <f t="shared" si="240"/>
        <v>0</v>
      </c>
      <c r="AF332" s="146">
        <f t="shared" si="248"/>
        <v>0</v>
      </c>
      <c r="AG332" s="146">
        <f t="shared" si="241"/>
        <v>0</v>
      </c>
      <c r="AH332" s="146">
        <f t="shared" si="249"/>
        <v>0</v>
      </c>
      <c r="AI332" s="174">
        <f t="shared" si="244"/>
        <v>0</v>
      </c>
      <c r="AJ332" s="175">
        <f t="shared" si="250"/>
        <v>0</v>
      </c>
      <c r="AK332" s="175">
        <f t="shared" si="245"/>
        <v>0</v>
      </c>
      <c r="AL332" s="175">
        <f t="shared" si="251"/>
        <v>0</v>
      </c>
      <c r="AN332" s="146">
        <f t="shared" si="246"/>
        <v>0</v>
      </c>
      <c r="AP332" s="146">
        <f t="shared" si="252"/>
        <v>0</v>
      </c>
      <c r="AQ332" s="146">
        <f t="shared" si="247"/>
        <v>0</v>
      </c>
    </row>
    <row r="333" spans="1:43" ht="15.75" customHeight="1" x14ac:dyDescent="0.2">
      <c r="A333" s="2413"/>
      <c r="B333" s="2414"/>
      <c r="C333" s="2414"/>
      <c r="D333" s="610"/>
      <c r="E333" s="611"/>
      <c r="F333" s="1528"/>
      <c r="G333" s="1528"/>
      <c r="H333" s="2294"/>
      <c r="I333" s="2295"/>
      <c r="J333" s="1549"/>
      <c r="K333" s="2288"/>
      <c r="L333" s="2289"/>
      <c r="M333" s="1550"/>
      <c r="N333" s="117"/>
      <c r="O333" s="343"/>
      <c r="P333" s="146" t="b">
        <v>0</v>
      </c>
      <c r="Q333" s="92">
        <f t="shared" si="253"/>
        <v>0</v>
      </c>
      <c r="R333" s="282">
        <f t="shared" si="254"/>
        <v>0</v>
      </c>
      <c r="S333" s="282">
        <f t="shared" si="255"/>
        <v>0</v>
      </c>
      <c r="T333" s="283">
        <f t="shared" si="256"/>
        <v>0</v>
      </c>
      <c r="U333" s="283">
        <f t="shared" si="257"/>
        <v>0</v>
      </c>
      <c r="V333" s="284">
        <f t="shared" si="258"/>
        <v>0</v>
      </c>
      <c r="W333" s="146">
        <f t="shared" si="242"/>
        <v>0</v>
      </c>
      <c r="X333" s="176">
        <f t="shared" si="243"/>
        <v>0</v>
      </c>
      <c r="Y333" s="282">
        <f t="shared" si="235"/>
        <v>0</v>
      </c>
      <c r="Z333" s="282">
        <f t="shared" si="236"/>
        <v>0</v>
      </c>
      <c r="AA333" s="283">
        <f t="shared" si="237"/>
        <v>0</v>
      </c>
      <c r="AB333" s="283">
        <f t="shared" si="238"/>
        <v>0</v>
      </c>
      <c r="AC333" s="284">
        <f t="shared" si="239"/>
        <v>0</v>
      </c>
      <c r="AD333" s="146">
        <v>1</v>
      </c>
      <c r="AE333" s="146">
        <f t="shared" si="240"/>
        <v>0</v>
      </c>
      <c r="AF333" s="146">
        <f t="shared" si="248"/>
        <v>0</v>
      </c>
      <c r="AG333" s="146">
        <f t="shared" si="241"/>
        <v>0</v>
      </c>
      <c r="AH333" s="146">
        <f t="shared" si="249"/>
        <v>0</v>
      </c>
      <c r="AI333" s="174">
        <f t="shared" si="244"/>
        <v>0</v>
      </c>
      <c r="AJ333" s="175">
        <f t="shared" si="250"/>
        <v>0</v>
      </c>
      <c r="AK333" s="175">
        <f t="shared" si="245"/>
        <v>0</v>
      </c>
      <c r="AL333" s="175">
        <f t="shared" si="251"/>
        <v>0</v>
      </c>
      <c r="AN333" s="146">
        <f t="shared" si="246"/>
        <v>0</v>
      </c>
      <c r="AP333" s="146">
        <f t="shared" si="252"/>
        <v>0</v>
      </c>
      <c r="AQ333" s="146">
        <f t="shared" si="247"/>
        <v>0</v>
      </c>
    </row>
    <row r="334" spans="1:43" ht="15.75" customHeight="1" x14ac:dyDescent="0.2">
      <c r="A334" s="2413"/>
      <c r="B334" s="2414"/>
      <c r="C334" s="2414"/>
      <c r="D334" s="610"/>
      <c r="E334" s="611"/>
      <c r="F334" s="1528"/>
      <c r="G334" s="1528"/>
      <c r="H334" s="2294"/>
      <c r="I334" s="2295"/>
      <c r="J334" s="1549"/>
      <c r="K334" s="2288"/>
      <c r="L334" s="2289"/>
      <c r="M334" s="1550"/>
      <c r="N334" s="117"/>
      <c r="O334" s="343"/>
      <c r="P334" s="146" t="b">
        <v>0</v>
      </c>
      <c r="Q334" s="92">
        <f t="shared" si="253"/>
        <v>0</v>
      </c>
      <c r="R334" s="282">
        <f t="shared" si="254"/>
        <v>0</v>
      </c>
      <c r="S334" s="282">
        <f t="shared" si="255"/>
        <v>0</v>
      </c>
      <c r="T334" s="283">
        <f t="shared" si="256"/>
        <v>0</v>
      </c>
      <c r="U334" s="283">
        <f t="shared" si="257"/>
        <v>0</v>
      </c>
      <c r="V334" s="284">
        <f t="shared" si="258"/>
        <v>0</v>
      </c>
      <c r="W334" s="146">
        <f t="shared" si="242"/>
        <v>0</v>
      </c>
      <c r="X334" s="176">
        <f t="shared" si="243"/>
        <v>0</v>
      </c>
      <c r="Y334" s="282">
        <f t="shared" si="235"/>
        <v>0</v>
      </c>
      <c r="Z334" s="282">
        <f t="shared" si="236"/>
        <v>0</v>
      </c>
      <c r="AA334" s="283">
        <f t="shared" si="237"/>
        <v>0</v>
      </c>
      <c r="AB334" s="283">
        <f t="shared" si="238"/>
        <v>0</v>
      </c>
      <c r="AC334" s="284">
        <f t="shared" si="239"/>
        <v>0</v>
      </c>
      <c r="AD334" s="146">
        <v>1</v>
      </c>
      <c r="AE334" s="146">
        <f t="shared" si="240"/>
        <v>0</v>
      </c>
      <c r="AF334" s="146">
        <f t="shared" si="248"/>
        <v>0</v>
      </c>
      <c r="AG334" s="146">
        <f t="shared" si="241"/>
        <v>0</v>
      </c>
      <c r="AH334" s="146">
        <f t="shared" si="249"/>
        <v>0</v>
      </c>
      <c r="AI334" s="174">
        <f t="shared" si="244"/>
        <v>0</v>
      </c>
      <c r="AJ334" s="175">
        <f t="shared" si="250"/>
        <v>0</v>
      </c>
      <c r="AK334" s="175">
        <f t="shared" si="245"/>
        <v>0</v>
      </c>
      <c r="AL334" s="175">
        <f t="shared" si="251"/>
        <v>0</v>
      </c>
      <c r="AN334" s="146">
        <f t="shared" si="246"/>
        <v>0</v>
      </c>
      <c r="AP334" s="146">
        <f t="shared" si="252"/>
        <v>0</v>
      </c>
      <c r="AQ334" s="146">
        <f t="shared" si="247"/>
        <v>0</v>
      </c>
    </row>
    <row r="335" spans="1:43" ht="15.75" customHeight="1" x14ac:dyDescent="0.2">
      <c r="A335" s="2413"/>
      <c r="B335" s="2414"/>
      <c r="C335" s="2414"/>
      <c r="D335" s="610"/>
      <c r="E335" s="611"/>
      <c r="F335" s="1528"/>
      <c r="G335" s="1528"/>
      <c r="H335" s="2294"/>
      <c r="I335" s="2295"/>
      <c r="J335" s="1549"/>
      <c r="K335" s="2288"/>
      <c r="L335" s="2289"/>
      <c r="M335" s="1550"/>
      <c r="N335" s="117"/>
      <c r="O335" s="343"/>
      <c r="P335" s="146" t="b">
        <v>0</v>
      </c>
      <c r="Q335" s="92">
        <f t="shared" si="253"/>
        <v>0</v>
      </c>
      <c r="R335" s="282">
        <f t="shared" si="254"/>
        <v>0</v>
      </c>
      <c r="S335" s="282">
        <f t="shared" si="255"/>
        <v>0</v>
      </c>
      <c r="T335" s="283">
        <f t="shared" si="256"/>
        <v>0</v>
      </c>
      <c r="U335" s="283">
        <f t="shared" si="257"/>
        <v>0</v>
      </c>
      <c r="V335" s="284">
        <f t="shared" si="258"/>
        <v>0</v>
      </c>
      <c r="W335" s="146">
        <f t="shared" si="242"/>
        <v>0</v>
      </c>
      <c r="X335" s="176">
        <f t="shared" si="243"/>
        <v>0</v>
      </c>
      <c r="Y335" s="282">
        <f t="shared" si="235"/>
        <v>0</v>
      </c>
      <c r="Z335" s="282">
        <f t="shared" si="236"/>
        <v>0</v>
      </c>
      <c r="AA335" s="283">
        <f t="shared" si="237"/>
        <v>0</v>
      </c>
      <c r="AB335" s="283">
        <f t="shared" si="238"/>
        <v>0</v>
      </c>
      <c r="AC335" s="284">
        <f t="shared" si="239"/>
        <v>0</v>
      </c>
      <c r="AD335" s="146">
        <v>1</v>
      </c>
      <c r="AE335" s="146">
        <f t="shared" si="240"/>
        <v>0</v>
      </c>
      <c r="AF335" s="146">
        <f t="shared" si="248"/>
        <v>0</v>
      </c>
      <c r="AG335" s="146">
        <f t="shared" si="241"/>
        <v>0</v>
      </c>
      <c r="AH335" s="146">
        <f t="shared" si="249"/>
        <v>0</v>
      </c>
      <c r="AI335" s="174">
        <f t="shared" si="244"/>
        <v>0</v>
      </c>
      <c r="AJ335" s="175">
        <f t="shared" si="250"/>
        <v>0</v>
      </c>
      <c r="AK335" s="175">
        <f t="shared" si="245"/>
        <v>0</v>
      </c>
      <c r="AL335" s="175">
        <f t="shared" si="251"/>
        <v>0</v>
      </c>
      <c r="AN335" s="146">
        <f t="shared" si="246"/>
        <v>0</v>
      </c>
      <c r="AP335" s="146">
        <f t="shared" si="252"/>
        <v>0</v>
      </c>
      <c r="AQ335" s="146">
        <f t="shared" si="247"/>
        <v>0</v>
      </c>
    </row>
    <row r="336" spans="1:43" ht="15.75" customHeight="1" x14ac:dyDescent="0.2">
      <c r="A336" s="2413"/>
      <c r="B336" s="2414"/>
      <c r="C336" s="2414"/>
      <c r="D336" s="610"/>
      <c r="E336" s="611"/>
      <c r="F336" s="1528"/>
      <c r="G336" s="1528"/>
      <c r="H336" s="2294"/>
      <c r="I336" s="2295"/>
      <c r="J336" s="1549"/>
      <c r="K336" s="2288"/>
      <c r="L336" s="2289"/>
      <c r="M336" s="1550"/>
      <c r="N336" s="117"/>
      <c r="O336" s="343"/>
      <c r="P336" s="146" t="b">
        <v>0</v>
      </c>
      <c r="Q336" s="92">
        <f t="shared" si="253"/>
        <v>0</v>
      </c>
      <c r="R336" s="282">
        <f t="shared" si="254"/>
        <v>0</v>
      </c>
      <c r="S336" s="282">
        <f t="shared" si="255"/>
        <v>0</v>
      </c>
      <c r="T336" s="283">
        <f t="shared" si="256"/>
        <v>0</v>
      </c>
      <c r="U336" s="283">
        <f t="shared" si="257"/>
        <v>0</v>
      </c>
      <c r="V336" s="284">
        <f t="shared" si="258"/>
        <v>0</v>
      </c>
      <c r="W336" s="146">
        <f t="shared" si="242"/>
        <v>0</v>
      </c>
      <c r="X336" s="176">
        <f t="shared" si="243"/>
        <v>0</v>
      </c>
      <c r="Y336" s="282">
        <f t="shared" si="235"/>
        <v>0</v>
      </c>
      <c r="Z336" s="282">
        <f t="shared" si="236"/>
        <v>0</v>
      </c>
      <c r="AA336" s="283">
        <f t="shared" si="237"/>
        <v>0</v>
      </c>
      <c r="AB336" s="283">
        <f t="shared" si="238"/>
        <v>0</v>
      </c>
      <c r="AC336" s="284">
        <f t="shared" si="239"/>
        <v>0</v>
      </c>
      <c r="AD336" s="146">
        <v>1</v>
      </c>
      <c r="AE336" s="146">
        <f t="shared" si="240"/>
        <v>0</v>
      </c>
      <c r="AF336" s="146">
        <f t="shared" si="248"/>
        <v>0</v>
      </c>
      <c r="AG336" s="146">
        <f t="shared" si="241"/>
        <v>0</v>
      </c>
      <c r="AH336" s="146">
        <f t="shared" si="249"/>
        <v>0</v>
      </c>
      <c r="AI336" s="174">
        <f t="shared" si="244"/>
        <v>0</v>
      </c>
      <c r="AJ336" s="175">
        <f t="shared" si="250"/>
        <v>0</v>
      </c>
      <c r="AK336" s="175">
        <f t="shared" si="245"/>
        <v>0</v>
      </c>
      <c r="AL336" s="175">
        <f t="shared" si="251"/>
        <v>0</v>
      </c>
      <c r="AN336" s="146">
        <f t="shared" si="246"/>
        <v>0</v>
      </c>
      <c r="AP336" s="146">
        <f t="shared" si="252"/>
        <v>0</v>
      </c>
      <c r="AQ336" s="146">
        <f t="shared" si="247"/>
        <v>0</v>
      </c>
    </row>
    <row r="337" spans="1:128" ht="15.75" customHeight="1" thickBot="1" x14ac:dyDescent="0.25">
      <c r="A337" s="2518"/>
      <c r="B337" s="2519"/>
      <c r="C337" s="2519"/>
      <c r="D337" s="590"/>
      <c r="E337" s="612"/>
      <c r="F337" s="1551"/>
      <c r="G337" s="1551"/>
      <c r="H337" s="2486"/>
      <c r="I337" s="2487"/>
      <c r="J337" s="1552"/>
      <c r="K337" s="2286"/>
      <c r="L337" s="2287"/>
      <c r="M337" s="1553"/>
      <c r="N337" s="117"/>
      <c r="O337" s="343"/>
      <c r="P337" s="146" t="b">
        <v>0</v>
      </c>
      <c r="Q337" s="92">
        <f t="shared" si="253"/>
        <v>0</v>
      </c>
      <c r="R337" s="282">
        <f t="shared" si="254"/>
        <v>0</v>
      </c>
      <c r="S337" s="282">
        <f t="shared" si="255"/>
        <v>0</v>
      </c>
      <c r="T337" s="283">
        <f t="shared" si="256"/>
        <v>0</v>
      </c>
      <c r="U337" s="283">
        <f t="shared" si="257"/>
        <v>0</v>
      </c>
      <c r="V337" s="284">
        <f t="shared" si="258"/>
        <v>0</v>
      </c>
      <c r="W337" s="146">
        <f t="shared" si="242"/>
        <v>0</v>
      </c>
      <c r="X337" s="176">
        <f t="shared" si="243"/>
        <v>0</v>
      </c>
      <c r="Y337" s="282">
        <f t="shared" si="235"/>
        <v>0</v>
      </c>
      <c r="Z337" s="282">
        <f t="shared" si="236"/>
        <v>0</v>
      </c>
      <c r="AA337" s="283">
        <f t="shared" si="237"/>
        <v>0</v>
      </c>
      <c r="AB337" s="283">
        <f t="shared" si="238"/>
        <v>0</v>
      </c>
      <c r="AC337" s="284">
        <f t="shared" si="239"/>
        <v>0</v>
      </c>
      <c r="AD337" s="146">
        <v>1</v>
      </c>
      <c r="AE337" s="146">
        <f t="shared" si="240"/>
        <v>0</v>
      </c>
      <c r="AF337" s="146">
        <f t="shared" si="248"/>
        <v>0</v>
      </c>
      <c r="AG337" s="146">
        <f t="shared" si="241"/>
        <v>0</v>
      </c>
      <c r="AH337" s="146">
        <f t="shared" si="249"/>
        <v>0</v>
      </c>
      <c r="AI337" s="174">
        <f t="shared" si="244"/>
        <v>0</v>
      </c>
      <c r="AJ337" s="175">
        <f t="shared" si="250"/>
        <v>0</v>
      </c>
      <c r="AK337" s="175">
        <f t="shared" si="245"/>
        <v>0</v>
      </c>
      <c r="AL337" s="175">
        <f t="shared" si="251"/>
        <v>0</v>
      </c>
      <c r="AN337" s="146">
        <f t="shared" si="246"/>
        <v>0</v>
      </c>
      <c r="AP337" s="146">
        <f t="shared" si="252"/>
        <v>0</v>
      </c>
      <c r="AQ337" s="146">
        <f t="shared" si="247"/>
        <v>0</v>
      </c>
    </row>
    <row r="338" spans="1:128" ht="12.75" customHeight="1" thickBot="1" x14ac:dyDescent="0.25">
      <c r="A338" s="2520" t="s">
        <v>468</v>
      </c>
      <c r="B338" s="2521"/>
      <c r="C338" s="2521"/>
      <c r="D338" s="2521"/>
      <c r="E338" s="573"/>
      <c r="F338" s="1348">
        <f>SUM(F308:F337)</f>
        <v>0</v>
      </c>
      <c r="G338" s="4"/>
      <c r="H338" s="2513">
        <f>SUMIF(AD308:AD337,1,F308:F337)</f>
        <v>0</v>
      </c>
      <c r="I338" s="2513"/>
      <c r="J338" s="1356" cm="1">
        <f t="array" ref="J338">SUMPRODUCT($F$308:$F$337,J308:J337,($AD$308:$AD$337=1)*1)</f>
        <v>0</v>
      </c>
      <c r="K338" s="2513" cm="1">
        <f t="array" ref="K338">SUMPRODUCT($F$308:$F$337,K308:K337,($AD$308:$AD$337=1)*1)</f>
        <v>0</v>
      </c>
      <c r="L338" s="2513"/>
      <c r="M338" s="1356" cm="1">
        <f t="array" ref="M338">SUMPRODUCT($F$308:$F$337,M308:M337,($AD$308:$AD$337=1)*1)</f>
        <v>0</v>
      </c>
      <c r="N338" s="4"/>
      <c r="X338" s="176"/>
      <c r="AI338" s="174"/>
      <c r="AJ338" s="175"/>
      <c r="AK338" s="175"/>
      <c r="AL338" s="175"/>
    </row>
    <row r="339" spans="1:128" ht="6" customHeight="1" thickBot="1" x14ac:dyDescent="0.25">
      <c r="A339" s="4"/>
      <c r="B339" s="4"/>
      <c r="C339" s="4"/>
      <c r="D339" s="4"/>
      <c r="E339" s="4"/>
      <c r="F339" s="4"/>
      <c r="G339" s="4"/>
      <c r="H339" s="4"/>
      <c r="I339" s="4"/>
      <c r="J339" s="4"/>
      <c r="K339" s="4"/>
      <c r="L339" s="4"/>
      <c r="M339" s="4"/>
      <c r="N339" s="4"/>
      <c r="P339" s="263" t="s">
        <v>468</v>
      </c>
      <c r="R339" s="371">
        <f t="shared" ref="R339:AC339" si="259">SUM(R308:R338)</f>
        <v>0</v>
      </c>
      <c r="S339" s="371">
        <f t="shared" si="259"/>
        <v>0</v>
      </c>
      <c r="T339" s="371">
        <f t="shared" si="259"/>
        <v>0</v>
      </c>
      <c r="U339" s="371">
        <f t="shared" si="259"/>
        <v>0</v>
      </c>
      <c r="V339" s="371">
        <f t="shared" si="259"/>
        <v>0</v>
      </c>
      <c r="W339" s="371">
        <f t="shared" si="259"/>
        <v>0</v>
      </c>
      <c r="X339" s="809">
        <f t="shared" si="259"/>
        <v>0</v>
      </c>
      <c r="Y339" s="371">
        <f t="shared" si="259"/>
        <v>0</v>
      </c>
      <c r="Z339" s="454">
        <f t="shared" si="259"/>
        <v>0</v>
      </c>
      <c r="AA339" s="371">
        <f t="shared" si="259"/>
        <v>0</v>
      </c>
      <c r="AB339" s="371">
        <f t="shared" si="259"/>
        <v>0</v>
      </c>
      <c r="AC339" s="371">
        <f t="shared" si="259"/>
        <v>0</v>
      </c>
      <c r="AE339" s="589">
        <f>SUM(AE308:AE338)</f>
        <v>0</v>
      </c>
      <c r="AG339" s="589">
        <f>SUM(AG308:AG338)</f>
        <v>0</v>
      </c>
      <c r="AI339" s="597">
        <f>SUM(AI308:AI338)</f>
        <v>0</v>
      </c>
      <c r="AJ339" s="175"/>
      <c r="AK339" s="598">
        <f>SUM(AK308:AK338)</f>
        <v>0</v>
      </c>
      <c r="AL339" s="175"/>
      <c r="AN339" s="598">
        <f>SUM(AN308:AN338)</f>
        <v>0</v>
      </c>
      <c r="AP339" s="598">
        <f>SUM(AP308:AP338)</f>
        <v>0</v>
      </c>
      <c r="AQ339" s="598">
        <f>SUM(AQ308:AQ338)</f>
        <v>0</v>
      </c>
    </row>
    <row r="340" spans="1:128" ht="18" customHeight="1" thickTop="1" thickBot="1" x14ac:dyDescent="0.25">
      <c r="A340" s="559" t="s">
        <v>734</v>
      </c>
      <c r="B340" s="576"/>
      <c r="C340" s="576"/>
      <c r="D340" s="576"/>
      <c r="E340" s="576"/>
      <c r="F340" s="576"/>
      <c r="G340" s="576"/>
      <c r="H340" s="576"/>
      <c r="I340" s="577"/>
      <c r="J340" s="2290" t="s">
        <v>4</v>
      </c>
      <c r="K340" s="2296"/>
      <c r="L340" s="2290" t="s">
        <v>729</v>
      </c>
      <c r="M340" s="2291"/>
      <c r="N340" s="4"/>
      <c r="Q340" s="807"/>
      <c r="U340" s="807"/>
    </row>
    <row r="341" spans="1:128" ht="13.5" thickBot="1" x14ac:dyDescent="0.25">
      <c r="A341" s="563" t="s">
        <v>444</v>
      </c>
      <c r="B341" s="478"/>
      <c r="C341" s="478"/>
      <c r="D341" s="478"/>
      <c r="E341" s="478"/>
      <c r="F341" s="478"/>
      <c r="G341" s="478"/>
      <c r="H341" s="478"/>
      <c r="I341" s="479"/>
      <c r="J341" s="2303">
        <f>+J57</f>
        <v>0</v>
      </c>
      <c r="K341" s="2304"/>
      <c r="L341" s="2292">
        <f>+L57</f>
        <v>0</v>
      </c>
      <c r="M341" s="2293"/>
      <c r="N341" s="4"/>
      <c r="Q341" s="807"/>
      <c r="R341" s="807"/>
      <c r="U341" s="807"/>
      <c r="V341" s="807"/>
    </row>
    <row r="342" spans="1:128" x14ac:dyDescent="0.2">
      <c r="A342" s="562" t="s">
        <v>710</v>
      </c>
      <c r="B342" s="18"/>
      <c r="C342" s="18"/>
      <c r="D342" s="18"/>
      <c r="E342" s="18"/>
      <c r="F342" s="18"/>
      <c r="G342" s="18"/>
      <c r="H342" s="18"/>
      <c r="I342" s="61"/>
      <c r="J342" s="2305">
        <f>+R46*1000</f>
        <v>0</v>
      </c>
      <c r="K342" s="2306"/>
      <c r="L342" s="2435">
        <f>+S46*1000</f>
        <v>0</v>
      </c>
      <c r="M342" s="2436"/>
      <c r="N342" s="4"/>
      <c r="P342" s="807"/>
      <c r="Q342" s="807"/>
      <c r="R342" s="807"/>
      <c r="T342" s="807"/>
    </row>
    <row r="343" spans="1:128" ht="13.5" thickBot="1" x14ac:dyDescent="0.25">
      <c r="A343" s="562" t="s">
        <v>711</v>
      </c>
      <c r="B343" s="18"/>
      <c r="C343" s="18"/>
      <c r="D343" s="18"/>
      <c r="E343" s="18"/>
      <c r="F343" s="18"/>
      <c r="G343" s="18"/>
      <c r="H343" s="18"/>
      <c r="I343" s="61"/>
      <c r="J343" s="2305">
        <f>IF(J341&lt;J342,0,J341-J342)</f>
        <v>0</v>
      </c>
      <c r="K343" s="2306"/>
      <c r="L343" s="2435">
        <f>IF(L341&lt;L342,0,L341-L342)</f>
        <v>0</v>
      </c>
      <c r="M343" s="2436"/>
      <c r="N343" s="4"/>
      <c r="P343" s="807"/>
      <c r="T343" s="807"/>
    </row>
    <row r="344" spans="1:128" ht="18" customHeight="1" thickBot="1" x14ac:dyDescent="0.25">
      <c r="A344" s="2227" t="s">
        <v>8261</v>
      </c>
      <c r="B344" s="2228"/>
      <c r="C344" s="2228"/>
      <c r="D344" s="2228"/>
      <c r="E344" s="2228"/>
      <c r="F344" s="2228"/>
      <c r="G344" s="2228"/>
      <c r="H344" s="2228"/>
      <c r="I344" s="2229"/>
      <c r="J344" s="2514" t="str">
        <f>+J58</f>
        <v>ja</v>
      </c>
      <c r="K344" s="2515"/>
      <c r="L344" s="2516" t="str">
        <f>+L58</f>
        <v>ja</v>
      </c>
      <c r="M344" s="2517"/>
      <c r="N344" s="4"/>
      <c r="T344" s="807"/>
    </row>
    <row r="345" spans="1:128" ht="7.5" customHeight="1" thickTop="1" thickBot="1" x14ac:dyDescent="0.25">
      <c r="A345" s="90"/>
      <c r="B345" s="90"/>
      <c r="C345" s="90"/>
      <c r="D345" s="90"/>
      <c r="E345" s="70"/>
      <c r="F345" s="70"/>
      <c r="G345" s="70"/>
      <c r="H345" s="70"/>
      <c r="I345" s="70"/>
      <c r="J345" s="208"/>
      <c r="K345" s="208"/>
      <c r="L345" s="208"/>
      <c r="M345" s="208"/>
      <c r="N345" s="4"/>
      <c r="P345" s="810"/>
      <c r="T345" s="807"/>
    </row>
    <row r="346" spans="1:128" ht="15.75" thickBot="1" x14ac:dyDescent="0.25">
      <c r="A346" s="2237" t="s">
        <v>730</v>
      </c>
      <c r="B346" s="2238"/>
      <c r="C346" s="2238"/>
      <c r="D346" s="2238"/>
      <c r="E346" s="2238"/>
      <c r="F346" s="2238"/>
      <c r="G346" s="2238"/>
      <c r="H346" s="2238"/>
      <c r="I346" s="2238"/>
      <c r="J346" s="2238"/>
      <c r="K346" s="2238"/>
      <c r="L346" s="2238"/>
      <c r="M346" s="650"/>
      <c r="N346" s="4"/>
      <c r="P346" s="807"/>
      <c r="T346" s="807"/>
    </row>
    <row r="347" spans="1:128" ht="3.75" customHeight="1" thickBot="1" x14ac:dyDescent="0.25">
      <c r="A347" s="90"/>
      <c r="B347" s="90"/>
      <c r="C347" s="90"/>
      <c r="D347" s="90"/>
      <c r="E347" s="70"/>
      <c r="F347" s="70"/>
      <c r="G347" s="70"/>
      <c r="H347" s="70"/>
      <c r="I347" s="70"/>
      <c r="J347" s="208"/>
      <c r="K347" s="208"/>
      <c r="L347" s="208"/>
      <c r="M347" s="208"/>
      <c r="N347" s="4"/>
    </row>
    <row r="348" spans="1:128" x14ac:dyDescent="0.2">
      <c r="A348" s="2497" t="s">
        <v>870</v>
      </c>
      <c r="B348" s="2498"/>
      <c r="C348" s="2498"/>
      <c r="D348" s="2498"/>
      <c r="E348" s="2498"/>
      <c r="F348" s="2498"/>
      <c r="G348" s="2498"/>
      <c r="H348" s="2498"/>
      <c r="I348" s="2498"/>
      <c r="J348" s="2484" t="s">
        <v>693</v>
      </c>
      <c r="K348" s="2485"/>
      <c r="L348" s="2503" t="s">
        <v>416</v>
      </c>
      <c r="M348" s="2504"/>
      <c r="N348" s="4"/>
    </row>
    <row r="349" spans="1:128" x14ac:dyDescent="0.2">
      <c r="A349" s="2499"/>
      <c r="B349" s="2500"/>
      <c r="C349" s="2500"/>
      <c r="D349" s="2500"/>
      <c r="E349" s="2500"/>
      <c r="F349" s="2500"/>
      <c r="G349" s="2500"/>
      <c r="H349" s="2500"/>
      <c r="I349" s="2500"/>
      <c r="J349" s="2509" t="s">
        <v>668</v>
      </c>
      <c r="K349" s="2510"/>
      <c r="L349" s="2505" t="s">
        <v>668</v>
      </c>
      <c r="M349" s="2506"/>
      <c r="N349" s="4"/>
    </row>
    <row r="350" spans="1:128" ht="15.75" customHeight="1" x14ac:dyDescent="0.2">
      <c r="A350" s="2511" t="s">
        <v>696</v>
      </c>
      <c r="B350" s="2512"/>
      <c r="C350" s="2512"/>
      <c r="D350" s="2512"/>
      <c r="E350" s="2512"/>
      <c r="F350" s="2512"/>
      <c r="G350" s="2512"/>
      <c r="H350" s="2512"/>
      <c r="I350" s="2512"/>
      <c r="J350" s="2493" t="str">
        <f>+IF(K354=0,"",P8)</f>
        <v/>
      </c>
      <c r="K350" s="2494"/>
      <c r="L350" s="2507">
        <f>P7</f>
        <v>0</v>
      </c>
      <c r="M350" s="2508"/>
      <c r="N350" s="4"/>
    </row>
    <row r="351" spans="1:128" s="252" customFormat="1" ht="13.5" customHeight="1" x14ac:dyDescent="0.2">
      <c r="A351" s="2501" t="s">
        <v>694</v>
      </c>
      <c r="B351" s="2502"/>
      <c r="C351" s="2502"/>
      <c r="D351" s="2502"/>
      <c r="E351" s="2502"/>
      <c r="F351" s="2502"/>
      <c r="G351" s="2502"/>
      <c r="H351" s="2502"/>
      <c r="I351" s="2502"/>
      <c r="J351" s="2495">
        <v>170</v>
      </c>
      <c r="K351" s="2496"/>
      <c r="L351" s="2235">
        <f>+J351*P6</f>
        <v>1.6999999999999999E-4</v>
      </c>
      <c r="M351" s="2236"/>
      <c r="N351" s="112"/>
      <c r="P351" s="263"/>
      <c r="Q351" s="263"/>
      <c r="R351" s="263"/>
      <c r="S351" s="263"/>
      <c r="T351" s="263"/>
      <c r="U351" s="263"/>
      <c r="V351" s="263"/>
      <c r="W351" s="263"/>
      <c r="X351" s="263"/>
      <c r="Y351" s="263"/>
      <c r="Z351" s="263"/>
      <c r="AA351" s="263"/>
      <c r="AB351" s="263"/>
      <c r="AC351" s="263"/>
      <c r="AD351" s="263"/>
      <c r="AE351" s="263"/>
      <c r="AF351" s="263"/>
      <c r="AG351" s="263"/>
      <c r="AH351" s="263"/>
      <c r="AI351" s="263"/>
      <c r="AJ351" s="263"/>
      <c r="AK351" s="263"/>
      <c r="AL351" s="263"/>
      <c r="AM351" s="263"/>
      <c r="AN351" s="263"/>
      <c r="AO351" s="263"/>
      <c r="AP351" s="263"/>
      <c r="AQ351" s="263"/>
      <c r="AR351" s="263"/>
      <c r="AS351" s="263"/>
      <c r="AT351" s="263"/>
      <c r="AU351" s="263"/>
      <c r="AV351" s="263"/>
      <c r="AW351" s="263"/>
      <c r="AX351" s="263"/>
      <c r="AY351" s="263"/>
      <c r="AZ351" s="263"/>
      <c r="BA351" s="263"/>
      <c r="BB351" s="263"/>
      <c r="BC351" s="263"/>
      <c r="BD351" s="263"/>
      <c r="BE351" s="263"/>
      <c r="BF351" s="263"/>
      <c r="BG351" s="263"/>
      <c r="BH351" s="263"/>
      <c r="BI351" s="263"/>
      <c r="BJ351" s="263"/>
      <c r="BK351" s="263"/>
      <c r="BL351" s="263"/>
      <c r="BM351" s="263"/>
      <c r="BN351" s="263"/>
      <c r="BO351" s="263"/>
      <c r="BP351" s="263"/>
      <c r="BQ351" s="263"/>
      <c r="BR351" s="263"/>
      <c r="BS351" s="263"/>
      <c r="BT351" s="263"/>
      <c r="BU351" s="458"/>
      <c r="BV351" s="458"/>
      <c r="BW351" s="458"/>
      <c r="BX351" s="458"/>
      <c r="BY351" s="263"/>
      <c r="BZ351" s="263"/>
      <c r="CA351" s="263"/>
      <c r="CB351" s="263"/>
      <c r="CC351" s="263"/>
      <c r="CD351" s="263"/>
      <c r="DX351" s="2171"/>
    </row>
    <row r="352" spans="1:128" s="252" customFormat="1" ht="13.5" customHeight="1" x14ac:dyDescent="0.2">
      <c r="A352" s="574" t="s">
        <v>712</v>
      </c>
      <c r="B352" s="575"/>
      <c r="C352" s="575"/>
      <c r="D352" s="575"/>
      <c r="E352" s="575"/>
      <c r="F352" s="575"/>
      <c r="G352" s="575"/>
      <c r="H352" s="575"/>
      <c r="I352" s="575"/>
      <c r="J352" s="2231" t="str">
        <f>IF(K354=0,"",IF(J351&gt;J350,0,J350-J351))</f>
        <v/>
      </c>
      <c r="K352" s="2232"/>
      <c r="L352" s="2233">
        <f>IF(L351&gt;L350,0,L350-L351)</f>
        <v>0</v>
      </c>
      <c r="M352" s="2234"/>
      <c r="N352" s="112"/>
      <c r="P352" s="263"/>
      <c r="Q352" s="263"/>
      <c r="R352" s="263"/>
      <c r="S352" s="263"/>
      <c r="T352" s="263"/>
      <c r="U352" s="263"/>
      <c r="V352" s="263"/>
      <c r="W352" s="263"/>
      <c r="X352" s="263"/>
      <c r="Y352" s="263"/>
      <c r="Z352" s="263"/>
      <c r="AA352" s="263"/>
      <c r="AB352" s="263"/>
      <c r="AC352" s="263"/>
      <c r="AD352" s="263"/>
      <c r="AE352" s="263"/>
      <c r="AF352" s="263"/>
      <c r="AG352" s="263"/>
      <c r="AH352" s="263"/>
      <c r="AI352" s="263"/>
      <c r="AJ352" s="263"/>
      <c r="AK352" s="263"/>
      <c r="AL352" s="263"/>
      <c r="AM352" s="263"/>
      <c r="AN352" s="263"/>
      <c r="AO352" s="263"/>
      <c r="AP352" s="263"/>
      <c r="AQ352" s="263"/>
      <c r="AR352" s="263"/>
      <c r="AS352" s="263"/>
      <c r="AT352" s="263"/>
      <c r="AU352" s="263"/>
      <c r="AV352" s="263"/>
      <c r="AW352" s="263"/>
      <c r="AX352" s="263"/>
      <c r="AY352" s="263"/>
      <c r="AZ352" s="263"/>
      <c r="BA352" s="263"/>
      <c r="BB352" s="263"/>
      <c r="BC352" s="263"/>
      <c r="BD352" s="263"/>
      <c r="BE352" s="263"/>
      <c r="BF352" s="263"/>
      <c r="BG352" s="263"/>
      <c r="BH352" s="263"/>
      <c r="BI352" s="263"/>
      <c r="BJ352" s="263"/>
      <c r="BK352" s="263"/>
      <c r="BL352" s="263"/>
      <c r="BM352" s="263"/>
      <c r="BN352" s="263"/>
      <c r="BO352" s="263"/>
      <c r="BP352" s="263"/>
      <c r="BQ352" s="263"/>
      <c r="BR352" s="263"/>
      <c r="BS352" s="263"/>
      <c r="BT352" s="263"/>
      <c r="BU352" s="458"/>
      <c r="BV352" s="458"/>
      <c r="BW352" s="458"/>
      <c r="BX352" s="458"/>
      <c r="BY352" s="263"/>
      <c r="BZ352" s="263"/>
      <c r="CA352" s="263"/>
      <c r="CB352" s="263"/>
      <c r="CC352" s="263"/>
      <c r="CD352" s="263"/>
      <c r="DX352" s="2171"/>
    </row>
    <row r="353" spans="1:17" ht="18.75" thickBot="1" x14ac:dyDescent="0.3">
      <c r="A353" s="2488" t="s">
        <v>731</v>
      </c>
      <c r="B353" s="2489"/>
      <c r="C353" s="2489"/>
      <c r="D353" s="2489"/>
      <c r="E353" s="2489"/>
      <c r="F353" s="2489"/>
      <c r="G353" s="2489"/>
      <c r="H353" s="2489"/>
      <c r="I353" s="2489"/>
      <c r="J353" s="2490" t="str">
        <f>IF(L350&gt;L351,"nein","ja")</f>
        <v>ja</v>
      </c>
      <c r="K353" s="2491"/>
      <c r="L353" s="2491"/>
      <c r="M353" s="2492"/>
      <c r="N353" s="4"/>
    </row>
    <row r="354" spans="1:17" ht="10.5" customHeight="1" x14ac:dyDescent="0.2">
      <c r="A354" s="447" t="s">
        <v>882</v>
      </c>
      <c r="B354" s="434"/>
      <c r="C354" s="434"/>
      <c r="D354" s="434"/>
      <c r="E354" s="434"/>
      <c r="F354" s="434"/>
      <c r="I354" s="70"/>
      <c r="J354" s="208"/>
      <c r="K354" s="2230">
        <f>+G5-H7-H8-H10-H11</f>
        <v>0</v>
      </c>
      <c r="L354" s="2230"/>
      <c r="M354" s="447" t="s">
        <v>695</v>
      </c>
      <c r="N354" s="4"/>
      <c r="P354" s="469">
        <f>IF(J352&lt;1,0,L352)</f>
        <v>0</v>
      </c>
      <c r="Q354" s="146" t="s">
        <v>782</v>
      </c>
    </row>
    <row r="355" spans="1:17" ht="8.25" customHeight="1" x14ac:dyDescent="0.2">
      <c r="A355" s="1909" t="str">
        <f>IF(P356=0," ",P356)</f>
        <v xml:space="preserve"> </v>
      </c>
      <c r="P355" s="146">
        <f>IF(J342&gt;J341,J342-J341,0)</f>
        <v>0</v>
      </c>
      <c r="Q355" s="146" t="s">
        <v>783</v>
      </c>
    </row>
    <row r="356" spans="1:17" ht="11.25" customHeight="1" x14ac:dyDescent="0.2">
      <c r="A356" s="1908" t="str">
        <f>IF(AND(P355&gt;0,L352&gt;0,L352&lt;=P355),"Hinweis: Überschreitung der 170 kg N/ha Grenze kann unter Einhaltung der Toleranzen der WDüngV vermieden werden.", IF(AND(P355&gt;0,L352&gt;0,L352&gt;P355),"Hinweis: Überschreitung der 170 kg N/ha Grenze kann unter Einhaltung der Toleranzen der WDüngV verringert werden.",IF(AND(L350&lt;L351,J343&gt;0,K354&gt;0.1),"Hinweis: Eine zusätzliche Ausbringung von Stickstoff auf den eigenen Flächen ist möglich.",IF(AND(J343&gt;0,L352&gt;0),"Hinweis: Überschreitung der Grenzen der WDüngV und der Grenze 170 kg N/ha.",""))))</f>
        <v/>
      </c>
      <c r="P356" s="146">
        <f>IF(P355&gt;P354," ",P354-P355)</f>
        <v>0</v>
      </c>
      <c r="Q356" s="146" t="s">
        <v>784</v>
      </c>
    </row>
    <row r="357" spans="1:17" ht="3.75" customHeight="1" thickBot="1" x14ac:dyDescent="0.25">
      <c r="A357" s="1908"/>
    </row>
    <row r="358" spans="1:17" ht="15.75" customHeight="1" thickBot="1" x14ac:dyDescent="0.25">
      <c r="A358" s="2841" t="s">
        <v>8749</v>
      </c>
      <c r="B358" s="2842"/>
      <c r="C358" s="2842"/>
      <c r="D358" s="2842"/>
      <c r="E358" s="2842"/>
      <c r="F358" s="2842"/>
      <c r="G358" s="2843"/>
      <c r="H358" s="2271" t="s">
        <v>4</v>
      </c>
      <c r="I358" s="2272"/>
      <c r="J358" s="2273" t="s">
        <v>292</v>
      </c>
      <c r="K358" s="2274"/>
      <c r="L358" s="2275" t="s">
        <v>293</v>
      </c>
      <c r="M358" s="2276"/>
    </row>
    <row r="359" spans="1:17" ht="15.75" customHeight="1" thickBot="1" x14ac:dyDescent="0.25">
      <c r="A359" s="2277" t="s">
        <v>8750</v>
      </c>
      <c r="B359" s="2278"/>
      <c r="C359" s="2278"/>
      <c r="D359" s="2278"/>
      <c r="E359" s="2278"/>
      <c r="F359" s="2278"/>
      <c r="G359" s="2279"/>
      <c r="H359" s="2270" t="str">
        <f>IF(K354&lt;0.1,"",G45*-1000/K354)</f>
        <v/>
      </c>
      <c r="I359" s="2266"/>
      <c r="J359" s="2268" t="str">
        <f>IF(K354&lt;0.1,"",H45*-1000/K354)</f>
        <v/>
      </c>
      <c r="K359" s="2269"/>
      <c r="L359" s="2266" t="str">
        <f>IF(K354&lt;0.1,"",I45*-1000/K354)</f>
        <v/>
      </c>
      <c r="M359" s="2267"/>
    </row>
    <row r="360" spans="1:17" ht="1.5" customHeight="1" x14ac:dyDescent="0.2"/>
  </sheetData>
  <sheetProtection algorithmName="SHA-512" hashValue="8UbsgbVc2jt48RpI3ZDO+yedWwZU+7dPJv+LH/Vcz5ocGtgARqbaD6XN0dDAuKiV7abW5e2If80CXj1d27grmA==" saltValue="lI3DKd2dIzmB8PF96mHSRQ==" spinCount="100000" sheet="1" objects="1" scenarios="1"/>
  <dataConsolidate/>
  <customSheetViews>
    <customSheetView guid="{DDA6E6AA-9473-49A0-A3A2-76E4959B79AF}" printArea="1" hiddenColumns="1">
      <selection activeCell="CB7" sqref="CB7"/>
      <pageMargins left="0.39370078740157483" right="0.39370078740157483" top="0.39370078740157483" bottom="0.39370078740157483" header="0.31496062992125984" footer="0.31496062992125984"/>
      <pageSetup paperSize="9" orientation="portrait" r:id="rId1"/>
      <headerFooter alignWithMargins="0">
        <oddFooter>&amp;C&amp;P von &amp;N</oddFooter>
      </headerFooter>
    </customSheetView>
  </customSheetViews>
  <mergeCells count="659">
    <mergeCell ref="DX64:DX65"/>
    <mergeCell ref="CF66:CH66"/>
    <mergeCell ref="CL66:CN66"/>
    <mergeCell ref="A169:G169"/>
    <mergeCell ref="A170:G170"/>
    <mergeCell ref="B10:E10"/>
    <mergeCell ref="B7:E7"/>
    <mergeCell ref="A358:G358"/>
    <mergeCell ref="A253:M253"/>
    <mergeCell ref="J255:M255"/>
    <mergeCell ref="F110:F112"/>
    <mergeCell ref="F134:F136"/>
    <mergeCell ref="K138:L138"/>
    <mergeCell ref="K125:L125"/>
    <mergeCell ref="K129:L129"/>
    <mergeCell ref="K130:L130"/>
    <mergeCell ref="C138:D138"/>
    <mergeCell ref="C139:D139"/>
    <mergeCell ref="C140:D140"/>
    <mergeCell ref="C141:D141"/>
    <mergeCell ref="C143:D143"/>
    <mergeCell ref="C144:D144"/>
    <mergeCell ref="A82:D82"/>
    <mergeCell ref="A86:D86"/>
    <mergeCell ref="B280:I280"/>
    <mergeCell ref="F263:G263"/>
    <mergeCell ref="X229:Z229"/>
    <mergeCell ref="J262:K262"/>
    <mergeCell ref="H261:I261"/>
    <mergeCell ref="L256:M256"/>
    <mergeCell ref="L259:M259"/>
    <mergeCell ref="C255:C256"/>
    <mergeCell ref="A257:B257"/>
    <mergeCell ref="D257:E257"/>
    <mergeCell ref="D255:E255"/>
    <mergeCell ref="J256:K256"/>
    <mergeCell ref="E245:F246"/>
    <mergeCell ref="C238:D238"/>
    <mergeCell ref="H256:I256"/>
    <mergeCell ref="D256:E256"/>
    <mergeCell ref="F255:G255"/>
    <mergeCell ref="F256:G256"/>
    <mergeCell ref="A259:B259"/>
    <mergeCell ref="D259:E259"/>
    <mergeCell ref="H259:I259"/>
    <mergeCell ref="D258:E258"/>
    <mergeCell ref="F261:G261"/>
    <mergeCell ref="H260:I260"/>
    <mergeCell ref="A165:G165"/>
    <mergeCell ref="H177:J177"/>
    <mergeCell ref="H231:J231"/>
    <mergeCell ref="E242:F242"/>
    <mergeCell ref="C242:D242"/>
    <mergeCell ref="H181:J181"/>
    <mergeCell ref="H175:J175"/>
    <mergeCell ref="L261:M261"/>
    <mergeCell ref="L263:M263"/>
    <mergeCell ref="D260:E260"/>
    <mergeCell ref="D262:E262"/>
    <mergeCell ref="H262:I262"/>
    <mergeCell ref="A262:B262"/>
    <mergeCell ref="D261:E261"/>
    <mergeCell ref="A260:B260"/>
    <mergeCell ref="A261:B261"/>
    <mergeCell ref="L262:M262"/>
    <mergeCell ref="A263:B263"/>
    <mergeCell ref="J257:K257"/>
    <mergeCell ref="L258:M258"/>
    <mergeCell ref="F260:G260"/>
    <mergeCell ref="F262:G262"/>
    <mergeCell ref="D263:E263"/>
    <mergeCell ref="H263:I263"/>
    <mergeCell ref="L290:M290"/>
    <mergeCell ref="J268:K268"/>
    <mergeCell ref="J278:K278"/>
    <mergeCell ref="L272:M272"/>
    <mergeCell ref="L289:M289"/>
    <mergeCell ref="J271:K271"/>
    <mergeCell ref="J279:K279"/>
    <mergeCell ref="L279:M279"/>
    <mergeCell ref="L283:M283"/>
    <mergeCell ref="J283:K283"/>
    <mergeCell ref="L281:M281"/>
    <mergeCell ref="J281:K281"/>
    <mergeCell ref="L275:M275"/>
    <mergeCell ref="B279:I279"/>
    <mergeCell ref="A266:B266"/>
    <mergeCell ref="B271:I271"/>
    <mergeCell ref="D269:E269"/>
    <mergeCell ref="L268:M268"/>
    <mergeCell ref="L269:M269"/>
    <mergeCell ref="L273:M273"/>
    <mergeCell ref="J264:K264"/>
    <mergeCell ref="J276:K276"/>
    <mergeCell ref="L265:M265"/>
    <mergeCell ref="C264:C265"/>
    <mergeCell ref="J270:K270"/>
    <mergeCell ref="L276:M276"/>
    <mergeCell ref="B272:I272"/>
    <mergeCell ref="B273:I273"/>
    <mergeCell ref="J275:K275"/>
    <mergeCell ref="D264:E264"/>
    <mergeCell ref="H267:I267"/>
    <mergeCell ref="J265:K265"/>
    <mergeCell ref="L270:M270"/>
    <mergeCell ref="J274:K274"/>
    <mergeCell ref="J272:K272"/>
    <mergeCell ref="L277:M277"/>
    <mergeCell ref="L264:M264"/>
    <mergeCell ref="AK305:AL305"/>
    <mergeCell ref="S290:T290"/>
    <mergeCell ref="A316:C316"/>
    <mergeCell ref="AI305:AJ305"/>
    <mergeCell ref="H311:I311"/>
    <mergeCell ref="K312:L312"/>
    <mergeCell ref="H312:I312"/>
    <mergeCell ref="K309:L309"/>
    <mergeCell ref="J290:K290"/>
    <mergeCell ref="H308:I308"/>
    <mergeCell ref="A313:C313"/>
    <mergeCell ref="A293:I293"/>
    <mergeCell ref="A314:C314"/>
    <mergeCell ref="A309:C309"/>
    <mergeCell ref="A315:C315"/>
    <mergeCell ref="K313:L313"/>
    <mergeCell ref="K314:L314"/>
    <mergeCell ref="K299:L299"/>
    <mergeCell ref="H307:I307"/>
    <mergeCell ref="H306:I306"/>
    <mergeCell ref="H309:I309"/>
    <mergeCell ref="J307:M307"/>
    <mergeCell ref="D306:D307"/>
    <mergeCell ref="A310:C310"/>
    <mergeCell ref="EI62:EJ62"/>
    <mergeCell ref="DS62:DY62"/>
    <mergeCell ref="DS67:DU67"/>
    <mergeCell ref="DV67:DY67"/>
    <mergeCell ref="Z65:AA65"/>
    <mergeCell ref="CO64:CP64"/>
    <mergeCell ref="BW66:BY66"/>
    <mergeCell ref="BR65:BT65"/>
    <mergeCell ref="AV66:AX66"/>
    <mergeCell ref="CI66:CK66"/>
    <mergeCell ref="BZ66:CA66"/>
    <mergeCell ref="CY66:CZ66"/>
    <mergeCell ref="EG62:EH62"/>
    <mergeCell ref="CC66:CE66"/>
    <mergeCell ref="DO66:DP66"/>
    <mergeCell ref="AS65:AX65"/>
    <mergeCell ref="AL65:AQ65"/>
    <mergeCell ref="AB65:AE65"/>
    <mergeCell ref="AF65:AI65"/>
    <mergeCell ref="EC62:EF62"/>
    <mergeCell ref="DO65:DP65"/>
    <mergeCell ref="EE64:EF64"/>
    <mergeCell ref="AS66:AU66"/>
    <mergeCell ref="AL66:AN66"/>
    <mergeCell ref="A292:I292"/>
    <mergeCell ref="B281:I281"/>
    <mergeCell ref="J280:K280"/>
    <mergeCell ref="L280:M280"/>
    <mergeCell ref="J282:K282"/>
    <mergeCell ref="J292:K292"/>
    <mergeCell ref="H338:I338"/>
    <mergeCell ref="H310:I310"/>
    <mergeCell ref="L284:M284"/>
    <mergeCell ref="J284:K284"/>
    <mergeCell ref="H315:I315"/>
    <mergeCell ref="K318:L318"/>
    <mergeCell ref="H319:I319"/>
    <mergeCell ref="L293:M293"/>
    <mergeCell ref="A321:C321"/>
    <mergeCell ref="A334:C334"/>
    <mergeCell ref="H331:I331"/>
    <mergeCell ref="H335:I335"/>
    <mergeCell ref="A330:C330"/>
    <mergeCell ref="K300:L300"/>
    <mergeCell ref="A298:M298"/>
    <mergeCell ref="J288:K288"/>
    <mergeCell ref="L294:M294"/>
    <mergeCell ref="H316:I316"/>
    <mergeCell ref="A308:C308"/>
    <mergeCell ref="A317:C317"/>
    <mergeCell ref="J293:K293"/>
    <mergeCell ref="J294:K294"/>
    <mergeCell ref="H313:I313"/>
    <mergeCell ref="A318:C318"/>
    <mergeCell ref="A319:C319"/>
    <mergeCell ref="H314:I314"/>
    <mergeCell ref="H327:I327"/>
    <mergeCell ref="A326:C326"/>
    <mergeCell ref="A327:C327"/>
    <mergeCell ref="A320:C320"/>
    <mergeCell ref="H320:I320"/>
    <mergeCell ref="K320:L320"/>
    <mergeCell ref="A322:C322"/>
    <mergeCell ref="H325:I325"/>
    <mergeCell ref="H322:I322"/>
    <mergeCell ref="H321:I321"/>
    <mergeCell ref="K321:L321"/>
    <mergeCell ref="K322:L322"/>
    <mergeCell ref="A336:C336"/>
    <mergeCell ref="H324:I324"/>
    <mergeCell ref="A328:C328"/>
    <mergeCell ref="H334:I334"/>
    <mergeCell ref="A335:C335"/>
    <mergeCell ref="A333:C333"/>
    <mergeCell ref="H333:I333"/>
    <mergeCell ref="K325:L325"/>
    <mergeCell ref="A324:C324"/>
    <mergeCell ref="A325:C325"/>
    <mergeCell ref="H326:I326"/>
    <mergeCell ref="K326:L326"/>
    <mergeCell ref="K335:L335"/>
    <mergeCell ref="H330:I330"/>
    <mergeCell ref="K330:L330"/>
    <mergeCell ref="K327:L327"/>
    <mergeCell ref="K324:L324"/>
    <mergeCell ref="K334:L334"/>
    <mergeCell ref="A329:C329"/>
    <mergeCell ref="A332:C332"/>
    <mergeCell ref="A331:C331"/>
    <mergeCell ref="K332:L332"/>
    <mergeCell ref="H329:I329"/>
    <mergeCell ref="H332:I332"/>
    <mergeCell ref="A54:I54"/>
    <mergeCell ref="F93:G93"/>
    <mergeCell ref="K73:L73"/>
    <mergeCell ref="H99:I99"/>
    <mergeCell ref="A75:D75"/>
    <mergeCell ref="A81:D81"/>
    <mergeCell ref="A78:D78"/>
    <mergeCell ref="A85:D85"/>
    <mergeCell ref="H90:I90"/>
    <mergeCell ref="A74:D74"/>
    <mergeCell ref="A77:D77"/>
    <mergeCell ref="A84:D84"/>
    <mergeCell ref="H65:I65"/>
    <mergeCell ref="L58:M58"/>
    <mergeCell ref="J57:K57"/>
    <mergeCell ref="J58:K58"/>
    <mergeCell ref="L56:M56"/>
    <mergeCell ref="F65:G65"/>
    <mergeCell ref="K65:L65"/>
    <mergeCell ref="A56:I56"/>
    <mergeCell ref="A71:D71"/>
    <mergeCell ref="A70:D70"/>
    <mergeCell ref="A68:D68"/>
    <mergeCell ref="A72:D72"/>
    <mergeCell ref="A46:D47"/>
    <mergeCell ref="J41:K41"/>
    <mergeCell ref="L39:M39"/>
    <mergeCell ref="L51:M51"/>
    <mergeCell ref="L52:M52"/>
    <mergeCell ref="J44:K44"/>
    <mergeCell ref="L37:M37"/>
    <mergeCell ref="L41:M41"/>
    <mergeCell ref="J40:K40"/>
    <mergeCell ref="J39:K39"/>
    <mergeCell ref="L40:M40"/>
    <mergeCell ref="J47:K47"/>
    <mergeCell ref="L47:M47"/>
    <mergeCell ref="J42:K42"/>
    <mergeCell ref="L42:M42"/>
    <mergeCell ref="L45:M45"/>
    <mergeCell ref="J52:K52"/>
    <mergeCell ref="L44:M44"/>
    <mergeCell ref="J45:K45"/>
    <mergeCell ref="L46:M46"/>
    <mergeCell ref="J46:K46"/>
    <mergeCell ref="J50:K50"/>
    <mergeCell ref="L50:M50"/>
    <mergeCell ref="AZ65:BE65"/>
    <mergeCell ref="B9:E9"/>
    <mergeCell ref="H12:M12"/>
    <mergeCell ref="A1:I1"/>
    <mergeCell ref="B8:E8"/>
    <mergeCell ref="J34:K34"/>
    <mergeCell ref="J35:K35"/>
    <mergeCell ref="L34:M34"/>
    <mergeCell ref="J38:K38"/>
    <mergeCell ref="L38:M38"/>
    <mergeCell ref="A2:I2"/>
    <mergeCell ref="B6:E6"/>
    <mergeCell ref="A3:I3"/>
    <mergeCell ref="I13:M13"/>
    <mergeCell ref="L31:M31"/>
    <mergeCell ref="J31:K31"/>
    <mergeCell ref="F24:F27"/>
    <mergeCell ref="G31:I31"/>
    <mergeCell ref="L32:M32"/>
    <mergeCell ref="A35:E35"/>
    <mergeCell ref="J36:K36"/>
    <mergeCell ref="J37:K37"/>
    <mergeCell ref="G33:M33"/>
    <mergeCell ref="L35:M35"/>
    <mergeCell ref="K94:L94"/>
    <mergeCell ref="K96:L96"/>
    <mergeCell ref="DJ62:DN62"/>
    <mergeCell ref="K118:L118"/>
    <mergeCell ref="BH66:BJ66"/>
    <mergeCell ref="AZ66:BB66"/>
    <mergeCell ref="AO66:AQ66"/>
    <mergeCell ref="AB64:AI64"/>
    <mergeCell ref="AS89:AX89"/>
    <mergeCell ref="J112:M112"/>
    <mergeCell ref="K92:L92"/>
    <mergeCell ref="J91:M91"/>
    <mergeCell ref="J111:M111"/>
    <mergeCell ref="BC66:BE66"/>
    <mergeCell ref="DD62:DI62"/>
    <mergeCell ref="DG64:DI64"/>
    <mergeCell ref="DD64:DF64"/>
    <mergeCell ref="K114:L114"/>
    <mergeCell ref="K115:L115"/>
    <mergeCell ref="K71:L71"/>
    <mergeCell ref="K117:L117"/>
    <mergeCell ref="K113:L113"/>
    <mergeCell ref="BI110:BJ110"/>
    <mergeCell ref="K90:L90"/>
    <mergeCell ref="AL89:AQ89"/>
    <mergeCell ref="K79:L79"/>
    <mergeCell ref="K69:L69"/>
    <mergeCell ref="W65:Y65"/>
    <mergeCell ref="AL91:AQ91"/>
    <mergeCell ref="K76:L76"/>
    <mergeCell ref="K75:L75"/>
    <mergeCell ref="K80:L80"/>
    <mergeCell ref="K67:L67"/>
    <mergeCell ref="K70:L70"/>
    <mergeCell ref="K68:L68"/>
    <mergeCell ref="K88:L88"/>
    <mergeCell ref="K84:L84"/>
    <mergeCell ref="Q89:R89"/>
    <mergeCell ref="U64:X64"/>
    <mergeCell ref="U65:V65"/>
    <mergeCell ref="J56:K56"/>
    <mergeCell ref="J64:L64"/>
    <mergeCell ref="J135:M135"/>
    <mergeCell ref="A167:G167"/>
    <mergeCell ref="A171:L171"/>
    <mergeCell ref="L169:M169"/>
    <mergeCell ref="T36:T37"/>
    <mergeCell ref="R62:T62"/>
    <mergeCell ref="K97:L97"/>
    <mergeCell ref="L54:M54"/>
    <mergeCell ref="J54:K54"/>
    <mergeCell ref="A69:D69"/>
    <mergeCell ref="E64:I64"/>
    <mergeCell ref="A66:D67"/>
    <mergeCell ref="A64:D65"/>
    <mergeCell ref="A50:I50"/>
    <mergeCell ref="L53:M53"/>
    <mergeCell ref="J51:K51"/>
    <mergeCell ref="L36:M36"/>
    <mergeCell ref="A40:E40"/>
    <mergeCell ref="A42:E42"/>
    <mergeCell ref="A53:I53"/>
    <mergeCell ref="J53:K53"/>
    <mergeCell ref="K87:L87"/>
    <mergeCell ref="K66:L66"/>
    <mergeCell ref="L57:M57"/>
    <mergeCell ref="A164:G164"/>
    <mergeCell ref="K150:L150"/>
    <mergeCell ref="K153:L153"/>
    <mergeCell ref="K154:L154"/>
    <mergeCell ref="C148:D148"/>
    <mergeCell ref="C149:D149"/>
    <mergeCell ref="C150:D150"/>
    <mergeCell ref="C151:D151"/>
    <mergeCell ref="C152:D152"/>
    <mergeCell ref="A155:B155"/>
    <mergeCell ref="C154:D154"/>
    <mergeCell ref="A73:D73"/>
    <mergeCell ref="A80:D80"/>
    <mergeCell ref="K81:L81"/>
    <mergeCell ref="K74:L74"/>
    <mergeCell ref="K83:L83"/>
    <mergeCell ref="C142:D142"/>
    <mergeCell ref="J136:M136"/>
    <mergeCell ref="K72:L72"/>
    <mergeCell ref="K98:L98"/>
    <mergeCell ref="K128:L128"/>
    <mergeCell ref="A76:D76"/>
    <mergeCell ref="A79:D79"/>
    <mergeCell ref="H95:I95"/>
    <mergeCell ref="A83:D83"/>
    <mergeCell ref="H93:I93"/>
    <mergeCell ref="F99:G99"/>
    <mergeCell ref="F92:G92"/>
    <mergeCell ref="H98:I98"/>
    <mergeCell ref="F91:G91"/>
    <mergeCell ref="H91:I91"/>
    <mergeCell ref="F90:G90"/>
    <mergeCell ref="K120:L120"/>
    <mergeCell ref="K127:L127"/>
    <mergeCell ref="K85:L85"/>
    <mergeCell ref="K82:L82"/>
    <mergeCell ref="K78:L78"/>
    <mergeCell ref="K121:L121"/>
    <mergeCell ref="K77:L77"/>
    <mergeCell ref="A87:D87"/>
    <mergeCell ref="K119:L119"/>
    <mergeCell ref="K86:L86"/>
    <mergeCell ref="K110:L110"/>
    <mergeCell ref="K99:L99"/>
    <mergeCell ref="C155:D155"/>
    <mergeCell ref="F95:G95"/>
    <mergeCell ref="H92:I92"/>
    <mergeCell ref="F97:G97"/>
    <mergeCell ref="F96:G96"/>
    <mergeCell ref="A102:C102"/>
    <mergeCell ref="A103:C105"/>
    <mergeCell ref="C145:D145"/>
    <mergeCell ref="C134:D136"/>
    <mergeCell ref="C137:D137"/>
    <mergeCell ref="C153:D153"/>
    <mergeCell ref="C146:D146"/>
    <mergeCell ref="C147:D147"/>
    <mergeCell ref="A136:B136"/>
    <mergeCell ref="A134:B134"/>
    <mergeCell ref="F257:G257"/>
    <mergeCell ref="J258:K258"/>
    <mergeCell ref="H257:I257"/>
    <mergeCell ref="H258:I258"/>
    <mergeCell ref="F258:G258"/>
    <mergeCell ref="A258:B258"/>
    <mergeCell ref="F259:G259"/>
    <mergeCell ref="B278:I278"/>
    <mergeCell ref="J269:K269"/>
    <mergeCell ref="D265:E265"/>
    <mergeCell ref="A269:B269"/>
    <mergeCell ref="D268:E268"/>
    <mergeCell ref="H268:I268"/>
    <mergeCell ref="A267:B267"/>
    <mergeCell ref="D267:E267"/>
    <mergeCell ref="D266:E266"/>
    <mergeCell ref="H265:I265"/>
    <mergeCell ref="H264:I264"/>
    <mergeCell ref="A268:B268"/>
    <mergeCell ref="J348:K348"/>
    <mergeCell ref="L343:M343"/>
    <mergeCell ref="J342:K342"/>
    <mergeCell ref="H337:I337"/>
    <mergeCell ref="A353:I353"/>
    <mergeCell ref="J353:M353"/>
    <mergeCell ref="J350:K350"/>
    <mergeCell ref="J351:K351"/>
    <mergeCell ref="A348:I349"/>
    <mergeCell ref="A351:I351"/>
    <mergeCell ref="L348:M348"/>
    <mergeCell ref="L349:M349"/>
    <mergeCell ref="L350:M350"/>
    <mergeCell ref="J349:K349"/>
    <mergeCell ref="A350:I350"/>
    <mergeCell ref="K338:L338"/>
    <mergeCell ref="J344:K344"/>
    <mergeCell ref="L344:M344"/>
    <mergeCell ref="A337:C337"/>
    <mergeCell ref="A338:D338"/>
    <mergeCell ref="A190:G190"/>
    <mergeCell ref="I206:L206"/>
    <mergeCell ref="L167:M167"/>
    <mergeCell ref="A168:G168"/>
    <mergeCell ref="J170:K170"/>
    <mergeCell ref="J169:K169"/>
    <mergeCell ref="J166:K166"/>
    <mergeCell ref="J167:K167"/>
    <mergeCell ref="B203:C203"/>
    <mergeCell ref="E204:H204"/>
    <mergeCell ref="A191:G191"/>
    <mergeCell ref="A189:G189"/>
    <mergeCell ref="A187:G187"/>
    <mergeCell ref="A188:G188"/>
    <mergeCell ref="B205:C205"/>
    <mergeCell ref="U212:V212"/>
    <mergeCell ref="W212:X212"/>
    <mergeCell ref="W213:X213"/>
    <mergeCell ref="L342:M342"/>
    <mergeCell ref="J277:K277"/>
    <mergeCell ref="Q255:R255"/>
    <mergeCell ref="J261:K261"/>
    <mergeCell ref="L260:M260"/>
    <mergeCell ref="J291:K291"/>
    <mergeCell ref="J259:K259"/>
    <mergeCell ref="J267:K267"/>
    <mergeCell ref="J266:K266"/>
    <mergeCell ref="J260:K260"/>
    <mergeCell ref="L271:M271"/>
    <mergeCell ref="J263:K263"/>
    <mergeCell ref="L266:M266"/>
    <mergeCell ref="L267:M267"/>
    <mergeCell ref="K315:L315"/>
    <mergeCell ref="K308:L308"/>
    <mergeCell ref="K319:L319"/>
    <mergeCell ref="K229:M229"/>
    <mergeCell ref="K230:M230"/>
    <mergeCell ref="K329:L329"/>
    <mergeCell ref="L237:M237"/>
    <mergeCell ref="AG305:AH305"/>
    <mergeCell ref="H328:I328"/>
    <mergeCell ref="H190:J190"/>
    <mergeCell ref="L278:M278"/>
    <mergeCell ref="J273:K273"/>
    <mergeCell ref="L274:M274"/>
    <mergeCell ref="B277:I277"/>
    <mergeCell ref="K316:L316"/>
    <mergeCell ref="J289:K289"/>
    <mergeCell ref="L288:M288"/>
    <mergeCell ref="AE305:AF305"/>
    <mergeCell ref="K306:L306"/>
    <mergeCell ref="A323:C323"/>
    <mergeCell ref="A311:C311"/>
    <mergeCell ref="A312:C312"/>
    <mergeCell ref="H255:I255"/>
    <mergeCell ref="L282:M282"/>
    <mergeCell ref="L257:M257"/>
    <mergeCell ref="H269:I269"/>
    <mergeCell ref="B274:I274"/>
    <mergeCell ref="H266:I266"/>
    <mergeCell ref="H191:J191"/>
    <mergeCell ref="H237:I237"/>
    <mergeCell ref="H242:I242"/>
    <mergeCell ref="D229:E229"/>
    <mergeCell ref="A227:M227"/>
    <mergeCell ref="K140:L140"/>
    <mergeCell ref="K141:L141"/>
    <mergeCell ref="K93:L93"/>
    <mergeCell ref="K143:L143"/>
    <mergeCell ref="H96:I96"/>
    <mergeCell ref="H97:I97"/>
    <mergeCell ref="K95:L95"/>
    <mergeCell ref="K137:L137"/>
    <mergeCell ref="K116:L116"/>
    <mergeCell ref="K122:L122"/>
    <mergeCell ref="K123:L123"/>
    <mergeCell ref="K124:L124"/>
    <mergeCell ref="H229:J229"/>
    <mergeCell ref="L166:M166"/>
    <mergeCell ref="A166:G166"/>
    <mergeCell ref="H189:J189"/>
    <mergeCell ref="L168:M168"/>
    <mergeCell ref="J168:K168"/>
    <mergeCell ref="H187:J187"/>
    <mergeCell ref="H188:J188"/>
    <mergeCell ref="L170:M170"/>
    <mergeCell ref="B204:C204"/>
    <mergeCell ref="K144:L144"/>
    <mergeCell ref="L163:M163"/>
    <mergeCell ref="L164:M164"/>
    <mergeCell ref="K126:L126"/>
    <mergeCell ref="K149:L149"/>
    <mergeCell ref="K146:L146"/>
    <mergeCell ref="K147:L147"/>
    <mergeCell ref="H230:J230"/>
    <mergeCell ref="H178:J178"/>
    <mergeCell ref="H179:J179"/>
    <mergeCell ref="H180:J180"/>
    <mergeCell ref="H176:J176"/>
    <mergeCell ref="K148:L148"/>
    <mergeCell ref="L165:M165"/>
    <mergeCell ref="K151:L151"/>
    <mergeCell ref="K152:L152"/>
    <mergeCell ref="K145:L145"/>
    <mergeCell ref="J163:K163"/>
    <mergeCell ref="J164:K164"/>
    <mergeCell ref="K155:L155"/>
    <mergeCell ref="J165:K165"/>
    <mergeCell ref="K139:L139"/>
    <mergeCell ref="K142:L142"/>
    <mergeCell ref="K134:L134"/>
    <mergeCell ref="D230:E230"/>
    <mergeCell ref="D231:E231"/>
    <mergeCell ref="C240:D240"/>
    <mergeCell ref="C241:D241"/>
    <mergeCell ref="L238:M238"/>
    <mergeCell ref="L240:M240"/>
    <mergeCell ref="J239:M239"/>
    <mergeCell ref="J241:M241"/>
    <mergeCell ref="K232:M232"/>
    <mergeCell ref="K233:M233"/>
    <mergeCell ref="K234:M234"/>
    <mergeCell ref="C237:D237"/>
    <mergeCell ref="C239:F239"/>
    <mergeCell ref="H232:J232"/>
    <mergeCell ref="H233:J233"/>
    <mergeCell ref="H234:J234"/>
    <mergeCell ref="H245:I245"/>
    <mergeCell ref="H246:I246"/>
    <mergeCell ref="J245:K245"/>
    <mergeCell ref="J246:K246"/>
    <mergeCell ref="J341:K341"/>
    <mergeCell ref="J343:K343"/>
    <mergeCell ref="K231:M231"/>
    <mergeCell ref="D234:E234"/>
    <mergeCell ref="D232:E232"/>
    <mergeCell ref="D233:E233"/>
    <mergeCell ref="E243:F243"/>
    <mergeCell ref="E244:F244"/>
    <mergeCell ref="L242:M242"/>
    <mergeCell ref="H243:I243"/>
    <mergeCell ref="H244:I244"/>
    <mergeCell ref="K328:L328"/>
    <mergeCell ref="H323:I323"/>
    <mergeCell ref="K331:L331"/>
    <mergeCell ref="H317:I317"/>
    <mergeCell ref="K310:L310"/>
    <mergeCell ref="K311:L311"/>
    <mergeCell ref="K317:L317"/>
    <mergeCell ref="K323:L323"/>
    <mergeCell ref="H318:I318"/>
    <mergeCell ref="J244:K244"/>
    <mergeCell ref="L243:M243"/>
    <mergeCell ref="L244:M244"/>
    <mergeCell ref="C243:D243"/>
    <mergeCell ref="C244:D244"/>
    <mergeCell ref="B238:B239"/>
    <mergeCell ref="L359:M359"/>
    <mergeCell ref="J359:K359"/>
    <mergeCell ref="H359:I359"/>
    <mergeCell ref="H358:I358"/>
    <mergeCell ref="J358:K358"/>
    <mergeCell ref="L358:M358"/>
    <mergeCell ref="A359:G359"/>
    <mergeCell ref="L245:M245"/>
    <mergeCell ref="L246:M246"/>
    <mergeCell ref="A304:M304"/>
    <mergeCell ref="A270:I270"/>
    <mergeCell ref="K337:L337"/>
    <mergeCell ref="K333:L333"/>
    <mergeCell ref="L340:M340"/>
    <mergeCell ref="L341:M341"/>
    <mergeCell ref="H336:I336"/>
    <mergeCell ref="K336:L336"/>
    <mergeCell ref="J340:K340"/>
    <mergeCell ref="S285:T287"/>
    <mergeCell ref="V285:V287"/>
    <mergeCell ref="W285:W287"/>
    <mergeCell ref="X285:X287"/>
    <mergeCell ref="A58:I58"/>
    <mergeCell ref="A344:I344"/>
    <mergeCell ref="K354:L354"/>
    <mergeCell ref="J352:K352"/>
    <mergeCell ref="L352:M352"/>
    <mergeCell ref="L351:M351"/>
    <mergeCell ref="A346:L346"/>
    <mergeCell ref="B245:B246"/>
    <mergeCell ref="C245:D246"/>
    <mergeCell ref="E237:F237"/>
    <mergeCell ref="E238:F238"/>
    <mergeCell ref="E240:F240"/>
    <mergeCell ref="E241:F241"/>
    <mergeCell ref="H238:I239"/>
    <mergeCell ref="H240:I241"/>
    <mergeCell ref="J237:K237"/>
    <mergeCell ref="J238:K238"/>
    <mergeCell ref="J240:K240"/>
    <mergeCell ref="J242:K242"/>
    <mergeCell ref="J243:K243"/>
  </mergeCells>
  <phoneticPr fontId="0" type="noConversion"/>
  <conditionalFormatting sqref="F113:M130">
    <cfRule type="cellIs" dxfId="53" priority="14" stopIfTrue="1" operator="between">
      <formula>0</formula>
      <formula>0</formula>
    </cfRule>
    <cfRule type="cellIs" priority="15" stopIfTrue="1" operator="between">
      <formula>0</formula>
      <formula>0</formula>
    </cfRule>
  </conditionalFormatting>
  <conditionalFormatting sqref="J58:K58">
    <cfRule type="containsText" dxfId="52" priority="4" stopIfTrue="1" operator="containsText" text="&gt; 170kg">
      <formula>NOT(ISERROR(SEARCH("&gt; 170kg",J58)))</formula>
    </cfRule>
    <cfRule type="containsText" dxfId="51" priority="13" stopIfTrue="1" operator="containsText" text="nein">
      <formula>NOT(ISERROR(SEARCH("nein",J58)))</formula>
    </cfRule>
  </conditionalFormatting>
  <conditionalFormatting sqref="L58:M58">
    <cfRule type="containsText" dxfId="50" priority="12" stopIfTrue="1" operator="containsText" text="nein">
      <formula>NOT(ISERROR(SEARCH("nein",L58)))</formula>
    </cfRule>
  </conditionalFormatting>
  <conditionalFormatting sqref="J54:K54">
    <cfRule type="containsText" dxfId="49" priority="11" stopIfTrue="1" operator="containsText" text="nein">
      <formula>NOT(ISERROR(SEARCH("nein",J54)))</formula>
    </cfRule>
  </conditionalFormatting>
  <conditionalFormatting sqref="L54:M54">
    <cfRule type="containsText" dxfId="48" priority="10" stopIfTrue="1" operator="containsText" text="nein">
      <formula>NOT(ISERROR(SEARCH("nein",L54)))</formula>
    </cfRule>
  </conditionalFormatting>
  <conditionalFormatting sqref="J294:K294">
    <cfRule type="containsText" dxfId="47" priority="9" stopIfTrue="1" operator="containsText" text="nein">
      <formula>NOT(ISERROR(SEARCH("nein",J294)))</formula>
    </cfRule>
  </conditionalFormatting>
  <conditionalFormatting sqref="L294:M294">
    <cfRule type="containsText" dxfId="46" priority="8" stopIfTrue="1" operator="containsText" text="nein">
      <formula>NOT(ISERROR(SEARCH("nein",L294)))</formula>
    </cfRule>
  </conditionalFormatting>
  <conditionalFormatting sqref="J344:K344">
    <cfRule type="containsText" dxfId="45" priority="3" stopIfTrue="1" operator="containsText" text="&gt; 170kg">
      <formula>NOT(ISERROR(SEARCH("&gt; 170kg",J344)))</formula>
    </cfRule>
    <cfRule type="containsText" dxfId="44" priority="7" stopIfTrue="1" operator="containsText" text="nein">
      <formula>NOT(ISERROR(SEARCH("nein",J344)))</formula>
    </cfRule>
  </conditionalFormatting>
  <conditionalFormatting sqref="L344:M344">
    <cfRule type="containsText" dxfId="43" priority="6" stopIfTrue="1" operator="containsText" text="nein">
      <formula>NOT(ISERROR(SEARCH("nein",L344)))</formula>
    </cfRule>
  </conditionalFormatting>
  <conditionalFormatting sqref="J353:M353">
    <cfRule type="containsText" dxfId="42" priority="5" stopIfTrue="1" operator="containsText" text="nein">
      <formula>NOT(ISERROR(SEARCH("nein",J353)))</formula>
    </cfRule>
  </conditionalFormatting>
  <conditionalFormatting sqref="H191:J191">
    <cfRule type="containsText" dxfId="41" priority="2" stopIfTrue="1" operator="containsText" text="nein">
      <formula>NOT(ISERROR(SEARCH("nein",H191)))</formula>
    </cfRule>
  </conditionalFormatting>
  <conditionalFormatting sqref="J350:K350 J352:K352">
    <cfRule type="expression" dxfId="40" priority="16">
      <formula>$K$354=0</formula>
    </cfRule>
  </conditionalFormatting>
  <dataValidations count="23">
    <dataValidation type="decimal" allowBlank="1" showInputMessage="1" showErrorMessage="1" errorTitle="Ungültige Eingabe" error="Geben Sie eine Dezimalzahl ein." sqref="H164:H166 J271:J274 L271:L274">
      <formula1>0</formula1>
      <formula2>99999</formula2>
    </dataValidation>
    <dataValidation type="whole" allowBlank="1" showInputMessage="1" showErrorMessage="1" errorTitle="Ungültige Eingabe" error="Geben Sie eine ganze Zahl ein." sqref="H167">
      <formula1>0</formula1>
      <formula2>99</formula2>
    </dataValidation>
    <dataValidation type="decimal" allowBlank="1" showInputMessage="1" showErrorMessage="1" errorTitle="Ungültige Dateneingabe" error="Geben Sie eine Zahl ein." sqref="H8 Z9 G12 H10:H11 Z5 G5:G6 G9">
      <formula1>0</formula1>
      <formula2>9999</formula2>
    </dataValidation>
    <dataValidation type="textLength" allowBlank="1" showInputMessage="1" showErrorMessage="1" errorTitle="Ungültige Dateneingabe" error="Geben Sie eine gültige Betriebsnummer ein." sqref="B5:C5">
      <formula1>10</formula1>
      <formula2>10</formula2>
    </dataValidation>
    <dataValidation type="whole" allowBlank="1" showInputMessage="1" showErrorMessage="1" errorTitle="Ungültige Dateneingabe" error="Geben Sie eine ganze Zahl zwischen 2000 und 15000 ein." sqref="B12">
      <formula1>2000</formula1>
      <formula2>15000</formula2>
    </dataValidation>
    <dataValidation type="whole" allowBlank="1" showInputMessage="1" showErrorMessage="1" errorTitle="Ungültige Dateineingabe" error="Geben Sie eine ganze Zahl zwischen 300 und 2500 ein." sqref="B13">
      <formula1>300</formula1>
      <formula2>2500</formula2>
    </dataValidation>
    <dataValidation allowBlank="1" showInputMessage="1" showErrorMessage="1" errorTitle="Ungültige Eingabe" error="Geben Sie eine Dezimalzahl ein." sqref="F264:G265 H265 J168:J170"/>
    <dataValidation type="decimal" allowBlank="1" showErrorMessage="1" errorTitle="Ungültige Eingabe" error="Geben Sie eine Dezimalzahl &lt; 100 ein." sqref="F266:I269 D266:D269">
      <formula1>0</formula1>
      <formula2>99</formula2>
    </dataValidation>
    <dataValidation type="decimal" allowBlank="1" showInputMessage="1" showErrorMessage="1" errorTitle="Ungültige Eingabe" error="Geben Sie eine Dezimalzahl &lt; 100 ein." sqref="H257:I263 F257:F263">
      <formula1>0</formula1>
      <formula2>99</formula2>
    </dataValidation>
    <dataValidation type="decimal" allowBlank="1" showInputMessage="1" showErrorMessage="1" errorTitle="Ungültige Eingabe" error="Geben Sie eine Dezimalzahl ein." sqref="L277:L281 J277:J281">
      <formula1>-999999</formula1>
      <formula2>999999</formula2>
    </dataValidation>
    <dataValidation type="decimal" allowBlank="1" showInputMessage="1" showErrorMessage="1" sqref="G13">
      <formula1>0</formula1>
      <formula2>100</formula2>
    </dataValidation>
    <dataValidation type="decimal" allowBlank="1" showInputMessage="1" showErrorMessage="1" errorTitle="Ungültige Eingabe" error="Geben Sie in dieses Feld eine ganze Zahl ein." sqref="G68:G87 Z68:AA87">
      <formula1>0</formula1>
      <formula2>1000000</formula2>
    </dataValidation>
    <dataValidation type="whole" allowBlank="1" showInputMessage="1" showErrorMessage="1" errorTitle="Ungültige Eingabe" error="Geben Sie in dieses Feld eine ganze Zahl ein." sqref="H68:I82">
      <formula1>0</formula1>
      <formula2>100</formula2>
    </dataValidation>
    <dataValidation type="decimal" operator="greaterThanOrEqual" allowBlank="1" showInputMessage="1" showErrorMessage="1" errorTitle="Falsche Eingabe" error="Geben sie eine positve Zahl ein." sqref="E68:F87">
      <formula1>0</formula1>
    </dataValidation>
    <dataValidation type="decimal" allowBlank="1" showInputMessage="1" showErrorMessage="1" errorTitle="Ungültige Eingabe" error="Geben Sie in dieses Feld eine ganze Zahl ein." sqref="H83:I87">
      <formula1>0</formula1>
      <formula2>100</formula2>
    </dataValidation>
    <dataValidation type="decimal" allowBlank="1" showInputMessage="1" showErrorMessage="1" error="Geben sie eine Dezimalzahl ein." sqref="E214">
      <formula1>0</formula1>
      <formula2>100</formula2>
    </dataValidation>
    <dataValidation type="decimal" allowBlank="1" showInputMessage="1" showErrorMessage="1" error="Geben sie eine Dezimalzahl ein._x000a_Der Wert muss kleiner als der TS-Gehalt, des zur Separierung vorgesehenen flüssigen Wirtschaftdüngers sein." sqref="F230">
      <formula1>0</formula1>
      <formula2>D205</formula2>
    </dataValidation>
    <dataValidation type="decimal" allowBlank="1" showInputMessage="1" showErrorMessage="1" errorTitle="ungültige Eingabe" error="Geben Sie eine Dezimalzahl ein." sqref="H168:H170">
      <formula1>0</formula1>
      <formula2>99999</formula2>
    </dataValidation>
    <dataValidation type="decimal" allowBlank="1" showInputMessage="1" showErrorMessage="1" sqref="F192:G194 F182:G182">
      <formula1>36</formula1>
      <formula2>40</formula2>
    </dataValidation>
    <dataValidation type="decimal" allowBlank="1" showInputMessage="1" showErrorMessage="1" sqref="H180">
      <formula1>-10</formula1>
      <formula2>20</formula2>
    </dataValidation>
    <dataValidation type="decimal" allowBlank="1" showInputMessage="1" showErrorMessage="1" sqref="H178:J178">
      <formula1>30</formula1>
      <formula2>44</formula2>
    </dataValidation>
    <dataValidation type="decimal" allowBlank="1" showInputMessage="1" showErrorMessage="1" errorTitle="Ungültige Eingabe" error="Wählen Sie einen Wert zwischen 0 und 100." sqref="F137:F155 E113:E130">
      <formula1>0</formula1>
      <formula2>100</formula2>
    </dataValidation>
    <dataValidation type="decimal" operator="greaterThanOrEqual" allowBlank="1" showInputMessage="1" showErrorMessage="1" sqref="H175:J177">
      <formula1>0</formula1>
    </dataValidation>
  </dataValidations>
  <hyperlinks>
    <hyperlink ref="H12:M12" r:id="rId2" display="ha zusätzliche Ausbringfläche"/>
  </hyperlinks>
  <pageMargins left="0.39370078740157483" right="0.31496062992125984" top="0.39370078740157483" bottom="0.39370078740157483" header="0.31496062992125984" footer="7.874015748031496E-2"/>
  <pageSetup paperSize="9" fitToHeight="0" orientation="portrait" r:id="rId3"/>
  <headerFooter alignWithMargins="0">
    <oddFooter>&amp;C© Bayerische Landesanstalt für Landwirtschaft (Of, Kj, Mk); Stand: 17.10.24;        Seite: &amp;P von &amp;N        &amp;D        &amp;T Uhr</oddFooter>
  </headerFooter>
  <rowBreaks count="6" manualBreakCount="6">
    <brk id="59" max="16383" man="1"/>
    <brk id="106" max="16383" man="1"/>
    <brk id="158" max="16383" man="1"/>
    <brk id="199" max="16383" man="1"/>
    <brk id="251" max="16383" man="1"/>
    <brk id="301" max="16383" man="1"/>
  </rowBreaks>
  <drawing r:id="rId4"/>
  <legacyDrawing r:id="rId5"/>
  <mc:AlternateContent xmlns:mc="http://schemas.openxmlformats.org/markup-compatibility/2006">
    <mc:Choice Requires="x14">
      <controls>
        <mc:AlternateContent xmlns:mc="http://schemas.openxmlformats.org/markup-compatibility/2006">
          <mc:Choice Requires="x14">
            <control shapeId="2055" r:id="rId6" name="Drop Down 7">
              <controlPr defaultSize="0" autoLine="0" autoPict="0">
                <anchor moveWithCells="1">
                  <from>
                    <xdr:col>0</xdr:col>
                    <xdr:colOff>19050</xdr:colOff>
                    <xdr:row>68</xdr:row>
                    <xdr:rowOff>19050</xdr:rowOff>
                  </from>
                  <to>
                    <xdr:col>3</xdr:col>
                    <xdr:colOff>476250</xdr:colOff>
                    <xdr:row>69</xdr:row>
                    <xdr:rowOff>0</xdr:rowOff>
                  </to>
                </anchor>
              </controlPr>
            </control>
          </mc:Choice>
        </mc:AlternateContent>
        <mc:AlternateContent xmlns:mc="http://schemas.openxmlformats.org/markup-compatibility/2006">
          <mc:Choice Requires="x14">
            <control shapeId="2058" r:id="rId7" name="Drop Down 10">
              <controlPr defaultSize="0" autoLine="0" autoPict="0">
                <anchor moveWithCells="1">
                  <from>
                    <xdr:col>0</xdr:col>
                    <xdr:colOff>19050</xdr:colOff>
                    <xdr:row>69</xdr:row>
                    <xdr:rowOff>9525</xdr:rowOff>
                  </from>
                  <to>
                    <xdr:col>3</xdr:col>
                    <xdr:colOff>476250</xdr:colOff>
                    <xdr:row>69</xdr:row>
                    <xdr:rowOff>209550</xdr:rowOff>
                  </to>
                </anchor>
              </controlPr>
            </control>
          </mc:Choice>
        </mc:AlternateContent>
        <mc:AlternateContent xmlns:mc="http://schemas.openxmlformats.org/markup-compatibility/2006">
          <mc:Choice Requires="x14">
            <control shapeId="2059" r:id="rId8" name="Drop Down 11">
              <controlPr defaultSize="0" autoLine="0" autoPict="0">
                <anchor moveWithCells="1">
                  <from>
                    <xdr:col>0</xdr:col>
                    <xdr:colOff>19050</xdr:colOff>
                    <xdr:row>69</xdr:row>
                    <xdr:rowOff>228600</xdr:rowOff>
                  </from>
                  <to>
                    <xdr:col>3</xdr:col>
                    <xdr:colOff>476250</xdr:colOff>
                    <xdr:row>70</xdr:row>
                    <xdr:rowOff>209550</xdr:rowOff>
                  </to>
                </anchor>
              </controlPr>
            </control>
          </mc:Choice>
        </mc:AlternateContent>
        <mc:AlternateContent xmlns:mc="http://schemas.openxmlformats.org/markup-compatibility/2006">
          <mc:Choice Requires="x14">
            <control shapeId="2060" r:id="rId9" name="Drop Down 12">
              <controlPr defaultSize="0" autoLine="0" autoPict="0">
                <anchor moveWithCells="1">
                  <from>
                    <xdr:col>0</xdr:col>
                    <xdr:colOff>19050</xdr:colOff>
                    <xdr:row>70</xdr:row>
                    <xdr:rowOff>228600</xdr:rowOff>
                  </from>
                  <to>
                    <xdr:col>3</xdr:col>
                    <xdr:colOff>476250</xdr:colOff>
                    <xdr:row>71</xdr:row>
                    <xdr:rowOff>209550</xdr:rowOff>
                  </to>
                </anchor>
              </controlPr>
            </control>
          </mc:Choice>
        </mc:AlternateContent>
        <mc:AlternateContent xmlns:mc="http://schemas.openxmlformats.org/markup-compatibility/2006">
          <mc:Choice Requires="x14">
            <control shapeId="2061" r:id="rId10" name="Drop Down 13">
              <controlPr defaultSize="0" autoLine="0" autoPict="0">
                <anchor moveWithCells="1">
                  <from>
                    <xdr:col>0</xdr:col>
                    <xdr:colOff>9525</xdr:colOff>
                    <xdr:row>71</xdr:row>
                    <xdr:rowOff>219075</xdr:rowOff>
                  </from>
                  <to>
                    <xdr:col>3</xdr:col>
                    <xdr:colOff>485775</xdr:colOff>
                    <xdr:row>72</xdr:row>
                    <xdr:rowOff>209550</xdr:rowOff>
                  </to>
                </anchor>
              </controlPr>
            </control>
          </mc:Choice>
        </mc:AlternateContent>
        <mc:AlternateContent xmlns:mc="http://schemas.openxmlformats.org/markup-compatibility/2006">
          <mc:Choice Requires="x14">
            <control shapeId="2062" r:id="rId11" name="Drop Down 14">
              <controlPr defaultSize="0" autoLine="0" autoPict="0">
                <anchor moveWithCells="1">
                  <from>
                    <xdr:col>0</xdr:col>
                    <xdr:colOff>9525</xdr:colOff>
                    <xdr:row>72</xdr:row>
                    <xdr:rowOff>219075</xdr:rowOff>
                  </from>
                  <to>
                    <xdr:col>3</xdr:col>
                    <xdr:colOff>485775</xdr:colOff>
                    <xdr:row>73</xdr:row>
                    <xdr:rowOff>200025</xdr:rowOff>
                  </to>
                </anchor>
              </controlPr>
            </control>
          </mc:Choice>
        </mc:AlternateContent>
        <mc:AlternateContent xmlns:mc="http://schemas.openxmlformats.org/markup-compatibility/2006">
          <mc:Choice Requires="x14">
            <control shapeId="2063" r:id="rId12" name="Drop Down 15">
              <controlPr defaultSize="0" autoLine="0" autoPict="0">
                <anchor moveWithCells="1">
                  <from>
                    <xdr:col>0</xdr:col>
                    <xdr:colOff>9525</xdr:colOff>
                    <xdr:row>73</xdr:row>
                    <xdr:rowOff>219075</xdr:rowOff>
                  </from>
                  <to>
                    <xdr:col>3</xdr:col>
                    <xdr:colOff>485775</xdr:colOff>
                    <xdr:row>74</xdr:row>
                    <xdr:rowOff>209550</xdr:rowOff>
                  </to>
                </anchor>
              </controlPr>
            </control>
          </mc:Choice>
        </mc:AlternateContent>
        <mc:AlternateContent xmlns:mc="http://schemas.openxmlformats.org/markup-compatibility/2006">
          <mc:Choice Requires="x14">
            <control shapeId="2064" r:id="rId13" name="Drop Down 16">
              <controlPr defaultSize="0" autoLine="0" autoPict="0">
                <anchor moveWithCells="1">
                  <from>
                    <xdr:col>0</xdr:col>
                    <xdr:colOff>9525</xdr:colOff>
                    <xdr:row>74</xdr:row>
                    <xdr:rowOff>219075</xdr:rowOff>
                  </from>
                  <to>
                    <xdr:col>3</xdr:col>
                    <xdr:colOff>485775</xdr:colOff>
                    <xdr:row>75</xdr:row>
                    <xdr:rowOff>209550</xdr:rowOff>
                  </to>
                </anchor>
              </controlPr>
            </control>
          </mc:Choice>
        </mc:AlternateContent>
        <mc:AlternateContent xmlns:mc="http://schemas.openxmlformats.org/markup-compatibility/2006">
          <mc:Choice Requires="x14">
            <control shapeId="2065" r:id="rId14" name="Drop Down 17">
              <controlPr defaultSize="0" autoLine="0" autoPict="0">
                <anchor moveWithCells="1">
                  <from>
                    <xdr:col>0</xdr:col>
                    <xdr:colOff>9525</xdr:colOff>
                    <xdr:row>78</xdr:row>
                    <xdr:rowOff>0</xdr:rowOff>
                  </from>
                  <to>
                    <xdr:col>3</xdr:col>
                    <xdr:colOff>485775</xdr:colOff>
                    <xdr:row>78</xdr:row>
                    <xdr:rowOff>219075</xdr:rowOff>
                  </to>
                </anchor>
              </controlPr>
            </control>
          </mc:Choice>
        </mc:AlternateContent>
        <mc:AlternateContent xmlns:mc="http://schemas.openxmlformats.org/markup-compatibility/2006">
          <mc:Choice Requires="x14">
            <control shapeId="2081" r:id="rId15" name="Drop Down 33">
              <controlPr defaultSize="0" autoLine="0" autoPict="0">
                <anchor moveWithCells="1">
                  <from>
                    <xdr:col>0</xdr:col>
                    <xdr:colOff>9525</xdr:colOff>
                    <xdr:row>79</xdr:row>
                    <xdr:rowOff>9525</xdr:rowOff>
                  </from>
                  <to>
                    <xdr:col>3</xdr:col>
                    <xdr:colOff>485775</xdr:colOff>
                    <xdr:row>79</xdr:row>
                    <xdr:rowOff>219075</xdr:rowOff>
                  </to>
                </anchor>
              </controlPr>
            </control>
          </mc:Choice>
        </mc:AlternateContent>
        <mc:AlternateContent xmlns:mc="http://schemas.openxmlformats.org/markup-compatibility/2006">
          <mc:Choice Requires="x14">
            <control shapeId="2082" r:id="rId16" name="Drop Down 34">
              <controlPr defaultSize="0" autoLine="0" autoPict="0">
                <anchor moveWithCells="1">
                  <from>
                    <xdr:col>0</xdr:col>
                    <xdr:colOff>9525</xdr:colOff>
                    <xdr:row>80</xdr:row>
                    <xdr:rowOff>9525</xdr:rowOff>
                  </from>
                  <to>
                    <xdr:col>3</xdr:col>
                    <xdr:colOff>485775</xdr:colOff>
                    <xdr:row>80</xdr:row>
                    <xdr:rowOff>219075</xdr:rowOff>
                  </to>
                </anchor>
              </controlPr>
            </control>
          </mc:Choice>
        </mc:AlternateContent>
        <mc:AlternateContent xmlns:mc="http://schemas.openxmlformats.org/markup-compatibility/2006">
          <mc:Choice Requires="x14">
            <control shapeId="2208" r:id="rId17" name="Drop Down 160">
              <controlPr defaultSize="0" autoLine="0" autoPict="0">
                <anchor moveWithCells="1">
                  <from>
                    <xdr:col>6</xdr:col>
                    <xdr:colOff>19050</xdr:colOff>
                    <xdr:row>67</xdr:row>
                    <xdr:rowOff>28575</xdr:rowOff>
                  </from>
                  <to>
                    <xdr:col>6</xdr:col>
                    <xdr:colOff>495300</xdr:colOff>
                    <xdr:row>67</xdr:row>
                    <xdr:rowOff>209550</xdr:rowOff>
                  </to>
                </anchor>
              </controlPr>
            </control>
          </mc:Choice>
        </mc:AlternateContent>
        <mc:AlternateContent xmlns:mc="http://schemas.openxmlformats.org/markup-compatibility/2006">
          <mc:Choice Requires="x14">
            <control shapeId="2250" r:id="rId18" name="Drop Down 202">
              <controlPr defaultSize="0" autoLine="0" autoPict="0">
                <anchor moveWithCells="1">
                  <from>
                    <xdr:col>0</xdr:col>
                    <xdr:colOff>19050</xdr:colOff>
                    <xdr:row>67</xdr:row>
                    <xdr:rowOff>19050</xdr:rowOff>
                  </from>
                  <to>
                    <xdr:col>3</xdr:col>
                    <xdr:colOff>476250</xdr:colOff>
                    <xdr:row>68</xdr:row>
                    <xdr:rowOff>0</xdr:rowOff>
                  </to>
                </anchor>
              </controlPr>
            </control>
          </mc:Choice>
        </mc:AlternateContent>
        <mc:AlternateContent xmlns:mc="http://schemas.openxmlformats.org/markup-compatibility/2006">
          <mc:Choice Requires="x14">
            <control shapeId="2261" r:id="rId19" name="Drop Down 213">
              <controlPr defaultSize="0" autoLine="0" autoPict="0">
                <anchor moveWithCells="1">
                  <from>
                    <xdr:col>6</xdr:col>
                    <xdr:colOff>19050</xdr:colOff>
                    <xdr:row>68</xdr:row>
                    <xdr:rowOff>19050</xdr:rowOff>
                  </from>
                  <to>
                    <xdr:col>6</xdr:col>
                    <xdr:colOff>495300</xdr:colOff>
                    <xdr:row>68</xdr:row>
                    <xdr:rowOff>209550</xdr:rowOff>
                  </to>
                </anchor>
              </controlPr>
            </control>
          </mc:Choice>
        </mc:AlternateContent>
        <mc:AlternateContent xmlns:mc="http://schemas.openxmlformats.org/markup-compatibility/2006">
          <mc:Choice Requires="x14">
            <control shapeId="2262" r:id="rId20" name="Drop Down 214">
              <controlPr defaultSize="0" autoLine="0" autoPict="0">
                <anchor moveWithCells="1">
                  <from>
                    <xdr:col>6</xdr:col>
                    <xdr:colOff>19050</xdr:colOff>
                    <xdr:row>69</xdr:row>
                    <xdr:rowOff>19050</xdr:rowOff>
                  </from>
                  <to>
                    <xdr:col>6</xdr:col>
                    <xdr:colOff>495300</xdr:colOff>
                    <xdr:row>69</xdr:row>
                    <xdr:rowOff>219075</xdr:rowOff>
                  </to>
                </anchor>
              </controlPr>
            </control>
          </mc:Choice>
        </mc:AlternateContent>
        <mc:AlternateContent xmlns:mc="http://schemas.openxmlformats.org/markup-compatibility/2006">
          <mc:Choice Requires="x14">
            <control shapeId="2263" r:id="rId21" name="Drop Down 215">
              <controlPr defaultSize="0" autoLine="0" autoPict="0">
                <anchor moveWithCells="1">
                  <from>
                    <xdr:col>6</xdr:col>
                    <xdr:colOff>19050</xdr:colOff>
                    <xdr:row>70</xdr:row>
                    <xdr:rowOff>19050</xdr:rowOff>
                  </from>
                  <to>
                    <xdr:col>6</xdr:col>
                    <xdr:colOff>495300</xdr:colOff>
                    <xdr:row>70</xdr:row>
                    <xdr:rowOff>219075</xdr:rowOff>
                  </to>
                </anchor>
              </controlPr>
            </control>
          </mc:Choice>
        </mc:AlternateContent>
        <mc:AlternateContent xmlns:mc="http://schemas.openxmlformats.org/markup-compatibility/2006">
          <mc:Choice Requires="x14">
            <control shapeId="2264" r:id="rId22" name="Drop Down 216">
              <controlPr defaultSize="0" autoLine="0" autoPict="0">
                <anchor moveWithCells="1">
                  <from>
                    <xdr:col>6</xdr:col>
                    <xdr:colOff>19050</xdr:colOff>
                    <xdr:row>71</xdr:row>
                    <xdr:rowOff>19050</xdr:rowOff>
                  </from>
                  <to>
                    <xdr:col>6</xdr:col>
                    <xdr:colOff>495300</xdr:colOff>
                    <xdr:row>71</xdr:row>
                    <xdr:rowOff>219075</xdr:rowOff>
                  </to>
                </anchor>
              </controlPr>
            </control>
          </mc:Choice>
        </mc:AlternateContent>
        <mc:AlternateContent xmlns:mc="http://schemas.openxmlformats.org/markup-compatibility/2006">
          <mc:Choice Requires="x14">
            <control shapeId="2265" r:id="rId23" name="Drop Down 217">
              <controlPr defaultSize="0" autoLine="0" autoPict="0">
                <anchor moveWithCells="1">
                  <from>
                    <xdr:col>6</xdr:col>
                    <xdr:colOff>19050</xdr:colOff>
                    <xdr:row>72</xdr:row>
                    <xdr:rowOff>19050</xdr:rowOff>
                  </from>
                  <to>
                    <xdr:col>6</xdr:col>
                    <xdr:colOff>495300</xdr:colOff>
                    <xdr:row>72</xdr:row>
                    <xdr:rowOff>219075</xdr:rowOff>
                  </to>
                </anchor>
              </controlPr>
            </control>
          </mc:Choice>
        </mc:AlternateContent>
        <mc:AlternateContent xmlns:mc="http://schemas.openxmlformats.org/markup-compatibility/2006">
          <mc:Choice Requires="x14">
            <control shapeId="2266" r:id="rId24" name="Drop Down 218">
              <controlPr defaultSize="0" autoLine="0" autoPict="0">
                <anchor moveWithCells="1">
                  <from>
                    <xdr:col>6</xdr:col>
                    <xdr:colOff>19050</xdr:colOff>
                    <xdr:row>73</xdr:row>
                    <xdr:rowOff>19050</xdr:rowOff>
                  </from>
                  <to>
                    <xdr:col>6</xdr:col>
                    <xdr:colOff>495300</xdr:colOff>
                    <xdr:row>73</xdr:row>
                    <xdr:rowOff>219075</xdr:rowOff>
                  </to>
                </anchor>
              </controlPr>
            </control>
          </mc:Choice>
        </mc:AlternateContent>
        <mc:AlternateContent xmlns:mc="http://schemas.openxmlformats.org/markup-compatibility/2006">
          <mc:Choice Requires="x14">
            <control shapeId="2267" r:id="rId25" name="Drop Down 219">
              <controlPr defaultSize="0" autoLine="0" autoPict="0">
                <anchor moveWithCells="1">
                  <from>
                    <xdr:col>6</xdr:col>
                    <xdr:colOff>19050</xdr:colOff>
                    <xdr:row>74</xdr:row>
                    <xdr:rowOff>19050</xdr:rowOff>
                  </from>
                  <to>
                    <xdr:col>6</xdr:col>
                    <xdr:colOff>495300</xdr:colOff>
                    <xdr:row>74</xdr:row>
                    <xdr:rowOff>219075</xdr:rowOff>
                  </to>
                </anchor>
              </controlPr>
            </control>
          </mc:Choice>
        </mc:AlternateContent>
        <mc:AlternateContent xmlns:mc="http://schemas.openxmlformats.org/markup-compatibility/2006">
          <mc:Choice Requires="x14">
            <control shapeId="2268" r:id="rId26" name="Drop Down 220">
              <controlPr defaultSize="0" autoLine="0" autoPict="0">
                <anchor moveWithCells="1">
                  <from>
                    <xdr:col>6</xdr:col>
                    <xdr:colOff>19050</xdr:colOff>
                    <xdr:row>75</xdr:row>
                    <xdr:rowOff>19050</xdr:rowOff>
                  </from>
                  <to>
                    <xdr:col>6</xdr:col>
                    <xdr:colOff>495300</xdr:colOff>
                    <xdr:row>75</xdr:row>
                    <xdr:rowOff>219075</xdr:rowOff>
                  </to>
                </anchor>
              </controlPr>
            </control>
          </mc:Choice>
        </mc:AlternateContent>
        <mc:AlternateContent xmlns:mc="http://schemas.openxmlformats.org/markup-compatibility/2006">
          <mc:Choice Requires="x14">
            <control shapeId="2269" r:id="rId27" name="Drop Down 221">
              <controlPr defaultSize="0" autoLine="0" autoPict="0">
                <anchor moveWithCells="1">
                  <from>
                    <xdr:col>6</xdr:col>
                    <xdr:colOff>19050</xdr:colOff>
                    <xdr:row>78</xdr:row>
                    <xdr:rowOff>19050</xdr:rowOff>
                  </from>
                  <to>
                    <xdr:col>6</xdr:col>
                    <xdr:colOff>495300</xdr:colOff>
                    <xdr:row>78</xdr:row>
                    <xdr:rowOff>219075</xdr:rowOff>
                  </to>
                </anchor>
              </controlPr>
            </control>
          </mc:Choice>
        </mc:AlternateContent>
        <mc:AlternateContent xmlns:mc="http://schemas.openxmlformats.org/markup-compatibility/2006">
          <mc:Choice Requires="x14">
            <control shapeId="2270" r:id="rId28" name="Drop Down 222">
              <controlPr defaultSize="0" autoLine="0" autoPict="0">
                <anchor moveWithCells="1">
                  <from>
                    <xdr:col>6</xdr:col>
                    <xdr:colOff>19050</xdr:colOff>
                    <xdr:row>79</xdr:row>
                    <xdr:rowOff>19050</xdr:rowOff>
                  </from>
                  <to>
                    <xdr:col>6</xdr:col>
                    <xdr:colOff>495300</xdr:colOff>
                    <xdr:row>79</xdr:row>
                    <xdr:rowOff>219075</xdr:rowOff>
                  </to>
                </anchor>
              </controlPr>
            </control>
          </mc:Choice>
        </mc:AlternateContent>
        <mc:AlternateContent xmlns:mc="http://schemas.openxmlformats.org/markup-compatibility/2006">
          <mc:Choice Requires="x14">
            <control shapeId="2271" r:id="rId29" name="Drop Down 223">
              <controlPr defaultSize="0" autoLine="0" autoPict="0">
                <anchor moveWithCells="1">
                  <from>
                    <xdr:col>6</xdr:col>
                    <xdr:colOff>19050</xdr:colOff>
                    <xdr:row>80</xdr:row>
                    <xdr:rowOff>19050</xdr:rowOff>
                  </from>
                  <to>
                    <xdr:col>6</xdr:col>
                    <xdr:colOff>495300</xdr:colOff>
                    <xdr:row>80</xdr:row>
                    <xdr:rowOff>209550</xdr:rowOff>
                  </to>
                </anchor>
              </controlPr>
            </control>
          </mc:Choice>
        </mc:AlternateContent>
        <mc:AlternateContent xmlns:mc="http://schemas.openxmlformats.org/markup-compatibility/2006">
          <mc:Choice Requires="x14">
            <control shapeId="2304" r:id="rId30" name="Drop Down 256">
              <controlPr defaultSize="0" autoLine="0" autoPict="0">
                <anchor moveWithCells="1">
                  <from>
                    <xdr:col>6</xdr:col>
                    <xdr:colOff>19050</xdr:colOff>
                    <xdr:row>82</xdr:row>
                    <xdr:rowOff>19050</xdr:rowOff>
                  </from>
                  <to>
                    <xdr:col>6</xdr:col>
                    <xdr:colOff>495300</xdr:colOff>
                    <xdr:row>82</xdr:row>
                    <xdr:rowOff>209550</xdr:rowOff>
                  </to>
                </anchor>
              </controlPr>
            </control>
          </mc:Choice>
        </mc:AlternateContent>
        <mc:AlternateContent xmlns:mc="http://schemas.openxmlformats.org/markup-compatibility/2006">
          <mc:Choice Requires="x14">
            <control shapeId="2307" r:id="rId31" name="Drop Down 259">
              <controlPr defaultSize="0" autoLine="0" autoPict="0">
                <anchor moveWithCells="1">
                  <from>
                    <xdr:col>6</xdr:col>
                    <xdr:colOff>19050</xdr:colOff>
                    <xdr:row>85</xdr:row>
                    <xdr:rowOff>19050</xdr:rowOff>
                  </from>
                  <to>
                    <xdr:col>6</xdr:col>
                    <xdr:colOff>495300</xdr:colOff>
                    <xdr:row>85</xdr:row>
                    <xdr:rowOff>209550</xdr:rowOff>
                  </to>
                </anchor>
              </controlPr>
            </control>
          </mc:Choice>
        </mc:AlternateContent>
        <mc:AlternateContent xmlns:mc="http://schemas.openxmlformats.org/markup-compatibility/2006">
          <mc:Choice Requires="x14">
            <control shapeId="2308" r:id="rId32" name="Drop Down 260">
              <controlPr defaultSize="0" autoLine="0" autoPict="0">
                <anchor moveWithCells="1">
                  <from>
                    <xdr:col>6</xdr:col>
                    <xdr:colOff>19050</xdr:colOff>
                    <xdr:row>86</xdr:row>
                    <xdr:rowOff>19050</xdr:rowOff>
                  </from>
                  <to>
                    <xdr:col>6</xdr:col>
                    <xdr:colOff>495300</xdr:colOff>
                    <xdr:row>86</xdr:row>
                    <xdr:rowOff>209550</xdr:rowOff>
                  </to>
                </anchor>
              </controlPr>
            </control>
          </mc:Choice>
        </mc:AlternateContent>
        <mc:AlternateContent xmlns:mc="http://schemas.openxmlformats.org/markup-compatibility/2006">
          <mc:Choice Requires="x14">
            <control shapeId="2368" r:id="rId33" name="Drop Down 320">
              <controlPr defaultSize="0" autoLine="0" autoPict="0">
                <anchor moveWithCells="1">
                  <from>
                    <xdr:col>3</xdr:col>
                    <xdr:colOff>19050</xdr:colOff>
                    <xdr:row>265</xdr:row>
                    <xdr:rowOff>0</xdr:rowOff>
                  </from>
                  <to>
                    <xdr:col>5</xdr:col>
                    <xdr:colOff>0</xdr:colOff>
                    <xdr:row>265</xdr:row>
                    <xdr:rowOff>209550</xdr:rowOff>
                  </to>
                </anchor>
              </controlPr>
            </control>
          </mc:Choice>
        </mc:AlternateContent>
        <mc:AlternateContent xmlns:mc="http://schemas.openxmlformats.org/markup-compatibility/2006">
          <mc:Choice Requires="x14">
            <control shapeId="2370" r:id="rId34" name="Drop Down 322">
              <controlPr defaultSize="0" autoLine="0" autoPict="0">
                <anchor moveWithCells="1">
                  <from>
                    <xdr:col>3</xdr:col>
                    <xdr:colOff>19050</xdr:colOff>
                    <xdr:row>266</xdr:row>
                    <xdr:rowOff>9525</xdr:rowOff>
                  </from>
                  <to>
                    <xdr:col>5</xdr:col>
                    <xdr:colOff>0</xdr:colOff>
                    <xdr:row>266</xdr:row>
                    <xdr:rowOff>209550</xdr:rowOff>
                  </to>
                </anchor>
              </controlPr>
            </control>
          </mc:Choice>
        </mc:AlternateContent>
        <mc:AlternateContent xmlns:mc="http://schemas.openxmlformats.org/markup-compatibility/2006">
          <mc:Choice Requires="x14">
            <control shapeId="2371" r:id="rId35" name="Drop Down 323">
              <controlPr defaultSize="0" autoLine="0" autoPict="0">
                <anchor moveWithCells="1">
                  <from>
                    <xdr:col>3</xdr:col>
                    <xdr:colOff>19050</xdr:colOff>
                    <xdr:row>267</xdr:row>
                    <xdr:rowOff>9525</xdr:rowOff>
                  </from>
                  <to>
                    <xdr:col>5</xdr:col>
                    <xdr:colOff>0</xdr:colOff>
                    <xdr:row>267</xdr:row>
                    <xdr:rowOff>219075</xdr:rowOff>
                  </to>
                </anchor>
              </controlPr>
            </control>
          </mc:Choice>
        </mc:AlternateContent>
        <mc:AlternateContent xmlns:mc="http://schemas.openxmlformats.org/markup-compatibility/2006">
          <mc:Choice Requires="x14">
            <control shapeId="2372" r:id="rId36" name="Drop Down 324">
              <controlPr defaultSize="0" autoLine="0" autoPict="0">
                <anchor moveWithCells="1">
                  <from>
                    <xdr:col>3</xdr:col>
                    <xdr:colOff>19050</xdr:colOff>
                    <xdr:row>268</xdr:row>
                    <xdr:rowOff>9525</xdr:rowOff>
                  </from>
                  <to>
                    <xdr:col>5</xdr:col>
                    <xdr:colOff>0</xdr:colOff>
                    <xdr:row>268</xdr:row>
                    <xdr:rowOff>209550</xdr:rowOff>
                  </to>
                </anchor>
              </controlPr>
            </control>
          </mc:Choice>
        </mc:AlternateContent>
        <mc:AlternateContent xmlns:mc="http://schemas.openxmlformats.org/markup-compatibility/2006">
          <mc:Choice Requires="x14">
            <control shapeId="2401" r:id="rId37" name="Drop Down 353">
              <controlPr defaultSize="0" autoLine="0" autoPict="0">
                <anchor moveWithCells="1">
                  <from>
                    <xdr:col>0</xdr:col>
                    <xdr:colOff>0</xdr:colOff>
                    <xdr:row>276</xdr:row>
                    <xdr:rowOff>0</xdr:rowOff>
                  </from>
                  <to>
                    <xdr:col>0</xdr:col>
                    <xdr:colOff>962025</xdr:colOff>
                    <xdr:row>277</xdr:row>
                    <xdr:rowOff>9525</xdr:rowOff>
                  </to>
                </anchor>
              </controlPr>
            </control>
          </mc:Choice>
        </mc:AlternateContent>
        <mc:AlternateContent xmlns:mc="http://schemas.openxmlformats.org/markup-compatibility/2006">
          <mc:Choice Requires="x14">
            <control shapeId="2402" r:id="rId38" name="Drop Down 354">
              <controlPr defaultSize="0" autoLine="0" autoPict="0">
                <anchor moveWithCells="1">
                  <from>
                    <xdr:col>0</xdr:col>
                    <xdr:colOff>0</xdr:colOff>
                    <xdr:row>277</xdr:row>
                    <xdr:rowOff>0</xdr:rowOff>
                  </from>
                  <to>
                    <xdr:col>0</xdr:col>
                    <xdr:colOff>962025</xdr:colOff>
                    <xdr:row>278</xdr:row>
                    <xdr:rowOff>9525</xdr:rowOff>
                  </to>
                </anchor>
              </controlPr>
            </control>
          </mc:Choice>
        </mc:AlternateContent>
        <mc:AlternateContent xmlns:mc="http://schemas.openxmlformats.org/markup-compatibility/2006">
          <mc:Choice Requires="x14">
            <control shapeId="2403" r:id="rId39" name="Drop Down 355">
              <controlPr defaultSize="0" autoLine="0" autoPict="0">
                <anchor moveWithCells="1">
                  <from>
                    <xdr:col>0</xdr:col>
                    <xdr:colOff>0</xdr:colOff>
                    <xdr:row>278</xdr:row>
                    <xdr:rowOff>0</xdr:rowOff>
                  </from>
                  <to>
                    <xdr:col>0</xdr:col>
                    <xdr:colOff>962025</xdr:colOff>
                    <xdr:row>279</xdr:row>
                    <xdr:rowOff>9525</xdr:rowOff>
                  </to>
                </anchor>
              </controlPr>
            </control>
          </mc:Choice>
        </mc:AlternateContent>
        <mc:AlternateContent xmlns:mc="http://schemas.openxmlformats.org/markup-compatibility/2006">
          <mc:Choice Requires="x14">
            <control shapeId="2404" r:id="rId40" name="Drop Down 356">
              <controlPr defaultSize="0" autoLine="0" autoPict="0">
                <anchor moveWithCells="1">
                  <from>
                    <xdr:col>0</xdr:col>
                    <xdr:colOff>0</xdr:colOff>
                    <xdr:row>280</xdr:row>
                    <xdr:rowOff>0</xdr:rowOff>
                  </from>
                  <to>
                    <xdr:col>0</xdr:col>
                    <xdr:colOff>962025</xdr:colOff>
                    <xdr:row>281</xdr:row>
                    <xdr:rowOff>9525</xdr:rowOff>
                  </to>
                </anchor>
              </controlPr>
            </control>
          </mc:Choice>
        </mc:AlternateContent>
        <mc:AlternateContent xmlns:mc="http://schemas.openxmlformats.org/markup-compatibility/2006">
          <mc:Choice Requires="x14">
            <control shapeId="57789" r:id="rId41" name="Drop Down 2493">
              <controlPr defaultSize="0" autoLine="0" autoPict="0">
                <anchor moveWithCells="1">
                  <from>
                    <xdr:col>6</xdr:col>
                    <xdr:colOff>0</xdr:colOff>
                    <xdr:row>12</xdr:row>
                    <xdr:rowOff>9525</xdr:rowOff>
                  </from>
                  <to>
                    <xdr:col>8</xdr:col>
                    <xdr:colOff>0</xdr:colOff>
                    <xdr:row>13</xdr:row>
                    <xdr:rowOff>0</xdr:rowOff>
                  </to>
                </anchor>
              </controlPr>
            </control>
          </mc:Choice>
        </mc:AlternateContent>
        <mc:AlternateContent xmlns:mc="http://schemas.openxmlformats.org/markup-compatibility/2006">
          <mc:Choice Requires="x14">
            <control shapeId="120435" r:id="rId42" name="Drop Down 8819">
              <controlPr defaultSize="0" autoLine="0" autoPict="0">
                <anchor moveWithCells="1">
                  <from>
                    <xdr:col>0</xdr:col>
                    <xdr:colOff>9525</xdr:colOff>
                    <xdr:row>112</xdr:row>
                    <xdr:rowOff>9525</xdr:rowOff>
                  </from>
                  <to>
                    <xdr:col>2</xdr:col>
                    <xdr:colOff>352425</xdr:colOff>
                    <xdr:row>113</xdr:row>
                    <xdr:rowOff>0</xdr:rowOff>
                  </to>
                </anchor>
              </controlPr>
            </control>
          </mc:Choice>
        </mc:AlternateContent>
        <mc:AlternateContent xmlns:mc="http://schemas.openxmlformats.org/markup-compatibility/2006">
          <mc:Choice Requires="x14">
            <control shapeId="129542" r:id="rId43" name="Check Box 11782">
              <controlPr locked="0" defaultSize="0" autoFill="0" autoLine="0" autoPict="0">
                <anchor moveWithCells="1">
                  <from>
                    <xdr:col>4</xdr:col>
                    <xdr:colOff>142875</xdr:colOff>
                    <xdr:row>307</xdr:row>
                    <xdr:rowOff>9525</xdr:rowOff>
                  </from>
                  <to>
                    <xdr:col>4</xdr:col>
                    <xdr:colOff>381000</xdr:colOff>
                    <xdr:row>308</xdr:row>
                    <xdr:rowOff>9525</xdr:rowOff>
                  </to>
                </anchor>
              </controlPr>
            </control>
          </mc:Choice>
        </mc:AlternateContent>
        <mc:AlternateContent xmlns:mc="http://schemas.openxmlformats.org/markup-compatibility/2006">
          <mc:Choice Requires="x14">
            <control shapeId="131405" r:id="rId44" name="Check Box 12621">
              <controlPr locked="0" defaultSize="0" autoFill="0" autoLine="0" autoPict="0">
                <anchor moveWithCells="1">
                  <from>
                    <xdr:col>12</xdr:col>
                    <xdr:colOff>104775</xdr:colOff>
                    <xdr:row>67</xdr:row>
                    <xdr:rowOff>0</xdr:rowOff>
                  </from>
                  <to>
                    <xdr:col>12</xdr:col>
                    <xdr:colOff>342900</xdr:colOff>
                    <xdr:row>67</xdr:row>
                    <xdr:rowOff>200025</xdr:rowOff>
                  </to>
                </anchor>
              </controlPr>
            </control>
          </mc:Choice>
        </mc:AlternateContent>
        <mc:AlternateContent xmlns:mc="http://schemas.openxmlformats.org/markup-compatibility/2006">
          <mc:Choice Requires="x14">
            <control shapeId="131702" r:id="rId45" name="Check Box 12918">
              <controlPr locked="0" defaultSize="0" autoFill="0" autoLine="0" autoPict="0">
                <anchor moveWithCells="1">
                  <from>
                    <xdr:col>12</xdr:col>
                    <xdr:colOff>104775</xdr:colOff>
                    <xdr:row>70</xdr:row>
                    <xdr:rowOff>9525</xdr:rowOff>
                  </from>
                  <to>
                    <xdr:col>12</xdr:col>
                    <xdr:colOff>342900</xdr:colOff>
                    <xdr:row>70</xdr:row>
                    <xdr:rowOff>209550</xdr:rowOff>
                  </to>
                </anchor>
              </controlPr>
            </control>
          </mc:Choice>
        </mc:AlternateContent>
        <mc:AlternateContent xmlns:mc="http://schemas.openxmlformats.org/markup-compatibility/2006">
          <mc:Choice Requires="x14">
            <control shapeId="131703" r:id="rId46" name="Check Box 12919">
              <controlPr locked="0" defaultSize="0" autoFill="0" autoLine="0" autoPict="0">
                <anchor moveWithCells="1">
                  <from>
                    <xdr:col>12</xdr:col>
                    <xdr:colOff>114300</xdr:colOff>
                    <xdr:row>73</xdr:row>
                    <xdr:rowOff>0</xdr:rowOff>
                  </from>
                  <to>
                    <xdr:col>12</xdr:col>
                    <xdr:colOff>361950</xdr:colOff>
                    <xdr:row>73</xdr:row>
                    <xdr:rowOff>209550</xdr:rowOff>
                  </to>
                </anchor>
              </controlPr>
            </control>
          </mc:Choice>
        </mc:AlternateContent>
        <mc:AlternateContent xmlns:mc="http://schemas.openxmlformats.org/markup-compatibility/2006">
          <mc:Choice Requires="x14">
            <control shapeId="131705" r:id="rId47" name="Check Box 12921">
              <controlPr locked="0" defaultSize="0" autoFill="0" autoLine="0" autoPict="0">
                <anchor moveWithCells="1">
                  <from>
                    <xdr:col>12</xdr:col>
                    <xdr:colOff>104775</xdr:colOff>
                    <xdr:row>70</xdr:row>
                    <xdr:rowOff>228600</xdr:rowOff>
                  </from>
                  <to>
                    <xdr:col>12</xdr:col>
                    <xdr:colOff>352425</xdr:colOff>
                    <xdr:row>71</xdr:row>
                    <xdr:rowOff>209550</xdr:rowOff>
                  </to>
                </anchor>
              </controlPr>
            </control>
          </mc:Choice>
        </mc:AlternateContent>
        <mc:AlternateContent xmlns:mc="http://schemas.openxmlformats.org/markup-compatibility/2006">
          <mc:Choice Requires="x14">
            <control shapeId="131706" r:id="rId48" name="Check Box 12922">
              <controlPr locked="0" defaultSize="0" autoFill="0" autoLine="0" autoPict="0">
                <anchor moveWithCells="1">
                  <from>
                    <xdr:col>12</xdr:col>
                    <xdr:colOff>114300</xdr:colOff>
                    <xdr:row>72</xdr:row>
                    <xdr:rowOff>0</xdr:rowOff>
                  </from>
                  <to>
                    <xdr:col>12</xdr:col>
                    <xdr:colOff>361950</xdr:colOff>
                    <xdr:row>72</xdr:row>
                    <xdr:rowOff>209550</xdr:rowOff>
                  </to>
                </anchor>
              </controlPr>
            </control>
          </mc:Choice>
        </mc:AlternateContent>
        <mc:AlternateContent xmlns:mc="http://schemas.openxmlformats.org/markup-compatibility/2006">
          <mc:Choice Requires="x14">
            <control shapeId="131707" r:id="rId49" name="Check Box 12923">
              <controlPr locked="0" defaultSize="0" autoFill="0" autoLine="0" autoPict="0">
                <anchor moveWithCells="1">
                  <from>
                    <xdr:col>12</xdr:col>
                    <xdr:colOff>123825</xdr:colOff>
                    <xdr:row>74</xdr:row>
                    <xdr:rowOff>0</xdr:rowOff>
                  </from>
                  <to>
                    <xdr:col>12</xdr:col>
                    <xdr:colOff>361950</xdr:colOff>
                    <xdr:row>74</xdr:row>
                    <xdr:rowOff>209550</xdr:rowOff>
                  </to>
                </anchor>
              </controlPr>
            </control>
          </mc:Choice>
        </mc:AlternateContent>
        <mc:AlternateContent xmlns:mc="http://schemas.openxmlformats.org/markup-compatibility/2006">
          <mc:Choice Requires="x14">
            <control shapeId="131708" r:id="rId50" name="Check Box 12924">
              <controlPr locked="0" defaultSize="0" autoFill="0" autoLine="0" autoPict="0">
                <anchor moveWithCells="1">
                  <from>
                    <xdr:col>12</xdr:col>
                    <xdr:colOff>123825</xdr:colOff>
                    <xdr:row>74</xdr:row>
                    <xdr:rowOff>228600</xdr:rowOff>
                  </from>
                  <to>
                    <xdr:col>12</xdr:col>
                    <xdr:colOff>361950</xdr:colOff>
                    <xdr:row>75</xdr:row>
                    <xdr:rowOff>209550</xdr:rowOff>
                  </to>
                </anchor>
              </controlPr>
            </control>
          </mc:Choice>
        </mc:AlternateContent>
        <mc:AlternateContent xmlns:mc="http://schemas.openxmlformats.org/markup-compatibility/2006">
          <mc:Choice Requires="x14">
            <control shapeId="131709" r:id="rId51" name="Check Box 12925">
              <controlPr locked="0" defaultSize="0" autoFill="0" autoLine="0" autoPict="0">
                <anchor moveWithCells="1">
                  <from>
                    <xdr:col>12</xdr:col>
                    <xdr:colOff>114300</xdr:colOff>
                    <xdr:row>78</xdr:row>
                    <xdr:rowOff>0</xdr:rowOff>
                  </from>
                  <to>
                    <xdr:col>12</xdr:col>
                    <xdr:colOff>352425</xdr:colOff>
                    <xdr:row>78</xdr:row>
                    <xdr:rowOff>200025</xdr:rowOff>
                  </to>
                </anchor>
              </controlPr>
            </control>
          </mc:Choice>
        </mc:AlternateContent>
        <mc:AlternateContent xmlns:mc="http://schemas.openxmlformats.org/markup-compatibility/2006">
          <mc:Choice Requires="x14">
            <control shapeId="131710" r:id="rId52" name="Check Box 12926">
              <controlPr locked="0" defaultSize="0" autoFill="0" autoLine="0" autoPict="0">
                <anchor moveWithCells="1">
                  <from>
                    <xdr:col>12</xdr:col>
                    <xdr:colOff>104775</xdr:colOff>
                    <xdr:row>78</xdr:row>
                    <xdr:rowOff>228600</xdr:rowOff>
                  </from>
                  <to>
                    <xdr:col>12</xdr:col>
                    <xdr:colOff>352425</xdr:colOff>
                    <xdr:row>79</xdr:row>
                    <xdr:rowOff>209550</xdr:rowOff>
                  </to>
                </anchor>
              </controlPr>
            </control>
          </mc:Choice>
        </mc:AlternateContent>
        <mc:AlternateContent xmlns:mc="http://schemas.openxmlformats.org/markup-compatibility/2006">
          <mc:Choice Requires="x14">
            <control shapeId="131711" r:id="rId53" name="Check Box 12927">
              <controlPr locked="0" defaultSize="0" autoFill="0" autoLine="0" autoPict="0">
                <anchor moveWithCells="1">
                  <from>
                    <xdr:col>12</xdr:col>
                    <xdr:colOff>104775</xdr:colOff>
                    <xdr:row>80</xdr:row>
                    <xdr:rowOff>0</xdr:rowOff>
                  </from>
                  <to>
                    <xdr:col>12</xdr:col>
                    <xdr:colOff>352425</xdr:colOff>
                    <xdr:row>80</xdr:row>
                    <xdr:rowOff>209550</xdr:rowOff>
                  </to>
                </anchor>
              </controlPr>
            </control>
          </mc:Choice>
        </mc:AlternateContent>
        <mc:AlternateContent xmlns:mc="http://schemas.openxmlformats.org/markup-compatibility/2006">
          <mc:Choice Requires="x14">
            <control shapeId="131712" r:id="rId54" name="Check Box 12928">
              <controlPr locked="0" defaultSize="0" autoFill="0" autoLine="0" autoPict="0">
                <anchor moveWithCells="1">
                  <from>
                    <xdr:col>12</xdr:col>
                    <xdr:colOff>114300</xdr:colOff>
                    <xdr:row>82</xdr:row>
                    <xdr:rowOff>0</xdr:rowOff>
                  </from>
                  <to>
                    <xdr:col>12</xdr:col>
                    <xdr:colOff>361950</xdr:colOff>
                    <xdr:row>82</xdr:row>
                    <xdr:rowOff>209550</xdr:rowOff>
                  </to>
                </anchor>
              </controlPr>
            </control>
          </mc:Choice>
        </mc:AlternateContent>
        <mc:AlternateContent xmlns:mc="http://schemas.openxmlformats.org/markup-compatibility/2006">
          <mc:Choice Requires="x14">
            <control shapeId="131713" r:id="rId55" name="Check Box 12929">
              <controlPr locked="0" defaultSize="0" autoFill="0" autoLine="0" autoPict="0">
                <anchor moveWithCells="1">
                  <from>
                    <xdr:col>12</xdr:col>
                    <xdr:colOff>114300</xdr:colOff>
                    <xdr:row>85</xdr:row>
                    <xdr:rowOff>0</xdr:rowOff>
                  </from>
                  <to>
                    <xdr:col>12</xdr:col>
                    <xdr:colOff>361950</xdr:colOff>
                    <xdr:row>85</xdr:row>
                    <xdr:rowOff>209550</xdr:rowOff>
                  </to>
                </anchor>
              </controlPr>
            </control>
          </mc:Choice>
        </mc:AlternateContent>
        <mc:AlternateContent xmlns:mc="http://schemas.openxmlformats.org/markup-compatibility/2006">
          <mc:Choice Requires="x14">
            <control shapeId="131714" r:id="rId56" name="Check Box 12930">
              <controlPr locked="0" defaultSize="0" autoFill="0" autoLine="0" autoPict="0">
                <anchor moveWithCells="1">
                  <from>
                    <xdr:col>12</xdr:col>
                    <xdr:colOff>123825</xdr:colOff>
                    <xdr:row>85</xdr:row>
                    <xdr:rowOff>228600</xdr:rowOff>
                  </from>
                  <to>
                    <xdr:col>12</xdr:col>
                    <xdr:colOff>361950</xdr:colOff>
                    <xdr:row>86</xdr:row>
                    <xdr:rowOff>209550</xdr:rowOff>
                  </to>
                </anchor>
              </controlPr>
            </control>
          </mc:Choice>
        </mc:AlternateContent>
        <mc:AlternateContent xmlns:mc="http://schemas.openxmlformats.org/markup-compatibility/2006">
          <mc:Choice Requires="x14">
            <control shapeId="131848" r:id="rId57" name="Check Box 13064">
              <controlPr locked="0" defaultSize="0" autoFill="0" autoLine="0" autoPict="0">
                <anchor moveWithCells="1">
                  <from>
                    <xdr:col>12</xdr:col>
                    <xdr:colOff>104775</xdr:colOff>
                    <xdr:row>68</xdr:row>
                    <xdr:rowOff>0</xdr:rowOff>
                  </from>
                  <to>
                    <xdr:col>12</xdr:col>
                    <xdr:colOff>342900</xdr:colOff>
                    <xdr:row>68</xdr:row>
                    <xdr:rowOff>200025</xdr:rowOff>
                  </to>
                </anchor>
              </controlPr>
            </control>
          </mc:Choice>
        </mc:AlternateContent>
        <mc:AlternateContent xmlns:mc="http://schemas.openxmlformats.org/markup-compatibility/2006">
          <mc:Choice Requires="x14">
            <control shapeId="131849" r:id="rId58" name="Check Box 13065">
              <controlPr locked="0" defaultSize="0" autoFill="0" autoLine="0" autoPict="0">
                <anchor moveWithCells="1">
                  <from>
                    <xdr:col>12</xdr:col>
                    <xdr:colOff>104775</xdr:colOff>
                    <xdr:row>69</xdr:row>
                    <xdr:rowOff>0</xdr:rowOff>
                  </from>
                  <to>
                    <xdr:col>12</xdr:col>
                    <xdr:colOff>342900</xdr:colOff>
                    <xdr:row>69</xdr:row>
                    <xdr:rowOff>200025</xdr:rowOff>
                  </to>
                </anchor>
              </controlPr>
            </control>
          </mc:Choice>
        </mc:AlternateContent>
        <mc:AlternateContent xmlns:mc="http://schemas.openxmlformats.org/markup-compatibility/2006">
          <mc:Choice Requires="x14">
            <control shapeId="136820" r:id="rId59" name="Drop Down 14964">
              <controlPr defaultSize="0" autoLine="0" autoPict="0">
                <anchor moveWithCells="1">
                  <from>
                    <xdr:col>11</xdr:col>
                    <xdr:colOff>9525</xdr:colOff>
                    <xdr:row>163</xdr:row>
                    <xdr:rowOff>9525</xdr:rowOff>
                  </from>
                  <to>
                    <xdr:col>12</xdr:col>
                    <xdr:colOff>428625</xdr:colOff>
                    <xdr:row>164</xdr:row>
                    <xdr:rowOff>0</xdr:rowOff>
                  </to>
                </anchor>
              </controlPr>
            </control>
          </mc:Choice>
        </mc:AlternateContent>
        <mc:AlternateContent xmlns:mc="http://schemas.openxmlformats.org/markup-compatibility/2006">
          <mc:Choice Requires="x14">
            <control shapeId="139226" r:id="rId60" name="Check Box 16346">
              <controlPr locked="0" defaultSize="0" autoFill="0" autoLine="0" autoPict="0">
                <anchor moveWithCells="1">
                  <from>
                    <xdr:col>4</xdr:col>
                    <xdr:colOff>142875</xdr:colOff>
                    <xdr:row>308</xdr:row>
                    <xdr:rowOff>9525</xdr:rowOff>
                  </from>
                  <to>
                    <xdr:col>4</xdr:col>
                    <xdr:colOff>381000</xdr:colOff>
                    <xdr:row>309</xdr:row>
                    <xdr:rowOff>0</xdr:rowOff>
                  </to>
                </anchor>
              </controlPr>
            </control>
          </mc:Choice>
        </mc:AlternateContent>
        <mc:AlternateContent xmlns:mc="http://schemas.openxmlformats.org/markup-compatibility/2006">
          <mc:Choice Requires="x14">
            <control shapeId="139227" r:id="rId61" name="Check Box 16347">
              <controlPr defaultSize="0" autoFill="0" autoLine="0" autoPict="0">
                <anchor moveWithCells="1">
                  <from>
                    <xdr:col>4</xdr:col>
                    <xdr:colOff>142875</xdr:colOff>
                    <xdr:row>309</xdr:row>
                    <xdr:rowOff>9525</xdr:rowOff>
                  </from>
                  <to>
                    <xdr:col>4</xdr:col>
                    <xdr:colOff>381000</xdr:colOff>
                    <xdr:row>310</xdr:row>
                    <xdr:rowOff>0</xdr:rowOff>
                  </to>
                </anchor>
              </controlPr>
            </control>
          </mc:Choice>
        </mc:AlternateContent>
        <mc:AlternateContent xmlns:mc="http://schemas.openxmlformats.org/markup-compatibility/2006">
          <mc:Choice Requires="x14">
            <control shapeId="150357" r:id="rId62" name="Drop Down 21333">
              <controlPr defaultSize="0" autoLine="0" autoPict="0">
                <anchor moveWithCells="1">
                  <from>
                    <xdr:col>0</xdr:col>
                    <xdr:colOff>9525</xdr:colOff>
                    <xdr:row>113</xdr:row>
                    <xdr:rowOff>9525</xdr:rowOff>
                  </from>
                  <to>
                    <xdr:col>2</xdr:col>
                    <xdr:colOff>352425</xdr:colOff>
                    <xdr:row>114</xdr:row>
                    <xdr:rowOff>0</xdr:rowOff>
                  </to>
                </anchor>
              </controlPr>
            </control>
          </mc:Choice>
        </mc:AlternateContent>
        <mc:AlternateContent xmlns:mc="http://schemas.openxmlformats.org/markup-compatibility/2006">
          <mc:Choice Requires="x14">
            <control shapeId="150359" r:id="rId63" name="Drop Down 21335">
              <controlPr defaultSize="0" autoLine="0" autoPict="0">
                <anchor moveWithCells="1">
                  <from>
                    <xdr:col>0</xdr:col>
                    <xdr:colOff>9525</xdr:colOff>
                    <xdr:row>114</xdr:row>
                    <xdr:rowOff>9525</xdr:rowOff>
                  </from>
                  <to>
                    <xdr:col>2</xdr:col>
                    <xdr:colOff>352425</xdr:colOff>
                    <xdr:row>115</xdr:row>
                    <xdr:rowOff>0</xdr:rowOff>
                  </to>
                </anchor>
              </controlPr>
            </control>
          </mc:Choice>
        </mc:AlternateContent>
        <mc:AlternateContent xmlns:mc="http://schemas.openxmlformats.org/markup-compatibility/2006">
          <mc:Choice Requires="x14">
            <control shapeId="153375" r:id="rId64" name="Drop Down 22303">
              <controlPr defaultSize="0" autoLine="0" autoPict="0">
                <anchor moveWithCells="1">
                  <from>
                    <xdr:col>11</xdr:col>
                    <xdr:colOff>9525</xdr:colOff>
                    <xdr:row>164</xdr:row>
                    <xdr:rowOff>0</xdr:rowOff>
                  </from>
                  <to>
                    <xdr:col>12</xdr:col>
                    <xdr:colOff>428625</xdr:colOff>
                    <xdr:row>164</xdr:row>
                    <xdr:rowOff>228600</xdr:rowOff>
                  </to>
                </anchor>
              </controlPr>
            </control>
          </mc:Choice>
        </mc:AlternateContent>
        <mc:AlternateContent xmlns:mc="http://schemas.openxmlformats.org/markup-compatibility/2006">
          <mc:Choice Requires="x14">
            <control shapeId="153376" r:id="rId65" name="Drop Down 22304">
              <controlPr defaultSize="0" autoLine="0" autoPict="0">
                <anchor moveWithCells="1">
                  <from>
                    <xdr:col>11</xdr:col>
                    <xdr:colOff>9525</xdr:colOff>
                    <xdr:row>165</xdr:row>
                    <xdr:rowOff>0</xdr:rowOff>
                  </from>
                  <to>
                    <xdr:col>12</xdr:col>
                    <xdr:colOff>428625</xdr:colOff>
                    <xdr:row>165</xdr:row>
                    <xdr:rowOff>228600</xdr:rowOff>
                  </to>
                </anchor>
              </controlPr>
            </control>
          </mc:Choice>
        </mc:AlternateContent>
        <mc:AlternateContent xmlns:mc="http://schemas.openxmlformats.org/markup-compatibility/2006">
          <mc:Choice Requires="x14">
            <control shapeId="153378" r:id="rId66" name="Drop Down 22306">
              <controlPr defaultSize="0" autoLine="0" autoPict="0">
                <anchor moveWithCells="1">
                  <from>
                    <xdr:col>11</xdr:col>
                    <xdr:colOff>9525</xdr:colOff>
                    <xdr:row>166</xdr:row>
                    <xdr:rowOff>0</xdr:rowOff>
                  </from>
                  <to>
                    <xdr:col>12</xdr:col>
                    <xdr:colOff>428625</xdr:colOff>
                    <xdr:row>166</xdr:row>
                    <xdr:rowOff>228600</xdr:rowOff>
                  </to>
                </anchor>
              </controlPr>
            </control>
          </mc:Choice>
        </mc:AlternateContent>
        <mc:AlternateContent xmlns:mc="http://schemas.openxmlformats.org/markup-compatibility/2006">
          <mc:Choice Requires="x14">
            <control shapeId="153379" r:id="rId67" name="Drop Down 22307">
              <controlPr defaultSize="0" autoLine="0" autoPict="0">
                <anchor moveWithCells="1">
                  <from>
                    <xdr:col>11</xdr:col>
                    <xdr:colOff>9525</xdr:colOff>
                    <xdr:row>167</xdr:row>
                    <xdr:rowOff>0</xdr:rowOff>
                  </from>
                  <to>
                    <xdr:col>12</xdr:col>
                    <xdr:colOff>428625</xdr:colOff>
                    <xdr:row>167</xdr:row>
                    <xdr:rowOff>228600</xdr:rowOff>
                  </to>
                </anchor>
              </controlPr>
            </control>
          </mc:Choice>
        </mc:AlternateContent>
        <mc:AlternateContent xmlns:mc="http://schemas.openxmlformats.org/markup-compatibility/2006">
          <mc:Choice Requires="x14">
            <control shapeId="154668" r:id="rId68" name="Drop Down 22572">
              <controlPr defaultSize="0" autoLine="0" autoPict="0">
                <anchor moveWithCells="1">
                  <from>
                    <xdr:col>0</xdr:col>
                    <xdr:colOff>0</xdr:colOff>
                    <xdr:row>278</xdr:row>
                    <xdr:rowOff>0</xdr:rowOff>
                  </from>
                  <to>
                    <xdr:col>0</xdr:col>
                    <xdr:colOff>962025</xdr:colOff>
                    <xdr:row>279</xdr:row>
                    <xdr:rowOff>0</xdr:rowOff>
                  </to>
                </anchor>
              </controlPr>
            </control>
          </mc:Choice>
        </mc:AlternateContent>
        <mc:AlternateContent xmlns:mc="http://schemas.openxmlformats.org/markup-compatibility/2006">
          <mc:Choice Requires="x14">
            <control shapeId="154669" r:id="rId69" name="Drop Down 22573">
              <controlPr defaultSize="0" autoLine="0" autoPict="0">
                <anchor moveWithCells="1">
                  <from>
                    <xdr:col>0</xdr:col>
                    <xdr:colOff>0</xdr:colOff>
                    <xdr:row>279</xdr:row>
                    <xdr:rowOff>0</xdr:rowOff>
                  </from>
                  <to>
                    <xdr:col>0</xdr:col>
                    <xdr:colOff>962025</xdr:colOff>
                    <xdr:row>280</xdr:row>
                    <xdr:rowOff>0</xdr:rowOff>
                  </to>
                </anchor>
              </controlPr>
            </control>
          </mc:Choice>
        </mc:AlternateContent>
        <mc:AlternateContent xmlns:mc="http://schemas.openxmlformats.org/markup-compatibility/2006">
          <mc:Choice Requires="x14">
            <control shapeId="154760" r:id="rId70" name="Check Box 22664">
              <controlPr locked="0" defaultSize="0" autoFill="0" autoLine="0" autoPict="0">
                <anchor moveWithCells="1">
                  <from>
                    <xdr:col>2</xdr:col>
                    <xdr:colOff>57150</xdr:colOff>
                    <xdr:row>256</xdr:row>
                    <xdr:rowOff>9525</xdr:rowOff>
                  </from>
                  <to>
                    <xdr:col>2</xdr:col>
                    <xdr:colOff>295275</xdr:colOff>
                    <xdr:row>256</xdr:row>
                    <xdr:rowOff>209550</xdr:rowOff>
                  </to>
                </anchor>
              </controlPr>
            </control>
          </mc:Choice>
        </mc:AlternateContent>
        <mc:AlternateContent xmlns:mc="http://schemas.openxmlformats.org/markup-compatibility/2006">
          <mc:Choice Requires="x14">
            <control shapeId="154806" r:id="rId71" name="Check Box 22710">
              <controlPr locked="0" defaultSize="0" autoFill="0" autoLine="0" autoPict="0">
                <anchor moveWithCells="1">
                  <from>
                    <xdr:col>2</xdr:col>
                    <xdr:colOff>57150</xdr:colOff>
                    <xdr:row>257</xdr:row>
                    <xdr:rowOff>9525</xdr:rowOff>
                  </from>
                  <to>
                    <xdr:col>2</xdr:col>
                    <xdr:colOff>295275</xdr:colOff>
                    <xdr:row>257</xdr:row>
                    <xdr:rowOff>209550</xdr:rowOff>
                  </to>
                </anchor>
              </controlPr>
            </control>
          </mc:Choice>
        </mc:AlternateContent>
        <mc:AlternateContent xmlns:mc="http://schemas.openxmlformats.org/markup-compatibility/2006">
          <mc:Choice Requires="x14">
            <control shapeId="154807" r:id="rId72" name="Check Box 22711">
              <controlPr locked="0" defaultSize="0" autoFill="0" autoLine="0" autoPict="0">
                <anchor moveWithCells="1">
                  <from>
                    <xdr:col>2</xdr:col>
                    <xdr:colOff>57150</xdr:colOff>
                    <xdr:row>258</xdr:row>
                    <xdr:rowOff>9525</xdr:rowOff>
                  </from>
                  <to>
                    <xdr:col>2</xdr:col>
                    <xdr:colOff>295275</xdr:colOff>
                    <xdr:row>258</xdr:row>
                    <xdr:rowOff>209550</xdr:rowOff>
                  </to>
                </anchor>
              </controlPr>
            </control>
          </mc:Choice>
        </mc:AlternateContent>
        <mc:AlternateContent xmlns:mc="http://schemas.openxmlformats.org/markup-compatibility/2006">
          <mc:Choice Requires="x14">
            <control shapeId="154808" r:id="rId73" name="Check Box 22712">
              <controlPr locked="0" defaultSize="0" autoFill="0" autoLine="0" autoPict="0">
                <anchor moveWithCells="1">
                  <from>
                    <xdr:col>2</xdr:col>
                    <xdr:colOff>57150</xdr:colOff>
                    <xdr:row>259</xdr:row>
                    <xdr:rowOff>9525</xdr:rowOff>
                  </from>
                  <to>
                    <xdr:col>2</xdr:col>
                    <xdr:colOff>295275</xdr:colOff>
                    <xdr:row>259</xdr:row>
                    <xdr:rowOff>209550</xdr:rowOff>
                  </to>
                </anchor>
              </controlPr>
            </control>
          </mc:Choice>
        </mc:AlternateContent>
        <mc:AlternateContent xmlns:mc="http://schemas.openxmlformats.org/markup-compatibility/2006">
          <mc:Choice Requires="x14">
            <control shapeId="154809" r:id="rId74" name="Check Box 22713">
              <controlPr locked="0" defaultSize="0" autoFill="0" autoLine="0" autoPict="0">
                <anchor moveWithCells="1">
                  <from>
                    <xdr:col>2</xdr:col>
                    <xdr:colOff>57150</xdr:colOff>
                    <xdr:row>260</xdr:row>
                    <xdr:rowOff>9525</xdr:rowOff>
                  </from>
                  <to>
                    <xdr:col>2</xdr:col>
                    <xdr:colOff>295275</xdr:colOff>
                    <xdr:row>260</xdr:row>
                    <xdr:rowOff>209550</xdr:rowOff>
                  </to>
                </anchor>
              </controlPr>
            </control>
          </mc:Choice>
        </mc:AlternateContent>
        <mc:AlternateContent xmlns:mc="http://schemas.openxmlformats.org/markup-compatibility/2006">
          <mc:Choice Requires="x14">
            <control shapeId="154810" r:id="rId75" name="Check Box 22714">
              <controlPr locked="0" defaultSize="0" autoFill="0" autoLine="0" autoPict="0">
                <anchor moveWithCells="1">
                  <from>
                    <xdr:col>2</xdr:col>
                    <xdr:colOff>57150</xdr:colOff>
                    <xdr:row>261</xdr:row>
                    <xdr:rowOff>9525</xdr:rowOff>
                  </from>
                  <to>
                    <xdr:col>2</xdr:col>
                    <xdr:colOff>295275</xdr:colOff>
                    <xdr:row>261</xdr:row>
                    <xdr:rowOff>209550</xdr:rowOff>
                  </to>
                </anchor>
              </controlPr>
            </control>
          </mc:Choice>
        </mc:AlternateContent>
        <mc:AlternateContent xmlns:mc="http://schemas.openxmlformats.org/markup-compatibility/2006">
          <mc:Choice Requires="x14">
            <control shapeId="154811" r:id="rId76" name="Check Box 22715">
              <controlPr locked="0" defaultSize="0" autoFill="0" autoLine="0" autoPict="0">
                <anchor moveWithCells="1">
                  <from>
                    <xdr:col>2</xdr:col>
                    <xdr:colOff>57150</xdr:colOff>
                    <xdr:row>262</xdr:row>
                    <xdr:rowOff>9525</xdr:rowOff>
                  </from>
                  <to>
                    <xdr:col>2</xdr:col>
                    <xdr:colOff>295275</xdr:colOff>
                    <xdr:row>262</xdr:row>
                    <xdr:rowOff>209550</xdr:rowOff>
                  </to>
                </anchor>
              </controlPr>
            </control>
          </mc:Choice>
        </mc:AlternateContent>
        <mc:AlternateContent xmlns:mc="http://schemas.openxmlformats.org/markup-compatibility/2006">
          <mc:Choice Requires="x14">
            <control shapeId="154812" r:id="rId77" name="Check Box 22716">
              <controlPr locked="0" defaultSize="0" autoFill="0" autoLine="0" autoPict="0">
                <anchor moveWithCells="1">
                  <from>
                    <xdr:col>2</xdr:col>
                    <xdr:colOff>57150</xdr:colOff>
                    <xdr:row>265</xdr:row>
                    <xdr:rowOff>9525</xdr:rowOff>
                  </from>
                  <to>
                    <xdr:col>2</xdr:col>
                    <xdr:colOff>295275</xdr:colOff>
                    <xdr:row>265</xdr:row>
                    <xdr:rowOff>209550</xdr:rowOff>
                  </to>
                </anchor>
              </controlPr>
            </control>
          </mc:Choice>
        </mc:AlternateContent>
        <mc:AlternateContent xmlns:mc="http://schemas.openxmlformats.org/markup-compatibility/2006">
          <mc:Choice Requires="x14">
            <control shapeId="154813" r:id="rId78" name="Check Box 22717">
              <controlPr locked="0" defaultSize="0" autoFill="0" autoLine="0" autoPict="0">
                <anchor moveWithCells="1">
                  <from>
                    <xdr:col>2</xdr:col>
                    <xdr:colOff>57150</xdr:colOff>
                    <xdr:row>266</xdr:row>
                    <xdr:rowOff>9525</xdr:rowOff>
                  </from>
                  <to>
                    <xdr:col>2</xdr:col>
                    <xdr:colOff>295275</xdr:colOff>
                    <xdr:row>266</xdr:row>
                    <xdr:rowOff>209550</xdr:rowOff>
                  </to>
                </anchor>
              </controlPr>
            </control>
          </mc:Choice>
        </mc:AlternateContent>
        <mc:AlternateContent xmlns:mc="http://schemas.openxmlformats.org/markup-compatibility/2006">
          <mc:Choice Requires="x14">
            <control shapeId="154814" r:id="rId79" name="Check Box 22718">
              <controlPr locked="0" defaultSize="0" autoFill="0" autoLine="0" autoPict="0">
                <anchor moveWithCells="1">
                  <from>
                    <xdr:col>2</xdr:col>
                    <xdr:colOff>57150</xdr:colOff>
                    <xdr:row>267</xdr:row>
                    <xdr:rowOff>9525</xdr:rowOff>
                  </from>
                  <to>
                    <xdr:col>2</xdr:col>
                    <xdr:colOff>295275</xdr:colOff>
                    <xdr:row>267</xdr:row>
                    <xdr:rowOff>209550</xdr:rowOff>
                  </to>
                </anchor>
              </controlPr>
            </control>
          </mc:Choice>
        </mc:AlternateContent>
        <mc:AlternateContent xmlns:mc="http://schemas.openxmlformats.org/markup-compatibility/2006">
          <mc:Choice Requires="x14">
            <control shapeId="154815" r:id="rId80" name="Check Box 22719">
              <controlPr locked="0" defaultSize="0" autoFill="0" autoLine="0" autoPict="0">
                <anchor moveWithCells="1">
                  <from>
                    <xdr:col>2</xdr:col>
                    <xdr:colOff>57150</xdr:colOff>
                    <xdr:row>268</xdr:row>
                    <xdr:rowOff>9525</xdr:rowOff>
                  </from>
                  <to>
                    <xdr:col>2</xdr:col>
                    <xdr:colOff>295275</xdr:colOff>
                    <xdr:row>268</xdr:row>
                    <xdr:rowOff>209550</xdr:rowOff>
                  </to>
                </anchor>
              </controlPr>
            </control>
          </mc:Choice>
        </mc:AlternateContent>
        <mc:AlternateContent xmlns:mc="http://schemas.openxmlformats.org/markup-compatibility/2006">
          <mc:Choice Requires="x14">
            <control shapeId="157041" r:id="rId81" name="Drop Down 23921">
              <controlPr defaultSize="0" autoLine="0" autoPict="0">
                <anchor moveWithCells="1">
                  <from>
                    <xdr:col>6</xdr:col>
                    <xdr:colOff>19050</xdr:colOff>
                    <xdr:row>83</xdr:row>
                    <xdr:rowOff>28575</xdr:rowOff>
                  </from>
                  <to>
                    <xdr:col>6</xdr:col>
                    <xdr:colOff>495300</xdr:colOff>
                    <xdr:row>83</xdr:row>
                    <xdr:rowOff>209550</xdr:rowOff>
                  </to>
                </anchor>
              </controlPr>
            </control>
          </mc:Choice>
        </mc:AlternateContent>
        <mc:AlternateContent xmlns:mc="http://schemas.openxmlformats.org/markup-compatibility/2006">
          <mc:Choice Requires="x14">
            <control shapeId="157043" r:id="rId82" name="Drop Down 23923">
              <controlPr defaultSize="0" autoLine="0" autoPict="0">
                <anchor moveWithCells="1">
                  <from>
                    <xdr:col>6</xdr:col>
                    <xdr:colOff>19050</xdr:colOff>
                    <xdr:row>84</xdr:row>
                    <xdr:rowOff>19050</xdr:rowOff>
                  </from>
                  <to>
                    <xdr:col>6</xdr:col>
                    <xdr:colOff>495300</xdr:colOff>
                    <xdr:row>84</xdr:row>
                    <xdr:rowOff>209550</xdr:rowOff>
                  </to>
                </anchor>
              </controlPr>
            </control>
          </mc:Choice>
        </mc:AlternateContent>
        <mc:AlternateContent xmlns:mc="http://schemas.openxmlformats.org/markup-compatibility/2006">
          <mc:Choice Requires="x14">
            <control shapeId="157044" r:id="rId83" name="Check Box 23924">
              <controlPr locked="0" defaultSize="0" autoFill="0" autoLine="0" autoPict="0">
                <anchor moveWithCells="1">
                  <from>
                    <xdr:col>12</xdr:col>
                    <xdr:colOff>114300</xdr:colOff>
                    <xdr:row>84</xdr:row>
                    <xdr:rowOff>0</xdr:rowOff>
                  </from>
                  <to>
                    <xdr:col>12</xdr:col>
                    <xdr:colOff>361950</xdr:colOff>
                    <xdr:row>84</xdr:row>
                    <xdr:rowOff>209550</xdr:rowOff>
                  </to>
                </anchor>
              </controlPr>
            </control>
          </mc:Choice>
        </mc:AlternateContent>
        <mc:AlternateContent xmlns:mc="http://schemas.openxmlformats.org/markup-compatibility/2006">
          <mc:Choice Requires="x14">
            <control shapeId="157045" r:id="rId84" name="Drop Down 23925">
              <controlPr defaultSize="0" autoLine="0" autoPict="0">
                <anchor moveWithCells="1">
                  <from>
                    <xdr:col>0</xdr:col>
                    <xdr:colOff>9525</xdr:colOff>
                    <xdr:row>75</xdr:row>
                    <xdr:rowOff>228600</xdr:rowOff>
                  </from>
                  <to>
                    <xdr:col>3</xdr:col>
                    <xdr:colOff>485775</xdr:colOff>
                    <xdr:row>76</xdr:row>
                    <xdr:rowOff>219075</xdr:rowOff>
                  </to>
                </anchor>
              </controlPr>
            </control>
          </mc:Choice>
        </mc:AlternateContent>
        <mc:AlternateContent xmlns:mc="http://schemas.openxmlformats.org/markup-compatibility/2006">
          <mc:Choice Requires="x14">
            <control shapeId="157046" r:id="rId85" name="Drop Down 23926">
              <controlPr defaultSize="0" autoLine="0" autoPict="0">
                <anchor moveWithCells="1">
                  <from>
                    <xdr:col>6</xdr:col>
                    <xdr:colOff>19050</xdr:colOff>
                    <xdr:row>76</xdr:row>
                    <xdr:rowOff>19050</xdr:rowOff>
                  </from>
                  <to>
                    <xdr:col>6</xdr:col>
                    <xdr:colOff>495300</xdr:colOff>
                    <xdr:row>76</xdr:row>
                    <xdr:rowOff>219075</xdr:rowOff>
                  </to>
                </anchor>
              </controlPr>
            </control>
          </mc:Choice>
        </mc:AlternateContent>
        <mc:AlternateContent xmlns:mc="http://schemas.openxmlformats.org/markup-compatibility/2006">
          <mc:Choice Requires="x14">
            <control shapeId="157047" r:id="rId86" name="Check Box 23927">
              <controlPr locked="0" defaultSize="0" autoFill="0" autoLine="0" autoPict="0">
                <anchor moveWithCells="1">
                  <from>
                    <xdr:col>12</xdr:col>
                    <xdr:colOff>123825</xdr:colOff>
                    <xdr:row>76</xdr:row>
                    <xdr:rowOff>0</xdr:rowOff>
                  </from>
                  <to>
                    <xdr:col>12</xdr:col>
                    <xdr:colOff>361950</xdr:colOff>
                    <xdr:row>76</xdr:row>
                    <xdr:rowOff>209550</xdr:rowOff>
                  </to>
                </anchor>
              </controlPr>
            </control>
          </mc:Choice>
        </mc:AlternateContent>
        <mc:AlternateContent xmlns:mc="http://schemas.openxmlformats.org/markup-compatibility/2006">
          <mc:Choice Requires="x14">
            <control shapeId="157048" r:id="rId87" name="Drop Down 23928">
              <controlPr defaultSize="0" autoLine="0" autoPict="0">
                <anchor moveWithCells="1">
                  <from>
                    <xdr:col>0</xdr:col>
                    <xdr:colOff>9525</xdr:colOff>
                    <xdr:row>77</xdr:row>
                    <xdr:rowOff>9525</xdr:rowOff>
                  </from>
                  <to>
                    <xdr:col>3</xdr:col>
                    <xdr:colOff>485775</xdr:colOff>
                    <xdr:row>77</xdr:row>
                    <xdr:rowOff>219075</xdr:rowOff>
                  </to>
                </anchor>
              </controlPr>
            </control>
          </mc:Choice>
        </mc:AlternateContent>
        <mc:AlternateContent xmlns:mc="http://schemas.openxmlformats.org/markup-compatibility/2006">
          <mc:Choice Requires="x14">
            <control shapeId="157049" r:id="rId88" name="Drop Down 23929">
              <controlPr defaultSize="0" autoLine="0" autoPict="0">
                <anchor moveWithCells="1">
                  <from>
                    <xdr:col>6</xdr:col>
                    <xdr:colOff>19050</xdr:colOff>
                    <xdr:row>77</xdr:row>
                    <xdr:rowOff>19050</xdr:rowOff>
                  </from>
                  <to>
                    <xdr:col>6</xdr:col>
                    <xdr:colOff>495300</xdr:colOff>
                    <xdr:row>77</xdr:row>
                    <xdr:rowOff>219075</xdr:rowOff>
                  </to>
                </anchor>
              </controlPr>
            </control>
          </mc:Choice>
        </mc:AlternateContent>
        <mc:AlternateContent xmlns:mc="http://schemas.openxmlformats.org/markup-compatibility/2006">
          <mc:Choice Requires="x14">
            <control shapeId="157050" r:id="rId89" name="Check Box 23930">
              <controlPr locked="0" defaultSize="0" autoFill="0" autoLine="0" autoPict="0">
                <anchor moveWithCells="1">
                  <from>
                    <xdr:col>12</xdr:col>
                    <xdr:colOff>114300</xdr:colOff>
                    <xdr:row>77</xdr:row>
                    <xdr:rowOff>0</xdr:rowOff>
                  </from>
                  <to>
                    <xdr:col>12</xdr:col>
                    <xdr:colOff>361950</xdr:colOff>
                    <xdr:row>77</xdr:row>
                    <xdr:rowOff>209550</xdr:rowOff>
                  </to>
                </anchor>
              </controlPr>
            </control>
          </mc:Choice>
        </mc:AlternateContent>
        <mc:AlternateContent xmlns:mc="http://schemas.openxmlformats.org/markup-compatibility/2006">
          <mc:Choice Requires="x14">
            <control shapeId="157096" r:id="rId90" name="Drop Down 23976">
              <controlPr defaultSize="0" autoLine="0" autoPict="0">
                <anchor moveWithCells="1">
                  <from>
                    <xdr:col>6</xdr:col>
                    <xdr:colOff>19050</xdr:colOff>
                    <xdr:row>83</xdr:row>
                    <xdr:rowOff>19050</xdr:rowOff>
                  </from>
                  <to>
                    <xdr:col>6</xdr:col>
                    <xdr:colOff>495300</xdr:colOff>
                    <xdr:row>83</xdr:row>
                    <xdr:rowOff>209550</xdr:rowOff>
                  </to>
                </anchor>
              </controlPr>
            </control>
          </mc:Choice>
        </mc:AlternateContent>
        <mc:AlternateContent xmlns:mc="http://schemas.openxmlformats.org/markup-compatibility/2006">
          <mc:Choice Requires="x14">
            <control shapeId="157097" r:id="rId91" name="Check Box 23977">
              <controlPr locked="0" defaultSize="0" autoFill="0" autoLine="0" autoPict="0">
                <anchor moveWithCells="1">
                  <from>
                    <xdr:col>12</xdr:col>
                    <xdr:colOff>114300</xdr:colOff>
                    <xdr:row>82</xdr:row>
                    <xdr:rowOff>228600</xdr:rowOff>
                  </from>
                  <to>
                    <xdr:col>12</xdr:col>
                    <xdr:colOff>381000</xdr:colOff>
                    <xdr:row>83</xdr:row>
                    <xdr:rowOff>209550</xdr:rowOff>
                  </to>
                </anchor>
              </controlPr>
            </control>
          </mc:Choice>
        </mc:AlternateContent>
        <mc:AlternateContent xmlns:mc="http://schemas.openxmlformats.org/markup-compatibility/2006">
          <mc:Choice Requires="x14">
            <control shapeId="157098" r:id="rId92" name="Drop Down 23978">
              <controlPr defaultSize="0" autoLine="0" autoPict="0">
                <anchor moveWithCells="1">
                  <from>
                    <xdr:col>0</xdr:col>
                    <xdr:colOff>9525</xdr:colOff>
                    <xdr:row>115</xdr:row>
                    <xdr:rowOff>9525</xdr:rowOff>
                  </from>
                  <to>
                    <xdr:col>2</xdr:col>
                    <xdr:colOff>352425</xdr:colOff>
                    <xdr:row>116</xdr:row>
                    <xdr:rowOff>0</xdr:rowOff>
                  </to>
                </anchor>
              </controlPr>
            </control>
          </mc:Choice>
        </mc:AlternateContent>
        <mc:AlternateContent xmlns:mc="http://schemas.openxmlformats.org/markup-compatibility/2006">
          <mc:Choice Requires="x14">
            <control shapeId="157100" r:id="rId93" name="Drop Down 23980">
              <controlPr defaultSize="0" autoLine="0" autoPict="0">
                <anchor moveWithCells="1">
                  <from>
                    <xdr:col>0</xdr:col>
                    <xdr:colOff>9525</xdr:colOff>
                    <xdr:row>116</xdr:row>
                    <xdr:rowOff>9525</xdr:rowOff>
                  </from>
                  <to>
                    <xdr:col>2</xdr:col>
                    <xdr:colOff>352425</xdr:colOff>
                    <xdr:row>117</xdr:row>
                    <xdr:rowOff>0</xdr:rowOff>
                  </to>
                </anchor>
              </controlPr>
            </control>
          </mc:Choice>
        </mc:AlternateContent>
        <mc:AlternateContent xmlns:mc="http://schemas.openxmlformats.org/markup-compatibility/2006">
          <mc:Choice Requires="x14">
            <control shapeId="157103" r:id="rId94" name="Drop Down 23983">
              <controlPr defaultSize="0" autoLine="0" autoPict="0">
                <anchor moveWithCells="1">
                  <from>
                    <xdr:col>0</xdr:col>
                    <xdr:colOff>9525</xdr:colOff>
                    <xdr:row>117</xdr:row>
                    <xdr:rowOff>9525</xdr:rowOff>
                  </from>
                  <to>
                    <xdr:col>2</xdr:col>
                    <xdr:colOff>352425</xdr:colOff>
                    <xdr:row>118</xdr:row>
                    <xdr:rowOff>0</xdr:rowOff>
                  </to>
                </anchor>
              </controlPr>
            </control>
          </mc:Choice>
        </mc:AlternateContent>
        <mc:AlternateContent xmlns:mc="http://schemas.openxmlformats.org/markup-compatibility/2006">
          <mc:Choice Requires="x14">
            <control shapeId="157106" r:id="rId95" name="Drop Down 23986">
              <controlPr defaultSize="0" autoLine="0" autoPict="0">
                <anchor moveWithCells="1">
                  <from>
                    <xdr:col>0</xdr:col>
                    <xdr:colOff>9525</xdr:colOff>
                    <xdr:row>118</xdr:row>
                    <xdr:rowOff>9525</xdr:rowOff>
                  </from>
                  <to>
                    <xdr:col>2</xdr:col>
                    <xdr:colOff>352425</xdr:colOff>
                    <xdr:row>119</xdr:row>
                    <xdr:rowOff>0</xdr:rowOff>
                  </to>
                </anchor>
              </controlPr>
            </control>
          </mc:Choice>
        </mc:AlternateContent>
        <mc:AlternateContent xmlns:mc="http://schemas.openxmlformats.org/markup-compatibility/2006">
          <mc:Choice Requires="x14">
            <control shapeId="157109" r:id="rId96" name="Drop Down 23989">
              <controlPr defaultSize="0" autoLine="0" autoPict="0">
                <anchor moveWithCells="1">
                  <from>
                    <xdr:col>0</xdr:col>
                    <xdr:colOff>9525</xdr:colOff>
                    <xdr:row>119</xdr:row>
                    <xdr:rowOff>9525</xdr:rowOff>
                  </from>
                  <to>
                    <xdr:col>2</xdr:col>
                    <xdr:colOff>352425</xdr:colOff>
                    <xdr:row>120</xdr:row>
                    <xdr:rowOff>0</xdr:rowOff>
                  </to>
                </anchor>
              </controlPr>
            </control>
          </mc:Choice>
        </mc:AlternateContent>
        <mc:AlternateContent xmlns:mc="http://schemas.openxmlformats.org/markup-compatibility/2006">
          <mc:Choice Requires="x14">
            <control shapeId="157112" r:id="rId97" name="Drop Down 23992">
              <controlPr defaultSize="0" autoLine="0" autoPict="0">
                <anchor moveWithCells="1">
                  <from>
                    <xdr:col>0</xdr:col>
                    <xdr:colOff>9525</xdr:colOff>
                    <xdr:row>120</xdr:row>
                    <xdr:rowOff>9525</xdr:rowOff>
                  </from>
                  <to>
                    <xdr:col>2</xdr:col>
                    <xdr:colOff>352425</xdr:colOff>
                    <xdr:row>121</xdr:row>
                    <xdr:rowOff>0</xdr:rowOff>
                  </to>
                </anchor>
              </controlPr>
            </control>
          </mc:Choice>
        </mc:AlternateContent>
        <mc:AlternateContent xmlns:mc="http://schemas.openxmlformats.org/markup-compatibility/2006">
          <mc:Choice Requires="x14">
            <control shapeId="157115" r:id="rId98" name="Drop Down 23995">
              <controlPr defaultSize="0" autoLine="0" autoPict="0">
                <anchor moveWithCells="1">
                  <from>
                    <xdr:col>0</xdr:col>
                    <xdr:colOff>9525</xdr:colOff>
                    <xdr:row>121</xdr:row>
                    <xdr:rowOff>9525</xdr:rowOff>
                  </from>
                  <to>
                    <xdr:col>2</xdr:col>
                    <xdr:colOff>352425</xdr:colOff>
                    <xdr:row>122</xdr:row>
                    <xdr:rowOff>0</xdr:rowOff>
                  </to>
                </anchor>
              </controlPr>
            </control>
          </mc:Choice>
        </mc:AlternateContent>
        <mc:AlternateContent xmlns:mc="http://schemas.openxmlformats.org/markup-compatibility/2006">
          <mc:Choice Requires="x14">
            <control shapeId="157118" r:id="rId99" name="Drop Down 23998">
              <controlPr defaultSize="0" autoLine="0" autoPict="0">
                <anchor moveWithCells="1">
                  <from>
                    <xdr:col>0</xdr:col>
                    <xdr:colOff>9525</xdr:colOff>
                    <xdr:row>122</xdr:row>
                    <xdr:rowOff>9525</xdr:rowOff>
                  </from>
                  <to>
                    <xdr:col>2</xdr:col>
                    <xdr:colOff>352425</xdr:colOff>
                    <xdr:row>123</xdr:row>
                    <xdr:rowOff>0</xdr:rowOff>
                  </to>
                </anchor>
              </controlPr>
            </control>
          </mc:Choice>
        </mc:AlternateContent>
        <mc:AlternateContent xmlns:mc="http://schemas.openxmlformats.org/markup-compatibility/2006">
          <mc:Choice Requires="x14">
            <control shapeId="157121" r:id="rId100" name="Drop Down 24001">
              <controlPr defaultSize="0" autoLine="0" autoPict="0">
                <anchor moveWithCells="1">
                  <from>
                    <xdr:col>0</xdr:col>
                    <xdr:colOff>9525</xdr:colOff>
                    <xdr:row>123</xdr:row>
                    <xdr:rowOff>9525</xdr:rowOff>
                  </from>
                  <to>
                    <xdr:col>2</xdr:col>
                    <xdr:colOff>352425</xdr:colOff>
                    <xdr:row>124</xdr:row>
                    <xdr:rowOff>0</xdr:rowOff>
                  </to>
                </anchor>
              </controlPr>
            </control>
          </mc:Choice>
        </mc:AlternateContent>
        <mc:AlternateContent xmlns:mc="http://schemas.openxmlformats.org/markup-compatibility/2006">
          <mc:Choice Requires="x14">
            <control shapeId="157124" r:id="rId101" name="Drop Down 24004">
              <controlPr defaultSize="0" autoLine="0" autoPict="0">
                <anchor moveWithCells="1">
                  <from>
                    <xdr:col>0</xdr:col>
                    <xdr:colOff>9525</xdr:colOff>
                    <xdr:row>124</xdr:row>
                    <xdr:rowOff>9525</xdr:rowOff>
                  </from>
                  <to>
                    <xdr:col>2</xdr:col>
                    <xdr:colOff>352425</xdr:colOff>
                    <xdr:row>125</xdr:row>
                    <xdr:rowOff>0</xdr:rowOff>
                  </to>
                </anchor>
              </controlPr>
            </control>
          </mc:Choice>
        </mc:AlternateContent>
        <mc:AlternateContent xmlns:mc="http://schemas.openxmlformats.org/markup-compatibility/2006">
          <mc:Choice Requires="x14">
            <control shapeId="157127" r:id="rId102" name="Drop Down 24007">
              <controlPr defaultSize="0" autoLine="0" autoPict="0">
                <anchor moveWithCells="1">
                  <from>
                    <xdr:col>0</xdr:col>
                    <xdr:colOff>9525</xdr:colOff>
                    <xdr:row>125</xdr:row>
                    <xdr:rowOff>9525</xdr:rowOff>
                  </from>
                  <to>
                    <xdr:col>2</xdr:col>
                    <xdr:colOff>352425</xdr:colOff>
                    <xdr:row>126</xdr:row>
                    <xdr:rowOff>0</xdr:rowOff>
                  </to>
                </anchor>
              </controlPr>
            </control>
          </mc:Choice>
        </mc:AlternateContent>
        <mc:AlternateContent xmlns:mc="http://schemas.openxmlformats.org/markup-compatibility/2006">
          <mc:Choice Requires="x14">
            <control shapeId="157130" r:id="rId103" name="Drop Down 24010">
              <controlPr defaultSize="0" autoLine="0" autoPict="0">
                <anchor moveWithCells="1">
                  <from>
                    <xdr:col>0</xdr:col>
                    <xdr:colOff>9525</xdr:colOff>
                    <xdr:row>126</xdr:row>
                    <xdr:rowOff>9525</xdr:rowOff>
                  </from>
                  <to>
                    <xdr:col>2</xdr:col>
                    <xdr:colOff>352425</xdr:colOff>
                    <xdr:row>127</xdr:row>
                    <xdr:rowOff>0</xdr:rowOff>
                  </to>
                </anchor>
              </controlPr>
            </control>
          </mc:Choice>
        </mc:AlternateContent>
        <mc:AlternateContent xmlns:mc="http://schemas.openxmlformats.org/markup-compatibility/2006">
          <mc:Choice Requires="x14">
            <control shapeId="157133" r:id="rId104" name="Drop Down 24013">
              <controlPr defaultSize="0" autoLine="0" autoPict="0">
                <anchor moveWithCells="1">
                  <from>
                    <xdr:col>0</xdr:col>
                    <xdr:colOff>9525</xdr:colOff>
                    <xdr:row>127</xdr:row>
                    <xdr:rowOff>9525</xdr:rowOff>
                  </from>
                  <to>
                    <xdr:col>2</xdr:col>
                    <xdr:colOff>352425</xdr:colOff>
                    <xdr:row>128</xdr:row>
                    <xdr:rowOff>0</xdr:rowOff>
                  </to>
                </anchor>
              </controlPr>
            </control>
          </mc:Choice>
        </mc:AlternateContent>
        <mc:AlternateContent xmlns:mc="http://schemas.openxmlformats.org/markup-compatibility/2006">
          <mc:Choice Requires="x14">
            <control shapeId="157136" r:id="rId105" name="Drop Down 24016">
              <controlPr defaultSize="0" autoLine="0" autoPict="0">
                <anchor moveWithCells="1">
                  <from>
                    <xdr:col>0</xdr:col>
                    <xdr:colOff>9525</xdr:colOff>
                    <xdr:row>128</xdr:row>
                    <xdr:rowOff>9525</xdr:rowOff>
                  </from>
                  <to>
                    <xdr:col>2</xdr:col>
                    <xdr:colOff>352425</xdr:colOff>
                    <xdr:row>129</xdr:row>
                    <xdr:rowOff>0</xdr:rowOff>
                  </to>
                </anchor>
              </controlPr>
            </control>
          </mc:Choice>
        </mc:AlternateContent>
        <mc:AlternateContent xmlns:mc="http://schemas.openxmlformats.org/markup-compatibility/2006">
          <mc:Choice Requires="x14">
            <control shapeId="157139" r:id="rId106" name="Drop Down 24019">
              <controlPr defaultSize="0" autoLine="0" autoPict="0">
                <anchor moveWithCells="1">
                  <from>
                    <xdr:col>0</xdr:col>
                    <xdr:colOff>9525</xdr:colOff>
                    <xdr:row>129</xdr:row>
                    <xdr:rowOff>9525</xdr:rowOff>
                  </from>
                  <to>
                    <xdr:col>2</xdr:col>
                    <xdr:colOff>352425</xdr:colOff>
                    <xdr:row>130</xdr:row>
                    <xdr:rowOff>0</xdr:rowOff>
                  </to>
                </anchor>
              </controlPr>
            </control>
          </mc:Choice>
        </mc:AlternateContent>
        <mc:AlternateContent xmlns:mc="http://schemas.openxmlformats.org/markup-compatibility/2006">
          <mc:Choice Requires="x14">
            <control shapeId="157272" r:id="rId107" name="Check Box 24152">
              <controlPr locked="0" defaultSize="0" autoFill="0" autoLine="0" autoPict="0">
                <anchor moveWithCells="1">
                  <from>
                    <xdr:col>4</xdr:col>
                    <xdr:colOff>142875</xdr:colOff>
                    <xdr:row>309</xdr:row>
                    <xdr:rowOff>9525</xdr:rowOff>
                  </from>
                  <to>
                    <xdr:col>4</xdr:col>
                    <xdr:colOff>381000</xdr:colOff>
                    <xdr:row>310</xdr:row>
                    <xdr:rowOff>0</xdr:rowOff>
                  </to>
                </anchor>
              </controlPr>
            </control>
          </mc:Choice>
        </mc:AlternateContent>
        <mc:AlternateContent xmlns:mc="http://schemas.openxmlformats.org/markup-compatibility/2006">
          <mc:Choice Requires="x14">
            <control shapeId="157273" r:id="rId108" name="Check Box 24153">
              <controlPr defaultSize="0" autoFill="0" autoLine="0" autoPict="0">
                <anchor moveWithCells="1">
                  <from>
                    <xdr:col>4</xdr:col>
                    <xdr:colOff>142875</xdr:colOff>
                    <xdr:row>310</xdr:row>
                    <xdr:rowOff>9525</xdr:rowOff>
                  </from>
                  <to>
                    <xdr:col>4</xdr:col>
                    <xdr:colOff>381000</xdr:colOff>
                    <xdr:row>311</xdr:row>
                    <xdr:rowOff>0</xdr:rowOff>
                  </to>
                </anchor>
              </controlPr>
            </control>
          </mc:Choice>
        </mc:AlternateContent>
        <mc:AlternateContent xmlns:mc="http://schemas.openxmlformats.org/markup-compatibility/2006">
          <mc:Choice Requires="x14">
            <control shapeId="157274" r:id="rId109" name="Check Box 24154">
              <controlPr locked="0" defaultSize="0" autoFill="0" autoLine="0" autoPict="0">
                <anchor moveWithCells="1">
                  <from>
                    <xdr:col>4</xdr:col>
                    <xdr:colOff>142875</xdr:colOff>
                    <xdr:row>310</xdr:row>
                    <xdr:rowOff>9525</xdr:rowOff>
                  </from>
                  <to>
                    <xdr:col>4</xdr:col>
                    <xdr:colOff>381000</xdr:colOff>
                    <xdr:row>311</xdr:row>
                    <xdr:rowOff>0</xdr:rowOff>
                  </to>
                </anchor>
              </controlPr>
            </control>
          </mc:Choice>
        </mc:AlternateContent>
        <mc:AlternateContent xmlns:mc="http://schemas.openxmlformats.org/markup-compatibility/2006">
          <mc:Choice Requires="x14">
            <control shapeId="157275" r:id="rId110" name="Check Box 24155">
              <controlPr defaultSize="0" autoFill="0" autoLine="0" autoPict="0">
                <anchor moveWithCells="1">
                  <from>
                    <xdr:col>4</xdr:col>
                    <xdr:colOff>142875</xdr:colOff>
                    <xdr:row>311</xdr:row>
                    <xdr:rowOff>9525</xdr:rowOff>
                  </from>
                  <to>
                    <xdr:col>4</xdr:col>
                    <xdr:colOff>381000</xdr:colOff>
                    <xdr:row>312</xdr:row>
                    <xdr:rowOff>0</xdr:rowOff>
                  </to>
                </anchor>
              </controlPr>
            </control>
          </mc:Choice>
        </mc:AlternateContent>
        <mc:AlternateContent xmlns:mc="http://schemas.openxmlformats.org/markup-compatibility/2006">
          <mc:Choice Requires="x14">
            <control shapeId="157276" r:id="rId111" name="Check Box 24156">
              <controlPr defaultSize="0" autoFill="0" autoLine="0" autoPict="0">
                <anchor moveWithCells="1">
                  <from>
                    <xdr:col>4</xdr:col>
                    <xdr:colOff>142875</xdr:colOff>
                    <xdr:row>311</xdr:row>
                    <xdr:rowOff>9525</xdr:rowOff>
                  </from>
                  <to>
                    <xdr:col>4</xdr:col>
                    <xdr:colOff>381000</xdr:colOff>
                    <xdr:row>312</xdr:row>
                    <xdr:rowOff>0</xdr:rowOff>
                  </to>
                </anchor>
              </controlPr>
            </control>
          </mc:Choice>
        </mc:AlternateContent>
        <mc:AlternateContent xmlns:mc="http://schemas.openxmlformats.org/markup-compatibility/2006">
          <mc:Choice Requires="x14">
            <control shapeId="157277" r:id="rId112" name="Check Box 24157">
              <controlPr locked="0" defaultSize="0" autoFill="0" autoLine="0" autoPict="0">
                <anchor moveWithCells="1">
                  <from>
                    <xdr:col>4</xdr:col>
                    <xdr:colOff>142875</xdr:colOff>
                    <xdr:row>311</xdr:row>
                    <xdr:rowOff>9525</xdr:rowOff>
                  </from>
                  <to>
                    <xdr:col>4</xdr:col>
                    <xdr:colOff>381000</xdr:colOff>
                    <xdr:row>312</xdr:row>
                    <xdr:rowOff>0</xdr:rowOff>
                  </to>
                </anchor>
              </controlPr>
            </control>
          </mc:Choice>
        </mc:AlternateContent>
        <mc:AlternateContent xmlns:mc="http://schemas.openxmlformats.org/markup-compatibility/2006">
          <mc:Choice Requires="x14">
            <control shapeId="157278" r:id="rId113" name="Check Box 24158">
              <controlPr defaultSize="0" autoFill="0" autoLine="0" autoPict="0">
                <anchor moveWithCells="1">
                  <from>
                    <xdr:col>4</xdr:col>
                    <xdr:colOff>142875</xdr:colOff>
                    <xdr:row>312</xdr:row>
                    <xdr:rowOff>9525</xdr:rowOff>
                  </from>
                  <to>
                    <xdr:col>4</xdr:col>
                    <xdr:colOff>381000</xdr:colOff>
                    <xdr:row>313</xdr:row>
                    <xdr:rowOff>0</xdr:rowOff>
                  </to>
                </anchor>
              </controlPr>
            </control>
          </mc:Choice>
        </mc:AlternateContent>
        <mc:AlternateContent xmlns:mc="http://schemas.openxmlformats.org/markup-compatibility/2006">
          <mc:Choice Requires="x14">
            <control shapeId="157279" r:id="rId114" name="Check Box 24159">
              <controlPr defaultSize="0" autoFill="0" autoLine="0" autoPict="0">
                <anchor moveWithCells="1">
                  <from>
                    <xdr:col>4</xdr:col>
                    <xdr:colOff>142875</xdr:colOff>
                    <xdr:row>312</xdr:row>
                    <xdr:rowOff>9525</xdr:rowOff>
                  </from>
                  <to>
                    <xdr:col>4</xdr:col>
                    <xdr:colOff>381000</xdr:colOff>
                    <xdr:row>313</xdr:row>
                    <xdr:rowOff>0</xdr:rowOff>
                  </to>
                </anchor>
              </controlPr>
            </control>
          </mc:Choice>
        </mc:AlternateContent>
        <mc:AlternateContent xmlns:mc="http://schemas.openxmlformats.org/markup-compatibility/2006">
          <mc:Choice Requires="x14">
            <control shapeId="157280" r:id="rId115" name="Check Box 24160">
              <controlPr locked="0" defaultSize="0" autoFill="0" autoLine="0" autoPict="0">
                <anchor moveWithCells="1">
                  <from>
                    <xdr:col>4</xdr:col>
                    <xdr:colOff>142875</xdr:colOff>
                    <xdr:row>312</xdr:row>
                    <xdr:rowOff>9525</xdr:rowOff>
                  </from>
                  <to>
                    <xdr:col>4</xdr:col>
                    <xdr:colOff>381000</xdr:colOff>
                    <xdr:row>313</xdr:row>
                    <xdr:rowOff>0</xdr:rowOff>
                  </to>
                </anchor>
              </controlPr>
            </control>
          </mc:Choice>
        </mc:AlternateContent>
        <mc:AlternateContent xmlns:mc="http://schemas.openxmlformats.org/markup-compatibility/2006">
          <mc:Choice Requires="x14">
            <control shapeId="157281" r:id="rId116" name="Check Box 24161">
              <controlPr defaultSize="0" autoFill="0" autoLine="0" autoPict="0">
                <anchor moveWithCells="1">
                  <from>
                    <xdr:col>4</xdr:col>
                    <xdr:colOff>142875</xdr:colOff>
                    <xdr:row>313</xdr:row>
                    <xdr:rowOff>9525</xdr:rowOff>
                  </from>
                  <to>
                    <xdr:col>4</xdr:col>
                    <xdr:colOff>381000</xdr:colOff>
                    <xdr:row>314</xdr:row>
                    <xdr:rowOff>0</xdr:rowOff>
                  </to>
                </anchor>
              </controlPr>
            </control>
          </mc:Choice>
        </mc:AlternateContent>
        <mc:AlternateContent xmlns:mc="http://schemas.openxmlformats.org/markup-compatibility/2006">
          <mc:Choice Requires="x14">
            <control shapeId="157282" r:id="rId117" name="Check Box 24162">
              <controlPr defaultSize="0" autoFill="0" autoLine="0" autoPict="0">
                <anchor moveWithCells="1">
                  <from>
                    <xdr:col>4</xdr:col>
                    <xdr:colOff>142875</xdr:colOff>
                    <xdr:row>313</xdr:row>
                    <xdr:rowOff>9525</xdr:rowOff>
                  </from>
                  <to>
                    <xdr:col>4</xdr:col>
                    <xdr:colOff>381000</xdr:colOff>
                    <xdr:row>314</xdr:row>
                    <xdr:rowOff>0</xdr:rowOff>
                  </to>
                </anchor>
              </controlPr>
            </control>
          </mc:Choice>
        </mc:AlternateContent>
        <mc:AlternateContent xmlns:mc="http://schemas.openxmlformats.org/markup-compatibility/2006">
          <mc:Choice Requires="x14">
            <control shapeId="157283" r:id="rId118" name="Check Box 24163">
              <controlPr locked="0" defaultSize="0" autoFill="0" autoLine="0" autoPict="0">
                <anchor moveWithCells="1">
                  <from>
                    <xdr:col>4</xdr:col>
                    <xdr:colOff>142875</xdr:colOff>
                    <xdr:row>313</xdr:row>
                    <xdr:rowOff>9525</xdr:rowOff>
                  </from>
                  <to>
                    <xdr:col>4</xdr:col>
                    <xdr:colOff>381000</xdr:colOff>
                    <xdr:row>314</xdr:row>
                    <xdr:rowOff>0</xdr:rowOff>
                  </to>
                </anchor>
              </controlPr>
            </control>
          </mc:Choice>
        </mc:AlternateContent>
        <mc:AlternateContent xmlns:mc="http://schemas.openxmlformats.org/markup-compatibility/2006">
          <mc:Choice Requires="x14">
            <control shapeId="157284" r:id="rId119" name="Check Box 24164">
              <controlPr defaultSize="0" autoFill="0" autoLine="0" autoPict="0">
                <anchor moveWithCells="1">
                  <from>
                    <xdr:col>4</xdr:col>
                    <xdr:colOff>142875</xdr:colOff>
                    <xdr:row>314</xdr:row>
                    <xdr:rowOff>9525</xdr:rowOff>
                  </from>
                  <to>
                    <xdr:col>4</xdr:col>
                    <xdr:colOff>381000</xdr:colOff>
                    <xdr:row>315</xdr:row>
                    <xdr:rowOff>0</xdr:rowOff>
                  </to>
                </anchor>
              </controlPr>
            </control>
          </mc:Choice>
        </mc:AlternateContent>
        <mc:AlternateContent xmlns:mc="http://schemas.openxmlformats.org/markup-compatibility/2006">
          <mc:Choice Requires="x14">
            <control shapeId="157285" r:id="rId120" name="Check Box 24165">
              <controlPr defaultSize="0" autoFill="0" autoLine="0" autoPict="0">
                <anchor moveWithCells="1">
                  <from>
                    <xdr:col>4</xdr:col>
                    <xdr:colOff>142875</xdr:colOff>
                    <xdr:row>314</xdr:row>
                    <xdr:rowOff>9525</xdr:rowOff>
                  </from>
                  <to>
                    <xdr:col>4</xdr:col>
                    <xdr:colOff>381000</xdr:colOff>
                    <xdr:row>315</xdr:row>
                    <xdr:rowOff>0</xdr:rowOff>
                  </to>
                </anchor>
              </controlPr>
            </control>
          </mc:Choice>
        </mc:AlternateContent>
        <mc:AlternateContent xmlns:mc="http://schemas.openxmlformats.org/markup-compatibility/2006">
          <mc:Choice Requires="x14">
            <control shapeId="157286" r:id="rId121" name="Check Box 24166">
              <controlPr locked="0" defaultSize="0" autoFill="0" autoLine="0" autoPict="0">
                <anchor moveWithCells="1">
                  <from>
                    <xdr:col>4</xdr:col>
                    <xdr:colOff>142875</xdr:colOff>
                    <xdr:row>314</xdr:row>
                    <xdr:rowOff>9525</xdr:rowOff>
                  </from>
                  <to>
                    <xdr:col>4</xdr:col>
                    <xdr:colOff>381000</xdr:colOff>
                    <xdr:row>315</xdr:row>
                    <xdr:rowOff>0</xdr:rowOff>
                  </to>
                </anchor>
              </controlPr>
            </control>
          </mc:Choice>
        </mc:AlternateContent>
        <mc:AlternateContent xmlns:mc="http://schemas.openxmlformats.org/markup-compatibility/2006">
          <mc:Choice Requires="x14">
            <control shapeId="157287" r:id="rId122" name="Check Box 24167">
              <controlPr defaultSize="0" autoFill="0" autoLine="0" autoPict="0">
                <anchor moveWithCells="1">
                  <from>
                    <xdr:col>4</xdr:col>
                    <xdr:colOff>142875</xdr:colOff>
                    <xdr:row>315</xdr:row>
                    <xdr:rowOff>9525</xdr:rowOff>
                  </from>
                  <to>
                    <xdr:col>4</xdr:col>
                    <xdr:colOff>381000</xdr:colOff>
                    <xdr:row>316</xdr:row>
                    <xdr:rowOff>0</xdr:rowOff>
                  </to>
                </anchor>
              </controlPr>
            </control>
          </mc:Choice>
        </mc:AlternateContent>
        <mc:AlternateContent xmlns:mc="http://schemas.openxmlformats.org/markup-compatibility/2006">
          <mc:Choice Requires="x14">
            <control shapeId="157288" r:id="rId123" name="Check Box 24168">
              <controlPr defaultSize="0" autoFill="0" autoLine="0" autoPict="0">
                <anchor moveWithCells="1">
                  <from>
                    <xdr:col>4</xdr:col>
                    <xdr:colOff>142875</xdr:colOff>
                    <xdr:row>315</xdr:row>
                    <xdr:rowOff>9525</xdr:rowOff>
                  </from>
                  <to>
                    <xdr:col>4</xdr:col>
                    <xdr:colOff>381000</xdr:colOff>
                    <xdr:row>316</xdr:row>
                    <xdr:rowOff>0</xdr:rowOff>
                  </to>
                </anchor>
              </controlPr>
            </control>
          </mc:Choice>
        </mc:AlternateContent>
        <mc:AlternateContent xmlns:mc="http://schemas.openxmlformats.org/markup-compatibility/2006">
          <mc:Choice Requires="x14">
            <control shapeId="157289" r:id="rId124" name="Check Box 24169">
              <controlPr locked="0" defaultSize="0" autoFill="0" autoLine="0" autoPict="0">
                <anchor moveWithCells="1">
                  <from>
                    <xdr:col>4</xdr:col>
                    <xdr:colOff>142875</xdr:colOff>
                    <xdr:row>315</xdr:row>
                    <xdr:rowOff>9525</xdr:rowOff>
                  </from>
                  <to>
                    <xdr:col>4</xdr:col>
                    <xdr:colOff>381000</xdr:colOff>
                    <xdr:row>316</xdr:row>
                    <xdr:rowOff>0</xdr:rowOff>
                  </to>
                </anchor>
              </controlPr>
            </control>
          </mc:Choice>
        </mc:AlternateContent>
        <mc:AlternateContent xmlns:mc="http://schemas.openxmlformats.org/markup-compatibility/2006">
          <mc:Choice Requires="x14">
            <control shapeId="157290" r:id="rId125" name="Check Box 24170">
              <controlPr defaultSize="0" autoFill="0" autoLine="0" autoPict="0">
                <anchor moveWithCells="1">
                  <from>
                    <xdr:col>4</xdr:col>
                    <xdr:colOff>142875</xdr:colOff>
                    <xdr:row>316</xdr:row>
                    <xdr:rowOff>9525</xdr:rowOff>
                  </from>
                  <to>
                    <xdr:col>4</xdr:col>
                    <xdr:colOff>381000</xdr:colOff>
                    <xdr:row>317</xdr:row>
                    <xdr:rowOff>0</xdr:rowOff>
                  </to>
                </anchor>
              </controlPr>
            </control>
          </mc:Choice>
        </mc:AlternateContent>
        <mc:AlternateContent xmlns:mc="http://schemas.openxmlformats.org/markup-compatibility/2006">
          <mc:Choice Requires="x14">
            <control shapeId="157291" r:id="rId126" name="Check Box 24171">
              <controlPr defaultSize="0" autoFill="0" autoLine="0" autoPict="0">
                <anchor moveWithCells="1">
                  <from>
                    <xdr:col>4</xdr:col>
                    <xdr:colOff>142875</xdr:colOff>
                    <xdr:row>316</xdr:row>
                    <xdr:rowOff>9525</xdr:rowOff>
                  </from>
                  <to>
                    <xdr:col>4</xdr:col>
                    <xdr:colOff>381000</xdr:colOff>
                    <xdr:row>317</xdr:row>
                    <xdr:rowOff>0</xdr:rowOff>
                  </to>
                </anchor>
              </controlPr>
            </control>
          </mc:Choice>
        </mc:AlternateContent>
        <mc:AlternateContent xmlns:mc="http://schemas.openxmlformats.org/markup-compatibility/2006">
          <mc:Choice Requires="x14">
            <control shapeId="157292" r:id="rId127" name="Check Box 24172">
              <controlPr locked="0" defaultSize="0" autoFill="0" autoLine="0" autoPict="0">
                <anchor moveWithCells="1">
                  <from>
                    <xdr:col>4</xdr:col>
                    <xdr:colOff>142875</xdr:colOff>
                    <xdr:row>316</xdr:row>
                    <xdr:rowOff>9525</xdr:rowOff>
                  </from>
                  <to>
                    <xdr:col>4</xdr:col>
                    <xdr:colOff>381000</xdr:colOff>
                    <xdr:row>317</xdr:row>
                    <xdr:rowOff>0</xdr:rowOff>
                  </to>
                </anchor>
              </controlPr>
            </control>
          </mc:Choice>
        </mc:AlternateContent>
        <mc:AlternateContent xmlns:mc="http://schemas.openxmlformats.org/markup-compatibility/2006">
          <mc:Choice Requires="x14">
            <control shapeId="157293" r:id="rId128" name="Check Box 24173">
              <controlPr defaultSize="0" autoFill="0" autoLine="0" autoPict="0">
                <anchor moveWithCells="1">
                  <from>
                    <xdr:col>4</xdr:col>
                    <xdr:colOff>142875</xdr:colOff>
                    <xdr:row>317</xdr:row>
                    <xdr:rowOff>9525</xdr:rowOff>
                  </from>
                  <to>
                    <xdr:col>4</xdr:col>
                    <xdr:colOff>381000</xdr:colOff>
                    <xdr:row>318</xdr:row>
                    <xdr:rowOff>0</xdr:rowOff>
                  </to>
                </anchor>
              </controlPr>
            </control>
          </mc:Choice>
        </mc:AlternateContent>
        <mc:AlternateContent xmlns:mc="http://schemas.openxmlformats.org/markup-compatibility/2006">
          <mc:Choice Requires="x14">
            <control shapeId="157294" r:id="rId129" name="Check Box 24174">
              <controlPr defaultSize="0" autoFill="0" autoLine="0" autoPict="0">
                <anchor moveWithCells="1">
                  <from>
                    <xdr:col>4</xdr:col>
                    <xdr:colOff>142875</xdr:colOff>
                    <xdr:row>317</xdr:row>
                    <xdr:rowOff>9525</xdr:rowOff>
                  </from>
                  <to>
                    <xdr:col>4</xdr:col>
                    <xdr:colOff>381000</xdr:colOff>
                    <xdr:row>318</xdr:row>
                    <xdr:rowOff>0</xdr:rowOff>
                  </to>
                </anchor>
              </controlPr>
            </control>
          </mc:Choice>
        </mc:AlternateContent>
        <mc:AlternateContent xmlns:mc="http://schemas.openxmlformats.org/markup-compatibility/2006">
          <mc:Choice Requires="x14">
            <control shapeId="157295" r:id="rId130" name="Check Box 24175">
              <controlPr locked="0" defaultSize="0" autoFill="0" autoLine="0" autoPict="0">
                <anchor moveWithCells="1">
                  <from>
                    <xdr:col>4</xdr:col>
                    <xdr:colOff>142875</xdr:colOff>
                    <xdr:row>317</xdr:row>
                    <xdr:rowOff>9525</xdr:rowOff>
                  </from>
                  <to>
                    <xdr:col>4</xdr:col>
                    <xdr:colOff>381000</xdr:colOff>
                    <xdr:row>318</xdr:row>
                    <xdr:rowOff>0</xdr:rowOff>
                  </to>
                </anchor>
              </controlPr>
            </control>
          </mc:Choice>
        </mc:AlternateContent>
        <mc:AlternateContent xmlns:mc="http://schemas.openxmlformats.org/markup-compatibility/2006">
          <mc:Choice Requires="x14">
            <control shapeId="157296" r:id="rId131" name="Check Box 24176">
              <controlPr defaultSize="0" autoFill="0" autoLine="0" autoPict="0">
                <anchor moveWithCells="1">
                  <from>
                    <xdr:col>4</xdr:col>
                    <xdr:colOff>142875</xdr:colOff>
                    <xdr:row>318</xdr:row>
                    <xdr:rowOff>9525</xdr:rowOff>
                  </from>
                  <to>
                    <xdr:col>4</xdr:col>
                    <xdr:colOff>381000</xdr:colOff>
                    <xdr:row>319</xdr:row>
                    <xdr:rowOff>0</xdr:rowOff>
                  </to>
                </anchor>
              </controlPr>
            </control>
          </mc:Choice>
        </mc:AlternateContent>
        <mc:AlternateContent xmlns:mc="http://schemas.openxmlformats.org/markup-compatibility/2006">
          <mc:Choice Requires="x14">
            <control shapeId="157297" r:id="rId132" name="Check Box 24177">
              <controlPr defaultSize="0" autoFill="0" autoLine="0" autoPict="0">
                <anchor moveWithCells="1">
                  <from>
                    <xdr:col>4</xdr:col>
                    <xdr:colOff>142875</xdr:colOff>
                    <xdr:row>318</xdr:row>
                    <xdr:rowOff>9525</xdr:rowOff>
                  </from>
                  <to>
                    <xdr:col>4</xdr:col>
                    <xdr:colOff>381000</xdr:colOff>
                    <xdr:row>319</xdr:row>
                    <xdr:rowOff>0</xdr:rowOff>
                  </to>
                </anchor>
              </controlPr>
            </control>
          </mc:Choice>
        </mc:AlternateContent>
        <mc:AlternateContent xmlns:mc="http://schemas.openxmlformats.org/markup-compatibility/2006">
          <mc:Choice Requires="x14">
            <control shapeId="157298" r:id="rId133" name="Check Box 24178">
              <controlPr locked="0" defaultSize="0" autoFill="0" autoLine="0" autoPict="0">
                <anchor moveWithCells="1">
                  <from>
                    <xdr:col>4</xdr:col>
                    <xdr:colOff>142875</xdr:colOff>
                    <xdr:row>318</xdr:row>
                    <xdr:rowOff>9525</xdr:rowOff>
                  </from>
                  <to>
                    <xdr:col>4</xdr:col>
                    <xdr:colOff>381000</xdr:colOff>
                    <xdr:row>319</xdr:row>
                    <xdr:rowOff>0</xdr:rowOff>
                  </to>
                </anchor>
              </controlPr>
            </control>
          </mc:Choice>
        </mc:AlternateContent>
        <mc:AlternateContent xmlns:mc="http://schemas.openxmlformats.org/markup-compatibility/2006">
          <mc:Choice Requires="x14">
            <control shapeId="157299" r:id="rId134" name="Check Box 24179">
              <controlPr defaultSize="0" autoFill="0" autoLine="0" autoPict="0">
                <anchor moveWithCells="1">
                  <from>
                    <xdr:col>4</xdr:col>
                    <xdr:colOff>142875</xdr:colOff>
                    <xdr:row>319</xdr:row>
                    <xdr:rowOff>9525</xdr:rowOff>
                  </from>
                  <to>
                    <xdr:col>4</xdr:col>
                    <xdr:colOff>381000</xdr:colOff>
                    <xdr:row>320</xdr:row>
                    <xdr:rowOff>0</xdr:rowOff>
                  </to>
                </anchor>
              </controlPr>
            </control>
          </mc:Choice>
        </mc:AlternateContent>
        <mc:AlternateContent xmlns:mc="http://schemas.openxmlformats.org/markup-compatibility/2006">
          <mc:Choice Requires="x14">
            <control shapeId="157300" r:id="rId135" name="Check Box 24180">
              <controlPr defaultSize="0" autoFill="0" autoLine="0" autoPict="0">
                <anchor moveWithCells="1">
                  <from>
                    <xdr:col>4</xdr:col>
                    <xdr:colOff>142875</xdr:colOff>
                    <xdr:row>319</xdr:row>
                    <xdr:rowOff>9525</xdr:rowOff>
                  </from>
                  <to>
                    <xdr:col>4</xdr:col>
                    <xdr:colOff>381000</xdr:colOff>
                    <xdr:row>320</xdr:row>
                    <xdr:rowOff>0</xdr:rowOff>
                  </to>
                </anchor>
              </controlPr>
            </control>
          </mc:Choice>
        </mc:AlternateContent>
        <mc:AlternateContent xmlns:mc="http://schemas.openxmlformats.org/markup-compatibility/2006">
          <mc:Choice Requires="x14">
            <control shapeId="157301" r:id="rId136" name="Check Box 24181">
              <controlPr locked="0" defaultSize="0" autoFill="0" autoLine="0" autoPict="0">
                <anchor moveWithCells="1">
                  <from>
                    <xdr:col>4</xdr:col>
                    <xdr:colOff>142875</xdr:colOff>
                    <xdr:row>319</xdr:row>
                    <xdr:rowOff>9525</xdr:rowOff>
                  </from>
                  <to>
                    <xdr:col>4</xdr:col>
                    <xdr:colOff>381000</xdr:colOff>
                    <xdr:row>320</xdr:row>
                    <xdr:rowOff>0</xdr:rowOff>
                  </to>
                </anchor>
              </controlPr>
            </control>
          </mc:Choice>
        </mc:AlternateContent>
        <mc:AlternateContent xmlns:mc="http://schemas.openxmlformats.org/markup-compatibility/2006">
          <mc:Choice Requires="x14">
            <control shapeId="157302" r:id="rId137" name="Check Box 24182">
              <controlPr defaultSize="0" autoFill="0" autoLine="0" autoPict="0">
                <anchor moveWithCells="1">
                  <from>
                    <xdr:col>4</xdr:col>
                    <xdr:colOff>142875</xdr:colOff>
                    <xdr:row>320</xdr:row>
                    <xdr:rowOff>9525</xdr:rowOff>
                  </from>
                  <to>
                    <xdr:col>4</xdr:col>
                    <xdr:colOff>381000</xdr:colOff>
                    <xdr:row>321</xdr:row>
                    <xdr:rowOff>0</xdr:rowOff>
                  </to>
                </anchor>
              </controlPr>
            </control>
          </mc:Choice>
        </mc:AlternateContent>
        <mc:AlternateContent xmlns:mc="http://schemas.openxmlformats.org/markup-compatibility/2006">
          <mc:Choice Requires="x14">
            <control shapeId="157303" r:id="rId138" name="Check Box 24183">
              <controlPr defaultSize="0" autoFill="0" autoLine="0" autoPict="0">
                <anchor moveWithCells="1">
                  <from>
                    <xdr:col>4</xdr:col>
                    <xdr:colOff>142875</xdr:colOff>
                    <xdr:row>320</xdr:row>
                    <xdr:rowOff>9525</xdr:rowOff>
                  </from>
                  <to>
                    <xdr:col>4</xdr:col>
                    <xdr:colOff>381000</xdr:colOff>
                    <xdr:row>321</xdr:row>
                    <xdr:rowOff>0</xdr:rowOff>
                  </to>
                </anchor>
              </controlPr>
            </control>
          </mc:Choice>
        </mc:AlternateContent>
        <mc:AlternateContent xmlns:mc="http://schemas.openxmlformats.org/markup-compatibility/2006">
          <mc:Choice Requires="x14">
            <control shapeId="157304" r:id="rId139" name="Check Box 24184">
              <controlPr locked="0" defaultSize="0" autoFill="0" autoLine="0" autoPict="0">
                <anchor moveWithCells="1">
                  <from>
                    <xdr:col>4</xdr:col>
                    <xdr:colOff>142875</xdr:colOff>
                    <xdr:row>320</xdr:row>
                    <xdr:rowOff>9525</xdr:rowOff>
                  </from>
                  <to>
                    <xdr:col>4</xdr:col>
                    <xdr:colOff>381000</xdr:colOff>
                    <xdr:row>321</xdr:row>
                    <xdr:rowOff>0</xdr:rowOff>
                  </to>
                </anchor>
              </controlPr>
            </control>
          </mc:Choice>
        </mc:AlternateContent>
        <mc:AlternateContent xmlns:mc="http://schemas.openxmlformats.org/markup-compatibility/2006">
          <mc:Choice Requires="x14">
            <control shapeId="157305" r:id="rId140" name="Check Box 24185">
              <controlPr defaultSize="0" autoFill="0" autoLine="0" autoPict="0">
                <anchor moveWithCells="1">
                  <from>
                    <xdr:col>4</xdr:col>
                    <xdr:colOff>142875</xdr:colOff>
                    <xdr:row>321</xdr:row>
                    <xdr:rowOff>9525</xdr:rowOff>
                  </from>
                  <to>
                    <xdr:col>4</xdr:col>
                    <xdr:colOff>381000</xdr:colOff>
                    <xdr:row>322</xdr:row>
                    <xdr:rowOff>0</xdr:rowOff>
                  </to>
                </anchor>
              </controlPr>
            </control>
          </mc:Choice>
        </mc:AlternateContent>
        <mc:AlternateContent xmlns:mc="http://schemas.openxmlformats.org/markup-compatibility/2006">
          <mc:Choice Requires="x14">
            <control shapeId="157306" r:id="rId141" name="Check Box 24186">
              <controlPr defaultSize="0" autoFill="0" autoLine="0" autoPict="0">
                <anchor moveWithCells="1">
                  <from>
                    <xdr:col>4</xdr:col>
                    <xdr:colOff>142875</xdr:colOff>
                    <xdr:row>321</xdr:row>
                    <xdr:rowOff>9525</xdr:rowOff>
                  </from>
                  <to>
                    <xdr:col>4</xdr:col>
                    <xdr:colOff>381000</xdr:colOff>
                    <xdr:row>322</xdr:row>
                    <xdr:rowOff>0</xdr:rowOff>
                  </to>
                </anchor>
              </controlPr>
            </control>
          </mc:Choice>
        </mc:AlternateContent>
        <mc:AlternateContent xmlns:mc="http://schemas.openxmlformats.org/markup-compatibility/2006">
          <mc:Choice Requires="x14">
            <control shapeId="157307" r:id="rId142" name="Check Box 24187">
              <controlPr locked="0" defaultSize="0" autoFill="0" autoLine="0" autoPict="0">
                <anchor moveWithCells="1">
                  <from>
                    <xdr:col>4</xdr:col>
                    <xdr:colOff>142875</xdr:colOff>
                    <xdr:row>321</xdr:row>
                    <xdr:rowOff>9525</xdr:rowOff>
                  </from>
                  <to>
                    <xdr:col>4</xdr:col>
                    <xdr:colOff>381000</xdr:colOff>
                    <xdr:row>322</xdr:row>
                    <xdr:rowOff>0</xdr:rowOff>
                  </to>
                </anchor>
              </controlPr>
            </control>
          </mc:Choice>
        </mc:AlternateContent>
        <mc:AlternateContent xmlns:mc="http://schemas.openxmlformats.org/markup-compatibility/2006">
          <mc:Choice Requires="x14">
            <control shapeId="157308" r:id="rId143" name="Check Box 24188">
              <controlPr defaultSize="0" autoFill="0" autoLine="0" autoPict="0">
                <anchor moveWithCells="1">
                  <from>
                    <xdr:col>4</xdr:col>
                    <xdr:colOff>142875</xdr:colOff>
                    <xdr:row>322</xdr:row>
                    <xdr:rowOff>9525</xdr:rowOff>
                  </from>
                  <to>
                    <xdr:col>4</xdr:col>
                    <xdr:colOff>381000</xdr:colOff>
                    <xdr:row>323</xdr:row>
                    <xdr:rowOff>0</xdr:rowOff>
                  </to>
                </anchor>
              </controlPr>
            </control>
          </mc:Choice>
        </mc:AlternateContent>
        <mc:AlternateContent xmlns:mc="http://schemas.openxmlformats.org/markup-compatibility/2006">
          <mc:Choice Requires="x14">
            <control shapeId="157309" r:id="rId144" name="Check Box 24189">
              <controlPr defaultSize="0" autoFill="0" autoLine="0" autoPict="0">
                <anchor moveWithCells="1">
                  <from>
                    <xdr:col>4</xdr:col>
                    <xdr:colOff>142875</xdr:colOff>
                    <xdr:row>322</xdr:row>
                    <xdr:rowOff>9525</xdr:rowOff>
                  </from>
                  <to>
                    <xdr:col>4</xdr:col>
                    <xdr:colOff>381000</xdr:colOff>
                    <xdr:row>323</xdr:row>
                    <xdr:rowOff>0</xdr:rowOff>
                  </to>
                </anchor>
              </controlPr>
            </control>
          </mc:Choice>
        </mc:AlternateContent>
        <mc:AlternateContent xmlns:mc="http://schemas.openxmlformats.org/markup-compatibility/2006">
          <mc:Choice Requires="x14">
            <control shapeId="157310" r:id="rId145" name="Check Box 24190">
              <controlPr locked="0" defaultSize="0" autoFill="0" autoLine="0" autoPict="0">
                <anchor moveWithCells="1">
                  <from>
                    <xdr:col>4</xdr:col>
                    <xdr:colOff>142875</xdr:colOff>
                    <xdr:row>322</xdr:row>
                    <xdr:rowOff>9525</xdr:rowOff>
                  </from>
                  <to>
                    <xdr:col>4</xdr:col>
                    <xdr:colOff>381000</xdr:colOff>
                    <xdr:row>323</xdr:row>
                    <xdr:rowOff>0</xdr:rowOff>
                  </to>
                </anchor>
              </controlPr>
            </control>
          </mc:Choice>
        </mc:AlternateContent>
        <mc:AlternateContent xmlns:mc="http://schemas.openxmlformats.org/markup-compatibility/2006">
          <mc:Choice Requires="x14">
            <control shapeId="157311" r:id="rId146" name="Check Box 24191">
              <controlPr defaultSize="0" autoFill="0" autoLine="0" autoPict="0">
                <anchor moveWithCells="1">
                  <from>
                    <xdr:col>4</xdr:col>
                    <xdr:colOff>142875</xdr:colOff>
                    <xdr:row>323</xdr:row>
                    <xdr:rowOff>9525</xdr:rowOff>
                  </from>
                  <to>
                    <xdr:col>4</xdr:col>
                    <xdr:colOff>381000</xdr:colOff>
                    <xdr:row>324</xdr:row>
                    <xdr:rowOff>0</xdr:rowOff>
                  </to>
                </anchor>
              </controlPr>
            </control>
          </mc:Choice>
        </mc:AlternateContent>
        <mc:AlternateContent xmlns:mc="http://schemas.openxmlformats.org/markup-compatibility/2006">
          <mc:Choice Requires="x14">
            <control shapeId="157312" r:id="rId147" name="Check Box 24192">
              <controlPr defaultSize="0" autoFill="0" autoLine="0" autoPict="0">
                <anchor moveWithCells="1">
                  <from>
                    <xdr:col>4</xdr:col>
                    <xdr:colOff>142875</xdr:colOff>
                    <xdr:row>323</xdr:row>
                    <xdr:rowOff>9525</xdr:rowOff>
                  </from>
                  <to>
                    <xdr:col>4</xdr:col>
                    <xdr:colOff>381000</xdr:colOff>
                    <xdr:row>324</xdr:row>
                    <xdr:rowOff>0</xdr:rowOff>
                  </to>
                </anchor>
              </controlPr>
            </control>
          </mc:Choice>
        </mc:AlternateContent>
        <mc:AlternateContent xmlns:mc="http://schemas.openxmlformats.org/markup-compatibility/2006">
          <mc:Choice Requires="x14">
            <control shapeId="157313" r:id="rId148" name="Check Box 24193">
              <controlPr locked="0" defaultSize="0" autoFill="0" autoLine="0" autoPict="0">
                <anchor moveWithCells="1">
                  <from>
                    <xdr:col>4</xdr:col>
                    <xdr:colOff>142875</xdr:colOff>
                    <xdr:row>323</xdr:row>
                    <xdr:rowOff>9525</xdr:rowOff>
                  </from>
                  <to>
                    <xdr:col>4</xdr:col>
                    <xdr:colOff>381000</xdr:colOff>
                    <xdr:row>324</xdr:row>
                    <xdr:rowOff>0</xdr:rowOff>
                  </to>
                </anchor>
              </controlPr>
            </control>
          </mc:Choice>
        </mc:AlternateContent>
        <mc:AlternateContent xmlns:mc="http://schemas.openxmlformats.org/markup-compatibility/2006">
          <mc:Choice Requires="x14">
            <control shapeId="157314" r:id="rId149" name="Check Box 24194">
              <controlPr defaultSize="0" autoFill="0" autoLine="0" autoPict="0">
                <anchor moveWithCells="1">
                  <from>
                    <xdr:col>4</xdr:col>
                    <xdr:colOff>142875</xdr:colOff>
                    <xdr:row>324</xdr:row>
                    <xdr:rowOff>9525</xdr:rowOff>
                  </from>
                  <to>
                    <xdr:col>4</xdr:col>
                    <xdr:colOff>381000</xdr:colOff>
                    <xdr:row>325</xdr:row>
                    <xdr:rowOff>0</xdr:rowOff>
                  </to>
                </anchor>
              </controlPr>
            </control>
          </mc:Choice>
        </mc:AlternateContent>
        <mc:AlternateContent xmlns:mc="http://schemas.openxmlformats.org/markup-compatibility/2006">
          <mc:Choice Requires="x14">
            <control shapeId="157315" r:id="rId150" name="Check Box 24195">
              <controlPr defaultSize="0" autoFill="0" autoLine="0" autoPict="0">
                <anchor moveWithCells="1">
                  <from>
                    <xdr:col>4</xdr:col>
                    <xdr:colOff>142875</xdr:colOff>
                    <xdr:row>324</xdr:row>
                    <xdr:rowOff>9525</xdr:rowOff>
                  </from>
                  <to>
                    <xdr:col>4</xdr:col>
                    <xdr:colOff>381000</xdr:colOff>
                    <xdr:row>325</xdr:row>
                    <xdr:rowOff>0</xdr:rowOff>
                  </to>
                </anchor>
              </controlPr>
            </control>
          </mc:Choice>
        </mc:AlternateContent>
        <mc:AlternateContent xmlns:mc="http://schemas.openxmlformats.org/markup-compatibility/2006">
          <mc:Choice Requires="x14">
            <control shapeId="157316" r:id="rId151" name="Check Box 24196">
              <controlPr locked="0" defaultSize="0" autoFill="0" autoLine="0" autoPict="0">
                <anchor moveWithCells="1">
                  <from>
                    <xdr:col>4</xdr:col>
                    <xdr:colOff>142875</xdr:colOff>
                    <xdr:row>324</xdr:row>
                    <xdr:rowOff>9525</xdr:rowOff>
                  </from>
                  <to>
                    <xdr:col>4</xdr:col>
                    <xdr:colOff>381000</xdr:colOff>
                    <xdr:row>325</xdr:row>
                    <xdr:rowOff>0</xdr:rowOff>
                  </to>
                </anchor>
              </controlPr>
            </control>
          </mc:Choice>
        </mc:AlternateContent>
        <mc:AlternateContent xmlns:mc="http://schemas.openxmlformats.org/markup-compatibility/2006">
          <mc:Choice Requires="x14">
            <control shapeId="157317" r:id="rId152" name="Check Box 24197">
              <controlPr defaultSize="0" autoFill="0" autoLine="0" autoPict="0">
                <anchor moveWithCells="1">
                  <from>
                    <xdr:col>4</xdr:col>
                    <xdr:colOff>142875</xdr:colOff>
                    <xdr:row>325</xdr:row>
                    <xdr:rowOff>9525</xdr:rowOff>
                  </from>
                  <to>
                    <xdr:col>4</xdr:col>
                    <xdr:colOff>381000</xdr:colOff>
                    <xdr:row>326</xdr:row>
                    <xdr:rowOff>0</xdr:rowOff>
                  </to>
                </anchor>
              </controlPr>
            </control>
          </mc:Choice>
        </mc:AlternateContent>
        <mc:AlternateContent xmlns:mc="http://schemas.openxmlformats.org/markup-compatibility/2006">
          <mc:Choice Requires="x14">
            <control shapeId="157318" r:id="rId153" name="Check Box 24198">
              <controlPr defaultSize="0" autoFill="0" autoLine="0" autoPict="0">
                <anchor moveWithCells="1">
                  <from>
                    <xdr:col>4</xdr:col>
                    <xdr:colOff>142875</xdr:colOff>
                    <xdr:row>325</xdr:row>
                    <xdr:rowOff>9525</xdr:rowOff>
                  </from>
                  <to>
                    <xdr:col>4</xdr:col>
                    <xdr:colOff>381000</xdr:colOff>
                    <xdr:row>326</xdr:row>
                    <xdr:rowOff>0</xdr:rowOff>
                  </to>
                </anchor>
              </controlPr>
            </control>
          </mc:Choice>
        </mc:AlternateContent>
        <mc:AlternateContent xmlns:mc="http://schemas.openxmlformats.org/markup-compatibility/2006">
          <mc:Choice Requires="x14">
            <control shapeId="157319" r:id="rId154" name="Check Box 24199">
              <controlPr locked="0" defaultSize="0" autoFill="0" autoLine="0" autoPict="0">
                <anchor moveWithCells="1">
                  <from>
                    <xdr:col>4</xdr:col>
                    <xdr:colOff>142875</xdr:colOff>
                    <xdr:row>325</xdr:row>
                    <xdr:rowOff>9525</xdr:rowOff>
                  </from>
                  <to>
                    <xdr:col>4</xdr:col>
                    <xdr:colOff>381000</xdr:colOff>
                    <xdr:row>326</xdr:row>
                    <xdr:rowOff>0</xdr:rowOff>
                  </to>
                </anchor>
              </controlPr>
            </control>
          </mc:Choice>
        </mc:AlternateContent>
        <mc:AlternateContent xmlns:mc="http://schemas.openxmlformats.org/markup-compatibility/2006">
          <mc:Choice Requires="x14">
            <control shapeId="157320" r:id="rId155" name="Check Box 24200">
              <controlPr defaultSize="0" autoFill="0" autoLine="0" autoPict="0">
                <anchor moveWithCells="1">
                  <from>
                    <xdr:col>4</xdr:col>
                    <xdr:colOff>142875</xdr:colOff>
                    <xdr:row>326</xdr:row>
                    <xdr:rowOff>9525</xdr:rowOff>
                  </from>
                  <to>
                    <xdr:col>4</xdr:col>
                    <xdr:colOff>381000</xdr:colOff>
                    <xdr:row>327</xdr:row>
                    <xdr:rowOff>0</xdr:rowOff>
                  </to>
                </anchor>
              </controlPr>
            </control>
          </mc:Choice>
        </mc:AlternateContent>
        <mc:AlternateContent xmlns:mc="http://schemas.openxmlformats.org/markup-compatibility/2006">
          <mc:Choice Requires="x14">
            <control shapeId="157321" r:id="rId156" name="Check Box 24201">
              <controlPr defaultSize="0" autoFill="0" autoLine="0" autoPict="0">
                <anchor moveWithCells="1">
                  <from>
                    <xdr:col>4</xdr:col>
                    <xdr:colOff>142875</xdr:colOff>
                    <xdr:row>326</xdr:row>
                    <xdr:rowOff>9525</xdr:rowOff>
                  </from>
                  <to>
                    <xdr:col>4</xdr:col>
                    <xdr:colOff>381000</xdr:colOff>
                    <xdr:row>327</xdr:row>
                    <xdr:rowOff>0</xdr:rowOff>
                  </to>
                </anchor>
              </controlPr>
            </control>
          </mc:Choice>
        </mc:AlternateContent>
        <mc:AlternateContent xmlns:mc="http://schemas.openxmlformats.org/markup-compatibility/2006">
          <mc:Choice Requires="x14">
            <control shapeId="157322" r:id="rId157" name="Check Box 24202">
              <controlPr locked="0" defaultSize="0" autoFill="0" autoLine="0" autoPict="0">
                <anchor moveWithCells="1">
                  <from>
                    <xdr:col>4</xdr:col>
                    <xdr:colOff>142875</xdr:colOff>
                    <xdr:row>326</xdr:row>
                    <xdr:rowOff>9525</xdr:rowOff>
                  </from>
                  <to>
                    <xdr:col>4</xdr:col>
                    <xdr:colOff>381000</xdr:colOff>
                    <xdr:row>327</xdr:row>
                    <xdr:rowOff>0</xdr:rowOff>
                  </to>
                </anchor>
              </controlPr>
            </control>
          </mc:Choice>
        </mc:AlternateContent>
        <mc:AlternateContent xmlns:mc="http://schemas.openxmlformats.org/markup-compatibility/2006">
          <mc:Choice Requires="x14">
            <control shapeId="157323" r:id="rId158" name="Check Box 24203">
              <controlPr defaultSize="0" autoFill="0" autoLine="0" autoPict="0">
                <anchor moveWithCells="1">
                  <from>
                    <xdr:col>4</xdr:col>
                    <xdr:colOff>142875</xdr:colOff>
                    <xdr:row>327</xdr:row>
                    <xdr:rowOff>9525</xdr:rowOff>
                  </from>
                  <to>
                    <xdr:col>4</xdr:col>
                    <xdr:colOff>381000</xdr:colOff>
                    <xdr:row>328</xdr:row>
                    <xdr:rowOff>0</xdr:rowOff>
                  </to>
                </anchor>
              </controlPr>
            </control>
          </mc:Choice>
        </mc:AlternateContent>
        <mc:AlternateContent xmlns:mc="http://schemas.openxmlformats.org/markup-compatibility/2006">
          <mc:Choice Requires="x14">
            <control shapeId="157324" r:id="rId159" name="Check Box 24204">
              <controlPr defaultSize="0" autoFill="0" autoLine="0" autoPict="0">
                <anchor moveWithCells="1">
                  <from>
                    <xdr:col>4</xdr:col>
                    <xdr:colOff>142875</xdr:colOff>
                    <xdr:row>327</xdr:row>
                    <xdr:rowOff>9525</xdr:rowOff>
                  </from>
                  <to>
                    <xdr:col>4</xdr:col>
                    <xdr:colOff>381000</xdr:colOff>
                    <xdr:row>328</xdr:row>
                    <xdr:rowOff>0</xdr:rowOff>
                  </to>
                </anchor>
              </controlPr>
            </control>
          </mc:Choice>
        </mc:AlternateContent>
        <mc:AlternateContent xmlns:mc="http://schemas.openxmlformats.org/markup-compatibility/2006">
          <mc:Choice Requires="x14">
            <control shapeId="157325" r:id="rId160" name="Check Box 24205">
              <controlPr locked="0" defaultSize="0" autoFill="0" autoLine="0" autoPict="0">
                <anchor moveWithCells="1">
                  <from>
                    <xdr:col>4</xdr:col>
                    <xdr:colOff>142875</xdr:colOff>
                    <xdr:row>327</xdr:row>
                    <xdr:rowOff>9525</xdr:rowOff>
                  </from>
                  <to>
                    <xdr:col>4</xdr:col>
                    <xdr:colOff>381000</xdr:colOff>
                    <xdr:row>328</xdr:row>
                    <xdr:rowOff>0</xdr:rowOff>
                  </to>
                </anchor>
              </controlPr>
            </control>
          </mc:Choice>
        </mc:AlternateContent>
        <mc:AlternateContent xmlns:mc="http://schemas.openxmlformats.org/markup-compatibility/2006">
          <mc:Choice Requires="x14">
            <control shapeId="157326" r:id="rId161" name="Check Box 24206">
              <controlPr defaultSize="0" autoFill="0" autoLine="0" autoPict="0">
                <anchor moveWithCells="1">
                  <from>
                    <xdr:col>4</xdr:col>
                    <xdr:colOff>142875</xdr:colOff>
                    <xdr:row>328</xdr:row>
                    <xdr:rowOff>9525</xdr:rowOff>
                  </from>
                  <to>
                    <xdr:col>4</xdr:col>
                    <xdr:colOff>381000</xdr:colOff>
                    <xdr:row>329</xdr:row>
                    <xdr:rowOff>0</xdr:rowOff>
                  </to>
                </anchor>
              </controlPr>
            </control>
          </mc:Choice>
        </mc:AlternateContent>
        <mc:AlternateContent xmlns:mc="http://schemas.openxmlformats.org/markup-compatibility/2006">
          <mc:Choice Requires="x14">
            <control shapeId="157327" r:id="rId162" name="Check Box 24207">
              <controlPr defaultSize="0" autoFill="0" autoLine="0" autoPict="0">
                <anchor moveWithCells="1">
                  <from>
                    <xdr:col>4</xdr:col>
                    <xdr:colOff>142875</xdr:colOff>
                    <xdr:row>328</xdr:row>
                    <xdr:rowOff>9525</xdr:rowOff>
                  </from>
                  <to>
                    <xdr:col>4</xdr:col>
                    <xdr:colOff>381000</xdr:colOff>
                    <xdr:row>329</xdr:row>
                    <xdr:rowOff>0</xdr:rowOff>
                  </to>
                </anchor>
              </controlPr>
            </control>
          </mc:Choice>
        </mc:AlternateContent>
        <mc:AlternateContent xmlns:mc="http://schemas.openxmlformats.org/markup-compatibility/2006">
          <mc:Choice Requires="x14">
            <control shapeId="157328" r:id="rId163" name="Check Box 24208">
              <controlPr locked="0" defaultSize="0" autoFill="0" autoLine="0" autoPict="0">
                <anchor moveWithCells="1">
                  <from>
                    <xdr:col>4</xdr:col>
                    <xdr:colOff>142875</xdr:colOff>
                    <xdr:row>328</xdr:row>
                    <xdr:rowOff>9525</xdr:rowOff>
                  </from>
                  <to>
                    <xdr:col>4</xdr:col>
                    <xdr:colOff>381000</xdr:colOff>
                    <xdr:row>329</xdr:row>
                    <xdr:rowOff>0</xdr:rowOff>
                  </to>
                </anchor>
              </controlPr>
            </control>
          </mc:Choice>
        </mc:AlternateContent>
        <mc:AlternateContent xmlns:mc="http://schemas.openxmlformats.org/markup-compatibility/2006">
          <mc:Choice Requires="x14">
            <control shapeId="157329" r:id="rId164" name="Check Box 24209">
              <controlPr defaultSize="0" autoFill="0" autoLine="0" autoPict="0">
                <anchor moveWithCells="1">
                  <from>
                    <xdr:col>4</xdr:col>
                    <xdr:colOff>142875</xdr:colOff>
                    <xdr:row>329</xdr:row>
                    <xdr:rowOff>9525</xdr:rowOff>
                  </from>
                  <to>
                    <xdr:col>4</xdr:col>
                    <xdr:colOff>381000</xdr:colOff>
                    <xdr:row>330</xdr:row>
                    <xdr:rowOff>0</xdr:rowOff>
                  </to>
                </anchor>
              </controlPr>
            </control>
          </mc:Choice>
        </mc:AlternateContent>
        <mc:AlternateContent xmlns:mc="http://schemas.openxmlformats.org/markup-compatibility/2006">
          <mc:Choice Requires="x14">
            <control shapeId="157330" r:id="rId165" name="Check Box 24210">
              <controlPr defaultSize="0" autoFill="0" autoLine="0" autoPict="0">
                <anchor moveWithCells="1">
                  <from>
                    <xdr:col>4</xdr:col>
                    <xdr:colOff>142875</xdr:colOff>
                    <xdr:row>329</xdr:row>
                    <xdr:rowOff>9525</xdr:rowOff>
                  </from>
                  <to>
                    <xdr:col>4</xdr:col>
                    <xdr:colOff>381000</xdr:colOff>
                    <xdr:row>330</xdr:row>
                    <xdr:rowOff>0</xdr:rowOff>
                  </to>
                </anchor>
              </controlPr>
            </control>
          </mc:Choice>
        </mc:AlternateContent>
        <mc:AlternateContent xmlns:mc="http://schemas.openxmlformats.org/markup-compatibility/2006">
          <mc:Choice Requires="x14">
            <control shapeId="157331" r:id="rId166" name="Check Box 24211">
              <controlPr locked="0" defaultSize="0" autoFill="0" autoLine="0" autoPict="0">
                <anchor moveWithCells="1">
                  <from>
                    <xdr:col>4</xdr:col>
                    <xdr:colOff>142875</xdr:colOff>
                    <xdr:row>329</xdr:row>
                    <xdr:rowOff>9525</xdr:rowOff>
                  </from>
                  <to>
                    <xdr:col>4</xdr:col>
                    <xdr:colOff>381000</xdr:colOff>
                    <xdr:row>330</xdr:row>
                    <xdr:rowOff>0</xdr:rowOff>
                  </to>
                </anchor>
              </controlPr>
            </control>
          </mc:Choice>
        </mc:AlternateContent>
        <mc:AlternateContent xmlns:mc="http://schemas.openxmlformats.org/markup-compatibility/2006">
          <mc:Choice Requires="x14">
            <control shapeId="157332" r:id="rId167" name="Check Box 24212">
              <controlPr defaultSize="0" autoFill="0" autoLine="0" autoPict="0">
                <anchor moveWithCells="1">
                  <from>
                    <xdr:col>4</xdr:col>
                    <xdr:colOff>142875</xdr:colOff>
                    <xdr:row>330</xdr:row>
                    <xdr:rowOff>9525</xdr:rowOff>
                  </from>
                  <to>
                    <xdr:col>4</xdr:col>
                    <xdr:colOff>381000</xdr:colOff>
                    <xdr:row>331</xdr:row>
                    <xdr:rowOff>0</xdr:rowOff>
                  </to>
                </anchor>
              </controlPr>
            </control>
          </mc:Choice>
        </mc:AlternateContent>
        <mc:AlternateContent xmlns:mc="http://schemas.openxmlformats.org/markup-compatibility/2006">
          <mc:Choice Requires="x14">
            <control shapeId="157333" r:id="rId168" name="Check Box 24213">
              <controlPr defaultSize="0" autoFill="0" autoLine="0" autoPict="0">
                <anchor moveWithCells="1">
                  <from>
                    <xdr:col>4</xdr:col>
                    <xdr:colOff>142875</xdr:colOff>
                    <xdr:row>330</xdr:row>
                    <xdr:rowOff>9525</xdr:rowOff>
                  </from>
                  <to>
                    <xdr:col>4</xdr:col>
                    <xdr:colOff>381000</xdr:colOff>
                    <xdr:row>331</xdr:row>
                    <xdr:rowOff>0</xdr:rowOff>
                  </to>
                </anchor>
              </controlPr>
            </control>
          </mc:Choice>
        </mc:AlternateContent>
        <mc:AlternateContent xmlns:mc="http://schemas.openxmlformats.org/markup-compatibility/2006">
          <mc:Choice Requires="x14">
            <control shapeId="157334" r:id="rId169" name="Check Box 24214">
              <controlPr locked="0" defaultSize="0" autoFill="0" autoLine="0" autoPict="0">
                <anchor moveWithCells="1">
                  <from>
                    <xdr:col>4</xdr:col>
                    <xdr:colOff>142875</xdr:colOff>
                    <xdr:row>330</xdr:row>
                    <xdr:rowOff>9525</xdr:rowOff>
                  </from>
                  <to>
                    <xdr:col>4</xdr:col>
                    <xdr:colOff>381000</xdr:colOff>
                    <xdr:row>331</xdr:row>
                    <xdr:rowOff>0</xdr:rowOff>
                  </to>
                </anchor>
              </controlPr>
            </control>
          </mc:Choice>
        </mc:AlternateContent>
        <mc:AlternateContent xmlns:mc="http://schemas.openxmlformats.org/markup-compatibility/2006">
          <mc:Choice Requires="x14">
            <control shapeId="157335" r:id="rId170" name="Check Box 24215">
              <controlPr defaultSize="0" autoFill="0" autoLine="0" autoPict="0">
                <anchor moveWithCells="1">
                  <from>
                    <xdr:col>4</xdr:col>
                    <xdr:colOff>142875</xdr:colOff>
                    <xdr:row>331</xdr:row>
                    <xdr:rowOff>9525</xdr:rowOff>
                  </from>
                  <to>
                    <xdr:col>4</xdr:col>
                    <xdr:colOff>381000</xdr:colOff>
                    <xdr:row>332</xdr:row>
                    <xdr:rowOff>0</xdr:rowOff>
                  </to>
                </anchor>
              </controlPr>
            </control>
          </mc:Choice>
        </mc:AlternateContent>
        <mc:AlternateContent xmlns:mc="http://schemas.openxmlformats.org/markup-compatibility/2006">
          <mc:Choice Requires="x14">
            <control shapeId="157336" r:id="rId171" name="Check Box 24216">
              <controlPr defaultSize="0" autoFill="0" autoLine="0" autoPict="0">
                <anchor moveWithCells="1">
                  <from>
                    <xdr:col>4</xdr:col>
                    <xdr:colOff>142875</xdr:colOff>
                    <xdr:row>331</xdr:row>
                    <xdr:rowOff>9525</xdr:rowOff>
                  </from>
                  <to>
                    <xdr:col>4</xdr:col>
                    <xdr:colOff>381000</xdr:colOff>
                    <xdr:row>332</xdr:row>
                    <xdr:rowOff>0</xdr:rowOff>
                  </to>
                </anchor>
              </controlPr>
            </control>
          </mc:Choice>
        </mc:AlternateContent>
        <mc:AlternateContent xmlns:mc="http://schemas.openxmlformats.org/markup-compatibility/2006">
          <mc:Choice Requires="x14">
            <control shapeId="157337" r:id="rId172" name="Check Box 24217">
              <controlPr locked="0" defaultSize="0" autoFill="0" autoLine="0" autoPict="0">
                <anchor moveWithCells="1">
                  <from>
                    <xdr:col>4</xdr:col>
                    <xdr:colOff>142875</xdr:colOff>
                    <xdr:row>331</xdr:row>
                    <xdr:rowOff>9525</xdr:rowOff>
                  </from>
                  <to>
                    <xdr:col>4</xdr:col>
                    <xdr:colOff>381000</xdr:colOff>
                    <xdr:row>332</xdr:row>
                    <xdr:rowOff>0</xdr:rowOff>
                  </to>
                </anchor>
              </controlPr>
            </control>
          </mc:Choice>
        </mc:AlternateContent>
        <mc:AlternateContent xmlns:mc="http://schemas.openxmlformats.org/markup-compatibility/2006">
          <mc:Choice Requires="x14">
            <control shapeId="157338" r:id="rId173" name="Check Box 24218">
              <controlPr defaultSize="0" autoFill="0" autoLine="0" autoPict="0">
                <anchor moveWithCells="1">
                  <from>
                    <xdr:col>4</xdr:col>
                    <xdr:colOff>142875</xdr:colOff>
                    <xdr:row>332</xdr:row>
                    <xdr:rowOff>9525</xdr:rowOff>
                  </from>
                  <to>
                    <xdr:col>4</xdr:col>
                    <xdr:colOff>381000</xdr:colOff>
                    <xdr:row>333</xdr:row>
                    <xdr:rowOff>0</xdr:rowOff>
                  </to>
                </anchor>
              </controlPr>
            </control>
          </mc:Choice>
        </mc:AlternateContent>
        <mc:AlternateContent xmlns:mc="http://schemas.openxmlformats.org/markup-compatibility/2006">
          <mc:Choice Requires="x14">
            <control shapeId="157339" r:id="rId174" name="Check Box 24219">
              <controlPr defaultSize="0" autoFill="0" autoLine="0" autoPict="0">
                <anchor moveWithCells="1">
                  <from>
                    <xdr:col>4</xdr:col>
                    <xdr:colOff>142875</xdr:colOff>
                    <xdr:row>332</xdr:row>
                    <xdr:rowOff>9525</xdr:rowOff>
                  </from>
                  <to>
                    <xdr:col>4</xdr:col>
                    <xdr:colOff>381000</xdr:colOff>
                    <xdr:row>333</xdr:row>
                    <xdr:rowOff>0</xdr:rowOff>
                  </to>
                </anchor>
              </controlPr>
            </control>
          </mc:Choice>
        </mc:AlternateContent>
        <mc:AlternateContent xmlns:mc="http://schemas.openxmlformats.org/markup-compatibility/2006">
          <mc:Choice Requires="x14">
            <control shapeId="157340" r:id="rId175" name="Check Box 24220">
              <controlPr locked="0" defaultSize="0" autoFill="0" autoLine="0" autoPict="0">
                <anchor moveWithCells="1">
                  <from>
                    <xdr:col>4</xdr:col>
                    <xdr:colOff>142875</xdr:colOff>
                    <xdr:row>332</xdr:row>
                    <xdr:rowOff>9525</xdr:rowOff>
                  </from>
                  <to>
                    <xdr:col>4</xdr:col>
                    <xdr:colOff>381000</xdr:colOff>
                    <xdr:row>333</xdr:row>
                    <xdr:rowOff>0</xdr:rowOff>
                  </to>
                </anchor>
              </controlPr>
            </control>
          </mc:Choice>
        </mc:AlternateContent>
        <mc:AlternateContent xmlns:mc="http://schemas.openxmlformats.org/markup-compatibility/2006">
          <mc:Choice Requires="x14">
            <control shapeId="157341" r:id="rId176" name="Check Box 24221">
              <controlPr defaultSize="0" autoFill="0" autoLine="0" autoPict="0">
                <anchor moveWithCells="1">
                  <from>
                    <xdr:col>4</xdr:col>
                    <xdr:colOff>142875</xdr:colOff>
                    <xdr:row>333</xdr:row>
                    <xdr:rowOff>9525</xdr:rowOff>
                  </from>
                  <to>
                    <xdr:col>4</xdr:col>
                    <xdr:colOff>381000</xdr:colOff>
                    <xdr:row>334</xdr:row>
                    <xdr:rowOff>0</xdr:rowOff>
                  </to>
                </anchor>
              </controlPr>
            </control>
          </mc:Choice>
        </mc:AlternateContent>
        <mc:AlternateContent xmlns:mc="http://schemas.openxmlformats.org/markup-compatibility/2006">
          <mc:Choice Requires="x14">
            <control shapeId="157342" r:id="rId177" name="Check Box 24222">
              <controlPr defaultSize="0" autoFill="0" autoLine="0" autoPict="0">
                <anchor moveWithCells="1">
                  <from>
                    <xdr:col>4</xdr:col>
                    <xdr:colOff>142875</xdr:colOff>
                    <xdr:row>333</xdr:row>
                    <xdr:rowOff>9525</xdr:rowOff>
                  </from>
                  <to>
                    <xdr:col>4</xdr:col>
                    <xdr:colOff>381000</xdr:colOff>
                    <xdr:row>334</xdr:row>
                    <xdr:rowOff>0</xdr:rowOff>
                  </to>
                </anchor>
              </controlPr>
            </control>
          </mc:Choice>
        </mc:AlternateContent>
        <mc:AlternateContent xmlns:mc="http://schemas.openxmlformats.org/markup-compatibility/2006">
          <mc:Choice Requires="x14">
            <control shapeId="157343" r:id="rId178" name="Check Box 24223">
              <controlPr locked="0" defaultSize="0" autoFill="0" autoLine="0" autoPict="0">
                <anchor moveWithCells="1">
                  <from>
                    <xdr:col>4</xdr:col>
                    <xdr:colOff>142875</xdr:colOff>
                    <xdr:row>333</xdr:row>
                    <xdr:rowOff>9525</xdr:rowOff>
                  </from>
                  <to>
                    <xdr:col>4</xdr:col>
                    <xdr:colOff>381000</xdr:colOff>
                    <xdr:row>334</xdr:row>
                    <xdr:rowOff>0</xdr:rowOff>
                  </to>
                </anchor>
              </controlPr>
            </control>
          </mc:Choice>
        </mc:AlternateContent>
        <mc:AlternateContent xmlns:mc="http://schemas.openxmlformats.org/markup-compatibility/2006">
          <mc:Choice Requires="x14">
            <control shapeId="157344" r:id="rId179" name="Check Box 24224">
              <controlPr defaultSize="0" autoFill="0" autoLine="0" autoPict="0">
                <anchor moveWithCells="1">
                  <from>
                    <xdr:col>4</xdr:col>
                    <xdr:colOff>142875</xdr:colOff>
                    <xdr:row>334</xdr:row>
                    <xdr:rowOff>9525</xdr:rowOff>
                  </from>
                  <to>
                    <xdr:col>4</xdr:col>
                    <xdr:colOff>381000</xdr:colOff>
                    <xdr:row>335</xdr:row>
                    <xdr:rowOff>0</xdr:rowOff>
                  </to>
                </anchor>
              </controlPr>
            </control>
          </mc:Choice>
        </mc:AlternateContent>
        <mc:AlternateContent xmlns:mc="http://schemas.openxmlformats.org/markup-compatibility/2006">
          <mc:Choice Requires="x14">
            <control shapeId="157345" r:id="rId180" name="Check Box 24225">
              <controlPr defaultSize="0" autoFill="0" autoLine="0" autoPict="0">
                <anchor moveWithCells="1">
                  <from>
                    <xdr:col>4</xdr:col>
                    <xdr:colOff>142875</xdr:colOff>
                    <xdr:row>334</xdr:row>
                    <xdr:rowOff>9525</xdr:rowOff>
                  </from>
                  <to>
                    <xdr:col>4</xdr:col>
                    <xdr:colOff>381000</xdr:colOff>
                    <xdr:row>335</xdr:row>
                    <xdr:rowOff>0</xdr:rowOff>
                  </to>
                </anchor>
              </controlPr>
            </control>
          </mc:Choice>
        </mc:AlternateContent>
        <mc:AlternateContent xmlns:mc="http://schemas.openxmlformats.org/markup-compatibility/2006">
          <mc:Choice Requires="x14">
            <control shapeId="157346" r:id="rId181" name="Check Box 24226">
              <controlPr locked="0" defaultSize="0" autoFill="0" autoLine="0" autoPict="0">
                <anchor moveWithCells="1">
                  <from>
                    <xdr:col>4</xdr:col>
                    <xdr:colOff>142875</xdr:colOff>
                    <xdr:row>334</xdr:row>
                    <xdr:rowOff>9525</xdr:rowOff>
                  </from>
                  <to>
                    <xdr:col>4</xdr:col>
                    <xdr:colOff>381000</xdr:colOff>
                    <xdr:row>335</xdr:row>
                    <xdr:rowOff>0</xdr:rowOff>
                  </to>
                </anchor>
              </controlPr>
            </control>
          </mc:Choice>
        </mc:AlternateContent>
        <mc:AlternateContent xmlns:mc="http://schemas.openxmlformats.org/markup-compatibility/2006">
          <mc:Choice Requires="x14">
            <control shapeId="157347" r:id="rId182" name="Check Box 24227">
              <controlPr defaultSize="0" autoFill="0" autoLine="0" autoPict="0">
                <anchor moveWithCells="1">
                  <from>
                    <xdr:col>4</xdr:col>
                    <xdr:colOff>142875</xdr:colOff>
                    <xdr:row>335</xdr:row>
                    <xdr:rowOff>9525</xdr:rowOff>
                  </from>
                  <to>
                    <xdr:col>4</xdr:col>
                    <xdr:colOff>381000</xdr:colOff>
                    <xdr:row>336</xdr:row>
                    <xdr:rowOff>0</xdr:rowOff>
                  </to>
                </anchor>
              </controlPr>
            </control>
          </mc:Choice>
        </mc:AlternateContent>
        <mc:AlternateContent xmlns:mc="http://schemas.openxmlformats.org/markup-compatibility/2006">
          <mc:Choice Requires="x14">
            <control shapeId="157348" r:id="rId183" name="Check Box 24228">
              <controlPr defaultSize="0" autoFill="0" autoLine="0" autoPict="0">
                <anchor moveWithCells="1">
                  <from>
                    <xdr:col>4</xdr:col>
                    <xdr:colOff>142875</xdr:colOff>
                    <xdr:row>335</xdr:row>
                    <xdr:rowOff>9525</xdr:rowOff>
                  </from>
                  <to>
                    <xdr:col>4</xdr:col>
                    <xdr:colOff>381000</xdr:colOff>
                    <xdr:row>336</xdr:row>
                    <xdr:rowOff>0</xdr:rowOff>
                  </to>
                </anchor>
              </controlPr>
            </control>
          </mc:Choice>
        </mc:AlternateContent>
        <mc:AlternateContent xmlns:mc="http://schemas.openxmlformats.org/markup-compatibility/2006">
          <mc:Choice Requires="x14">
            <control shapeId="157349" r:id="rId184" name="Check Box 24229">
              <controlPr locked="0" defaultSize="0" autoFill="0" autoLine="0" autoPict="0">
                <anchor moveWithCells="1">
                  <from>
                    <xdr:col>4</xdr:col>
                    <xdr:colOff>142875</xdr:colOff>
                    <xdr:row>335</xdr:row>
                    <xdr:rowOff>9525</xdr:rowOff>
                  </from>
                  <to>
                    <xdr:col>4</xdr:col>
                    <xdr:colOff>381000</xdr:colOff>
                    <xdr:row>336</xdr:row>
                    <xdr:rowOff>0</xdr:rowOff>
                  </to>
                </anchor>
              </controlPr>
            </control>
          </mc:Choice>
        </mc:AlternateContent>
        <mc:AlternateContent xmlns:mc="http://schemas.openxmlformats.org/markup-compatibility/2006">
          <mc:Choice Requires="x14">
            <control shapeId="157350" r:id="rId185" name="Check Box 24230">
              <controlPr defaultSize="0" autoFill="0" autoLine="0" autoPict="0">
                <anchor moveWithCells="1">
                  <from>
                    <xdr:col>4</xdr:col>
                    <xdr:colOff>142875</xdr:colOff>
                    <xdr:row>336</xdr:row>
                    <xdr:rowOff>9525</xdr:rowOff>
                  </from>
                  <to>
                    <xdr:col>4</xdr:col>
                    <xdr:colOff>381000</xdr:colOff>
                    <xdr:row>337</xdr:row>
                    <xdr:rowOff>0</xdr:rowOff>
                  </to>
                </anchor>
              </controlPr>
            </control>
          </mc:Choice>
        </mc:AlternateContent>
        <mc:AlternateContent xmlns:mc="http://schemas.openxmlformats.org/markup-compatibility/2006">
          <mc:Choice Requires="x14">
            <control shapeId="157351" r:id="rId186" name="Check Box 24231">
              <controlPr locked="0" defaultSize="0" autoFill="0" autoLine="0" autoPict="0">
                <anchor moveWithCells="1">
                  <from>
                    <xdr:col>4</xdr:col>
                    <xdr:colOff>142875</xdr:colOff>
                    <xdr:row>336</xdr:row>
                    <xdr:rowOff>9525</xdr:rowOff>
                  </from>
                  <to>
                    <xdr:col>4</xdr:col>
                    <xdr:colOff>381000</xdr:colOff>
                    <xdr:row>337</xdr:row>
                    <xdr:rowOff>0</xdr:rowOff>
                  </to>
                </anchor>
              </controlPr>
            </control>
          </mc:Choice>
        </mc:AlternateContent>
        <mc:AlternateContent xmlns:mc="http://schemas.openxmlformats.org/markup-compatibility/2006">
          <mc:Choice Requires="x14">
            <control shapeId="183268" r:id="rId187" name="Drop Down 35812">
              <controlPr defaultSize="0" autoLine="0" autoPict="0">
                <anchor moveWithCells="1">
                  <from>
                    <xdr:col>3</xdr:col>
                    <xdr:colOff>19050</xdr:colOff>
                    <xdr:row>307</xdr:row>
                    <xdr:rowOff>19050</xdr:rowOff>
                  </from>
                  <to>
                    <xdr:col>4</xdr:col>
                    <xdr:colOff>0</xdr:colOff>
                    <xdr:row>308</xdr:row>
                    <xdr:rowOff>0</xdr:rowOff>
                  </to>
                </anchor>
              </controlPr>
            </control>
          </mc:Choice>
        </mc:AlternateContent>
        <mc:AlternateContent xmlns:mc="http://schemas.openxmlformats.org/markup-compatibility/2006">
          <mc:Choice Requires="x14">
            <control shapeId="186470" r:id="rId188" name="Drop Down 35942">
              <controlPr defaultSize="0" autoLine="0" autoPict="0">
                <anchor moveWithCells="1">
                  <from>
                    <xdr:col>3</xdr:col>
                    <xdr:colOff>19050</xdr:colOff>
                    <xdr:row>308</xdr:row>
                    <xdr:rowOff>19050</xdr:rowOff>
                  </from>
                  <to>
                    <xdr:col>4</xdr:col>
                    <xdr:colOff>0</xdr:colOff>
                    <xdr:row>309</xdr:row>
                    <xdr:rowOff>0</xdr:rowOff>
                  </to>
                </anchor>
              </controlPr>
            </control>
          </mc:Choice>
        </mc:AlternateContent>
        <mc:AlternateContent xmlns:mc="http://schemas.openxmlformats.org/markup-compatibility/2006">
          <mc:Choice Requires="x14">
            <control shapeId="186471" r:id="rId189" name="Drop Down 35943">
              <controlPr defaultSize="0" autoLine="0" autoPict="0">
                <anchor moveWithCells="1">
                  <from>
                    <xdr:col>3</xdr:col>
                    <xdr:colOff>19050</xdr:colOff>
                    <xdr:row>309</xdr:row>
                    <xdr:rowOff>19050</xdr:rowOff>
                  </from>
                  <to>
                    <xdr:col>4</xdr:col>
                    <xdr:colOff>0</xdr:colOff>
                    <xdr:row>310</xdr:row>
                    <xdr:rowOff>0</xdr:rowOff>
                  </to>
                </anchor>
              </controlPr>
            </control>
          </mc:Choice>
        </mc:AlternateContent>
        <mc:AlternateContent xmlns:mc="http://schemas.openxmlformats.org/markup-compatibility/2006">
          <mc:Choice Requires="x14">
            <control shapeId="186472" r:id="rId190" name="Drop Down 35944">
              <controlPr defaultSize="0" autoLine="0" autoPict="0">
                <anchor moveWithCells="1">
                  <from>
                    <xdr:col>3</xdr:col>
                    <xdr:colOff>19050</xdr:colOff>
                    <xdr:row>310</xdr:row>
                    <xdr:rowOff>19050</xdr:rowOff>
                  </from>
                  <to>
                    <xdr:col>4</xdr:col>
                    <xdr:colOff>0</xdr:colOff>
                    <xdr:row>311</xdr:row>
                    <xdr:rowOff>0</xdr:rowOff>
                  </to>
                </anchor>
              </controlPr>
            </control>
          </mc:Choice>
        </mc:AlternateContent>
        <mc:AlternateContent xmlns:mc="http://schemas.openxmlformats.org/markup-compatibility/2006">
          <mc:Choice Requires="x14">
            <control shapeId="186473" r:id="rId191" name="Drop Down 35945">
              <controlPr defaultSize="0" autoLine="0" autoPict="0">
                <anchor moveWithCells="1">
                  <from>
                    <xdr:col>3</xdr:col>
                    <xdr:colOff>19050</xdr:colOff>
                    <xdr:row>311</xdr:row>
                    <xdr:rowOff>19050</xdr:rowOff>
                  </from>
                  <to>
                    <xdr:col>4</xdr:col>
                    <xdr:colOff>0</xdr:colOff>
                    <xdr:row>312</xdr:row>
                    <xdr:rowOff>0</xdr:rowOff>
                  </to>
                </anchor>
              </controlPr>
            </control>
          </mc:Choice>
        </mc:AlternateContent>
        <mc:AlternateContent xmlns:mc="http://schemas.openxmlformats.org/markup-compatibility/2006">
          <mc:Choice Requires="x14">
            <control shapeId="186474" r:id="rId192" name="Drop Down 35946">
              <controlPr defaultSize="0" autoLine="0" autoPict="0">
                <anchor moveWithCells="1">
                  <from>
                    <xdr:col>3</xdr:col>
                    <xdr:colOff>19050</xdr:colOff>
                    <xdr:row>312</xdr:row>
                    <xdr:rowOff>19050</xdr:rowOff>
                  </from>
                  <to>
                    <xdr:col>4</xdr:col>
                    <xdr:colOff>0</xdr:colOff>
                    <xdr:row>313</xdr:row>
                    <xdr:rowOff>0</xdr:rowOff>
                  </to>
                </anchor>
              </controlPr>
            </control>
          </mc:Choice>
        </mc:AlternateContent>
        <mc:AlternateContent xmlns:mc="http://schemas.openxmlformats.org/markup-compatibility/2006">
          <mc:Choice Requires="x14">
            <control shapeId="186475" r:id="rId193" name="Drop Down 35947">
              <controlPr defaultSize="0" autoLine="0" autoPict="0">
                <anchor moveWithCells="1">
                  <from>
                    <xdr:col>3</xdr:col>
                    <xdr:colOff>19050</xdr:colOff>
                    <xdr:row>313</xdr:row>
                    <xdr:rowOff>19050</xdr:rowOff>
                  </from>
                  <to>
                    <xdr:col>4</xdr:col>
                    <xdr:colOff>0</xdr:colOff>
                    <xdr:row>314</xdr:row>
                    <xdr:rowOff>0</xdr:rowOff>
                  </to>
                </anchor>
              </controlPr>
            </control>
          </mc:Choice>
        </mc:AlternateContent>
        <mc:AlternateContent xmlns:mc="http://schemas.openxmlformats.org/markup-compatibility/2006">
          <mc:Choice Requires="x14">
            <control shapeId="186476" r:id="rId194" name="Drop Down 35948">
              <controlPr defaultSize="0" autoLine="0" autoPict="0">
                <anchor moveWithCells="1">
                  <from>
                    <xdr:col>3</xdr:col>
                    <xdr:colOff>19050</xdr:colOff>
                    <xdr:row>314</xdr:row>
                    <xdr:rowOff>19050</xdr:rowOff>
                  </from>
                  <to>
                    <xdr:col>4</xdr:col>
                    <xdr:colOff>0</xdr:colOff>
                    <xdr:row>315</xdr:row>
                    <xdr:rowOff>0</xdr:rowOff>
                  </to>
                </anchor>
              </controlPr>
            </control>
          </mc:Choice>
        </mc:AlternateContent>
        <mc:AlternateContent xmlns:mc="http://schemas.openxmlformats.org/markup-compatibility/2006">
          <mc:Choice Requires="x14">
            <control shapeId="186477" r:id="rId195" name="Drop Down 35949">
              <controlPr defaultSize="0" autoLine="0" autoPict="0">
                <anchor moveWithCells="1">
                  <from>
                    <xdr:col>3</xdr:col>
                    <xdr:colOff>19050</xdr:colOff>
                    <xdr:row>315</xdr:row>
                    <xdr:rowOff>19050</xdr:rowOff>
                  </from>
                  <to>
                    <xdr:col>4</xdr:col>
                    <xdr:colOff>0</xdr:colOff>
                    <xdr:row>316</xdr:row>
                    <xdr:rowOff>0</xdr:rowOff>
                  </to>
                </anchor>
              </controlPr>
            </control>
          </mc:Choice>
        </mc:AlternateContent>
        <mc:AlternateContent xmlns:mc="http://schemas.openxmlformats.org/markup-compatibility/2006">
          <mc:Choice Requires="x14">
            <control shapeId="186478" r:id="rId196" name="Drop Down 35950">
              <controlPr defaultSize="0" autoLine="0" autoPict="0">
                <anchor moveWithCells="1">
                  <from>
                    <xdr:col>3</xdr:col>
                    <xdr:colOff>19050</xdr:colOff>
                    <xdr:row>316</xdr:row>
                    <xdr:rowOff>19050</xdr:rowOff>
                  </from>
                  <to>
                    <xdr:col>4</xdr:col>
                    <xdr:colOff>0</xdr:colOff>
                    <xdr:row>317</xdr:row>
                    <xdr:rowOff>0</xdr:rowOff>
                  </to>
                </anchor>
              </controlPr>
            </control>
          </mc:Choice>
        </mc:AlternateContent>
        <mc:AlternateContent xmlns:mc="http://schemas.openxmlformats.org/markup-compatibility/2006">
          <mc:Choice Requires="x14">
            <control shapeId="186479" r:id="rId197" name="Drop Down 35951">
              <controlPr defaultSize="0" autoLine="0" autoPict="0">
                <anchor moveWithCells="1">
                  <from>
                    <xdr:col>3</xdr:col>
                    <xdr:colOff>19050</xdr:colOff>
                    <xdr:row>317</xdr:row>
                    <xdr:rowOff>19050</xdr:rowOff>
                  </from>
                  <to>
                    <xdr:col>4</xdr:col>
                    <xdr:colOff>0</xdr:colOff>
                    <xdr:row>318</xdr:row>
                    <xdr:rowOff>0</xdr:rowOff>
                  </to>
                </anchor>
              </controlPr>
            </control>
          </mc:Choice>
        </mc:AlternateContent>
        <mc:AlternateContent xmlns:mc="http://schemas.openxmlformats.org/markup-compatibility/2006">
          <mc:Choice Requires="x14">
            <control shapeId="186480" r:id="rId198" name="Drop Down 35952">
              <controlPr defaultSize="0" autoLine="0" autoPict="0">
                <anchor moveWithCells="1">
                  <from>
                    <xdr:col>3</xdr:col>
                    <xdr:colOff>19050</xdr:colOff>
                    <xdr:row>318</xdr:row>
                    <xdr:rowOff>19050</xdr:rowOff>
                  </from>
                  <to>
                    <xdr:col>4</xdr:col>
                    <xdr:colOff>0</xdr:colOff>
                    <xdr:row>319</xdr:row>
                    <xdr:rowOff>0</xdr:rowOff>
                  </to>
                </anchor>
              </controlPr>
            </control>
          </mc:Choice>
        </mc:AlternateContent>
        <mc:AlternateContent xmlns:mc="http://schemas.openxmlformats.org/markup-compatibility/2006">
          <mc:Choice Requires="x14">
            <control shapeId="186481" r:id="rId199" name="Drop Down 35953">
              <controlPr defaultSize="0" autoLine="0" autoPict="0">
                <anchor moveWithCells="1">
                  <from>
                    <xdr:col>3</xdr:col>
                    <xdr:colOff>19050</xdr:colOff>
                    <xdr:row>319</xdr:row>
                    <xdr:rowOff>19050</xdr:rowOff>
                  </from>
                  <to>
                    <xdr:col>4</xdr:col>
                    <xdr:colOff>0</xdr:colOff>
                    <xdr:row>320</xdr:row>
                    <xdr:rowOff>0</xdr:rowOff>
                  </to>
                </anchor>
              </controlPr>
            </control>
          </mc:Choice>
        </mc:AlternateContent>
        <mc:AlternateContent xmlns:mc="http://schemas.openxmlformats.org/markup-compatibility/2006">
          <mc:Choice Requires="x14">
            <control shapeId="186482" r:id="rId200" name="Drop Down 35954">
              <controlPr defaultSize="0" autoLine="0" autoPict="0">
                <anchor moveWithCells="1">
                  <from>
                    <xdr:col>3</xdr:col>
                    <xdr:colOff>19050</xdr:colOff>
                    <xdr:row>320</xdr:row>
                    <xdr:rowOff>19050</xdr:rowOff>
                  </from>
                  <to>
                    <xdr:col>4</xdr:col>
                    <xdr:colOff>0</xdr:colOff>
                    <xdr:row>321</xdr:row>
                    <xdr:rowOff>0</xdr:rowOff>
                  </to>
                </anchor>
              </controlPr>
            </control>
          </mc:Choice>
        </mc:AlternateContent>
        <mc:AlternateContent xmlns:mc="http://schemas.openxmlformats.org/markup-compatibility/2006">
          <mc:Choice Requires="x14">
            <control shapeId="186483" r:id="rId201" name="Drop Down 35955">
              <controlPr defaultSize="0" autoLine="0" autoPict="0">
                <anchor moveWithCells="1">
                  <from>
                    <xdr:col>3</xdr:col>
                    <xdr:colOff>19050</xdr:colOff>
                    <xdr:row>321</xdr:row>
                    <xdr:rowOff>19050</xdr:rowOff>
                  </from>
                  <to>
                    <xdr:col>4</xdr:col>
                    <xdr:colOff>0</xdr:colOff>
                    <xdr:row>322</xdr:row>
                    <xdr:rowOff>0</xdr:rowOff>
                  </to>
                </anchor>
              </controlPr>
            </control>
          </mc:Choice>
        </mc:AlternateContent>
        <mc:AlternateContent xmlns:mc="http://schemas.openxmlformats.org/markup-compatibility/2006">
          <mc:Choice Requires="x14">
            <control shapeId="186484" r:id="rId202" name="Drop Down 35956">
              <controlPr defaultSize="0" autoLine="0" autoPict="0">
                <anchor moveWithCells="1">
                  <from>
                    <xdr:col>3</xdr:col>
                    <xdr:colOff>19050</xdr:colOff>
                    <xdr:row>322</xdr:row>
                    <xdr:rowOff>19050</xdr:rowOff>
                  </from>
                  <to>
                    <xdr:col>4</xdr:col>
                    <xdr:colOff>0</xdr:colOff>
                    <xdr:row>323</xdr:row>
                    <xdr:rowOff>0</xdr:rowOff>
                  </to>
                </anchor>
              </controlPr>
            </control>
          </mc:Choice>
        </mc:AlternateContent>
        <mc:AlternateContent xmlns:mc="http://schemas.openxmlformats.org/markup-compatibility/2006">
          <mc:Choice Requires="x14">
            <control shapeId="186485" r:id="rId203" name="Drop Down 35957">
              <controlPr defaultSize="0" autoLine="0" autoPict="0">
                <anchor moveWithCells="1">
                  <from>
                    <xdr:col>3</xdr:col>
                    <xdr:colOff>19050</xdr:colOff>
                    <xdr:row>323</xdr:row>
                    <xdr:rowOff>19050</xdr:rowOff>
                  </from>
                  <to>
                    <xdr:col>4</xdr:col>
                    <xdr:colOff>0</xdr:colOff>
                    <xdr:row>324</xdr:row>
                    <xdr:rowOff>0</xdr:rowOff>
                  </to>
                </anchor>
              </controlPr>
            </control>
          </mc:Choice>
        </mc:AlternateContent>
        <mc:AlternateContent xmlns:mc="http://schemas.openxmlformats.org/markup-compatibility/2006">
          <mc:Choice Requires="x14">
            <control shapeId="186486" r:id="rId204" name="Drop Down 35958">
              <controlPr defaultSize="0" autoLine="0" autoPict="0">
                <anchor moveWithCells="1">
                  <from>
                    <xdr:col>3</xdr:col>
                    <xdr:colOff>19050</xdr:colOff>
                    <xdr:row>324</xdr:row>
                    <xdr:rowOff>19050</xdr:rowOff>
                  </from>
                  <to>
                    <xdr:col>4</xdr:col>
                    <xdr:colOff>0</xdr:colOff>
                    <xdr:row>325</xdr:row>
                    <xdr:rowOff>0</xdr:rowOff>
                  </to>
                </anchor>
              </controlPr>
            </control>
          </mc:Choice>
        </mc:AlternateContent>
        <mc:AlternateContent xmlns:mc="http://schemas.openxmlformats.org/markup-compatibility/2006">
          <mc:Choice Requires="x14">
            <control shapeId="186487" r:id="rId205" name="Drop Down 35959">
              <controlPr defaultSize="0" autoLine="0" autoPict="0">
                <anchor moveWithCells="1">
                  <from>
                    <xdr:col>3</xdr:col>
                    <xdr:colOff>19050</xdr:colOff>
                    <xdr:row>325</xdr:row>
                    <xdr:rowOff>19050</xdr:rowOff>
                  </from>
                  <to>
                    <xdr:col>4</xdr:col>
                    <xdr:colOff>0</xdr:colOff>
                    <xdr:row>326</xdr:row>
                    <xdr:rowOff>0</xdr:rowOff>
                  </to>
                </anchor>
              </controlPr>
            </control>
          </mc:Choice>
        </mc:AlternateContent>
        <mc:AlternateContent xmlns:mc="http://schemas.openxmlformats.org/markup-compatibility/2006">
          <mc:Choice Requires="x14">
            <control shapeId="186488" r:id="rId206" name="Drop Down 35960">
              <controlPr defaultSize="0" autoLine="0" autoPict="0">
                <anchor moveWithCells="1">
                  <from>
                    <xdr:col>3</xdr:col>
                    <xdr:colOff>19050</xdr:colOff>
                    <xdr:row>326</xdr:row>
                    <xdr:rowOff>19050</xdr:rowOff>
                  </from>
                  <to>
                    <xdr:col>4</xdr:col>
                    <xdr:colOff>0</xdr:colOff>
                    <xdr:row>327</xdr:row>
                    <xdr:rowOff>0</xdr:rowOff>
                  </to>
                </anchor>
              </controlPr>
            </control>
          </mc:Choice>
        </mc:AlternateContent>
        <mc:AlternateContent xmlns:mc="http://schemas.openxmlformats.org/markup-compatibility/2006">
          <mc:Choice Requires="x14">
            <control shapeId="186489" r:id="rId207" name="Drop Down 35961">
              <controlPr defaultSize="0" autoLine="0" autoPict="0">
                <anchor moveWithCells="1">
                  <from>
                    <xdr:col>3</xdr:col>
                    <xdr:colOff>19050</xdr:colOff>
                    <xdr:row>327</xdr:row>
                    <xdr:rowOff>19050</xdr:rowOff>
                  </from>
                  <to>
                    <xdr:col>4</xdr:col>
                    <xdr:colOff>0</xdr:colOff>
                    <xdr:row>328</xdr:row>
                    <xdr:rowOff>0</xdr:rowOff>
                  </to>
                </anchor>
              </controlPr>
            </control>
          </mc:Choice>
        </mc:AlternateContent>
        <mc:AlternateContent xmlns:mc="http://schemas.openxmlformats.org/markup-compatibility/2006">
          <mc:Choice Requires="x14">
            <control shapeId="186490" r:id="rId208" name="Drop Down 35962">
              <controlPr defaultSize="0" autoLine="0" autoPict="0">
                <anchor moveWithCells="1">
                  <from>
                    <xdr:col>3</xdr:col>
                    <xdr:colOff>19050</xdr:colOff>
                    <xdr:row>328</xdr:row>
                    <xdr:rowOff>19050</xdr:rowOff>
                  </from>
                  <to>
                    <xdr:col>4</xdr:col>
                    <xdr:colOff>0</xdr:colOff>
                    <xdr:row>329</xdr:row>
                    <xdr:rowOff>0</xdr:rowOff>
                  </to>
                </anchor>
              </controlPr>
            </control>
          </mc:Choice>
        </mc:AlternateContent>
        <mc:AlternateContent xmlns:mc="http://schemas.openxmlformats.org/markup-compatibility/2006">
          <mc:Choice Requires="x14">
            <control shapeId="186491" r:id="rId209" name="Drop Down 35963">
              <controlPr defaultSize="0" autoLine="0" autoPict="0">
                <anchor moveWithCells="1">
                  <from>
                    <xdr:col>3</xdr:col>
                    <xdr:colOff>19050</xdr:colOff>
                    <xdr:row>329</xdr:row>
                    <xdr:rowOff>19050</xdr:rowOff>
                  </from>
                  <to>
                    <xdr:col>4</xdr:col>
                    <xdr:colOff>0</xdr:colOff>
                    <xdr:row>330</xdr:row>
                    <xdr:rowOff>0</xdr:rowOff>
                  </to>
                </anchor>
              </controlPr>
            </control>
          </mc:Choice>
        </mc:AlternateContent>
        <mc:AlternateContent xmlns:mc="http://schemas.openxmlformats.org/markup-compatibility/2006">
          <mc:Choice Requires="x14">
            <control shapeId="186492" r:id="rId210" name="Drop Down 35964">
              <controlPr defaultSize="0" autoLine="0" autoPict="0">
                <anchor moveWithCells="1">
                  <from>
                    <xdr:col>3</xdr:col>
                    <xdr:colOff>19050</xdr:colOff>
                    <xdr:row>330</xdr:row>
                    <xdr:rowOff>19050</xdr:rowOff>
                  </from>
                  <to>
                    <xdr:col>4</xdr:col>
                    <xdr:colOff>0</xdr:colOff>
                    <xdr:row>331</xdr:row>
                    <xdr:rowOff>0</xdr:rowOff>
                  </to>
                </anchor>
              </controlPr>
            </control>
          </mc:Choice>
        </mc:AlternateContent>
        <mc:AlternateContent xmlns:mc="http://schemas.openxmlformats.org/markup-compatibility/2006">
          <mc:Choice Requires="x14">
            <control shapeId="186493" r:id="rId211" name="Drop Down 35965">
              <controlPr defaultSize="0" autoLine="0" autoPict="0">
                <anchor moveWithCells="1">
                  <from>
                    <xdr:col>3</xdr:col>
                    <xdr:colOff>19050</xdr:colOff>
                    <xdr:row>331</xdr:row>
                    <xdr:rowOff>19050</xdr:rowOff>
                  </from>
                  <to>
                    <xdr:col>4</xdr:col>
                    <xdr:colOff>0</xdr:colOff>
                    <xdr:row>332</xdr:row>
                    <xdr:rowOff>0</xdr:rowOff>
                  </to>
                </anchor>
              </controlPr>
            </control>
          </mc:Choice>
        </mc:AlternateContent>
        <mc:AlternateContent xmlns:mc="http://schemas.openxmlformats.org/markup-compatibility/2006">
          <mc:Choice Requires="x14">
            <control shapeId="186494" r:id="rId212" name="Drop Down 35966">
              <controlPr defaultSize="0" autoLine="0" autoPict="0">
                <anchor moveWithCells="1">
                  <from>
                    <xdr:col>3</xdr:col>
                    <xdr:colOff>19050</xdr:colOff>
                    <xdr:row>332</xdr:row>
                    <xdr:rowOff>19050</xdr:rowOff>
                  </from>
                  <to>
                    <xdr:col>4</xdr:col>
                    <xdr:colOff>0</xdr:colOff>
                    <xdr:row>333</xdr:row>
                    <xdr:rowOff>0</xdr:rowOff>
                  </to>
                </anchor>
              </controlPr>
            </control>
          </mc:Choice>
        </mc:AlternateContent>
        <mc:AlternateContent xmlns:mc="http://schemas.openxmlformats.org/markup-compatibility/2006">
          <mc:Choice Requires="x14">
            <control shapeId="186495" r:id="rId213" name="Drop Down 35967">
              <controlPr defaultSize="0" autoLine="0" autoPict="0">
                <anchor moveWithCells="1">
                  <from>
                    <xdr:col>3</xdr:col>
                    <xdr:colOff>19050</xdr:colOff>
                    <xdr:row>333</xdr:row>
                    <xdr:rowOff>19050</xdr:rowOff>
                  </from>
                  <to>
                    <xdr:col>4</xdr:col>
                    <xdr:colOff>0</xdr:colOff>
                    <xdr:row>334</xdr:row>
                    <xdr:rowOff>0</xdr:rowOff>
                  </to>
                </anchor>
              </controlPr>
            </control>
          </mc:Choice>
        </mc:AlternateContent>
        <mc:AlternateContent xmlns:mc="http://schemas.openxmlformats.org/markup-compatibility/2006">
          <mc:Choice Requires="x14">
            <control shapeId="186496" r:id="rId214" name="Drop Down 35968">
              <controlPr defaultSize="0" autoLine="0" autoPict="0">
                <anchor moveWithCells="1">
                  <from>
                    <xdr:col>3</xdr:col>
                    <xdr:colOff>19050</xdr:colOff>
                    <xdr:row>334</xdr:row>
                    <xdr:rowOff>19050</xdr:rowOff>
                  </from>
                  <to>
                    <xdr:col>4</xdr:col>
                    <xdr:colOff>0</xdr:colOff>
                    <xdr:row>335</xdr:row>
                    <xdr:rowOff>0</xdr:rowOff>
                  </to>
                </anchor>
              </controlPr>
            </control>
          </mc:Choice>
        </mc:AlternateContent>
        <mc:AlternateContent xmlns:mc="http://schemas.openxmlformats.org/markup-compatibility/2006">
          <mc:Choice Requires="x14">
            <control shapeId="186497" r:id="rId215" name="Drop Down 35969">
              <controlPr defaultSize="0" autoLine="0" autoPict="0">
                <anchor moveWithCells="1">
                  <from>
                    <xdr:col>3</xdr:col>
                    <xdr:colOff>19050</xdr:colOff>
                    <xdr:row>335</xdr:row>
                    <xdr:rowOff>19050</xdr:rowOff>
                  </from>
                  <to>
                    <xdr:col>4</xdr:col>
                    <xdr:colOff>0</xdr:colOff>
                    <xdr:row>336</xdr:row>
                    <xdr:rowOff>0</xdr:rowOff>
                  </to>
                </anchor>
              </controlPr>
            </control>
          </mc:Choice>
        </mc:AlternateContent>
        <mc:AlternateContent xmlns:mc="http://schemas.openxmlformats.org/markup-compatibility/2006">
          <mc:Choice Requires="x14">
            <control shapeId="186498" r:id="rId216" name="Drop Down 35970">
              <controlPr defaultSize="0" autoLine="0" autoPict="0">
                <anchor moveWithCells="1">
                  <from>
                    <xdr:col>3</xdr:col>
                    <xdr:colOff>19050</xdr:colOff>
                    <xdr:row>336</xdr:row>
                    <xdr:rowOff>19050</xdr:rowOff>
                  </from>
                  <to>
                    <xdr:col>4</xdr:col>
                    <xdr:colOff>0</xdr:colOff>
                    <xdr:row>337</xdr:row>
                    <xdr:rowOff>0</xdr:rowOff>
                  </to>
                </anchor>
              </controlPr>
            </control>
          </mc:Choice>
        </mc:AlternateContent>
        <mc:AlternateContent xmlns:mc="http://schemas.openxmlformats.org/markup-compatibility/2006">
          <mc:Choice Requires="x14">
            <control shapeId="217918" r:id="rId217" name="Drop Down 45886">
              <controlPr defaultSize="0" autoLine="0" autoPict="0">
                <anchor moveWithCells="1">
                  <from>
                    <xdr:col>0</xdr:col>
                    <xdr:colOff>9525</xdr:colOff>
                    <xdr:row>136</xdr:row>
                    <xdr:rowOff>9525</xdr:rowOff>
                  </from>
                  <to>
                    <xdr:col>2</xdr:col>
                    <xdr:colOff>0</xdr:colOff>
                    <xdr:row>137</xdr:row>
                    <xdr:rowOff>0</xdr:rowOff>
                  </to>
                </anchor>
              </controlPr>
            </control>
          </mc:Choice>
        </mc:AlternateContent>
        <mc:AlternateContent xmlns:mc="http://schemas.openxmlformats.org/markup-compatibility/2006">
          <mc:Choice Requires="x14">
            <control shapeId="217919" r:id="rId218" name="Drop Down 45887">
              <controlPr defaultSize="0" autoLine="0" autoPict="0">
                <anchor moveWithCells="1">
                  <from>
                    <xdr:col>0</xdr:col>
                    <xdr:colOff>9525</xdr:colOff>
                    <xdr:row>137</xdr:row>
                    <xdr:rowOff>9525</xdr:rowOff>
                  </from>
                  <to>
                    <xdr:col>2</xdr:col>
                    <xdr:colOff>0</xdr:colOff>
                    <xdr:row>138</xdr:row>
                    <xdr:rowOff>0</xdr:rowOff>
                  </to>
                </anchor>
              </controlPr>
            </control>
          </mc:Choice>
        </mc:AlternateContent>
        <mc:AlternateContent xmlns:mc="http://schemas.openxmlformats.org/markup-compatibility/2006">
          <mc:Choice Requires="x14">
            <control shapeId="217920" r:id="rId219" name="Drop Down 45888">
              <controlPr defaultSize="0" autoLine="0" autoPict="0">
                <anchor moveWithCells="1">
                  <from>
                    <xdr:col>0</xdr:col>
                    <xdr:colOff>9525</xdr:colOff>
                    <xdr:row>138</xdr:row>
                    <xdr:rowOff>9525</xdr:rowOff>
                  </from>
                  <to>
                    <xdr:col>2</xdr:col>
                    <xdr:colOff>0</xdr:colOff>
                    <xdr:row>139</xdr:row>
                    <xdr:rowOff>0</xdr:rowOff>
                  </to>
                </anchor>
              </controlPr>
            </control>
          </mc:Choice>
        </mc:AlternateContent>
        <mc:AlternateContent xmlns:mc="http://schemas.openxmlformats.org/markup-compatibility/2006">
          <mc:Choice Requires="x14">
            <control shapeId="217921" r:id="rId220" name="Drop Down 45889">
              <controlPr defaultSize="0" autoLine="0" autoPict="0">
                <anchor moveWithCells="1">
                  <from>
                    <xdr:col>0</xdr:col>
                    <xdr:colOff>9525</xdr:colOff>
                    <xdr:row>139</xdr:row>
                    <xdr:rowOff>9525</xdr:rowOff>
                  </from>
                  <to>
                    <xdr:col>2</xdr:col>
                    <xdr:colOff>0</xdr:colOff>
                    <xdr:row>140</xdr:row>
                    <xdr:rowOff>0</xdr:rowOff>
                  </to>
                </anchor>
              </controlPr>
            </control>
          </mc:Choice>
        </mc:AlternateContent>
        <mc:AlternateContent xmlns:mc="http://schemas.openxmlformats.org/markup-compatibility/2006">
          <mc:Choice Requires="x14">
            <control shapeId="217922" r:id="rId221" name="Drop Down 45890">
              <controlPr defaultSize="0" autoLine="0" autoPict="0">
                <anchor moveWithCells="1">
                  <from>
                    <xdr:col>0</xdr:col>
                    <xdr:colOff>9525</xdr:colOff>
                    <xdr:row>140</xdr:row>
                    <xdr:rowOff>9525</xdr:rowOff>
                  </from>
                  <to>
                    <xdr:col>2</xdr:col>
                    <xdr:colOff>0</xdr:colOff>
                    <xdr:row>141</xdr:row>
                    <xdr:rowOff>0</xdr:rowOff>
                  </to>
                </anchor>
              </controlPr>
            </control>
          </mc:Choice>
        </mc:AlternateContent>
        <mc:AlternateContent xmlns:mc="http://schemas.openxmlformats.org/markup-compatibility/2006">
          <mc:Choice Requires="x14">
            <control shapeId="217923" r:id="rId222" name="Drop Down 45891">
              <controlPr defaultSize="0" autoLine="0" autoPict="0">
                <anchor moveWithCells="1">
                  <from>
                    <xdr:col>0</xdr:col>
                    <xdr:colOff>9525</xdr:colOff>
                    <xdr:row>141</xdr:row>
                    <xdr:rowOff>9525</xdr:rowOff>
                  </from>
                  <to>
                    <xdr:col>2</xdr:col>
                    <xdr:colOff>0</xdr:colOff>
                    <xdr:row>142</xdr:row>
                    <xdr:rowOff>0</xdr:rowOff>
                  </to>
                </anchor>
              </controlPr>
            </control>
          </mc:Choice>
        </mc:AlternateContent>
        <mc:AlternateContent xmlns:mc="http://schemas.openxmlformats.org/markup-compatibility/2006">
          <mc:Choice Requires="x14">
            <control shapeId="217924" r:id="rId223" name="Drop Down 45892">
              <controlPr defaultSize="0" autoLine="0" autoPict="0">
                <anchor moveWithCells="1">
                  <from>
                    <xdr:col>0</xdr:col>
                    <xdr:colOff>9525</xdr:colOff>
                    <xdr:row>142</xdr:row>
                    <xdr:rowOff>9525</xdr:rowOff>
                  </from>
                  <to>
                    <xdr:col>2</xdr:col>
                    <xdr:colOff>0</xdr:colOff>
                    <xdr:row>143</xdr:row>
                    <xdr:rowOff>0</xdr:rowOff>
                  </to>
                </anchor>
              </controlPr>
            </control>
          </mc:Choice>
        </mc:AlternateContent>
        <mc:AlternateContent xmlns:mc="http://schemas.openxmlformats.org/markup-compatibility/2006">
          <mc:Choice Requires="x14">
            <control shapeId="217925" r:id="rId224" name="Drop Down 45893">
              <controlPr defaultSize="0" autoLine="0" autoPict="0">
                <anchor moveWithCells="1">
                  <from>
                    <xdr:col>0</xdr:col>
                    <xdr:colOff>9525</xdr:colOff>
                    <xdr:row>143</xdr:row>
                    <xdr:rowOff>9525</xdr:rowOff>
                  </from>
                  <to>
                    <xdr:col>2</xdr:col>
                    <xdr:colOff>0</xdr:colOff>
                    <xdr:row>144</xdr:row>
                    <xdr:rowOff>0</xdr:rowOff>
                  </to>
                </anchor>
              </controlPr>
            </control>
          </mc:Choice>
        </mc:AlternateContent>
        <mc:AlternateContent xmlns:mc="http://schemas.openxmlformats.org/markup-compatibility/2006">
          <mc:Choice Requires="x14">
            <control shapeId="217926" r:id="rId225" name="Drop Down 45894">
              <controlPr defaultSize="0" autoLine="0" autoPict="0">
                <anchor moveWithCells="1">
                  <from>
                    <xdr:col>0</xdr:col>
                    <xdr:colOff>9525</xdr:colOff>
                    <xdr:row>144</xdr:row>
                    <xdr:rowOff>9525</xdr:rowOff>
                  </from>
                  <to>
                    <xdr:col>2</xdr:col>
                    <xdr:colOff>0</xdr:colOff>
                    <xdr:row>145</xdr:row>
                    <xdr:rowOff>0</xdr:rowOff>
                  </to>
                </anchor>
              </controlPr>
            </control>
          </mc:Choice>
        </mc:AlternateContent>
        <mc:AlternateContent xmlns:mc="http://schemas.openxmlformats.org/markup-compatibility/2006">
          <mc:Choice Requires="x14">
            <control shapeId="217927" r:id="rId226" name="Drop Down 45895">
              <controlPr defaultSize="0" autoLine="0" autoPict="0">
                <anchor moveWithCells="1">
                  <from>
                    <xdr:col>0</xdr:col>
                    <xdr:colOff>9525</xdr:colOff>
                    <xdr:row>145</xdr:row>
                    <xdr:rowOff>9525</xdr:rowOff>
                  </from>
                  <to>
                    <xdr:col>2</xdr:col>
                    <xdr:colOff>0</xdr:colOff>
                    <xdr:row>146</xdr:row>
                    <xdr:rowOff>0</xdr:rowOff>
                  </to>
                </anchor>
              </controlPr>
            </control>
          </mc:Choice>
        </mc:AlternateContent>
        <mc:AlternateContent xmlns:mc="http://schemas.openxmlformats.org/markup-compatibility/2006">
          <mc:Choice Requires="x14">
            <control shapeId="217928" r:id="rId227" name="Drop Down 45896">
              <controlPr defaultSize="0" autoLine="0" autoPict="0">
                <anchor moveWithCells="1">
                  <from>
                    <xdr:col>0</xdr:col>
                    <xdr:colOff>9525</xdr:colOff>
                    <xdr:row>146</xdr:row>
                    <xdr:rowOff>9525</xdr:rowOff>
                  </from>
                  <to>
                    <xdr:col>2</xdr:col>
                    <xdr:colOff>0</xdr:colOff>
                    <xdr:row>147</xdr:row>
                    <xdr:rowOff>0</xdr:rowOff>
                  </to>
                </anchor>
              </controlPr>
            </control>
          </mc:Choice>
        </mc:AlternateContent>
        <mc:AlternateContent xmlns:mc="http://schemas.openxmlformats.org/markup-compatibility/2006">
          <mc:Choice Requires="x14">
            <control shapeId="217929" r:id="rId228" name="Drop Down 45897">
              <controlPr defaultSize="0" autoLine="0" autoPict="0">
                <anchor moveWithCells="1">
                  <from>
                    <xdr:col>0</xdr:col>
                    <xdr:colOff>9525</xdr:colOff>
                    <xdr:row>147</xdr:row>
                    <xdr:rowOff>9525</xdr:rowOff>
                  </from>
                  <to>
                    <xdr:col>2</xdr:col>
                    <xdr:colOff>0</xdr:colOff>
                    <xdr:row>148</xdr:row>
                    <xdr:rowOff>0</xdr:rowOff>
                  </to>
                </anchor>
              </controlPr>
            </control>
          </mc:Choice>
        </mc:AlternateContent>
        <mc:AlternateContent xmlns:mc="http://schemas.openxmlformats.org/markup-compatibility/2006">
          <mc:Choice Requires="x14">
            <control shapeId="217930" r:id="rId229" name="Drop Down 45898">
              <controlPr defaultSize="0" autoLine="0" autoPict="0">
                <anchor moveWithCells="1">
                  <from>
                    <xdr:col>0</xdr:col>
                    <xdr:colOff>9525</xdr:colOff>
                    <xdr:row>148</xdr:row>
                    <xdr:rowOff>9525</xdr:rowOff>
                  </from>
                  <to>
                    <xdr:col>2</xdr:col>
                    <xdr:colOff>0</xdr:colOff>
                    <xdr:row>149</xdr:row>
                    <xdr:rowOff>0</xdr:rowOff>
                  </to>
                </anchor>
              </controlPr>
            </control>
          </mc:Choice>
        </mc:AlternateContent>
        <mc:AlternateContent xmlns:mc="http://schemas.openxmlformats.org/markup-compatibility/2006">
          <mc:Choice Requires="x14">
            <control shapeId="217931" r:id="rId230" name="Drop Down 45899">
              <controlPr defaultSize="0" autoLine="0" autoPict="0">
                <anchor moveWithCells="1">
                  <from>
                    <xdr:col>0</xdr:col>
                    <xdr:colOff>9525</xdr:colOff>
                    <xdr:row>149</xdr:row>
                    <xdr:rowOff>9525</xdr:rowOff>
                  </from>
                  <to>
                    <xdr:col>2</xdr:col>
                    <xdr:colOff>0</xdr:colOff>
                    <xdr:row>150</xdr:row>
                    <xdr:rowOff>0</xdr:rowOff>
                  </to>
                </anchor>
              </controlPr>
            </control>
          </mc:Choice>
        </mc:AlternateContent>
        <mc:AlternateContent xmlns:mc="http://schemas.openxmlformats.org/markup-compatibility/2006">
          <mc:Choice Requires="x14">
            <control shapeId="217932" r:id="rId231" name="Drop Down 45900">
              <controlPr defaultSize="0" autoLine="0" autoPict="0">
                <anchor moveWithCells="1">
                  <from>
                    <xdr:col>0</xdr:col>
                    <xdr:colOff>9525</xdr:colOff>
                    <xdr:row>150</xdr:row>
                    <xdr:rowOff>9525</xdr:rowOff>
                  </from>
                  <to>
                    <xdr:col>2</xdr:col>
                    <xdr:colOff>0</xdr:colOff>
                    <xdr:row>151</xdr:row>
                    <xdr:rowOff>0</xdr:rowOff>
                  </to>
                </anchor>
              </controlPr>
            </control>
          </mc:Choice>
        </mc:AlternateContent>
        <mc:AlternateContent xmlns:mc="http://schemas.openxmlformats.org/markup-compatibility/2006">
          <mc:Choice Requires="x14">
            <control shapeId="217933" r:id="rId232" name="Drop Down 45901">
              <controlPr defaultSize="0" autoLine="0" autoPict="0">
                <anchor moveWithCells="1">
                  <from>
                    <xdr:col>0</xdr:col>
                    <xdr:colOff>9525</xdr:colOff>
                    <xdr:row>151</xdr:row>
                    <xdr:rowOff>9525</xdr:rowOff>
                  </from>
                  <to>
                    <xdr:col>2</xdr:col>
                    <xdr:colOff>0</xdr:colOff>
                    <xdr:row>152</xdr:row>
                    <xdr:rowOff>0</xdr:rowOff>
                  </to>
                </anchor>
              </controlPr>
            </control>
          </mc:Choice>
        </mc:AlternateContent>
        <mc:AlternateContent xmlns:mc="http://schemas.openxmlformats.org/markup-compatibility/2006">
          <mc:Choice Requires="x14">
            <control shapeId="217934" r:id="rId233" name="Drop Down 45902">
              <controlPr defaultSize="0" autoLine="0" autoPict="0">
                <anchor moveWithCells="1">
                  <from>
                    <xdr:col>0</xdr:col>
                    <xdr:colOff>9525</xdr:colOff>
                    <xdr:row>152</xdr:row>
                    <xdr:rowOff>9525</xdr:rowOff>
                  </from>
                  <to>
                    <xdr:col>2</xdr:col>
                    <xdr:colOff>0</xdr:colOff>
                    <xdr:row>153</xdr:row>
                    <xdr:rowOff>0</xdr:rowOff>
                  </to>
                </anchor>
              </controlPr>
            </control>
          </mc:Choice>
        </mc:AlternateContent>
        <mc:AlternateContent xmlns:mc="http://schemas.openxmlformats.org/markup-compatibility/2006">
          <mc:Choice Requires="x14">
            <control shapeId="217935" r:id="rId234" name="Drop Down 45903">
              <controlPr defaultSize="0" autoLine="0" autoPict="0">
                <anchor moveWithCells="1">
                  <from>
                    <xdr:col>0</xdr:col>
                    <xdr:colOff>9525</xdr:colOff>
                    <xdr:row>153</xdr:row>
                    <xdr:rowOff>0</xdr:rowOff>
                  </from>
                  <to>
                    <xdr:col>2</xdr:col>
                    <xdr:colOff>0</xdr:colOff>
                    <xdr:row>153</xdr:row>
                    <xdr:rowOff>190500</xdr:rowOff>
                  </to>
                </anchor>
              </controlPr>
            </control>
          </mc:Choice>
        </mc:AlternateContent>
        <mc:AlternateContent xmlns:mc="http://schemas.openxmlformats.org/markup-compatibility/2006">
          <mc:Choice Requires="x14">
            <control shapeId="217936" r:id="rId235" name="Drop Down 45904">
              <controlPr defaultSize="0" autoLine="0" autoPict="0">
                <anchor moveWithCells="1">
                  <from>
                    <xdr:col>0</xdr:col>
                    <xdr:colOff>9525</xdr:colOff>
                    <xdr:row>136</xdr:row>
                    <xdr:rowOff>9525</xdr:rowOff>
                  </from>
                  <to>
                    <xdr:col>2</xdr:col>
                    <xdr:colOff>0</xdr:colOff>
                    <xdr:row>137</xdr:row>
                    <xdr:rowOff>0</xdr:rowOff>
                  </to>
                </anchor>
              </controlPr>
            </control>
          </mc:Choice>
        </mc:AlternateContent>
        <mc:AlternateContent xmlns:mc="http://schemas.openxmlformats.org/markup-compatibility/2006">
          <mc:Choice Requires="x14">
            <control shapeId="217937" r:id="rId236" name="Drop Down 45905">
              <controlPr defaultSize="0" autoLine="0" autoPict="0">
                <anchor moveWithCells="1">
                  <from>
                    <xdr:col>0</xdr:col>
                    <xdr:colOff>9525</xdr:colOff>
                    <xdr:row>137</xdr:row>
                    <xdr:rowOff>9525</xdr:rowOff>
                  </from>
                  <to>
                    <xdr:col>2</xdr:col>
                    <xdr:colOff>0</xdr:colOff>
                    <xdr:row>138</xdr:row>
                    <xdr:rowOff>0</xdr:rowOff>
                  </to>
                </anchor>
              </controlPr>
            </control>
          </mc:Choice>
        </mc:AlternateContent>
        <mc:AlternateContent xmlns:mc="http://schemas.openxmlformats.org/markup-compatibility/2006">
          <mc:Choice Requires="x14">
            <control shapeId="217938" r:id="rId237" name="Drop Down 45906">
              <controlPr defaultSize="0" autoLine="0" autoPict="0">
                <anchor moveWithCells="1">
                  <from>
                    <xdr:col>0</xdr:col>
                    <xdr:colOff>9525</xdr:colOff>
                    <xdr:row>138</xdr:row>
                    <xdr:rowOff>9525</xdr:rowOff>
                  </from>
                  <to>
                    <xdr:col>2</xdr:col>
                    <xdr:colOff>0</xdr:colOff>
                    <xdr:row>139</xdr:row>
                    <xdr:rowOff>0</xdr:rowOff>
                  </to>
                </anchor>
              </controlPr>
            </control>
          </mc:Choice>
        </mc:AlternateContent>
        <mc:AlternateContent xmlns:mc="http://schemas.openxmlformats.org/markup-compatibility/2006">
          <mc:Choice Requires="x14">
            <control shapeId="217939" r:id="rId238" name="Drop Down 45907">
              <controlPr defaultSize="0" autoLine="0" autoPict="0">
                <anchor moveWithCells="1">
                  <from>
                    <xdr:col>0</xdr:col>
                    <xdr:colOff>9525</xdr:colOff>
                    <xdr:row>139</xdr:row>
                    <xdr:rowOff>9525</xdr:rowOff>
                  </from>
                  <to>
                    <xdr:col>2</xdr:col>
                    <xdr:colOff>0</xdr:colOff>
                    <xdr:row>140</xdr:row>
                    <xdr:rowOff>0</xdr:rowOff>
                  </to>
                </anchor>
              </controlPr>
            </control>
          </mc:Choice>
        </mc:AlternateContent>
        <mc:AlternateContent xmlns:mc="http://schemas.openxmlformats.org/markup-compatibility/2006">
          <mc:Choice Requires="x14">
            <control shapeId="217940" r:id="rId239" name="Drop Down 45908">
              <controlPr defaultSize="0" autoLine="0" autoPict="0">
                <anchor moveWithCells="1">
                  <from>
                    <xdr:col>0</xdr:col>
                    <xdr:colOff>9525</xdr:colOff>
                    <xdr:row>140</xdr:row>
                    <xdr:rowOff>9525</xdr:rowOff>
                  </from>
                  <to>
                    <xdr:col>2</xdr:col>
                    <xdr:colOff>0</xdr:colOff>
                    <xdr:row>141</xdr:row>
                    <xdr:rowOff>0</xdr:rowOff>
                  </to>
                </anchor>
              </controlPr>
            </control>
          </mc:Choice>
        </mc:AlternateContent>
        <mc:AlternateContent xmlns:mc="http://schemas.openxmlformats.org/markup-compatibility/2006">
          <mc:Choice Requires="x14">
            <control shapeId="217941" r:id="rId240" name="Drop Down 45909">
              <controlPr defaultSize="0" autoLine="0" autoPict="0">
                <anchor moveWithCells="1">
                  <from>
                    <xdr:col>0</xdr:col>
                    <xdr:colOff>9525</xdr:colOff>
                    <xdr:row>141</xdr:row>
                    <xdr:rowOff>9525</xdr:rowOff>
                  </from>
                  <to>
                    <xdr:col>2</xdr:col>
                    <xdr:colOff>0</xdr:colOff>
                    <xdr:row>142</xdr:row>
                    <xdr:rowOff>0</xdr:rowOff>
                  </to>
                </anchor>
              </controlPr>
            </control>
          </mc:Choice>
        </mc:AlternateContent>
        <mc:AlternateContent xmlns:mc="http://schemas.openxmlformats.org/markup-compatibility/2006">
          <mc:Choice Requires="x14">
            <control shapeId="217942" r:id="rId241" name="Drop Down 45910">
              <controlPr defaultSize="0" autoLine="0" autoPict="0">
                <anchor moveWithCells="1">
                  <from>
                    <xdr:col>0</xdr:col>
                    <xdr:colOff>9525</xdr:colOff>
                    <xdr:row>142</xdr:row>
                    <xdr:rowOff>9525</xdr:rowOff>
                  </from>
                  <to>
                    <xdr:col>2</xdr:col>
                    <xdr:colOff>0</xdr:colOff>
                    <xdr:row>143</xdr:row>
                    <xdr:rowOff>0</xdr:rowOff>
                  </to>
                </anchor>
              </controlPr>
            </control>
          </mc:Choice>
        </mc:AlternateContent>
        <mc:AlternateContent xmlns:mc="http://schemas.openxmlformats.org/markup-compatibility/2006">
          <mc:Choice Requires="x14">
            <control shapeId="217943" r:id="rId242" name="Drop Down 45911">
              <controlPr defaultSize="0" autoLine="0" autoPict="0">
                <anchor moveWithCells="1">
                  <from>
                    <xdr:col>0</xdr:col>
                    <xdr:colOff>9525</xdr:colOff>
                    <xdr:row>143</xdr:row>
                    <xdr:rowOff>9525</xdr:rowOff>
                  </from>
                  <to>
                    <xdr:col>2</xdr:col>
                    <xdr:colOff>0</xdr:colOff>
                    <xdr:row>144</xdr:row>
                    <xdr:rowOff>0</xdr:rowOff>
                  </to>
                </anchor>
              </controlPr>
            </control>
          </mc:Choice>
        </mc:AlternateContent>
        <mc:AlternateContent xmlns:mc="http://schemas.openxmlformats.org/markup-compatibility/2006">
          <mc:Choice Requires="x14">
            <control shapeId="217944" r:id="rId243" name="Drop Down 45912">
              <controlPr defaultSize="0" autoLine="0" autoPict="0">
                <anchor moveWithCells="1">
                  <from>
                    <xdr:col>0</xdr:col>
                    <xdr:colOff>9525</xdr:colOff>
                    <xdr:row>144</xdr:row>
                    <xdr:rowOff>9525</xdr:rowOff>
                  </from>
                  <to>
                    <xdr:col>2</xdr:col>
                    <xdr:colOff>0</xdr:colOff>
                    <xdr:row>145</xdr:row>
                    <xdr:rowOff>0</xdr:rowOff>
                  </to>
                </anchor>
              </controlPr>
            </control>
          </mc:Choice>
        </mc:AlternateContent>
        <mc:AlternateContent xmlns:mc="http://schemas.openxmlformats.org/markup-compatibility/2006">
          <mc:Choice Requires="x14">
            <control shapeId="217945" r:id="rId244" name="Drop Down 45913">
              <controlPr defaultSize="0" autoLine="0" autoPict="0">
                <anchor moveWithCells="1">
                  <from>
                    <xdr:col>0</xdr:col>
                    <xdr:colOff>9525</xdr:colOff>
                    <xdr:row>145</xdr:row>
                    <xdr:rowOff>9525</xdr:rowOff>
                  </from>
                  <to>
                    <xdr:col>2</xdr:col>
                    <xdr:colOff>0</xdr:colOff>
                    <xdr:row>146</xdr:row>
                    <xdr:rowOff>0</xdr:rowOff>
                  </to>
                </anchor>
              </controlPr>
            </control>
          </mc:Choice>
        </mc:AlternateContent>
        <mc:AlternateContent xmlns:mc="http://schemas.openxmlformats.org/markup-compatibility/2006">
          <mc:Choice Requires="x14">
            <control shapeId="217946" r:id="rId245" name="Drop Down 45914">
              <controlPr defaultSize="0" autoLine="0" autoPict="0">
                <anchor moveWithCells="1">
                  <from>
                    <xdr:col>0</xdr:col>
                    <xdr:colOff>9525</xdr:colOff>
                    <xdr:row>146</xdr:row>
                    <xdr:rowOff>9525</xdr:rowOff>
                  </from>
                  <to>
                    <xdr:col>2</xdr:col>
                    <xdr:colOff>0</xdr:colOff>
                    <xdr:row>147</xdr:row>
                    <xdr:rowOff>0</xdr:rowOff>
                  </to>
                </anchor>
              </controlPr>
            </control>
          </mc:Choice>
        </mc:AlternateContent>
        <mc:AlternateContent xmlns:mc="http://schemas.openxmlformats.org/markup-compatibility/2006">
          <mc:Choice Requires="x14">
            <control shapeId="217947" r:id="rId246" name="Drop Down 45915">
              <controlPr defaultSize="0" autoLine="0" autoPict="0">
                <anchor moveWithCells="1">
                  <from>
                    <xdr:col>0</xdr:col>
                    <xdr:colOff>9525</xdr:colOff>
                    <xdr:row>147</xdr:row>
                    <xdr:rowOff>9525</xdr:rowOff>
                  </from>
                  <to>
                    <xdr:col>2</xdr:col>
                    <xdr:colOff>0</xdr:colOff>
                    <xdr:row>148</xdr:row>
                    <xdr:rowOff>0</xdr:rowOff>
                  </to>
                </anchor>
              </controlPr>
            </control>
          </mc:Choice>
        </mc:AlternateContent>
        <mc:AlternateContent xmlns:mc="http://schemas.openxmlformats.org/markup-compatibility/2006">
          <mc:Choice Requires="x14">
            <control shapeId="217948" r:id="rId247" name="Drop Down 45916">
              <controlPr defaultSize="0" autoLine="0" autoPict="0">
                <anchor moveWithCells="1">
                  <from>
                    <xdr:col>0</xdr:col>
                    <xdr:colOff>9525</xdr:colOff>
                    <xdr:row>148</xdr:row>
                    <xdr:rowOff>9525</xdr:rowOff>
                  </from>
                  <to>
                    <xdr:col>2</xdr:col>
                    <xdr:colOff>0</xdr:colOff>
                    <xdr:row>149</xdr:row>
                    <xdr:rowOff>0</xdr:rowOff>
                  </to>
                </anchor>
              </controlPr>
            </control>
          </mc:Choice>
        </mc:AlternateContent>
        <mc:AlternateContent xmlns:mc="http://schemas.openxmlformats.org/markup-compatibility/2006">
          <mc:Choice Requires="x14">
            <control shapeId="217949" r:id="rId248" name="Drop Down 45917">
              <controlPr defaultSize="0" autoLine="0" autoPict="0">
                <anchor moveWithCells="1">
                  <from>
                    <xdr:col>0</xdr:col>
                    <xdr:colOff>9525</xdr:colOff>
                    <xdr:row>149</xdr:row>
                    <xdr:rowOff>9525</xdr:rowOff>
                  </from>
                  <to>
                    <xdr:col>2</xdr:col>
                    <xdr:colOff>0</xdr:colOff>
                    <xdr:row>150</xdr:row>
                    <xdr:rowOff>0</xdr:rowOff>
                  </to>
                </anchor>
              </controlPr>
            </control>
          </mc:Choice>
        </mc:AlternateContent>
        <mc:AlternateContent xmlns:mc="http://schemas.openxmlformats.org/markup-compatibility/2006">
          <mc:Choice Requires="x14">
            <control shapeId="217950" r:id="rId249" name="Drop Down 45918">
              <controlPr defaultSize="0" autoLine="0" autoPict="0">
                <anchor moveWithCells="1">
                  <from>
                    <xdr:col>0</xdr:col>
                    <xdr:colOff>9525</xdr:colOff>
                    <xdr:row>150</xdr:row>
                    <xdr:rowOff>9525</xdr:rowOff>
                  </from>
                  <to>
                    <xdr:col>2</xdr:col>
                    <xdr:colOff>0</xdr:colOff>
                    <xdr:row>151</xdr:row>
                    <xdr:rowOff>0</xdr:rowOff>
                  </to>
                </anchor>
              </controlPr>
            </control>
          </mc:Choice>
        </mc:AlternateContent>
        <mc:AlternateContent xmlns:mc="http://schemas.openxmlformats.org/markup-compatibility/2006">
          <mc:Choice Requires="x14">
            <control shapeId="217951" r:id="rId250" name="Drop Down 45919">
              <controlPr defaultSize="0" autoLine="0" autoPict="0">
                <anchor moveWithCells="1">
                  <from>
                    <xdr:col>0</xdr:col>
                    <xdr:colOff>9525</xdr:colOff>
                    <xdr:row>151</xdr:row>
                    <xdr:rowOff>9525</xdr:rowOff>
                  </from>
                  <to>
                    <xdr:col>2</xdr:col>
                    <xdr:colOff>0</xdr:colOff>
                    <xdr:row>152</xdr:row>
                    <xdr:rowOff>0</xdr:rowOff>
                  </to>
                </anchor>
              </controlPr>
            </control>
          </mc:Choice>
        </mc:AlternateContent>
        <mc:AlternateContent xmlns:mc="http://schemas.openxmlformats.org/markup-compatibility/2006">
          <mc:Choice Requires="x14">
            <control shapeId="217952" r:id="rId251" name="Drop Down 45920">
              <controlPr defaultSize="0" autoLine="0" autoPict="0">
                <anchor moveWithCells="1">
                  <from>
                    <xdr:col>0</xdr:col>
                    <xdr:colOff>9525</xdr:colOff>
                    <xdr:row>152</xdr:row>
                    <xdr:rowOff>9525</xdr:rowOff>
                  </from>
                  <to>
                    <xdr:col>2</xdr:col>
                    <xdr:colOff>0</xdr:colOff>
                    <xdr:row>153</xdr:row>
                    <xdr:rowOff>0</xdr:rowOff>
                  </to>
                </anchor>
              </controlPr>
            </control>
          </mc:Choice>
        </mc:AlternateContent>
        <mc:AlternateContent xmlns:mc="http://schemas.openxmlformats.org/markup-compatibility/2006">
          <mc:Choice Requires="x14">
            <control shapeId="217953" r:id="rId252" name="Drop Down 45921">
              <controlPr defaultSize="0" autoLine="0" autoPict="0">
                <anchor moveWithCells="1">
                  <from>
                    <xdr:col>0</xdr:col>
                    <xdr:colOff>9525</xdr:colOff>
                    <xdr:row>153</xdr:row>
                    <xdr:rowOff>9525</xdr:rowOff>
                  </from>
                  <to>
                    <xdr:col>2</xdr:col>
                    <xdr:colOff>0</xdr:colOff>
                    <xdr:row>154</xdr:row>
                    <xdr:rowOff>0</xdr:rowOff>
                  </to>
                </anchor>
              </controlPr>
            </control>
          </mc:Choice>
        </mc:AlternateContent>
        <mc:AlternateContent xmlns:mc="http://schemas.openxmlformats.org/markup-compatibility/2006">
          <mc:Choice Requires="x14">
            <control shapeId="217954" r:id="rId253" name="Drop Down 45922">
              <controlPr defaultSize="0" autoLine="0" autoPict="0">
                <anchor moveWithCells="1">
                  <from>
                    <xdr:col>0</xdr:col>
                    <xdr:colOff>9525</xdr:colOff>
                    <xdr:row>154</xdr:row>
                    <xdr:rowOff>0</xdr:rowOff>
                  </from>
                  <to>
                    <xdr:col>2</xdr:col>
                    <xdr:colOff>0</xdr:colOff>
                    <xdr:row>154</xdr:row>
                    <xdr:rowOff>190500</xdr:rowOff>
                  </to>
                </anchor>
              </controlPr>
            </control>
          </mc:Choice>
        </mc:AlternateContent>
        <mc:AlternateContent xmlns:mc="http://schemas.openxmlformats.org/markup-compatibility/2006">
          <mc:Choice Requires="x14">
            <control shapeId="217955" r:id="rId254" name="Drop Down 45923">
              <controlPr defaultSize="0" autoLine="0" autoPict="0">
                <anchor moveWithCells="1">
                  <from>
                    <xdr:col>0</xdr:col>
                    <xdr:colOff>9525</xdr:colOff>
                    <xdr:row>154</xdr:row>
                    <xdr:rowOff>9525</xdr:rowOff>
                  </from>
                  <to>
                    <xdr:col>2</xdr:col>
                    <xdr:colOff>0</xdr:colOff>
                    <xdr:row>155</xdr:row>
                    <xdr:rowOff>0</xdr:rowOff>
                  </to>
                </anchor>
              </controlPr>
            </control>
          </mc:Choice>
        </mc:AlternateContent>
        <mc:AlternateContent xmlns:mc="http://schemas.openxmlformats.org/markup-compatibility/2006">
          <mc:Choice Requires="x14">
            <control shapeId="218031" r:id="rId255" name="Drop Down 45999">
              <controlPr defaultSize="0" autoLine="0" autoPict="0">
                <anchor moveWithCells="1">
                  <from>
                    <xdr:col>0</xdr:col>
                    <xdr:colOff>9525</xdr:colOff>
                    <xdr:row>81</xdr:row>
                    <xdr:rowOff>9525</xdr:rowOff>
                  </from>
                  <to>
                    <xdr:col>3</xdr:col>
                    <xdr:colOff>476250</xdr:colOff>
                    <xdr:row>81</xdr:row>
                    <xdr:rowOff>209550</xdr:rowOff>
                  </to>
                </anchor>
              </controlPr>
            </control>
          </mc:Choice>
        </mc:AlternateContent>
        <mc:AlternateContent xmlns:mc="http://schemas.openxmlformats.org/markup-compatibility/2006">
          <mc:Choice Requires="x14">
            <control shapeId="218033" r:id="rId256" name="Drop Down 46001">
              <controlPr defaultSize="0" autoLine="0" autoPict="0">
                <anchor moveWithCells="1">
                  <from>
                    <xdr:col>6</xdr:col>
                    <xdr:colOff>19050</xdr:colOff>
                    <xdr:row>81</xdr:row>
                    <xdr:rowOff>19050</xdr:rowOff>
                  </from>
                  <to>
                    <xdr:col>6</xdr:col>
                    <xdr:colOff>495300</xdr:colOff>
                    <xdr:row>81</xdr:row>
                    <xdr:rowOff>209550</xdr:rowOff>
                  </to>
                </anchor>
              </controlPr>
            </control>
          </mc:Choice>
        </mc:AlternateContent>
        <mc:AlternateContent xmlns:mc="http://schemas.openxmlformats.org/markup-compatibility/2006">
          <mc:Choice Requires="x14">
            <control shapeId="218034" r:id="rId257" name="Check Box 46002">
              <controlPr locked="0" defaultSize="0" autoFill="0" autoLine="0" autoPict="0">
                <anchor moveWithCells="1">
                  <from>
                    <xdr:col>12</xdr:col>
                    <xdr:colOff>114300</xdr:colOff>
                    <xdr:row>81</xdr:row>
                    <xdr:rowOff>0</xdr:rowOff>
                  </from>
                  <to>
                    <xdr:col>12</xdr:col>
                    <xdr:colOff>361950</xdr:colOff>
                    <xdr:row>81</xdr:row>
                    <xdr:rowOff>209550</xdr:rowOff>
                  </to>
                </anchor>
              </controlPr>
            </control>
          </mc:Choice>
        </mc:AlternateContent>
        <mc:AlternateContent xmlns:mc="http://schemas.openxmlformats.org/markup-compatibility/2006">
          <mc:Choice Requires="x14">
            <control shapeId="218035" r:id="rId258" name="Drop Down 46003">
              <controlPr defaultSize="0" autoLine="0" autoPict="0">
                <anchor moveWithCells="1">
                  <from>
                    <xdr:col>0</xdr:col>
                    <xdr:colOff>9525</xdr:colOff>
                    <xdr:row>82</xdr:row>
                    <xdr:rowOff>9525</xdr:rowOff>
                  </from>
                  <to>
                    <xdr:col>3</xdr:col>
                    <xdr:colOff>476250</xdr:colOff>
                    <xdr:row>82</xdr:row>
                    <xdr:rowOff>209550</xdr:rowOff>
                  </to>
                </anchor>
              </controlPr>
            </control>
          </mc:Choice>
        </mc:AlternateContent>
        <mc:AlternateContent xmlns:mc="http://schemas.openxmlformats.org/markup-compatibility/2006">
          <mc:Choice Requires="x14">
            <control shapeId="218036" r:id="rId259" name="Drop Down 46004">
              <controlPr defaultSize="0" autoLine="0" autoPict="0">
                <anchor moveWithCells="1">
                  <from>
                    <xdr:col>0</xdr:col>
                    <xdr:colOff>9525</xdr:colOff>
                    <xdr:row>83</xdr:row>
                    <xdr:rowOff>9525</xdr:rowOff>
                  </from>
                  <to>
                    <xdr:col>3</xdr:col>
                    <xdr:colOff>476250</xdr:colOff>
                    <xdr:row>83</xdr:row>
                    <xdr:rowOff>209550</xdr:rowOff>
                  </to>
                </anchor>
              </controlPr>
            </control>
          </mc:Choice>
        </mc:AlternateContent>
        <mc:AlternateContent xmlns:mc="http://schemas.openxmlformats.org/markup-compatibility/2006">
          <mc:Choice Requires="x14">
            <control shapeId="218037" r:id="rId260" name="Drop Down 46005">
              <controlPr defaultSize="0" autoLine="0" autoPict="0">
                <anchor moveWithCells="1">
                  <from>
                    <xdr:col>0</xdr:col>
                    <xdr:colOff>9525</xdr:colOff>
                    <xdr:row>84</xdr:row>
                    <xdr:rowOff>9525</xdr:rowOff>
                  </from>
                  <to>
                    <xdr:col>3</xdr:col>
                    <xdr:colOff>476250</xdr:colOff>
                    <xdr:row>84</xdr:row>
                    <xdr:rowOff>209550</xdr:rowOff>
                  </to>
                </anchor>
              </controlPr>
            </control>
          </mc:Choice>
        </mc:AlternateContent>
        <mc:AlternateContent xmlns:mc="http://schemas.openxmlformats.org/markup-compatibility/2006">
          <mc:Choice Requires="x14">
            <control shapeId="218038" r:id="rId261" name="Drop Down 46006">
              <controlPr defaultSize="0" autoLine="0" autoPict="0">
                <anchor moveWithCells="1">
                  <from>
                    <xdr:col>0</xdr:col>
                    <xdr:colOff>9525</xdr:colOff>
                    <xdr:row>85</xdr:row>
                    <xdr:rowOff>9525</xdr:rowOff>
                  </from>
                  <to>
                    <xdr:col>3</xdr:col>
                    <xdr:colOff>476250</xdr:colOff>
                    <xdr:row>85</xdr:row>
                    <xdr:rowOff>209550</xdr:rowOff>
                  </to>
                </anchor>
              </controlPr>
            </control>
          </mc:Choice>
        </mc:AlternateContent>
        <mc:AlternateContent xmlns:mc="http://schemas.openxmlformats.org/markup-compatibility/2006">
          <mc:Choice Requires="x14">
            <control shapeId="218039" r:id="rId262" name="Drop Down 46007">
              <controlPr defaultSize="0" autoLine="0" autoPict="0">
                <anchor moveWithCells="1">
                  <from>
                    <xdr:col>0</xdr:col>
                    <xdr:colOff>9525</xdr:colOff>
                    <xdr:row>86</xdr:row>
                    <xdr:rowOff>9525</xdr:rowOff>
                  </from>
                  <to>
                    <xdr:col>3</xdr:col>
                    <xdr:colOff>476250</xdr:colOff>
                    <xdr:row>86</xdr:row>
                    <xdr:rowOff>209550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Q182"/>
  <sheetViews>
    <sheetView zoomScaleNormal="100" workbookViewId="0"/>
  </sheetViews>
  <sheetFormatPr baseColWidth="10" defaultColWidth="11.42578125" defaultRowHeight="12.75" x14ac:dyDescent="0.2"/>
  <cols>
    <col min="1" max="1" width="30.42578125" style="614" customWidth="1"/>
    <col min="2" max="2" width="11.85546875" style="614" customWidth="1"/>
    <col min="3" max="3" width="5.140625" style="615" customWidth="1"/>
    <col min="4" max="6" width="5.7109375" style="614" customWidth="1"/>
    <col min="7" max="7" width="5.5703125" style="616" customWidth="1"/>
    <col min="8" max="8" width="9.85546875" style="617" customWidth="1"/>
    <col min="9" max="9" width="9.28515625" style="617" customWidth="1"/>
    <col min="10" max="16384" width="11.42578125" style="120"/>
  </cols>
  <sheetData>
    <row r="1" spans="1:9" x14ac:dyDescent="0.2">
      <c r="A1" s="613" t="s">
        <v>790</v>
      </c>
    </row>
    <row r="2" spans="1:9" x14ac:dyDescent="0.2">
      <c r="A2" s="1145" t="s">
        <v>8851</v>
      </c>
    </row>
    <row r="3" spans="1:9" ht="7.5" customHeight="1" thickBot="1" x14ac:dyDescent="0.25"/>
    <row r="4" spans="1:9" ht="16.5" customHeight="1" x14ac:dyDescent="0.2">
      <c r="A4" s="618"/>
      <c r="B4" s="3266" t="s">
        <v>791</v>
      </c>
      <c r="C4" s="619" t="s">
        <v>198</v>
      </c>
      <c r="D4" s="3269" t="s">
        <v>792</v>
      </c>
      <c r="E4" s="3270"/>
      <c r="F4" s="3271"/>
      <c r="G4" s="620"/>
      <c r="H4" s="621" t="s">
        <v>8329</v>
      </c>
      <c r="I4" s="622" t="s">
        <v>469</v>
      </c>
    </row>
    <row r="5" spans="1:9" ht="15" x14ac:dyDescent="0.25">
      <c r="A5" s="623" t="s">
        <v>689</v>
      </c>
      <c r="B5" s="3267"/>
      <c r="C5" s="624" t="s">
        <v>199</v>
      </c>
      <c r="D5" s="625" t="s">
        <v>8237</v>
      </c>
      <c r="E5" s="626"/>
      <c r="F5" s="626"/>
      <c r="G5" s="627" t="s">
        <v>472</v>
      </c>
      <c r="H5" s="628" t="s">
        <v>8330</v>
      </c>
      <c r="I5" s="629" t="s">
        <v>474</v>
      </c>
    </row>
    <row r="6" spans="1:9" ht="15" thickBot="1" x14ac:dyDescent="0.3">
      <c r="A6" s="630"/>
      <c r="B6" s="3268"/>
      <c r="C6" s="631" t="s">
        <v>2</v>
      </c>
      <c r="D6" s="632" t="s">
        <v>4</v>
      </c>
      <c r="E6" s="633" t="s">
        <v>209</v>
      </c>
      <c r="F6" s="633" t="s">
        <v>210</v>
      </c>
      <c r="G6" s="2110" t="s">
        <v>34</v>
      </c>
      <c r="H6" s="634" t="s">
        <v>477</v>
      </c>
      <c r="I6" s="635" t="s">
        <v>34</v>
      </c>
    </row>
    <row r="7" spans="1:9" x14ac:dyDescent="0.2">
      <c r="A7" s="2111" t="s">
        <v>8199</v>
      </c>
      <c r="B7" s="1947" t="s">
        <v>487</v>
      </c>
      <c r="C7" s="1948"/>
      <c r="D7" s="1949"/>
      <c r="E7" s="1950"/>
      <c r="F7" s="1951"/>
      <c r="G7" s="1948"/>
      <c r="H7" s="1152"/>
      <c r="I7" s="1948"/>
    </row>
    <row r="8" spans="1:9" x14ac:dyDescent="0.2">
      <c r="A8" s="2112" t="s">
        <v>478</v>
      </c>
      <c r="B8" s="1952" t="s">
        <v>482</v>
      </c>
      <c r="C8" s="1953">
        <v>86</v>
      </c>
      <c r="D8" s="1954">
        <v>18.100000000000001</v>
      </c>
      <c r="E8" s="1955">
        <v>8</v>
      </c>
      <c r="F8" s="1956">
        <v>5.5</v>
      </c>
      <c r="G8" s="1957">
        <v>96</v>
      </c>
      <c r="H8" s="1957">
        <v>704</v>
      </c>
      <c r="I8" s="1957">
        <v>53</v>
      </c>
    </row>
    <row r="9" spans="1:9" x14ac:dyDescent="0.2">
      <c r="A9" s="2112" t="s">
        <v>483</v>
      </c>
      <c r="B9" s="1952" t="s">
        <v>482</v>
      </c>
      <c r="C9" s="1953">
        <v>86</v>
      </c>
      <c r="D9" s="1954">
        <v>21.099999999999998</v>
      </c>
      <c r="E9" s="1955">
        <v>8</v>
      </c>
      <c r="F9" s="1956">
        <v>5.5</v>
      </c>
      <c r="G9" s="1957">
        <v>98</v>
      </c>
      <c r="H9" s="1957">
        <v>701</v>
      </c>
      <c r="I9" s="1957">
        <v>53</v>
      </c>
    </row>
    <row r="10" spans="1:9" x14ac:dyDescent="0.2">
      <c r="A10" s="2112" t="s">
        <v>793</v>
      </c>
      <c r="B10" s="1952" t="s">
        <v>482</v>
      </c>
      <c r="C10" s="1953">
        <v>86</v>
      </c>
      <c r="D10" s="1954">
        <v>24.1</v>
      </c>
      <c r="E10" s="1955">
        <v>8</v>
      </c>
      <c r="F10" s="1956">
        <v>5.5</v>
      </c>
      <c r="G10" s="1957">
        <v>98</v>
      </c>
      <c r="H10" s="1957">
        <v>701</v>
      </c>
      <c r="I10" s="1957">
        <v>53</v>
      </c>
    </row>
    <row r="11" spans="1:9" x14ac:dyDescent="0.2">
      <c r="A11" s="2112" t="s">
        <v>794</v>
      </c>
      <c r="B11" s="1952" t="s">
        <v>482</v>
      </c>
      <c r="C11" s="1953">
        <v>86</v>
      </c>
      <c r="D11" s="1954">
        <v>18.100000000000001</v>
      </c>
      <c r="E11" s="1955">
        <v>7.5</v>
      </c>
      <c r="F11" s="1956">
        <v>5.5</v>
      </c>
      <c r="G11" s="1957">
        <v>98</v>
      </c>
      <c r="H11" s="1957">
        <v>701</v>
      </c>
      <c r="I11" s="1957">
        <v>53</v>
      </c>
    </row>
    <row r="12" spans="1:9" x14ac:dyDescent="0.2">
      <c r="A12" s="2112" t="s">
        <v>485</v>
      </c>
      <c r="B12" s="1952" t="s">
        <v>482</v>
      </c>
      <c r="C12" s="1953">
        <v>86</v>
      </c>
      <c r="D12" s="1954">
        <v>21.099999999999998</v>
      </c>
      <c r="E12" s="1955">
        <v>7.5</v>
      </c>
      <c r="F12" s="1956">
        <v>5.5</v>
      </c>
      <c r="G12" s="1957">
        <v>98</v>
      </c>
      <c r="H12" s="1957">
        <v>701</v>
      </c>
      <c r="I12" s="1957">
        <v>53</v>
      </c>
    </row>
    <row r="13" spans="1:9" x14ac:dyDescent="0.2">
      <c r="A13" s="2112" t="s">
        <v>795</v>
      </c>
      <c r="B13" s="1952" t="s">
        <v>220</v>
      </c>
      <c r="C13" s="1953">
        <v>86</v>
      </c>
      <c r="D13" s="1954">
        <v>5</v>
      </c>
      <c r="E13" s="1955">
        <v>3</v>
      </c>
      <c r="F13" s="1956">
        <v>14</v>
      </c>
      <c r="G13" s="1957">
        <v>94</v>
      </c>
      <c r="H13" s="1957">
        <v>374</v>
      </c>
      <c r="I13" s="1957">
        <v>51</v>
      </c>
    </row>
    <row r="14" spans="1:9" x14ac:dyDescent="0.2">
      <c r="A14" s="2112" t="s">
        <v>796</v>
      </c>
      <c r="B14" s="1952" t="s">
        <v>220</v>
      </c>
      <c r="C14" s="1953">
        <v>86</v>
      </c>
      <c r="D14" s="1954">
        <v>5</v>
      </c>
      <c r="E14" s="1955">
        <v>3</v>
      </c>
      <c r="F14" s="1956">
        <v>17</v>
      </c>
      <c r="G14" s="1957">
        <v>94</v>
      </c>
      <c r="H14" s="1957">
        <v>374</v>
      </c>
      <c r="I14" s="1957">
        <v>51</v>
      </c>
    </row>
    <row r="15" spans="1:9" x14ac:dyDescent="0.2">
      <c r="A15" s="2112" t="s">
        <v>8434</v>
      </c>
      <c r="B15" s="1952" t="s">
        <v>482</v>
      </c>
      <c r="C15" s="1953">
        <v>86</v>
      </c>
      <c r="D15" s="1954">
        <v>16.5</v>
      </c>
      <c r="E15" s="1955">
        <v>8</v>
      </c>
      <c r="F15" s="1956">
        <v>6</v>
      </c>
      <c r="G15" s="1957">
        <v>98</v>
      </c>
      <c r="H15" s="1957">
        <v>684</v>
      </c>
      <c r="I15" s="1957">
        <v>53</v>
      </c>
    </row>
    <row r="16" spans="1:9" x14ac:dyDescent="0.2">
      <c r="A16" s="2112" t="s">
        <v>8435</v>
      </c>
      <c r="B16" s="1952" t="s">
        <v>482</v>
      </c>
      <c r="C16" s="1953">
        <v>86</v>
      </c>
      <c r="D16" s="1954">
        <v>15.1</v>
      </c>
      <c r="E16" s="1955">
        <v>8</v>
      </c>
      <c r="F16" s="1956">
        <v>6</v>
      </c>
      <c r="G16" s="1957">
        <v>98</v>
      </c>
      <c r="H16" s="1957">
        <v>684</v>
      </c>
      <c r="I16" s="1957">
        <v>53</v>
      </c>
    </row>
    <row r="17" spans="1:9" x14ac:dyDescent="0.2">
      <c r="A17" s="2112" t="s">
        <v>489</v>
      </c>
      <c r="B17" s="1952" t="s">
        <v>482</v>
      </c>
      <c r="C17" s="1953">
        <v>86</v>
      </c>
      <c r="D17" s="1954">
        <v>16.5</v>
      </c>
      <c r="E17" s="1955">
        <v>8</v>
      </c>
      <c r="F17" s="1956">
        <v>6</v>
      </c>
      <c r="G17" s="1957">
        <v>98</v>
      </c>
      <c r="H17" s="1957">
        <v>680</v>
      </c>
      <c r="I17" s="1957">
        <v>53</v>
      </c>
    </row>
    <row r="18" spans="1:9" x14ac:dyDescent="0.2">
      <c r="A18" s="2112" t="s">
        <v>797</v>
      </c>
      <c r="B18" s="1952" t="s">
        <v>482</v>
      </c>
      <c r="C18" s="1953">
        <v>86</v>
      </c>
      <c r="D18" s="1954">
        <v>13.799999999999999</v>
      </c>
      <c r="E18" s="1955">
        <v>8</v>
      </c>
      <c r="F18" s="1956">
        <v>6</v>
      </c>
      <c r="G18" s="1957">
        <v>98</v>
      </c>
      <c r="H18" s="1957">
        <v>684</v>
      </c>
      <c r="I18" s="1957">
        <v>53</v>
      </c>
    </row>
    <row r="19" spans="1:9" x14ac:dyDescent="0.2">
      <c r="A19" s="2112" t="s">
        <v>491</v>
      </c>
      <c r="B19" s="1952" t="s">
        <v>482</v>
      </c>
      <c r="C19" s="1953">
        <v>86</v>
      </c>
      <c r="D19" s="1954">
        <v>15.1</v>
      </c>
      <c r="E19" s="1955">
        <v>8</v>
      </c>
      <c r="F19" s="1956">
        <v>6</v>
      </c>
      <c r="G19" s="1957">
        <v>98</v>
      </c>
      <c r="H19" s="1957">
        <v>706</v>
      </c>
      <c r="I19" s="1957">
        <v>52</v>
      </c>
    </row>
    <row r="20" spans="1:9" x14ac:dyDescent="0.2">
      <c r="A20" s="2112" t="s">
        <v>798</v>
      </c>
      <c r="B20" s="1952" t="s">
        <v>220</v>
      </c>
      <c r="C20" s="1953">
        <v>86</v>
      </c>
      <c r="D20" s="1954">
        <v>5</v>
      </c>
      <c r="E20" s="1955">
        <v>3</v>
      </c>
      <c r="F20" s="1956">
        <v>20</v>
      </c>
      <c r="G20" s="1957">
        <v>94</v>
      </c>
      <c r="H20" s="1957">
        <v>374</v>
      </c>
      <c r="I20" s="1957">
        <v>51</v>
      </c>
    </row>
    <row r="21" spans="1:9" x14ac:dyDescent="0.2">
      <c r="A21" s="2112" t="s">
        <v>799</v>
      </c>
      <c r="B21" s="1952" t="s">
        <v>482</v>
      </c>
      <c r="C21" s="1953">
        <v>86</v>
      </c>
      <c r="D21" s="1954">
        <v>15.1</v>
      </c>
      <c r="E21" s="1955">
        <v>8</v>
      </c>
      <c r="F21" s="1956">
        <v>6</v>
      </c>
      <c r="G21" s="1957">
        <v>98</v>
      </c>
      <c r="H21" s="1957">
        <v>706</v>
      </c>
      <c r="I21" s="1957">
        <v>52</v>
      </c>
    </row>
    <row r="22" spans="1:9" x14ac:dyDescent="0.2">
      <c r="A22" s="2112" t="s">
        <v>493</v>
      </c>
      <c r="B22" s="1952" t="s">
        <v>482</v>
      </c>
      <c r="C22" s="1953">
        <v>86</v>
      </c>
      <c r="D22" s="1954">
        <v>15.1</v>
      </c>
      <c r="E22" s="1955">
        <v>8</v>
      </c>
      <c r="F22" s="1956">
        <v>6</v>
      </c>
      <c r="G22" s="1957">
        <v>97</v>
      </c>
      <c r="H22" s="1957">
        <v>596</v>
      </c>
      <c r="I22" s="1957">
        <v>54</v>
      </c>
    </row>
    <row r="23" spans="1:9" x14ac:dyDescent="0.2">
      <c r="A23" s="2112" t="s">
        <v>800</v>
      </c>
      <c r="B23" s="1952" t="s">
        <v>220</v>
      </c>
      <c r="C23" s="1953">
        <v>86</v>
      </c>
      <c r="D23" s="1954">
        <v>5</v>
      </c>
      <c r="E23" s="1955">
        <v>3</v>
      </c>
      <c r="F23" s="1956">
        <v>17</v>
      </c>
      <c r="G23" s="1957">
        <v>94</v>
      </c>
      <c r="H23" s="1957">
        <v>374</v>
      </c>
      <c r="I23" s="1957">
        <v>51</v>
      </c>
    </row>
    <row r="24" spans="1:9" x14ac:dyDescent="0.2">
      <c r="A24" s="2112" t="s">
        <v>495</v>
      </c>
      <c r="B24" s="1952" t="s">
        <v>482</v>
      </c>
      <c r="C24" s="1953">
        <v>86</v>
      </c>
      <c r="D24" s="1954">
        <v>16.5</v>
      </c>
      <c r="E24" s="1955">
        <v>8</v>
      </c>
      <c r="F24" s="1956">
        <v>6</v>
      </c>
      <c r="G24" s="1957">
        <v>98</v>
      </c>
      <c r="H24" s="1957">
        <v>695</v>
      </c>
      <c r="I24" s="1957">
        <v>52</v>
      </c>
    </row>
    <row r="25" spans="1:9" x14ac:dyDescent="0.2">
      <c r="A25" s="2112" t="s">
        <v>497</v>
      </c>
      <c r="B25" s="1952" t="s">
        <v>482</v>
      </c>
      <c r="C25" s="1953">
        <v>86</v>
      </c>
      <c r="D25" s="1954">
        <v>16.5</v>
      </c>
      <c r="E25" s="1955">
        <v>8</v>
      </c>
      <c r="F25" s="1956">
        <v>8</v>
      </c>
      <c r="G25" s="1957">
        <v>97</v>
      </c>
      <c r="H25" s="1957">
        <v>596</v>
      </c>
      <c r="I25" s="1957">
        <v>54</v>
      </c>
    </row>
    <row r="26" spans="1:9" x14ac:dyDescent="0.2">
      <c r="A26" s="2112" t="s">
        <v>801</v>
      </c>
      <c r="B26" s="1952" t="s">
        <v>482</v>
      </c>
      <c r="C26" s="1953">
        <v>86</v>
      </c>
      <c r="D26" s="1954">
        <v>18.100000000000001</v>
      </c>
      <c r="E26" s="1955">
        <v>7.5</v>
      </c>
      <c r="F26" s="1956">
        <v>5.5</v>
      </c>
      <c r="G26" s="1957">
        <v>98</v>
      </c>
      <c r="H26" s="1957">
        <v>684</v>
      </c>
      <c r="I26" s="1957">
        <v>53</v>
      </c>
    </row>
    <row r="27" spans="1:9" x14ac:dyDescent="0.2">
      <c r="A27" s="2112" t="s">
        <v>802</v>
      </c>
      <c r="B27" s="1952" t="s">
        <v>482</v>
      </c>
      <c r="C27" s="1953">
        <v>86</v>
      </c>
      <c r="D27" s="1954">
        <v>18.100000000000001</v>
      </c>
      <c r="E27" s="1955">
        <v>8</v>
      </c>
      <c r="F27" s="1956">
        <v>6</v>
      </c>
      <c r="G27" s="1957">
        <v>98</v>
      </c>
      <c r="H27" s="1957">
        <v>701</v>
      </c>
      <c r="I27" s="1957">
        <v>53</v>
      </c>
    </row>
    <row r="28" spans="1:9" x14ac:dyDescent="0.2">
      <c r="A28" s="2117" t="s">
        <v>8200</v>
      </c>
      <c r="B28" s="1958" t="s">
        <v>487</v>
      </c>
      <c r="C28" s="1959"/>
      <c r="D28" s="1960"/>
      <c r="E28" s="1961"/>
      <c r="F28" s="1962"/>
      <c r="G28" s="1963"/>
      <c r="H28" s="1963"/>
      <c r="I28" s="1963"/>
    </row>
    <row r="29" spans="1:9" x14ac:dyDescent="0.2">
      <c r="A29" s="2112" t="s">
        <v>499</v>
      </c>
      <c r="B29" s="1952" t="s">
        <v>220</v>
      </c>
      <c r="C29" s="1953">
        <v>86</v>
      </c>
      <c r="D29" s="1954">
        <v>9</v>
      </c>
      <c r="E29" s="1955">
        <v>2</v>
      </c>
      <c r="F29" s="1956">
        <v>20</v>
      </c>
      <c r="G29" s="1957">
        <v>96</v>
      </c>
      <c r="H29" s="1957">
        <v>524</v>
      </c>
      <c r="I29" s="1957">
        <v>53</v>
      </c>
    </row>
    <row r="30" spans="1:9" x14ac:dyDescent="0.2">
      <c r="A30" s="2112" t="s">
        <v>8436</v>
      </c>
      <c r="B30" s="1952" t="s">
        <v>482</v>
      </c>
      <c r="C30" s="1953">
        <v>86</v>
      </c>
      <c r="D30" s="1954">
        <v>13.799999999999999</v>
      </c>
      <c r="E30" s="1955">
        <v>8</v>
      </c>
      <c r="F30" s="1956">
        <v>5</v>
      </c>
      <c r="G30" s="1957">
        <v>98</v>
      </c>
      <c r="H30" s="1957">
        <v>691</v>
      </c>
      <c r="I30" s="1957">
        <v>53</v>
      </c>
    </row>
    <row r="31" spans="1:9" x14ac:dyDescent="0.2">
      <c r="A31" s="2112" t="s">
        <v>8201</v>
      </c>
      <c r="B31" s="1952" t="s">
        <v>482</v>
      </c>
      <c r="C31" s="1953">
        <v>86</v>
      </c>
      <c r="D31" s="1954">
        <v>23.4</v>
      </c>
      <c r="E31" s="1955">
        <v>8.9</v>
      </c>
      <c r="F31" s="1956">
        <v>5</v>
      </c>
      <c r="G31" s="1957">
        <v>97</v>
      </c>
      <c r="H31" s="1957">
        <v>665</v>
      </c>
      <c r="I31" s="1957">
        <v>53</v>
      </c>
    </row>
    <row r="32" spans="1:9" x14ac:dyDescent="0.2">
      <c r="A32" s="2113" t="s">
        <v>803</v>
      </c>
      <c r="B32" s="1958" t="s">
        <v>487</v>
      </c>
      <c r="C32" s="1959"/>
      <c r="D32" s="1960"/>
      <c r="E32" s="1961"/>
      <c r="F32" s="1962"/>
      <c r="G32" s="1963"/>
      <c r="H32" s="1963"/>
      <c r="I32" s="1963"/>
    </row>
    <row r="33" spans="1:9" x14ac:dyDescent="0.2">
      <c r="A33" s="2112" t="s">
        <v>804</v>
      </c>
      <c r="B33" s="1952" t="s">
        <v>482</v>
      </c>
      <c r="C33" s="1953">
        <v>86</v>
      </c>
      <c r="D33" s="1954">
        <v>41</v>
      </c>
      <c r="E33" s="1955">
        <v>12</v>
      </c>
      <c r="F33" s="1956">
        <v>14</v>
      </c>
      <c r="G33" s="1957">
        <v>96</v>
      </c>
      <c r="H33" s="1957">
        <v>697</v>
      </c>
      <c r="I33" s="1957">
        <v>56.000000000000007</v>
      </c>
    </row>
    <row r="34" spans="1:9" x14ac:dyDescent="0.2">
      <c r="A34" s="2112" t="s">
        <v>805</v>
      </c>
      <c r="B34" s="1952" t="s">
        <v>482</v>
      </c>
      <c r="C34" s="1953">
        <v>86</v>
      </c>
      <c r="D34" s="1954">
        <v>36</v>
      </c>
      <c r="E34" s="1955">
        <v>11</v>
      </c>
      <c r="F34" s="1956">
        <v>14</v>
      </c>
      <c r="G34" s="1957">
        <v>96</v>
      </c>
      <c r="H34" s="1957">
        <v>699</v>
      </c>
      <c r="I34" s="1957">
        <v>55.000000000000007</v>
      </c>
    </row>
    <row r="35" spans="1:9" x14ac:dyDescent="0.2">
      <c r="A35" s="2112" t="s">
        <v>806</v>
      </c>
      <c r="B35" s="1952" t="s">
        <v>482</v>
      </c>
      <c r="C35" s="1953">
        <v>86</v>
      </c>
      <c r="D35" s="1954">
        <v>44.800000000000004</v>
      </c>
      <c r="E35" s="1955">
        <v>10.199999999999999</v>
      </c>
      <c r="F35" s="1956">
        <v>9.9</v>
      </c>
      <c r="G35" s="1957">
        <v>96</v>
      </c>
      <c r="H35" s="1957">
        <v>717</v>
      </c>
      <c r="I35" s="1957">
        <v>60</v>
      </c>
    </row>
    <row r="36" spans="1:9" x14ac:dyDescent="0.2">
      <c r="A36" s="2112" t="s">
        <v>807</v>
      </c>
      <c r="B36" s="1952" t="s">
        <v>482</v>
      </c>
      <c r="C36" s="1953">
        <v>86</v>
      </c>
      <c r="D36" s="1954">
        <v>44</v>
      </c>
      <c r="E36" s="1955">
        <v>15</v>
      </c>
      <c r="F36" s="1956">
        <v>17</v>
      </c>
      <c r="G36" s="1957">
        <v>95</v>
      </c>
      <c r="H36" s="1957">
        <v>734</v>
      </c>
      <c r="I36" s="1957">
        <v>64</v>
      </c>
    </row>
    <row r="37" spans="1:9" x14ac:dyDescent="0.2">
      <c r="A37" s="2113" t="s">
        <v>808</v>
      </c>
      <c r="B37" s="1958" t="s">
        <v>487</v>
      </c>
      <c r="C37" s="1959"/>
      <c r="D37" s="1960"/>
      <c r="E37" s="1961"/>
      <c r="F37" s="1962"/>
      <c r="G37" s="1963"/>
      <c r="H37" s="1963"/>
      <c r="I37" s="1963"/>
    </row>
    <row r="38" spans="1:9" x14ac:dyDescent="0.2">
      <c r="A38" s="2112" t="s">
        <v>809</v>
      </c>
      <c r="B38" s="1952" t="s">
        <v>482</v>
      </c>
      <c r="C38" s="1953">
        <v>91</v>
      </c>
      <c r="D38" s="1954">
        <v>33.5</v>
      </c>
      <c r="E38" s="1955">
        <v>18</v>
      </c>
      <c r="F38" s="1956">
        <v>10</v>
      </c>
      <c r="G38" s="1957">
        <v>96</v>
      </c>
      <c r="H38" s="1957">
        <v>767</v>
      </c>
      <c r="I38" s="1957">
        <v>66</v>
      </c>
    </row>
    <row r="39" spans="1:9" x14ac:dyDescent="0.2">
      <c r="A39" s="2112" t="s">
        <v>810</v>
      </c>
      <c r="B39" s="1952" t="s">
        <v>482</v>
      </c>
      <c r="C39" s="1953">
        <v>91</v>
      </c>
      <c r="D39" s="1954">
        <v>33.5</v>
      </c>
      <c r="E39" s="1955">
        <v>18</v>
      </c>
      <c r="F39" s="1956">
        <v>10</v>
      </c>
      <c r="G39" s="1957">
        <v>96</v>
      </c>
      <c r="H39" s="1957">
        <v>767</v>
      </c>
      <c r="I39" s="1957">
        <v>66</v>
      </c>
    </row>
    <row r="40" spans="1:9" x14ac:dyDescent="0.2">
      <c r="A40" s="2112" t="s">
        <v>811</v>
      </c>
      <c r="B40" s="1952" t="s">
        <v>482</v>
      </c>
      <c r="C40" s="1953">
        <v>91</v>
      </c>
      <c r="D40" s="1954">
        <v>33.5</v>
      </c>
      <c r="E40" s="1955">
        <v>18</v>
      </c>
      <c r="F40" s="1956">
        <v>10</v>
      </c>
      <c r="G40" s="1957">
        <v>96</v>
      </c>
      <c r="H40" s="1957">
        <v>767</v>
      </c>
      <c r="I40" s="1957">
        <v>66</v>
      </c>
    </row>
    <row r="41" spans="1:9" x14ac:dyDescent="0.2">
      <c r="A41" s="2112" t="s">
        <v>8439</v>
      </c>
      <c r="B41" s="1952" t="s">
        <v>482</v>
      </c>
      <c r="C41" s="1953">
        <v>91</v>
      </c>
      <c r="D41" s="1954">
        <v>29.1</v>
      </c>
      <c r="E41" s="1955">
        <v>16</v>
      </c>
      <c r="F41" s="1956">
        <v>24</v>
      </c>
      <c r="G41" s="1957">
        <v>97</v>
      </c>
      <c r="H41" s="1957">
        <v>699</v>
      </c>
      <c r="I41" s="1957">
        <v>64</v>
      </c>
    </row>
    <row r="42" spans="1:9" x14ac:dyDescent="0.2">
      <c r="A42" s="2112" t="s">
        <v>8441</v>
      </c>
      <c r="B42" s="1952" t="s">
        <v>482</v>
      </c>
      <c r="C42" s="1953">
        <v>91</v>
      </c>
      <c r="D42" s="1954">
        <v>35</v>
      </c>
      <c r="E42" s="1955">
        <v>12</v>
      </c>
      <c r="F42" s="1956">
        <v>10</v>
      </c>
      <c r="G42" s="1957">
        <v>95</v>
      </c>
      <c r="H42" s="1957">
        <v>785</v>
      </c>
      <c r="I42" s="1957">
        <v>64</v>
      </c>
    </row>
    <row r="43" spans="1:9" x14ac:dyDescent="0.2">
      <c r="A43" s="2112" t="s">
        <v>812</v>
      </c>
      <c r="B43" s="1952" t="s">
        <v>482</v>
      </c>
      <c r="C43" s="1953">
        <v>91</v>
      </c>
      <c r="D43" s="1954">
        <v>35</v>
      </c>
      <c r="E43" s="1955">
        <v>12</v>
      </c>
      <c r="F43" s="1956">
        <v>10</v>
      </c>
      <c r="G43" s="1957">
        <v>95</v>
      </c>
      <c r="H43" s="1957">
        <v>785</v>
      </c>
      <c r="I43" s="1957">
        <v>64</v>
      </c>
    </row>
    <row r="44" spans="1:9" x14ac:dyDescent="0.2">
      <c r="A44" s="2113" t="s">
        <v>503</v>
      </c>
      <c r="B44" s="1958" t="s">
        <v>487</v>
      </c>
      <c r="C44" s="1959"/>
      <c r="D44" s="1960"/>
      <c r="E44" s="1961"/>
      <c r="F44" s="1962"/>
      <c r="G44" s="1963"/>
      <c r="H44" s="1963"/>
      <c r="I44" s="1963"/>
    </row>
    <row r="45" spans="1:9" x14ac:dyDescent="0.2">
      <c r="A45" s="2112" t="s">
        <v>813</v>
      </c>
      <c r="B45" s="1952" t="s">
        <v>505</v>
      </c>
      <c r="C45" s="1953">
        <v>22</v>
      </c>
      <c r="D45" s="1954">
        <v>3.5</v>
      </c>
      <c r="E45" s="1955">
        <v>1.4000000000000001</v>
      </c>
      <c r="F45" s="1956">
        <v>6</v>
      </c>
      <c r="G45" s="1957">
        <v>94</v>
      </c>
      <c r="H45" s="1957">
        <v>728</v>
      </c>
      <c r="I45" s="1957">
        <v>52</v>
      </c>
    </row>
    <row r="46" spans="1:9" x14ac:dyDescent="0.2">
      <c r="A46" s="2112" t="s">
        <v>814</v>
      </c>
      <c r="B46" s="1952" t="s">
        <v>505</v>
      </c>
      <c r="C46" s="1953">
        <v>22</v>
      </c>
      <c r="D46" s="1954">
        <v>3.5</v>
      </c>
      <c r="E46" s="1955">
        <v>1.4000000000000001</v>
      </c>
      <c r="F46" s="1956">
        <v>6</v>
      </c>
      <c r="G46" s="1957">
        <v>94</v>
      </c>
      <c r="H46" s="1957">
        <v>728</v>
      </c>
      <c r="I46" s="1957">
        <v>52</v>
      </c>
    </row>
    <row r="47" spans="1:9" x14ac:dyDescent="0.2">
      <c r="A47" s="2112" t="s">
        <v>815</v>
      </c>
      <c r="B47" s="1952" t="s">
        <v>505</v>
      </c>
      <c r="C47" s="1953">
        <v>22</v>
      </c>
      <c r="D47" s="1954">
        <v>3.5</v>
      </c>
      <c r="E47" s="1955">
        <v>1.4000000000000001</v>
      </c>
      <c r="F47" s="1956">
        <v>6</v>
      </c>
      <c r="G47" s="1957">
        <v>94</v>
      </c>
      <c r="H47" s="1957">
        <v>728</v>
      </c>
      <c r="I47" s="1957">
        <v>52</v>
      </c>
    </row>
    <row r="48" spans="1:9" x14ac:dyDescent="0.2">
      <c r="A48" s="2112" t="s">
        <v>506</v>
      </c>
      <c r="B48" s="1952" t="s">
        <v>508</v>
      </c>
      <c r="C48" s="1953">
        <v>23</v>
      </c>
      <c r="D48" s="1954">
        <v>1.7999999999999998</v>
      </c>
      <c r="E48" s="1955">
        <v>1</v>
      </c>
      <c r="F48" s="1956">
        <v>2.5</v>
      </c>
      <c r="G48" s="1957">
        <v>92</v>
      </c>
      <c r="H48" s="1957">
        <v>679</v>
      </c>
      <c r="I48" s="1957">
        <v>51</v>
      </c>
    </row>
    <row r="49" spans="1:9" x14ac:dyDescent="0.2">
      <c r="A49" s="2112" t="s">
        <v>509</v>
      </c>
      <c r="B49" s="1952" t="s">
        <v>508</v>
      </c>
      <c r="C49" s="1953">
        <v>15</v>
      </c>
      <c r="D49" s="1954">
        <v>1.7999999999999998</v>
      </c>
      <c r="E49" s="1955">
        <v>0.89999999999999991</v>
      </c>
      <c r="F49" s="1956">
        <v>5</v>
      </c>
      <c r="G49" s="1957">
        <v>91</v>
      </c>
      <c r="H49" s="1957">
        <v>685</v>
      </c>
      <c r="I49" s="1957">
        <v>51</v>
      </c>
    </row>
    <row r="50" spans="1:9" x14ac:dyDescent="0.2">
      <c r="A50" s="2112" t="s">
        <v>816</v>
      </c>
      <c r="B50" s="1952" t="s">
        <v>508</v>
      </c>
      <c r="C50" s="1953">
        <v>12</v>
      </c>
      <c r="D50" s="1954">
        <v>1.4000000000000001</v>
      </c>
      <c r="E50" s="1955">
        <v>0.70000000000000007</v>
      </c>
      <c r="F50" s="1956">
        <v>4.5</v>
      </c>
      <c r="G50" s="1957">
        <v>88</v>
      </c>
      <c r="H50" s="1957">
        <v>702</v>
      </c>
      <c r="I50" s="1957">
        <v>53</v>
      </c>
    </row>
    <row r="51" spans="1:9" x14ac:dyDescent="0.2">
      <c r="A51" s="2113" t="s">
        <v>511</v>
      </c>
      <c r="B51" s="1958" t="s">
        <v>487</v>
      </c>
      <c r="C51" s="1959"/>
      <c r="D51" s="1960"/>
      <c r="E51" s="1961"/>
      <c r="F51" s="1962"/>
      <c r="G51" s="1963"/>
      <c r="H51" s="1963"/>
      <c r="I51" s="1963"/>
    </row>
    <row r="52" spans="1:9" x14ac:dyDescent="0.2">
      <c r="A52" s="2112" t="s">
        <v>817</v>
      </c>
      <c r="B52" s="2112" t="s">
        <v>502</v>
      </c>
      <c r="C52" s="1953">
        <v>20</v>
      </c>
      <c r="D52" s="1954">
        <v>4.6999999999999993</v>
      </c>
      <c r="E52" s="1955">
        <v>1.4000000000000001</v>
      </c>
      <c r="F52" s="1956">
        <v>6.5</v>
      </c>
      <c r="G52" s="1957">
        <v>88</v>
      </c>
      <c r="H52" s="1957">
        <v>549</v>
      </c>
      <c r="I52" s="1957">
        <v>55.000000000000007</v>
      </c>
    </row>
    <row r="53" spans="1:9" x14ac:dyDescent="0.2">
      <c r="A53" s="2112" t="s">
        <v>8442</v>
      </c>
      <c r="B53" s="2112" t="s">
        <v>502</v>
      </c>
      <c r="C53" s="1953">
        <v>20</v>
      </c>
      <c r="D53" s="1954">
        <v>5.3000000000000007</v>
      </c>
      <c r="E53" s="1955">
        <v>1.6</v>
      </c>
      <c r="F53" s="1956">
        <v>7.1999999999999993</v>
      </c>
      <c r="G53" s="1957">
        <v>87</v>
      </c>
      <c r="H53" s="1957">
        <v>596</v>
      </c>
      <c r="I53" s="1957">
        <v>55.000000000000007</v>
      </c>
    </row>
    <row r="54" spans="1:9" x14ac:dyDescent="0.2">
      <c r="A54" s="2112" t="s">
        <v>513</v>
      </c>
      <c r="B54" s="2112" t="s">
        <v>502</v>
      </c>
      <c r="C54" s="1953">
        <v>20</v>
      </c>
      <c r="D54" s="1954">
        <v>5.6000000000000005</v>
      </c>
      <c r="E54" s="1955">
        <v>1.5</v>
      </c>
      <c r="F54" s="1956">
        <v>6.7</v>
      </c>
      <c r="G54" s="1957">
        <v>87</v>
      </c>
      <c r="H54" s="1957">
        <v>574</v>
      </c>
      <c r="I54" s="1957">
        <v>55.000000000000007</v>
      </c>
    </row>
    <row r="55" spans="1:9" x14ac:dyDescent="0.2">
      <c r="A55" s="2112" t="s">
        <v>515</v>
      </c>
      <c r="B55" s="2112" t="s">
        <v>502</v>
      </c>
      <c r="C55" s="1953">
        <v>20</v>
      </c>
      <c r="D55" s="1954">
        <v>5.8</v>
      </c>
      <c r="E55" s="1955">
        <v>1.4000000000000001</v>
      </c>
      <c r="F55" s="1956">
        <v>6.5</v>
      </c>
      <c r="G55" s="1957">
        <v>87</v>
      </c>
      <c r="H55" s="1957">
        <v>574</v>
      </c>
      <c r="I55" s="1957">
        <v>55.000000000000007</v>
      </c>
    </row>
    <row r="56" spans="1:9" x14ac:dyDescent="0.2">
      <c r="A56" s="2112" t="s">
        <v>517</v>
      </c>
      <c r="B56" s="2112" t="s">
        <v>502</v>
      </c>
      <c r="C56" s="1953">
        <v>20</v>
      </c>
      <c r="D56" s="1954">
        <v>6.1</v>
      </c>
      <c r="E56" s="1955">
        <v>1.4000000000000001</v>
      </c>
      <c r="F56" s="1956">
        <v>6.5</v>
      </c>
      <c r="G56" s="1957">
        <v>87</v>
      </c>
      <c r="H56" s="1957">
        <v>574</v>
      </c>
      <c r="I56" s="1957">
        <v>55.000000000000007</v>
      </c>
    </row>
    <row r="57" spans="1:9" x14ac:dyDescent="0.2">
      <c r="A57" s="2112" t="s">
        <v>519</v>
      </c>
      <c r="B57" s="2112" t="s">
        <v>502</v>
      </c>
      <c r="C57" s="1953">
        <v>20</v>
      </c>
      <c r="D57" s="1954">
        <v>5.6000000000000005</v>
      </c>
      <c r="E57" s="1955">
        <v>1.5</v>
      </c>
      <c r="F57" s="1956">
        <v>6.5</v>
      </c>
      <c r="G57" s="1957">
        <v>89</v>
      </c>
      <c r="H57" s="1957">
        <v>493</v>
      </c>
      <c r="I57" s="1957">
        <v>55.000000000000007</v>
      </c>
    </row>
    <row r="58" spans="1:9" x14ac:dyDescent="0.2">
      <c r="A58" s="2112" t="s">
        <v>521</v>
      </c>
      <c r="B58" s="2112" t="s">
        <v>502</v>
      </c>
      <c r="C58" s="1953">
        <v>20</v>
      </c>
      <c r="D58" s="1954">
        <v>5.8</v>
      </c>
      <c r="E58" s="1955">
        <v>1.5</v>
      </c>
      <c r="F58" s="1956">
        <v>6.5</v>
      </c>
      <c r="G58" s="1957">
        <v>89</v>
      </c>
      <c r="H58" s="1957">
        <v>493</v>
      </c>
      <c r="I58" s="1957">
        <v>55.000000000000007</v>
      </c>
    </row>
    <row r="59" spans="1:9" x14ac:dyDescent="0.2">
      <c r="A59" s="2112" t="s">
        <v>523</v>
      </c>
      <c r="B59" s="2112" t="s">
        <v>502</v>
      </c>
      <c r="C59" s="1953">
        <v>20</v>
      </c>
      <c r="D59" s="1954">
        <v>6.1</v>
      </c>
      <c r="E59" s="1955">
        <v>1.4000000000000001</v>
      </c>
      <c r="F59" s="1956">
        <v>6.5</v>
      </c>
      <c r="G59" s="1957">
        <v>89</v>
      </c>
      <c r="H59" s="1957">
        <v>493</v>
      </c>
      <c r="I59" s="1957">
        <v>55.000000000000007</v>
      </c>
    </row>
    <row r="60" spans="1:9" x14ac:dyDescent="0.2">
      <c r="A60" s="2112" t="s">
        <v>525</v>
      </c>
      <c r="B60" s="2112" t="s">
        <v>502</v>
      </c>
      <c r="C60" s="1953">
        <v>20</v>
      </c>
      <c r="D60" s="1954">
        <v>6.5</v>
      </c>
      <c r="E60" s="1955">
        <v>1.3</v>
      </c>
      <c r="F60" s="1956">
        <v>6.5</v>
      </c>
      <c r="G60" s="1957">
        <v>89</v>
      </c>
      <c r="H60" s="1957">
        <v>517</v>
      </c>
      <c r="I60" s="1957">
        <v>55.000000000000007</v>
      </c>
    </row>
    <row r="61" spans="1:9" x14ac:dyDescent="0.2">
      <c r="A61" s="2112" t="s">
        <v>527</v>
      </c>
      <c r="B61" s="2112" t="s">
        <v>502</v>
      </c>
      <c r="C61" s="1953">
        <v>20</v>
      </c>
      <c r="D61" s="1954">
        <v>6.5</v>
      </c>
      <c r="E61" s="1955">
        <v>1.4000000000000001</v>
      </c>
      <c r="F61" s="1956">
        <v>6.5</v>
      </c>
      <c r="G61" s="1957">
        <v>89</v>
      </c>
      <c r="H61" s="1957">
        <v>459</v>
      </c>
      <c r="I61" s="1957">
        <v>55.000000000000007</v>
      </c>
    </row>
    <row r="62" spans="1:9" x14ac:dyDescent="0.2">
      <c r="A62" s="2113" t="s">
        <v>529</v>
      </c>
      <c r="B62" s="2117" t="s">
        <v>487</v>
      </c>
      <c r="C62" s="1959"/>
      <c r="D62" s="1960"/>
      <c r="E62" s="1961"/>
      <c r="F62" s="1962"/>
      <c r="G62" s="1963"/>
      <c r="H62" s="1963"/>
      <c r="I62" s="1963"/>
    </row>
    <row r="63" spans="1:9" x14ac:dyDescent="0.2">
      <c r="A63" s="2112" t="s">
        <v>818</v>
      </c>
      <c r="B63" s="2112" t="s">
        <v>502</v>
      </c>
      <c r="C63" s="1953">
        <v>32</v>
      </c>
      <c r="D63" s="1954">
        <v>4.3</v>
      </c>
      <c r="E63" s="1955">
        <v>1.6</v>
      </c>
      <c r="F63" s="1956">
        <v>5.0999999999999996</v>
      </c>
      <c r="G63" s="1957">
        <v>96</v>
      </c>
      <c r="H63" s="1957">
        <v>589</v>
      </c>
      <c r="I63" s="1957">
        <v>52</v>
      </c>
    </row>
    <row r="64" spans="1:9" x14ac:dyDescent="0.2">
      <c r="A64" s="2112" t="s">
        <v>8859</v>
      </c>
      <c r="B64" s="2112" t="s">
        <v>532</v>
      </c>
      <c r="C64" s="1953">
        <v>60</v>
      </c>
      <c r="D64" s="1954">
        <v>10.1</v>
      </c>
      <c r="E64" s="1955">
        <v>4.0999999999999996</v>
      </c>
      <c r="F64" s="1956">
        <v>3.5999999999999996</v>
      </c>
      <c r="G64" s="1957">
        <v>98</v>
      </c>
      <c r="H64" s="1957">
        <v>666</v>
      </c>
      <c r="I64" s="1957">
        <v>53</v>
      </c>
    </row>
    <row r="65" spans="1:9" x14ac:dyDescent="0.2">
      <c r="A65" s="2112" t="s">
        <v>819</v>
      </c>
      <c r="B65" s="2112" t="s">
        <v>820</v>
      </c>
      <c r="C65" s="1953">
        <v>50</v>
      </c>
      <c r="D65" s="1954">
        <v>7.6</v>
      </c>
      <c r="E65" s="1955">
        <v>3.2</v>
      </c>
      <c r="F65" s="1956">
        <v>3.5999999999999996</v>
      </c>
      <c r="G65" s="1957">
        <v>97</v>
      </c>
      <c r="H65" s="1957">
        <v>644</v>
      </c>
      <c r="I65" s="1957">
        <v>53</v>
      </c>
    </row>
    <row r="66" spans="1:9" x14ac:dyDescent="0.2">
      <c r="A66" s="2112" t="s">
        <v>533</v>
      </c>
      <c r="B66" s="2112" t="s">
        <v>502</v>
      </c>
      <c r="C66" s="1953">
        <v>35</v>
      </c>
      <c r="D66" s="1954">
        <v>5.6000000000000005</v>
      </c>
      <c r="E66" s="1955">
        <v>2.3000000000000003</v>
      </c>
      <c r="F66" s="1956">
        <v>4.6999999999999993</v>
      </c>
      <c r="G66" s="1957">
        <v>95</v>
      </c>
      <c r="H66" s="1957">
        <v>504</v>
      </c>
      <c r="I66" s="1957">
        <v>52</v>
      </c>
    </row>
    <row r="67" spans="1:9" x14ac:dyDescent="0.2">
      <c r="A67" s="2112" t="s">
        <v>8175</v>
      </c>
      <c r="B67" s="2112" t="s">
        <v>502</v>
      </c>
      <c r="C67" s="1953">
        <v>35</v>
      </c>
      <c r="D67" s="1954">
        <v>5.6000000000000005</v>
      </c>
      <c r="E67" s="1955">
        <v>2.3000000000000003</v>
      </c>
      <c r="F67" s="1956">
        <v>4.6999999999999993</v>
      </c>
      <c r="G67" s="1957">
        <v>94</v>
      </c>
      <c r="H67" s="1957">
        <v>515</v>
      </c>
      <c r="I67" s="1957">
        <v>52</v>
      </c>
    </row>
    <row r="68" spans="1:9" x14ac:dyDescent="0.2">
      <c r="A68" s="2112" t="s">
        <v>8176</v>
      </c>
      <c r="B68" s="2112" t="s">
        <v>502</v>
      </c>
      <c r="C68" s="1953">
        <v>35</v>
      </c>
      <c r="D68" s="1954">
        <v>5.6000000000000005</v>
      </c>
      <c r="E68" s="1955">
        <v>2.3000000000000003</v>
      </c>
      <c r="F68" s="1956">
        <v>4.6999999999999993</v>
      </c>
      <c r="G68" s="1957">
        <v>95</v>
      </c>
      <c r="H68" s="1957">
        <v>506</v>
      </c>
      <c r="I68" s="1957">
        <v>52</v>
      </c>
    </row>
    <row r="69" spans="1:9" x14ac:dyDescent="0.2">
      <c r="A69" s="2112" t="s">
        <v>8178</v>
      </c>
      <c r="B69" s="2112" t="s">
        <v>502</v>
      </c>
      <c r="C69" s="1953">
        <v>35</v>
      </c>
      <c r="D69" s="1954">
        <v>5.6000000000000005</v>
      </c>
      <c r="E69" s="1955">
        <v>2.3000000000000003</v>
      </c>
      <c r="F69" s="1956">
        <v>4.6999999999999993</v>
      </c>
      <c r="G69" s="1957">
        <v>95</v>
      </c>
      <c r="H69" s="1957">
        <v>506</v>
      </c>
      <c r="I69" s="1957">
        <v>52</v>
      </c>
    </row>
    <row r="70" spans="1:9" x14ac:dyDescent="0.2">
      <c r="A70" s="2112" t="s">
        <v>537</v>
      </c>
      <c r="B70" s="2112" t="s">
        <v>502</v>
      </c>
      <c r="C70" s="1953">
        <v>35</v>
      </c>
      <c r="D70" s="1954">
        <v>5.6000000000000005</v>
      </c>
      <c r="E70" s="1955">
        <v>2.3000000000000003</v>
      </c>
      <c r="F70" s="1956">
        <v>4.6999999999999993</v>
      </c>
      <c r="G70" s="1957">
        <v>95</v>
      </c>
      <c r="H70" s="1957">
        <v>506</v>
      </c>
      <c r="I70" s="1957">
        <v>52</v>
      </c>
    </row>
    <row r="71" spans="1:9" x14ac:dyDescent="0.2">
      <c r="A71" s="2112" t="s">
        <v>539</v>
      </c>
      <c r="B71" s="2112" t="s">
        <v>502</v>
      </c>
      <c r="C71" s="1953">
        <v>35</v>
      </c>
      <c r="D71" s="1954">
        <v>5.6000000000000005</v>
      </c>
      <c r="E71" s="1955">
        <v>2.3000000000000003</v>
      </c>
      <c r="F71" s="1956">
        <v>4.6999999999999993</v>
      </c>
      <c r="G71" s="1957">
        <v>95</v>
      </c>
      <c r="H71" s="1957">
        <v>506</v>
      </c>
      <c r="I71" s="1957">
        <v>52</v>
      </c>
    </row>
    <row r="72" spans="1:9" x14ac:dyDescent="0.2">
      <c r="A72" s="2112" t="s">
        <v>821</v>
      </c>
      <c r="B72" s="2112" t="s">
        <v>502</v>
      </c>
      <c r="C72" s="1953">
        <v>35</v>
      </c>
      <c r="D72" s="1954">
        <v>6.7</v>
      </c>
      <c r="E72" s="1955">
        <v>2.3000000000000003</v>
      </c>
      <c r="F72" s="1956">
        <v>4.6999999999999993</v>
      </c>
      <c r="G72" s="1957">
        <v>93</v>
      </c>
      <c r="H72" s="1957">
        <v>525</v>
      </c>
      <c r="I72" s="1957">
        <v>54</v>
      </c>
    </row>
    <row r="73" spans="1:9" x14ac:dyDescent="0.2">
      <c r="A73" s="2112" t="s">
        <v>822</v>
      </c>
      <c r="B73" s="2112" t="s">
        <v>502</v>
      </c>
      <c r="C73" s="1953">
        <v>35</v>
      </c>
      <c r="D73" s="1954">
        <v>6.7</v>
      </c>
      <c r="E73" s="1955">
        <v>2.3000000000000003</v>
      </c>
      <c r="F73" s="1956">
        <v>4.6999999999999993</v>
      </c>
      <c r="G73" s="1957">
        <v>93</v>
      </c>
      <c r="H73" s="1957">
        <v>525</v>
      </c>
      <c r="I73" s="1957">
        <v>54</v>
      </c>
    </row>
    <row r="74" spans="1:9" x14ac:dyDescent="0.2">
      <c r="A74" s="2112" t="s">
        <v>8443</v>
      </c>
      <c r="B74" s="2112" t="s">
        <v>502</v>
      </c>
      <c r="C74" s="1953">
        <v>35</v>
      </c>
      <c r="D74" s="1954">
        <v>6.7</v>
      </c>
      <c r="E74" s="1955">
        <v>2.3000000000000003</v>
      </c>
      <c r="F74" s="1956">
        <v>4.6999999999999993</v>
      </c>
      <c r="G74" s="1957">
        <v>88</v>
      </c>
      <c r="H74" s="1957">
        <v>522</v>
      </c>
      <c r="I74" s="1957">
        <v>55.000000000000007</v>
      </c>
    </row>
    <row r="75" spans="1:9" x14ac:dyDescent="0.2">
      <c r="A75" s="2112" t="s">
        <v>8444</v>
      </c>
      <c r="B75" s="2112" t="s">
        <v>502</v>
      </c>
      <c r="C75" s="1953">
        <v>35</v>
      </c>
      <c r="D75" s="1954">
        <v>5.6000000000000005</v>
      </c>
      <c r="E75" s="1955">
        <v>2.3000000000000003</v>
      </c>
      <c r="F75" s="1956">
        <v>4.6999999999999993</v>
      </c>
      <c r="G75" s="1957">
        <v>85</v>
      </c>
      <c r="H75" s="1957">
        <v>675</v>
      </c>
      <c r="I75" s="1957">
        <v>54</v>
      </c>
    </row>
    <row r="76" spans="1:9" x14ac:dyDescent="0.2">
      <c r="A76" s="2112" t="s">
        <v>547</v>
      </c>
      <c r="B76" s="2112" t="s">
        <v>502</v>
      </c>
      <c r="C76" s="1953">
        <v>35</v>
      </c>
      <c r="D76" s="1954">
        <v>5.6000000000000005</v>
      </c>
      <c r="E76" s="1955">
        <v>2.3000000000000003</v>
      </c>
      <c r="F76" s="1956">
        <v>4.6999999999999993</v>
      </c>
      <c r="G76" s="1957">
        <v>82</v>
      </c>
      <c r="H76" s="1957">
        <v>661</v>
      </c>
      <c r="I76" s="1957">
        <v>56.000000000000007</v>
      </c>
    </row>
    <row r="77" spans="1:9" x14ac:dyDescent="0.2">
      <c r="A77" s="2113" t="s">
        <v>541</v>
      </c>
      <c r="B77" s="2117" t="s">
        <v>487</v>
      </c>
      <c r="C77" s="1959"/>
      <c r="D77" s="1960"/>
      <c r="E77" s="1961"/>
      <c r="F77" s="1962"/>
      <c r="G77" s="1963"/>
      <c r="H77" s="1963"/>
      <c r="I77" s="1963"/>
    </row>
    <row r="78" spans="1:9" x14ac:dyDescent="0.2">
      <c r="A78" s="2112" t="s">
        <v>824</v>
      </c>
      <c r="B78" s="2112" t="s">
        <v>502</v>
      </c>
      <c r="C78" s="1953">
        <v>25</v>
      </c>
      <c r="D78" s="1954">
        <v>2.5</v>
      </c>
      <c r="E78" s="1955">
        <v>1.2</v>
      </c>
      <c r="F78" s="1956">
        <v>5.6999999999999993</v>
      </c>
      <c r="G78" s="1957">
        <v>91</v>
      </c>
      <c r="H78" s="1957">
        <v>456</v>
      </c>
      <c r="I78" s="1957">
        <v>54</v>
      </c>
    </row>
    <row r="79" spans="1:9" x14ac:dyDescent="0.2">
      <c r="A79" s="2112" t="s">
        <v>542</v>
      </c>
      <c r="B79" s="2112" t="s">
        <v>502</v>
      </c>
      <c r="C79" s="1953">
        <v>28</v>
      </c>
      <c r="D79" s="1954">
        <v>4.0999999999999996</v>
      </c>
      <c r="E79" s="1955">
        <v>1.7999999999999998</v>
      </c>
      <c r="F79" s="1956">
        <v>4.8</v>
      </c>
      <c r="G79" s="1957">
        <v>93</v>
      </c>
      <c r="H79" s="1957">
        <v>498</v>
      </c>
      <c r="I79" s="1957">
        <v>53</v>
      </c>
    </row>
    <row r="80" spans="1:9" x14ac:dyDescent="0.2">
      <c r="A80" s="2112" t="s">
        <v>825</v>
      </c>
      <c r="B80" s="2112" t="s">
        <v>502</v>
      </c>
      <c r="C80" s="1953">
        <v>28</v>
      </c>
      <c r="D80" s="1954">
        <v>2.9</v>
      </c>
      <c r="E80" s="1955">
        <v>1</v>
      </c>
      <c r="F80" s="1956">
        <v>4.0999999999999996</v>
      </c>
      <c r="G80" s="1957">
        <v>92</v>
      </c>
      <c r="H80" s="1957">
        <v>503</v>
      </c>
      <c r="I80" s="1957">
        <v>54</v>
      </c>
    </row>
    <row r="81" spans="1:9" x14ac:dyDescent="0.2">
      <c r="A81" s="2112" t="s">
        <v>8445</v>
      </c>
      <c r="B81" s="2112" t="s">
        <v>502</v>
      </c>
      <c r="C81" s="1953">
        <v>28</v>
      </c>
      <c r="D81" s="1954">
        <v>3.1</v>
      </c>
      <c r="E81" s="1955">
        <v>1.1000000000000001</v>
      </c>
      <c r="F81" s="1956">
        <v>4.0999999999999996</v>
      </c>
      <c r="G81" s="1957">
        <v>94</v>
      </c>
      <c r="H81" s="1957">
        <v>356</v>
      </c>
      <c r="I81" s="1957">
        <v>52</v>
      </c>
    </row>
    <row r="82" spans="1:9" x14ac:dyDescent="0.2">
      <c r="A82" s="2112" t="s">
        <v>826</v>
      </c>
      <c r="B82" s="2112" t="s">
        <v>502</v>
      </c>
      <c r="C82" s="1953">
        <v>28</v>
      </c>
      <c r="D82" s="1954">
        <v>3.3000000000000003</v>
      </c>
      <c r="E82" s="1955">
        <v>1.1000000000000001</v>
      </c>
      <c r="F82" s="1956">
        <v>5.3000000000000007</v>
      </c>
      <c r="G82" s="1957">
        <v>93</v>
      </c>
      <c r="H82" s="1957">
        <v>575</v>
      </c>
      <c r="I82" s="1957">
        <v>53</v>
      </c>
    </row>
    <row r="83" spans="1:9" x14ac:dyDescent="0.2">
      <c r="A83" s="2112" t="s">
        <v>827</v>
      </c>
      <c r="B83" s="2112" t="s">
        <v>502</v>
      </c>
      <c r="C83" s="1953">
        <v>80</v>
      </c>
      <c r="D83" s="1954">
        <v>1.5</v>
      </c>
      <c r="E83" s="1955">
        <v>1.2</v>
      </c>
      <c r="F83" s="1956">
        <v>4.2</v>
      </c>
      <c r="G83" s="1957">
        <v>94</v>
      </c>
      <c r="H83" s="1957">
        <v>442</v>
      </c>
      <c r="I83" s="1957">
        <v>54</v>
      </c>
    </row>
    <row r="84" spans="1:9" x14ac:dyDescent="0.2">
      <c r="A84" s="2112" t="s">
        <v>828</v>
      </c>
      <c r="B84" s="2112" t="s">
        <v>502</v>
      </c>
      <c r="C84" s="1953">
        <v>28</v>
      </c>
      <c r="D84" s="1954">
        <v>3.1</v>
      </c>
      <c r="E84" s="1955">
        <v>0.89999999999999991</v>
      </c>
      <c r="F84" s="1956">
        <v>4.9000000000000004</v>
      </c>
      <c r="G84" s="1957">
        <v>94</v>
      </c>
      <c r="H84" s="1957">
        <v>562</v>
      </c>
      <c r="I84" s="1957">
        <v>54</v>
      </c>
    </row>
    <row r="85" spans="1:9" x14ac:dyDescent="0.2">
      <c r="A85" s="2112" t="s">
        <v>823</v>
      </c>
      <c r="B85" s="2112" t="s">
        <v>502</v>
      </c>
      <c r="C85" s="1953">
        <v>35</v>
      </c>
      <c r="D85" s="1954">
        <v>4.6999999999999993</v>
      </c>
      <c r="E85" s="1955">
        <v>2</v>
      </c>
      <c r="F85" s="1956">
        <v>5.6000000000000005</v>
      </c>
      <c r="G85" s="1957">
        <v>88</v>
      </c>
      <c r="H85" s="1957">
        <v>538</v>
      </c>
      <c r="I85" s="1957">
        <v>53</v>
      </c>
    </row>
    <row r="86" spans="1:9" x14ac:dyDescent="0.2">
      <c r="A86" s="2112" t="s">
        <v>8446</v>
      </c>
      <c r="B86" s="2112" t="s">
        <v>502</v>
      </c>
      <c r="C86" s="1953">
        <v>28</v>
      </c>
      <c r="D86" s="1954">
        <v>3.5</v>
      </c>
      <c r="E86" s="1955">
        <v>1.6</v>
      </c>
      <c r="F86" s="1956">
        <v>4.8</v>
      </c>
      <c r="G86" s="1957">
        <v>84</v>
      </c>
      <c r="H86" s="1957">
        <v>464</v>
      </c>
      <c r="I86" s="1957">
        <v>56.000000000000007</v>
      </c>
    </row>
    <row r="87" spans="1:9" x14ac:dyDescent="0.2">
      <c r="A87" s="2112" t="s">
        <v>8447</v>
      </c>
      <c r="B87" s="2112" t="s">
        <v>502</v>
      </c>
      <c r="C87" s="1953">
        <v>28</v>
      </c>
      <c r="D87" s="1954">
        <v>3.5</v>
      </c>
      <c r="E87" s="1955">
        <v>1.6</v>
      </c>
      <c r="F87" s="1956">
        <v>4.8</v>
      </c>
      <c r="G87" s="1957">
        <v>86</v>
      </c>
      <c r="H87" s="1957">
        <v>540</v>
      </c>
      <c r="I87" s="1957">
        <v>54</v>
      </c>
    </row>
    <row r="88" spans="1:9" x14ac:dyDescent="0.2">
      <c r="A88" s="2113" t="s">
        <v>544</v>
      </c>
      <c r="B88" s="2117" t="s">
        <v>487</v>
      </c>
      <c r="C88" s="1959"/>
      <c r="D88" s="1960"/>
      <c r="E88" s="1961"/>
      <c r="F88" s="1962"/>
      <c r="G88" s="1963"/>
      <c r="H88" s="1963"/>
      <c r="I88" s="1963"/>
    </row>
    <row r="89" spans="1:9" x14ac:dyDescent="0.2">
      <c r="A89" s="2112" t="s">
        <v>8448</v>
      </c>
      <c r="B89" s="2112" t="s">
        <v>502</v>
      </c>
      <c r="C89" s="1953">
        <v>20</v>
      </c>
      <c r="D89" s="1954">
        <v>5.3000000000000007</v>
      </c>
      <c r="E89" s="1955">
        <v>1.6</v>
      </c>
      <c r="F89" s="1956">
        <v>7.1999999999999993</v>
      </c>
      <c r="G89" s="1957">
        <v>87</v>
      </c>
      <c r="H89" s="1957">
        <v>596</v>
      </c>
      <c r="I89" s="1957">
        <v>55.000000000000007</v>
      </c>
    </row>
    <row r="90" spans="1:9" x14ac:dyDescent="0.2">
      <c r="A90" s="2112" t="s">
        <v>8449</v>
      </c>
      <c r="B90" s="2112" t="s">
        <v>502</v>
      </c>
      <c r="C90" s="1953">
        <v>20</v>
      </c>
      <c r="D90" s="1954">
        <v>5.8</v>
      </c>
      <c r="E90" s="1955">
        <v>1.4000000000000001</v>
      </c>
      <c r="F90" s="1956">
        <v>6.5</v>
      </c>
      <c r="G90" s="1957">
        <v>87</v>
      </c>
      <c r="H90" s="1957">
        <v>574</v>
      </c>
      <c r="I90" s="1957">
        <v>55.000000000000007</v>
      </c>
    </row>
    <row r="91" spans="1:9" x14ac:dyDescent="0.2">
      <c r="A91" s="2112" t="s">
        <v>8451</v>
      </c>
      <c r="B91" s="2112" t="s">
        <v>502</v>
      </c>
      <c r="C91" s="1953">
        <v>20</v>
      </c>
      <c r="D91" s="1954">
        <v>6.5</v>
      </c>
      <c r="E91" s="1955">
        <v>1.3</v>
      </c>
      <c r="F91" s="1956">
        <v>6.5</v>
      </c>
      <c r="G91" s="1957">
        <v>87</v>
      </c>
      <c r="H91" s="1957">
        <v>574</v>
      </c>
      <c r="I91" s="1957">
        <v>55.000000000000007</v>
      </c>
    </row>
    <row r="92" spans="1:9" x14ac:dyDescent="0.2">
      <c r="A92" s="2112" t="s">
        <v>8453</v>
      </c>
      <c r="B92" s="2112" t="s">
        <v>502</v>
      </c>
      <c r="C92" s="1953">
        <v>30</v>
      </c>
      <c r="D92" s="1954">
        <v>4.8</v>
      </c>
      <c r="E92" s="1955">
        <v>2</v>
      </c>
      <c r="F92" s="1956">
        <v>4</v>
      </c>
      <c r="G92" s="1957">
        <v>89</v>
      </c>
      <c r="H92" s="1957">
        <v>589</v>
      </c>
      <c r="I92" s="1957">
        <v>54</v>
      </c>
    </row>
    <row r="93" spans="1:9" x14ac:dyDescent="0.2">
      <c r="A93" s="2112" t="s">
        <v>8454</v>
      </c>
      <c r="B93" s="2112" t="s">
        <v>502</v>
      </c>
      <c r="C93" s="1953">
        <v>20</v>
      </c>
      <c r="D93" s="1954">
        <v>3.2</v>
      </c>
      <c r="E93" s="1955">
        <v>1.3</v>
      </c>
      <c r="F93" s="1956">
        <v>2.7</v>
      </c>
      <c r="G93" s="1957">
        <v>82</v>
      </c>
      <c r="H93" s="1957">
        <v>661</v>
      </c>
      <c r="I93" s="1957">
        <v>56.000000000000007</v>
      </c>
    </row>
    <row r="94" spans="1:9" x14ac:dyDescent="0.2">
      <c r="A94" s="2113" t="s">
        <v>550</v>
      </c>
      <c r="B94" s="2117" t="s">
        <v>487</v>
      </c>
      <c r="C94" s="1959"/>
      <c r="D94" s="1960"/>
      <c r="E94" s="1961"/>
      <c r="F94" s="1962"/>
      <c r="G94" s="1963"/>
      <c r="H94" s="1963"/>
      <c r="I94" s="1963"/>
    </row>
    <row r="95" spans="1:9" x14ac:dyDescent="0.2">
      <c r="A95" s="2112" t="s">
        <v>551</v>
      </c>
      <c r="B95" s="2112" t="s">
        <v>502</v>
      </c>
      <c r="C95" s="1953">
        <v>16</v>
      </c>
      <c r="D95" s="1954">
        <v>4.6000000000000005</v>
      </c>
      <c r="E95" s="1955">
        <v>1.4000000000000001</v>
      </c>
      <c r="F95" s="1956">
        <v>5</v>
      </c>
      <c r="G95" s="1957">
        <v>87</v>
      </c>
      <c r="H95" s="1957">
        <v>560</v>
      </c>
      <c r="I95" s="1957">
        <v>54</v>
      </c>
    </row>
    <row r="96" spans="1:9" x14ac:dyDescent="0.2">
      <c r="A96" s="2112" t="s">
        <v>553</v>
      </c>
      <c r="B96" s="2112" t="s">
        <v>502</v>
      </c>
      <c r="C96" s="1953">
        <v>16</v>
      </c>
      <c r="D96" s="1954">
        <v>4.6000000000000005</v>
      </c>
      <c r="E96" s="1955">
        <v>1.4000000000000001</v>
      </c>
      <c r="F96" s="1956">
        <v>5</v>
      </c>
      <c r="G96" s="1957">
        <v>87</v>
      </c>
      <c r="H96" s="1957">
        <v>560</v>
      </c>
      <c r="I96" s="1957">
        <v>54</v>
      </c>
    </row>
    <row r="97" spans="1:9" x14ac:dyDescent="0.2">
      <c r="A97" s="2112" t="s">
        <v>8181</v>
      </c>
      <c r="B97" s="2112" t="s">
        <v>502</v>
      </c>
      <c r="C97" s="1953">
        <v>16</v>
      </c>
      <c r="D97" s="1954">
        <v>4.6000000000000005</v>
      </c>
      <c r="E97" s="1955">
        <v>1.4000000000000001</v>
      </c>
      <c r="F97" s="1956">
        <v>5</v>
      </c>
      <c r="G97" s="1957">
        <v>87</v>
      </c>
      <c r="H97" s="1957">
        <v>560</v>
      </c>
      <c r="I97" s="1957">
        <v>54</v>
      </c>
    </row>
    <row r="98" spans="1:9" x14ac:dyDescent="0.2">
      <c r="A98" s="2113" t="s">
        <v>8202</v>
      </c>
      <c r="B98" s="2117" t="s">
        <v>487</v>
      </c>
      <c r="C98" s="1959"/>
      <c r="D98" s="1960"/>
      <c r="E98" s="1961"/>
      <c r="F98" s="1962"/>
      <c r="G98" s="1963"/>
      <c r="H98" s="1963"/>
      <c r="I98" s="1963"/>
    </row>
    <row r="99" spans="1:9" x14ac:dyDescent="0.2">
      <c r="A99" s="2112" t="s">
        <v>8203</v>
      </c>
      <c r="B99" s="2112" t="s">
        <v>482</v>
      </c>
      <c r="C99" s="1953">
        <v>15</v>
      </c>
      <c r="D99" s="1954">
        <v>10</v>
      </c>
      <c r="E99" s="1955">
        <v>2.29</v>
      </c>
      <c r="F99" s="1956">
        <v>3.5999999999999996</v>
      </c>
      <c r="G99" s="1957">
        <v>96</v>
      </c>
      <c r="H99" s="1957">
        <v>691</v>
      </c>
      <c r="I99" s="1957">
        <v>54</v>
      </c>
    </row>
    <row r="100" spans="1:9" x14ac:dyDescent="0.2">
      <c r="A100" s="2112" t="s">
        <v>8204</v>
      </c>
      <c r="B100" s="2112" t="s">
        <v>8210</v>
      </c>
      <c r="C100" s="1953">
        <v>11</v>
      </c>
      <c r="D100" s="1954">
        <v>1.7000000000000002</v>
      </c>
      <c r="E100" s="1955">
        <v>0.82000000000000006</v>
      </c>
      <c r="F100" s="1956">
        <v>5.3000000000000007</v>
      </c>
      <c r="G100" s="1957">
        <v>93</v>
      </c>
      <c r="H100" s="1957">
        <v>691</v>
      </c>
      <c r="I100" s="1957">
        <v>54</v>
      </c>
    </row>
    <row r="101" spans="1:9" x14ac:dyDescent="0.2">
      <c r="A101" s="2112" t="s">
        <v>8205</v>
      </c>
      <c r="B101" s="2112" t="s">
        <v>8210</v>
      </c>
      <c r="C101" s="1953">
        <v>10</v>
      </c>
      <c r="D101" s="1954">
        <v>1.3</v>
      </c>
      <c r="E101" s="1955">
        <v>0.8</v>
      </c>
      <c r="F101" s="1956">
        <v>4.2</v>
      </c>
      <c r="G101" s="1957">
        <v>93</v>
      </c>
      <c r="H101" s="1957">
        <v>691</v>
      </c>
      <c r="I101" s="1957">
        <v>54</v>
      </c>
    </row>
    <row r="102" spans="1:9" x14ac:dyDescent="0.2">
      <c r="A102" s="2112" t="s">
        <v>8206</v>
      </c>
      <c r="B102" s="2112" t="s">
        <v>8210</v>
      </c>
      <c r="C102" s="1953">
        <v>10</v>
      </c>
      <c r="D102" s="1954">
        <v>1.3</v>
      </c>
      <c r="E102" s="1955">
        <v>0.8</v>
      </c>
      <c r="F102" s="1956">
        <v>4.2</v>
      </c>
      <c r="G102" s="1957">
        <v>93</v>
      </c>
      <c r="H102" s="1957">
        <v>691</v>
      </c>
      <c r="I102" s="1957">
        <v>54</v>
      </c>
    </row>
    <row r="103" spans="1:9" x14ac:dyDescent="0.2">
      <c r="A103" s="2112" t="s">
        <v>8207</v>
      </c>
      <c r="B103" s="2112" t="s">
        <v>8211</v>
      </c>
      <c r="C103" s="1953">
        <v>10</v>
      </c>
      <c r="D103" s="1954">
        <v>2</v>
      </c>
      <c r="E103" s="1955">
        <v>0.6</v>
      </c>
      <c r="F103" s="1956">
        <v>2.4</v>
      </c>
      <c r="G103" s="1957">
        <v>90</v>
      </c>
      <c r="H103" s="1957">
        <v>691</v>
      </c>
      <c r="I103" s="1957">
        <v>54</v>
      </c>
    </row>
    <row r="104" spans="1:9" x14ac:dyDescent="0.2">
      <c r="A104" s="2112" t="s">
        <v>8208</v>
      </c>
      <c r="B104" s="2112" t="s">
        <v>8487</v>
      </c>
      <c r="C104" s="1953">
        <v>14</v>
      </c>
      <c r="D104" s="1954">
        <v>1.7999999999999998</v>
      </c>
      <c r="E104" s="1955">
        <v>0.8</v>
      </c>
      <c r="F104" s="1956">
        <v>2.4</v>
      </c>
      <c r="G104" s="1957">
        <v>90</v>
      </c>
      <c r="H104" s="1957">
        <v>691</v>
      </c>
      <c r="I104" s="1957">
        <v>54</v>
      </c>
    </row>
    <row r="105" spans="1:9" x14ac:dyDescent="0.2">
      <c r="A105" s="2113" t="s">
        <v>556</v>
      </c>
      <c r="B105" s="1958" t="s">
        <v>487</v>
      </c>
      <c r="C105" s="1959"/>
      <c r="D105" s="1960"/>
      <c r="E105" s="1961"/>
      <c r="F105" s="1962"/>
      <c r="G105" s="1963"/>
      <c r="H105" s="1963"/>
      <c r="I105" s="1963"/>
    </row>
    <row r="106" spans="1:9" x14ac:dyDescent="0.2">
      <c r="A106" s="2112" t="s">
        <v>829</v>
      </c>
      <c r="B106" s="1952" t="s">
        <v>487</v>
      </c>
      <c r="C106" s="1953">
        <v>100</v>
      </c>
      <c r="D106" s="1954">
        <v>12.8</v>
      </c>
      <c r="E106" s="1955">
        <v>4.6000000000000005</v>
      </c>
      <c r="F106" s="1956">
        <v>18.100000000000001</v>
      </c>
      <c r="G106" s="1957">
        <v>90</v>
      </c>
      <c r="H106" s="1957">
        <v>590</v>
      </c>
      <c r="I106" s="1957">
        <v>54</v>
      </c>
    </row>
    <row r="107" spans="1:9" x14ac:dyDescent="0.2">
      <c r="A107" s="2112" t="s">
        <v>8456</v>
      </c>
      <c r="B107" s="1952" t="s">
        <v>197</v>
      </c>
      <c r="C107" s="1953">
        <v>100</v>
      </c>
      <c r="D107" s="1954">
        <v>18.2</v>
      </c>
      <c r="E107" s="1955">
        <v>6.5</v>
      </c>
      <c r="F107" s="1956">
        <v>25</v>
      </c>
      <c r="G107" s="1957">
        <v>89</v>
      </c>
      <c r="H107" s="1957">
        <v>546</v>
      </c>
      <c r="I107" s="1957">
        <v>54</v>
      </c>
    </row>
    <row r="108" spans="1:9" x14ac:dyDescent="0.2">
      <c r="A108" s="2112" t="s">
        <v>8458</v>
      </c>
      <c r="B108" s="1952" t="s">
        <v>197</v>
      </c>
      <c r="C108" s="1953">
        <v>100</v>
      </c>
      <c r="D108" s="1954">
        <v>25.6</v>
      </c>
      <c r="E108" s="1955">
        <v>8.1000000000000014</v>
      </c>
      <c r="F108" s="1956">
        <v>32.799999999999997</v>
      </c>
      <c r="G108" s="1957">
        <v>89</v>
      </c>
      <c r="H108" s="1957">
        <v>576</v>
      </c>
      <c r="I108" s="1957">
        <v>54</v>
      </c>
    </row>
    <row r="109" spans="1:9" x14ac:dyDescent="0.2">
      <c r="A109" s="2113" t="s">
        <v>830</v>
      </c>
      <c r="B109" s="1958" t="s">
        <v>197</v>
      </c>
      <c r="C109" s="1959"/>
      <c r="D109" s="1964"/>
      <c r="E109" s="1965"/>
      <c r="F109" s="1966"/>
      <c r="G109" s="1963"/>
      <c r="H109" s="1963"/>
      <c r="I109" s="1967"/>
    </row>
    <row r="110" spans="1:9" x14ac:dyDescent="0.2">
      <c r="A110" s="2112" t="s">
        <v>831</v>
      </c>
      <c r="B110" s="1952" t="s">
        <v>487</v>
      </c>
      <c r="C110" s="1953">
        <v>65</v>
      </c>
      <c r="D110" s="1954">
        <v>15.600000000000001</v>
      </c>
      <c r="E110" s="1955">
        <v>2</v>
      </c>
      <c r="F110" s="1956">
        <v>3.9000000000000004</v>
      </c>
      <c r="G110" s="1957">
        <v>97</v>
      </c>
      <c r="H110" s="1957">
        <v>763</v>
      </c>
      <c r="I110" s="1968">
        <v>52.8</v>
      </c>
    </row>
    <row r="111" spans="1:9" x14ac:dyDescent="0.2">
      <c r="A111" s="2112" t="s">
        <v>832</v>
      </c>
      <c r="B111" s="1952" t="s">
        <v>487</v>
      </c>
      <c r="C111" s="1953">
        <v>22</v>
      </c>
      <c r="D111" s="1954">
        <v>2.9</v>
      </c>
      <c r="E111" s="1955">
        <v>0.89999999999999991</v>
      </c>
      <c r="F111" s="1956">
        <v>1.7999999999999998</v>
      </c>
      <c r="G111" s="1957">
        <v>98</v>
      </c>
      <c r="H111" s="1957">
        <v>520</v>
      </c>
      <c r="I111" s="1968">
        <v>51.7</v>
      </c>
    </row>
    <row r="112" spans="1:9" x14ac:dyDescent="0.2">
      <c r="A112" s="2112" t="s">
        <v>833</v>
      </c>
      <c r="B112" s="1952" t="s">
        <v>487</v>
      </c>
      <c r="C112" s="1953">
        <v>10</v>
      </c>
      <c r="D112" s="1954">
        <v>8.4</v>
      </c>
      <c r="E112" s="1955">
        <v>2.6</v>
      </c>
      <c r="F112" s="1956">
        <v>1.7999999999999998</v>
      </c>
      <c r="G112" s="1957">
        <v>92</v>
      </c>
      <c r="H112" s="1957">
        <v>662</v>
      </c>
      <c r="I112" s="1968">
        <v>62.1</v>
      </c>
    </row>
    <row r="113" spans="1:9" x14ac:dyDescent="0.2">
      <c r="A113" s="2112" t="s">
        <v>834</v>
      </c>
      <c r="B113" s="1952" t="s">
        <v>487</v>
      </c>
      <c r="C113" s="1953">
        <v>25</v>
      </c>
      <c r="D113" s="1954">
        <v>10</v>
      </c>
      <c r="E113" s="1955">
        <v>3.4000000000000004</v>
      </c>
      <c r="F113" s="1956">
        <v>0.3</v>
      </c>
      <c r="G113" s="1957">
        <v>96</v>
      </c>
      <c r="H113" s="1957">
        <v>551</v>
      </c>
      <c r="I113" s="1968">
        <v>59</v>
      </c>
    </row>
    <row r="114" spans="1:9" x14ac:dyDescent="0.2">
      <c r="A114" s="2112" t="s">
        <v>835</v>
      </c>
      <c r="B114" s="1952" t="s">
        <v>487</v>
      </c>
      <c r="C114" s="1953">
        <v>91</v>
      </c>
      <c r="D114" s="1954">
        <v>91.7</v>
      </c>
      <c r="E114" s="1955">
        <v>68.8</v>
      </c>
      <c r="F114" s="1956">
        <v>9.8000000000000007</v>
      </c>
      <c r="G114" s="1957">
        <v>82</v>
      </c>
      <c r="H114" s="1957">
        <v>641</v>
      </c>
      <c r="I114" s="1968">
        <v>70.599999999999994</v>
      </c>
    </row>
    <row r="115" spans="1:9" x14ac:dyDescent="0.2">
      <c r="A115" s="2112" t="s">
        <v>836</v>
      </c>
      <c r="B115" s="1952" t="s">
        <v>487</v>
      </c>
      <c r="C115" s="1953">
        <v>60</v>
      </c>
      <c r="D115" s="1954">
        <v>34.6</v>
      </c>
      <c r="E115" s="1955">
        <v>6.8999999999999995</v>
      </c>
      <c r="F115" s="1956">
        <v>5.8</v>
      </c>
      <c r="G115" s="1957">
        <v>94</v>
      </c>
      <c r="H115" s="1957">
        <v>639</v>
      </c>
      <c r="I115" s="1968">
        <v>58.9</v>
      </c>
    </row>
    <row r="116" spans="1:9" x14ac:dyDescent="0.2">
      <c r="A116" s="2112" t="s">
        <v>837</v>
      </c>
      <c r="B116" s="1952" t="s">
        <v>487</v>
      </c>
      <c r="C116" s="1953">
        <v>92</v>
      </c>
      <c r="D116" s="1954">
        <v>56.2</v>
      </c>
      <c r="E116" s="1955">
        <v>19</v>
      </c>
      <c r="F116" s="1956">
        <v>14.8</v>
      </c>
      <c r="G116" s="1957">
        <v>94</v>
      </c>
      <c r="H116" s="1957">
        <v>587</v>
      </c>
      <c r="I116" s="1968">
        <v>59.9</v>
      </c>
    </row>
    <row r="117" spans="1:9" x14ac:dyDescent="0.2">
      <c r="A117" s="2112" t="s">
        <v>838</v>
      </c>
      <c r="B117" s="1952" t="s">
        <v>487</v>
      </c>
      <c r="C117" s="1953">
        <v>90</v>
      </c>
      <c r="D117" s="1954">
        <v>10.1</v>
      </c>
      <c r="E117" s="1955">
        <v>3.5</v>
      </c>
      <c r="F117" s="1956">
        <v>10.9</v>
      </c>
      <c r="G117" s="1957">
        <v>94</v>
      </c>
      <c r="H117" s="1957">
        <v>486</v>
      </c>
      <c r="I117" s="1968">
        <v>52.5</v>
      </c>
    </row>
    <row r="118" spans="1:9" x14ac:dyDescent="0.2">
      <c r="A118" s="2112" t="s">
        <v>8209</v>
      </c>
      <c r="B118" s="1952"/>
      <c r="C118" s="1953">
        <v>90</v>
      </c>
      <c r="D118" s="1954">
        <v>121</v>
      </c>
      <c r="E118" s="1955">
        <v>10.4</v>
      </c>
      <c r="F118" s="1956">
        <v>8.1000000000000014</v>
      </c>
      <c r="G118" s="1957">
        <v>97</v>
      </c>
      <c r="H118" s="1957"/>
      <c r="I118" s="1968"/>
    </row>
    <row r="119" spans="1:9" x14ac:dyDescent="0.2">
      <c r="A119" s="2112" t="s">
        <v>839</v>
      </c>
      <c r="B119" s="1952" t="s">
        <v>487</v>
      </c>
      <c r="C119" s="1953">
        <v>5.5</v>
      </c>
      <c r="D119" s="1954">
        <v>2.9</v>
      </c>
      <c r="E119" s="1955">
        <v>0.8</v>
      </c>
      <c r="F119" s="1956">
        <v>3.5999999999999996</v>
      </c>
      <c r="G119" s="1957">
        <v>87</v>
      </c>
      <c r="H119" s="1957">
        <v>672</v>
      </c>
      <c r="I119" s="1968">
        <v>56.3</v>
      </c>
    </row>
    <row r="120" spans="1:9" x14ac:dyDescent="0.2">
      <c r="A120" s="2112" t="s">
        <v>840</v>
      </c>
      <c r="B120" s="1952" t="s">
        <v>487</v>
      </c>
      <c r="C120" s="1953">
        <v>89</v>
      </c>
      <c r="D120" s="1954">
        <v>53.5</v>
      </c>
      <c r="E120" s="1955">
        <v>19.600000000000001</v>
      </c>
      <c r="F120" s="1956">
        <v>12.9</v>
      </c>
      <c r="G120" s="1957">
        <v>93</v>
      </c>
      <c r="H120" s="1957">
        <v>602</v>
      </c>
      <c r="I120" s="1968">
        <v>59.3</v>
      </c>
    </row>
    <row r="121" spans="1:9" x14ac:dyDescent="0.2">
      <c r="A121" s="2112" t="s">
        <v>841</v>
      </c>
      <c r="B121" s="1952" t="s">
        <v>487</v>
      </c>
      <c r="C121" s="1953">
        <v>90</v>
      </c>
      <c r="D121" s="1954">
        <v>53.3</v>
      </c>
      <c r="E121" s="1955">
        <v>18.5</v>
      </c>
      <c r="F121" s="1956">
        <v>13.100000000000001</v>
      </c>
      <c r="G121" s="1957">
        <v>94</v>
      </c>
      <c r="H121" s="1957">
        <v>607</v>
      </c>
      <c r="I121" s="1968">
        <v>60.3</v>
      </c>
    </row>
    <row r="122" spans="1:9" x14ac:dyDescent="0.2">
      <c r="A122" s="2112" t="s">
        <v>842</v>
      </c>
      <c r="B122" s="1952" t="s">
        <v>487</v>
      </c>
      <c r="C122" s="1953">
        <v>90</v>
      </c>
      <c r="D122" s="1954">
        <v>26.6</v>
      </c>
      <c r="E122" s="1955">
        <v>7.1999999999999993</v>
      </c>
      <c r="F122" s="1956">
        <v>26</v>
      </c>
      <c r="G122" s="1957">
        <v>88</v>
      </c>
      <c r="H122" s="1957">
        <v>532</v>
      </c>
      <c r="I122" s="1968">
        <v>54.8</v>
      </c>
    </row>
    <row r="123" spans="1:9" x14ac:dyDescent="0.2">
      <c r="A123" s="2112" t="s">
        <v>843</v>
      </c>
      <c r="B123" s="1952" t="s">
        <v>487</v>
      </c>
      <c r="C123" s="1953">
        <v>8.5</v>
      </c>
      <c r="D123" s="1954">
        <v>4.9000000000000004</v>
      </c>
      <c r="E123" s="1955">
        <v>1.9</v>
      </c>
      <c r="F123" s="1956">
        <v>1.2</v>
      </c>
      <c r="G123" s="1957">
        <v>92</v>
      </c>
      <c r="H123" s="1957">
        <v>730</v>
      </c>
      <c r="I123" s="1968">
        <v>57.7</v>
      </c>
    </row>
    <row r="124" spans="1:9" x14ac:dyDescent="0.2">
      <c r="A124" s="2112" t="s">
        <v>844</v>
      </c>
      <c r="B124" s="1952" t="s">
        <v>487</v>
      </c>
      <c r="C124" s="1953">
        <v>89</v>
      </c>
      <c r="D124" s="1954">
        <v>35.6</v>
      </c>
      <c r="E124" s="1955">
        <v>14.2</v>
      </c>
      <c r="F124" s="1956">
        <v>8.5</v>
      </c>
      <c r="G124" s="1957">
        <v>96</v>
      </c>
      <c r="H124" s="1957">
        <v>703</v>
      </c>
      <c r="I124" s="1968">
        <v>52.8</v>
      </c>
    </row>
    <row r="125" spans="1:9" x14ac:dyDescent="0.2">
      <c r="A125" s="2112" t="s">
        <v>8860</v>
      </c>
      <c r="B125" s="1952" t="s">
        <v>487</v>
      </c>
      <c r="C125" s="1953">
        <v>90</v>
      </c>
      <c r="D125" s="1954">
        <v>36</v>
      </c>
      <c r="E125" s="1955">
        <v>17.600000000000001</v>
      </c>
      <c r="F125" s="1956">
        <v>15.2</v>
      </c>
      <c r="G125" s="1957">
        <v>94</v>
      </c>
      <c r="H125" s="1957">
        <v>645</v>
      </c>
      <c r="I125" s="1968">
        <v>56.4</v>
      </c>
    </row>
    <row r="126" spans="1:9" x14ac:dyDescent="0.2">
      <c r="A126" s="2112" t="s">
        <v>846</v>
      </c>
      <c r="B126" s="1952" t="s">
        <v>487</v>
      </c>
      <c r="C126" s="1953">
        <v>92</v>
      </c>
      <c r="D126" s="1954">
        <v>43.4</v>
      </c>
      <c r="E126" s="1955">
        <v>16.8</v>
      </c>
      <c r="F126" s="1956">
        <v>23.3</v>
      </c>
      <c r="G126" s="1957">
        <v>93</v>
      </c>
      <c r="H126" s="1957">
        <v>539</v>
      </c>
      <c r="I126" s="1968">
        <v>57</v>
      </c>
    </row>
    <row r="127" spans="1:9" x14ac:dyDescent="0.2">
      <c r="A127" s="2112" t="s">
        <v>847</v>
      </c>
      <c r="B127" s="1952" t="s">
        <v>487</v>
      </c>
      <c r="C127" s="1953">
        <v>88</v>
      </c>
      <c r="D127" s="1954">
        <v>3.8</v>
      </c>
      <c r="E127" s="1955">
        <v>2</v>
      </c>
      <c r="F127" s="1956">
        <v>8.4</v>
      </c>
      <c r="G127" s="1957">
        <v>96</v>
      </c>
      <c r="H127" s="1957">
        <v>693</v>
      </c>
      <c r="I127" s="1968">
        <v>50.1</v>
      </c>
    </row>
    <row r="128" spans="1:9" x14ac:dyDescent="0.2">
      <c r="A128" s="2112" t="s">
        <v>848</v>
      </c>
      <c r="B128" s="1952" t="s">
        <v>487</v>
      </c>
      <c r="C128" s="1953">
        <v>91</v>
      </c>
      <c r="D128" s="1954">
        <v>14.6</v>
      </c>
      <c r="E128" s="1955">
        <v>1.6</v>
      </c>
      <c r="F128" s="1956">
        <v>15.8</v>
      </c>
      <c r="G128" s="1957">
        <v>92</v>
      </c>
      <c r="H128" s="1957">
        <v>701</v>
      </c>
      <c r="I128" s="1968">
        <v>51.5</v>
      </c>
    </row>
    <row r="129" spans="1:9" x14ac:dyDescent="0.2">
      <c r="A129" s="2112" t="s">
        <v>849</v>
      </c>
      <c r="B129" s="1952" t="s">
        <v>487</v>
      </c>
      <c r="C129" s="1953">
        <v>5</v>
      </c>
      <c r="D129" s="1954">
        <v>0.3</v>
      </c>
      <c r="E129" s="1955">
        <v>1.5</v>
      </c>
      <c r="F129" s="1956">
        <v>1.5</v>
      </c>
      <c r="G129" s="1957">
        <v>85</v>
      </c>
      <c r="H129" s="1957">
        <v>759</v>
      </c>
      <c r="I129" s="1968">
        <v>51.3</v>
      </c>
    </row>
    <row r="130" spans="1:9" x14ac:dyDescent="0.2">
      <c r="A130" s="2112" t="s">
        <v>850</v>
      </c>
      <c r="B130" s="1952" t="s">
        <v>487</v>
      </c>
      <c r="C130" s="1953">
        <v>27</v>
      </c>
      <c r="D130" s="1954">
        <v>3.7</v>
      </c>
      <c r="E130" s="1955">
        <v>0.6</v>
      </c>
      <c r="F130" s="1956">
        <v>1.4000000000000001</v>
      </c>
      <c r="G130" s="1957">
        <v>94</v>
      </c>
      <c r="H130" s="1957">
        <v>686</v>
      </c>
      <c r="I130" s="1968">
        <v>51.2</v>
      </c>
    </row>
    <row r="131" spans="1:9" x14ac:dyDescent="0.2">
      <c r="A131" s="2112" t="s">
        <v>851</v>
      </c>
      <c r="B131" s="1952" t="s">
        <v>487</v>
      </c>
      <c r="C131" s="1953">
        <v>89</v>
      </c>
      <c r="D131" s="1954">
        <v>54.3</v>
      </c>
      <c r="E131" s="1955">
        <v>24.5</v>
      </c>
      <c r="F131" s="1956">
        <v>16.599999999999998</v>
      </c>
      <c r="G131" s="1957">
        <v>92</v>
      </c>
      <c r="H131" s="1957">
        <v>590</v>
      </c>
      <c r="I131" s="1968">
        <v>60</v>
      </c>
    </row>
    <row r="132" spans="1:9" x14ac:dyDescent="0.2">
      <c r="A132" s="2112" t="s">
        <v>852</v>
      </c>
      <c r="B132" s="1952" t="s">
        <v>487</v>
      </c>
      <c r="C132" s="1953">
        <v>90</v>
      </c>
      <c r="D132" s="1954">
        <v>52.699999999999996</v>
      </c>
      <c r="E132" s="1955">
        <v>24.8</v>
      </c>
      <c r="F132" s="1956">
        <v>15.8</v>
      </c>
      <c r="G132" s="1957">
        <v>93</v>
      </c>
      <c r="H132" s="1957">
        <v>633</v>
      </c>
      <c r="I132" s="1968">
        <v>61</v>
      </c>
    </row>
    <row r="133" spans="1:9" x14ac:dyDescent="0.2">
      <c r="A133" s="2112" t="s">
        <v>853</v>
      </c>
      <c r="B133" s="1952" t="s">
        <v>487</v>
      </c>
      <c r="C133" s="1953">
        <v>88</v>
      </c>
      <c r="D133" s="1954">
        <v>22.5</v>
      </c>
      <c r="E133" s="1955">
        <v>20.2</v>
      </c>
      <c r="F133" s="1956">
        <v>14.9</v>
      </c>
      <c r="G133" s="1957">
        <v>95</v>
      </c>
      <c r="H133" s="1957">
        <v>590</v>
      </c>
      <c r="I133" s="1968">
        <v>53.6</v>
      </c>
    </row>
    <row r="134" spans="1:9" x14ac:dyDescent="0.2">
      <c r="A134" s="2112" t="s">
        <v>854</v>
      </c>
      <c r="B134" s="1952" t="s">
        <v>487</v>
      </c>
      <c r="C134" s="1953">
        <v>88</v>
      </c>
      <c r="D134" s="1954">
        <v>22.799999999999997</v>
      </c>
      <c r="E134" s="1955">
        <v>22.400000000000002</v>
      </c>
      <c r="F134" s="1956">
        <v>14.9</v>
      </c>
      <c r="G134" s="1957">
        <v>94</v>
      </c>
      <c r="H134" s="1957">
        <v>574</v>
      </c>
      <c r="I134" s="1968">
        <v>53.7</v>
      </c>
    </row>
    <row r="135" spans="1:9" x14ac:dyDescent="0.2">
      <c r="A135" s="2112" t="s">
        <v>855</v>
      </c>
      <c r="B135" s="1952" t="s">
        <v>487</v>
      </c>
      <c r="C135" s="1953">
        <v>17</v>
      </c>
      <c r="D135" s="1954">
        <v>2</v>
      </c>
      <c r="E135" s="1955">
        <v>0.8</v>
      </c>
      <c r="F135" s="1956">
        <v>2.4</v>
      </c>
      <c r="G135" s="1957">
        <v>91</v>
      </c>
      <c r="H135" s="1957">
        <v>671</v>
      </c>
      <c r="I135" s="1968">
        <v>51.1</v>
      </c>
    </row>
    <row r="136" spans="1:9" x14ac:dyDescent="0.2">
      <c r="A136" s="2112" t="s">
        <v>856</v>
      </c>
      <c r="B136" s="1952" t="s">
        <v>487</v>
      </c>
      <c r="C136" s="1953">
        <v>88</v>
      </c>
      <c r="D136" s="1954">
        <v>76.7</v>
      </c>
      <c r="E136" s="1955">
        <v>15.1</v>
      </c>
      <c r="F136" s="1956">
        <v>24.4</v>
      </c>
      <c r="G136" s="1957">
        <v>93</v>
      </c>
      <c r="H136" s="1957">
        <v>680</v>
      </c>
      <c r="I136" s="1968">
        <v>61.9</v>
      </c>
    </row>
    <row r="137" spans="1:9" x14ac:dyDescent="0.2">
      <c r="A137" s="2112" t="s">
        <v>857</v>
      </c>
      <c r="B137" s="1952" t="s">
        <v>487</v>
      </c>
      <c r="C137" s="1953">
        <v>88</v>
      </c>
      <c r="D137" s="1954">
        <v>70.400000000000006</v>
      </c>
      <c r="E137" s="1955">
        <v>14.7</v>
      </c>
      <c r="F137" s="1956">
        <v>23.3</v>
      </c>
      <c r="G137" s="1957">
        <v>93</v>
      </c>
      <c r="H137" s="1957">
        <v>681</v>
      </c>
      <c r="I137" s="1968">
        <v>60.9</v>
      </c>
    </row>
    <row r="138" spans="1:9" x14ac:dyDescent="0.2">
      <c r="A138" s="2112" t="s">
        <v>858</v>
      </c>
      <c r="B138" s="1952" t="s">
        <v>487</v>
      </c>
      <c r="C138" s="1953">
        <v>88</v>
      </c>
      <c r="D138" s="1954">
        <v>19</v>
      </c>
      <c r="E138" s="1955">
        <v>3.3000000000000003</v>
      </c>
      <c r="F138" s="1956">
        <v>15.2</v>
      </c>
      <c r="G138" s="1957">
        <v>95</v>
      </c>
      <c r="H138" s="1957">
        <v>604</v>
      </c>
      <c r="I138" s="1968">
        <v>52.7</v>
      </c>
    </row>
    <row r="139" spans="1:9" x14ac:dyDescent="0.2">
      <c r="A139" s="2112" t="s">
        <v>859</v>
      </c>
      <c r="B139" s="1952" t="s">
        <v>487</v>
      </c>
      <c r="C139" s="1953">
        <v>89</v>
      </c>
      <c r="D139" s="1954">
        <v>54.1</v>
      </c>
      <c r="E139" s="1955">
        <v>22.400000000000002</v>
      </c>
      <c r="F139" s="1956">
        <v>14</v>
      </c>
      <c r="G139" s="1957">
        <v>93</v>
      </c>
      <c r="H139" s="1957">
        <v>503</v>
      </c>
      <c r="I139" s="1968">
        <v>61.3</v>
      </c>
    </row>
    <row r="140" spans="1:9" x14ac:dyDescent="0.2">
      <c r="A140" s="2112" t="s">
        <v>860</v>
      </c>
      <c r="B140" s="1952" t="s">
        <v>487</v>
      </c>
      <c r="C140" s="1953">
        <v>6.4</v>
      </c>
      <c r="D140" s="1954">
        <v>1</v>
      </c>
      <c r="E140" s="1955">
        <v>1.7999999999999998</v>
      </c>
      <c r="F140" s="1956">
        <v>1.9</v>
      </c>
      <c r="G140" s="1957">
        <v>89</v>
      </c>
      <c r="H140" s="1957">
        <v>742</v>
      </c>
      <c r="I140" s="1968">
        <v>53.5</v>
      </c>
    </row>
    <row r="141" spans="1:9" x14ac:dyDescent="0.2">
      <c r="A141" s="2112" t="s">
        <v>861</v>
      </c>
      <c r="B141" s="1952" t="s">
        <v>487</v>
      </c>
      <c r="C141" s="1953">
        <v>6</v>
      </c>
      <c r="D141" s="1954">
        <v>1.3</v>
      </c>
      <c r="E141" s="1955">
        <v>0.89999999999999991</v>
      </c>
      <c r="F141" s="1956">
        <v>1.7999999999999998</v>
      </c>
      <c r="G141" s="1957">
        <v>92</v>
      </c>
      <c r="H141" s="1957">
        <v>746</v>
      </c>
      <c r="I141" s="1968">
        <v>53.1</v>
      </c>
    </row>
    <row r="142" spans="1:9" x14ac:dyDescent="0.2">
      <c r="A142" s="2112" t="s">
        <v>862</v>
      </c>
      <c r="B142" s="1952" t="s">
        <v>487</v>
      </c>
      <c r="C142" s="1953">
        <v>90</v>
      </c>
      <c r="D142" s="1954">
        <v>12</v>
      </c>
      <c r="E142" s="1955">
        <v>2.1</v>
      </c>
      <c r="F142" s="1956">
        <v>4.9000000000000004</v>
      </c>
      <c r="G142" s="1957">
        <v>93</v>
      </c>
      <c r="H142" s="1957">
        <v>672</v>
      </c>
      <c r="I142" s="1968">
        <v>51.2</v>
      </c>
    </row>
    <row r="143" spans="1:9" x14ac:dyDescent="0.2">
      <c r="A143" s="2112" t="s">
        <v>863</v>
      </c>
      <c r="B143" s="1952" t="s">
        <v>487</v>
      </c>
      <c r="C143" s="1953">
        <v>87.5</v>
      </c>
      <c r="D143" s="1954">
        <v>24.700000000000003</v>
      </c>
      <c r="E143" s="1955">
        <v>21.099999999999998</v>
      </c>
      <c r="F143" s="1956">
        <v>12.7</v>
      </c>
      <c r="G143" s="1957">
        <v>94</v>
      </c>
      <c r="H143" s="1957">
        <v>585</v>
      </c>
      <c r="I143" s="1968">
        <v>55</v>
      </c>
    </row>
    <row r="144" spans="1:9" x14ac:dyDescent="0.2">
      <c r="A144" s="2112" t="s">
        <v>864</v>
      </c>
      <c r="B144" s="1952" t="s">
        <v>487</v>
      </c>
      <c r="C144" s="1953">
        <v>88</v>
      </c>
      <c r="D144" s="1954">
        <v>22.5</v>
      </c>
      <c r="E144" s="1955">
        <v>26.200000000000003</v>
      </c>
      <c r="F144" s="1956">
        <v>12.8</v>
      </c>
      <c r="G144" s="1957">
        <v>94</v>
      </c>
      <c r="H144" s="1957">
        <v>537</v>
      </c>
      <c r="I144" s="1968">
        <v>55.2</v>
      </c>
    </row>
    <row r="145" spans="1:17" x14ac:dyDescent="0.2">
      <c r="A145" s="2112" t="s">
        <v>865</v>
      </c>
      <c r="B145" s="1952" t="s">
        <v>487</v>
      </c>
      <c r="C145" s="1953">
        <v>87</v>
      </c>
      <c r="D145" s="1954">
        <v>26.400000000000002</v>
      </c>
      <c r="E145" s="1955">
        <v>13.899999999999999</v>
      </c>
      <c r="F145" s="1956">
        <v>9.3999999999999986</v>
      </c>
      <c r="G145" s="1957">
        <v>97</v>
      </c>
      <c r="H145" s="1957">
        <v>699</v>
      </c>
      <c r="I145" s="1968">
        <v>54.7</v>
      </c>
    </row>
    <row r="146" spans="1:17" ht="13.5" thickBot="1" x14ac:dyDescent="0.25">
      <c r="A146" s="2112" t="s">
        <v>866</v>
      </c>
      <c r="B146" s="1952" t="s">
        <v>487</v>
      </c>
      <c r="C146" s="1953">
        <v>78</v>
      </c>
      <c r="D146" s="1954">
        <v>16.8</v>
      </c>
      <c r="E146" s="1955">
        <v>0.89999999999999991</v>
      </c>
      <c r="F146" s="1956">
        <v>50.8</v>
      </c>
      <c r="G146" s="1957">
        <v>88</v>
      </c>
      <c r="H146" s="1957">
        <v>713</v>
      </c>
      <c r="I146" s="1968">
        <v>52.3</v>
      </c>
      <c r="N146" s="1107"/>
      <c r="O146" s="616"/>
      <c r="P146" s="1103"/>
      <c r="Q146" s="1104"/>
    </row>
    <row r="147" spans="1:17" ht="15" x14ac:dyDescent="0.25">
      <c r="A147" s="2114" t="s">
        <v>672</v>
      </c>
      <c r="B147" s="1146"/>
      <c r="C147" s="1147"/>
      <c r="D147" s="1148"/>
      <c r="E147" s="1149"/>
      <c r="F147" s="1150"/>
      <c r="G147" s="1151"/>
      <c r="H147" s="1152"/>
      <c r="I147" s="1153"/>
      <c r="K147" s="1102"/>
      <c r="L147" s="1102"/>
      <c r="M147" s="1102"/>
      <c r="N147" s="1102"/>
      <c r="O147" s="1105"/>
      <c r="P147" s="1106"/>
      <c r="Q147" s="1104"/>
    </row>
    <row r="148" spans="1:17" x14ac:dyDescent="0.2">
      <c r="A148" s="2115" t="s">
        <v>8782</v>
      </c>
      <c r="B148" s="1969"/>
      <c r="C148" s="1970"/>
      <c r="D148" s="1971"/>
      <c r="E148" s="1972"/>
      <c r="F148" s="1973"/>
      <c r="G148" s="1970"/>
      <c r="H148" s="1974"/>
      <c r="I148" s="1970"/>
    </row>
    <row r="149" spans="1:17" x14ac:dyDescent="0.2">
      <c r="A149" s="2112" t="s">
        <v>8783</v>
      </c>
      <c r="B149" s="1952"/>
      <c r="C149" s="1953">
        <v>7.5</v>
      </c>
      <c r="D149" s="1954">
        <v>4.0999999999999996</v>
      </c>
      <c r="E149" s="1955">
        <v>1.7</v>
      </c>
      <c r="F149" s="1956">
        <v>5.3</v>
      </c>
      <c r="G149" s="1957">
        <v>85</v>
      </c>
      <c r="H149" s="1957">
        <v>350</v>
      </c>
      <c r="I149" s="1957">
        <v>55</v>
      </c>
    </row>
    <row r="150" spans="1:17" x14ac:dyDescent="0.2">
      <c r="A150" s="2112" t="s">
        <v>8784</v>
      </c>
      <c r="B150" s="1952"/>
      <c r="C150" s="1953">
        <v>7.5</v>
      </c>
      <c r="D150" s="1954">
        <v>3.9</v>
      </c>
      <c r="E150" s="1955">
        <v>1.7</v>
      </c>
      <c r="F150" s="1956">
        <v>4.7</v>
      </c>
      <c r="G150" s="1957">
        <v>85</v>
      </c>
      <c r="H150" s="1957">
        <v>350</v>
      </c>
      <c r="I150" s="1957">
        <v>55</v>
      </c>
    </row>
    <row r="151" spans="1:17" x14ac:dyDescent="0.2">
      <c r="A151" s="2112" t="s">
        <v>8785</v>
      </c>
      <c r="B151" s="1952"/>
      <c r="C151" s="1953">
        <v>7.5</v>
      </c>
      <c r="D151" s="1954">
        <v>4.0999999999999996</v>
      </c>
      <c r="E151" s="1955">
        <v>1.9</v>
      </c>
      <c r="F151" s="1956">
        <v>4</v>
      </c>
      <c r="G151" s="1957">
        <v>85</v>
      </c>
      <c r="H151" s="1957">
        <v>350</v>
      </c>
      <c r="I151" s="1957">
        <v>55</v>
      </c>
    </row>
    <row r="152" spans="1:17" x14ac:dyDescent="0.2">
      <c r="A152" s="2112" t="s">
        <v>8786</v>
      </c>
      <c r="B152" s="1952"/>
      <c r="C152" s="1953">
        <v>18.5</v>
      </c>
      <c r="D152" s="1954">
        <v>3.6999999999999997</v>
      </c>
      <c r="E152" s="1955">
        <v>2.5</v>
      </c>
      <c r="F152" s="1956">
        <v>5.9</v>
      </c>
      <c r="G152" s="1957">
        <v>80</v>
      </c>
      <c r="H152" s="1957">
        <v>450</v>
      </c>
      <c r="I152" s="1957">
        <v>55</v>
      </c>
    </row>
    <row r="153" spans="1:17" x14ac:dyDescent="0.2">
      <c r="A153" s="2112" t="s">
        <v>8787</v>
      </c>
      <c r="B153" s="1952"/>
      <c r="C153" s="1953">
        <v>23</v>
      </c>
      <c r="D153" s="1954">
        <v>4.0999999999999996</v>
      </c>
      <c r="E153" s="1955">
        <v>2.1</v>
      </c>
      <c r="F153" s="1956">
        <v>8.1</v>
      </c>
      <c r="G153" s="1957">
        <v>80</v>
      </c>
      <c r="H153" s="1957">
        <v>450</v>
      </c>
      <c r="I153" s="1957">
        <v>55</v>
      </c>
    </row>
    <row r="154" spans="1:17" x14ac:dyDescent="0.2">
      <c r="A154" s="2112" t="s">
        <v>8788</v>
      </c>
      <c r="B154" s="1952"/>
      <c r="C154" s="1953">
        <v>1.8</v>
      </c>
      <c r="D154" s="1954">
        <v>3.2</v>
      </c>
      <c r="E154" s="1955">
        <v>0.2</v>
      </c>
      <c r="F154" s="1956">
        <v>7.9</v>
      </c>
      <c r="G154" s="1957">
        <v>85</v>
      </c>
      <c r="H154" s="1957">
        <v>350</v>
      </c>
      <c r="I154" s="1957">
        <v>55</v>
      </c>
    </row>
    <row r="155" spans="1:17" x14ac:dyDescent="0.2">
      <c r="A155" s="2113" t="s">
        <v>8789</v>
      </c>
      <c r="B155" s="1958"/>
      <c r="C155" s="1959"/>
      <c r="D155" s="1960"/>
      <c r="E155" s="1961"/>
      <c r="F155" s="1962"/>
      <c r="G155" s="1963"/>
      <c r="H155" s="1963"/>
      <c r="I155" s="1963"/>
    </row>
    <row r="156" spans="1:17" x14ac:dyDescent="0.2">
      <c r="A156" s="2112" t="s">
        <v>8790</v>
      </c>
      <c r="B156" s="1952"/>
      <c r="C156" s="1953">
        <v>5</v>
      </c>
      <c r="D156" s="1954">
        <v>5.7</v>
      </c>
      <c r="E156" s="1955">
        <v>3</v>
      </c>
      <c r="F156" s="1956">
        <v>3.5</v>
      </c>
      <c r="G156" s="1957">
        <v>85</v>
      </c>
      <c r="H156" s="1957">
        <v>400</v>
      </c>
      <c r="I156" s="1957">
        <v>60</v>
      </c>
    </row>
    <row r="157" spans="1:17" x14ac:dyDescent="0.2">
      <c r="A157" s="2112" t="s">
        <v>8791</v>
      </c>
      <c r="B157" s="1952" t="s">
        <v>197</v>
      </c>
      <c r="C157" s="1953">
        <v>5</v>
      </c>
      <c r="D157" s="1954">
        <v>5.5</v>
      </c>
      <c r="E157" s="1955">
        <v>2.6</v>
      </c>
      <c r="F157" s="1956">
        <v>3.4</v>
      </c>
      <c r="G157" s="1957">
        <v>85</v>
      </c>
      <c r="H157" s="1957">
        <v>400</v>
      </c>
      <c r="I157" s="1957">
        <v>60</v>
      </c>
    </row>
    <row r="158" spans="1:17" x14ac:dyDescent="0.2">
      <c r="A158" s="2112" t="s">
        <v>8792</v>
      </c>
      <c r="B158" s="1952" t="s">
        <v>197</v>
      </c>
      <c r="C158" s="1953">
        <v>5</v>
      </c>
      <c r="D158" s="1954">
        <v>5</v>
      </c>
      <c r="E158" s="1955">
        <v>2.4</v>
      </c>
      <c r="F158" s="1956">
        <v>3.3</v>
      </c>
      <c r="G158" s="1957">
        <v>85</v>
      </c>
      <c r="H158" s="1957">
        <v>400</v>
      </c>
      <c r="I158" s="1957">
        <v>60</v>
      </c>
    </row>
    <row r="159" spans="1:17" x14ac:dyDescent="0.2">
      <c r="A159" s="2112" t="s">
        <v>8793</v>
      </c>
      <c r="B159" s="1952"/>
      <c r="C159" s="1953">
        <v>5</v>
      </c>
      <c r="D159" s="1954">
        <v>4.5999999999999996</v>
      </c>
      <c r="E159" s="1955">
        <v>2.5</v>
      </c>
      <c r="F159" s="1956">
        <v>2.9</v>
      </c>
      <c r="G159" s="1957">
        <v>85</v>
      </c>
      <c r="H159" s="1957">
        <v>400</v>
      </c>
      <c r="I159" s="1957">
        <v>60</v>
      </c>
    </row>
    <row r="160" spans="1:17" x14ac:dyDescent="0.2">
      <c r="A160" s="2112" t="s">
        <v>8794</v>
      </c>
      <c r="B160" s="1952" t="s">
        <v>197</v>
      </c>
      <c r="C160" s="1953">
        <v>5</v>
      </c>
      <c r="D160" s="1954">
        <v>4.0999999999999996</v>
      </c>
      <c r="E160" s="1955">
        <v>2.2000000000000002</v>
      </c>
      <c r="F160" s="1956">
        <v>2.7</v>
      </c>
      <c r="G160" s="1957">
        <v>85</v>
      </c>
      <c r="H160" s="1957">
        <v>400</v>
      </c>
      <c r="I160" s="1957">
        <v>60</v>
      </c>
    </row>
    <row r="161" spans="1:9" x14ac:dyDescent="0.2">
      <c r="A161" s="2112" t="s">
        <v>8795</v>
      </c>
      <c r="B161" s="1952" t="s">
        <v>197</v>
      </c>
      <c r="C161" s="1953">
        <v>5</v>
      </c>
      <c r="D161" s="1954">
        <v>3.9</v>
      </c>
      <c r="E161" s="1955">
        <v>2.1</v>
      </c>
      <c r="F161" s="1956">
        <v>2.7</v>
      </c>
      <c r="G161" s="1957">
        <v>85</v>
      </c>
      <c r="H161" s="1957">
        <v>400</v>
      </c>
      <c r="I161" s="1957">
        <v>60</v>
      </c>
    </row>
    <row r="162" spans="1:9" x14ac:dyDescent="0.2">
      <c r="A162" s="2112" t="s">
        <v>8796</v>
      </c>
      <c r="B162" s="1952"/>
      <c r="C162" s="1953">
        <v>21</v>
      </c>
      <c r="D162" s="1954">
        <v>6</v>
      </c>
      <c r="E162" s="1955">
        <v>4.3</v>
      </c>
      <c r="F162" s="1956">
        <v>6.2</v>
      </c>
      <c r="G162" s="1957">
        <v>82</v>
      </c>
      <c r="H162" s="1957">
        <v>400</v>
      </c>
      <c r="I162" s="1957">
        <v>60</v>
      </c>
    </row>
    <row r="163" spans="1:9" x14ac:dyDescent="0.2">
      <c r="A163" s="2112" t="s">
        <v>8797</v>
      </c>
      <c r="B163" s="1952"/>
      <c r="C163" s="1953">
        <v>25</v>
      </c>
      <c r="D163" s="1954">
        <v>5.2</v>
      </c>
      <c r="E163" s="1955">
        <v>2.9</v>
      </c>
      <c r="F163" s="1956">
        <v>7</v>
      </c>
      <c r="G163" s="1957">
        <v>82</v>
      </c>
      <c r="H163" s="1957">
        <v>400</v>
      </c>
      <c r="I163" s="1957">
        <v>60</v>
      </c>
    </row>
    <row r="164" spans="1:9" x14ac:dyDescent="0.2">
      <c r="A164" s="2112" t="s">
        <v>8798</v>
      </c>
      <c r="B164" s="1952"/>
      <c r="C164" s="1953">
        <v>1.8</v>
      </c>
      <c r="D164" s="1954">
        <v>3.3</v>
      </c>
      <c r="E164" s="1955">
        <v>0.2</v>
      </c>
      <c r="F164" s="1956">
        <v>3.1</v>
      </c>
      <c r="G164" s="1957">
        <v>85</v>
      </c>
      <c r="H164" s="1957">
        <v>400</v>
      </c>
      <c r="I164" s="1957">
        <v>60</v>
      </c>
    </row>
    <row r="165" spans="1:9" x14ac:dyDescent="0.2">
      <c r="A165" s="2113" t="s">
        <v>8780</v>
      </c>
      <c r="B165" s="1958"/>
      <c r="C165" s="1959"/>
      <c r="D165" s="1960"/>
      <c r="E165" s="1961"/>
      <c r="F165" s="1962"/>
      <c r="G165" s="1963"/>
      <c r="H165" s="1963"/>
      <c r="I165" s="1963"/>
    </row>
    <row r="166" spans="1:9" x14ac:dyDescent="0.2">
      <c r="A166" s="2112" t="s">
        <v>8799</v>
      </c>
      <c r="B166" s="1952"/>
      <c r="C166" s="1953">
        <v>50</v>
      </c>
      <c r="D166" s="1954">
        <v>20.3</v>
      </c>
      <c r="E166" s="1955">
        <v>16</v>
      </c>
      <c r="F166" s="1956">
        <v>18</v>
      </c>
      <c r="G166" s="1957">
        <v>75</v>
      </c>
      <c r="H166" s="1957">
        <v>500</v>
      </c>
      <c r="I166" s="1957">
        <v>55</v>
      </c>
    </row>
    <row r="167" spans="1:9" x14ac:dyDescent="0.2">
      <c r="A167" s="2112" t="s">
        <v>8800</v>
      </c>
      <c r="B167" s="1952"/>
      <c r="C167" s="1953">
        <v>50</v>
      </c>
      <c r="D167" s="1954">
        <v>22.1</v>
      </c>
      <c r="E167" s="1955">
        <v>17.5</v>
      </c>
      <c r="F167" s="1956">
        <v>18.899999999999999</v>
      </c>
      <c r="G167" s="1957">
        <v>74</v>
      </c>
      <c r="H167" s="1957">
        <v>500</v>
      </c>
      <c r="I167" s="1957">
        <v>58</v>
      </c>
    </row>
    <row r="168" spans="1:9" x14ac:dyDescent="0.2">
      <c r="A168" s="2112" t="s">
        <v>8801</v>
      </c>
      <c r="B168" s="1952"/>
      <c r="C168" s="1953">
        <v>50</v>
      </c>
      <c r="D168" s="1954">
        <v>20.6</v>
      </c>
      <c r="E168" s="1955">
        <v>19</v>
      </c>
      <c r="F168" s="1956">
        <v>13.6</v>
      </c>
      <c r="G168" s="1957">
        <v>75</v>
      </c>
      <c r="H168" s="1957">
        <v>500</v>
      </c>
      <c r="I168" s="1957">
        <v>65</v>
      </c>
    </row>
    <row r="169" spans="1:9" x14ac:dyDescent="0.2">
      <c r="A169" s="2112" t="s">
        <v>8802</v>
      </c>
      <c r="B169" s="1952"/>
      <c r="C169" s="1953">
        <v>60</v>
      </c>
      <c r="D169" s="1954">
        <v>19.7</v>
      </c>
      <c r="E169" s="1955">
        <v>15.7</v>
      </c>
      <c r="F169" s="1956">
        <v>19.7</v>
      </c>
      <c r="G169" s="1957">
        <v>75</v>
      </c>
      <c r="H169" s="1957">
        <v>500</v>
      </c>
      <c r="I169" s="1957">
        <v>55</v>
      </c>
    </row>
    <row r="170" spans="1:9" x14ac:dyDescent="0.2">
      <c r="A170" s="2112" t="s">
        <v>8803</v>
      </c>
      <c r="B170" s="1952"/>
      <c r="C170" s="1953">
        <v>30</v>
      </c>
      <c r="D170" s="1954">
        <v>6.5</v>
      </c>
      <c r="E170" s="1955">
        <v>6</v>
      </c>
      <c r="F170" s="1956">
        <v>6.2</v>
      </c>
      <c r="G170" s="1957">
        <v>75</v>
      </c>
      <c r="H170" s="1957">
        <v>500</v>
      </c>
      <c r="I170" s="1957">
        <v>55</v>
      </c>
    </row>
    <row r="171" spans="1:9" x14ac:dyDescent="0.2">
      <c r="A171" s="2112" t="s">
        <v>8804</v>
      </c>
      <c r="B171" s="1952"/>
      <c r="C171" s="1953">
        <v>30</v>
      </c>
      <c r="D171" s="1954">
        <v>7.8</v>
      </c>
      <c r="E171" s="1955">
        <v>8.1</v>
      </c>
      <c r="F171" s="1956">
        <v>6.9</v>
      </c>
      <c r="G171" s="1957">
        <v>75</v>
      </c>
      <c r="H171" s="1957">
        <v>500</v>
      </c>
      <c r="I171" s="1957">
        <v>55</v>
      </c>
    </row>
    <row r="172" spans="1:9" x14ac:dyDescent="0.2">
      <c r="A172" s="2113" t="s">
        <v>8805</v>
      </c>
      <c r="B172" s="1958" t="s">
        <v>197</v>
      </c>
      <c r="C172" s="1959"/>
      <c r="D172" s="1960"/>
      <c r="E172" s="1961"/>
      <c r="F172" s="1962"/>
      <c r="G172" s="1963"/>
      <c r="H172" s="1963"/>
      <c r="I172" s="1963"/>
    </row>
    <row r="173" spans="1:9" x14ac:dyDescent="0.2">
      <c r="A173" s="2112" t="s">
        <v>8806</v>
      </c>
      <c r="B173" s="1952"/>
      <c r="C173" s="1953">
        <v>30</v>
      </c>
      <c r="D173" s="1954">
        <v>3.6</v>
      </c>
      <c r="E173" s="1955">
        <v>2.7</v>
      </c>
      <c r="F173" s="1956">
        <v>9.3000000000000007</v>
      </c>
      <c r="G173" s="1957">
        <v>75</v>
      </c>
      <c r="H173" s="1957">
        <v>300</v>
      </c>
      <c r="I173" s="1957">
        <v>55</v>
      </c>
    </row>
    <row r="174" spans="1:9" ht="13.5" thickBot="1" x14ac:dyDescent="0.25">
      <c r="A174" s="2116" t="s">
        <v>8807</v>
      </c>
      <c r="B174" s="1975" t="s">
        <v>197</v>
      </c>
      <c r="C174" s="1976">
        <v>30</v>
      </c>
      <c r="D174" s="1977">
        <v>5.9</v>
      </c>
      <c r="E174" s="1978">
        <v>3.1</v>
      </c>
      <c r="F174" s="1979">
        <v>11.3</v>
      </c>
      <c r="G174" s="1980">
        <v>80</v>
      </c>
      <c r="H174" s="1980">
        <v>450</v>
      </c>
      <c r="I174" s="1980">
        <v>55</v>
      </c>
    </row>
    <row r="175" spans="1:9" x14ac:dyDescent="0.2">
      <c r="A175" s="1094"/>
      <c r="B175" s="1093"/>
      <c r="C175" s="1096"/>
      <c r="D175" s="1095"/>
      <c r="E175" s="1095"/>
      <c r="F175" s="1095"/>
      <c r="G175" s="1099"/>
      <c r="H175" s="1100"/>
      <c r="I175" s="1100"/>
    </row>
    <row r="176" spans="1:9" x14ac:dyDescent="0.2">
      <c r="A176" s="1094"/>
      <c r="B176" s="1093"/>
      <c r="C176" s="1096"/>
      <c r="D176" s="1095"/>
      <c r="E176" s="1095"/>
      <c r="F176" s="1095"/>
      <c r="G176" s="1099"/>
      <c r="H176" s="1100"/>
      <c r="I176" s="1100"/>
    </row>
    <row r="177" spans="1:9" x14ac:dyDescent="0.2">
      <c r="A177" s="1094"/>
      <c r="B177" s="1093"/>
      <c r="C177" s="1096"/>
      <c r="D177" s="1095"/>
      <c r="E177" s="1095"/>
      <c r="F177" s="1095"/>
      <c r="G177" s="1099"/>
      <c r="H177" s="1100"/>
      <c r="I177" s="1100"/>
    </row>
    <row r="178" spans="1:9" x14ac:dyDescent="0.2">
      <c r="A178" s="1101"/>
      <c r="B178" s="1093"/>
      <c r="C178" s="1096"/>
      <c r="D178" s="1095"/>
      <c r="E178" s="1095"/>
      <c r="F178" s="1095"/>
      <c r="G178" s="1099"/>
      <c r="H178" s="1100"/>
      <c r="I178" s="1100"/>
    </row>
    <row r="179" spans="1:9" x14ac:dyDescent="0.2">
      <c r="A179" s="1094"/>
      <c r="B179" s="1093"/>
      <c r="C179" s="1096"/>
      <c r="D179" s="1095"/>
      <c r="E179" s="1095"/>
      <c r="F179" s="1095"/>
      <c r="G179" s="1099"/>
      <c r="H179" s="1100"/>
      <c r="I179" s="1100"/>
    </row>
    <row r="180" spans="1:9" x14ac:dyDescent="0.2">
      <c r="A180" s="1094"/>
      <c r="B180" s="1093"/>
      <c r="C180" s="1096"/>
      <c r="D180" s="1095"/>
      <c r="E180" s="1095"/>
      <c r="F180" s="1095"/>
      <c r="G180" s="1099"/>
      <c r="H180" s="1100"/>
      <c r="I180" s="1100"/>
    </row>
    <row r="181" spans="1:9" x14ac:dyDescent="0.2">
      <c r="A181" s="1094"/>
      <c r="B181" s="1093"/>
      <c r="C181" s="1096"/>
      <c r="D181" s="1095"/>
      <c r="E181" s="1095"/>
      <c r="F181" s="1095"/>
      <c r="G181" s="1099"/>
      <c r="H181" s="1100"/>
      <c r="I181" s="1100"/>
    </row>
    <row r="182" spans="1:9" x14ac:dyDescent="0.2">
      <c r="A182" s="1094"/>
      <c r="B182" s="1093"/>
      <c r="C182" s="1096"/>
      <c r="D182" s="1095"/>
      <c r="E182" s="1095"/>
      <c r="F182" s="1095"/>
      <c r="G182" s="1097"/>
      <c r="H182" s="1098"/>
      <c r="I182" s="1098"/>
    </row>
  </sheetData>
  <sheetProtection algorithmName="SHA-512" hashValue="InWYEW9p7HsD2w5XPymkocrIK2niiSp+eFrsGYmzf3H/82JpENc76XKvWw8twg3/luuQjfxYCasP0COEdoN9sA==" saltValue="YzSdLF7IJuQl9KZ6pss4Og==" spinCount="100000" sheet="1" objects="1" scenarios="1"/>
  <mergeCells count="2">
    <mergeCell ref="B4:B6"/>
    <mergeCell ref="D4:F4"/>
  </mergeCells>
  <pageMargins left="0.70866141732283472" right="0.70866141732283472" top="0.78740157480314965" bottom="0.78740157480314965" header="0.31496062992125984" footer="0.31496062992125984"/>
  <pageSetup paperSize="9" scale="99" orientation="portrait" r:id="rId1"/>
  <headerFooter>
    <oddFooter>&amp;C© Bayerische Landesanstalt für Landwirtschaft (Of, Kj, Mk); Stand: 17.10.24</oddFooter>
  </headerFooter>
  <rowBreaks count="3" manualBreakCount="3">
    <brk id="50" max="16383" man="1"/>
    <brk id="97" max="16383" man="1"/>
    <brk id="146" max="16383"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dimension ref="A1:BM71"/>
  <sheetViews>
    <sheetView showGridLines="0" zoomScaleNormal="100" workbookViewId="0">
      <selection sqref="A1:J1"/>
    </sheetView>
  </sheetViews>
  <sheetFormatPr baseColWidth="10" defaultRowHeight="15.75" customHeight="1" x14ac:dyDescent="0.2"/>
  <cols>
    <col min="1" max="1" width="14.7109375" customWidth="1"/>
    <col min="2" max="2" width="20.7109375" customWidth="1"/>
    <col min="3" max="3" width="5" customWidth="1"/>
    <col min="4" max="6" width="5.42578125" style="57" customWidth="1"/>
    <col min="7" max="11" width="6.85546875" customWidth="1"/>
    <col min="12" max="13" width="7.140625" style="57" customWidth="1"/>
    <col min="14" max="14" width="6.85546875" style="57" customWidth="1"/>
    <col min="15" max="16" width="6.85546875" customWidth="1"/>
    <col min="17" max="19" width="7" customWidth="1"/>
    <col min="20" max="20" width="7.7109375" customWidth="1"/>
    <col min="21" max="22" width="11" customWidth="1"/>
    <col min="23" max="23" width="7.28515625" customWidth="1"/>
    <col min="24" max="24" width="11" style="120" customWidth="1"/>
    <col min="25" max="25" width="10.85546875" style="120" customWidth="1"/>
    <col min="26" max="26" width="0.7109375" hidden="1" customWidth="1"/>
    <col min="27" max="32" width="11.42578125" style="241" hidden="1" customWidth="1"/>
    <col min="33" max="41" width="11.42578125" style="242" hidden="1" customWidth="1"/>
    <col min="42" max="61" width="11.42578125" hidden="1" customWidth="1"/>
    <col min="62" max="62" width="3.140625" customWidth="1"/>
    <col min="63" max="70" width="11.42578125" customWidth="1"/>
  </cols>
  <sheetData>
    <row r="1" spans="1:43" ht="15.75" customHeight="1" x14ac:dyDescent="0.25">
      <c r="A1" s="2951" t="s">
        <v>8855</v>
      </c>
      <c r="B1" s="2951"/>
      <c r="C1" s="2951"/>
      <c r="D1" s="2951"/>
      <c r="E1" s="2951"/>
      <c r="F1" s="2951"/>
      <c r="G1" s="2951"/>
      <c r="H1" s="2951"/>
      <c r="I1" s="2951"/>
      <c r="J1" s="2951"/>
      <c r="K1" s="118"/>
      <c r="L1" s="119"/>
      <c r="M1" s="119"/>
      <c r="S1" s="2764"/>
      <c r="T1" s="2764"/>
      <c r="U1" s="2764"/>
      <c r="V1" s="2764"/>
      <c r="W1" s="2764"/>
    </row>
    <row r="2" spans="1:43" ht="55.9" customHeight="1" x14ac:dyDescent="0.25">
      <c r="A2" s="2906" t="s">
        <v>8741</v>
      </c>
      <c r="B2" s="2906"/>
      <c r="C2" s="2906"/>
      <c r="D2" s="2906"/>
      <c r="E2" s="2906"/>
      <c r="F2" s="2906"/>
      <c r="G2" s="2906"/>
      <c r="H2" s="2906"/>
      <c r="I2" s="2906"/>
      <c r="J2" s="2906"/>
      <c r="K2" s="2906"/>
      <c r="L2" s="2906"/>
      <c r="M2" s="2906"/>
      <c r="N2" s="2906"/>
      <c r="O2" s="2906"/>
      <c r="P2" s="2906"/>
      <c r="S2" s="122"/>
      <c r="T2" s="350"/>
      <c r="U2" s="345"/>
      <c r="V2" s="345"/>
      <c r="W2" s="345"/>
    </row>
    <row r="3" spans="1:43" ht="15.6" customHeight="1" thickBot="1" x14ac:dyDescent="0.25">
      <c r="A3" s="585" t="s">
        <v>8626</v>
      </c>
      <c r="D3" s="1680"/>
      <c r="E3" s="1680"/>
      <c r="F3" s="1680"/>
      <c r="K3" s="242"/>
      <c r="L3" s="1678"/>
      <c r="M3" s="1678"/>
      <c r="N3" s="1678"/>
      <c r="O3" s="1678"/>
      <c r="P3" s="1678"/>
      <c r="Q3" s="242"/>
      <c r="R3" s="242"/>
      <c r="X3"/>
      <c r="Y3"/>
      <c r="AA3"/>
      <c r="AB3"/>
      <c r="AC3"/>
      <c r="AD3"/>
      <c r="AE3"/>
      <c r="AF3"/>
      <c r="AG3"/>
      <c r="AH3"/>
      <c r="AI3"/>
      <c r="AJ3"/>
      <c r="AK3"/>
      <c r="AL3"/>
      <c r="AM3"/>
      <c r="AN3"/>
      <c r="AO3"/>
    </row>
    <row r="4" spans="1:43" ht="27" customHeight="1" x14ac:dyDescent="0.2">
      <c r="A4" s="1741" t="s">
        <v>8627</v>
      </c>
      <c r="B4" s="1742" t="s">
        <v>233</v>
      </c>
      <c r="C4" s="2907" t="s">
        <v>231</v>
      </c>
      <c r="D4" s="2908"/>
      <c r="E4" s="2909"/>
      <c r="F4" s="2907" t="s">
        <v>8628</v>
      </c>
      <c r="G4" s="2908"/>
      <c r="H4" s="2908"/>
      <c r="I4" s="2909"/>
      <c r="J4" s="2920" t="s">
        <v>8595</v>
      </c>
      <c r="K4" s="2921"/>
      <c r="L4" s="2920" t="s">
        <v>8629</v>
      </c>
      <c r="M4" s="2921"/>
      <c r="N4" s="2922" t="s">
        <v>8597</v>
      </c>
      <c r="O4" s="2923"/>
      <c r="P4" s="2927" t="s">
        <v>8644</v>
      </c>
      <c r="AB4" s="1752" t="s">
        <v>8632</v>
      </c>
      <c r="AC4" s="1752" t="s">
        <v>8633</v>
      </c>
      <c r="AD4" s="1752" t="s">
        <v>8634</v>
      </c>
      <c r="AE4" s="1752" t="s">
        <v>8635</v>
      </c>
      <c r="AG4" s="241"/>
      <c r="AJ4"/>
      <c r="AK4"/>
      <c r="AL4"/>
      <c r="AM4"/>
      <c r="AN4"/>
      <c r="AO4"/>
    </row>
    <row r="5" spans="1:43" ht="15.75" customHeight="1" x14ac:dyDescent="0.2">
      <c r="A5" s="1743">
        <v>1</v>
      </c>
      <c r="B5" s="1744"/>
      <c r="C5" s="2910"/>
      <c r="D5" s="2911"/>
      <c r="E5" s="2912"/>
      <c r="F5" s="2910"/>
      <c r="G5" s="2911"/>
      <c r="H5" s="2911"/>
      <c r="I5" s="2912"/>
      <c r="J5" s="2910"/>
      <c r="K5" s="2911"/>
      <c r="L5" s="2910"/>
      <c r="M5" s="2911"/>
      <c r="N5" s="2910"/>
      <c r="O5" s="2912"/>
      <c r="P5" s="2928"/>
      <c r="AB5" s="241">
        <f>IF(C5=$AF$13,20,8)</f>
        <v>8</v>
      </c>
      <c r="AC5" s="241">
        <f>IF(C5=$AF$14,35,150)</f>
        <v>150</v>
      </c>
      <c r="AD5" s="242">
        <f>IF(AND('Eigene, abweichende Tierdaten'!C5='Eigene, abweichende Tierdaten'!$AF$13,COUNTBLANK('Eigene, abweichende Tierdaten'!C5:O5)=8,'Eigene, abweichende Tierdaten'!J5&gt;19,'Eigene, abweichende Tierdaten'!L5&lt;151,'Eigene, abweichende Tierdaten'!J5&lt;'Eigene, abweichende Tierdaten'!L5,F5&lt;&gt;"--"),1,0)</f>
        <v>0</v>
      </c>
      <c r="AE5" s="854">
        <f>IF(AND('Eigene, abweichende Tierdaten'!C5='Eigene, abweichende Tierdaten'!$AF$14,COUNTBLANK('Eigene, abweichende Tierdaten'!C5:O5)=8,'Eigene, abweichende Tierdaten'!J5&gt;7,'Eigene, abweichende Tierdaten'!L5&lt;36,'Eigene, abweichende Tierdaten'!J5&lt;'Eigene, abweichende Tierdaten'!L5,F5&lt;&gt;"--"),1,0)</f>
        <v>0</v>
      </c>
      <c r="AF5" s="855"/>
      <c r="AG5" s="856"/>
      <c r="AI5" s="242" t="str">
        <f>IF(AD5+AE5=1,IF(C5=$AF$13,CONCATENATE(B21,", ",$AG$13,", ",VLOOKUP(F5,$AF$7:$AG$11,2,FALSE),IF(OR(F5=$AF$10,F5=$AF$11),"*","")),CONCATENATE(B21,", ",$AG$14,", ",VLOOKUP(F5,$AF$7:$AG$11,2,FALSE),IF(OR(F5=$AF$10,F5=$AF$11),"*",""))),"--")</f>
        <v>--</v>
      </c>
      <c r="AJ5"/>
      <c r="AK5"/>
      <c r="AL5"/>
      <c r="AM5"/>
      <c r="AN5"/>
      <c r="AO5"/>
    </row>
    <row r="6" spans="1:43" ht="15.75" customHeight="1" x14ac:dyDescent="0.2">
      <c r="A6" s="1745">
        <v>2</v>
      </c>
      <c r="B6" s="1746"/>
      <c r="C6" s="2880"/>
      <c r="D6" s="2890"/>
      <c r="E6" s="2881"/>
      <c r="F6" s="2880"/>
      <c r="G6" s="2890"/>
      <c r="H6" s="2890"/>
      <c r="I6" s="2881"/>
      <c r="J6" s="2880"/>
      <c r="K6" s="2890"/>
      <c r="L6" s="2880"/>
      <c r="M6" s="2890"/>
      <c r="N6" s="2880"/>
      <c r="O6" s="2881"/>
      <c r="P6" s="2928"/>
      <c r="AB6" s="241">
        <f>IF(C6=$AF$13,20,8)</f>
        <v>8</v>
      </c>
      <c r="AC6" s="241">
        <f>IF(C6=$AF$14,35,150)</f>
        <v>150</v>
      </c>
      <c r="AD6" s="242">
        <f>IF(AND('Eigene, abweichende Tierdaten'!C6='Eigene, abweichende Tierdaten'!$AF$13,COUNTBLANK('Eigene, abweichende Tierdaten'!C6:O6)=8,'Eigene, abweichende Tierdaten'!J6&gt;19,'Eigene, abweichende Tierdaten'!L6&lt;151,'Eigene, abweichende Tierdaten'!J6&lt;'Eigene, abweichende Tierdaten'!L6,F6&lt;&gt;"--"),1,0)</f>
        <v>0</v>
      </c>
      <c r="AE6" s="854">
        <f>IF(AND('Eigene, abweichende Tierdaten'!C6='Eigene, abweichende Tierdaten'!$AF$14,COUNTBLANK('Eigene, abweichende Tierdaten'!C6:O6)=8,'Eigene, abweichende Tierdaten'!J6&gt;7,'Eigene, abweichende Tierdaten'!L6&lt;36,'Eigene, abweichende Tierdaten'!J6&lt;'Eigene, abweichende Tierdaten'!L6,F6&lt;&gt;"--"),1,0)</f>
        <v>0</v>
      </c>
      <c r="AF6" s="1752" t="s">
        <v>8636</v>
      </c>
      <c r="AG6" s="855"/>
      <c r="AI6" s="242" t="str">
        <f>IF(AD6+AE6=1,IF(C6=$AF$13,CONCATENATE(B22,", ",$AG$13,", ",VLOOKUP(F6,$AF$7:$AG$11,2,FALSE),IF(OR(F6=$AF$10,F6=$AF$11),"*","")),CONCATENATE(B22,", ",$AG$14,", ",VLOOKUP(F6,$AF$7:$AG$11,2,FALSE),IF(OR(F6=$AF$10,F6=$AF$11),"*",""))),"--")</f>
        <v>--</v>
      </c>
      <c r="AJ6"/>
      <c r="AK6"/>
      <c r="AL6"/>
      <c r="AM6"/>
      <c r="AN6"/>
      <c r="AO6"/>
    </row>
    <row r="7" spans="1:43" ht="15.75" customHeight="1" x14ac:dyDescent="0.25">
      <c r="A7" s="1747">
        <v>3</v>
      </c>
      <c r="B7" s="1806"/>
      <c r="C7" s="2880"/>
      <c r="D7" s="2890"/>
      <c r="E7" s="2881"/>
      <c r="F7" s="2880"/>
      <c r="G7" s="2890"/>
      <c r="H7" s="2890"/>
      <c r="I7" s="2881"/>
      <c r="J7" s="2880"/>
      <c r="K7" s="2890"/>
      <c r="L7" s="2880"/>
      <c r="M7" s="2890"/>
      <c r="N7" s="2880"/>
      <c r="O7" s="2881"/>
      <c r="P7" s="2928"/>
      <c r="AB7" s="241">
        <f>IF(C7=$AF$13,20,8)</f>
        <v>8</v>
      </c>
      <c r="AC7" s="241">
        <f>IF(C7=$AF$14,35,150)</f>
        <v>150</v>
      </c>
      <c r="AD7" s="242">
        <f>IF(AND('Eigene, abweichende Tierdaten'!C7='Eigene, abweichende Tierdaten'!$AF$13,COUNTBLANK('Eigene, abweichende Tierdaten'!C7:O7)=8,'Eigene, abweichende Tierdaten'!J7&gt;19,'Eigene, abweichende Tierdaten'!L7&lt;151,'Eigene, abweichende Tierdaten'!J7&lt;'Eigene, abweichende Tierdaten'!L7,F7&lt;&gt;"--"),1,0)</f>
        <v>0</v>
      </c>
      <c r="AE7" s="854">
        <f>IF(AND('Eigene, abweichende Tierdaten'!C7='Eigene, abweichende Tierdaten'!$AF$14,COUNTBLANK('Eigene, abweichende Tierdaten'!C7:O7)=8,'Eigene, abweichende Tierdaten'!J7&gt;7,'Eigene, abweichende Tierdaten'!L7&lt;36,'Eigene, abweichende Tierdaten'!J7&lt;'Eigene, abweichende Tierdaten'!L7,F7&lt;&gt;"--"),1,0)</f>
        <v>0</v>
      </c>
      <c r="AF7" s="1685" t="str">
        <f>+'Abweichende Schweine'!A4</f>
        <v>--</v>
      </c>
      <c r="AG7" s="241"/>
      <c r="AI7" s="242" t="str">
        <f>IF(AD7+AE7=1,IF(C7=$AF$13,CONCATENATE(B23,", ",$AG$13,", ",VLOOKUP(F7,$AF$7:$AG$11,2,FALSE),IF(OR(F7=$AF$10,F7=$AF$11),"*","")),CONCATENATE(B23,", ",$AG$14,", ",VLOOKUP(F7,$AF$7:$AG$11,2,FALSE),IF(OR(F7=$AF$10,F7=$AF$11),"*",""))),"--")</f>
        <v>--</v>
      </c>
      <c r="AJ7"/>
      <c r="AK7"/>
      <c r="AL7"/>
      <c r="AM7"/>
      <c r="AN7"/>
      <c r="AO7"/>
    </row>
    <row r="8" spans="1:43" ht="15.75" customHeight="1" x14ac:dyDescent="0.25">
      <c r="A8" s="1748">
        <v>4</v>
      </c>
      <c r="B8" s="1807"/>
      <c r="C8" s="2880"/>
      <c r="D8" s="2890"/>
      <c r="E8" s="2881"/>
      <c r="F8" s="2935"/>
      <c r="G8" s="2936"/>
      <c r="H8" s="2936"/>
      <c r="I8" s="2937"/>
      <c r="J8" s="2880"/>
      <c r="K8" s="2890"/>
      <c r="L8" s="2880"/>
      <c r="M8" s="2890"/>
      <c r="N8" s="2880"/>
      <c r="O8" s="2881"/>
      <c r="P8" s="2928"/>
      <c r="AB8" s="241">
        <f>IF(C8=$AF$13,20,8)</f>
        <v>8</v>
      </c>
      <c r="AC8" s="241">
        <f>IF(C8=$AF$14,35,150)</f>
        <v>150</v>
      </c>
      <c r="AD8" s="242">
        <f>IF(AND('Eigene, abweichende Tierdaten'!C8='Eigene, abweichende Tierdaten'!$AF$13,COUNTBLANK('Eigene, abweichende Tierdaten'!C8:O8)=8,'Eigene, abweichende Tierdaten'!J8&gt;19,'Eigene, abweichende Tierdaten'!L8&lt;151,'Eigene, abweichende Tierdaten'!J8&lt;'Eigene, abweichende Tierdaten'!L8,F8&lt;&gt;"--"),1,0)</f>
        <v>0</v>
      </c>
      <c r="AE8" s="854">
        <f>IF(AND('Eigene, abweichende Tierdaten'!C8='Eigene, abweichende Tierdaten'!$AF$14,COUNTBLANK('Eigene, abweichende Tierdaten'!C8:O8)=8,'Eigene, abweichende Tierdaten'!J8&gt;7,'Eigene, abweichende Tierdaten'!L8&lt;36,'Eigene, abweichende Tierdaten'!J8&lt;'Eigene, abweichende Tierdaten'!L8,F8&lt;&gt;"--"),1,0)</f>
        <v>0</v>
      </c>
      <c r="AF8" s="1685" t="str">
        <f>+'Abweichende Schweine'!A5</f>
        <v>Universalfutter</v>
      </c>
      <c r="AG8" s="241" t="s">
        <v>8637</v>
      </c>
      <c r="AI8" s="242" t="str">
        <f>IF(AD8+AE8=1,IF(C8=$AF$13,CONCATENATE(B24,", ",$AG$13,", ",VLOOKUP(F8,$AF$7:$AG$11,2,FALSE),IF(OR(F8=$AF$10,F8=$AF$11),"*","")),CONCATENATE(B24,", ",$AG$14,", ",VLOOKUP(F8,$AF$7:$AG$11,2,FALSE),IF(OR(F8=$AF$10,F8=$AF$11),"*",""))),"--")</f>
        <v>--</v>
      </c>
      <c r="AJ8"/>
      <c r="AK8"/>
      <c r="AL8"/>
      <c r="AM8"/>
      <c r="AN8"/>
      <c r="AO8"/>
    </row>
    <row r="9" spans="1:43" ht="15.75" customHeight="1" thickBot="1" x14ac:dyDescent="0.3">
      <c r="A9" s="1749">
        <v>5</v>
      </c>
      <c r="B9" s="1808"/>
      <c r="C9" s="2882"/>
      <c r="D9" s="2891"/>
      <c r="E9" s="2883"/>
      <c r="F9" s="2882"/>
      <c r="G9" s="2891"/>
      <c r="H9" s="2891"/>
      <c r="I9" s="2883"/>
      <c r="J9" s="2882"/>
      <c r="K9" s="2891"/>
      <c r="L9" s="2882"/>
      <c r="M9" s="2891"/>
      <c r="N9" s="2882"/>
      <c r="O9" s="2883"/>
      <c r="P9" s="2928"/>
      <c r="AB9" s="241">
        <f>IF(C9=$AF$13,20,8)</f>
        <v>8</v>
      </c>
      <c r="AC9" s="241">
        <f>IF(C9=$AF$14,35,150)</f>
        <v>150</v>
      </c>
      <c r="AD9" s="242">
        <f>IF(AND('Eigene, abweichende Tierdaten'!C9='Eigene, abweichende Tierdaten'!$AF$13,COUNTBLANK('Eigene, abweichende Tierdaten'!C9:O9)=8,'Eigene, abweichende Tierdaten'!J9&gt;19,'Eigene, abweichende Tierdaten'!L9&lt;151,'Eigene, abweichende Tierdaten'!J9&lt;'Eigene, abweichende Tierdaten'!L9,F9&lt;&gt;"--"),1,0)</f>
        <v>0</v>
      </c>
      <c r="AE9" s="854">
        <f>IF(AND('Eigene, abweichende Tierdaten'!C9='Eigene, abweichende Tierdaten'!$AF$14,COUNTBLANK('Eigene, abweichende Tierdaten'!C9:O9)=8,'Eigene, abweichende Tierdaten'!J9&gt;7,'Eigene, abweichende Tierdaten'!L9&lt;36,'Eigene, abweichende Tierdaten'!J9&lt;'Eigene, abweichende Tierdaten'!L9,F9&lt;&gt;"--"),1,0)</f>
        <v>0</v>
      </c>
      <c r="AF9" s="1685" t="str">
        <f>+'Abweichende Schweine'!A6</f>
        <v>N- und P- reduziert</v>
      </c>
      <c r="AG9" s="241" t="s">
        <v>8638</v>
      </c>
      <c r="AI9" s="242" t="str">
        <f>IF(AD9+AE9=1,IF(C9=$AF$13,CONCATENATE(B25,", ",$AG$13,", ",VLOOKUP(F9,$AF$7:$AG$11,2,FALSE),IF(OR(F9=$AF$10,F9=$AF$11),"*","")),CONCATENATE(B25,", ",$AG$14,", ",VLOOKUP(F9,$AF$7:$AG$11,2,FALSE),IF(OR(F9=$AF$10,F9=$AF$11),"*",""))),"--")</f>
        <v>--</v>
      </c>
      <c r="AJ9"/>
      <c r="AK9"/>
      <c r="AL9"/>
      <c r="AM9"/>
      <c r="AN9"/>
      <c r="AO9"/>
    </row>
    <row r="10" spans="1:43" ht="29.45" customHeight="1" x14ac:dyDescent="0.25">
      <c r="A10" s="1989" t="s">
        <v>8630</v>
      </c>
      <c r="B10" s="1742" t="s">
        <v>233</v>
      </c>
      <c r="C10" s="2929"/>
      <c r="D10" s="2930"/>
      <c r="E10" s="2931"/>
      <c r="F10" s="2907" t="s">
        <v>8628</v>
      </c>
      <c r="G10" s="2908"/>
      <c r="H10" s="2908"/>
      <c r="I10" s="2909"/>
      <c r="J10" s="2892" t="s">
        <v>8631</v>
      </c>
      <c r="K10" s="2893"/>
      <c r="L10" s="2892" t="s">
        <v>8686</v>
      </c>
      <c r="M10" s="2893"/>
      <c r="N10" s="2884"/>
      <c r="O10" s="2885"/>
      <c r="P10" s="2928"/>
      <c r="AD10" s="1154" t="s">
        <v>8639</v>
      </c>
      <c r="AF10" s="1685" t="str">
        <f>+'Abweichende Schweine'!A7</f>
        <v>stark N- und P-reduziert</v>
      </c>
      <c r="AG10" s="241" t="s">
        <v>8640</v>
      </c>
      <c r="AJ10"/>
      <c r="AK10"/>
      <c r="AL10"/>
      <c r="AM10"/>
      <c r="AN10"/>
      <c r="AO10"/>
    </row>
    <row r="11" spans="1:43" ht="15.75" customHeight="1" x14ac:dyDescent="0.25">
      <c r="A11" s="1750">
        <v>6</v>
      </c>
      <c r="B11" s="1744"/>
      <c r="C11" s="2932" t="s">
        <v>8630</v>
      </c>
      <c r="D11" s="2933"/>
      <c r="E11" s="2934"/>
      <c r="F11" s="2910"/>
      <c r="G11" s="2911"/>
      <c r="H11" s="2911"/>
      <c r="I11" s="2912"/>
      <c r="J11" s="2910"/>
      <c r="K11" s="2911"/>
      <c r="L11" s="2910"/>
      <c r="M11" s="2911"/>
      <c r="N11" s="2886"/>
      <c r="O11" s="2887"/>
      <c r="P11" s="2928"/>
      <c r="AD11" s="242">
        <f>IF(AND(COUNTBLANK('Eigene, abweichende Tierdaten'!F11:O11)=7,F11&lt;&gt;"--"),1,0)</f>
        <v>0</v>
      </c>
      <c r="AF11" s="1685" t="str">
        <f>+'Abweichende Schweine'!A8</f>
        <v>sehr stark N- und P-reduziert</v>
      </c>
      <c r="AG11" s="241" t="s">
        <v>8641</v>
      </c>
      <c r="AI11" s="242" t="str">
        <f>IF(AD11+AE11=1,CONCATENATE(B26,", ",$AI$15,", ",VLOOKUP(F11,$AF$7:$AG$11,2,FALSE),IF(OR(F11=$AF$10,F11=$AF$11),"*","")),"--")</f>
        <v>--</v>
      </c>
      <c r="AJ11"/>
      <c r="AK11"/>
      <c r="AL11"/>
      <c r="AM11"/>
      <c r="AN11"/>
      <c r="AO11"/>
    </row>
    <row r="12" spans="1:43" ht="15.75" customHeight="1" thickBot="1" x14ac:dyDescent="0.25">
      <c r="A12" s="1751">
        <v>7</v>
      </c>
      <c r="B12" s="1808"/>
      <c r="C12" s="2924" t="s">
        <v>8630</v>
      </c>
      <c r="D12" s="2925"/>
      <c r="E12" s="2926"/>
      <c r="F12" s="2882"/>
      <c r="G12" s="2891"/>
      <c r="H12" s="2891"/>
      <c r="I12" s="2883"/>
      <c r="J12" s="2882"/>
      <c r="K12" s="2891"/>
      <c r="L12" s="2882"/>
      <c r="M12" s="2891"/>
      <c r="N12" s="2888"/>
      <c r="O12" s="2889"/>
      <c r="P12" s="2928"/>
      <c r="AD12" s="242">
        <f>IF(AND(COUNTBLANK('Eigene, abweichende Tierdaten'!F12:O12)=7,F12&lt;&gt;"--"),1,0)</f>
        <v>0</v>
      </c>
      <c r="AG12" s="1752"/>
      <c r="AI12" s="242" t="str">
        <f>IF(AD12+AE12=1,CONCATENATE(B27,", ",$AI$15,", ",VLOOKUP(F12,$AF$7:$AG$11,2,FALSE),IF(OR(F12=$AF$10,F12=$AF$11),"*","")),"--")</f>
        <v>--</v>
      </c>
      <c r="AJ12"/>
      <c r="AK12"/>
      <c r="AL12"/>
      <c r="AM12"/>
      <c r="AN12"/>
      <c r="AO12"/>
    </row>
    <row r="13" spans="1:43" ht="15" customHeight="1" x14ac:dyDescent="0.2">
      <c r="D13" s="1680"/>
      <c r="E13" s="1680"/>
      <c r="F13" s="1680"/>
      <c r="L13" s="1680"/>
      <c r="M13" s="1680"/>
      <c r="N13" s="1680"/>
      <c r="O13" s="1680"/>
      <c r="P13" s="1680"/>
      <c r="Q13" s="1683"/>
      <c r="R13" s="1683"/>
      <c r="AD13" s="242"/>
      <c r="AF13" s="241" t="s">
        <v>8515</v>
      </c>
      <c r="AG13" s="241" t="s">
        <v>8642</v>
      </c>
      <c r="AJ13"/>
      <c r="AK13"/>
      <c r="AL13"/>
      <c r="AM13"/>
      <c r="AN13"/>
      <c r="AO13"/>
    </row>
    <row r="14" spans="1:43" ht="18.600000000000001" customHeight="1" x14ac:dyDescent="0.2">
      <c r="A14" s="884" t="s">
        <v>8681</v>
      </c>
      <c r="D14"/>
      <c r="E14"/>
      <c r="F14"/>
      <c r="L14"/>
      <c r="M14"/>
      <c r="N14"/>
      <c r="AD14" s="242"/>
      <c r="AF14" s="241" t="s">
        <v>8539</v>
      </c>
      <c r="AG14" s="241" t="s">
        <v>8539</v>
      </c>
      <c r="AJ14"/>
      <c r="AK14"/>
      <c r="AL14"/>
      <c r="AM14"/>
      <c r="AN14"/>
      <c r="AO14"/>
    </row>
    <row r="15" spans="1:43" ht="15.75" customHeight="1" thickBot="1" x14ac:dyDescent="0.25">
      <c r="A15" s="884" t="s">
        <v>8682</v>
      </c>
      <c r="D15"/>
      <c r="E15"/>
      <c r="F15"/>
      <c r="L15"/>
      <c r="M15"/>
      <c r="N15"/>
      <c r="AD15" s="242"/>
      <c r="AG15" s="241"/>
      <c r="AI15" s="241" t="s">
        <v>8643</v>
      </c>
      <c r="AL15"/>
      <c r="AM15"/>
      <c r="AN15"/>
      <c r="AO15"/>
    </row>
    <row r="16" spans="1:43" s="60" customFormat="1" ht="15.75" customHeight="1" thickBot="1" x14ac:dyDescent="0.3">
      <c r="B16" s="1793"/>
      <c r="C16" s="2894" t="s">
        <v>8645</v>
      </c>
      <c r="D16" s="2895"/>
      <c r="E16" s="2895"/>
      <c r="F16" s="2895"/>
      <c r="G16" s="2895"/>
      <c r="H16" s="2895"/>
      <c r="I16" s="2895"/>
      <c r="J16" s="2895"/>
      <c r="K16" s="2896"/>
      <c r="L16" s="1794"/>
      <c r="M16" s="1794"/>
      <c r="N16" s="1794"/>
      <c r="O16" s="1794"/>
      <c r="P16" s="1794"/>
      <c r="Q16" s="1680"/>
      <c r="R16" s="1680"/>
      <c r="S16" s="1680"/>
      <c r="T16"/>
      <c r="U16"/>
      <c r="V16"/>
      <c r="W16"/>
      <c r="X16"/>
      <c r="Y16"/>
      <c r="Z16" s="120"/>
      <c r="AA16" s="120"/>
      <c r="AB16"/>
      <c r="AC16" s="241"/>
      <c r="AD16" s="241"/>
      <c r="AE16" s="241"/>
      <c r="AF16" s="241"/>
      <c r="AG16" s="241"/>
      <c r="AH16" s="241"/>
      <c r="AI16" s="242"/>
      <c r="AJ16" s="242"/>
      <c r="AK16" s="243"/>
      <c r="AL16" s="243"/>
      <c r="AM16" s="243"/>
      <c r="AN16" s="243"/>
      <c r="AO16" s="243"/>
      <c r="AP16" s="243"/>
      <c r="AQ16" s="243"/>
    </row>
    <row r="17" spans="1:65" ht="15.75" customHeight="1" thickBot="1" x14ac:dyDescent="0.3">
      <c r="A17" s="72"/>
      <c r="B17" s="72"/>
      <c r="C17" s="2897" t="s">
        <v>195</v>
      </c>
      <c r="D17" s="2900" t="s">
        <v>8646</v>
      </c>
      <c r="E17" s="2901"/>
      <c r="F17" s="2902"/>
      <c r="G17" s="2900" t="s">
        <v>221</v>
      </c>
      <c r="H17" s="2901"/>
      <c r="I17" s="2901"/>
      <c r="J17" s="2901"/>
      <c r="K17" s="2902"/>
      <c r="L17" s="2900" t="s">
        <v>288</v>
      </c>
      <c r="M17" s="2901"/>
      <c r="N17" s="2901"/>
      <c r="O17" s="2901"/>
      <c r="P17" s="2902"/>
      <c r="Q17" s="2960" t="s">
        <v>203</v>
      </c>
      <c r="R17" s="2982"/>
      <c r="S17" s="2983"/>
      <c r="T17" s="345"/>
      <c r="U17" s="60"/>
      <c r="V17" s="60"/>
      <c r="W17" s="345"/>
      <c r="X17" s="345"/>
      <c r="Y17" s="345"/>
      <c r="Z17" s="298"/>
      <c r="AA17" s="298"/>
      <c r="AB17" s="60"/>
      <c r="AG17" s="241"/>
      <c r="AH17" s="241"/>
      <c r="AP17" s="242"/>
      <c r="AQ17" s="242"/>
    </row>
    <row r="18" spans="1:65" ht="15.75" customHeight="1" x14ac:dyDescent="0.2">
      <c r="A18" s="2897" t="s">
        <v>231</v>
      </c>
      <c r="B18" s="2983" t="s">
        <v>233</v>
      </c>
      <c r="C18" s="2898"/>
      <c r="D18" s="2942" t="s">
        <v>4</v>
      </c>
      <c r="E18" s="2938" t="s">
        <v>209</v>
      </c>
      <c r="F18" s="2940" t="s">
        <v>210</v>
      </c>
      <c r="G18" s="2942" t="s">
        <v>0</v>
      </c>
      <c r="H18" s="2944" t="s">
        <v>9</v>
      </c>
      <c r="I18" s="2917" t="s">
        <v>11</v>
      </c>
      <c r="J18" s="2918"/>
      <c r="K18" s="2919"/>
      <c r="L18" s="2942" t="s">
        <v>0</v>
      </c>
      <c r="M18" s="2946" t="s">
        <v>9</v>
      </c>
      <c r="N18" s="2917" t="s">
        <v>11</v>
      </c>
      <c r="O18" s="2918"/>
      <c r="P18" s="2919"/>
      <c r="Q18" s="2961"/>
      <c r="R18" s="2984"/>
      <c r="S18" s="2985"/>
      <c r="T18" s="2914" t="s">
        <v>407</v>
      </c>
      <c r="U18" s="2915"/>
      <c r="V18" s="2915"/>
      <c r="W18" s="2914" t="s">
        <v>11</v>
      </c>
      <c r="X18" s="2915"/>
      <c r="Y18" s="2916"/>
      <c r="Z18" s="599"/>
      <c r="AA18" s="599"/>
      <c r="AB18"/>
      <c r="AG18" s="241"/>
      <c r="AH18" s="241"/>
      <c r="AP18" s="242"/>
      <c r="AQ18" s="242"/>
    </row>
    <row r="19" spans="1:65" ht="15.75" customHeight="1" thickBot="1" x14ac:dyDescent="0.25">
      <c r="A19" s="2898"/>
      <c r="B19" s="2985"/>
      <c r="C19" s="2898"/>
      <c r="D19" s="2943"/>
      <c r="E19" s="2939"/>
      <c r="F19" s="2941"/>
      <c r="G19" s="2943"/>
      <c r="H19" s="2945"/>
      <c r="I19" s="1795" t="s">
        <v>35</v>
      </c>
      <c r="J19" s="114" t="s">
        <v>36</v>
      </c>
      <c r="K19" s="73" t="s">
        <v>37</v>
      </c>
      <c r="L19" s="2943"/>
      <c r="M19" s="2947"/>
      <c r="N19" s="1796" t="s">
        <v>35</v>
      </c>
      <c r="O19" s="114" t="s">
        <v>36</v>
      </c>
      <c r="P19" s="113" t="s">
        <v>37</v>
      </c>
      <c r="Q19" s="1797" t="s">
        <v>35</v>
      </c>
      <c r="R19" s="1798" t="s">
        <v>36</v>
      </c>
      <c r="S19" s="1799" t="s">
        <v>37</v>
      </c>
      <c r="T19" s="466" t="s">
        <v>476</v>
      </c>
      <c r="U19" s="1800" t="s">
        <v>8670</v>
      </c>
      <c r="V19" s="349" t="s">
        <v>588</v>
      </c>
      <c r="W19" s="466" t="s">
        <v>476</v>
      </c>
      <c r="X19" s="1800" t="s">
        <v>8670</v>
      </c>
      <c r="Y19" s="467" t="s">
        <v>588</v>
      </c>
      <c r="Z19" s="600"/>
      <c r="AA19" s="600"/>
      <c r="AB19"/>
      <c r="AF19" s="2913"/>
      <c r="AG19" s="2913"/>
      <c r="AH19" s="241"/>
      <c r="AP19" s="242"/>
      <c r="AQ19" s="242"/>
    </row>
    <row r="20" spans="1:65" ht="15.75" customHeight="1" thickBot="1" x14ac:dyDescent="0.25">
      <c r="A20" s="2899"/>
      <c r="B20" s="2986"/>
      <c r="C20" s="2899"/>
      <c r="D20" s="2903" t="s">
        <v>242</v>
      </c>
      <c r="E20" s="2870"/>
      <c r="F20" s="2904"/>
      <c r="G20" s="2903" t="s">
        <v>1</v>
      </c>
      <c r="H20" s="2870"/>
      <c r="I20" s="2905" t="s">
        <v>38</v>
      </c>
      <c r="J20" s="2870"/>
      <c r="K20" s="2870"/>
      <c r="L20" s="2948" t="s">
        <v>2</v>
      </c>
      <c r="M20" s="2949"/>
      <c r="N20" s="2949"/>
      <c r="O20" s="2949"/>
      <c r="P20" s="2950"/>
      <c r="Q20" s="2948" t="s">
        <v>8647</v>
      </c>
      <c r="R20" s="2870"/>
      <c r="S20" s="2904"/>
      <c r="T20" s="351" t="s">
        <v>2</v>
      </c>
      <c r="U20" s="354" t="s">
        <v>477</v>
      </c>
      <c r="V20" s="352" t="s">
        <v>2</v>
      </c>
      <c r="W20" s="351" t="s">
        <v>2</v>
      </c>
      <c r="X20" s="354" t="s">
        <v>477</v>
      </c>
      <c r="Y20" s="353" t="s">
        <v>2</v>
      </c>
      <c r="Z20" s="295"/>
      <c r="AA20" s="295"/>
      <c r="AB20"/>
      <c r="AC20" s="244" t="s">
        <v>231</v>
      </c>
      <c r="AF20" s="463"/>
      <c r="AG20" s="463"/>
      <c r="AH20" s="241"/>
      <c r="AP20" s="242"/>
      <c r="AQ20" s="242"/>
    </row>
    <row r="21" spans="1:65" ht="15.75" customHeight="1" x14ac:dyDescent="0.2">
      <c r="A21" s="1761" t="str">
        <f>IF(AD5+AE5=1,C5,"")</f>
        <v/>
      </c>
      <c r="B21" s="1762" t="str">
        <f>IF(AD5+AE5=1,CONCATENATE(A5,"-",B5),"--")</f>
        <v>--</v>
      </c>
      <c r="C21" s="1763" t="str">
        <f>IF($AD5=1,'Abweichende Schweine'!F12,IF($AE5=1,'Abweichende Schweine'!F74,""))</f>
        <v/>
      </c>
      <c r="D21" s="1764" t="str">
        <f>IF($AD5=1,'Abweichende Schweine'!G12,IF($AE5=1,'Abweichende Schweine'!G74,""))</f>
        <v/>
      </c>
      <c r="E21" s="1765" t="str">
        <f>IF($AD5=1,'Abweichende Schweine'!H12,IF($AE5=1,'Abweichende Schweine'!H74,""))</f>
        <v/>
      </c>
      <c r="F21" s="1766" t="str">
        <f>IF($AD5=1,'Abweichende Schweine'!I12,IF($AE5=1,'Abweichende Schweine'!I74,""))</f>
        <v/>
      </c>
      <c r="G21" s="1767" t="str">
        <f>IF($AD5=1,'Abweichende Schweine'!J12,IF($AE5=1,'Abweichende Schweine'!J74,""))</f>
        <v/>
      </c>
      <c r="H21" s="1768" t="str">
        <f>IF($AD5=1,'Abweichende Schweine'!K12,IF($AE5=1,'Abweichende Schweine'!K74,""))</f>
        <v/>
      </c>
      <c r="I21" s="1765" t="str">
        <f>IF($AD5=1,'Abweichende Schweine'!L12,IF($AE5=1,'Abweichende Schweine'!L74,""))</f>
        <v/>
      </c>
      <c r="J21" s="1765" t="str">
        <f>IF($AD5=1,'Abweichende Schweine'!M12,IF($AE5=1,'Abweichende Schweine'!M74,""))</f>
        <v/>
      </c>
      <c r="K21" s="1766" t="str">
        <f>IF($AD5=1,'Abweichende Schweine'!N12,IF($AE5=1,'Abweichende Schweine'!N74,""))</f>
        <v/>
      </c>
      <c r="L21" s="1764" t="str">
        <f>IF($AD5=1,'Abweichende Schweine'!O12,IF($AE5=1,'Abweichende Schweine'!O74,""))</f>
        <v/>
      </c>
      <c r="M21" s="1765" t="str">
        <f>IF($AD5=1,'Abweichende Schweine'!P12,IF($AE5=1,'Abweichende Schweine'!P74,""))</f>
        <v/>
      </c>
      <c r="N21" s="1765" t="str">
        <f>IF($AD5=1,'Abweichende Schweine'!W12,IF($AE5=1,'Abweichende Schweine'!W74,""))</f>
        <v/>
      </c>
      <c r="O21" s="1765" t="str">
        <f>IF($AD5=1,'Abweichende Schweine'!X12,IF($AE5=1,'Abweichende Schweine'!X74,""))</f>
        <v/>
      </c>
      <c r="P21" s="1766" t="str">
        <f>IF($AD5=1,'Abweichende Schweine'!Y12,IF($AE5=1,'Abweichende Schweine'!Y74,""))</f>
        <v/>
      </c>
      <c r="Q21" s="1764" t="str">
        <f>IF($AD5=1,'Abweichende Schweine'!Q12,IF($AE5=1,'Abweichende Schweine'!Q74,""))</f>
        <v/>
      </c>
      <c r="R21" s="1765" t="str">
        <f>IF($AD5=1,'Abweichende Schweine'!R12,IF($AE5=1,'Abweichende Schweine'!R74,""))</f>
        <v/>
      </c>
      <c r="S21" s="1766" t="str">
        <f>IF($AD5=1,'Abweichende Schweine'!S12,IF($AE5=1,'Abweichende Schweine'!S74,""))</f>
        <v/>
      </c>
      <c r="T21" s="2106" t="str">
        <f>IF($C21="","",Tiere!AS103*100)</f>
        <v/>
      </c>
      <c r="U21" s="1813" t="str">
        <f>IF($C21="","",Tiere!AT103)</f>
        <v/>
      </c>
      <c r="V21" s="1814" t="str">
        <f>IF($C21="","",Tiere!AU103)</f>
        <v/>
      </c>
      <c r="W21" s="2106" t="str">
        <f>IF($C21="","",Tiere!AV103*100)</f>
        <v/>
      </c>
      <c r="X21" s="1813" t="str">
        <f>IF($C21="","",Tiere!AW103)</f>
        <v/>
      </c>
      <c r="Y21" s="1814" t="str">
        <f>IF($C21="","",Tiere!AX103)</f>
        <v/>
      </c>
      <c r="Z21" s="295"/>
      <c r="AA21" s="295"/>
      <c r="AB21"/>
      <c r="AC21" s="1679"/>
      <c r="AF21" s="463"/>
      <c r="AG21" s="463"/>
      <c r="AH21" s="241"/>
      <c r="AP21" s="242"/>
      <c r="AQ21" s="242"/>
    </row>
    <row r="22" spans="1:65" ht="15.75" customHeight="1" x14ac:dyDescent="0.2">
      <c r="A22" s="1769" t="str">
        <f>IF(AD6+AE6=1,C6,"")</f>
        <v/>
      </c>
      <c r="B22" s="1770" t="str">
        <f>IF(AD6+AE6=1,CONCATENATE(A6,"-",B6),"--")</f>
        <v>--</v>
      </c>
      <c r="C22" s="1771" t="str">
        <f>IF($AD6=1,'Abweichende Schweine'!F24,IF($AE6=1,'Abweichende Schweine'!F83,""))</f>
        <v/>
      </c>
      <c r="D22" s="1772" t="str">
        <f>IF($AD6=1,'Abweichende Schweine'!G24,IF($AE6=1,'Abweichende Schweine'!G83,""))</f>
        <v/>
      </c>
      <c r="E22" s="1773" t="str">
        <f>IF($AD6=1,'Abweichende Schweine'!H24,IF($AE6=1,'Abweichende Schweine'!H83,""))</f>
        <v/>
      </c>
      <c r="F22" s="1774" t="str">
        <f>IF($AD6=1,'Abweichende Schweine'!I24,IF($AE6=1,'Abweichende Schweine'!I83,""))</f>
        <v/>
      </c>
      <c r="G22" s="1775" t="str">
        <f>IF($AD6=1,'Abweichende Schweine'!J24,IF($AE6=1,'Abweichende Schweine'!J83,""))</f>
        <v/>
      </c>
      <c r="H22" s="1776" t="str">
        <f>IF($AD6=1,'Abweichende Schweine'!K24,IF($AE6=1,'Abweichende Schweine'!K83,""))</f>
        <v/>
      </c>
      <c r="I22" s="1773" t="str">
        <f>IF($AD6=1,'Abweichende Schweine'!L24,IF($AE6=1,'Abweichende Schweine'!L83,""))</f>
        <v/>
      </c>
      <c r="J22" s="1773" t="str">
        <f>IF($AD6=1,'Abweichende Schweine'!M24,IF($AE6=1,'Abweichende Schweine'!M83,""))</f>
        <v/>
      </c>
      <c r="K22" s="1774" t="str">
        <f>IF($AD6=1,'Abweichende Schweine'!N24,IF($AE6=1,'Abweichende Schweine'!N83,""))</f>
        <v/>
      </c>
      <c r="L22" s="1772" t="str">
        <f>IF($AD6=1,'Abweichende Schweine'!O24,IF($AE6=1,'Abweichende Schweine'!O83,""))</f>
        <v/>
      </c>
      <c r="M22" s="1773" t="str">
        <f>IF($AD6=1,'Abweichende Schweine'!P24,IF($AE6=1,'Abweichende Schweine'!P83,""))</f>
        <v/>
      </c>
      <c r="N22" s="1773" t="str">
        <f>IF($AD6=1,'Abweichende Schweine'!W24,IF($AE6=1,'Abweichende Schweine'!W83,""))</f>
        <v/>
      </c>
      <c r="O22" s="1773" t="str">
        <f>IF($AD6=1,'Abweichende Schweine'!X24,IF($AE6=1,'Abweichende Schweine'!X83,""))</f>
        <v/>
      </c>
      <c r="P22" s="1774" t="str">
        <f>IF($AD6=1,'Abweichende Schweine'!Y24,IF($AE6=1,'Abweichende Schweine'!Y83,""))</f>
        <v/>
      </c>
      <c r="Q22" s="1772" t="str">
        <f>IF($AD6=1,'Abweichende Schweine'!Q24,IF($AE6=1,'Abweichende Schweine'!Q83,""))</f>
        <v/>
      </c>
      <c r="R22" s="1773" t="str">
        <f>IF($AD6=1,'Abweichende Schweine'!R24,IF($AE6=1,'Abweichende Schweine'!R83,""))</f>
        <v/>
      </c>
      <c r="S22" s="1774" t="str">
        <f>IF($AD6=1,'Abweichende Schweine'!S24,IF($AE6=1,'Abweichende Schweine'!S83,""))</f>
        <v/>
      </c>
      <c r="T22" s="2107" t="str">
        <f>IF($C22="","",Tiere!AS104*100)</f>
        <v/>
      </c>
      <c r="U22" s="1815" t="str">
        <f>IF($C22="","",Tiere!AT104)</f>
        <v/>
      </c>
      <c r="V22" s="1816" t="str">
        <f>IF($C22="","",Tiere!AU104)</f>
        <v/>
      </c>
      <c r="W22" s="2107" t="str">
        <f>IF($C22="","",Tiere!AV104*100)</f>
        <v/>
      </c>
      <c r="X22" s="1815" t="str">
        <f>IF($C22="","",Tiere!AW104)</f>
        <v/>
      </c>
      <c r="Y22" s="1816" t="str">
        <f>IF($C22="","",Tiere!AX104)</f>
        <v/>
      </c>
      <c r="Z22" s="295"/>
      <c r="AA22" s="295"/>
      <c r="AB22"/>
      <c r="AC22" s="1679"/>
      <c r="AF22" s="463"/>
      <c r="AG22" s="463"/>
      <c r="AH22" s="241"/>
      <c r="AP22" s="242"/>
      <c r="AQ22" s="242"/>
    </row>
    <row r="23" spans="1:65" ht="15.75" customHeight="1" x14ac:dyDescent="0.2">
      <c r="A23" s="1769" t="str">
        <f>IF(AD7+AE7=1,C7,"")</f>
        <v/>
      </c>
      <c r="B23" s="1770" t="str">
        <f>IF(AD7+AE7=1,CONCATENATE(A7,"-",B7),"--")</f>
        <v>--</v>
      </c>
      <c r="C23" s="1771" t="str">
        <f>IF($AD7=1,'Abweichende Schweine'!F36,IF($AE7=1,'Abweichende Schweine'!F92,""))</f>
        <v/>
      </c>
      <c r="D23" s="1772" t="str">
        <f>IF($AD7=1,'Abweichende Schweine'!G36,IF($AE7=1,'Abweichende Schweine'!G92,""))</f>
        <v/>
      </c>
      <c r="E23" s="1773" t="str">
        <f>IF($AD7=1,'Abweichende Schweine'!H36,IF($AE7=1,'Abweichende Schweine'!H92,""))</f>
        <v/>
      </c>
      <c r="F23" s="1774" t="str">
        <f>IF($AD7=1,'Abweichende Schweine'!I36,IF($AE7=1,'Abweichende Schweine'!I92,""))</f>
        <v/>
      </c>
      <c r="G23" s="1775" t="str">
        <f>IF($AD7=1,'Abweichende Schweine'!J36,IF($AE7=1,'Abweichende Schweine'!J92,""))</f>
        <v/>
      </c>
      <c r="H23" s="1776" t="str">
        <f>IF($AD7=1,'Abweichende Schweine'!K36,IF($AE7=1,'Abweichende Schweine'!K92,""))</f>
        <v/>
      </c>
      <c r="I23" s="1773" t="str">
        <f>IF($AD7=1,'Abweichende Schweine'!L36,IF($AE7=1,'Abweichende Schweine'!L92,""))</f>
        <v/>
      </c>
      <c r="J23" s="1773" t="str">
        <f>IF($AD7=1,'Abweichende Schweine'!M36,IF($AE7=1,'Abweichende Schweine'!M92,""))</f>
        <v/>
      </c>
      <c r="K23" s="1774" t="str">
        <f>IF($AD7=1,'Abweichende Schweine'!N36,IF($AE7=1,'Abweichende Schweine'!N92,""))</f>
        <v/>
      </c>
      <c r="L23" s="1772" t="str">
        <f>IF($AD7=1,'Abweichende Schweine'!O36,IF($AE7=1,'Abweichende Schweine'!O92,""))</f>
        <v/>
      </c>
      <c r="M23" s="1773" t="str">
        <f>IF($AD7=1,'Abweichende Schweine'!P36,IF($AE7=1,'Abweichende Schweine'!P92,""))</f>
        <v/>
      </c>
      <c r="N23" s="1773" t="str">
        <f>IF($AD7=1,'Abweichende Schweine'!W36,IF($AE7=1,'Abweichende Schweine'!W92,""))</f>
        <v/>
      </c>
      <c r="O23" s="1773" t="str">
        <f>IF($AD7=1,'Abweichende Schweine'!X36,IF($AE7=1,'Abweichende Schweine'!X92,""))</f>
        <v/>
      </c>
      <c r="P23" s="1774" t="str">
        <f>IF($AD7=1,'Abweichende Schweine'!Y36,IF($AE7=1,'Abweichende Schweine'!Y92,""))</f>
        <v/>
      </c>
      <c r="Q23" s="1772" t="str">
        <f>IF($AD7=1,'Abweichende Schweine'!Q36,IF($AE7=1,'Abweichende Schweine'!Q92,""))</f>
        <v/>
      </c>
      <c r="R23" s="1773" t="str">
        <f>IF($AD7=1,'Abweichende Schweine'!R36,IF($AE7=1,'Abweichende Schweine'!R92,""))</f>
        <v/>
      </c>
      <c r="S23" s="1774" t="str">
        <f>IF($AD7=1,'Abweichende Schweine'!S36,IF($AE7=1,'Abweichende Schweine'!S92,""))</f>
        <v/>
      </c>
      <c r="T23" s="2107" t="str">
        <f>IF($C23="","",Tiere!AS105*100)</f>
        <v/>
      </c>
      <c r="U23" s="1815" t="str">
        <f>IF($C23="","",Tiere!AT105)</f>
        <v/>
      </c>
      <c r="V23" s="1816" t="str">
        <f>IF($C23="","",Tiere!AU105)</f>
        <v/>
      </c>
      <c r="W23" s="2107" t="str">
        <f>IF($C23="","",Tiere!AV105*100)</f>
        <v/>
      </c>
      <c r="X23" s="1815" t="str">
        <f>IF($C23="","",Tiere!AW105)</f>
        <v/>
      </c>
      <c r="Y23" s="1816" t="str">
        <f>IF($C23="","",Tiere!AX105)</f>
        <v/>
      </c>
      <c r="Z23" s="295"/>
      <c r="AA23" s="295"/>
      <c r="AB23"/>
      <c r="AC23" s="1679"/>
      <c r="AF23" s="463"/>
      <c r="AG23" s="463"/>
      <c r="AH23" s="241"/>
      <c r="AP23" s="242"/>
      <c r="AQ23" s="242"/>
    </row>
    <row r="24" spans="1:65" ht="15.75" customHeight="1" x14ac:dyDescent="0.2">
      <c r="A24" s="1769" t="str">
        <f>IF(AD8+AE8=1,C8,"")</f>
        <v/>
      </c>
      <c r="B24" s="1770" t="str">
        <f>IF(AD8+AE8=1,CONCATENATE(A8,"-",B8),"--")</f>
        <v>--</v>
      </c>
      <c r="C24" s="1771" t="str">
        <f>IF($AD8=1,'Abweichende Schweine'!F48,IF($AE8=1,'Abweichende Schweine'!F101,""))</f>
        <v/>
      </c>
      <c r="D24" s="1772" t="str">
        <f>IF($AD8=1,'Abweichende Schweine'!G48,IF($AE8=1,'Abweichende Schweine'!G101,""))</f>
        <v/>
      </c>
      <c r="E24" s="1773" t="str">
        <f>IF($AD8=1,'Abweichende Schweine'!H48,IF($AE8=1,'Abweichende Schweine'!H101,""))</f>
        <v/>
      </c>
      <c r="F24" s="1774" t="str">
        <f>IF($AD8=1,'Abweichende Schweine'!I48,IF($AE8=1,'Abweichende Schweine'!I101,""))</f>
        <v/>
      </c>
      <c r="G24" s="1775" t="str">
        <f>IF($AD8=1,'Abweichende Schweine'!J48,IF($AE8=1,'Abweichende Schweine'!J101,""))</f>
        <v/>
      </c>
      <c r="H24" s="1776" t="str">
        <f>IF($AD8=1,'Abweichende Schweine'!K48,IF($AE8=1,'Abweichende Schweine'!K101,""))</f>
        <v/>
      </c>
      <c r="I24" s="1773" t="str">
        <f>IF($AD8=1,'Abweichende Schweine'!L48,IF($AE8=1,'Abweichende Schweine'!L101,""))</f>
        <v/>
      </c>
      <c r="J24" s="1773" t="str">
        <f>IF($AD8=1,'Abweichende Schweine'!M48,IF($AE8=1,'Abweichende Schweine'!M101,""))</f>
        <v/>
      </c>
      <c r="K24" s="1774" t="str">
        <f>IF($AD8=1,'Abweichende Schweine'!N48,IF($AE8=1,'Abweichende Schweine'!N101,""))</f>
        <v/>
      </c>
      <c r="L24" s="1772" t="str">
        <f>IF($AD8=1,'Abweichende Schweine'!O48,IF($AE8=1,'Abweichende Schweine'!O101,""))</f>
        <v/>
      </c>
      <c r="M24" s="1773" t="str">
        <f>IF($AD8=1,'Abweichende Schweine'!P48,IF($AE8=1,'Abweichende Schweine'!P101,""))</f>
        <v/>
      </c>
      <c r="N24" s="1773" t="str">
        <f>IF($AD8=1,'Abweichende Schweine'!W48,IF($AE8=1,'Abweichende Schweine'!W101,""))</f>
        <v/>
      </c>
      <c r="O24" s="1773" t="str">
        <f>IF($AD8=1,'Abweichende Schweine'!X48,IF($AE8=1,'Abweichende Schweine'!X101,""))</f>
        <v/>
      </c>
      <c r="P24" s="1774" t="str">
        <f>IF($AD8=1,'Abweichende Schweine'!Y48,IF($AE8=1,'Abweichende Schweine'!Y101,""))</f>
        <v/>
      </c>
      <c r="Q24" s="1772" t="str">
        <f>IF($AD8=1,'Abweichende Schweine'!Q48,IF($AE8=1,'Abweichende Schweine'!Q101,""))</f>
        <v/>
      </c>
      <c r="R24" s="1773" t="str">
        <f>IF($AD8=1,'Abweichende Schweine'!R48,IF($AE8=1,'Abweichende Schweine'!R101,""))</f>
        <v/>
      </c>
      <c r="S24" s="1774" t="str">
        <f>IF($AD8=1,'Abweichende Schweine'!S48,IF($AE8=1,'Abweichende Schweine'!S101,""))</f>
        <v/>
      </c>
      <c r="T24" s="2107" t="str">
        <f>IF($C24="","",Tiere!AS106*100)</f>
        <v/>
      </c>
      <c r="U24" s="1815" t="str">
        <f>IF($C24="","",Tiere!AT106)</f>
        <v/>
      </c>
      <c r="V24" s="1816" t="str">
        <f>IF($C24="","",Tiere!AU106)</f>
        <v/>
      </c>
      <c r="W24" s="2107" t="str">
        <f>IF($C24="","",Tiere!AV106*100)</f>
        <v/>
      </c>
      <c r="X24" s="1815" t="str">
        <f>IF($C24="","",Tiere!AW106)</f>
        <v/>
      </c>
      <c r="Y24" s="1816" t="str">
        <f>IF($C24="","",Tiere!AX106)</f>
        <v/>
      </c>
      <c r="Z24" s="295"/>
      <c r="AA24" s="295"/>
      <c r="AB24"/>
      <c r="AC24" s="1679"/>
      <c r="AF24" s="463"/>
      <c r="AG24" s="463"/>
      <c r="AH24" s="241"/>
      <c r="AP24" s="242"/>
      <c r="AQ24" s="242"/>
    </row>
    <row r="25" spans="1:65" ht="15.75" customHeight="1" x14ac:dyDescent="0.2">
      <c r="A25" s="1777" t="str">
        <f>IF(AD9+AE9=1,C9,"")</f>
        <v/>
      </c>
      <c r="B25" s="1778" t="str">
        <f>IF(AD9+AE9=1,CONCATENATE(A9,"-",B9),"--")</f>
        <v>--</v>
      </c>
      <c r="C25" s="1779" t="str">
        <f>IF($AD9=1,'Abweichende Schweine'!F60,IF($AE9=1,'Abweichende Schweine'!F110,""))</f>
        <v/>
      </c>
      <c r="D25" s="1780" t="str">
        <f>IF($AD9=1,'Abweichende Schweine'!G60,IF($AE9=1,'Abweichende Schweine'!G110,""))</f>
        <v/>
      </c>
      <c r="E25" s="1781" t="str">
        <f>IF($AD9=1,'Abweichende Schweine'!H60,IF($AE9=1,'Abweichende Schweine'!H110,""))</f>
        <v/>
      </c>
      <c r="F25" s="1782" t="str">
        <f>IF($AD9=1,'Abweichende Schweine'!I60,IF($AE9=1,'Abweichende Schweine'!I110,""))</f>
        <v/>
      </c>
      <c r="G25" s="1783" t="str">
        <f>IF($AD9=1,'Abweichende Schweine'!J60,IF($AE9=1,'Abweichende Schweine'!J110,""))</f>
        <v/>
      </c>
      <c r="H25" s="1784" t="str">
        <f>IF($AD9=1,'Abweichende Schweine'!K60,IF($AE9=1,'Abweichende Schweine'!K110,""))</f>
        <v/>
      </c>
      <c r="I25" s="1781" t="str">
        <f>IF($AD9=1,'Abweichende Schweine'!L60,IF($AE9=1,'Abweichende Schweine'!L110,""))</f>
        <v/>
      </c>
      <c r="J25" s="1781" t="str">
        <f>IF($AD9=1,'Abweichende Schweine'!M60,IF($AE9=1,'Abweichende Schweine'!M110,""))</f>
        <v/>
      </c>
      <c r="K25" s="1782" t="str">
        <f>IF($AD9=1,'Abweichende Schweine'!N60,IF($AE9=1,'Abweichende Schweine'!N110,""))</f>
        <v/>
      </c>
      <c r="L25" s="1780" t="str">
        <f>IF($AD9=1,'Abweichende Schweine'!O60,IF($AE9=1,'Abweichende Schweine'!O110,""))</f>
        <v/>
      </c>
      <c r="M25" s="1781" t="str">
        <f>IF($AD9=1,'Abweichende Schweine'!P60,IF($AE9=1,'Abweichende Schweine'!P110,""))</f>
        <v/>
      </c>
      <c r="N25" s="1781" t="str">
        <f>IF($AD9=1,'Abweichende Schweine'!W60,IF($AE9=1,'Abweichende Schweine'!W110,""))</f>
        <v/>
      </c>
      <c r="O25" s="1781" t="str">
        <f>IF($AD9=1,'Abweichende Schweine'!X60,IF($AE9=1,'Abweichende Schweine'!X110,""))</f>
        <v/>
      </c>
      <c r="P25" s="1782" t="str">
        <f>IF($AD9=1,'Abweichende Schweine'!Y60,IF($AE9=1,'Abweichende Schweine'!Y110,""))</f>
        <v/>
      </c>
      <c r="Q25" s="1780" t="str">
        <f>IF($AD9=1,'Abweichende Schweine'!Q60,IF($AE9=1,'Abweichende Schweine'!Q110,""))</f>
        <v/>
      </c>
      <c r="R25" s="1781" t="str">
        <f>IF($AD9=1,'Abweichende Schweine'!R60,IF($AE9=1,'Abweichende Schweine'!R110,""))</f>
        <v/>
      </c>
      <c r="S25" s="1782" t="str">
        <f>IF($AD9=1,'Abweichende Schweine'!S60,IF($AE9=1,'Abweichende Schweine'!S110,""))</f>
        <v/>
      </c>
      <c r="T25" s="2108" t="str">
        <f>IF($C25="","",Tiere!AS107*100)</f>
        <v/>
      </c>
      <c r="U25" s="1817" t="str">
        <f>IF($C25="","",Tiere!AT107)</f>
        <v/>
      </c>
      <c r="V25" s="1818" t="str">
        <f>IF($C25="","",Tiere!AU107)</f>
        <v/>
      </c>
      <c r="W25" s="2108" t="str">
        <f>IF($C25="","",Tiere!AV107*100)</f>
        <v/>
      </c>
      <c r="X25" s="1817" t="str">
        <f>IF($C25="","",Tiere!AW107)</f>
        <v/>
      </c>
      <c r="Y25" s="1818" t="str">
        <f>IF($C25="","",Tiere!AX107)</f>
        <v/>
      </c>
      <c r="Z25" s="295"/>
      <c r="AA25" s="295"/>
      <c r="AB25"/>
      <c r="AC25" s="1679"/>
      <c r="AF25" s="463"/>
      <c r="AG25" s="463"/>
      <c r="AH25" s="241"/>
      <c r="AP25" s="242"/>
      <c r="AQ25" s="242"/>
    </row>
    <row r="26" spans="1:65" ht="15.75" customHeight="1" x14ac:dyDescent="0.2">
      <c r="A26" s="1769" t="s">
        <v>8630</v>
      </c>
      <c r="B26" s="1770" t="str">
        <f>IF(AD11=1,CONCATENATE(A11,"-",B11),"--")</f>
        <v>--</v>
      </c>
      <c r="C26" s="1785" t="str">
        <f>IF($AD11=1,'Abweichende Schweine'!F127,"")</f>
        <v/>
      </c>
      <c r="D26" s="1786" t="str">
        <f>IF($AD11=1,'Abweichende Schweine'!G127,"")</f>
        <v/>
      </c>
      <c r="E26" s="1787" t="str">
        <f>IF($AD11=1,'Abweichende Schweine'!H127,"")</f>
        <v/>
      </c>
      <c r="F26" s="1788" t="str">
        <f>IF($AD11=1,'Abweichende Schweine'!I127,"")</f>
        <v/>
      </c>
      <c r="G26" s="1789" t="str">
        <f>IF($AD11=1,'Abweichende Schweine'!J127,"")</f>
        <v/>
      </c>
      <c r="H26" s="1790" t="str">
        <f>IF($AD11=1,'Abweichende Schweine'!K127,"")</f>
        <v/>
      </c>
      <c r="I26" s="1787" t="str">
        <f>IF($AD11=1,'Abweichende Schweine'!L127,"")</f>
        <v/>
      </c>
      <c r="J26" s="1787" t="str">
        <f>IF($AD11=1,'Abweichende Schweine'!M127,"")</f>
        <v/>
      </c>
      <c r="K26" s="1788" t="str">
        <f>IF($AD11=1,'Abweichende Schweine'!N127,"")</f>
        <v/>
      </c>
      <c r="L26" s="1786" t="str">
        <f>IF($AD11=1,'Abweichende Schweine'!O127,"")</f>
        <v/>
      </c>
      <c r="M26" s="1787" t="str">
        <f>IF($AD11=1,'Abweichende Schweine'!P127,"")</f>
        <v/>
      </c>
      <c r="N26" s="1787" t="str">
        <f>IF($AD11=1,'Abweichende Schweine'!W127,"")</f>
        <v/>
      </c>
      <c r="O26" s="1787" t="str">
        <f>IF($AD11=1,'Abweichende Schweine'!X127,"")</f>
        <v/>
      </c>
      <c r="P26" s="1788" t="str">
        <f>IF($AD11=1,'Abweichende Schweine'!Y127,"")</f>
        <v/>
      </c>
      <c r="Q26" s="1786" t="str">
        <f>IF($AD11=1,'Abweichende Schweine'!Q127,"")</f>
        <v/>
      </c>
      <c r="R26" s="1787" t="str">
        <f>IF($AD11=1,'Abweichende Schweine'!R127,"")</f>
        <v/>
      </c>
      <c r="S26" s="1788" t="str">
        <f>IF($AD11=1,'Abweichende Schweine'!S127,"")</f>
        <v/>
      </c>
      <c r="T26" s="2109" t="str">
        <f>IF($C26="","",Tiere!AS108*100)</f>
        <v/>
      </c>
      <c r="U26" s="1819" t="str">
        <f>IF($C26="","",Tiere!AT108)</f>
        <v/>
      </c>
      <c r="V26" s="1820" t="str">
        <f>IF($C26="","",Tiere!AU108)</f>
        <v/>
      </c>
      <c r="W26" s="2109" t="str">
        <f>IF($C26="","",Tiere!AV108*100)</f>
        <v/>
      </c>
      <c r="X26" s="1819" t="str">
        <f>IF($C26="","",Tiere!AW108)</f>
        <v/>
      </c>
      <c r="Y26" s="1820" t="str">
        <f>IF($C26="","",Tiere!AX108)</f>
        <v/>
      </c>
      <c r="Z26" s="295"/>
      <c r="AA26" s="295"/>
      <c r="AB26"/>
      <c r="AC26" s="1679"/>
      <c r="AF26" s="463"/>
      <c r="AG26" s="463"/>
      <c r="AH26" s="241"/>
      <c r="AP26" s="242"/>
      <c r="AQ26" s="242"/>
    </row>
    <row r="27" spans="1:65" ht="15.75" customHeight="1" thickBot="1" x14ac:dyDescent="0.25">
      <c r="A27" s="1791" t="s">
        <v>8630</v>
      </c>
      <c r="B27" s="1792" t="str">
        <f>IF(AD12=1,CONCATENATE(A12,"-",B12),"--")</f>
        <v>--</v>
      </c>
      <c r="C27" s="1771" t="str">
        <f>IF($AD12=1,'Abweichende Schweine'!F145,"")</f>
        <v/>
      </c>
      <c r="D27" s="1772" t="str">
        <f>IF($AD12=1,'Abweichende Schweine'!G145,"")</f>
        <v/>
      </c>
      <c r="E27" s="1773" t="str">
        <f>IF($AD12=1,'Abweichende Schweine'!H145,"")</f>
        <v/>
      </c>
      <c r="F27" s="1774" t="str">
        <f>IF($AD12=1,'Abweichende Schweine'!I145,"")</f>
        <v/>
      </c>
      <c r="G27" s="1775" t="str">
        <f>IF($AD12=1,'Abweichende Schweine'!J145,"")</f>
        <v/>
      </c>
      <c r="H27" s="1776" t="str">
        <f>IF($AD12=1,'Abweichende Schweine'!K145,"")</f>
        <v/>
      </c>
      <c r="I27" s="1773" t="str">
        <f>IF($AD12=1,'Abweichende Schweine'!L145,"")</f>
        <v/>
      </c>
      <c r="J27" s="1773" t="str">
        <f>IF($AD12=1,'Abweichende Schweine'!M145,"")</f>
        <v/>
      </c>
      <c r="K27" s="1774" t="str">
        <f>IF($AD12=1,'Abweichende Schweine'!N145,"")</f>
        <v/>
      </c>
      <c r="L27" s="1772" t="str">
        <f>IF($AD12=1,'Abweichende Schweine'!O145,"")</f>
        <v/>
      </c>
      <c r="M27" s="1773" t="str">
        <f>IF($AD12=1,'Abweichende Schweine'!P145,"")</f>
        <v/>
      </c>
      <c r="N27" s="1773" t="str">
        <f>IF($AD12=1,'Abweichende Schweine'!W145,"")</f>
        <v/>
      </c>
      <c r="O27" s="1773" t="str">
        <f>IF($AD12=1,'Abweichende Schweine'!X145,"")</f>
        <v/>
      </c>
      <c r="P27" s="1774" t="str">
        <f>IF($AD12=1,'Abweichende Schweine'!Y145,"")</f>
        <v/>
      </c>
      <c r="Q27" s="1772" t="str">
        <f>IF($AD12=1,'Abweichende Schweine'!Q145,"")</f>
        <v/>
      </c>
      <c r="R27" s="1773" t="str">
        <f>IF($AD12=1,'Abweichende Schweine'!R145,"")</f>
        <v/>
      </c>
      <c r="S27" s="1774" t="str">
        <f>IF($AD12=1,'Abweichende Schweine'!S145,"")</f>
        <v/>
      </c>
      <c r="T27" s="2107" t="str">
        <f>IF($C27="","",Tiere!AS109*100)</f>
        <v/>
      </c>
      <c r="U27" s="1815" t="str">
        <f>IF($C27="","",Tiere!AT109)</f>
        <v/>
      </c>
      <c r="V27" s="1816" t="str">
        <f>IF($C27="","",Tiere!AU109)</f>
        <v/>
      </c>
      <c r="W27" s="2107" t="str">
        <f>IF($C27="","",Tiere!AV109*100)</f>
        <v/>
      </c>
      <c r="X27" s="1815" t="str">
        <f>IF($C27="","",Tiere!AW109)</f>
        <v/>
      </c>
      <c r="Y27" s="1816" t="str">
        <f>IF($C27="","",Tiere!AX109)</f>
        <v/>
      </c>
      <c r="Z27" s="295"/>
      <c r="AA27" s="295"/>
      <c r="AB27"/>
      <c r="AC27" s="1679"/>
      <c r="AF27" s="463"/>
      <c r="AG27" s="463"/>
      <c r="AH27" s="241"/>
      <c r="AP27" s="242"/>
      <c r="AQ27" s="242"/>
    </row>
    <row r="28" spans="1:65" ht="15.75" customHeight="1" x14ac:dyDescent="0.2">
      <c r="A28" s="68"/>
      <c r="B28" s="2041"/>
      <c r="C28" s="2042"/>
      <c r="D28" s="2043"/>
      <c r="E28" s="2044"/>
      <c r="F28" s="2045"/>
      <c r="G28" s="2046"/>
      <c r="H28" s="2047"/>
      <c r="I28" s="2048"/>
      <c r="J28" s="2048"/>
      <c r="K28" s="2049"/>
      <c r="L28" s="2046"/>
      <c r="M28" s="2048"/>
      <c r="N28" s="2047"/>
      <c r="O28" s="2048"/>
      <c r="P28" s="2050"/>
      <c r="Q28" s="2046"/>
      <c r="R28" s="2048"/>
      <c r="S28" s="2049"/>
      <c r="T28" s="2046"/>
      <c r="U28" s="2048"/>
      <c r="V28" s="2049"/>
      <c r="W28" s="2046"/>
      <c r="X28" s="2048"/>
      <c r="Y28" s="2049"/>
      <c r="Z28" s="601"/>
      <c r="AA28" s="601"/>
      <c r="AB28" s="120"/>
      <c r="AC28" s="241">
        <v>1</v>
      </c>
      <c r="AD28" s="241" t="str">
        <f>INDEX(Tiere!$E$119:$E$123,$AC28)</f>
        <v xml:space="preserve"> --</v>
      </c>
      <c r="AE28" s="241" t="str">
        <f>+CONCATENATE(AD28," - ",+B28)</f>
        <v xml:space="preserve"> -- - </v>
      </c>
      <c r="AG28" s="241"/>
      <c r="AH28" s="241"/>
      <c r="AP28" s="242"/>
      <c r="AQ28" s="242"/>
      <c r="BM28" s="76"/>
    </row>
    <row r="29" spans="1:65" ht="15.75" customHeight="1" x14ac:dyDescent="0.2">
      <c r="A29" s="59"/>
      <c r="B29" s="2051"/>
      <c r="C29" s="2052"/>
      <c r="D29" s="2053"/>
      <c r="E29" s="2054"/>
      <c r="F29" s="2055"/>
      <c r="G29" s="2056"/>
      <c r="H29" s="2057"/>
      <c r="I29" s="2058"/>
      <c r="J29" s="2058"/>
      <c r="K29" s="2059"/>
      <c r="L29" s="2056"/>
      <c r="M29" s="2058"/>
      <c r="N29" s="2057"/>
      <c r="O29" s="2058"/>
      <c r="P29" s="2060"/>
      <c r="Q29" s="2056"/>
      <c r="R29" s="2058"/>
      <c r="S29" s="2059"/>
      <c r="T29" s="2056"/>
      <c r="U29" s="2058"/>
      <c r="V29" s="2059"/>
      <c r="W29" s="2056"/>
      <c r="X29" s="2058"/>
      <c r="Y29" s="2059"/>
      <c r="Z29" s="601"/>
      <c r="AA29" s="601"/>
      <c r="AB29" s="12"/>
      <c r="AC29" s="241">
        <v>1</v>
      </c>
      <c r="AD29" s="241" t="str">
        <f>INDEX(Tiere!$E$119:$E$123,AC29)</f>
        <v xml:space="preserve"> --</v>
      </c>
      <c r="AE29" s="241" t="str">
        <f>+CONCATENATE(AD29," - ",+B29)</f>
        <v xml:space="preserve"> -- - </v>
      </c>
      <c r="AG29" s="241"/>
      <c r="AH29" s="241"/>
      <c r="AP29" s="242"/>
      <c r="AQ29" s="242"/>
    </row>
    <row r="30" spans="1:65" ht="15.75" customHeight="1" thickBot="1" x14ac:dyDescent="0.25">
      <c r="A30" s="58"/>
      <c r="B30" s="2051"/>
      <c r="C30" s="2052"/>
      <c r="D30" s="2053"/>
      <c r="E30" s="2054"/>
      <c r="F30" s="2055"/>
      <c r="G30" s="2056"/>
      <c r="H30" s="2057"/>
      <c r="I30" s="2058"/>
      <c r="J30" s="2058"/>
      <c r="K30" s="2059"/>
      <c r="L30" s="2056"/>
      <c r="M30" s="2058"/>
      <c r="N30" s="2057"/>
      <c r="O30" s="2058"/>
      <c r="P30" s="2060"/>
      <c r="Q30" s="2056"/>
      <c r="R30" s="2058"/>
      <c r="S30" s="2059"/>
      <c r="T30" s="2056"/>
      <c r="U30" s="2058"/>
      <c r="V30" s="2059"/>
      <c r="W30" s="2056"/>
      <c r="X30" s="2058"/>
      <c r="Y30" s="2059"/>
      <c r="Z30" s="601"/>
      <c r="AA30" s="601"/>
      <c r="AB30" s="120"/>
      <c r="AC30" s="241">
        <v>1</v>
      </c>
      <c r="AD30" s="241" t="str">
        <f>INDEX(Tiere!$E$119:$E$123,AC30)</f>
        <v xml:space="preserve"> --</v>
      </c>
      <c r="AE30" s="241" t="str">
        <f>+CONCATENATE(AD30," - ",+B30)</f>
        <v xml:space="preserve"> -- - </v>
      </c>
      <c r="AG30" s="241"/>
      <c r="AH30" s="241"/>
      <c r="AP30" s="242"/>
      <c r="AQ30" s="242"/>
    </row>
    <row r="31" spans="1:65" ht="15.75" customHeight="1" thickBot="1" x14ac:dyDescent="0.25">
      <c r="A31" s="58"/>
      <c r="B31" s="2051"/>
      <c r="C31" s="2052"/>
      <c r="D31" s="2053"/>
      <c r="E31" s="2054"/>
      <c r="F31" s="2055"/>
      <c r="G31" s="2056"/>
      <c r="H31" s="2057"/>
      <c r="I31" s="2058"/>
      <c r="J31" s="2058"/>
      <c r="K31" s="2059"/>
      <c r="L31" s="2056"/>
      <c r="M31" s="2058"/>
      <c r="N31" s="2057"/>
      <c r="O31" s="2058"/>
      <c r="P31" s="2060"/>
      <c r="Q31" s="2056"/>
      <c r="R31" s="2058"/>
      <c r="S31" s="2059"/>
      <c r="T31" s="2056"/>
      <c r="U31" s="2058"/>
      <c r="V31" s="2059"/>
      <c r="W31" s="2056"/>
      <c r="X31" s="2058"/>
      <c r="Y31" s="2059"/>
      <c r="Z31" s="601"/>
      <c r="AA31" s="601"/>
      <c r="AB31" s="120"/>
      <c r="AC31" s="241">
        <v>1</v>
      </c>
      <c r="AD31" s="241" t="str">
        <f>INDEX(Tiere!$E$119:$E$123,AC31)</f>
        <v xml:space="preserve"> --</v>
      </c>
      <c r="AE31" s="241" t="str">
        <f>+CONCATENATE(AD31," - ",+B31)</f>
        <v xml:space="preserve"> -- - </v>
      </c>
      <c r="AG31" s="241"/>
      <c r="AH31" s="241"/>
      <c r="AP31" s="242"/>
      <c r="AQ31" s="242"/>
    </row>
    <row r="32" spans="1:65" ht="15.75" customHeight="1" thickBot="1" x14ac:dyDescent="0.25">
      <c r="A32" s="58"/>
      <c r="B32" s="2061"/>
      <c r="C32" s="2062"/>
      <c r="D32" s="2063"/>
      <c r="E32" s="2064"/>
      <c r="F32" s="2065"/>
      <c r="G32" s="2066"/>
      <c r="H32" s="2067"/>
      <c r="I32" s="2068"/>
      <c r="J32" s="2068"/>
      <c r="K32" s="2069"/>
      <c r="L32" s="2066"/>
      <c r="M32" s="2068"/>
      <c r="N32" s="2067"/>
      <c r="O32" s="2068"/>
      <c r="P32" s="2070"/>
      <c r="Q32" s="2066"/>
      <c r="R32" s="2068"/>
      <c r="S32" s="2069"/>
      <c r="T32" s="2066"/>
      <c r="U32" s="2068"/>
      <c r="V32" s="2069"/>
      <c r="W32" s="2066"/>
      <c r="X32" s="2068"/>
      <c r="Y32" s="2069"/>
      <c r="Z32" s="601"/>
      <c r="AA32" s="601"/>
      <c r="AB32" s="120"/>
      <c r="AC32" s="241">
        <v>1</v>
      </c>
      <c r="AD32" s="241" t="str">
        <f>INDEX(Tiere!$E$119:$E$123,AC32)</f>
        <v xml:space="preserve"> --</v>
      </c>
      <c r="AE32" s="241" t="str">
        <f>+CONCATENATE(AD32," - ",+B32)</f>
        <v xml:space="preserve"> -- - </v>
      </c>
      <c r="AG32" s="241"/>
      <c r="AH32" s="241"/>
      <c r="AP32" s="242"/>
      <c r="AQ32" s="242"/>
    </row>
    <row r="33" spans="1:50" ht="15.75" customHeight="1" x14ac:dyDescent="0.2">
      <c r="C33" s="702" t="s">
        <v>780</v>
      </c>
      <c r="O33" s="1680"/>
      <c r="P33" s="1680"/>
      <c r="X33"/>
      <c r="Y33"/>
      <c r="Z33" s="120"/>
      <c r="AA33" s="120"/>
      <c r="AB33"/>
      <c r="AG33" s="241"/>
      <c r="AH33" s="241"/>
      <c r="AI33" s="241"/>
      <c r="AP33" s="242"/>
      <c r="AQ33" s="242"/>
      <c r="AR33" s="242"/>
    </row>
    <row r="34" spans="1:50" ht="15.75" customHeight="1" x14ac:dyDescent="0.2">
      <c r="O34" s="1680"/>
      <c r="P34" s="1680"/>
      <c r="Q34" s="1680"/>
      <c r="X34"/>
      <c r="Y34"/>
      <c r="AA34" s="120"/>
      <c r="AB34" s="120"/>
      <c r="AC34"/>
      <c r="AG34" s="241"/>
      <c r="AH34" s="241"/>
      <c r="AI34" s="241"/>
      <c r="AP34" s="242"/>
      <c r="AQ34" s="242"/>
      <c r="AR34" s="242"/>
    </row>
    <row r="35" spans="1:50" ht="15.75" customHeight="1" x14ac:dyDescent="0.2">
      <c r="A35" s="695"/>
      <c r="B35" s="1278"/>
      <c r="C35" s="696"/>
      <c r="D35" s="696"/>
      <c r="E35" s="697"/>
      <c r="F35" s="697"/>
      <c r="G35" s="696"/>
      <c r="H35" s="696"/>
      <c r="I35" s="696"/>
      <c r="J35" s="696"/>
      <c r="K35" s="696"/>
      <c r="L35" s="697"/>
      <c r="O35" s="1680"/>
      <c r="P35" s="1680"/>
      <c r="Q35" s="1680"/>
      <c r="X35"/>
      <c r="Y35"/>
      <c r="AA35" s="120"/>
      <c r="AB35" s="120"/>
      <c r="AC35"/>
      <c r="AG35" s="241"/>
      <c r="AH35" s="241"/>
    </row>
    <row r="36" spans="1:50" ht="15.75" customHeight="1" thickBot="1" x14ac:dyDescent="0.25">
      <c r="A36" s="585" t="s">
        <v>8648</v>
      </c>
      <c r="B36" s="702"/>
      <c r="C36" s="702"/>
      <c r="D36" s="1681"/>
      <c r="E36" s="1681"/>
      <c r="F36" s="1681"/>
      <c r="G36" s="702"/>
      <c r="H36" s="702"/>
      <c r="I36" s="702"/>
      <c r="J36" s="702"/>
      <c r="K36" s="702"/>
      <c r="L36" s="1681"/>
      <c r="M36" s="1681"/>
      <c r="N36" s="1681"/>
      <c r="O36" s="1681"/>
      <c r="P36" s="1681"/>
      <c r="Q36" s="702"/>
      <c r="R36" s="702"/>
      <c r="S36" s="702"/>
    </row>
    <row r="37" spans="1:50" ht="15.75" customHeight="1" x14ac:dyDescent="0.2">
      <c r="A37" s="2960" t="s">
        <v>231</v>
      </c>
      <c r="B37" s="2897" t="s">
        <v>233</v>
      </c>
      <c r="C37" s="2963" t="s">
        <v>8649</v>
      </c>
      <c r="D37" s="2964"/>
      <c r="E37" s="2964"/>
      <c r="F37" s="2965"/>
      <c r="G37" s="2969" t="s">
        <v>8650</v>
      </c>
      <c r="H37" s="2972" t="s">
        <v>8651</v>
      </c>
      <c r="I37" s="2972"/>
      <c r="J37" s="2972"/>
      <c r="K37" s="2972"/>
      <c r="L37" s="2972"/>
      <c r="M37" s="2972"/>
      <c r="N37" s="2972"/>
      <c r="O37" s="2972"/>
      <c r="P37" s="2972"/>
      <c r="Q37" s="2972"/>
      <c r="R37" s="2972"/>
      <c r="S37" s="2973"/>
      <c r="T37" s="242"/>
      <c r="U37" s="242"/>
      <c r="V37" s="242"/>
      <c r="W37" s="242"/>
      <c r="X37" s="242"/>
      <c r="Y37" s="242"/>
    </row>
    <row r="38" spans="1:50" ht="15.75" customHeight="1" x14ac:dyDescent="0.2">
      <c r="A38" s="2961"/>
      <c r="B38" s="2898"/>
      <c r="C38" s="2966"/>
      <c r="D38" s="2967"/>
      <c r="E38" s="2967"/>
      <c r="F38" s="2968"/>
      <c r="G38" s="2970"/>
      <c r="H38" s="2974" t="s">
        <v>8652</v>
      </c>
      <c r="I38" s="2974"/>
      <c r="J38" s="2975" t="s">
        <v>8589</v>
      </c>
      <c r="K38" s="2976"/>
      <c r="L38" s="2975" t="s">
        <v>8590</v>
      </c>
      <c r="M38" s="2977"/>
      <c r="N38" s="2974" t="s">
        <v>8652</v>
      </c>
      <c r="O38" s="2974"/>
      <c r="P38" s="2975" t="s">
        <v>8589</v>
      </c>
      <c r="Q38" s="2974"/>
      <c r="R38" s="2975" t="s">
        <v>8590</v>
      </c>
      <c r="S38" s="2977"/>
      <c r="T38" s="242"/>
      <c r="U38" s="242"/>
      <c r="V38" s="242"/>
      <c r="W38" s="242"/>
      <c r="X38" s="242"/>
      <c r="Y38" s="242"/>
    </row>
    <row r="39" spans="1:50" ht="15.75" customHeight="1" thickBot="1" x14ac:dyDescent="0.3">
      <c r="A39" s="2962"/>
      <c r="B39" s="2899"/>
      <c r="C39" s="2978" t="s">
        <v>8653</v>
      </c>
      <c r="D39" s="2979"/>
      <c r="E39" s="2980" t="s">
        <v>8654</v>
      </c>
      <c r="F39" s="2981"/>
      <c r="G39" s="2971"/>
      <c r="H39" s="1821" t="s">
        <v>4</v>
      </c>
      <c r="I39" s="1822" t="s">
        <v>8655</v>
      </c>
      <c r="J39" s="1823" t="s">
        <v>4</v>
      </c>
      <c r="K39" s="1822" t="s">
        <v>8655</v>
      </c>
      <c r="L39" s="1823" t="s">
        <v>4</v>
      </c>
      <c r="M39" s="1824" t="s">
        <v>8655</v>
      </c>
      <c r="N39" s="1825" t="s">
        <v>209</v>
      </c>
      <c r="O39" s="1826" t="s">
        <v>895</v>
      </c>
      <c r="P39" s="1827" t="s">
        <v>209</v>
      </c>
      <c r="Q39" s="1826" t="s">
        <v>895</v>
      </c>
      <c r="R39" s="1827" t="s">
        <v>209</v>
      </c>
      <c r="S39" s="1828" t="s">
        <v>895</v>
      </c>
      <c r="T39" s="242"/>
      <c r="U39" s="242"/>
      <c r="V39" s="242"/>
      <c r="W39" s="242"/>
      <c r="X39" s="242"/>
      <c r="Y39" s="242"/>
      <c r="AE39" s="463"/>
    </row>
    <row r="40" spans="1:50" ht="15.75" customHeight="1" x14ac:dyDescent="0.2">
      <c r="A40" s="1829" t="str">
        <f>IF(AD5+AE5=1,C5,"")</f>
        <v/>
      </c>
      <c r="B40" s="1830" t="str">
        <f>IF(AD5+AE5=1,CONCATENATE(A5,"-",B5),"--")</f>
        <v>--</v>
      </c>
      <c r="C40" s="2952" t="str">
        <f>IF($AD5=1,'Abweichende Schweine'!AG12,IF($AE5=1,'Abweichende Schweine'!AG74,""))</f>
        <v/>
      </c>
      <c r="D40" s="2953"/>
      <c r="E40" s="2954" t="str">
        <f>IF($AD5=1,'Abweichende Schweine'!AH12,IF($AE5=1,'Abweichende Schweine'!AH74,""))</f>
        <v/>
      </c>
      <c r="F40" s="2955"/>
      <c r="G40" s="1831" t="str">
        <f>IF($AD5=1,'Abweichende Schweine'!AI12,IF($AE5=1,'Abweichende Schweine'!AI74,""))</f>
        <v/>
      </c>
      <c r="H40" s="1831" t="str">
        <f>IF($AD5=1,'Abweichende Schweine'!Z12,IF($AE5=1,'Abweichende Schweine'!Z74,""))</f>
        <v/>
      </c>
      <c r="I40" s="1832" t="str">
        <f>IF($AD5=1,'Abweichende Schweine'!AA12,IF($AE5=1,'Abweichende Schweine'!AA74,""))</f>
        <v/>
      </c>
      <c r="J40" s="1833" t="str">
        <f>IF($AD5=1,'Abweichende Schweine'!AB12,IF($AE5=1,'Abweichende Schweine'!AB74,""))</f>
        <v/>
      </c>
      <c r="K40" s="1832" t="str">
        <f>IF($AD5=1,'Abweichende Schweine'!AC12,IF($AE5=1,'Abweichende Schweine'!AC74,""))</f>
        <v/>
      </c>
      <c r="L40" s="1833" t="str">
        <f>IF($AD5=1,'Abweichende Schweine'!AD12,IF($AE5=1,'Abweichende Schweine'!AD74,""))</f>
        <v/>
      </c>
      <c r="M40" s="1834" t="str">
        <f>IF($AD5=1,'Abweichende Schweine'!AE12,IF($AE5=1,'Abweichende Schweine'!AE74,""))</f>
        <v/>
      </c>
      <c r="N40" s="1831" t="str">
        <f>IF($AD5=1,'Abweichende Schweine'!AJ12,IF($AE5=1,'Abweichende Schweine'!AJ74,""))</f>
        <v/>
      </c>
      <c r="O40" s="1835" t="str">
        <f>IF($AD5=1,'Abweichende Schweine'!AK12,IF($AE5=1,'Abweichende Schweine'!AK74,""))</f>
        <v/>
      </c>
      <c r="P40" s="1833" t="str">
        <f>IF($AD5=1,'Abweichende Schweine'!AL12,IF($AE5=1,'Abweichende Schweine'!AL74,""))</f>
        <v/>
      </c>
      <c r="Q40" s="1835" t="str">
        <f>IF($AD5=1,'Abweichende Schweine'!AM12,IF($AE5=1,'Abweichende Schweine'!AM74,""))</f>
        <v/>
      </c>
      <c r="R40" s="1833" t="str">
        <f>IF($AD5=1,'Abweichende Schweine'!AN12,IF($AE5=1,'Abweichende Schweine'!AN74,""))</f>
        <v/>
      </c>
      <c r="S40" s="1834" t="str">
        <f>IF($AD5=1,'Abweichende Schweine'!AO12,IF($AE5=1,'Abweichende Schweine'!AO74,""))</f>
        <v/>
      </c>
      <c r="T40" s="242"/>
      <c r="U40" s="242"/>
      <c r="V40" s="242"/>
      <c r="W40" s="242"/>
      <c r="X40" s="242"/>
      <c r="Y40" s="242"/>
    </row>
    <row r="41" spans="1:50" ht="15.75" customHeight="1" x14ac:dyDescent="0.2">
      <c r="A41" s="1836" t="str">
        <f t="shared" ref="A41:A44" si="0">IF(AD6+AE6=1,C6,"")</f>
        <v/>
      </c>
      <c r="B41" s="1837" t="str">
        <f t="shared" ref="B41:B44" si="1">IF(AD6+AE6=1,CONCATENATE(A6,"-",B6),"--")</f>
        <v>--</v>
      </c>
      <c r="C41" s="2956" t="str">
        <f>IF($AD6=1,'Abweichende Schweine'!AG24,IF($AE6=1,'Abweichende Schweine'!AG83,""))</f>
        <v/>
      </c>
      <c r="D41" s="2957"/>
      <c r="E41" s="2958" t="str">
        <f>IF($AD6=1,'Abweichende Schweine'!AH24,IF($AE6=1,'Abweichende Schweine'!AH83,""))</f>
        <v/>
      </c>
      <c r="F41" s="2959"/>
      <c r="G41" s="1838" t="str">
        <f>IF($AD6=1,'Abweichende Schweine'!AI24,IF($AE6=1,'Abweichende Schweine'!AI83,""))</f>
        <v/>
      </c>
      <c r="H41" s="1838" t="str">
        <f>IF($AD6=1,'Abweichende Schweine'!Z24,IF($AE6=1,'Abweichende Schweine'!Z83,""))</f>
        <v/>
      </c>
      <c r="I41" s="1839" t="str">
        <f>IF($AD6=1,'Abweichende Schweine'!AA24,IF($AE6=1,'Abweichende Schweine'!AA83,""))</f>
        <v/>
      </c>
      <c r="J41" s="1840" t="str">
        <f>IF($AD6=1,'Abweichende Schweine'!AB24,IF($AE6=1,'Abweichende Schweine'!AB83,""))</f>
        <v/>
      </c>
      <c r="K41" s="1839" t="str">
        <f>IF($AD6=1,'Abweichende Schweine'!AC24,IF($AE6=1,'Abweichende Schweine'!AC83,""))</f>
        <v/>
      </c>
      <c r="L41" s="1840" t="str">
        <f>IF($AD6=1,'Abweichende Schweine'!AD24,IF($AE6=1,'Abweichende Schweine'!AD83,""))</f>
        <v/>
      </c>
      <c r="M41" s="1841" t="str">
        <f>IF($AD6=1,'Abweichende Schweine'!AE24,IF($AE6=1,'Abweichende Schweine'!AE83,""))</f>
        <v/>
      </c>
      <c r="N41" s="1842" t="str">
        <f>IF($AD6=1,'Abweichende Schweine'!AJ24,IF($AE6=1,'Abweichende Schweine'!AJ83,""))</f>
        <v/>
      </c>
      <c r="O41" s="1843" t="str">
        <f>IF($AD6=1,'Abweichende Schweine'!AK24,IF($AE6=1,'Abweichende Schweine'!AK83,""))</f>
        <v/>
      </c>
      <c r="P41" s="1840" t="str">
        <f>IF($AD6=1,'Abweichende Schweine'!AL24,IF($AE6=1,'Abweichende Schweine'!AL83,""))</f>
        <v/>
      </c>
      <c r="Q41" s="1843" t="str">
        <f>IF($AD6=1,'Abweichende Schweine'!AM24,IF($AE6=1,'Abweichende Schweine'!AM83,""))</f>
        <v/>
      </c>
      <c r="R41" s="1840" t="str">
        <f>IF($AD6=1,'Abweichende Schweine'!AN24,IF($AE6=1,'Abweichende Schweine'!AN83,""))</f>
        <v/>
      </c>
      <c r="S41" s="1844" t="str">
        <f>IF($AD6=1,'Abweichende Schweine'!AO24,IF($AE6=1,'Abweichende Schweine'!AO83,""))</f>
        <v/>
      </c>
      <c r="T41" s="242"/>
      <c r="U41" s="242"/>
      <c r="V41" s="242"/>
      <c r="W41" s="242"/>
      <c r="X41" s="242"/>
      <c r="Y41" s="242"/>
    </row>
    <row r="42" spans="1:50" ht="15.75" customHeight="1" x14ac:dyDescent="0.2">
      <c r="A42" s="1836" t="str">
        <f t="shared" si="0"/>
        <v/>
      </c>
      <c r="B42" s="1837" t="str">
        <f t="shared" si="1"/>
        <v>--</v>
      </c>
      <c r="C42" s="2956" t="str">
        <f>IF($AD7=1,'Abweichende Schweine'!AG36,IF($AE7=1,'Abweichende Schweine'!AG92,""))</f>
        <v/>
      </c>
      <c r="D42" s="2957"/>
      <c r="E42" s="2958" t="str">
        <f>IF($AD7=1,'Abweichende Schweine'!AH36,IF($AE7=1,'Abweichende Schweine'!AH92,""))</f>
        <v/>
      </c>
      <c r="F42" s="2959"/>
      <c r="G42" s="1838" t="str">
        <f>IF($AD7=1,'Abweichende Schweine'!AI36,IF($AE7=1,'Abweichende Schweine'!AI92,""))</f>
        <v/>
      </c>
      <c r="H42" s="1838" t="str">
        <f>IF($AD7=1,'Abweichende Schweine'!Z36,IF($AE7=1,'Abweichende Schweine'!Z92,""))</f>
        <v/>
      </c>
      <c r="I42" s="1839" t="str">
        <f>IF($AD7=1,'Abweichende Schweine'!AA36,IF($AE7=1,'Abweichende Schweine'!AA92,""))</f>
        <v/>
      </c>
      <c r="J42" s="1840" t="str">
        <f>IF($AD7=1,'Abweichende Schweine'!AB36,IF($AE7=1,'Abweichende Schweine'!AB92,""))</f>
        <v/>
      </c>
      <c r="K42" s="1839" t="str">
        <f>IF($AD7=1,'Abweichende Schweine'!AC36,IF($AE7=1,'Abweichende Schweine'!AC92,""))</f>
        <v/>
      </c>
      <c r="L42" s="1840" t="str">
        <f>IF($AD7=1,'Abweichende Schweine'!AD36,IF($AE7=1,'Abweichende Schweine'!AD92,""))</f>
        <v/>
      </c>
      <c r="M42" s="1841" t="str">
        <f>IF($AD7=1,'Abweichende Schweine'!AE36,IF($AE7=1,'Abweichende Schweine'!AE92,""))</f>
        <v/>
      </c>
      <c r="N42" s="1842" t="str">
        <f>IF($AD7=1,'Abweichende Schweine'!AJ36,IF($AE7=1,'Abweichende Schweine'!AJ92,""))</f>
        <v/>
      </c>
      <c r="O42" s="1843" t="str">
        <f>IF($AD7=1,'Abweichende Schweine'!AK36,IF($AE7=1,'Abweichende Schweine'!AK92,""))</f>
        <v/>
      </c>
      <c r="P42" s="1840" t="str">
        <f>IF($AD7=1,'Abweichende Schweine'!AL36,IF($AE7=1,'Abweichende Schweine'!AL92,""))</f>
        <v/>
      </c>
      <c r="Q42" s="1843" t="str">
        <f>IF($AD7=1,'Abweichende Schweine'!AM36,IF($AE7=1,'Abweichende Schweine'!AM92,""))</f>
        <v/>
      </c>
      <c r="R42" s="1840" t="str">
        <f>IF($AD7=1,'Abweichende Schweine'!AN36,IF($AE7=1,'Abweichende Schweine'!AN92,""))</f>
        <v/>
      </c>
      <c r="S42" s="1844" t="str">
        <f>IF($AD7=1,'Abweichende Schweine'!AO36,IF($AE7=1,'Abweichende Schweine'!AO92,""))</f>
        <v/>
      </c>
      <c r="T42" s="242"/>
      <c r="U42" s="242"/>
      <c r="V42" s="242"/>
      <c r="W42" s="242"/>
      <c r="X42" s="242"/>
      <c r="Y42" s="242"/>
    </row>
    <row r="43" spans="1:50" ht="15.75" customHeight="1" x14ac:dyDescent="0.2">
      <c r="A43" s="1836" t="str">
        <f t="shared" si="0"/>
        <v/>
      </c>
      <c r="B43" s="1837" t="str">
        <f t="shared" si="1"/>
        <v>--</v>
      </c>
      <c r="C43" s="2956" t="str">
        <f>IF($AD8=1,'Abweichende Schweine'!AG48,IF($AE8=1,'Abweichende Schweine'!AG101,""))</f>
        <v/>
      </c>
      <c r="D43" s="2957"/>
      <c r="E43" s="2958" t="str">
        <f>IF($AD8=1,'Abweichende Schweine'!AH48,IF($AE8=1,'Abweichende Schweine'!AH101,""))</f>
        <v/>
      </c>
      <c r="F43" s="2959"/>
      <c r="G43" s="1838" t="str">
        <f>IF($AD8=1,'Abweichende Schweine'!AI48,IF($AE8=1,'Abweichende Schweine'!AI101,""))</f>
        <v/>
      </c>
      <c r="H43" s="1838" t="str">
        <f>IF($AD8=1,'Abweichende Schweine'!Z48,IF($AE8=1,'Abweichende Schweine'!Z101,""))</f>
        <v/>
      </c>
      <c r="I43" s="1839" t="str">
        <f>IF($AD8=1,'Abweichende Schweine'!AA48,IF($AE8=1,'Abweichende Schweine'!AA101,""))</f>
        <v/>
      </c>
      <c r="J43" s="1840" t="str">
        <f>IF($AD8=1,'Abweichende Schweine'!AB48,IF($AE8=1,'Abweichende Schweine'!AB101,""))</f>
        <v/>
      </c>
      <c r="K43" s="1839" t="str">
        <f>IF($AD8=1,'Abweichende Schweine'!AC48,IF($AE8=1,'Abweichende Schweine'!AC101,""))</f>
        <v/>
      </c>
      <c r="L43" s="1840" t="str">
        <f>IF($AD8=1,'Abweichende Schweine'!AD48,IF($AE8=1,'Abweichende Schweine'!AD101,""))</f>
        <v/>
      </c>
      <c r="M43" s="1841" t="str">
        <f>IF($AD8=1,'Abweichende Schweine'!AE48,IF($AE8=1,'Abweichende Schweine'!AE101,""))</f>
        <v/>
      </c>
      <c r="N43" s="1842" t="str">
        <f>IF($AD8=1,'Abweichende Schweine'!AJ48,IF($AE8=1,'Abweichende Schweine'!AJ101,""))</f>
        <v/>
      </c>
      <c r="O43" s="1843" t="str">
        <f>IF($AD8=1,'Abweichende Schweine'!AK48,IF($AE8=1,'Abweichende Schweine'!AK101,""))</f>
        <v/>
      </c>
      <c r="P43" s="1840" t="str">
        <f>IF($AD8=1,'Abweichende Schweine'!AL48,IF($AE8=1,'Abweichende Schweine'!AL101,""))</f>
        <v/>
      </c>
      <c r="Q43" s="1843" t="str">
        <f>IF($AD8=1,'Abweichende Schweine'!AM48,IF($AE8=1,'Abweichende Schweine'!AM101,""))</f>
        <v/>
      </c>
      <c r="R43" s="1840" t="str">
        <f>IF($AD8=1,'Abweichende Schweine'!AN48,IF($AE8=1,'Abweichende Schweine'!AN101,""))</f>
        <v/>
      </c>
      <c r="S43" s="1844" t="str">
        <f>IF($AD8=1,'Abweichende Schweine'!AO48,IF($AE8=1,'Abweichende Schweine'!AO101,""))</f>
        <v/>
      </c>
      <c r="T43" s="242"/>
      <c r="U43" s="242"/>
      <c r="V43" s="242"/>
      <c r="W43" s="242"/>
      <c r="X43" s="242"/>
      <c r="Y43" s="242"/>
    </row>
    <row r="44" spans="1:50" ht="15.75" customHeight="1" thickBot="1" x14ac:dyDescent="0.25">
      <c r="A44" s="1845" t="str">
        <f t="shared" si="0"/>
        <v/>
      </c>
      <c r="B44" s="1846" t="str">
        <f t="shared" si="1"/>
        <v>--</v>
      </c>
      <c r="C44" s="2990" t="str">
        <f>IF($AD9=1,'Abweichende Schweine'!AG60,IF($AE9=1,'Abweichende Schweine'!AG110,""))</f>
        <v/>
      </c>
      <c r="D44" s="2991"/>
      <c r="E44" s="2992" t="str">
        <f>IF($AD9=1,'Abweichende Schweine'!AH60,IF($AE9=1,'Abweichende Schweine'!AH110,""))</f>
        <v/>
      </c>
      <c r="F44" s="2993"/>
      <c r="G44" s="1847" t="str">
        <f>IF($AD9=1,'Abweichende Schweine'!AI60,IF($AE9=1,'Abweichende Schweine'!AI110,""))</f>
        <v/>
      </c>
      <c r="H44" s="1847" t="str">
        <f>IF($AD9=1,'Abweichende Schweine'!Z60,IF($AE9=1,'Abweichende Schweine'!Z110,""))</f>
        <v/>
      </c>
      <c r="I44" s="1848" t="str">
        <f>IF($AD9=1,'Abweichende Schweine'!AA60,IF($AE9=1,'Abweichende Schweine'!AA110,""))</f>
        <v/>
      </c>
      <c r="J44" s="1849" t="str">
        <f>IF($AD9=1,'Abweichende Schweine'!AB60,IF($AE9=1,'Abweichende Schweine'!AB110,""))</f>
        <v/>
      </c>
      <c r="K44" s="1848" t="str">
        <f>IF($AD9=1,'Abweichende Schweine'!AC60,IF($AE9=1,'Abweichende Schweine'!AC110,""))</f>
        <v/>
      </c>
      <c r="L44" s="1849" t="str">
        <f>IF($AD9=1,'Abweichende Schweine'!AD60,IF($AE9=1,'Abweichende Schweine'!AD110,""))</f>
        <v/>
      </c>
      <c r="M44" s="1850" t="str">
        <f>IF($AD9=1,'Abweichende Schweine'!AE60,IF($AE9=1,'Abweichende Schweine'!AE110,""))</f>
        <v/>
      </c>
      <c r="N44" s="1847" t="str">
        <f>IF($AD9=1,'Abweichende Schweine'!AJ60,IF($AE9=1,'Abweichende Schweine'!AJ110,""))</f>
        <v/>
      </c>
      <c r="O44" s="1851" t="str">
        <f>IF($AD9=1,'Abweichende Schweine'!AK60,IF($AE9=1,'Abweichende Schweine'!AK110,""))</f>
        <v/>
      </c>
      <c r="P44" s="1849" t="str">
        <f>IF($AD9=1,'Abweichende Schweine'!AL60,IF($AE9=1,'Abweichende Schweine'!AL110,""))</f>
        <v/>
      </c>
      <c r="Q44" s="1851" t="str">
        <f>IF($AD9=1,'Abweichende Schweine'!AM60,IF($AE9=1,'Abweichende Schweine'!AM110,""))</f>
        <v/>
      </c>
      <c r="R44" s="1849" t="str">
        <f>IF($AD9=1,'Abweichende Schweine'!AN60,IF($AE9=1,'Abweichende Schweine'!AN110,""))</f>
        <v/>
      </c>
      <c r="S44" s="1850" t="str">
        <f>IF($AD9=1,'Abweichende Schweine'!AO60,IF($AE9=1,'Abweichende Schweine'!AO110,""))</f>
        <v/>
      </c>
      <c r="T44" s="242"/>
      <c r="U44" s="242"/>
      <c r="V44" s="242"/>
      <c r="W44" s="242"/>
      <c r="X44" s="242"/>
      <c r="Y44" s="242"/>
    </row>
    <row r="45" spans="1:50" ht="15.75" customHeight="1" x14ac:dyDescent="0.2">
      <c r="A45" s="702" t="s">
        <v>8656</v>
      </c>
      <c r="B45" s="702"/>
      <c r="C45" s="702"/>
      <c r="D45" s="1681"/>
      <c r="E45" s="1681"/>
      <c r="F45" s="1681"/>
      <c r="G45" s="702"/>
      <c r="H45" s="702"/>
      <c r="I45" s="702"/>
      <c r="J45" s="702"/>
      <c r="K45" s="702"/>
      <c r="L45" s="1681"/>
      <c r="M45" s="1681"/>
      <c r="N45" s="1681"/>
      <c r="O45" s="1681"/>
      <c r="P45" s="1681"/>
      <c r="Q45" s="702"/>
      <c r="R45" s="702"/>
      <c r="S45" s="702"/>
      <c r="T45" s="242"/>
      <c r="U45" s="242"/>
      <c r="V45" s="242"/>
      <c r="W45" s="242"/>
      <c r="X45" s="242"/>
      <c r="Y45" s="242"/>
      <c r="AA45" s="890"/>
      <c r="AB45" s="890"/>
      <c r="AC45" s="242"/>
      <c r="AD45" s="242"/>
      <c r="AE45" s="242"/>
      <c r="AF45" s="242"/>
      <c r="AH45"/>
      <c r="AI45"/>
      <c r="AJ45"/>
      <c r="AK45"/>
      <c r="AL45"/>
      <c r="AM45"/>
      <c r="AN45"/>
      <c r="AO45"/>
    </row>
    <row r="46" spans="1:50" ht="15.75" customHeight="1" x14ac:dyDescent="0.2">
      <c r="A46" s="702" t="s">
        <v>8657</v>
      </c>
      <c r="B46" s="702"/>
      <c r="C46" s="702"/>
      <c r="D46" s="1681"/>
      <c r="E46" s="1681"/>
      <c r="F46" s="1681"/>
      <c r="G46" s="702"/>
      <c r="H46" s="702"/>
      <c r="I46" s="702"/>
      <c r="J46" s="702"/>
      <c r="K46" s="702"/>
      <c r="L46" s="1681"/>
      <c r="M46" s="1681"/>
      <c r="N46" s="1681"/>
      <c r="O46" s="1681"/>
      <c r="P46" s="1681"/>
      <c r="Q46" s="702"/>
      <c r="R46" s="702"/>
      <c r="S46" s="702"/>
      <c r="T46" s="242"/>
      <c r="U46" s="242"/>
      <c r="V46" s="242"/>
      <c r="W46" s="242"/>
      <c r="X46" s="242"/>
      <c r="Y46" s="242"/>
      <c r="AA46" s="890"/>
      <c r="AB46" s="890"/>
      <c r="AC46" s="242"/>
      <c r="AD46" s="242"/>
      <c r="AE46" s="242"/>
      <c r="AF46" s="242"/>
      <c r="AH46"/>
      <c r="AI46"/>
      <c r="AJ46"/>
      <c r="AK46"/>
      <c r="AL46"/>
      <c r="AM46"/>
      <c r="AN46"/>
      <c r="AO46"/>
    </row>
    <row r="47" spans="1:50" ht="15.75" customHeight="1" x14ac:dyDescent="0.2">
      <c r="A47" s="698"/>
      <c r="B47" s="1280"/>
      <c r="C47" s="698"/>
      <c r="D47" s="698"/>
      <c r="E47" s="698"/>
      <c r="F47" s="698"/>
      <c r="G47" s="698"/>
      <c r="H47" s="698"/>
      <c r="I47" s="696"/>
      <c r="J47" s="696"/>
      <c r="K47" s="696"/>
      <c r="L47" s="697"/>
      <c r="T47" s="242"/>
      <c r="U47" s="242"/>
      <c r="V47" s="242"/>
      <c r="W47" s="242"/>
      <c r="X47" s="242"/>
      <c r="Y47" s="242"/>
      <c r="AC47" s="242"/>
      <c r="AD47" s="242"/>
      <c r="AE47" s="242"/>
      <c r="AF47" s="242"/>
      <c r="AH47"/>
      <c r="AI47"/>
      <c r="AJ47"/>
      <c r="AK47"/>
      <c r="AL47"/>
      <c r="AM47"/>
      <c r="AN47"/>
      <c r="AO47"/>
    </row>
    <row r="48" spans="1:50" ht="15.75" customHeight="1" x14ac:dyDescent="0.2">
      <c r="A48" s="696"/>
      <c r="B48" s="1279"/>
      <c r="C48" s="696"/>
      <c r="D48" s="697"/>
      <c r="E48" s="697"/>
      <c r="F48" s="697"/>
      <c r="G48" s="696"/>
      <c r="H48" s="696"/>
      <c r="I48" s="696"/>
      <c r="J48" s="696"/>
      <c r="K48" s="696"/>
      <c r="L48" s="697"/>
      <c r="T48" s="242"/>
      <c r="U48" s="242"/>
      <c r="V48" s="242"/>
      <c r="W48" s="242"/>
      <c r="X48" s="242"/>
      <c r="Y48" s="242"/>
      <c r="AA48" s="463"/>
      <c r="AC48" s="242"/>
      <c r="AD48" s="242"/>
      <c r="AE48"/>
      <c r="AF48"/>
      <c r="AG48"/>
      <c r="AH48" s="120"/>
      <c r="AI48" s="120"/>
      <c r="AJ48"/>
      <c r="AK48" s="241"/>
      <c r="AL48" s="241"/>
      <c r="AM48" s="241"/>
      <c r="AN48" s="241"/>
      <c r="AO48" s="241"/>
      <c r="AP48" s="241"/>
      <c r="AQ48" s="242"/>
      <c r="AR48" s="242"/>
      <c r="AS48" s="242"/>
      <c r="AT48" s="242"/>
      <c r="AU48" s="242"/>
      <c r="AV48" s="242"/>
      <c r="AW48" s="242"/>
      <c r="AX48" s="242"/>
    </row>
    <row r="49" spans="1:53" ht="15.75" customHeight="1" x14ac:dyDescent="0.2">
      <c r="B49" s="120"/>
      <c r="T49" s="242"/>
      <c r="U49" s="242"/>
      <c r="V49" s="242"/>
      <c r="W49" s="242"/>
      <c r="X49" s="242"/>
      <c r="Y49" s="242"/>
      <c r="AC49" s="242"/>
      <c r="AD49" s="242"/>
      <c r="AE49"/>
      <c r="AF49"/>
      <c r="AG49"/>
      <c r="AH49" s="120"/>
      <c r="AI49" s="120"/>
      <c r="AJ49"/>
      <c r="AK49" s="241"/>
      <c r="AL49" s="241"/>
      <c r="AM49" s="241"/>
      <c r="AN49" s="241"/>
      <c r="AO49" s="241"/>
      <c r="AP49" s="241"/>
      <c r="AQ49" s="242"/>
      <c r="AR49" s="242"/>
      <c r="AS49" s="242"/>
      <c r="AT49" s="242"/>
      <c r="AV49" s="2851" t="s">
        <v>8848</v>
      </c>
      <c r="AW49" s="2851" t="s">
        <v>8849</v>
      </c>
      <c r="AX49" s="242"/>
    </row>
    <row r="50" spans="1:53" ht="15.75" customHeight="1" x14ac:dyDescent="0.2">
      <c r="B50" s="120"/>
      <c r="T50" s="242"/>
      <c r="U50" s="242"/>
      <c r="V50" s="242"/>
      <c r="W50" s="242"/>
      <c r="X50" s="242"/>
      <c r="Y50" s="242"/>
      <c r="AC50" s="242"/>
      <c r="AD50" s="242"/>
      <c r="AE50"/>
      <c r="AF50"/>
      <c r="AG50"/>
      <c r="AH50" s="120"/>
      <c r="AI50" s="120"/>
      <c r="AJ50"/>
      <c r="AK50" s="241"/>
      <c r="AL50" s="241"/>
      <c r="AM50" s="241"/>
      <c r="AN50" s="241"/>
      <c r="AO50" s="241"/>
      <c r="AP50" s="241"/>
      <c r="AQ50" s="242"/>
      <c r="AR50" s="242"/>
      <c r="AS50" s="242"/>
      <c r="AT50" s="242"/>
      <c r="AU50" s="726" t="s">
        <v>472</v>
      </c>
      <c r="AV50" s="2852"/>
      <c r="AW50" s="2852"/>
      <c r="AX50" s="242"/>
    </row>
    <row r="51" spans="1:53" ht="15.75" customHeight="1" x14ac:dyDescent="0.2">
      <c r="A51" s="585" t="s">
        <v>8776</v>
      </c>
      <c r="B51" s="2130"/>
      <c r="C51" s="585"/>
      <c r="D51" s="2128"/>
      <c r="T51" s="242"/>
      <c r="U51" s="242"/>
      <c r="V51" s="242"/>
      <c r="W51" s="242"/>
      <c r="X51" s="242"/>
      <c r="Y51" s="242"/>
      <c r="AC51" s="242"/>
      <c r="AD51" s="242"/>
      <c r="AE51" t="s">
        <v>8761</v>
      </c>
      <c r="AF51" t="s">
        <v>895</v>
      </c>
      <c r="AG51" t="s">
        <v>896</v>
      </c>
      <c r="AH51" s="120"/>
      <c r="AI51" s="120" t="s">
        <v>275</v>
      </c>
      <c r="AJ51"/>
      <c r="AK51" s="241"/>
      <c r="AL51" s="241"/>
      <c r="AM51" s="241"/>
      <c r="AN51" s="241"/>
      <c r="AO51" s="241"/>
      <c r="AP51" s="241"/>
      <c r="AQ51" s="242"/>
      <c r="AR51" s="242"/>
      <c r="AS51" s="242"/>
      <c r="AT51" s="242"/>
      <c r="AU51" s="726" t="s">
        <v>8772</v>
      </c>
      <c r="AV51" s="2078" t="s">
        <v>677</v>
      </c>
      <c r="AW51" s="726" t="s">
        <v>8773</v>
      </c>
      <c r="AX51" s="242"/>
    </row>
    <row r="52" spans="1:53" ht="15.75" customHeight="1" x14ac:dyDescent="0.2">
      <c r="B52" s="120"/>
      <c r="L52"/>
      <c r="T52" s="242"/>
      <c r="U52" s="242"/>
      <c r="V52" s="242"/>
      <c r="W52" s="242"/>
      <c r="X52" s="242"/>
      <c r="Y52" s="242"/>
      <c r="AC52" s="242"/>
      <c r="AD52" s="242"/>
      <c r="AE52">
        <f>B55*C55</f>
        <v>0</v>
      </c>
      <c r="AF52">
        <f>B55*E55</f>
        <v>0</v>
      </c>
      <c r="AG52">
        <f>B55*G55</f>
        <v>0</v>
      </c>
      <c r="AH52" s="120"/>
      <c r="AI52" s="120"/>
      <c r="AJ52"/>
      <c r="AK52" s="241"/>
      <c r="AL52" s="241"/>
      <c r="AM52" s="241"/>
      <c r="AN52" s="241"/>
      <c r="AO52" s="241"/>
      <c r="AP52" s="241"/>
      <c r="AQ52" s="242"/>
      <c r="AR52" s="242"/>
      <c r="AS52" s="242"/>
      <c r="AT52" s="242"/>
      <c r="AU52" s="242">
        <f>$B$55*(K55/100)</f>
        <v>0</v>
      </c>
      <c r="AV52" s="242">
        <f>(M55*1000*AU52)/1000</f>
        <v>0</v>
      </c>
      <c r="AW52" s="242">
        <f>AV52*(O55/100)</f>
        <v>0</v>
      </c>
      <c r="AX52" s="242"/>
    </row>
    <row r="53" spans="1:53" ht="15.75" customHeight="1" thickBot="1" x14ac:dyDescent="0.25">
      <c r="A53" s="2153" t="s">
        <v>8757</v>
      </c>
      <c r="B53" s="599"/>
      <c r="C53" s="726"/>
      <c r="D53" s="2123"/>
      <c r="E53" s="2123"/>
      <c r="F53" s="2123"/>
      <c r="G53" s="726"/>
      <c r="H53" s="726"/>
      <c r="I53" s="726"/>
      <c r="K53" s="726"/>
      <c r="L53" s="726"/>
      <c r="M53" s="2853"/>
      <c r="N53" s="2854"/>
      <c r="O53" s="2853"/>
      <c r="P53" s="2854"/>
      <c r="T53" s="242"/>
      <c r="U53" s="242"/>
      <c r="V53" s="242"/>
      <c r="W53" s="242"/>
      <c r="X53" s="242"/>
      <c r="Y53" s="242"/>
      <c r="AC53" s="242"/>
      <c r="AD53" s="242"/>
      <c r="AE53"/>
      <c r="AF53"/>
      <c r="AG53"/>
      <c r="AH53" s="120"/>
      <c r="AI53" s="120"/>
      <c r="AJ53"/>
      <c r="AK53" s="241"/>
      <c r="AL53" s="241"/>
      <c r="AM53" s="241"/>
      <c r="AN53" s="241"/>
      <c r="AO53" s="241"/>
      <c r="AP53" s="241"/>
      <c r="AQ53" s="242"/>
      <c r="AR53" s="242"/>
      <c r="AS53" s="242"/>
      <c r="AT53" s="242"/>
      <c r="AU53" s="242"/>
      <c r="AV53" s="242"/>
      <c r="AW53" s="242"/>
      <c r="AX53" s="242"/>
    </row>
    <row r="54" spans="1:53" ht="15.75" customHeight="1" x14ac:dyDescent="0.2">
      <c r="A54" s="2143" t="s">
        <v>8758</v>
      </c>
      <c r="B54" s="2144" t="s">
        <v>8759</v>
      </c>
      <c r="C54" s="2856" t="s">
        <v>8760</v>
      </c>
      <c r="D54" s="2857"/>
      <c r="E54" s="2856" t="s">
        <v>8666</v>
      </c>
      <c r="F54" s="2857"/>
      <c r="G54" s="2856" t="s">
        <v>8667</v>
      </c>
      <c r="H54" s="2857"/>
      <c r="I54" s="2856" t="s">
        <v>281</v>
      </c>
      <c r="J54" s="2862"/>
      <c r="K54" s="2865"/>
      <c r="L54" s="2853"/>
      <c r="M54" s="2853"/>
      <c r="N54" s="2853"/>
      <c r="O54" s="2853"/>
      <c r="P54" s="2853"/>
      <c r="Q54" s="57"/>
      <c r="T54" s="242"/>
      <c r="U54" s="242"/>
      <c r="V54" s="242"/>
      <c r="W54" s="242"/>
      <c r="X54" s="242"/>
      <c r="Y54" s="242"/>
      <c r="AA54" s="120"/>
      <c r="AB54" s="120"/>
      <c r="AC54"/>
      <c r="AF54" s="242"/>
      <c r="AH54"/>
      <c r="AI54"/>
      <c r="AJ54"/>
      <c r="AK54" s="120"/>
      <c r="AL54" s="120"/>
      <c r="AM54"/>
      <c r="AN54" s="241"/>
      <c r="AO54" s="241"/>
      <c r="AP54" s="241"/>
      <c r="AQ54" s="241"/>
      <c r="AR54" s="241"/>
      <c r="AS54" s="241"/>
      <c r="AT54" s="242"/>
      <c r="AU54" s="726" t="s">
        <v>472</v>
      </c>
      <c r="AV54" t="s">
        <v>8848</v>
      </c>
      <c r="AW54" t="s">
        <v>8849</v>
      </c>
      <c r="BA54" s="242"/>
    </row>
    <row r="55" spans="1:53" ht="15.75" customHeight="1" thickBot="1" x14ac:dyDescent="0.25">
      <c r="A55" s="2145" t="s">
        <v>220</v>
      </c>
      <c r="B55" s="2146">
        <f>('Nährstoffe und Lagerraum'!EZ88+'Nährstoffe und Lagerraum'!FA88)/2</f>
        <v>0</v>
      </c>
      <c r="C55" s="2863">
        <v>5</v>
      </c>
      <c r="D55" s="2871"/>
      <c r="E55" s="2863">
        <v>3</v>
      </c>
      <c r="F55" s="2871"/>
      <c r="G55" s="2863">
        <v>17</v>
      </c>
      <c r="H55" s="2871"/>
      <c r="I55" s="2863">
        <v>86</v>
      </c>
      <c r="J55" s="2864"/>
      <c r="K55" s="2855"/>
      <c r="L55" s="2855"/>
      <c r="M55" s="2855"/>
      <c r="N55" s="2855"/>
      <c r="O55" s="2854"/>
      <c r="P55" s="2854"/>
      <c r="Q55" s="57"/>
      <c r="T55" s="242"/>
      <c r="U55" s="242"/>
      <c r="V55" s="242"/>
      <c r="W55" s="242"/>
      <c r="X55" s="242"/>
      <c r="Y55" s="242"/>
      <c r="AA55" s="120"/>
      <c r="AB55" s="120"/>
      <c r="AC55"/>
      <c r="AG55" s="241"/>
      <c r="AH55" s="120" t="s">
        <v>276</v>
      </c>
      <c r="AI55" s="241"/>
      <c r="AL55"/>
      <c r="AM55"/>
      <c r="AN55"/>
      <c r="AP55" s="120"/>
      <c r="AQ55" s="241"/>
      <c r="AR55" s="241"/>
      <c r="AS55" s="241"/>
      <c r="AT55" s="242"/>
      <c r="AU55" s="696" t="s">
        <v>8772</v>
      </c>
      <c r="AV55" s="726" t="s">
        <v>677</v>
      </c>
      <c r="AW55" s="726"/>
      <c r="BA55" s="242"/>
    </row>
    <row r="56" spans="1:53" ht="15.6" customHeight="1" x14ac:dyDescent="0.2">
      <c r="K56" s="726"/>
      <c r="L56" s="726"/>
      <c r="M56" s="726"/>
      <c r="N56" s="726"/>
      <c r="O56" s="726"/>
      <c r="P56" s="726"/>
      <c r="T56" s="242"/>
      <c r="U56" s="242"/>
      <c r="V56" s="242"/>
      <c r="W56" s="242"/>
      <c r="X56" s="242"/>
      <c r="Y56" s="242"/>
      <c r="Z56" s="242"/>
      <c r="AE56">
        <f>$B59*C59</f>
        <v>0</v>
      </c>
      <c r="AF56">
        <f>$B59*E59</f>
        <v>0</v>
      </c>
      <c r="AG56">
        <f>$B59*G59</f>
        <v>0</v>
      </c>
      <c r="AH56" s="120">
        <f>B59*I59</f>
        <v>0</v>
      </c>
      <c r="AI56" s="120"/>
      <c r="AJ56"/>
      <c r="AK56" s="241"/>
      <c r="AL56" s="241"/>
      <c r="AM56" s="241"/>
      <c r="AP56" s="242"/>
      <c r="AT56" s="242"/>
      <c r="AU56" s="2127">
        <f>B59*(I59/100)*(K59/100)</f>
        <v>0</v>
      </c>
      <c r="AV56" s="2127">
        <f>(AU56*M59)/1000</f>
        <v>0</v>
      </c>
      <c r="AW56" s="2129">
        <f>AV56*(O59/100)</f>
        <v>0</v>
      </c>
    </row>
    <row r="57" spans="1:53" ht="15.75" customHeight="1" thickBot="1" x14ac:dyDescent="0.25">
      <c r="A57" s="585" t="s">
        <v>8762</v>
      </c>
      <c r="K57" s="726"/>
      <c r="L57" s="726"/>
      <c r="M57" s="2853"/>
      <c r="N57" s="2854"/>
      <c r="O57" s="2853"/>
      <c r="P57" s="2854"/>
      <c r="T57" s="242"/>
      <c r="U57" s="242"/>
      <c r="V57" s="242"/>
      <c r="W57" s="242"/>
      <c r="X57" s="242"/>
      <c r="Y57" s="242"/>
      <c r="Z57" s="242"/>
      <c r="AE57">
        <f>$B60*C60</f>
        <v>0</v>
      </c>
      <c r="AF57">
        <f>$B60*E60</f>
        <v>0</v>
      </c>
      <c r="AG57">
        <f>$B60*G60</f>
        <v>0</v>
      </c>
      <c r="AH57" s="120">
        <f>B60*I60</f>
        <v>0</v>
      </c>
      <c r="AI57" s="120"/>
      <c r="AJ57"/>
      <c r="AK57" s="241"/>
      <c r="AL57" s="241"/>
      <c r="AM57" s="241"/>
      <c r="AP57" s="242"/>
      <c r="AT57" s="242"/>
      <c r="AU57" s="2127">
        <f>B60*(I60/100)*(K60/100)</f>
        <v>0</v>
      </c>
      <c r="AV57" s="2127">
        <f>(AU57*M60)/1000</f>
        <v>0</v>
      </c>
      <c r="AW57" s="2127">
        <f>AV57*(O60/100)</f>
        <v>0</v>
      </c>
    </row>
    <row r="58" spans="1:53" ht="15.75" customHeight="1" thickBot="1" x14ac:dyDescent="0.25">
      <c r="A58" s="2147" t="s">
        <v>8758</v>
      </c>
      <c r="B58" s="2148" t="s">
        <v>8763</v>
      </c>
      <c r="C58" s="2869" t="s">
        <v>8760</v>
      </c>
      <c r="D58" s="2872"/>
      <c r="E58" s="2856" t="s">
        <v>8666</v>
      </c>
      <c r="F58" s="2857"/>
      <c r="G58" s="2856" t="s">
        <v>8667</v>
      </c>
      <c r="H58" s="2857"/>
      <c r="I58" s="2869" t="s">
        <v>281</v>
      </c>
      <c r="J58" s="2870"/>
      <c r="K58" s="2865"/>
      <c r="L58" s="2853"/>
      <c r="M58" s="2854"/>
      <c r="N58" s="2854"/>
      <c r="O58" s="2854"/>
      <c r="P58" s="2854"/>
      <c r="T58" s="242"/>
      <c r="U58" s="242"/>
      <c r="V58" s="242"/>
      <c r="W58" s="242"/>
      <c r="X58" s="242"/>
      <c r="Y58" s="242"/>
      <c r="Z58" s="241"/>
      <c r="AB58" s="242"/>
      <c r="AC58" s="242"/>
      <c r="AE58">
        <f>$B61*C61</f>
        <v>0</v>
      </c>
      <c r="AF58">
        <f>$B61*E61</f>
        <v>0</v>
      </c>
      <c r="AG58">
        <f>$B61*G61</f>
        <v>0</v>
      </c>
      <c r="AH58" s="120">
        <f>B61*I61</f>
        <v>0</v>
      </c>
      <c r="AI58" s="120"/>
      <c r="AM58"/>
      <c r="AN58" s="241"/>
      <c r="AO58" s="241"/>
      <c r="AP58" s="241"/>
      <c r="AQ58" s="242"/>
      <c r="AR58" s="242"/>
      <c r="AS58" s="242"/>
      <c r="AU58" s="2127">
        <f>B61*(I61/100)*(K61/100)</f>
        <v>0</v>
      </c>
      <c r="AV58" s="2127">
        <f>(AU58*M61)/1000</f>
        <v>0</v>
      </c>
      <c r="AW58" s="2127">
        <f>AV58*(O61/100)</f>
        <v>0</v>
      </c>
    </row>
    <row r="59" spans="1:53" ht="15.75" customHeight="1" x14ac:dyDescent="0.2">
      <c r="A59" s="2149" t="s">
        <v>220</v>
      </c>
      <c r="B59" s="2150"/>
      <c r="C59" s="2873">
        <v>5</v>
      </c>
      <c r="D59" s="2875"/>
      <c r="E59" s="2873">
        <v>3</v>
      </c>
      <c r="F59" s="2875"/>
      <c r="G59" s="2873">
        <v>17</v>
      </c>
      <c r="H59" s="2875"/>
      <c r="I59" s="2873">
        <v>86</v>
      </c>
      <c r="J59" s="2874"/>
      <c r="K59" s="2854"/>
      <c r="L59" s="2854"/>
      <c r="M59" s="2860"/>
      <c r="N59" s="2860"/>
      <c r="O59" s="2860"/>
      <c r="P59" s="2860"/>
      <c r="T59" s="242"/>
      <c r="U59" s="242"/>
      <c r="V59" s="242"/>
      <c r="W59" s="242"/>
      <c r="X59" s="242"/>
      <c r="Y59" s="242"/>
      <c r="Z59" s="241"/>
      <c r="AB59" s="242"/>
      <c r="AC59" s="242"/>
      <c r="AE59">
        <f>$B62*C62</f>
        <v>0</v>
      </c>
      <c r="AF59">
        <f>$B62*E62</f>
        <v>0</v>
      </c>
      <c r="AG59">
        <f>$B62*G62</f>
        <v>0</v>
      </c>
      <c r="AH59" s="120">
        <f>B62*I62</f>
        <v>0</v>
      </c>
      <c r="AI59" s="120"/>
      <c r="AM59"/>
      <c r="AN59" s="241"/>
      <c r="AO59" s="241"/>
      <c r="AP59" s="241"/>
      <c r="AQ59" s="242"/>
      <c r="AR59" s="242"/>
      <c r="AS59" s="242"/>
      <c r="AU59" s="2127">
        <f>B62*(I62/100)*(K62/100)</f>
        <v>0</v>
      </c>
      <c r="AV59" s="2127">
        <f>(AU59*M62)/1000</f>
        <v>0</v>
      </c>
      <c r="AW59" s="2127">
        <f>AV59*(O62/100)</f>
        <v>0</v>
      </c>
    </row>
    <row r="60" spans="1:53" ht="15.75" customHeight="1" thickBot="1" x14ac:dyDescent="0.25">
      <c r="A60" s="2151" t="s">
        <v>829</v>
      </c>
      <c r="B60" s="1504"/>
      <c r="C60" s="2876">
        <v>11</v>
      </c>
      <c r="D60" s="2987"/>
      <c r="E60" s="2876">
        <v>4</v>
      </c>
      <c r="F60" s="2987"/>
      <c r="G60" s="2876">
        <v>15.6</v>
      </c>
      <c r="H60" s="2987"/>
      <c r="I60" s="2876">
        <v>86</v>
      </c>
      <c r="J60" s="2877"/>
      <c r="K60" s="2866"/>
      <c r="L60" s="2867"/>
      <c r="M60" s="2861"/>
      <c r="N60" s="2861"/>
      <c r="O60" s="2861"/>
      <c r="P60" s="2861"/>
      <c r="T60" s="242"/>
      <c r="U60" s="242"/>
      <c r="V60" s="242"/>
      <c r="W60" s="242"/>
      <c r="X60" s="242"/>
      <c r="Y60" s="242"/>
      <c r="Z60" s="241"/>
      <c r="AB60" s="242"/>
      <c r="AC60" s="242"/>
      <c r="AE60" s="2140">
        <f>$B63*C63</f>
        <v>0</v>
      </c>
      <c r="AF60" s="2140">
        <f>$B63*E63</f>
        <v>0</v>
      </c>
      <c r="AG60" s="2140">
        <f>$B63*G63</f>
        <v>0</v>
      </c>
      <c r="AH60" s="2141">
        <f>B63*I63</f>
        <v>0</v>
      </c>
      <c r="AI60" s="120"/>
      <c r="AM60"/>
      <c r="AN60" s="241"/>
      <c r="AO60" s="241"/>
      <c r="AP60" s="241"/>
      <c r="AQ60" s="242"/>
      <c r="AR60" s="242"/>
      <c r="AS60" s="242"/>
      <c r="AU60" s="2142">
        <f>B63*(I63/100)*(K63/100)</f>
        <v>0</v>
      </c>
      <c r="AV60" s="2142">
        <f>(AU60*M63)/1000</f>
        <v>0</v>
      </c>
      <c r="AW60" s="2142">
        <f>AV60*(O63/100)</f>
        <v>0</v>
      </c>
    </row>
    <row r="61" spans="1:53" ht="15.75" customHeight="1" thickTop="1" x14ac:dyDescent="0.2">
      <c r="A61" s="2151" t="s">
        <v>8764</v>
      </c>
      <c r="B61" s="2170"/>
      <c r="C61" s="2988">
        <v>2.7</v>
      </c>
      <c r="D61" s="2989"/>
      <c r="E61" s="2988">
        <v>0.5</v>
      </c>
      <c r="F61" s="2989"/>
      <c r="G61" s="2988">
        <v>1.5</v>
      </c>
      <c r="H61" s="2989"/>
      <c r="I61" s="2878">
        <v>70</v>
      </c>
      <c r="J61" s="2879"/>
      <c r="K61" s="2868"/>
      <c r="L61" s="2855"/>
      <c r="M61" s="2855"/>
      <c r="N61" s="2855"/>
      <c r="O61" s="2855"/>
      <c r="P61" s="2855"/>
      <c r="T61" s="242"/>
      <c r="U61" s="242"/>
      <c r="V61" s="242"/>
      <c r="W61" s="242"/>
      <c r="X61" s="242"/>
      <c r="Y61" s="242"/>
      <c r="Z61" s="241"/>
      <c r="AB61" s="242"/>
      <c r="AC61" s="242"/>
      <c r="AE61">
        <f>SUM(AE56:AE60)</f>
        <v>0</v>
      </c>
      <c r="AF61">
        <f>SUM(AF56:AF60)</f>
        <v>0</v>
      </c>
      <c r="AG61">
        <f>SUM(AG56:AG60)</f>
        <v>0</v>
      </c>
      <c r="AH61" s="120">
        <f>IF(OR(AI61=0,B55&gt;AI61),I55,SUM(AH56:AH60)/AI61)</f>
        <v>86</v>
      </c>
      <c r="AI61" s="120">
        <f>SUM(B59:B63)</f>
        <v>0</v>
      </c>
      <c r="AM61"/>
      <c r="AN61" s="241"/>
      <c r="AO61" s="241"/>
      <c r="AP61" s="241"/>
      <c r="AQ61" s="242"/>
      <c r="AR61" s="242"/>
      <c r="AS61" s="242"/>
      <c r="AU61" s="2127">
        <f>SUM(AU56:AU57)</f>
        <v>0</v>
      </c>
      <c r="AV61" s="2127">
        <f>SUM(AV56:AV57)</f>
        <v>0</v>
      </c>
      <c r="AW61" s="2127">
        <f>SUM(AW56:AW57)</f>
        <v>0</v>
      </c>
    </row>
    <row r="62" spans="1:53" ht="15.75" customHeight="1" x14ac:dyDescent="0.2">
      <c r="A62" s="2151" t="s">
        <v>8765</v>
      </c>
      <c r="B62" s="1504"/>
      <c r="C62" s="2876">
        <v>0.5</v>
      </c>
      <c r="D62" s="2987"/>
      <c r="E62" s="2876">
        <v>0.2</v>
      </c>
      <c r="F62" s="2987"/>
      <c r="G62" s="2876">
        <v>0.5</v>
      </c>
      <c r="H62" s="2987"/>
      <c r="I62" s="2876">
        <v>70</v>
      </c>
      <c r="J62" s="2877"/>
      <c r="K62" s="2868"/>
      <c r="L62" s="2855"/>
      <c r="M62" s="2855"/>
      <c r="N62" s="2855"/>
      <c r="O62" s="2855"/>
      <c r="P62" s="2855"/>
      <c r="T62" s="242"/>
      <c r="U62" s="242"/>
      <c r="V62" s="242"/>
      <c r="W62" s="242"/>
      <c r="X62" s="242"/>
      <c r="Y62" s="242"/>
      <c r="Z62" s="241"/>
      <c r="AB62" s="242"/>
      <c r="AC62" s="242"/>
      <c r="AE62"/>
      <c r="AF62"/>
      <c r="AG62"/>
      <c r="AH62" s="120"/>
      <c r="AI62" s="120"/>
      <c r="AM62"/>
      <c r="AN62" s="241"/>
      <c r="AO62" s="241"/>
      <c r="AP62" s="241"/>
      <c r="AQ62" s="242"/>
      <c r="AR62" s="242"/>
      <c r="AS62" s="242"/>
      <c r="AT62" s="2127"/>
      <c r="AU62" s="2127"/>
      <c r="AV62" s="2127"/>
      <c r="AW62" s="242"/>
    </row>
    <row r="63" spans="1:53" ht="15.75" customHeight="1" thickBot="1" x14ac:dyDescent="0.25">
      <c r="A63" s="2145" t="s">
        <v>8766</v>
      </c>
      <c r="B63" s="2152"/>
      <c r="C63" s="2863">
        <v>1.5</v>
      </c>
      <c r="D63" s="2871"/>
      <c r="E63" s="2863">
        <v>1.2</v>
      </c>
      <c r="F63" s="2871"/>
      <c r="G63" s="2863">
        <v>4.2</v>
      </c>
      <c r="H63" s="2871"/>
      <c r="I63" s="2863">
        <v>80</v>
      </c>
      <c r="J63" s="2864"/>
      <c r="K63" s="2855"/>
      <c r="L63" s="2855"/>
      <c r="M63" s="2861"/>
      <c r="N63" s="2861"/>
      <c r="O63" s="2861"/>
      <c r="P63" s="2861"/>
      <c r="T63" s="242"/>
      <c r="U63" s="242"/>
      <c r="V63" s="242"/>
      <c r="W63" s="242"/>
      <c r="X63" s="242"/>
      <c r="Y63" s="242"/>
      <c r="Z63" s="241"/>
      <c r="AB63" s="242"/>
      <c r="AC63" s="242"/>
      <c r="AE63" t="s">
        <v>8768</v>
      </c>
      <c r="AF63"/>
      <c r="AG63"/>
      <c r="AH63" s="120"/>
      <c r="AI63" s="120" t="s">
        <v>8769</v>
      </c>
      <c r="AM63"/>
      <c r="AN63" s="241"/>
      <c r="AO63" s="241"/>
      <c r="AP63" s="241"/>
      <c r="AQ63" s="242"/>
      <c r="AR63" s="242"/>
      <c r="AS63" s="242"/>
      <c r="AT63" s="242"/>
      <c r="AU63" s="242"/>
      <c r="AV63" s="242"/>
      <c r="AW63" s="242"/>
    </row>
    <row r="64" spans="1:53" ht="15.75" customHeight="1" x14ac:dyDescent="0.2">
      <c r="A64" s="2858" t="s">
        <v>8767</v>
      </c>
      <c r="B64" s="2858"/>
      <c r="C64" s="2858"/>
      <c r="D64" s="2858"/>
      <c r="E64" s="2858"/>
      <c r="F64" s="2858"/>
      <c r="G64" s="2858"/>
      <c r="H64" s="2858"/>
      <c r="I64" s="2858"/>
      <c r="J64" s="2858"/>
      <c r="K64" s="2859"/>
      <c r="L64" s="2859"/>
      <c r="M64" s="2859"/>
      <c r="N64" s="2859"/>
      <c r="O64" s="2859"/>
      <c r="P64" s="2859"/>
      <c r="AE64">
        <f>IF(OR($AI$61&lt;$B$55-0.00001,AND($B$55=0,$AI$61=0)),C55,AE61/$AI$61)</f>
        <v>5</v>
      </c>
      <c r="AF64">
        <f>IF(OR($AI$61&lt;$B$55-0.00001,AND($B$55=0,$AI$61=0)),E55,AF61/$AI$61)</f>
        <v>3</v>
      </c>
      <c r="AG64">
        <f>IF(OR($AI$61&lt;$B$55-0.00001,AND($B$55=0,$AI$61=0)),G55,AG61/$AI$61)</f>
        <v>17</v>
      </c>
      <c r="AH64" s="120">
        <f>IF(OR(B55=0,AI61&lt;$B$55),1,AI61/B55)</f>
        <v>1</v>
      </c>
      <c r="AN64" s="241"/>
      <c r="AO64" s="241"/>
      <c r="AP64" s="241"/>
      <c r="AQ64" s="242"/>
      <c r="AR64" s="242"/>
      <c r="AS64" s="242"/>
      <c r="AT64" s="242"/>
      <c r="AU64" s="242">
        <f>IF(OR($AI$61&lt;$B$55-0.1,AND($B$55=0,$AI$61=0)),K55,AU61/$AI$61)</f>
        <v>0</v>
      </c>
      <c r="AV64" s="242">
        <f>IF(OR($AI$61&lt;$B$55-0.1,AND($B$55=0,$AI$61=0)),M55,AV61/$AI$61)</f>
        <v>0</v>
      </c>
      <c r="AW64" s="242">
        <f>IF(OR($AI$61&lt;$B$55-0.1,AND($B$55=0,$AI$61=0)),O55,AW61/$AI$61)</f>
        <v>0</v>
      </c>
      <c r="AX64" s="242"/>
    </row>
    <row r="65" spans="1:50" ht="15.75" customHeight="1" x14ac:dyDescent="0.2">
      <c r="A65" s="2859"/>
      <c r="B65" s="2859"/>
      <c r="C65" s="2859"/>
      <c r="D65" s="2859"/>
      <c r="E65" s="2859"/>
      <c r="F65" s="2859"/>
      <c r="G65" s="2859"/>
      <c r="H65" s="2859"/>
      <c r="I65" s="2859"/>
      <c r="J65" s="2859"/>
      <c r="K65" s="2859"/>
      <c r="L65" s="2859"/>
      <c r="M65" s="2859"/>
      <c r="N65" s="2859"/>
      <c r="O65" s="2859"/>
      <c r="P65" s="2859"/>
      <c r="AE65"/>
      <c r="AF65"/>
      <c r="AG65"/>
      <c r="AH65" s="120"/>
      <c r="AI65" s="120"/>
      <c r="AN65" s="241"/>
      <c r="AO65" s="241"/>
      <c r="AP65" s="241"/>
      <c r="AQ65" s="242"/>
      <c r="AR65" s="242"/>
      <c r="AS65" s="242"/>
      <c r="AT65" s="242"/>
      <c r="AU65" s="242"/>
      <c r="AV65" s="242"/>
      <c r="AW65" s="242"/>
      <c r="AX65" s="242"/>
    </row>
    <row r="66" spans="1:50" ht="15.75" customHeight="1" x14ac:dyDescent="0.2">
      <c r="AE66"/>
      <c r="AF66"/>
      <c r="AG66"/>
      <c r="AH66" s="120"/>
      <c r="AI66" s="120"/>
      <c r="AN66" s="241"/>
      <c r="AO66" s="241"/>
      <c r="AP66" s="241"/>
      <c r="AQ66" s="242"/>
      <c r="AR66" s="242"/>
      <c r="AS66" s="242"/>
      <c r="AT66" s="242"/>
      <c r="AU66" s="242"/>
      <c r="AV66" s="242"/>
      <c r="AW66" s="242"/>
      <c r="AX66" s="242"/>
    </row>
    <row r="67" spans="1:50" ht="15.75" customHeight="1" x14ac:dyDescent="0.2">
      <c r="AE67" t="s">
        <v>8775</v>
      </c>
      <c r="AF67"/>
      <c r="AG67">
        <f>+B55-B59</f>
        <v>0</v>
      </c>
      <c r="AH67" s="120">
        <f>IF(AG67&lt;0,AG67*(-1),0)</f>
        <v>0</v>
      </c>
      <c r="AI67" s="120"/>
      <c r="AN67" s="241"/>
      <c r="AO67" s="241"/>
      <c r="AP67" s="241"/>
      <c r="AQ67" s="242"/>
      <c r="AR67" s="242"/>
      <c r="AS67" s="242"/>
      <c r="AT67" s="242"/>
      <c r="AU67" s="242"/>
      <c r="AV67" s="242"/>
      <c r="AW67" s="242"/>
      <c r="AX67" s="242"/>
    </row>
    <row r="68" spans="1:50" ht="15.75" customHeight="1" x14ac:dyDescent="0.2">
      <c r="AE68"/>
      <c r="AF68"/>
      <c r="AG68"/>
      <c r="AH68" s="120"/>
      <c r="AI68" s="120"/>
      <c r="AN68" s="241"/>
      <c r="AO68" s="241"/>
      <c r="AP68" s="241"/>
      <c r="AQ68" s="242"/>
      <c r="AR68" s="242"/>
      <c r="AS68" s="242"/>
      <c r="AT68" s="242"/>
      <c r="AU68" s="242"/>
      <c r="AV68" s="242"/>
      <c r="AW68" s="242"/>
      <c r="AX68" s="242"/>
    </row>
    <row r="69" spans="1:50" ht="15.75" customHeight="1" x14ac:dyDescent="0.2">
      <c r="AC69" s="242"/>
      <c r="AD69" s="242"/>
      <c r="AE69" s="242"/>
      <c r="AF69" s="242"/>
      <c r="AH69"/>
      <c r="AI69"/>
      <c r="AJ69"/>
      <c r="AK69"/>
      <c r="AL69"/>
      <c r="AM69"/>
      <c r="AN69"/>
      <c r="AO69"/>
    </row>
    <row r="70" spans="1:50" ht="15.75" customHeight="1" x14ac:dyDescent="0.2">
      <c r="AC70" s="242"/>
      <c r="AD70" s="242"/>
      <c r="AE70" s="242"/>
      <c r="AF70" s="242"/>
      <c r="AH70"/>
      <c r="AI70"/>
      <c r="AJ70"/>
      <c r="AK70"/>
      <c r="AL70"/>
      <c r="AM70"/>
      <c r="AN70"/>
      <c r="AO70"/>
    </row>
    <row r="71" spans="1:50" ht="15.75" customHeight="1" x14ac:dyDescent="0.2">
      <c r="AC71" s="242"/>
      <c r="AD71" s="242"/>
      <c r="AE71" s="242"/>
      <c r="AF71" s="242"/>
      <c r="AH71"/>
      <c r="AI71"/>
      <c r="AJ71"/>
      <c r="AK71"/>
      <c r="AL71"/>
      <c r="AM71"/>
      <c r="AN71"/>
      <c r="AO71"/>
    </row>
  </sheetData>
  <sheetProtection algorithmName="SHA-512" hashValue="8OD73uAtmDc0UBNk/zsK/3nPUjTowpYNkU4mkKO9YuOoZWMBLF3P/bX3usnJ4i40bEW3o5sQmlIGzx37AxICpw==" saltValue="xq4Dn33Cm3xBICaLOaPq2g==" spinCount="100000" sheet="1" objects="1" scenarios="1"/>
  <customSheetViews>
    <customSheetView guid="{DDA6E6AA-9473-49A0-A3A2-76E4959B79AF}" hiddenColumns="1">
      <selection activeCell="E16" sqref="E16"/>
      <pageMargins left="0.7" right="0.7" top="0.75" bottom="0.75" header="0.3" footer="0.3"/>
      <pageSetup paperSize="9" orientation="portrait" r:id="rId1"/>
    </customSheetView>
  </customSheetViews>
  <mergeCells count="160">
    <mergeCell ref="C60:D60"/>
    <mergeCell ref="C61:D61"/>
    <mergeCell ref="C62:D62"/>
    <mergeCell ref="C63:D63"/>
    <mergeCell ref="C43:D43"/>
    <mergeCell ref="E43:F43"/>
    <mergeCell ref="C44:D44"/>
    <mergeCell ref="E44:F44"/>
    <mergeCell ref="G62:H62"/>
    <mergeCell ref="G63:H63"/>
    <mergeCell ref="E60:F60"/>
    <mergeCell ref="E61:F61"/>
    <mergeCell ref="E62:F62"/>
    <mergeCell ref="E63:F63"/>
    <mergeCell ref="E59:F59"/>
    <mergeCell ref="G59:H59"/>
    <mergeCell ref="G60:H60"/>
    <mergeCell ref="G61:H61"/>
    <mergeCell ref="A1:J1"/>
    <mergeCell ref="C40:D40"/>
    <mergeCell ref="E40:F40"/>
    <mergeCell ref="C41:D41"/>
    <mergeCell ref="E41:F41"/>
    <mergeCell ref="C42:D42"/>
    <mergeCell ref="E42:F42"/>
    <mergeCell ref="A37:A39"/>
    <mergeCell ref="B37:B39"/>
    <mergeCell ref="C37:F38"/>
    <mergeCell ref="G37:G39"/>
    <mergeCell ref="H37:S37"/>
    <mergeCell ref="H38:I38"/>
    <mergeCell ref="J38:K38"/>
    <mergeCell ref="L38:M38"/>
    <mergeCell ref="N38:O38"/>
    <mergeCell ref="P38:Q38"/>
    <mergeCell ref="R38:S38"/>
    <mergeCell ref="C39:D39"/>
    <mergeCell ref="E39:F39"/>
    <mergeCell ref="Q17:S18"/>
    <mergeCell ref="A18:A20"/>
    <mergeCell ref="B18:B20"/>
    <mergeCell ref="D18:D19"/>
    <mergeCell ref="E18:E19"/>
    <mergeCell ref="F18:F19"/>
    <mergeCell ref="G18:G19"/>
    <mergeCell ref="H18:H19"/>
    <mergeCell ref="L18:L19"/>
    <mergeCell ref="M18:M19"/>
    <mergeCell ref="N18:P18"/>
    <mergeCell ref="L20:P20"/>
    <mergeCell ref="Q20:S20"/>
    <mergeCell ref="C12:E12"/>
    <mergeCell ref="F12:I12"/>
    <mergeCell ref="P4:P12"/>
    <mergeCell ref="C10:E10"/>
    <mergeCell ref="F10:I10"/>
    <mergeCell ref="C11:E11"/>
    <mergeCell ref="F11:I11"/>
    <mergeCell ref="C9:E9"/>
    <mergeCell ref="F9:I9"/>
    <mergeCell ref="C6:E6"/>
    <mergeCell ref="F6:I6"/>
    <mergeCell ref="C7:E7"/>
    <mergeCell ref="F7:I7"/>
    <mergeCell ref="C8:E8"/>
    <mergeCell ref="F8:I8"/>
    <mergeCell ref="L11:M11"/>
    <mergeCell ref="A2:P2"/>
    <mergeCell ref="C4:E4"/>
    <mergeCell ref="F4:I4"/>
    <mergeCell ref="C5:E5"/>
    <mergeCell ref="F5:I5"/>
    <mergeCell ref="AF19:AG19"/>
    <mergeCell ref="S1:W1"/>
    <mergeCell ref="T18:V18"/>
    <mergeCell ref="W18:Y18"/>
    <mergeCell ref="I18:K18"/>
    <mergeCell ref="J4:K4"/>
    <mergeCell ref="J5:K5"/>
    <mergeCell ref="J6:K6"/>
    <mergeCell ref="J7:K7"/>
    <mergeCell ref="J8:K8"/>
    <mergeCell ref="J9:K9"/>
    <mergeCell ref="J10:K10"/>
    <mergeCell ref="J11:K11"/>
    <mergeCell ref="J12:K12"/>
    <mergeCell ref="L4:M4"/>
    <mergeCell ref="L5:M5"/>
    <mergeCell ref="L12:M12"/>
    <mergeCell ref="N4:O4"/>
    <mergeCell ref="N5:O5"/>
    <mergeCell ref="I60:J60"/>
    <mergeCell ref="I61:J61"/>
    <mergeCell ref="I62:J62"/>
    <mergeCell ref="I63:J63"/>
    <mergeCell ref="N6:O6"/>
    <mergeCell ref="N7:O7"/>
    <mergeCell ref="N8:O8"/>
    <mergeCell ref="N9:O9"/>
    <mergeCell ref="N10:O10"/>
    <mergeCell ref="N11:O11"/>
    <mergeCell ref="N12:O12"/>
    <mergeCell ref="L6:M6"/>
    <mergeCell ref="L7:M7"/>
    <mergeCell ref="L8:M8"/>
    <mergeCell ref="L9:M9"/>
    <mergeCell ref="L10:M10"/>
    <mergeCell ref="C16:K16"/>
    <mergeCell ref="C17:C20"/>
    <mergeCell ref="D17:F17"/>
    <mergeCell ref="G17:K17"/>
    <mergeCell ref="L17:P17"/>
    <mergeCell ref="D20:F20"/>
    <mergeCell ref="G20:H20"/>
    <mergeCell ref="I20:K20"/>
    <mergeCell ref="I58:J58"/>
    <mergeCell ref="C55:D55"/>
    <mergeCell ref="E55:F55"/>
    <mergeCell ref="G55:H55"/>
    <mergeCell ref="G54:H54"/>
    <mergeCell ref="C58:D58"/>
    <mergeCell ref="E58:F58"/>
    <mergeCell ref="G58:H58"/>
    <mergeCell ref="I59:J59"/>
    <mergeCell ref="C59:D59"/>
    <mergeCell ref="K60:L60"/>
    <mergeCell ref="K61:L61"/>
    <mergeCell ref="K62:L62"/>
    <mergeCell ref="K63:L63"/>
    <mergeCell ref="M58:N58"/>
    <mergeCell ref="M57:N57"/>
    <mergeCell ref="M59:N59"/>
    <mergeCell ref="M60:N60"/>
    <mergeCell ref="M61:N61"/>
    <mergeCell ref="M62:N62"/>
    <mergeCell ref="M63:N63"/>
    <mergeCell ref="AV49:AV50"/>
    <mergeCell ref="AW49:AW50"/>
    <mergeCell ref="M53:N53"/>
    <mergeCell ref="M55:N55"/>
    <mergeCell ref="C54:D54"/>
    <mergeCell ref="O53:P53"/>
    <mergeCell ref="O54:P54"/>
    <mergeCell ref="O55:P55"/>
    <mergeCell ref="A64:P65"/>
    <mergeCell ref="E54:F54"/>
    <mergeCell ref="O57:P57"/>
    <mergeCell ref="O58:P58"/>
    <mergeCell ref="O59:P59"/>
    <mergeCell ref="O60:P60"/>
    <mergeCell ref="O61:P61"/>
    <mergeCell ref="O62:P62"/>
    <mergeCell ref="O63:P63"/>
    <mergeCell ref="I54:J54"/>
    <mergeCell ref="I55:J55"/>
    <mergeCell ref="K54:L54"/>
    <mergeCell ref="K55:L55"/>
    <mergeCell ref="M54:N54"/>
    <mergeCell ref="K58:L58"/>
    <mergeCell ref="K59:L59"/>
  </mergeCells>
  <conditionalFormatting sqref="G28:J32 L28:O32 Q28:R32">
    <cfRule type="expression" dxfId="39" priority="1">
      <formula>$AC28&gt;3</formula>
    </cfRule>
  </conditionalFormatting>
  <dataValidations count="8">
    <dataValidation type="list" allowBlank="1" showInputMessage="1" showErrorMessage="1" sqref="C5:E9">
      <formula1>$AF$13:$AF$14</formula1>
    </dataValidation>
    <dataValidation type="list" allowBlank="1" showInputMessage="1" showErrorMessage="1" sqref="G11:I11 F5:I9 F11:F12">
      <formula1>$AF$7:$AF$11</formula1>
    </dataValidation>
    <dataValidation type="whole" allowBlank="1" showInputMessage="1" showErrorMessage="1" errorTitle="Ungültige Eingabe" error="Nur ganze Zahlen zwischen 8 und 35 zulässig" sqref="N11:N12 M14:O15">
      <formula1>8</formula1>
      <formula2>35</formula2>
    </dataValidation>
    <dataValidation type="decimal" allowBlank="1" showInputMessage="1" showErrorMessage="1" sqref="C28:AA32">
      <formula1>0</formula1>
      <formula2>999999</formula2>
    </dataValidation>
    <dataValidation type="whole" allowBlank="1" showInputMessage="1" showErrorMessage="1" errorTitle="Ungültige Eingabe" error="Für Eingabebereich Notiz zur Überschrift beachten. Nur ganze Zahlen zulässig." sqref="L5:M9">
      <formula1>AB5</formula1>
      <formula2>AC5</formula2>
    </dataValidation>
    <dataValidation type="whole" allowBlank="1" showInputMessage="1" showErrorMessage="1" errorTitle="Ungültige Eingabe" error="Für Eingabebereich Notiz zur Überschrift beachten. Nur ganze Zahlen zulässig." sqref="J5:K9">
      <formula1>AB5</formula1>
      <formula2>AC5</formula2>
    </dataValidation>
    <dataValidation type="whole" allowBlank="1" showInputMessage="1" showErrorMessage="1" errorTitle="Ungültige Eingabe" error="Nur ganze Zahlen zwischen 8 und 35 zulässig." sqref="L11:M12">
      <formula1>8</formula1>
      <formula2>35</formula2>
    </dataValidation>
    <dataValidation type="decimal" operator="greaterThan" allowBlank="1" showInputMessage="1" showErrorMessage="1" sqref="B61">
      <formula1>0.01</formula1>
    </dataValidation>
  </dataValidations>
  <pageMargins left="0.70866141732283472" right="0.70866141732283472" top="0.74803149606299213" bottom="0.74803149606299213" header="0.31496062992125984" footer="0.31496062992125984"/>
  <pageSetup paperSize="9" scale="91" pageOrder="overThenDown" orientation="landscape" r:id="rId2"/>
  <headerFooter>
    <oddFooter>&amp;C© Bayerische Landesanstalt für Landwirtschaft (Of, Kj, Mk); Stand: 17.10.24;        Seite: &amp;P von &amp;N        &amp;D        &amp;T Uhr</oddFooter>
  </headerFooter>
  <rowBreaks count="2" manualBreakCount="2">
    <brk id="13" max="16383" man="1"/>
    <brk id="33" max="16383" man="1"/>
  </rowBreaks>
  <colBreaks count="1" manualBreakCount="1">
    <brk id="16" min="13" max="32" man="1"/>
  </colBreaks>
  <drawing r:id="rId3"/>
  <legacyDrawing r:id="rId4"/>
  <mc:AlternateContent xmlns:mc="http://schemas.openxmlformats.org/markup-compatibility/2006">
    <mc:Choice Requires="x14">
      <controls>
        <mc:AlternateContent xmlns:mc="http://schemas.openxmlformats.org/markup-compatibility/2006">
          <mc:Choice Requires="x14">
            <control shapeId="14361" r:id="rId5" name="Drop Down 25">
              <controlPr defaultSize="0" autoLine="0" autoPict="0">
                <anchor moveWithCells="1">
                  <from>
                    <xdr:col>0</xdr:col>
                    <xdr:colOff>19050</xdr:colOff>
                    <xdr:row>27</xdr:row>
                    <xdr:rowOff>19050</xdr:rowOff>
                  </from>
                  <to>
                    <xdr:col>0</xdr:col>
                    <xdr:colOff>971550</xdr:colOff>
                    <xdr:row>27</xdr:row>
                    <xdr:rowOff>190500</xdr:rowOff>
                  </to>
                </anchor>
              </controlPr>
            </control>
          </mc:Choice>
        </mc:AlternateContent>
        <mc:AlternateContent xmlns:mc="http://schemas.openxmlformats.org/markup-compatibility/2006">
          <mc:Choice Requires="x14">
            <control shapeId="14362" r:id="rId6" name="Drop Down 26">
              <controlPr defaultSize="0" autoLine="0" autoPict="0">
                <anchor moveWithCells="1">
                  <from>
                    <xdr:col>0</xdr:col>
                    <xdr:colOff>19050</xdr:colOff>
                    <xdr:row>28</xdr:row>
                    <xdr:rowOff>19050</xdr:rowOff>
                  </from>
                  <to>
                    <xdr:col>0</xdr:col>
                    <xdr:colOff>971550</xdr:colOff>
                    <xdr:row>28</xdr:row>
                    <xdr:rowOff>190500</xdr:rowOff>
                  </to>
                </anchor>
              </controlPr>
            </control>
          </mc:Choice>
        </mc:AlternateContent>
        <mc:AlternateContent xmlns:mc="http://schemas.openxmlformats.org/markup-compatibility/2006">
          <mc:Choice Requires="x14">
            <control shapeId="14364" r:id="rId7" name="Drop Down 28">
              <controlPr defaultSize="0" autoLine="0" autoPict="0">
                <anchor moveWithCells="1">
                  <from>
                    <xdr:col>0</xdr:col>
                    <xdr:colOff>9525</xdr:colOff>
                    <xdr:row>29</xdr:row>
                    <xdr:rowOff>19050</xdr:rowOff>
                  </from>
                  <to>
                    <xdr:col>0</xdr:col>
                    <xdr:colOff>962025</xdr:colOff>
                    <xdr:row>29</xdr:row>
                    <xdr:rowOff>190500</xdr:rowOff>
                  </to>
                </anchor>
              </controlPr>
            </control>
          </mc:Choice>
        </mc:AlternateContent>
        <mc:AlternateContent xmlns:mc="http://schemas.openxmlformats.org/markup-compatibility/2006">
          <mc:Choice Requires="x14">
            <control shapeId="15172" r:id="rId8" name="Drop Down 836">
              <controlPr defaultSize="0" autoLine="0" autoPict="0">
                <anchor moveWithCells="1">
                  <from>
                    <xdr:col>0</xdr:col>
                    <xdr:colOff>9525</xdr:colOff>
                    <xdr:row>30</xdr:row>
                    <xdr:rowOff>19050</xdr:rowOff>
                  </from>
                  <to>
                    <xdr:col>0</xdr:col>
                    <xdr:colOff>962025</xdr:colOff>
                    <xdr:row>30</xdr:row>
                    <xdr:rowOff>190500</xdr:rowOff>
                  </to>
                </anchor>
              </controlPr>
            </control>
          </mc:Choice>
        </mc:AlternateContent>
        <mc:AlternateContent xmlns:mc="http://schemas.openxmlformats.org/markup-compatibility/2006">
          <mc:Choice Requires="x14">
            <control shapeId="15173" r:id="rId9" name="Drop Down 837">
              <controlPr defaultSize="0" autoLine="0" autoPict="0">
                <anchor moveWithCells="1">
                  <from>
                    <xdr:col>0</xdr:col>
                    <xdr:colOff>9525</xdr:colOff>
                    <xdr:row>31</xdr:row>
                    <xdr:rowOff>19050</xdr:rowOff>
                  </from>
                  <to>
                    <xdr:col>0</xdr:col>
                    <xdr:colOff>962025</xdr:colOff>
                    <xdr:row>31</xdr:row>
                    <xdr:rowOff>190500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dimension ref="A1:IQ221"/>
  <sheetViews>
    <sheetView showGridLines="0" zoomScaleNormal="100" workbookViewId="0">
      <selection sqref="A1:S1"/>
    </sheetView>
  </sheetViews>
  <sheetFormatPr baseColWidth="10" defaultColWidth="11.42578125" defaultRowHeight="12.75" x14ac:dyDescent="0.2"/>
  <cols>
    <col min="1" max="4" width="6.7109375" customWidth="1"/>
    <col min="5" max="5" width="9.7109375" customWidth="1"/>
    <col min="6" max="6" width="5.85546875" customWidth="1"/>
    <col min="7" max="8" width="7" customWidth="1"/>
    <col min="9" max="9" width="6.42578125" customWidth="1"/>
    <col min="10" max="10" width="8.42578125" customWidth="1"/>
    <col min="11" max="11" width="5.85546875" customWidth="1"/>
    <col min="12" max="13" width="6.7109375" customWidth="1"/>
    <col min="14" max="15" width="4.5703125" customWidth="1"/>
    <col min="16" max="16" width="4.28515625" customWidth="1"/>
    <col min="17" max="17" width="6.42578125" customWidth="1"/>
    <col min="18" max="18" width="8.42578125" customWidth="1"/>
    <col min="19" max="20" width="4.5703125" customWidth="1"/>
    <col min="21" max="21" width="1" customWidth="1"/>
    <col min="22" max="22" width="4.7109375" customWidth="1"/>
    <col min="23" max="23" width="2.7109375" customWidth="1"/>
    <col min="24" max="24" width="3.7109375" customWidth="1"/>
    <col min="25" max="27" width="7.85546875" customWidth="1"/>
    <col min="28" max="28" width="4.28515625" customWidth="1"/>
    <col min="29" max="29" width="7.7109375" customWidth="1"/>
    <col min="30" max="30" width="4.42578125" customWidth="1"/>
    <col min="31" max="31" width="6.28515625" customWidth="1"/>
    <col min="32" max="32" width="6.140625" customWidth="1"/>
    <col min="33" max="33" width="7.7109375" customWidth="1"/>
    <col min="34" max="34" width="4.42578125" customWidth="1"/>
    <col min="35" max="36" width="6.28515625" customWidth="1"/>
    <col min="37" max="37" width="7.7109375" hidden="1" customWidth="1"/>
    <col min="38" max="38" width="4.42578125" hidden="1" customWidth="1"/>
    <col min="39" max="40" width="6.28515625" hidden="1" customWidth="1"/>
    <col min="41" max="41" width="6.28515625" customWidth="1"/>
    <col min="42" max="44" width="7.28515625" customWidth="1"/>
    <col min="45" max="45" width="7.7109375" customWidth="1"/>
    <col min="46" max="46" width="4.42578125" customWidth="1"/>
    <col min="47" max="47" width="6.28515625" customWidth="1"/>
    <col min="48" max="48" width="5" customWidth="1"/>
    <col min="49" max="49" width="4" hidden="1" customWidth="1"/>
    <col min="50" max="55" width="7.85546875" hidden="1" customWidth="1"/>
    <col min="56" max="56" width="5" hidden="1" customWidth="1"/>
    <col min="57" max="67" width="11.42578125" style="120" customWidth="1"/>
    <col min="68" max="68" width="7.85546875" style="434" customWidth="1"/>
    <col min="69" max="72" width="11.42578125" hidden="1" customWidth="1"/>
    <col min="73" max="73" width="11.42578125" style="696" hidden="1" customWidth="1"/>
    <col min="74" max="74" width="20.140625" style="696" hidden="1" customWidth="1"/>
    <col min="75" max="80" width="11.42578125" hidden="1" customWidth="1"/>
    <col min="81" max="81" width="12.28515625" hidden="1" customWidth="1"/>
    <col min="82" max="83" width="11.42578125" hidden="1" customWidth="1"/>
    <col min="84" max="85" width="12.28515625" hidden="1" customWidth="1"/>
    <col min="86" max="86" width="11.42578125" hidden="1" customWidth="1"/>
    <col min="87" max="88" width="12" hidden="1" customWidth="1"/>
    <col min="89" max="89" width="11.42578125" hidden="1" customWidth="1"/>
    <col min="90" max="90" width="12.28515625" hidden="1" customWidth="1"/>
    <col min="91" max="93" width="11.42578125" hidden="1" customWidth="1"/>
    <col min="94" max="94" width="20.28515625" hidden="1" customWidth="1"/>
    <col min="95" max="100" width="11.42578125" hidden="1" customWidth="1"/>
    <col min="101" max="101" width="11.5703125" hidden="1" customWidth="1"/>
    <col min="102" max="102" width="11.42578125" hidden="1" customWidth="1"/>
    <col min="103" max="103" width="13.85546875" hidden="1" customWidth="1"/>
    <col min="104" max="185" width="11.42578125" hidden="1" customWidth="1"/>
    <col min="186" max="193" width="13" hidden="1" customWidth="1"/>
    <col min="194" max="195" width="12" hidden="1" customWidth="1"/>
    <col min="196" max="198" width="13" hidden="1" customWidth="1"/>
    <col min="199" max="205" width="11.42578125" hidden="1" customWidth="1"/>
    <col min="206" max="206" width="13" hidden="1" customWidth="1"/>
    <col min="207" max="209" width="11.42578125" hidden="1" customWidth="1"/>
    <col min="210" max="212" width="12.28515625" hidden="1" customWidth="1"/>
    <col min="213" max="222" width="11.42578125" hidden="1" customWidth="1"/>
    <col min="223" max="223" width="30.42578125" hidden="1" customWidth="1"/>
    <col min="224" max="247" width="11.42578125" hidden="1" customWidth="1"/>
    <col min="248" max="251" width="11.42578125" style="696" hidden="1" customWidth="1"/>
    <col min="252" max="324" width="11.42578125" style="696" customWidth="1"/>
    <col min="325" max="16384" width="11.42578125" style="696"/>
  </cols>
  <sheetData>
    <row r="1" spans="1:247" ht="16.5" customHeight="1" x14ac:dyDescent="0.2">
      <c r="A1" s="2690" t="s">
        <v>8169</v>
      </c>
      <c r="B1" s="2690"/>
      <c r="C1" s="2690"/>
      <c r="D1" s="2690"/>
      <c r="E1" s="2690"/>
      <c r="F1" s="2690"/>
      <c r="G1" s="2690"/>
      <c r="H1" s="2690"/>
      <c r="I1" s="2690"/>
      <c r="J1" s="2690"/>
      <c r="K1" s="2690"/>
      <c r="L1" s="2690"/>
      <c r="M1" s="2690"/>
      <c r="N1" s="2690"/>
      <c r="O1" s="2690"/>
      <c r="P1" s="2690"/>
      <c r="Q1" s="2690"/>
      <c r="R1" s="2690"/>
      <c r="S1" s="2690"/>
      <c r="T1" s="242"/>
      <c r="U1" s="242"/>
      <c r="V1" s="242"/>
      <c r="Y1" s="242"/>
      <c r="Z1" s="242"/>
      <c r="AA1" s="242"/>
      <c r="AB1" s="242"/>
      <c r="AC1" s="1558" t="str">
        <f>IF(AND(SUM(GW4:GW7)=0,SUM(HF4:HF7)&gt;0),"",IF(IFERROR(((HE5+HE7)/(GW5+GW7)-1)*100,0)&gt;1,CONCATENATE("Die Futterration ist bei Phosphat um ",ROUND(((HE5+HE7)/(GW5+GW7)-1)*100,0)," % höher als der berechnete Futterbedarf"),""))</f>
        <v/>
      </c>
      <c r="AD1" s="242"/>
      <c r="AF1" s="242"/>
      <c r="AG1" s="242"/>
      <c r="AH1" s="242"/>
      <c r="AI1" s="242"/>
      <c r="AJ1" s="242"/>
      <c r="AL1" s="242"/>
      <c r="AM1" s="242"/>
      <c r="AN1" s="242"/>
      <c r="AO1" s="242"/>
      <c r="AP1" s="242"/>
      <c r="AQ1" s="242"/>
      <c r="AR1" s="242"/>
      <c r="AS1" s="242"/>
      <c r="AT1" s="242"/>
      <c r="AU1" s="242"/>
      <c r="AV1" s="242"/>
      <c r="AY1" s="1184"/>
      <c r="AZ1" s="1184"/>
      <c r="BA1" s="1184"/>
      <c r="BB1" s="1184"/>
      <c r="BC1" s="1184"/>
      <c r="BD1" s="1184"/>
      <c r="BQ1" s="1184"/>
      <c r="BR1" s="1184"/>
      <c r="BS1" s="1184"/>
      <c r="BT1" s="1184" t="s">
        <v>1114</v>
      </c>
      <c r="BU1" s="1185" t="s">
        <v>1115</v>
      </c>
      <c r="BV1" s="1185" t="s">
        <v>1116</v>
      </c>
      <c r="BW1" s="1184"/>
      <c r="BX1" s="1184"/>
      <c r="BY1" s="1184"/>
      <c r="BZ1" s="1184"/>
      <c r="CA1" s="1184"/>
      <c r="CB1" s="1184"/>
      <c r="CC1" s="1184"/>
      <c r="CD1" s="1184"/>
      <c r="CE1" s="1184"/>
      <c r="CF1" s="1184"/>
      <c r="CG1" s="1184"/>
      <c r="CH1" s="1184"/>
      <c r="CI1" s="1184"/>
      <c r="CJ1" s="1184"/>
      <c r="CK1" s="1184"/>
      <c r="CL1" s="1184"/>
      <c r="CM1" s="1184"/>
      <c r="CN1" s="1184"/>
      <c r="CO1" s="1184"/>
      <c r="CP1" s="1184"/>
      <c r="CQ1" s="1184"/>
      <c r="CR1" s="1184"/>
      <c r="CS1" s="1184"/>
      <c r="CT1" s="1184"/>
      <c r="CU1" s="1184"/>
      <c r="CV1" s="1184"/>
      <c r="CW1" s="1184"/>
      <c r="CX1" s="1184"/>
      <c r="CY1" s="1184"/>
      <c r="CZ1" s="1184"/>
      <c r="DA1" s="1184"/>
      <c r="DB1" s="1321" t="s">
        <v>8290</v>
      </c>
      <c r="DC1" s="1322"/>
      <c r="DD1" s="1322"/>
      <c r="DE1" s="1322"/>
      <c r="DF1" s="1322"/>
      <c r="DG1" s="1322"/>
      <c r="DH1" s="1322"/>
      <c r="DI1" s="1322"/>
      <c r="DJ1" s="1322"/>
      <c r="DK1" s="1322"/>
      <c r="DL1" s="1322"/>
      <c r="DM1" s="1322"/>
      <c r="DN1" s="1184"/>
      <c r="DO1" s="1295" t="s">
        <v>8291</v>
      </c>
      <c r="DP1" s="1323"/>
      <c r="DQ1" s="1323"/>
      <c r="DR1" s="1323"/>
      <c r="DS1" s="1323"/>
      <c r="DT1" s="1323"/>
      <c r="DU1" s="1323"/>
      <c r="DV1" s="1323"/>
      <c r="DW1" s="1323"/>
      <c r="DX1" s="1323"/>
      <c r="DY1" s="1323"/>
      <c r="DZ1" s="1323"/>
      <c r="EA1" s="1184"/>
      <c r="EB1" s="1321" t="s">
        <v>8292</v>
      </c>
      <c r="EC1" s="1322"/>
      <c r="ED1" s="1322"/>
      <c r="EE1" s="1322"/>
      <c r="EF1" s="1322"/>
      <c r="EG1" s="1322"/>
      <c r="EH1" s="1322"/>
      <c r="EI1" s="1322"/>
      <c r="EJ1" s="1322"/>
      <c r="EK1" s="1322"/>
      <c r="EL1" s="1322"/>
      <c r="EM1" s="1322"/>
      <c r="EN1" s="1184"/>
      <c r="EO1" s="1295" t="s">
        <v>8293</v>
      </c>
      <c r="EP1" s="1323"/>
      <c r="EQ1" s="1323"/>
      <c r="ER1" s="1323"/>
      <c r="ES1" s="1323"/>
      <c r="ET1" s="1323"/>
      <c r="EU1" s="1323"/>
      <c r="EV1" s="1323"/>
      <c r="EW1" s="1323"/>
      <c r="EX1" s="1323"/>
      <c r="EY1" s="1323"/>
      <c r="EZ1" s="1323"/>
      <c r="FA1" s="1184"/>
      <c r="FB1" s="1321" t="s">
        <v>8294</v>
      </c>
      <c r="FC1" s="1322"/>
      <c r="FD1" s="1322"/>
      <c r="FE1" s="1322"/>
      <c r="FF1" s="1322"/>
      <c r="FG1" s="1322"/>
      <c r="FH1" s="1322"/>
      <c r="FI1" s="1322"/>
      <c r="FJ1" s="1322"/>
      <c r="FK1" s="1322"/>
      <c r="FL1" s="1322"/>
      <c r="FM1" s="1322"/>
      <c r="FN1" s="1322"/>
      <c r="FO1" s="1184"/>
      <c r="FP1" s="1295" t="s">
        <v>8295</v>
      </c>
      <c r="FQ1" s="1323"/>
      <c r="FR1" s="1323"/>
      <c r="FS1" s="1323"/>
      <c r="FT1" s="1323"/>
      <c r="FU1" s="1323"/>
      <c r="FV1" s="1323"/>
      <c r="FW1" s="1323"/>
      <c r="FX1" s="1323"/>
      <c r="FY1" s="1323"/>
      <c r="FZ1" s="1323"/>
      <c r="GA1" s="1323"/>
      <c r="GB1" s="1323"/>
      <c r="GC1" s="1323"/>
      <c r="GD1" s="1184"/>
      <c r="GE1" s="1184"/>
      <c r="GF1" s="1184"/>
      <c r="GG1" s="1184"/>
      <c r="GH1" s="1184"/>
      <c r="GI1" s="1184"/>
      <c r="GJ1" s="1184"/>
      <c r="GK1" s="1184"/>
      <c r="GL1" s="1184"/>
      <c r="GM1" s="1184"/>
      <c r="GN1" s="1184"/>
      <c r="GO1" s="1184"/>
      <c r="GP1" s="1184"/>
      <c r="GQ1" s="1184"/>
      <c r="GR1" s="1184"/>
      <c r="GS1" s="1184"/>
      <c r="GT1" s="1184"/>
      <c r="GU1" s="1184"/>
      <c r="GV1" s="1184"/>
      <c r="GW1" s="1184"/>
      <c r="GX1" s="1184"/>
      <c r="GY1" s="1184"/>
      <c r="GZ1" s="1184"/>
      <c r="HA1" s="1184" t="s">
        <v>1083</v>
      </c>
      <c r="HB1" s="1187">
        <v>0.3</v>
      </c>
      <c r="HC1" s="1184" t="s">
        <v>1111</v>
      </c>
      <c r="HD1" s="1187">
        <v>0.1</v>
      </c>
      <c r="HE1" s="1184"/>
      <c r="HF1" s="1184"/>
      <c r="HG1" s="1184"/>
      <c r="HH1" s="1186" t="s">
        <v>8315</v>
      </c>
      <c r="HI1" s="1187">
        <v>2</v>
      </c>
      <c r="HJ1" s="1187"/>
      <c r="HK1" s="1184"/>
      <c r="HL1" s="1184"/>
      <c r="HN1" s="1184"/>
      <c r="HO1" s="1184"/>
      <c r="HP1" s="1184"/>
      <c r="HQ1" s="1184"/>
      <c r="HR1" s="1184"/>
      <c r="HS1" s="1184"/>
      <c r="HT1" s="1184"/>
      <c r="HU1" s="1184"/>
      <c r="HV1" s="1184"/>
      <c r="HW1" s="1184"/>
      <c r="HX1" s="1184"/>
      <c r="HY1" s="1184"/>
      <c r="HZ1" s="1184"/>
      <c r="IA1" s="1184"/>
      <c r="IB1" s="1184"/>
      <c r="IC1" s="1184"/>
      <c r="ID1" s="1184"/>
      <c r="IE1" s="1184"/>
      <c r="IF1" s="1184" t="s">
        <v>1072</v>
      </c>
      <c r="IG1" s="1184"/>
      <c r="IH1" s="1184" t="s">
        <v>997</v>
      </c>
      <c r="II1" s="1184"/>
      <c r="IJ1" s="1184" t="s">
        <v>1064</v>
      </c>
      <c r="IK1" s="1184"/>
      <c r="IL1" s="1186" t="s">
        <v>8307</v>
      </c>
    </row>
    <row r="2" spans="1:247" ht="9.75" customHeight="1" x14ac:dyDescent="0.2">
      <c r="A2" s="1501"/>
      <c r="B2" s="1501"/>
      <c r="C2" s="1501"/>
      <c r="D2" s="1501"/>
      <c r="E2" s="3044" t="s">
        <v>8265</v>
      </c>
      <c r="F2" s="3045"/>
      <c r="G2" s="3045"/>
      <c r="H2" s="3045"/>
      <c r="I2" s="3045"/>
      <c r="J2" s="3045"/>
      <c r="K2" s="3045"/>
      <c r="L2" s="3045"/>
      <c r="M2" s="3045"/>
      <c r="N2" s="3045"/>
      <c r="O2" s="3045"/>
      <c r="P2" s="3045"/>
      <c r="Q2" s="1501"/>
      <c r="R2" s="117"/>
      <c r="S2" s="117"/>
      <c r="T2" s="117"/>
      <c r="U2" s="117"/>
      <c r="V2" s="117"/>
      <c r="Y2" s="3087" t="s">
        <v>8266</v>
      </c>
      <c r="Z2" s="3087"/>
      <c r="AA2" s="3087"/>
      <c r="AB2" s="3087"/>
      <c r="AC2" s="3087"/>
      <c r="AD2" s="3087"/>
      <c r="AE2" s="3087"/>
      <c r="AF2" s="3087"/>
      <c r="AG2" s="3087"/>
      <c r="AH2" s="3087"/>
      <c r="AI2" s="3087"/>
      <c r="AJ2" s="3087"/>
      <c r="AK2" s="3087"/>
      <c r="AL2" s="3087"/>
      <c r="AM2" s="3087"/>
      <c r="AN2" s="3087"/>
      <c r="AO2" s="3087"/>
      <c r="AP2" s="3087"/>
      <c r="AQ2" s="3087"/>
      <c r="AR2" s="3087"/>
      <c r="AS2" s="3087"/>
      <c r="AT2" s="1502"/>
      <c r="AU2" s="1502"/>
      <c r="AV2" s="1503"/>
      <c r="AY2" s="1184"/>
      <c r="AZ2" s="1184"/>
      <c r="BA2" s="1184"/>
      <c r="BB2" s="1184"/>
      <c r="BC2" s="1184"/>
      <c r="BD2" s="1184"/>
      <c r="BE2" s="3078" t="s">
        <v>8267</v>
      </c>
      <c r="BF2" s="3078"/>
      <c r="BG2" s="3078"/>
      <c r="BH2" s="3078"/>
      <c r="BI2" s="3078"/>
      <c r="BJ2" s="3078"/>
      <c r="BK2" s="3078"/>
      <c r="BL2" s="3078"/>
      <c r="BM2" s="3078"/>
      <c r="BN2" s="3078"/>
      <c r="BO2" s="3078"/>
      <c r="BQ2" s="1184"/>
      <c r="BR2" s="1184"/>
      <c r="BS2" s="1184"/>
      <c r="BT2" s="1184"/>
      <c r="BU2" s="1185"/>
      <c r="BV2" s="1185"/>
      <c r="BW2" s="1184"/>
      <c r="BX2" s="1184"/>
      <c r="BY2" s="1184"/>
      <c r="BZ2" s="1184"/>
      <c r="CA2" s="1184"/>
      <c r="CB2" s="1184"/>
      <c r="CC2" s="1184"/>
      <c r="CD2" s="1184"/>
      <c r="CE2" s="1184"/>
      <c r="CF2" s="1184"/>
      <c r="CG2" s="1184"/>
      <c r="CH2" s="1184"/>
      <c r="CI2" s="1184"/>
      <c r="CJ2" s="1184"/>
      <c r="CK2" s="1184"/>
      <c r="CL2" s="1184"/>
      <c r="CM2" s="1184"/>
      <c r="CN2" s="1184"/>
      <c r="CO2" s="1184"/>
      <c r="CP2" s="1184"/>
      <c r="CQ2" s="1184"/>
      <c r="CR2" s="1184"/>
      <c r="CS2" s="1184"/>
      <c r="CT2" s="1184"/>
      <c r="CU2" s="1184"/>
      <c r="CV2" s="1184"/>
      <c r="CW2" s="1184"/>
      <c r="CX2" s="1184"/>
      <c r="CY2" s="1184"/>
      <c r="CZ2" s="1184"/>
      <c r="DA2" s="1184"/>
      <c r="DB2" s="1186">
        <v>1</v>
      </c>
      <c r="DC2" s="1184">
        <v>2</v>
      </c>
      <c r="DD2" s="1186">
        <v>3</v>
      </c>
      <c r="DE2" s="1184">
        <v>4</v>
      </c>
      <c r="DF2" s="1186">
        <v>5</v>
      </c>
      <c r="DG2" s="1184">
        <v>6</v>
      </c>
      <c r="DH2" s="1186">
        <v>7</v>
      </c>
      <c r="DI2" s="1184">
        <v>8</v>
      </c>
      <c r="DJ2" s="1186">
        <v>9</v>
      </c>
      <c r="DK2" s="1184">
        <v>10</v>
      </c>
      <c r="DL2" s="1186">
        <v>11</v>
      </c>
      <c r="DM2" s="1184">
        <v>12</v>
      </c>
      <c r="DN2" s="1184"/>
      <c r="DO2" s="1186">
        <v>1</v>
      </c>
      <c r="DP2" s="1184">
        <v>2</v>
      </c>
      <c r="DQ2" s="1186">
        <v>3</v>
      </c>
      <c r="DR2" s="1184">
        <v>4</v>
      </c>
      <c r="DS2" s="1186">
        <v>5</v>
      </c>
      <c r="DT2" s="1184">
        <v>6</v>
      </c>
      <c r="DU2" s="1186">
        <v>7</v>
      </c>
      <c r="DV2" s="1184">
        <v>8</v>
      </c>
      <c r="DW2" s="1186">
        <v>9</v>
      </c>
      <c r="DX2" s="1184">
        <v>10</v>
      </c>
      <c r="DY2" s="1186">
        <v>11</v>
      </c>
      <c r="DZ2" s="1184">
        <v>12</v>
      </c>
      <c r="EA2" s="1184"/>
      <c r="EB2" s="1186">
        <v>1</v>
      </c>
      <c r="EC2" s="1184">
        <v>2</v>
      </c>
      <c r="ED2" s="1186">
        <v>3</v>
      </c>
      <c r="EE2" s="1184">
        <v>4</v>
      </c>
      <c r="EF2" s="1186">
        <v>5</v>
      </c>
      <c r="EG2" s="1184">
        <v>6</v>
      </c>
      <c r="EH2" s="1186">
        <v>7</v>
      </c>
      <c r="EI2" s="1184">
        <v>8</v>
      </c>
      <c r="EJ2" s="1186">
        <v>9</v>
      </c>
      <c r="EK2" s="1184">
        <v>10</v>
      </c>
      <c r="EL2" s="1186">
        <v>11</v>
      </c>
      <c r="EM2" s="1184">
        <v>12</v>
      </c>
      <c r="EN2" s="1184"/>
      <c r="EO2" s="1186">
        <v>1</v>
      </c>
      <c r="EP2" s="1184">
        <v>2</v>
      </c>
      <c r="EQ2" s="1186">
        <v>3</v>
      </c>
      <c r="ER2" s="1184">
        <v>4</v>
      </c>
      <c r="ES2" s="1186">
        <v>5</v>
      </c>
      <c r="ET2" s="1184">
        <v>6</v>
      </c>
      <c r="EU2" s="1186">
        <v>7</v>
      </c>
      <c r="EV2" s="1184">
        <v>8</v>
      </c>
      <c r="EW2" s="1186">
        <v>9</v>
      </c>
      <c r="EX2" s="1184">
        <v>10</v>
      </c>
      <c r="EY2" s="1186">
        <v>11</v>
      </c>
      <c r="EZ2" s="1184">
        <v>12</v>
      </c>
      <c r="FA2" s="1184"/>
      <c r="FB2" s="1186" t="s">
        <v>1008</v>
      </c>
      <c r="FC2" s="1186">
        <v>1</v>
      </c>
      <c r="FD2" s="1184">
        <v>2</v>
      </c>
      <c r="FE2" s="1186">
        <v>3</v>
      </c>
      <c r="FF2" s="1184">
        <v>4</v>
      </c>
      <c r="FG2" s="1186">
        <v>5</v>
      </c>
      <c r="FH2" s="1184">
        <v>6</v>
      </c>
      <c r="FI2" s="1186">
        <v>7</v>
      </c>
      <c r="FJ2" s="1184">
        <v>8</v>
      </c>
      <c r="FK2" s="1186">
        <v>9</v>
      </c>
      <c r="FL2" s="1184">
        <v>10</v>
      </c>
      <c r="FM2" s="1186">
        <v>11</v>
      </c>
      <c r="FN2" s="1184">
        <v>12</v>
      </c>
      <c r="FO2" s="1184"/>
      <c r="FP2" s="1186" t="s">
        <v>1008</v>
      </c>
      <c r="FQ2" s="1186">
        <v>1</v>
      </c>
      <c r="FR2" s="1184">
        <v>2</v>
      </c>
      <c r="FS2" s="1186">
        <v>3</v>
      </c>
      <c r="FT2" s="1184">
        <v>4</v>
      </c>
      <c r="FU2" s="1186">
        <v>5</v>
      </c>
      <c r="FV2" s="1184">
        <v>6</v>
      </c>
      <c r="FW2" s="1186">
        <v>7</v>
      </c>
      <c r="FX2" s="1184">
        <v>8</v>
      </c>
      <c r="FY2" s="1186">
        <v>9</v>
      </c>
      <c r="FZ2" s="1184">
        <v>10</v>
      </c>
      <c r="GA2" s="1186">
        <v>11</v>
      </c>
      <c r="GB2" s="1184">
        <v>12</v>
      </c>
      <c r="GC2" s="1184"/>
      <c r="GD2" s="2994" t="s">
        <v>8296</v>
      </c>
      <c r="GE2" s="2994"/>
      <c r="GF2" s="1184"/>
      <c r="GG2" s="1184"/>
      <c r="GH2" s="1186" t="s">
        <v>8298</v>
      </c>
      <c r="GI2" s="1184"/>
      <c r="GJ2" s="2994" t="s">
        <v>1058</v>
      </c>
      <c r="GK2" s="2994"/>
      <c r="GL2" s="2994" t="s">
        <v>8314</v>
      </c>
      <c r="GM2" s="2994"/>
      <c r="GN2" s="1184"/>
      <c r="GO2" s="1184"/>
      <c r="GP2" s="1184"/>
      <c r="GQ2" s="1184"/>
      <c r="GR2" s="1184"/>
      <c r="GS2" s="1184"/>
      <c r="GT2" s="1184"/>
      <c r="GU2" s="1184"/>
      <c r="GV2" s="1184"/>
      <c r="GW2" s="1186" t="s">
        <v>8310</v>
      </c>
      <c r="GX2" s="1184"/>
      <c r="GY2" s="1184"/>
      <c r="GZ2" s="1184"/>
      <c r="HA2" s="1184"/>
      <c r="HB2" s="1184"/>
      <c r="HC2" s="1184"/>
      <c r="HD2" s="1184"/>
      <c r="HE2" s="1184"/>
      <c r="HF2" s="1184"/>
      <c r="HG2" s="1184"/>
      <c r="HH2" s="1186" t="s">
        <v>8316</v>
      </c>
      <c r="HI2" s="1187">
        <v>3</v>
      </c>
      <c r="HJ2" s="1187"/>
      <c r="HK2" s="1184"/>
      <c r="HL2" s="1184"/>
      <c r="HN2" s="1184"/>
      <c r="HO2" s="1184"/>
      <c r="HP2" s="1184"/>
      <c r="HQ2" s="1184"/>
      <c r="HR2" s="1184"/>
      <c r="HS2" s="2996" t="s">
        <v>1064</v>
      </c>
      <c r="HT2" s="2996"/>
      <c r="HU2" s="2996"/>
      <c r="HV2" s="2996"/>
      <c r="HW2" s="1184" t="s">
        <v>8232</v>
      </c>
      <c r="HX2" s="1184"/>
      <c r="HY2" s="1184"/>
      <c r="HZ2" s="1184"/>
      <c r="IA2" s="1184"/>
      <c r="IB2" s="1184"/>
      <c r="IC2" s="1184"/>
      <c r="ID2" s="1184"/>
      <c r="IE2" s="1184"/>
      <c r="IF2" s="1184"/>
      <c r="IG2" s="1184"/>
      <c r="IH2" s="1184"/>
      <c r="II2" s="1184"/>
      <c r="IJ2" s="1184"/>
      <c r="IK2" s="1184"/>
      <c r="IL2" s="1186"/>
    </row>
    <row r="3" spans="1:247" ht="12.6" customHeight="1" x14ac:dyDescent="0.2">
      <c r="A3" s="1154" t="s">
        <v>1092</v>
      </c>
      <c r="B3" s="1154"/>
      <c r="C3" s="1154"/>
      <c r="D3" s="1155" t="str">
        <f>IF('Nährstoffe und Lagerraum'!B5="","",'Nährstoffe und Lagerraum'!B5)</f>
        <v/>
      </c>
      <c r="E3" s="242"/>
      <c r="F3" s="242"/>
      <c r="G3" s="3043" t="s">
        <v>17</v>
      </c>
      <c r="H3" s="3043"/>
      <c r="I3" s="1156">
        <f>+'Nährstoffe und Lagerraum'!E5</f>
        <v>2024</v>
      </c>
      <c r="J3" s="242"/>
      <c r="K3" s="3036" t="s">
        <v>1089</v>
      </c>
      <c r="L3" s="3036"/>
      <c r="M3" s="3036"/>
      <c r="N3" s="3027">
        <f>'Nährstoffe und Lagerraum'!B295</f>
        <v>0</v>
      </c>
      <c r="O3" s="3027"/>
      <c r="P3" s="1154" t="s">
        <v>294</v>
      </c>
      <c r="Q3" s="242"/>
      <c r="R3" s="242"/>
      <c r="S3" s="242"/>
      <c r="T3" s="242"/>
      <c r="U3" s="242"/>
      <c r="V3" s="242"/>
      <c r="Y3" s="242"/>
      <c r="Z3" s="242"/>
      <c r="AA3" s="242"/>
      <c r="AB3" s="242"/>
      <c r="AC3" s="242"/>
      <c r="AD3" s="242"/>
      <c r="AE3" s="242"/>
      <c r="AF3" s="242"/>
      <c r="AG3" s="242"/>
      <c r="AH3" s="242"/>
      <c r="AI3" s="242"/>
      <c r="AJ3" s="1174" t="str">
        <f>IF(AND(BA11=0,BC11=0),"",IF(BC11&gt;0,"Nährstoffgehalt nicht plausibel","Lagerbestand nicht plausibel"))</f>
        <v/>
      </c>
      <c r="AL3" s="242"/>
      <c r="AM3" s="242"/>
      <c r="AN3" s="242"/>
      <c r="AO3" s="242"/>
      <c r="AP3" s="242"/>
      <c r="AQ3" s="242"/>
      <c r="AR3" s="242"/>
      <c r="AS3" s="242"/>
      <c r="AT3" s="242"/>
      <c r="AU3" s="242"/>
      <c r="AV3" s="242"/>
      <c r="AY3" s="1186" t="s">
        <v>1100</v>
      </c>
      <c r="AZ3" s="1184"/>
      <c r="BA3" s="1184"/>
      <c r="BB3" s="1184"/>
      <c r="BC3" s="1184"/>
      <c r="BD3" s="1184"/>
      <c r="BQ3" s="1186" t="s">
        <v>1099</v>
      </c>
      <c r="BR3" s="1184"/>
      <c r="BS3" s="1184"/>
      <c r="BT3" s="1184" t="str">
        <f>CONCATENATE(BU3,BV3)</f>
        <v>X1:AR37</v>
      </c>
      <c r="BU3" s="1185" t="s">
        <v>1117</v>
      </c>
      <c r="BV3" s="1185">
        <f>IF(COUNT(AL38:AL69)=0,37,IF(COUNT(AL70:AL105)=0,69,IF(COUNT(AL106:AL135)=0,99,130)))</f>
        <v>37</v>
      </c>
      <c r="BW3" s="1184"/>
      <c r="BX3" s="1184"/>
      <c r="BY3" s="1184"/>
      <c r="BZ3" s="1184"/>
      <c r="CA3" s="1184"/>
      <c r="CB3" s="1184"/>
      <c r="CC3" s="1184"/>
      <c r="CD3" s="1184"/>
      <c r="CE3" s="1184"/>
      <c r="CF3" s="1184"/>
      <c r="CG3" s="1184"/>
      <c r="CH3" s="1184"/>
      <c r="CI3" s="1184"/>
      <c r="CJ3" s="1184"/>
      <c r="CK3" s="1184"/>
      <c r="CL3" s="1184"/>
      <c r="CM3" s="1184"/>
      <c r="CN3" s="1184"/>
      <c r="CO3" s="1184"/>
      <c r="CP3" s="1184"/>
      <c r="CQ3" s="1184"/>
      <c r="CR3" s="1184"/>
      <c r="CS3" s="1184"/>
      <c r="CT3" s="1184"/>
      <c r="CU3" s="1990"/>
      <c r="CV3" s="1184"/>
      <c r="CW3" s="1184"/>
      <c r="CX3" s="1184"/>
      <c r="CY3" s="1188" t="s">
        <v>465</v>
      </c>
      <c r="CZ3" s="1186" t="s">
        <v>1019</v>
      </c>
      <c r="DA3" s="1186" t="s">
        <v>1020</v>
      </c>
      <c r="DB3" s="1186" t="s">
        <v>925</v>
      </c>
      <c r="DC3" s="1186" t="s">
        <v>926</v>
      </c>
      <c r="DD3" s="1186" t="s">
        <v>927</v>
      </c>
      <c r="DE3" s="1186" t="s">
        <v>928</v>
      </c>
      <c r="DF3" s="1186" t="s">
        <v>1022</v>
      </c>
      <c r="DG3" s="1186" t="s">
        <v>1023</v>
      </c>
      <c r="DH3" s="1186" t="s">
        <v>931</v>
      </c>
      <c r="DI3" s="1186" t="s">
        <v>932</v>
      </c>
      <c r="DJ3" s="1186" t="s">
        <v>933</v>
      </c>
      <c r="DK3" s="1186" t="s">
        <v>934</v>
      </c>
      <c r="DL3" s="1186" t="s">
        <v>935</v>
      </c>
      <c r="DM3" s="1186" t="s">
        <v>936</v>
      </c>
      <c r="DN3" s="1184"/>
      <c r="DO3" s="1186" t="s">
        <v>925</v>
      </c>
      <c r="DP3" s="1186" t="s">
        <v>926</v>
      </c>
      <c r="DQ3" s="1186" t="s">
        <v>927</v>
      </c>
      <c r="DR3" s="1186" t="s">
        <v>928</v>
      </c>
      <c r="DS3" s="1186" t="s">
        <v>1022</v>
      </c>
      <c r="DT3" s="1186" t="s">
        <v>1023</v>
      </c>
      <c r="DU3" s="1186" t="s">
        <v>931</v>
      </c>
      <c r="DV3" s="1186" t="s">
        <v>932</v>
      </c>
      <c r="DW3" s="1186" t="s">
        <v>933</v>
      </c>
      <c r="DX3" s="1186" t="s">
        <v>934</v>
      </c>
      <c r="DY3" s="1186" t="s">
        <v>935</v>
      </c>
      <c r="DZ3" s="1186" t="s">
        <v>936</v>
      </c>
      <c r="EA3" s="1184"/>
      <c r="EB3" s="1186" t="s">
        <v>925</v>
      </c>
      <c r="EC3" s="1186" t="s">
        <v>926</v>
      </c>
      <c r="ED3" s="1186" t="s">
        <v>927</v>
      </c>
      <c r="EE3" s="1186" t="s">
        <v>928</v>
      </c>
      <c r="EF3" s="1186" t="s">
        <v>1022</v>
      </c>
      <c r="EG3" s="1186" t="s">
        <v>1023</v>
      </c>
      <c r="EH3" s="1186" t="s">
        <v>931</v>
      </c>
      <c r="EI3" s="1186" t="s">
        <v>932</v>
      </c>
      <c r="EJ3" s="1186" t="s">
        <v>933</v>
      </c>
      <c r="EK3" s="1186" t="s">
        <v>934</v>
      </c>
      <c r="EL3" s="1186" t="s">
        <v>935</v>
      </c>
      <c r="EM3" s="1186" t="s">
        <v>936</v>
      </c>
      <c r="EN3" s="1184"/>
      <c r="EO3" s="1186" t="s">
        <v>925</v>
      </c>
      <c r="EP3" s="1186" t="s">
        <v>926</v>
      </c>
      <c r="EQ3" s="1186" t="s">
        <v>927</v>
      </c>
      <c r="ER3" s="1186" t="s">
        <v>928</v>
      </c>
      <c r="ES3" s="1186" t="s">
        <v>1022</v>
      </c>
      <c r="ET3" s="1186" t="s">
        <v>1023</v>
      </c>
      <c r="EU3" s="1186" t="s">
        <v>931</v>
      </c>
      <c r="EV3" s="1186" t="s">
        <v>932</v>
      </c>
      <c r="EW3" s="1186" t="s">
        <v>933</v>
      </c>
      <c r="EX3" s="1186" t="s">
        <v>934</v>
      </c>
      <c r="EY3" s="1186" t="s">
        <v>935</v>
      </c>
      <c r="EZ3" s="1186" t="s">
        <v>936</v>
      </c>
      <c r="FA3" s="1184"/>
      <c r="FB3" s="1186" t="s">
        <v>1021</v>
      </c>
      <c r="FC3" s="1186" t="s">
        <v>925</v>
      </c>
      <c r="FD3" s="1186" t="s">
        <v>926</v>
      </c>
      <c r="FE3" s="1186" t="s">
        <v>927</v>
      </c>
      <c r="FF3" s="1186" t="s">
        <v>928</v>
      </c>
      <c r="FG3" s="1186" t="s">
        <v>1022</v>
      </c>
      <c r="FH3" s="1186" t="s">
        <v>1023</v>
      </c>
      <c r="FI3" s="1186" t="s">
        <v>931</v>
      </c>
      <c r="FJ3" s="1186" t="s">
        <v>932</v>
      </c>
      <c r="FK3" s="1186" t="s">
        <v>933</v>
      </c>
      <c r="FL3" s="1186" t="s">
        <v>934</v>
      </c>
      <c r="FM3" s="1186" t="s">
        <v>935</v>
      </c>
      <c r="FN3" s="1186" t="s">
        <v>936</v>
      </c>
      <c r="FO3" s="1186"/>
      <c r="FP3" s="1186" t="s">
        <v>1021</v>
      </c>
      <c r="FQ3" s="1186" t="s">
        <v>925</v>
      </c>
      <c r="FR3" s="1186" t="s">
        <v>926</v>
      </c>
      <c r="FS3" s="1186" t="s">
        <v>927</v>
      </c>
      <c r="FT3" s="1186" t="s">
        <v>928</v>
      </c>
      <c r="FU3" s="1186" t="s">
        <v>1022</v>
      </c>
      <c r="FV3" s="1186" t="s">
        <v>1023</v>
      </c>
      <c r="FW3" s="1186" t="s">
        <v>931</v>
      </c>
      <c r="FX3" s="1186" t="s">
        <v>932</v>
      </c>
      <c r="FY3" s="1186" t="s">
        <v>933</v>
      </c>
      <c r="FZ3" s="1186" t="s">
        <v>934</v>
      </c>
      <c r="GA3" s="1186" t="s">
        <v>935</v>
      </c>
      <c r="GB3" s="1186" t="s">
        <v>936</v>
      </c>
      <c r="GC3" s="1186"/>
      <c r="GD3" s="1321" t="s">
        <v>4</v>
      </c>
      <c r="GE3" s="1295" t="s">
        <v>895</v>
      </c>
      <c r="GF3" s="1186"/>
      <c r="GG3" s="1186" t="s">
        <v>8297</v>
      </c>
      <c r="GH3" s="1321" t="s">
        <v>4</v>
      </c>
      <c r="GI3" s="1295" t="s">
        <v>895</v>
      </c>
      <c r="GJ3" s="1321" t="s">
        <v>4</v>
      </c>
      <c r="GK3" s="1295" t="s">
        <v>895</v>
      </c>
      <c r="GL3" s="1321" t="s">
        <v>4</v>
      </c>
      <c r="GM3" s="1295" t="s">
        <v>895</v>
      </c>
      <c r="GN3" s="1186" t="s">
        <v>1060</v>
      </c>
      <c r="GO3" s="1186" t="s">
        <v>276</v>
      </c>
      <c r="GP3" s="1186"/>
      <c r="GQ3" s="1186" t="s">
        <v>1059</v>
      </c>
      <c r="GR3" s="1186" t="s">
        <v>276</v>
      </c>
      <c r="GS3" s="1186"/>
      <c r="GT3" s="1186" t="s">
        <v>8235</v>
      </c>
      <c r="GU3" s="1186" t="s">
        <v>1024</v>
      </c>
      <c r="GV3" s="1186" t="s">
        <v>8238</v>
      </c>
      <c r="GW3" s="1209" t="s">
        <v>8311</v>
      </c>
      <c r="GX3" s="1186" t="s">
        <v>1086</v>
      </c>
      <c r="GY3" s="1186" t="s">
        <v>1074</v>
      </c>
      <c r="GZ3" s="1186" t="s">
        <v>1075</v>
      </c>
      <c r="HA3" s="1186" t="s">
        <v>1077</v>
      </c>
      <c r="HB3" s="1186" t="s">
        <v>1082</v>
      </c>
      <c r="HC3" s="1186" t="s">
        <v>1080</v>
      </c>
      <c r="HD3" s="1186" t="s">
        <v>1081</v>
      </c>
      <c r="HE3" s="1186" t="s">
        <v>1079</v>
      </c>
      <c r="HF3" s="1186" t="s">
        <v>1084</v>
      </c>
      <c r="HG3" s="1186" t="s">
        <v>1085</v>
      </c>
      <c r="HH3" s="1186" t="s">
        <v>276</v>
      </c>
      <c r="HI3" s="1186" t="s">
        <v>8313</v>
      </c>
      <c r="HJ3" s="1186"/>
      <c r="HK3" s="1186" t="s">
        <v>1057</v>
      </c>
      <c r="HL3" s="1184"/>
      <c r="HN3" s="1184"/>
      <c r="HO3" s="1186" t="s">
        <v>593</v>
      </c>
      <c r="HP3" s="1184" t="s">
        <v>1063</v>
      </c>
      <c r="HQ3" s="1184" t="s">
        <v>12</v>
      </c>
      <c r="HR3" s="1184" t="s">
        <v>224</v>
      </c>
      <c r="HS3" s="1184" t="s">
        <v>1066</v>
      </c>
      <c r="HT3" s="1184" t="s">
        <v>1067</v>
      </c>
      <c r="HU3" s="1186" t="s">
        <v>8303</v>
      </c>
      <c r="HV3" s="1186" t="s">
        <v>8300</v>
      </c>
      <c r="HW3" s="1184" t="s">
        <v>1066</v>
      </c>
      <c r="HX3" s="1184" t="s">
        <v>668</v>
      </c>
      <c r="HY3" s="1184" t="s">
        <v>8303</v>
      </c>
      <c r="HZ3" s="1184" t="s">
        <v>8304</v>
      </c>
      <c r="IA3" s="1184"/>
      <c r="IB3" s="1184"/>
      <c r="IC3" s="1184" t="s">
        <v>1068</v>
      </c>
      <c r="ID3" s="1184" t="s">
        <v>1069</v>
      </c>
      <c r="IE3" s="1184" t="s">
        <v>1070</v>
      </c>
      <c r="IF3" s="1184" t="s">
        <v>1067</v>
      </c>
      <c r="IG3" s="1186" t="s">
        <v>8300</v>
      </c>
      <c r="IH3" s="1184" t="s">
        <v>1067</v>
      </c>
      <c r="II3" s="1186" t="s">
        <v>8300</v>
      </c>
      <c r="IJ3" s="1186" t="s">
        <v>1067</v>
      </c>
      <c r="IK3" s="1186" t="s">
        <v>8300</v>
      </c>
      <c r="IL3" s="1186" t="s">
        <v>1067</v>
      </c>
      <c r="IM3" s="1186" t="s">
        <v>8300</v>
      </c>
    </row>
    <row r="4" spans="1:247" ht="12.6" customHeight="1" x14ac:dyDescent="0.2">
      <c r="A4" s="1154" t="s">
        <v>13</v>
      </c>
      <c r="B4" s="1154"/>
      <c r="C4" s="1154"/>
      <c r="D4" s="1155" t="str">
        <f>IF('Nährstoffe und Lagerraum'!B6="","",'Nährstoffe und Lagerraum'!B6)</f>
        <v/>
      </c>
      <c r="E4" s="242"/>
      <c r="F4" s="242"/>
      <c r="G4" s="242"/>
      <c r="H4" s="242"/>
      <c r="I4" s="242"/>
      <c r="J4" s="242"/>
      <c r="K4" s="2186" t="s">
        <v>1090</v>
      </c>
      <c r="L4" s="2186"/>
      <c r="M4" s="2186"/>
      <c r="N4" s="3027">
        <f>'Nährstoffe und Lagerraum'!G6-'Nährstoffe und Lagerraum'!H8</f>
        <v>0</v>
      </c>
      <c r="O4" s="3027"/>
      <c r="P4" s="1154" t="s">
        <v>294</v>
      </c>
      <c r="Q4" s="726"/>
      <c r="R4" s="242"/>
      <c r="S4" s="242"/>
      <c r="T4" s="242"/>
      <c r="U4" s="242"/>
      <c r="V4" s="242"/>
      <c r="Y4" s="242"/>
      <c r="Z4" s="242"/>
      <c r="AA4" s="242"/>
      <c r="AB4" s="242"/>
      <c r="AC4" s="1175" t="str">
        <f>IF(AND(SUM(GW4:GW7)=0,SUM(HF4:HF7)&gt;0),"Kein Futterbedarf vorhanden",IF((GW4+GW6)*(1-HD1)&gt;GG4+GG6-HC4-HC6,"Futterbedarf kann nicht gedeckt werden.",IF(OR(HD4+HB4&lt;GW4-(GW4+GW6)*HB1,GX4&lt;GW4-(GW4+GW6)*HB1),"Grobfutterbedarf kann nicht gedeckt werden.",IF(OR(HD6+HB6&lt;GW6-(GW4+GW6)*HB1,GX6&lt;GW6-(GW4+GW6)*HB1),"Kraftfutterbedarf kann nicht gedeckt werden.",IF(IFERROR(((HB4+HB6+HD4+HD6)/(GW4+GW6)-1)*100,0)&gt;1,CONCATENATE("Die Futterration ist bei Sickstoff um ",ROUND(((HB4+HB6+HD4+HD6)/(GW4+GW6)-1)*100,0)," % höher als der berechnete Futterbedarf"),"")))))</f>
        <v/>
      </c>
      <c r="AD4" s="242"/>
      <c r="AF4" s="242"/>
      <c r="AG4" s="242"/>
      <c r="AH4" s="242"/>
      <c r="AI4" s="242"/>
      <c r="AJ4" s="242"/>
      <c r="AL4" s="242"/>
      <c r="AM4" s="242"/>
      <c r="AN4" s="242"/>
      <c r="AO4" s="242"/>
      <c r="AP4" s="242"/>
      <c r="AQ4" s="242"/>
      <c r="AR4" s="242"/>
      <c r="AS4" s="242"/>
      <c r="AT4" s="242"/>
      <c r="AU4" s="242"/>
      <c r="AV4" s="242"/>
      <c r="AX4" s="813"/>
      <c r="AY4" s="1189"/>
      <c r="AZ4" s="1190"/>
      <c r="BA4" s="1191" t="s">
        <v>1112</v>
      </c>
      <c r="BB4" s="1191" t="s">
        <v>466</v>
      </c>
      <c r="BC4" s="1191" t="s">
        <v>8317</v>
      </c>
      <c r="BD4" s="1191"/>
      <c r="BE4" s="1341"/>
      <c r="BF4" s="1341"/>
      <c r="BG4" s="1341"/>
      <c r="BH4" s="1341"/>
      <c r="BI4" s="1341"/>
      <c r="BJ4" s="1341"/>
      <c r="BK4" s="1341"/>
      <c r="BL4" s="1341"/>
      <c r="BM4" s="1341"/>
      <c r="BN4" s="1341"/>
      <c r="BO4" s="1341"/>
      <c r="BQ4" s="1184"/>
      <c r="BR4" s="1184"/>
      <c r="BS4" s="1184"/>
      <c r="BT4" s="1184"/>
      <c r="BU4" s="1185"/>
      <c r="BV4" s="1185"/>
      <c r="BW4" s="1184"/>
      <c r="BX4" s="1184"/>
      <c r="BY4" s="1184"/>
      <c r="BZ4" s="1184"/>
      <c r="CA4" s="1184"/>
      <c r="CB4" s="1184"/>
      <c r="CC4" s="1184"/>
      <c r="CD4" s="1184"/>
      <c r="CE4" s="1184"/>
      <c r="CF4" s="1184"/>
      <c r="CG4" s="1184"/>
      <c r="CH4" s="1184"/>
      <c r="CI4" s="1184"/>
      <c r="CJ4" s="1184"/>
      <c r="CK4" s="1184"/>
      <c r="CL4" s="1184"/>
      <c r="CM4" s="1184"/>
      <c r="CN4" s="1184"/>
      <c r="CO4" s="1184"/>
      <c r="CP4" s="1184"/>
      <c r="CQ4" s="1184"/>
      <c r="CR4" s="1184"/>
      <c r="CS4" s="1184"/>
      <c r="CT4" s="1184"/>
      <c r="CV4" s="1184"/>
      <c r="CW4" s="1184"/>
      <c r="CX4" s="1184"/>
      <c r="CY4" s="1192" t="s">
        <v>8301</v>
      </c>
      <c r="CZ4" s="1184"/>
      <c r="DA4" s="1186">
        <v>1</v>
      </c>
      <c r="DB4" s="1186">
        <f t="shared" ref="DB4:DM4" si="0">SUMIF($DA$9:$DA$165,$DA4,DB$9:DB$165)</f>
        <v>0</v>
      </c>
      <c r="DC4" s="1186">
        <f t="shared" si="0"/>
        <v>0</v>
      </c>
      <c r="DD4" s="1186">
        <f t="shared" si="0"/>
        <v>0</v>
      </c>
      <c r="DE4" s="1186">
        <f t="shared" si="0"/>
        <v>0</v>
      </c>
      <c r="DF4" s="1186">
        <f t="shared" si="0"/>
        <v>0</v>
      </c>
      <c r="DG4" s="1186">
        <f t="shared" si="0"/>
        <v>0</v>
      </c>
      <c r="DH4" s="1186">
        <f t="shared" si="0"/>
        <v>0</v>
      </c>
      <c r="DI4" s="1186">
        <f t="shared" si="0"/>
        <v>0</v>
      </c>
      <c r="DJ4" s="1186">
        <f t="shared" si="0"/>
        <v>0</v>
      </c>
      <c r="DK4" s="1186">
        <f t="shared" si="0"/>
        <v>0</v>
      </c>
      <c r="DL4" s="1186">
        <f t="shared" si="0"/>
        <v>0</v>
      </c>
      <c r="DM4" s="1186">
        <f t="shared" si="0"/>
        <v>0</v>
      </c>
      <c r="DN4" s="1184"/>
      <c r="EA4" s="1184"/>
      <c r="EB4" s="1186">
        <f t="shared" ref="EB4:EM4" si="1">SUMIF($DA$9:$DA$165,$DA4,EB$9:EB$165)</f>
        <v>0</v>
      </c>
      <c r="EC4" s="1186">
        <f t="shared" si="1"/>
        <v>0</v>
      </c>
      <c r="ED4" s="1186">
        <f t="shared" si="1"/>
        <v>0</v>
      </c>
      <c r="EE4" s="1186">
        <f t="shared" si="1"/>
        <v>0</v>
      </c>
      <c r="EF4" s="1186">
        <f t="shared" si="1"/>
        <v>0</v>
      </c>
      <c r="EG4" s="1186">
        <f t="shared" si="1"/>
        <v>0</v>
      </c>
      <c r="EH4" s="1186">
        <f t="shared" si="1"/>
        <v>0</v>
      </c>
      <c r="EI4" s="1186">
        <f t="shared" si="1"/>
        <v>0</v>
      </c>
      <c r="EJ4" s="1186">
        <f t="shared" si="1"/>
        <v>0</v>
      </c>
      <c r="EK4" s="1186">
        <f t="shared" si="1"/>
        <v>0</v>
      </c>
      <c r="EL4" s="1186">
        <f t="shared" si="1"/>
        <v>0</v>
      </c>
      <c r="EM4" s="1186">
        <f t="shared" si="1"/>
        <v>0</v>
      </c>
      <c r="EN4" s="1184"/>
      <c r="FA4" s="1184"/>
      <c r="FB4" s="1186">
        <f t="shared" ref="FB4:FN4" si="2">SUMIF($DA$9:$DA$165,$DA4,FB$9:FB$165)</f>
        <v>0</v>
      </c>
      <c r="FC4" s="1186">
        <f t="shared" si="2"/>
        <v>0</v>
      </c>
      <c r="FD4" s="1186">
        <f t="shared" si="2"/>
        <v>0</v>
      </c>
      <c r="FE4" s="1186">
        <f t="shared" si="2"/>
        <v>0</v>
      </c>
      <c r="FF4" s="1186">
        <f t="shared" si="2"/>
        <v>0</v>
      </c>
      <c r="FG4" s="1186">
        <f t="shared" si="2"/>
        <v>0</v>
      </c>
      <c r="FH4" s="1186">
        <f t="shared" si="2"/>
        <v>0</v>
      </c>
      <c r="FI4" s="1186">
        <f t="shared" si="2"/>
        <v>0</v>
      </c>
      <c r="FJ4" s="1186">
        <f t="shared" si="2"/>
        <v>0</v>
      </c>
      <c r="FK4" s="1186">
        <f t="shared" si="2"/>
        <v>0</v>
      </c>
      <c r="FL4" s="1186">
        <f t="shared" si="2"/>
        <v>0</v>
      </c>
      <c r="FM4" s="1186">
        <f t="shared" si="2"/>
        <v>0</v>
      </c>
      <c r="FN4" s="1186">
        <f t="shared" si="2"/>
        <v>0</v>
      </c>
      <c r="FO4" s="1186"/>
      <c r="GC4" s="1186"/>
      <c r="GD4" s="1186">
        <f>SUMIF($DA$9:$DA$165,$DA4,GD$9:GD$165)</f>
        <v>0</v>
      </c>
      <c r="GE4" t="str">
        <f>" "</f>
        <v xml:space="preserve"> </v>
      </c>
      <c r="GF4" s="1186"/>
      <c r="GG4" s="1186">
        <f>SUMIFS($GD$9:$GD$165,$DA$9:$DA$165,DA4,$GD$9:$GD$165,"&gt;=0")</f>
        <v>0</v>
      </c>
      <c r="GH4" s="1186">
        <f>SUMIF($DA$9:$DA$165,$DA4,GH$9:GH$165)</f>
        <v>0</v>
      </c>
      <c r="GI4" t="str">
        <f>" "</f>
        <v xml:space="preserve"> </v>
      </c>
      <c r="GJ4" s="1186">
        <f>SUMIF($DA$9:$DA$165,$DA4,GJ$9:GJ$165)</f>
        <v>0</v>
      </c>
      <c r="GK4" t="str">
        <f>" "</f>
        <v xml:space="preserve"> </v>
      </c>
      <c r="GL4" s="1186">
        <f>SUMIF($DA$9:$DA$165,$DA4,GL$9:GL$165)</f>
        <v>0</v>
      </c>
      <c r="GM4" t="str">
        <f>" "</f>
        <v xml:space="preserve"> </v>
      </c>
      <c r="GN4" s="1186" t="str">
        <f t="shared" ref="GN4:GR8" si="3">" "</f>
        <v xml:space="preserve"> </v>
      </c>
      <c r="GO4" s="1186" t="str">
        <f t="shared" si="3"/>
        <v xml:space="preserve"> </v>
      </c>
      <c r="GP4" s="1186" t="s">
        <v>8235</v>
      </c>
      <c r="GQ4" s="1186" t="str">
        <f t="shared" si="3"/>
        <v xml:space="preserve"> </v>
      </c>
      <c r="GR4" s="1186" t="str">
        <f t="shared" si="3"/>
        <v xml:space="preserve"> </v>
      </c>
      <c r="GS4" s="1186" t="s">
        <v>8236</v>
      </c>
      <c r="GT4" s="1186"/>
      <c r="GU4" s="1186" t="str">
        <f t="shared" ref="GU4:GZ8" si="4">" "</f>
        <v xml:space="preserve"> </v>
      </c>
      <c r="GV4" s="1186" t="str">
        <f>" "</f>
        <v xml:space="preserve"> </v>
      </c>
      <c r="GW4" s="1186">
        <f>$IJ$9</f>
        <v>0</v>
      </c>
      <c r="GX4" s="1186">
        <f>IF($IJ$10&gt;GW4,MIN(IJ10,GW4+(GW4+GW6)*HB1),IJ10)</f>
        <v>0</v>
      </c>
      <c r="GY4" s="1186" cm="1">
        <f t="array" ref="GY4">SUMPRODUCT(GY9:GY165,GD9:GD165,(DA9:DA165=DA4)*1)</f>
        <v>0</v>
      </c>
      <c r="GZ4" s="1186">
        <f>ROUND(GY4,0)</f>
        <v>0</v>
      </c>
      <c r="HA4" s="1186"/>
      <c r="HB4" s="1186">
        <f>SUMIF($DA$9:$DA$165,$DA$4,HB9:HB165)</f>
        <v>0</v>
      </c>
      <c r="HC4" s="1186">
        <f>SUMIF($DA$9:$DA$165,$DA$4,HC9:HC165)</f>
        <v>0</v>
      </c>
      <c r="HD4" s="1186">
        <f>MAX(0,IF($GW$4+$GW$6&gt;$GG$4+$GG$6-$HC$4-$HC$6,GG4-HC4-HB4,IF(GW4&gt;GG4-HC4,GG4-HC4-HB4,IF(GW6&gt;GG6-HC6,GW4-HB4+MIN(GW6-(GG6-HC6),(GW4+GW6)*HB1),IF(HB6&gt;GW6,MAX(GW4-HB4+GW6-HB6,GW4-HB4-(GW4+GW6)*HB1),GW4-HB4)))))</f>
        <v>0</v>
      </c>
      <c r="HE4" s="1186" cm="1">
        <f t="array" ref="HE4">SUMPRODUCT(HE9:HE165,GD9:GD165,(DA9:DA165=DA4)*1)</f>
        <v>0</v>
      </c>
      <c r="HF4" s="1186">
        <f>ROUND(HE4,0)</f>
        <v>0</v>
      </c>
      <c r="HG4" s="1186" t="str">
        <f t="shared" ref="HG4:HH8" si="5">" "</f>
        <v xml:space="preserve"> </v>
      </c>
      <c r="HH4" s="1186" t="str">
        <f t="shared" si="5"/>
        <v xml:space="preserve"> </v>
      </c>
      <c r="HI4" s="1186" t="s">
        <v>4</v>
      </c>
      <c r="HJ4" s="1186" t="s">
        <v>895</v>
      </c>
      <c r="HK4" s="1186">
        <f>IF(AND(GJ4=0,IJ9=0),3,1)</f>
        <v>3</v>
      </c>
      <c r="HL4" s="1184"/>
      <c r="HN4" s="1184"/>
      <c r="HO4" s="1193">
        <f>Tiere!B30</f>
        <v>0</v>
      </c>
      <c r="HP4" s="1184">
        <v>1</v>
      </c>
      <c r="HQ4" s="1194">
        <f>SUMIF('Nährstoffe und Lagerraum'!$BM$68:$BM$87,'Lagerhaltung (freiwillig)'!HP4,'Nährstoffe und Lagerraum'!$Z$68:$Z$87)+SUMIF('Nährstoffe und Lagerraum'!$BM$68:$BM$87,'Lagerhaltung (freiwillig)'!HP4,'Nährstoffe und Lagerraum'!$AA$68:$AA$87)</f>
        <v>0</v>
      </c>
      <c r="HR4" s="1184" cm="1">
        <f t="array" ref="HR4">INDEX(Tiere!$C$30:$C$114,'Lagerhaltung (freiwillig)'!HP4)</f>
        <v>0</v>
      </c>
      <c r="HS4" s="1184" cm="1">
        <f t="array" ref="HS4">INDEX(Tiere!$H$30:$H$114,'Lagerhaltung (freiwillig)'!HP4)</f>
        <v>0</v>
      </c>
      <c r="HT4" s="1184">
        <f>$HQ4*HS4/1000</f>
        <v>0</v>
      </c>
      <c r="HU4" s="1184" cm="1">
        <f t="array" ref="HU4">INDEX(Tiere!$I$30:$I$114,'Lagerhaltung (freiwillig)'!HP4)</f>
        <v>0</v>
      </c>
      <c r="HV4" s="1184">
        <f>$HQ4*HU4/1000</f>
        <v>0</v>
      </c>
      <c r="HW4" s="1184" cm="1">
        <f t="array" ref="HW4">INDEX(Tiere!$BC$30:$BC$114,'Lagerhaltung (freiwillig)'!HP4)</f>
        <v>0</v>
      </c>
      <c r="HX4" s="1184">
        <f t="shared" ref="HX4" si="6">HQ4*HW4/1000</f>
        <v>0</v>
      </c>
      <c r="HY4" s="1184" cm="1">
        <f t="array" ref="HY4">INDEX(Tiere!$BD$30:$BD$114,'Lagerhaltung (freiwillig)'!HP4)</f>
        <v>0</v>
      </c>
      <c r="HZ4" s="1184">
        <f t="shared" ref="HZ4" si="7">HQ4*HY4/1000</f>
        <v>0</v>
      </c>
      <c r="IA4" s="1184"/>
      <c r="IB4" s="1184"/>
      <c r="IC4" s="1184"/>
      <c r="ID4" s="1184"/>
      <c r="IE4" s="1184"/>
      <c r="IF4" s="1184"/>
      <c r="IG4" s="1184"/>
      <c r="IH4" s="1184"/>
      <c r="II4" s="1184"/>
      <c r="IJ4" s="1184"/>
      <c r="IK4" s="1184"/>
      <c r="IL4" s="1184"/>
    </row>
    <row r="5" spans="1:247" ht="12.6" customHeight="1" x14ac:dyDescent="0.2">
      <c r="A5" s="1154" t="s">
        <v>14</v>
      </c>
      <c r="B5" s="1154"/>
      <c r="C5" s="1154"/>
      <c r="D5" s="1155" t="str">
        <f>IF('Nährstoffe und Lagerraum'!B8="","",'Nährstoffe und Lagerraum'!B8)</f>
        <v/>
      </c>
      <c r="E5" s="242"/>
      <c r="F5" s="242"/>
      <c r="G5" s="242"/>
      <c r="H5" s="242"/>
      <c r="I5" s="242"/>
      <c r="J5" s="242"/>
      <c r="K5" s="3036" t="s">
        <v>1091</v>
      </c>
      <c r="L5" s="3036"/>
      <c r="M5" s="3036"/>
      <c r="N5" s="3027">
        <f>'Nährstoffe und Lagerraum'!G9-'Nährstoffe und Lagerraum'!H11</f>
        <v>0</v>
      </c>
      <c r="O5" s="3027"/>
      <c r="P5" s="1154" t="s">
        <v>294</v>
      </c>
      <c r="Q5" s="242"/>
      <c r="R5" s="242"/>
      <c r="S5" s="242"/>
      <c r="T5" s="242"/>
      <c r="U5" s="242"/>
      <c r="V5" s="242"/>
      <c r="Y5" s="3095" t="s">
        <v>8195</v>
      </c>
      <c r="Z5" s="3096"/>
      <c r="AA5" s="3096"/>
      <c r="AB5" s="3097"/>
      <c r="AC5" s="3070" t="s">
        <v>237</v>
      </c>
      <c r="AD5" s="3071"/>
      <c r="AE5" s="3071"/>
      <c r="AF5" s="3071"/>
      <c r="AG5" s="3070" t="s">
        <v>559</v>
      </c>
      <c r="AH5" s="3071"/>
      <c r="AI5" s="3071"/>
      <c r="AJ5" s="3072"/>
      <c r="AK5" s="3070" t="s">
        <v>8171</v>
      </c>
      <c r="AL5" s="3071"/>
      <c r="AM5" s="3071"/>
      <c r="AN5" s="3072"/>
      <c r="AO5" s="3079" t="s">
        <v>8332</v>
      </c>
      <c r="AP5" s="3080"/>
      <c r="AQ5" s="3080"/>
      <c r="AR5" s="3081"/>
      <c r="AS5" s="3082"/>
      <c r="AT5" s="3080"/>
      <c r="AU5" s="3080"/>
      <c r="AV5" s="3081"/>
      <c r="AY5" s="1184"/>
      <c r="AZ5" s="1184"/>
      <c r="BA5" s="1186" t="s">
        <v>1113</v>
      </c>
      <c r="BB5" s="1186"/>
      <c r="BC5" s="1186" t="s">
        <v>619</v>
      </c>
      <c r="BD5" s="1186"/>
      <c r="BE5" s="1342"/>
      <c r="BF5" s="1342"/>
      <c r="BG5" s="1342"/>
      <c r="BH5" s="1342"/>
      <c r="BI5" s="1342"/>
      <c r="BJ5" s="1342"/>
      <c r="BK5" s="1342"/>
      <c r="BL5" s="1342"/>
      <c r="BM5" s="1342"/>
      <c r="BN5" s="1342"/>
      <c r="BO5" s="1342"/>
      <c r="BQ5" s="1184"/>
      <c r="BR5" s="1184"/>
      <c r="BS5" s="1184"/>
      <c r="BT5" s="1184"/>
      <c r="BU5" s="1185"/>
      <c r="BV5" s="1185"/>
      <c r="BW5" s="1184"/>
      <c r="BX5" s="1184"/>
      <c r="BY5" s="1184"/>
      <c r="BZ5" s="1184"/>
      <c r="CA5" s="1184"/>
      <c r="CB5" s="1184"/>
      <c r="CC5" s="1184"/>
      <c r="CD5" s="1184"/>
      <c r="CE5" s="1184"/>
      <c r="CF5" s="1184"/>
      <c r="CG5" s="1184"/>
      <c r="CH5" s="1184"/>
      <c r="CI5" s="1184"/>
      <c r="CJ5" s="1184"/>
      <c r="CK5" s="1184"/>
      <c r="CL5" s="1184"/>
      <c r="CM5" s="1184"/>
      <c r="CN5" s="1184"/>
      <c r="CO5" s="1184"/>
      <c r="CP5" s="1184"/>
      <c r="CQ5" s="1184"/>
      <c r="CR5" s="1184"/>
      <c r="CS5" s="1184"/>
      <c r="CT5" s="1184"/>
      <c r="CU5" s="1184"/>
      <c r="CV5" s="1184"/>
      <c r="CW5" s="1184"/>
      <c r="CX5" s="1184"/>
      <c r="CY5" s="1192" t="s">
        <v>8302</v>
      </c>
      <c r="CZ5" s="1184"/>
      <c r="DA5" s="1186">
        <v>1</v>
      </c>
      <c r="DB5" s="1186"/>
      <c r="DC5" s="1186"/>
      <c r="DD5" s="1186"/>
      <c r="DE5" s="1186"/>
      <c r="DF5" s="1186"/>
      <c r="DG5" s="1186"/>
      <c r="DH5" s="1186"/>
      <c r="DI5" s="1186"/>
      <c r="DJ5" s="1186"/>
      <c r="DK5" s="1186"/>
      <c r="DL5" s="1186"/>
      <c r="DM5" s="1186"/>
      <c r="DN5" s="1184"/>
      <c r="DO5" s="1186">
        <f t="shared" ref="DO5:DZ5" si="8">SUMIF($DA$9:$DA$165,$DA4,DO$9:DO$165)</f>
        <v>0</v>
      </c>
      <c r="DP5" s="1186">
        <f t="shared" si="8"/>
        <v>0</v>
      </c>
      <c r="DQ5" s="1186">
        <f t="shared" si="8"/>
        <v>0</v>
      </c>
      <c r="DR5" s="1186">
        <f t="shared" si="8"/>
        <v>0</v>
      </c>
      <c r="DS5" s="1186">
        <f t="shared" si="8"/>
        <v>0</v>
      </c>
      <c r="DT5" s="1186">
        <f t="shared" si="8"/>
        <v>0</v>
      </c>
      <c r="DU5" s="1186">
        <f t="shared" si="8"/>
        <v>0</v>
      </c>
      <c r="DV5" s="1186">
        <f t="shared" si="8"/>
        <v>0</v>
      </c>
      <c r="DW5" s="1186">
        <f t="shared" si="8"/>
        <v>0</v>
      </c>
      <c r="DX5" s="1186">
        <f t="shared" si="8"/>
        <v>0</v>
      </c>
      <c r="DY5" s="1186">
        <f t="shared" si="8"/>
        <v>0</v>
      </c>
      <c r="DZ5" s="1186">
        <f t="shared" si="8"/>
        <v>0</v>
      </c>
      <c r="EA5" s="1184"/>
      <c r="EB5" s="1186"/>
      <c r="EC5" s="1186"/>
      <c r="ED5" s="1186"/>
      <c r="EE5" s="1186"/>
      <c r="EF5" s="1186"/>
      <c r="EG5" s="1186"/>
      <c r="EH5" s="1186"/>
      <c r="EI5" s="1186"/>
      <c r="EJ5" s="1186"/>
      <c r="EK5" s="1186"/>
      <c r="EL5" s="1186"/>
      <c r="EM5" s="1186"/>
      <c r="EN5" s="1184"/>
      <c r="EO5" s="1186">
        <f t="shared" ref="EO5:EZ5" si="9">SUMIF($DA$9:$DA$165,$DA4,EO$9:EO$165)</f>
        <v>0</v>
      </c>
      <c r="EP5" s="1186">
        <f t="shared" si="9"/>
        <v>0</v>
      </c>
      <c r="EQ5" s="1186">
        <f t="shared" si="9"/>
        <v>0</v>
      </c>
      <c r="ER5" s="1186">
        <f t="shared" si="9"/>
        <v>0</v>
      </c>
      <c r="ES5" s="1186">
        <f t="shared" si="9"/>
        <v>0</v>
      </c>
      <c r="ET5" s="1186">
        <f t="shared" si="9"/>
        <v>0</v>
      </c>
      <c r="EU5" s="1186">
        <f t="shared" si="9"/>
        <v>0</v>
      </c>
      <c r="EV5" s="1186">
        <f t="shared" si="9"/>
        <v>0</v>
      </c>
      <c r="EW5" s="1186">
        <f t="shared" si="9"/>
        <v>0</v>
      </c>
      <c r="EX5" s="1186">
        <f t="shared" si="9"/>
        <v>0</v>
      </c>
      <c r="EY5" s="1186">
        <f t="shared" si="9"/>
        <v>0</v>
      </c>
      <c r="EZ5" s="1186">
        <f t="shared" si="9"/>
        <v>0</v>
      </c>
      <c r="FA5" s="1184"/>
      <c r="FB5" s="1186"/>
      <c r="FC5" s="1186"/>
      <c r="FD5" s="1186"/>
      <c r="FE5" s="1186"/>
      <c r="FF5" s="1186"/>
      <c r="FG5" s="1186"/>
      <c r="FH5" s="1186"/>
      <c r="FI5" s="1186"/>
      <c r="FJ5" s="1186"/>
      <c r="FK5" s="1186"/>
      <c r="FL5" s="1186"/>
      <c r="FM5" s="1186"/>
      <c r="FN5" s="1186"/>
      <c r="FO5" s="1186"/>
      <c r="FP5" s="1186">
        <f t="shared" ref="FP5:GB5" si="10">SUMIF($DA$9:$DA$165,$DA4,FP$9:FP$165)</f>
        <v>0</v>
      </c>
      <c r="FQ5" s="1186">
        <f t="shared" si="10"/>
        <v>0</v>
      </c>
      <c r="FR5" s="1186">
        <f t="shared" si="10"/>
        <v>0</v>
      </c>
      <c r="FS5" s="1186">
        <f t="shared" si="10"/>
        <v>0</v>
      </c>
      <c r="FT5" s="1186">
        <f t="shared" si="10"/>
        <v>0</v>
      </c>
      <c r="FU5" s="1186">
        <f t="shared" si="10"/>
        <v>0</v>
      </c>
      <c r="FV5" s="1186">
        <f t="shared" si="10"/>
        <v>0</v>
      </c>
      <c r="FW5" s="1186">
        <f t="shared" si="10"/>
        <v>0</v>
      </c>
      <c r="FX5" s="1186">
        <f t="shared" si="10"/>
        <v>0</v>
      </c>
      <c r="FY5" s="1186">
        <f t="shared" si="10"/>
        <v>0</v>
      </c>
      <c r="FZ5" s="1186">
        <f t="shared" si="10"/>
        <v>0</v>
      </c>
      <c r="GA5" s="1186">
        <f t="shared" si="10"/>
        <v>0</v>
      </c>
      <c r="GB5" s="1186">
        <f t="shared" si="10"/>
        <v>0</v>
      </c>
      <c r="GC5" s="1186"/>
      <c r="GD5" s="1186" t="str">
        <f>" "</f>
        <v xml:space="preserve"> </v>
      </c>
      <c r="GE5" s="1186">
        <f>SUMIF($DA$9:$DA$165,$DA4,GE$9:GE$165)</f>
        <v>0</v>
      </c>
      <c r="GF5" s="1186"/>
      <c r="GG5" s="1186"/>
      <c r="GH5" s="1186" t="str">
        <f>" "</f>
        <v xml:space="preserve"> </v>
      </c>
      <c r="GI5" s="1186">
        <f>SUMIF($DA$9:$DA$165,$DA4,GI$9:GI$165)</f>
        <v>0</v>
      </c>
      <c r="GJ5" s="1186" t="str">
        <f>" "</f>
        <v xml:space="preserve"> </v>
      </c>
      <c r="GK5" s="1186">
        <f>SUMIF($DA$9:$DA$165,$DA4,GK$9:GK$165)</f>
        <v>0</v>
      </c>
      <c r="GL5" s="1186" t="str">
        <f>" "</f>
        <v xml:space="preserve"> </v>
      </c>
      <c r="GM5" s="1186">
        <f>SUMIF($DA$9:$DA$165,$DA4,GM$9:GM$165)</f>
        <v>0</v>
      </c>
      <c r="GN5" s="1186" t="str">
        <f t="shared" si="3"/>
        <v xml:space="preserve"> </v>
      </c>
      <c r="GO5" s="1186" t="str">
        <f t="shared" si="3"/>
        <v xml:space="preserve"> </v>
      </c>
      <c r="GP5" s="1186"/>
      <c r="GQ5" s="1186" t="str">
        <f t="shared" si="3"/>
        <v xml:space="preserve"> </v>
      </c>
      <c r="GR5" s="1186" t="str">
        <f t="shared" si="3"/>
        <v xml:space="preserve"> </v>
      </c>
      <c r="GS5" s="1186"/>
      <c r="GT5" s="1186"/>
      <c r="GU5" s="1186" t="str">
        <f t="shared" si="4"/>
        <v xml:space="preserve"> </v>
      </c>
      <c r="GV5" s="1186" t="str">
        <f>" "</f>
        <v xml:space="preserve"> </v>
      </c>
      <c r="GW5" s="1186">
        <f>$IK$9</f>
        <v>0</v>
      </c>
      <c r="GX5" s="1186"/>
      <c r="GY5" s="1186" cm="1">
        <f t="array" ref="GY5">SUMPRODUCT(GY9:GY165,GE9:GE165,(DA9:DA165=DA4)*1)</f>
        <v>0</v>
      </c>
      <c r="GZ5" s="1186">
        <f>ROUND(GY5,0)</f>
        <v>0</v>
      </c>
      <c r="HA5" s="1186"/>
      <c r="HB5" s="1186"/>
      <c r="HC5" s="1186"/>
      <c r="HD5" s="1186"/>
      <c r="HE5" s="1331" cm="1">
        <f t="array" ref="HE5">SUMPRODUCT(HE9:HE165,GE9:GE165,(DA9:DA165=DA4)*1)</f>
        <v>0</v>
      </c>
      <c r="HF5" s="1186">
        <f t="shared" ref="HF5:HF7" si="11">ROUND(HE5,0)</f>
        <v>0</v>
      </c>
      <c r="HG5" s="1186" t="str">
        <f t="shared" si="5"/>
        <v xml:space="preserve"> </v>
      </c>
      <c r="HH5" s="1186" t="str">
        <f t="shared" si="5"/>
        <v xml:space="preserve"> </v>
      </c>
      <c r="HI5" s="1186"/>
      <c r="HJ5" s="1186"/>
      <c r="HK5" s="1186">
        <f>HK4</f>
        <v>3</v>
      </c>
      <c r="HL5" s="1184"/>
      <c r="HN5" s="1184"/>
      <c r="HO5" s="1193" t="str">
        <f>Tiere!B31</f>
        <v>+++Rinder+++</v>
      </c>
      <c r="HP5" s="1184">
        <v>2</v>
      </c>
      <c r="HQ5" s="1194">
        <f>SUMIF('Nährstoffe und Lagerraum'!$BM$68:$BM$87,'Lagerhaltung (freiwillig)'!HP5,'Nährstoffe und Lagerraum'!$Z$68:$Z$87)+SUMIF('Nährstoffe und Lagerraum'!$BM$68:$BM$87,'Lagerhaltung (freiwillig)'!HP5,'Nährstoffe und Lagerraum'!$AA$68:$AA$87)</f>
        <v>0</v>
      </c>
      <c r="HR5" s="1184" cm="1">
        <f t="array" ref="HR5">INDEX(Tiere!$C$30:$C$114,'Lagerhaltung (freiwillig)'!HP5)</f>
        <v>0</v>
      </c>
      <c r="HS5" s="1184" cm="1">
        <f t="array" ref="HS5">INDEX(Tiere!$H$30:$H$114,'Lagerhaltung (freiwillig)'!HP5)</f>
        <v>0</v>
      </c>
      <c r="HT5" s="1184">
        <f t="shared" ref="HT5:HT68" si="12">$HQ5*HS5/1000</f>
        <v>0</v>
      </c>
      <c r="HU5" s="1184" cm="1">
        <f t="array" ref="HU5">INDEX(Tiere!$I$30:$I$114,'Lagerhaltung (freiwillig)'!HP5)</f>
        <v>0</v>
      </c>
      <c r="HV5" s="1184">
        <f t="shared" ref="HV5:HV68" si="13">$HQ5*HU5/1000</f>
        <v>0</v>
      </c>
      <c r="HW5" s="1184" cm="1">
        <f t="array" ref="HW5">INDEX(Tiere!$BC$30:$BC$114,'Lagerhaltung (freiwillig)'!HP5)</f>
        <v>0</v>
      </c>
      <c r="HX5" s="1184">
        <f t="shared" ref="HX5:HX68" si="14">HQ5*HW5/1000</f>
        <v>0</v>
      </c>
      <c r="HY5" s="1184" cm="1">
        <f t="array" ref="HY5">INDEX(Tiere!$BD$30:$BD$114,'Lagerhaltung (freiwillig)'!HP5)</f>
        <v>0</v>
      </c>
      <c r="HZ5" s="1184">
        <f t="shared" ref="HZ5:HZ68" si="15">HQ5*HY5/1000</f>
        <v>0</v>
      </c>
      <c r="IA5" s="1184"/>
      <c r="IB5" s="1184"/>
      <c r="IC5" s="1184" t="s">
        <v>47</v>
      </c>
      <c r="ID5" s="1184">
        <v>2</v>
      </c>
      <c r="IE5" s="1184">
        <v>1</v>
      </c>
      <c r="IF5" s="1184">
        <f>SUMIF('Nährstoffe und Lagerraum'!$BK$68:$BK$87,ID5,'Nährstoffe und Lagerraum'!$FF$68:$FF$87)/1000</f>
        <v>0</v>
      </c>
      <c r="IG5" s="1184">
        <f>SUMIF('Nährstoffe und Lagerraum'!$BK$68:$BK$87,ID5,'Nährstoffe und Lagerraum'!$FG$68:$FG$87)/1000</f>
        <v>0</v>
      </c>
      <c r="IH5" s="1184">
        <f>CF100</f>
        <v>0</v>
      </c>
      <c r="II5" s="1325">
        <f>CF104</f>
        <v>0</v>
      </c>
      <c r="IJ5" s="1184">
        <f>SUMIF($HR$4:$HR$88,IE5,$HT$4:$HT$88)</f>
        <v>0</v>
      </c>
      <c r="IK5" s="1184">
        <f>SUMIF($HR$4:$HR$88,IE5,$HV$4:$HV$88)</f>
        <v>0</v>
      </c>
      <c r="IL5" s="1184">
        <f t="shared" ref="IL5:IM8" si="16">IF5+IH5-IJ5</f>
        <v>0</v>
      </c>
      <c r="IM5" s="1325">
        <f t="shared" si="16"/>
        <v>0</v>
      </c>
    </row>
    <row r="6" spans="1:247" ht="12.6" customHeight="1" x14ac:dyDescent="0.2">
      <c r="A6" s="1154" t="s">
        <v>15</v>
      </c>
      <c r="B6" s="1154"/>
      <c r="C6" s="1154"/>
      <c r="D6" s="1155" t="str">
        <f>IF('Nährstoffe und Lagerraum'!B9="","",'Nährstoffe und Lagerraum'!B9)</f>
        <v/>
      </c>
      <c r="E6" s="242"/>
      <c r="F6" s="242"/>
      <c r="G6" s="242"/>
      <c r="H6" s="242"/>
      <c r="I6" s="242"/>
      <c r="J6" s="242"/>
      <c r="K6" s="1994" t="str">
        <f>IF(Y13="","",IF(AND(N91="",N93="",N92="",R104="",AJ3="",R101="",R100="",R99="",R102="",R103="",COUNTIF($AD$14:$AD$89,"Fehler")=0,OR(AC4="",GW4+GW6&lt;HB4+HB6+HD4+HD6)),"","Hinweis: Fehlermeldungen beachten!"))</f>
        <v/>
      </c>
      <c r="Q6" s="242"/>
      <c r="R6" s="242"/>
      <c r="U6" s="242"/>
      <c r="V6" s="242"/>
      <c r="Y6" s="3098"/>
      <c r="Z6" s="3099"/>
      <c r="AA6" s="3099"/>
      <c r="AB6" s="3100"/>
      <c r="AC6" s="3068" t="s">
        <v>8170</v>
      </c>
      <c r="AD6" s="3015"/>
      <c r="AE6" s="3015"/>
      <c r="AF6" s="3015"/>
      <c r="AG6" s="3073" t="s">
        <v>1061</v>
      </c>
      <c r="AH6" s="3074"/>
      <c r="AI6" s="3074"/>
      <c r="AJ6" s="3075"/>
      <c r="AK6" s="3013" t="s">
        <v>1101</v>
      </c>
      <c r="AL6" s="3076"/>
      <c r="AM6" s="3076"/>
      <c r="AN6" s="3077"/>
      <c r="AO6" s="2995" t="s">
        <v>8312</v>
      </c>
      <c r="AP6" s="2995" t="s">
        <v>1097</v>
      </c>
      <c r="AQ6" s="3083" t="s">
        <v>8335</v>
      </c>
      <c r="AR6" s="3086" t="s">
        <v>1098</v>
      </c>
      <c r="AS6" s="3013" t="s">
        <v>1102</v>
      </c>
      <c r="AT6" s="3076"/>
      <c r="AU6" s="3076"/>
      <c r="AV6" s="3077"/>
      <c r="AY6" s="1184"/>
      <c r="AZ6" s="1184"/>
      <c r="BA6" s="1184"/>
      <c r="BB6" s="1184"/>
      <c r="BC6" s="1184"/>
      <c r="BD6" s="1184"/>
      <c r="BQ6" s="1184"/>
      <c r="BR6" s="1184"/>
      <c r="BS6" s="1184"/>
      <c r="BT6" s="1184"/>
      <c r="BU6" s="1185"/>
      <c r="BV6" s="1185"/>
      <c r="BW6" s="1184"/>
      <c r="BX6" s="1184"/>
      <c r="BY6" s="1184"/>
      <c r="BZ6" s="1184"/>
      <c r="CA6" s="1184"/>
      <c r="CB6" s="1184"/>
      <c r="CC6" s="1184"/>
      <c r="CD6" s="1184"/>
      <c r="CE6" s="1184"/>
      <c r="CF6" s="1184"/>
      <c r="CG6" s="1184"/>
      <c r="CH6" s="1184"/>
      <c r="CI6" s="1184"/>
      <c r="CJ6" s="1184"/>
      <c r="CK6" s="1184"/>
      <c r="CL6" s="1184"/>
      <c r="CM6" s="1184"/>
      <c r="CN6" s="1184"/>
      <c r="CO6" s="1184"/>
      <c r="CP6" s="1184"/>
      <c r="CQ6" s="1184"/>
      <c r="CR6" s="1184"/>
      <c r="CS6" s="1184"/>
      <c r="CT6" s="1184"/>
      <c r="CU6" s="1184"/>
      <c r="CV6" s="1184"/>
      <c r="CW6" s="1184"/>
      <c r="CX6" s="1184"/>
      <c r="CY6" s="1192" t="s">
        <v>8324</v>
      </c>
      <c r="CZ6" s="1184"/>
      <c r="DA6" s="1186">
        <v>2</v>
      </c>
      <c r="DB6" s="1186">
        <f t="shared" ref="DB6:DM6" si="17">SUMIF($DA$9:$DA$165,$DA6,DB$9:DB$165)</f>
        <v>0</v>
      </c>
      <c r="DC6" s="1186">
        <f t="shared" si="17"/>
        <v>0</v>
      </c>
      <c r="DD6" s="1186">
        <f t="shared" si="17"/>
        <v>0</v>
      </c>
      <c r="DE6" s="1186">
        <f t="shared" si="17"/>
        <v>0</v>
      </c>
      <c r="DF6" s="1186">
        <f t="shared" si="17"/>
        <v>0</v>
      </c>
      <c r="DG6" s="1186">
        <f t="shared" si="17"/>
        <v>0</v>
      </c>
      <c r="DH6" s="1186">
        <f t="shared" si="17"/>
        <v>0</v>
      </c>
      <c r="DI6" s="1186">
        <f t="shared" si="17"/>
        <v>0</v>
      </c>
      <c r="DJ6" s="1186">
        <f t="shared" si="17"/>
        <v>0</v>
      </c>
      <c r="DK6" s="1186">
        <f t="shared" si="17"/>
        <v>0</v>
      </c>
      <c r="DL6" s="1186">
        <f t="shared" si="17"/>
        <v>0</v>
      </c>
      <c r="DM6" s="1186">
        <f t="shared" si="17"/>
        <v>0</v>
      </c>
      <c r="DN6" s="1184"/>
      <c r="EA6" s="1184"/>
      <c r="EB6" s="1186">
        <f t="shared" ref="EB6:EM6" si="18">SUMIF($DA$9:$DA$165,$DA6,EB$9:EB$165)</f>
        <v>0</v>
      </c>
      <c r="EC6" s="1186">
        <f t="shared" si="18"/>
        <v>0</v>
      </c>
      <c r="ED6" s="1186">
        <f t="shared" si="18"/>
        <v>0</v>
      </c>
      <c r="EE6" s="1186">
        <f t="shared" si="18"/>
        <v>0</v>
      </c>
      <c r="EF6" s="1186">
        <f t="shared" si="18"/>
        <v>0</v>
      </c>
      <c r="EG6" s="1186">
        <f t="shared" si="18"/>
        <v>0</v>
      </c>
      <c r="EH6" s="1186">
        <f t="shared" si="18"/>
        <v>0</v>
      </c>
      <c r="EI6" s="1186">
        <f t="shared" si="18"/>
        <v>0</v>
      </c>
      <c r="EJ6" s="1186">
        <f t="shared" si="18"/>
        <v>0</v>
      </c>
      <c r="EK6" s="1186">
        <f t="shared" si="18"/>
        <v>0</v>
      </c>
      <c r="EL6" s="1186">
        <f t="shared" si="18"/>
        <v>0</v>
      </c>
      <c r="EM6" s="1186">
        <f t="shared" si="18"/>
        <v>0</v>
      </c>
      <c r="EN6" s="1184"/>
      <c r="FA6" s="1184"/>
      <c r="FB6" s="1186">
        <f t="shared" ref="FB6:FN6" si="19">SUMIF($DA$9:$DA$165,$DA6,FB$9:FB$165)</f>
        <v>0</v>
      </c>
      <c r="FC6" s="1186">
        <f t="shared" si="19"/>
        <v>0</v>
      </c>
      <c r="FD6" s="1186">
        <f t="shared" si="19"/>
        <v>0</v>
      </c>
      <c r="FE6" s="1186">
        <f t="shared" si="19"/>
        <v>0</v>
      </c>
      <c r="FF6" s="1186">
        <f t="shared" si="19"/>
        <v>0</v>
      </c>
      <c r="FG6" s="1186">
        <f t="shared" si="19"/>
        <v>0</v>
      </c>
      <c r="FH6" s="1186">
        <f t="shared" si="19"/>
        <v>0</v>
      </c>
      <c r="FI6" s="1186">
        <f t="shared" si="19"/>
        <v>0</v>
      </c>
      <c r="FJ6" s="1186">
        <f t="shared" si="19"/>
        <v>0</v>
      </c>
      <c r="FK6" s="1186">
        <f t="shared" si="19"/>
        <v>0</v>
      </c>
      <c r="FL6" s="1186">
        <f t="shared" si="19"/>
        <v>0</v>
      </c>
      <c r="FM6" s="1186">
        <f t="shared" si="19"/>
        <v>0</v>
      </c>
      <c r="FN6" s="1186">
        <f t="shared" si="19"/>
        <v>0</v>
      </c>
      <c r="FO6" s="1186"/>
      <c r="GC6" s="1186"/>
      <c r="GD6" s="1186">
        <f>SUMIF($DA$9:$DA$165,$DA6,GD$9:GD$165)</f>
        <v>0</v>
      </c>
      <c r="GE6" t="str">
        <f>" "</f>
        <v xml:space="preserve"> </v>
      </c>
      <c r="GF6" s="1186"/>
      <c r="GG6" s="1186">
        <f>SUMIFS($GD$9:$GD$165,$DA$9:$DA$165,$DA$6,$GD$9:$GD$165,"&gt;=0")</f>
        <v>0</v>
      </c>
      <c r="GH6" s="1186">
        <f>SUMIF($DA$9:$DA$165,$DA6,GH$9:GH$165)</f>
        <v>0</v>
      </c>
      <c r="GI6" s="1186" t="str">
        <f>" "</f>
        <v xml:space="preserve"> </v>
      </c>
      <c r="GJ6" s="1186">
        <f>SUMIF($DA$9:$DA$165,$DA6,GJ$9:GJ$165)</f>
        <v>0</v>
      </c>
      <c r="GK6" s="1186" t="str">
        <f>" "</f>
        <v xml:space="preserve"> </v>
      </c>
      <c r="GL6" s="1186">
        <f>SUMIF($DA$9:$DA$165,$DA6,GL$9:GL$165)</f>
        <v>0</v>
      </c>
      <c r="GM6" s="1186" t="str">
        <f>" "</f>
        <v xml:space="preserve"> </v>
      </c>
      <c r="GN6" s="1186" t="str">
        <f t="shared" si="3"/>
        <v xml:space="preserve"> </v>
      </c>
      <c r="GO6" s="1186" t="str">
        <f t="shared" si="3"/>
        <v xml:space="preserve"> </v>
      </c>
      <c r="GP6" s="1186"/>
      <c r="GQ6" s="1186" t="str">
        <f t="shared" si="3"/>
        <v xml:space="preserve"> </v>
      </c>
      <c r="GR6" s="1186" t="str">
        <f t="shared" si="3"/>
        <v xml:space="preserve"> </v>
      </c>
      <c r="GS6" s="1186"/>
      <c r="GT6" s="1186"/>
      <c r="GU6" s="1186" t="str">
        <f t="shared" si="4"/>
        <v xml:space="preserve"> </v>
      </c>
      <c r="GV6" s="1186" t="str">
        <f>" "</f>
        <v xml:space="preserve"> </v>
      </c>
      <c r="GW6" s="1186">
        <f>$IL$9</f>
        <v>0</v>
      </c>
      <c r="GX6" s="1186">
        <f>IF($IL$10&gt;GW6,MIN(IL10,GW6+(GW4+GW6)*HB1),IL10)</f>
        <v>0</v>
      </c>
      <c r="GY6" s="1186" cm="1">
        <f t="array" ref="GY6">SUMPRODUCT(GY9:GY165,GD9:GD165,(DA9:DA165=DA6)*1)</f>
        <v>0</v>
      </c>
      <c r="GZ6" s="1186">
        <f>ROUND(GY6,0)</f>
        <v>0</v>
      </c>
      <c r="HA6" s="1186"/>
      <c r="HB6" s="1186">
        <f>SUMIF($DA$9:$DA$165,$DA$6,HB9:HB165)</f>
        <v>0</v>
      </c>
      <c r="HC6" s="1186">
        <f>SUMIF($DA$9:$DA$165,$DA$6,HC9:HC165)</f>
        <v>0</v>
      </c>
      <c r="HD6" s="1186">
        <f>MAX(0,IF($GW$4+$GW$6&gt;$GG$4+$GG$6-$HC$4-$HC$6,GG6-HC6-HB6,IF(GW4&gt;GG4-HC4,GW6-HB6+MIN(GW4-(GG4-HC4),(GW4+GW6)*HB1),IF(GW6&gt;GG6-HC6,GG6-HC6-HB6,IF(HB4&gt;GW4,MAX(GW6-HB6+GW4-HB4,GW6-HB6-(GW4+GW6)*HB1),GW6-HB6)))))</f>
        <v>0</v>
      </c>
      <c r="HE6" s="1186" cm="1">
        <f t="array" ref="HE6">SUMPRODUCT(HE9:HE165,GD9:GD165,(DA9:DA165=DA6)*1)</f>
        <v>0</v>
      </c>
      <c r="HF6" s="1186">
        <f t="shared" si="11"/>
        <v>0</v>
      </c>
      <c r="HG6" s="1186" t="str">
        <f t="shared" si="5"/>
        <v xml:space="preserve"> </v>
      </c>
      <c r="HH6" s="1186" t="str">
        <f t="shared" si="5"/>
        <v xml:space="preserve"> </v>
      </c>
      <c r="HI6" s="1186"/>
      <c r="HJ6" s="1186"/>
      <c r="HK6" s="1186">
        <f>IF(AND(GJ6=0,IL9=0),3,2)</f>
        <v>3</v>
      </c>
      <c r="HL6" s="1184"/>
      <c r="HN6" s="1184"/>
      <c r="HO6" s="1193" t="str">
        <f>Tiere!B32</f>
        <v>Milchkuh ohne Kalb</v>
      </c>
      <c r="HP6" s="1184">
        <v>3</v>
      </c>
      <c r="HQ6" s="1194">
        <f>SUMIF('Nährstoffe und Lagerraum'!$BM$68:$BM$87,'Lagerhaltung (freiwillig)'!HP6,'Nährstoffe und Lagerraum'!$Z$68:$Z$87)+SUMIF('Nährstoffe und Lagerraum'!$BM$68:$BM$87,'Lagerhaltung (freiwillig)'!HP6,'Nährstoffe und Lagerraum'!$AA$68:$AA$87)</f>
        <v>0</v>
      </c>
      <c r="HR6" s="1184" cm="1">
        <f t="array" ref="HR6">INDEX(Tiere!$C$30:$C$114,'Lagerhaltung (freiwillig)'!HP6)</f>
        <v>1</v>
      </c>
      <c r="HS6" s="1184" cm="1">
        <f t="array" ref="HS6">INDEX(Tiere!$H$30:$H$114,'Lagerhaltung (freiwillig)'!HP6)</f>
        <v>98</v>
      </c>
      <c r="HT6" s="1184">
        <f t="shared" si="12"/>
        <v>0</v>
      </c>
      <c r="HU6" s="1184" cm="1">
        <f t="array" ref="HU6">INDEX(Tiere!$I$30:$I$114,'Lagerhaltung (freiwillig)'!HP6)</f>
        <v>31</v>
      </c>
      <c r="HV6" s="1184">
        <f t="shared" si="13"/>
        <v>0</v>
      </c>
      <c r="HW6" s="1184" cm="1">
        <f t="array" ref="HW6">INDEX(Tiere!$BC$30:$BC$114,'Lagerhaltung (freiwillig)'!HP6)</f>
        <v>1.08</v>
      </c>
      <c r="HX6" s="1184">
        <f t="shared" si="14"/>
        <v>0</v>
      </c>
      <c r="HY6" s="1184" cm="1">
        <f t="array" ref="HY6">INDEX(Tiere!$BD$30:$BD$114,'Lagerhaltung (freiwillig)'!HP6)</f>
        <v>0.59599999999999997</v>
      </c>
      <c r="HZ6" s="1184">
        <f t="shared" si="15"/>
        <v>0</v>
      </c>
      <c r="IA6" s="1184"/>
      <c r="IB6" s="1184"/>
      <c r="IC6" s="1184" t="s">
        <v>84</v>
      </c>
      <c r="ID6" s="1184">
        <v>3</v>
      </c>
      <c r="IE6" s="1184">
        <v>2</v>
      </c>
      <c r="IF6" s="1184">
        <f>SUMIF('Nährstoffe und Lagerraum'!$BK$68:$BK$87,ID6,'Nährstoffe und Lagerraum'!$FF$68:$FF$87)/1000</f>
        <v>0</v>
      </c>
      <c r="IG6" s="1184">
        <f>SUMIF('Nährstoffe und Lagerraum'!$BK$68:$BK$87,ID6,'Nährstoffe und Lagerraum'!$FG$68:$FG$87)/1000</f>
        <v>0</v>
      </c>
      <c r="IH6" s="1184">
        <f>CH100</f>
        <v>0</v>
      </c>
      <c r="II6" s="1184">
        <f>CH104</f>
        <v>0</v>
      </c>
      <c r="IJ6" s="1184">
        <f>SUMIF($HR$4:$HR$88,IE6,$HT$4:$HT$88)</f>
        <v>0</v>
      </c>
      <c r="IK6" s="1184">
        <f>SUMIF($HR$4:$HR$88,IE6,$HV$4:$HV$88)</f>
        <v>0</v>
      </c>
      <c r="IL6" s="1184">
        <f t="shared" si="16"/>
        <v>0</v>
      </c>
      <c r="IM6" s="1184">
        <f t="shared" si="16"/>
        <v>0</v>
      </c>
    </row>
    <row r="7" spans="1:247" ht="1.5" customHeight="1" x14ac:dyDescent="0.2">
      <c r="A7" s="1154"/>
      <c r="B7" s="1154"/>
      <c r="C7" s="1154"/>
      <c r="D7" s="1155"/>
      <c r="E7" s="242"/>
      <c r="F7" s="242"/>
      <c r="G7" s="242"/>
      <c r="H7" s="242"/>
      <c r="I7" s="242"/>
      <c r="J7" s="242"/>
      <c r="K7" s="242"/>
      <c r="L7" s="242"/>
      <c r="M7" s="242"/>
      <c r="N7" s="242"/>
      <c r="O7" s="242"/>
      <c r="P7" s="242"/>
      <c r="Q7" s="242"/>
      <c r="R7" s="242"/>
      <c r="S7" s="242"/>
      <c r="T7" s="242"/>
      <c r="U7" s="242"/>
      <c r="V7" s="242"/>
      <c r="Y7" s="3098"/>
      <c r="Z7" s="3099"/>
      <c r="AA7" s="3099"/>
      <c r="AB7" s="3100"/>
      <c r="AC7" s="3068"/>
      <c r="AD7" s="3015"/>
      <c r="AE7" s="3015"/>
      <c r="AF7" s="3015"/>
      <c r="AG7" s="3073"/>
      <c r="AH7" s="3074"/>
      <c r="AI7" s="3074"/>
      <c r="AJ7" s="3075"/>
      <c r="AK7" s="3013"/>
      <c r="AL7" s="3076"/>
      <c r="AM7" s="3076"/>
      <c r="AN7" s="3077"/>
      <c r="AO7" s="2995"/>
      <c r="AP7" s="2995"/>
      <c r="AQ7" s="3084"/>
      <c r="AR7" s="3086"/>
      <c r="AS7" s="3013"/>
      <c r="AT7" s="3076"/>
      <c r="AU7" s="3076"/>
      <c r="AV7" s="3077"/>
      <c r="AY7" s="1184"/>
      <c r="AZ7" s="1184"/>
      <c r="BA7" s="1184"/>
      <c r="BB7" s="1184"/>
      <c r="BC7" s="1184"/>
      <c r="BD7" s="1184"/>
      <c r="BQ7" s="1184"/>
      <c r="BR7" s="1184"/>
      <c r="BS7" s="1184"/>
      <c r="BT7" s="1184"/>
      <c r="BU7" s="1185"/>
      <c r="BV7" s="1185"/>
      <c r="BW7" s="1184"/>
      <c r="BX7" s="1184"/>
      <c r="BY7" s="1184"/>
      <c r="BZ7" s="1184"/>
      <c r="CA7" s="1184"/>
      <c r="CB7" s="1184"/>
      <c r="CC7" s="1184"/>
      <c r="CD7" s="1184"/>
      <c r="CE7" s="1184"/>
      <c r="CF7" s="1184"/>
      <c r="CG7" s="1184"/>
      <c r="CH7" s="1184"/>
      <c r="CI7" s="1184"/>
      <c r="CJ7" s="1184"/>
      <c r="CK7" s="1184"/>
      <c r="CL7" s="1184"/>
      <c r="CM7" s="1184"/>
      <c r="CN7" s="1184"/>
      <c r="CO7" s="1184"/>
      <c r="CP7" s="1184"/>
      <c r="CQ7" s="1184"/>
      <c r="CR7" s="1184"/>
      <c r="CS7" s="1184"/>
      <c r="CT7" s="1184"/>
      <c r="CU7" s="1184"/>
      <c r="CV7" s="1184"/>
      <c r="CW7" s="1184"/>
      <c r="CX7" s="1184"/>
      <c r="CY7" s="1192" t="s">
        <v>8302</v>
      </c>
      <c r="CZ7" s="1184"/>
      <c r="DA7" s="1186">
        <v>2</v>
      </c>
      <c r="DB7" s="1186"/>
      <c r="DC7" s="1186"/>
      <c r="DD7" s="1186"/>
      <c r="DE7" s="1186"/>
      <c r="DF7" s="1186"/>
      <c r="DG7" s="1186"/>
      <c r="DH7" s="1186"/>
      <c r="DI7" s="1186"/>
      <c r="DJ7" s="1186"/>
      <c r="DK7" s="1186"/>
      <c r="DL7" s="1186"/>
      <c r="DM7" s="1186"/>
      <c r="DN7" s="1184"/>
      <c r="DO7" s="1186">
        <f t="shared" ref="DO7:DZ7" si="20">SUMIF($DA$9:$DA$165,$DA6,DO$9:DO$165)</f>
        <v>0</v>
      </c>
      <c r="DP7" s="1186">
        <f t="shared" si="20"/>
        <v>0</v>
      </c>
      <c r="DQ7" s="1186">
        <f t="shared" si="20"/>
        <v>0</v>
      </c>
      <c r="DR7" s="1186">
        <f t="shared" si="20"/>
        <v>0</v>
      </c>
      <c r="DS7" s="1186">
        <f t="shared" si="20"/>
        <v>0</v>
      </c>
      <c r="DT7" s="1186">
        <f t="shared" si="20"/>
        <v>0</v>
      </c>
      <c r="DU7" s="1186">
        <f t="shared" si="20"/>
        <v>0</v>
      </c>
      <c r="DV7" s="1186">
        <f t="shared" si="20"/>
        <v>0</v>
      </c>
      <c r="DW7" s="1186">
        <f t="shared" si="20"/>
        <v>0</v>
      </c>
      <c r="DX7" s="1186">
        <f t="shared" si="20"/>
        <v>0</v>
      </c>
      <c r="DY7" s="1186">
        <f t="shared" si="20"/>
        <v>0</v>
      </c>
      <c r="DZ7" s="1186">
        <f t="shared" si="20"/>
        <v>0</v>
      </c>
      <c r="EA7" s="1184"/>
      <c r="EB7" s="1186"/>
      <c r="EC7" s="1186"/>
      <c r="ED7" s="1186"/>
      <c r="EE7" s="1186"/>
      <c r="EF7" s="1186"/>
      <c r="EG7" s="1186"/>
      <c r="EH7" s="1186"/>
      <c r="EI7" s="1186"/>
      <c r="EJ7" s="1186"/>
      <c r="EK7" s="1186"/>
      <c r="EL7" s="1186"/>
      <c r="EM7" s="1186"/>
      <c r="EN7" s="1184"/>
      <c r="EO7" s="1186">
        <f t="shared" ref="EO7:EZ7" si="21">SUMIF($DA$9:$DA$165,$DA6,EO$9:EO$165)</f>
        <v>0</v>
      </c>
      <c r="EP7" s="1186">
        <f t="shared" si="21"/>
        <v>0</v>
      </c>
      <c r="EQ7" s="1186">
        <f t="shared" si="21"/>
        <v>0</v>
      </c>
      <c r="ER7" s="1186">
        <f t="shared" si="21"/>
        <v>0</v>
      </c>
      <c r="ES7" s="1186">
        <f t="shared" si="21"/>
        <v>0</v>
      </c>
      <c r="ET7" s="1186">
        <f t="shared" si="21"/>
        <v>0</v>
      </c>
      <c r="EU7" s="1186">
        <f t="shared" si="21"/>
        <v>0</v>
      </c>
      <c r="EV7" s="1186">
        <f t="shared" si="21"/>
        <v>0</v>
      </c>
      <c r="EW7" s="1186">
        <f t="shared" si="21"/>
        <v>0</v>
      </c>
      <c r="EX7" s="1186">
        <f t="shared" si="21"/>
        <v>0</v>
      </c>
      <c r="EY7" s="1186">
        <f t="shared" si="21"/>
        <v>0</v>
      </c>
      <c r="EZ7" s="1186">
        <f t="shared" si="21"/>
        <v>0</v>
      </c>
      <c r="FA7" s="1184"/>
      <c r="FB7" s="1186"/>
      <c r="FC7" s="1186"/>
      <c r="FD7" s="1186"/>
      <c r="FE7" s="1186"/>
      <c r="FF7" s="1186"/>
      <c r="FG7" s="1186"/>
      <c r="FH7" s="1186"/>
      <c r="FI7" s="1186"/>
      <c r="FJ7" s="1186"/>
      <c r="FK7" s="1186"/>
      <c r="FL7" s="1186"/>
      <c r="FM7" s="1186"/>
      <c r="FN7" s="1186"/>
      <c r="FO7" s="1186"/>
      <c r="FP7" s="1186">
        <f t="shared" ref="FP7:GB7" si="22">SUMIF($DA$9:$DA$165,$DA6,FP$9:FP$165)</f>
        <v>0</v>
      </c>
      <c r="FQ7" s="1186">
        <f t="shared" si="22"/>
        <v>0</v>
      </c>
      <c r="FR7" s="1186">
        <f t="shared" si="22"/>
        <v>0</v>
      </c>
      <c r="FS7" s="1186">
        <f t="shared" si="22"/>
        <v>0</v>
      </c>
      <c r="FT7" s="1186">
        <f t="shared" si="22"/>
        <v>0</v>
      </c>
      <c r="FU7" s="1186">
        <f t="shared" si="22"/>
        <v>0</v>
      </c>
      <c r="FV7" s="1186">
        <f t="shared" si="22"/>
        <v>0</v>
      </c>
      <c r="FW7" s="1186">
        <f t="shared" si="22"/>
        <v>0</v>
      </c>
      <c r="FX7" s="1186">
        <f t="shared" si="22"/>
        <v>0</v>
      </c>
      <c r="FY7" s="1186">
        <f t="shared" si="22"/>
        <v>0</v>
      </c>
      <c r="FZ7" s="1186">
        <f t="shared" si="22"/>
        <v>0</v>
      </c>
      <c r="GA7" s="1186">
        <f t="shared" si="22"/>
        <v>0</v>
      </c>
      <c r="GB7" s="1186">
        <f t="shared" si="22"/>
        <v>0</v>
      </c>
      <c r="GC7" s="1186"/>
      <c r="GD7" s="1186" t="str">
        <f>" "</f>
        <v xml:space="preserve"> </v>
      </c>
      <c r="GE7" s="1186">
        <f>SUMIF($DA$9:$DA$165,$DA6,GE$9:GE$165)</f>
        <v>0</v>
      </c>
      <c r="GF7" s="1186"/>
      <c r="GG7" s="1186"/>
      <c r="GH7" s="1186" t="str">
        <f>" "</f>
        <v xml:space="preserve"> </v>
      </c>
      <c r="GI7" s="1186">
        <f>SUMIF($DA$9:$DA$165,$DA6,GI$9:GI$165)</f>
        <v>0</v>
      </c>
      <c r="GJ7" s="1186" t="str">
        <f>" "</f>
        <v xml:space="preserve"> </v>
      </c>
      <c r="GK7" s="1186">
        <f>SUMIF($DA$9:$DA$165,$DA6,GK$9:GK$165)</f>
        <v>0</v>
      </c>
      <c r="GL7" s="1186" t="str">
        <f>" "</f>
        <v xml:space="preserve"> </v>
      </c>
      <c r="GM7" s="1186">
        <f>SUMIF($DA$9:$DA$165,$DA6,GM$9:GM$165)</f>
        <v>0</v>
      </c>
      <c r="GN7" s="1186" t="str">
        <f t="shared" si="3"/>
        <v xml:space="preserve"> </v>
      </c>
      <c r="GO7" s="1186" t="str">
        <f t="shared" si="3"/>
        <v xml:space="preserve"> </v>
      </c>
      <c r="GP7" s="1186"/>
      <c r="GQ7" s="1186" t="str">
        <f t="shared" si="3"/>
        <v xml:space="preserve"> </v>
      </c>
      <c r="GR7" s="1186" t="str">
        <f t="shared" si="3"/>
        <v xml:space="preserve"> </v>
      </c>
      <c r="GS7" s="1186"/>
      <c r="GT7" s="1186"/>
      <c r="GU7" s="1186" t="str">
        <f t="shared" si="4"/>
        <v xml:space="preserve"> </v>
      </c>
      <c r="GV7" s="1186" t="str">
        <f>" "</f>
        <v xml:space="preserve"> </v>
      </c>
      <c r="GW7" s="1186">
        <f>$IM$9</f>
        <v>0</v>
      </c>
      <c r="GX7" s="1186"/>
      <c r="GY7" s="1186" cm="1">
        <f t="array" ref="GY7">SUMPRODUCT(GY9:GY165,GE9:GE165,(DA9:DA165=DA6)*1)</f>
        <v>0</v>
      </c>
      <c r="GZ7" s="1186">
        <f>ROUND(GY7,0)</f>
        <v>0</v>
      </c>
      <c r="HA7" s="1186"/>
      <c r="HB7" s="1186"/>
      <c r="HC7" s="1186"/>
      <c r="HD7" s="1186"/>
      <c r="HE7" s="1186" cm="1">
        <f t="array" ref="HE7">SUMPRODUCT(HE9:HE165,GE9:GE165,(DA9:DA165=DA6)*1)</f>
        <v>0</v>
      </c>
      <c r="HF7" s="1186">
        <f t="shared" si="11"/>
        <v>0</v>
      </c>
      <c r="HG7" s="1186" t="str">
        <f t="shared" si="5"/>
        <v xml:space="preserve"> </v>
      </c>
      <c r="HH7" s="1186" t="str">
        <f t="shared" si="5"/>
        <v xml:space="preserve"> </v>
      </c>
      <c r="HI7" s="1186"/>
      <c r="HJ7" s="1186"/>
      <c r="HK7" s="1186">
        <f>HK6</f>
        <v>3</v>
      </c>
      <c r="HL7" s="1184"/>
      <c r="HN7" s="1184"/>
      <c r="HO7" s="1193" t="str">
        <f>Tiere!B33</f>
        <v>Kälber (Zucht/Mast) bis 6 Monate</v>
      </c>
      <c r="HP7" s="1184">
        <v>4</v>
      </c>
      <c r="HQ7" s="1194">
        <f>SUMIF('Nährstoffe und Lagerraum'!$BM$68:$BM$87,'Lagerhaltung (freiwillig)'!HP7,'Nährstoffe und Lagerraum'!$Z$68:$Z$87)+SUMIF('Nährstoffe und Lagerraum'!$BM$68:$BM$87,'Lagerhaltung (freiwillig)'!HP7,'Nährstoffe und Lagerraum'!$AA$68:$AA$87)</f>
        <v>0</v>
      </c>
      <c r="HR7" s="1184" cm="1">
        <f t="array" ref="HR7">INDEX(Tiere!$C$30:$C$114,'Lagerhaltung (freiwillig)'!HP7)</f>
        <v>1</v>
      </c>
      <c r="HS7" s="1184" cm="1">
        <f t="array" ref="HS7">INDEX(Tiere!$H$30:$H$114,'Lagerhaltung (freiwillig)'!HP7)</f>
        <v>17.54</v>
      </c>
      <c r="HT7" s="1184">
        <f t="shared" si="12"/>
        <v>0</v>
      </c>
      <c r="HU7" s="1184" cm="1">
        <f t="array" ref="HU7">INDEX(Tiere!$I$30:$I$114,'Lagerhaltung (freiwillig)'!HP7)</f>
        <v>5.79</v>
      </c>
      <c r="HV7" s="1184">
        <f t="shared" si="13"/>
        <v>0</v>
      </c>
      <c r="HW7" s="1184" cm="1">
        <f t="array" ref="HW7">INDEX(Tiere!$BC$30:$BC$114,'Lagerhaltung (freiwillig)'!HP7)</f>
        <v>7.2900000000000009</v>
      </c>
      <c r="HX7" s="1184">
        <f t="shared" si="14"/>
        <v>0</v>
      </c>
      <c r="HY7" s="1184" cm="1">
        <f t="array" ref="HY7">INDEX(Tiere!$BD$30:$BD$114,'Lagerhaltung (freiwillig)'!HP7)</f>
        <v>4.0230000000000006</v>
      </c>
      <c r="HZ7" s="1184">
        <f t="shared" si="15"/>
        <v>0</v>
      </c>
      <c r="IA7" s="1184"/>
      <c r="IB7" s="1184"/>
      <c r="IC7" s="1184" t="s">
        <v>85</v>
      </c>
      <c r="ID7" s="1184">
        <v>4</v>
      </c>
      <c r="IE7" s="1184">
        <v>3</v>
      </c>
      <c r="IF7" s="1184">
        <f>SUMIF('Nährstoffe und Lagerraum'!$BK$68:$BK$87,ID7,'Nährstoffe und Lagerraum'!$FF$68:$FF$87)/1000</f>
        <v>0</v>
      </c>
      <c r="IG7" s="1184">
        <f>SUMIF('Nährstoffe und Lagerraum'!$BK$68:$BK$87,ID7,'Nährstoffe und Lagerraum'!$FG$68:$FG$87)/1000</f>
        <v>0</v>
      </c>
      <c r="IH7" s="1184">
        <f>CI100</f>
        <v>0</v>
      </c>
      <c r="II7" s="1325">
        <f>CI104</f>
        <v>0</v>
      </c>
      <c r="IJ7" s="1184">
        <f>SUMIF($HR$4:$HR$88,IE7,$HT$4:$HT$88)</f>
        <v>0</v>
      </c>
      <c r="IK7" s="1184">
        <f>SUMIF($HR$4:$HR$88,IE7,$HV$4:$HV$88)</f>
        <v>0</v>
      </c>
      <c r="IL7" s="1184">
        <f t="shared" si="16"/>
        <v>0</v>
      </c>
      <c r="IM7" s="1184">
        <f t="shared" si="16"/>
        <v>0</v>
      </c>
    </row>
    <row r="8" spans="1:247" ht="1.5" hidden="1" customHeight="1" x14ac:dyDescent="0.2">
      <c r="V8" s="242"/>
      <c r="Y8" s="3098"/>
      <c r="Z8" s="3099"/>
      <c r="AA8" s="3099"/>
      <c r="AB8" s="3100"/>
      <c r="AC8" s="3068"/>
      <c r="AD8" s="3015"/>
      <c r="AE8" s="3015"/>
      <c r="AF8" s="3015"/>
      <c r="AG8" s="3073"/>
      <c r="AH8" s="3074"/>
      <c r="AI8" s="3074"/>
      <c r="AJ8" s="3075"/>
      <c r="AK8" s="3013"/>
      <c r="AL8" s="3076"/>
      <c r="AM8" s="3076"/>
      <c r="AN8" s="3077"/>
      <c r="AO8" s="2995"/>
      <c r="AP8" s="2995"/>
      <c r="AQ8" s="3084"/>
      <c r="AR8" s="3086"/>
      <c r="AS8" s="3013"/>
      <c r="AT8" s="3076"/>
      <c r="AU8" s="3076"/>
      <c r="AV8" s="3077"/>
      <c r="AY8" s="1184"/>
      <c r="AZ8" s="1184"/>
      <c r="BA8" s="1184"/>
      <c r="BB8" s="1184"/>
      <c r="BC8" s="1184"/>
      <c r="BD8" s="1184"/>
      <c r="BQ8" s="1184"/>
      <c r="BR8" s="1184"/>
      <c r="BS8" s="1184"/>
      <c r="BT8" s="1184"/>
      <c r="BU8" s="1185"/>
      <c r="BV8" s="1185"/>
      <c r="BW8" s="1184"/>
      <c r="BX8" s="1184"/>
      <c r="BY8" s="1184"/>
      <c r="BZ8" s="1184"/>
      <c r="CA8" s="1184"/>
      <c r="CB8" s="1184"/>
      <c r="CC8" s="1184"/>
      <c r="CD8" s="1184"/>
      <c r="CE8" s="1184"/>
      <c r="CF8" s="1184"/>
      <c r="CG8" s="1184"/>
      <c r="CH8" s="1184"/>
      <c r="CI8" s="1184"/>
      <c r="CJ8" s="1184"/>
      <c r="CK8" s="1184"/>
      <c r="CL8" s="1184"/>
      <c r="CM8" s="1184"/>
      <c r="CN8" s="1184"/>
      <c r="CO8" s="1184"/>
      <c r="CP8" s="1184"/>
      <c r="CQ8" s="1184"/>
      <c r="CR8" s="1184"/>
      <c r="CS8" s="1184"/>
      <c r="CT8" s="1184"/>
      <c r="CU8" s="1184"/>
      <c r="CV8" s="1184"/>
      <c r="CW8" s="1184"/>
      <c r="CX8" s="1184"/>
      <c r="CY8" s="1192" t="s">
        <v>1096</v>
      </c>
      <c r="CZ8" s="1184"/>
      <c r="DA8" s="1186">
        <v>0</v>
      </c>
      <c r="DB8" s="1186">
        <f t="shared" ref="DB8:DM8" si="23">SUMIF($DA$9:$DA$165,$DA8,DB$9:DB$165)</f>
        <v>0</v>
      </c>
      <c r="DC8" s="1186">
        <f t="shared" si="23"/>
        <v>0</v>
      </c>
      <c r="DD8" s="1186">
        <f t="shared" si="23"/>
        <v>0</v>
      </c>
      <c r="DE8" s="1186">
        <f t="shared" si="23"/>
        <v>0</v>
      </c>
      <c r="DF8" s="1186">
        <f t="shared" si="23"/>
        <v>0</v>
      </c>
      <c r="DG8" s="1186">
        <f t="shared" si="23"/>
        <v>0</v>
      </c>
      <c r="DH8" s="1186">
        <f t="shared" si="23"/>
        <v>0</v>
      </c>
      <c r="DI8" s="1186">
        <f t="shared" si="23"/>
        <v>0</v>
      </c>
      <c r="DJ8" s="1186">
        <f t="shared" si="23"/>
        <v>0</v>
      </c>
      <c r="DK8" s="1186">
        <f t="shared" si="23"/>
        <v>0</v>
      </c>
      <c r="DL8" s="1186">
        <f t="shared" si="23"/>
        <v>0</v>
      </c>
      <c r="DM8" s="1186">
        <f t="shared" si="23"/>
        <v>0</v>
      </c>
      <c r="DN8" s="1184"/>
      <c r="DO8" s="1186">
        <f t="shared" ref="DO8:DZ8" si="24">SUMIF($DA$9:$DA$165,$DA8,DO$9:DO$165)</f>
        <v>0</v>
      </c>
      <c r="DP8" s="1186">
        <f t="shared" si="24"/>
        <v>0</v>
      </c>
      <c r="DQ8" s="1186">
        <f t="shared" si="24"/>
        <v>0</v>
      </c>
      <c r="DR8" s="1186">
        <f t="shared" si="24"/>
        <v>0</v>
      </c>
      <c r="DS8" s="1186">
        <f t="shared" si="24"/>
        <v>0</v>
      </c>
      <c r="DT8" s="1186">
        <f t="shared" si="24"/>
        <v>0</v>
      </c>
      <c r="DU8" s="1186">
        <f t="shared" si="24"/>
        <v>0</v>
      </c>
      <c r="DV8" s="1186">
        <f t="shared" si="24"/>
        <v>0</v>
      </c>
      <c r="DW8" s="1186">
        <f t="shared" si="24"/>
        <v>0</v>
      </c>
      <c r="DX8" s="1186">
        <f t="shared" si="24"/>
        <v>0</v>
      </c>
      <c r="DY8" s="1186">
        <f t="shared" si="24"/>
        <v>0</v>
      </c>
      <c r="DZ8" s="1186">
        <f t="shared" si="24"/>
        <v>0</v>
      </c>
      <c r="EA8" s="1184"/>
      <c r="EB8" s="1186">
        <f t="shared" ref="EB8:EM8" si="25">SUMIF($DA$9:$DA$165,$DA8,EB$9:EB$165)</f>
        <v>0</v>
      </c>
      <c r="EC8" s="1186">
        <f t="shared" si="25"/>
        <v>0</v>
      </c>
      <c r="ED8" s="1186">
        <f t="shared" si="25"/>
        <v>0</v>
      </c>
      <c r="EE8" s="1186">
        <f t="shared" si="25"/>
        <v>0</v>
      </c>
      <c r="EF8" s="1186">
        <f t="shared" si="25"/>
        <v>0</v>
      </c>
      <c r="EG8" s="1186">
        <f t="shared" si="25"/>
        <v>0</v>
      </c>
      <c r="EH8" s="1186">
        <f t="shared" si="25"/>
        <v>0</v>
      </c>
      <c r="EI8" s="1186">
        <f t="shared" si="25"/>
        <v>0</v>
      </c>
      <c r="EJ8" s="1186">
        <f t="shared" si="25"/>
        <v>0</v>
      </c>
      <c r="EK8" s="1186">
        <f t="shared" si="25"/>
        <v>0</v>
      </c>
      <c r="EL8" s="1186">
        <f t="shared" si="25"/>
        <v>0</v>
      </c>
      <c r="EM8" s="1186">
        <f t="shared" si="25"/>
        <v>0</v>
      </c>
      <c r="EN8" s="1184"/>
      <c r="EO8" s="1186">
        <f t="shared" ref="EO8:EZ8" si="26">SUMIF($DA$9:$DA$165,$DA8,EO$9:EO$165)</f>
        <v>0</v>
      </c>
      <c r="EP8" s="1186">
        <f t="shared" si="26"/>
        <v>0</v>
      </c>
      <c r="EQ8" s="1186">
        <f t="shared" si="26"/>
        <v>0</v>
      </c>
      <c r="ER8" s="1186">
        <f t="shared" si="26"/>
        <v>0</v>
      </c>
      <c r="ES8" s="1186">
        <f t="shared" si="26"/>
        <v>0</v>
      </c>
      <c r="ET8" s="1186">
        <f t="shared" si="26"/>
        <v>0</v>
      </c>
      <c r="EU8" s="1186">
        <f t="shared" si="26"/>
        <v>0</v>
      </c>
      <c r="EV8" s="1186">
        <f t="shared" si="26"/>
        <v>0</v>
      </c>
      <c r="EW8" s="1186">
        <f t="shared" si="26"/>
        <v>0</v>
      </c>
      <c r="EX8" s="1186">
        <f t="shared" si="26"/>
        <v>0</v>
      </c>
      <c r="EY8" s="1186">
        <f t="shared" si="26"/>
        <v>0</v>
      </c>
      <c r="EZ8" s="1186">
        <f t="shared" si="26"/>
        <v>0</v>
      </c>
      <c r="FA8" s="1184"/>
      <c r="FB8" s="1186">
        <f t="shared" ref="FB8:FN8" si="27">SUMIF($DA$9:$DA$165,$DA8,FB$9:FB$165)</f>
        <v>0</v>
      </c>
      <c r="FC8" s="1186">
        <f t="shared" si="27"/>
        <v>0</v>
      </c>
      <c r="FD8" s="1186">
        <f t="shared" si="27"/>
        <v>0</v>
      </c>
      <c r="FE8" s="1186">
        <f t="shared" si="27"/>
        <v>0</v>
      </c>
      <c r="FF8" s="1186">
        <f t="shared" si="27"/>
        <v>0</v>
      </c>
      <c r="FG8" s="1186">
        <f t="shared" si="27"/>
        <v>0</v>
      </c>
      <c r="FH8" s="1186">
        <f t="shared" si="27"/>
        <v>0</v>
      </c>
      <c r="FI8" s="1186">
        <f t="shared" si="27"/>
        <v>0</v>
      </c>
      <c r="FJ8" s="1186">
        <f t="shared" si="27"/>
        <v>0</v>
      </c>
      <c r="FK8" s="1186">
        <f t="shared" si="27"/>
        <v>0</v>
      </c>
      <c r="FL8" s="1186">
        <f t="shared" si="27"/>
        <v>0</v>
      </c>
      <c r="FM8" s="1186">
        <f t="shared" si="27"/>
        <v>0</v>
      </c>
      <c r="FN8" s="1186">
        <f t="shared" si="27"/>
        <v>0</v>
      </c>
      <c r="FO8" s="1186"/>
      <c r="FP8" s="1186">
        <f t="shared" ref="FP8:GB8" si="28">SUMIF($DA$9:$DA$165,$DA8,FP$9:FP$165)</f>
        <v>0</v>
      </c>
      <c r="FQ8" s="1186">
        <f t="shared" si="28"/>
        <v>0</v>
      </c>
      <c r="FR8" s="1186">
        <f t="shared" si="28"/>
        <v>0</v>
      </c>
      <c r="FS8" s="1186">
        <f t="shared" si="28"/>
        <v>0</v>
      </c>
      <c r="FT8" s="1186">
        <f t="shared" si="28"/>
        <v>0</v>
      </c>
      <c r="FU8" s="1186">
        <f t="shared" si="28"/>
        <v>0</v>
      </c>
      <c r="FV8" s="1186">
        <f t="shared" si="28"/>
        <v>0</v>
      </c>
      <c r="FW8" s="1186">
        <f t="shared" si="28"/>
        <v>0</v>
      </c>
      <c r="FX8" s="1186">
        <f t="shared" si="28"/>
        <v>0</v>
      </c>
      <c r="FY8" s="1186">
        <f t="shared" si="28"/>
        <v>0</v>
      </c>
      <c r="FZ8" s="1186">
        <f t="shared" si="28"/>
        <v>0</v>
      </c>
      <c r="GA8" s="1186">
        <f t="shared" si="28"/>
        <v>0</v>
      </c>
      <c r="GB8" s="1186">
        <f t="shared" si="28"/>
        <v>0</v>
      </c>
      <c r="GC8" s="1186"/>
      <c r="GD8" s="1186">
        <f>SUMIF($DA$9:$DA$165,$DA8,GD$9:GD$165)</f>
        <v>0</v>
      </c>
      <c r="GE8" s="1186">
        <f>SUMIF($DA$9:$DA$165,$DA8,GE$9:GE$165)</f>
        <v>0</v>
      </c>
      <c r="GF8" s="1186"/>
      <c r="GG8" s="1186">
        <f>SUMIFS($GD$9:$GD$165,$DA$9:$DA$165,DA8,$GD$9:$GD$165,"&gt;=0")</f>
        <v>0</v>
      </c>
      <c r="GH8" s="1186">
        <f t="shared" ref="GH8:GM8" si="29">SUMIF($DA$9:$DA$165,$DA8,GH$9:GH$165)</f>
        <v>0</v>
      </c>
      <c r="GI8" s="1186">
        <f t="shared" si="29"/>
        <v>0</v>
      </c>
      <c r="GJ8" s="1186">
        <f t="shared" si="29"/>
        <v>0</v>
      </c>
      <c r="GK8" s="1186">
        <f t="shared" si="29"/>
        <v>0</v>
      </c>
      <c r="GL8" s="1186">
        <f t="shared" si="29"/>
        <v>0</v>
      </c>
      <c r="GM8" s="1186">
        <f t="shared" si="29"/>
        <v>0</v>
      </c>
      <c r="GN8" s="1186" t="str">
        <f t="shared" si="3"/>
        <v xml:space="preserve"> </v>
      </c>
      <c r="GO8" s="1186" t="str">
        <f t="shared" si="3"/>
        <v xml:space="preserve"> </v>
      </c>
      <c r="GP8" s="1186"/>
      <c r="GQ8" s="1186" t="str">
        <f t="shared" si="3"/>
        <v xml:space="preserve"> </v>
      </c>
      <c r="GR8" s="1186" t="str">
        <f t="shared" si="3"/>
        <v xml:space="preserve"> </v>
      </c>
      <c r="GS8" s="1186"/>
      <c r="GT8" s="1186"/>
      <c r="GU8" s="1186" t="str">
        <f t="shared" ref="GU8" si="30">" "</f>
        <v xml:space="preserve"> </v>
      </c>
      <c r="GV8" s="1186" t="str">
        <f>" "</f>
        <v xml:space="preserve"> </v>
      </c>
      <c r="GW8" s="1186" t="str">
        <f>" "</f>
        <v xml:space="preserve"> </v>
      </c>
      <c r="GX8" s="1186" t="str">
        <f>" "</f>
        <v xml:space="preserve"> </v>
      </c>
      <c r="GY8" s="1186" t="str">
        <f t="shared" si="4"/>
        <v xml:space="preserve"> </v>
      </c>
      <c r="GZ8" s="1186" t="str">
        <f t="shared" si="4"/>
        <v xml:space="preserve"> </v>
      </c>
      <c r="HA8" s="1186"/>
      <c r="HB8" s="1186"/>
      <c r="HC8" s="1186"/>
      <c r="HD8" s="1186"/>
      <c r="HE8" s="1186"/>
      <c r="HF8" s="1186" t="str">
        <f t="shared" ref="HF8" si="31">" "</f>
        <v xml:space="preserve"> </v>
      </c>
      <c r="HG8" s="1186" t="str">
        <f t="shared" si="5"/>
        <v xml:space="preserve"> </v>
      </c>
      <c r="HH8" s="1186" t="str">
        <f t="shared" si="5"/>
        <v xml:space="preserve"> </v>
      </c>
      <c r="HI8" s="1186"/>
      <c r="HJ8" s="1186"/>
      <c r="HK8" s="1186">
        <f>IF(AND(GJ8=0,GH8=0),3,0)</f>
        <v>3</v>
      </c>
      <c r="HL8" s="1184"/>
      <c r="HN8" s="1184"/>
      <c r="HO8" s="1193" t="str">
        <f>Tiere!B34</f>
        <v>Weibliche Rinder über 6 Monate bis 1 Jahr</v>
      </c>
      <c r="HP8" s="1184">
        <v>5</v>
      </c>
      <c r="HQ8" s="1194">
        <f>SUMIF('Nährstoffe und Lagerraum'!$BM$68:$BM$87,'Lagerhaltung (freiwillig)'!HP8,'Nährstoffe und Lagerraum'!$Z$68:$Z$87)+SUMIF('Nährstoffe und Lagerraum'!$BM$68:$BM$87,'Lagerhaltung (freiwillig)'!HP8,'Nährstoffe und Lagerraum'!$AA$68:$AA$87)</f>
        <v>0</v>
      </c>
      <c r="HR8" s="1184" cm="1">
        <f t="array" ref="HR8">INDEX(Tiere!$C$30:$C$114,'Lagerhaltung (freiwillig)'!HP8)</f>
        <v>1</v>
      </c>
      <c r="HS8" s="1184" cm="1">
        <f t="array" ref="HS8">INDEX(Tiere!$H$30:$H$114,'Lagerhaltung (freiwillig)'!HP8)</f>
        <v>47.1</v>
      </c>
      <c r="HT8" s="1184">
        <f t="shared" si="12"/>
        <v>0</v>
      </c>
      <c r="HU8" s="1184" cm="1">
        <f t="array" ref="HU8">INDEX(Tiere!$I$30:$I$114,'Lagerhaltung (freiwillig)'!HP8)</f>
        <v>13.6</v>
      </c>
      <c r="HV8" s="1184">
        <f t="shared" si="13"/>
        <v>0</v>
      </c>
      <c r="HW8" s="1184" cm="1">
        <f t="array" ref="HW8">INDEX(Tiere!$BC$30:$BC$114,'Lagerhaltung (freiwillig)'!HP8)</f>
        <v>7.2900000000000009</v>
      </c>
      <c r="HX8" s="1184">
        <f t="shared" si="14"/>
        <v>0</v>
      </c>
      <c r="HY8" s="1184" cm="1">
        <f t="array" ref="HY8">INDEX(Tiere!$BD$30:$BD$114,'Lagerhaltung (freiwillig)'!HP8)</f>
        <v>4.0230000000000006</v>
      </c>
      <c r="HZ8" s="1184">
        <f t="shared" si="15"/>
        <v>0</v>
      </c>
      <c r="IA8" s="1184"/>
      <c r="IB8" s="1184"/>
      <c r="IC8" s="1184" t="s">
        <v>215</v>
      </c>
      <c r="ID8" s="1184">
        <v>5</v>
      </c>
      <c r="IE8" s="1184" t="s">
        <v>1071</v>
      </c>
      <c r="IF8" s="1184">
        <f>SUMIF('Nährstoffe und Lagerraum'!$BK$68:$BK$87,ID8,'Nährstoffe und Lagerraum'!$FF$68:$FF$87)/1000</f>
        <v>0</v>
      </c>
      <c r="IG8" s="1184">
        <f>SUMIF('Nährstoffe und Lagerraum'!$BK$68:$BK$87,ID8,'Nährstoffe und Lagerraum'!$FG$68:$FG$87)/1000</f>
        <v>0</v>
      </c>
      <c r="IH8" s="1184">
        <f>CJ100</f>
        <v>0</v>
      </c>
      <c r="II8" s="1325">
        <f>CJ104</f>
        <v>0</v>
      </c>
      <c r="IJ8" s="1184">
        <f>SUMIF($HR$4:$HR$88,IE8,$HT$4:$HT$88)</f>
        <v>0</v>
      </c>
      <c r="IK8" s="1184">
        <f>SUMIF($HR$4:$HR$88,IE8,$HV$4:$HV$88)</f>
        <v>0</v>
      </c>
      <c r="IL8" s="1184">
        <f t="shared" si="16"/>
        <v>0</v>
      </c>
      <c r="IM8" s="1184">
        <f t="shared" si="16"/>
        <v>0</v>
      </c>
    </row>
    <row r="9" spans="1:247" ht="1.5" customHeight="1" thickBot="1" x14ac:dyDescent="0.25">
      <c r="V9" s="242"/>
      <c r="Y9" s="3098"/>
      <c r="Z9" s="3099"/>
      <c r="AA9" s="3099"/>
      <c r="AB9" s="3100"/>
      <c r="AC9" s="3068"/>
      <c r="AD9" s="3015"/>
      <c r="AE9" s="3015"/>
      <c r="AF9" s="3015"/>
      <c r="AG9" s="3073"/>
      <c r="AH9" s="3074"/>
      <c r="AI9" s="3074"/>
      <c r="AJ9" s="3075"/>
      <c r="AK9" s="3013"/>
      <c r="AL9" s="3076"/>
      <c r="AM9" s="3076"/>
      <c r="AN9" s="3077"/>
      <c r="AO9" s="2995"/>
      <c r="AP9" s="2995"/>
      <c r="AQ9" s="3084"/>
      <c r="AR9" s="3086"/>
      <c r="AS9" s="3013"/>
      <c r="AT9" s="3076"/>
      <c r="AU9" s="3076"/>
      <c r="AV9" s="3077"/>
      <c r="AY9" s="1184"/>
      <c r="AZ9" s="1184"/>
      <c r="BA9" s="1184"/>
      <c r="BB9" s="1184"/>
      <c r="BC9" s="1184"/>
      <c r="BD9" s="1184"/>
      <c r="BQ9" s="1184"/>
      <c r="BR9" s="1184"/>
      <c r="BS9" s="1184"/>
      <c r="BT9" s="1184"/>
      <c r="BU9" s="1185"/>
      <c r="BV9" s="1185"/>
      <c r="BW9" s="1184"/>
      <c r="BX9" s="1184"/>
      <c r="BY9" s="1184"/>
      <c r="BZ9" s="1184"/>
      <c r="CA9" s="1184"/>
      <c r="CB9" s="1184"/>
      <c r="CC9" s="1184"/>
      <c r="CD9" s="1184"/>
      <c r="CE9" s="1184"/>
      <c r="CF9" s="1184"/>
      <c r="CG9" s="1184"/>
      <c r="CH9" s="1184"/>
      <c r="CI9" s="1184"/>
      <c r="CJ9" s="1184"/>
      <c r="CK9" s="1184"/>
      <c r="CL9" s="1184"/>
      <c r="CM9" s="1184"/>
      <c r="CN9" s="1184"/>
      <c r="CO9" s="1184"/>
      <c r="CP9" s="1184"/>
      <c r="CQ9" s="1184"/>
      <c r="CR9" s="1184"/>
      <c r="CS9" s="1184"/>
      <c r="CT9" s="1184"/>
      <c r="CU9" s="1184"/>
      <c r="CV9" s="1184"/>
      <c r="CW9" s="1184"/>
      <c r="CX9" s="1184"/>
      <c r="CY9" s="320">
        <f>Pflanzen!A5</f>
        <v>0</v>
      </c>
      <c r="CZ9" s="1200">
        <f>IFERROR(MATCH($CY9,Pflanzen!$C$5:$C$114,0),1)</f>
        <v>1</v>
      </c>
      <c r="DA9" s="320" cm="1">
        <f t="array" ref="DA9">INDEX(Pflanzen!$H$5:$H$114,'Lagerhaltung (freiwillig)'!CZ9)</f>
        <v>0</v>
      </c>
      <c r="DB9" s="1200">
        <f t="shared" ref="DB9:DM18" si="32">SUMIFS($CQ$14:$CQ$68,$BW$14:$BW$68,1,$BX$14:$BX$68,DB$2,$BR$14:$BR$68,$CZ9)+    SUMIFS($CQ$14:$CQ$68,$BW$14:$BW$68,"&gt;1",$BX$14:$BX$68,"&lt;="&amp;DB$2,$BY$14:$BY$68,"&gt;="&amp;DB$2,$BR$14:$BR$68,$CZ9)</f>
        <v>0</v>
      </c>
      <c r="DC9" s="1200">
        <f t="shared" si="32"/>
        <v>0</v>
      </c>
      <c r="DD9" s="1200">
        <f t="shared" si="32"/>
        <v>0</v>
      </c>
      <c r="DE9" s="1200">
        <f t="shared" si="32"/>
        <v>0</v>
      </c>
      <c r="DF9" s="1200">
        <f t="shared" si="32"/>
        <v>0</v>
      </c>
      <c r="DG9" s="1184">
        <f t="shared" si="32"/>
        <v>0</v>
      </c>
      <c r="DH9" s="1184">
        <f t="shared" si="32"/>
        <v>0</v>
      </c>
      <c r="DI9" s="1184">
        <f t="shared" si="32"/>
        <v>0</v>
      </c>
      <c r="DJ9" s="1184">
        <f t="shared" si="32"/>
        <v>0</v>
      </c>
      <c r="DK9" s="1184">
        <f t="shared" si="32"/>
        <v>0</v>
      </c>
      <c r="DL9" s="1184">
        <f t="shared" si="32"/>
        <v>0</v>
      </c>
      <c r="DM9" s="1184">
        <f t="shared" si="32"/>
        <v>0</v>
      </c>
      <c r="DN9" s="1184"/>
      <c r="DO9" s="1184">
        <f t="shared" ref="DO9:DZ18" si="33">SUMIFS($CS$14:$CS$68,$BW$14:$BW$68,1,$BX$14:$BX$68,DO$2,$BR$14:$BR$68,$CZ9)+    SUMIFS($CS$14:$CS$68,$BW$14:$BW$68,"&gt;1",$BX$14:$BX$68,"&lt;="&amp;DO$2,$BY$14:$BY$68,"&gt;="&amp;DO$2,$BR$14:$BR$68,$CZ9)</f>
        <v>0</v>
      </c>
      <c r="DP9" s="1184">
        <f t="shared" si="33"/>
        <v>0</v>
      </c>
      <c r="DQ9" s="1184">
        <f t="shared" si="33"/>
        <v>0</v>
      </c>
      <c r="DR9" s="1184">
        <f t="shared" si="33"/>
        <v>0</v>
      </c>
      <c r="DS9" s="1184">
        <f t="shared" si="33"/>
        <v>0</v>
      </c>
      <c r="DT9" s="1184">
        <f t="shared" si="33"/>
        <v>0</v>
      </c>
      <c r="DU9" s="1184">
        <f t="shared" si="33"/>
        <v>0</v>
      </c>
      <c r="DV9" s="1184">
        <f t="shared" si="33"/>
        <v>0</v>
      </c>
      <c r="DW9" s="1184">
        <f t="shared" si="33"/>
        <v>0</v>
      </c>
      <c r="DX9" s="1184">
        <f t="shared" si="33"/>
        <v>0</v>
      </c>
      <c r="DY9" s="1184">
        <f t="shared" si="33"/>
        <v>0</v>
      </c>
      <c r="DZ9" s="1184">
        <f t="shared" si="33"/>
        <v>0</v>
      </c>
      <c r="EA9" s="1184"/>
      <c r="EB9" s="1184">
        <f t="shared" ref="EB9:EM18" si="34">SUMIFS($CL$14:$CL$68,$CC$14:$CC$68,1,$CD$14:$CD$68,EB$2,$BR$14:$BR$68,$CZ9)+         SUMIFS($CL$14:$CL$68,$CC$14:$CC$68,"&gt;1",$CD$14:$CD$68,"&lt;="&amp;EB$2,$CE$14:$CE$68,"&gt;="&amp;EB$2,$BR$14:$BR$68,$CZ9)</f>
        <v>0</v>
      </c>
      <c r="EC9" s="1184">
        <f t="shared" si="34"/>
        <v>0</v>
      </c>
      <c r="ED9" s="1184">
        <f t="shared" si="34"/>
        <v>0</v>
      </c>
      <c r="EE9" s="1184">
        <f t="shared" si="34"/>
        <v>0</v>
      </c>
      <c r="EF9" s="1184">
        <f t="shared" si="34"/>
        <v>0</v>
      </c>
      <c r="EG9" s="1184">
        <f t="shared" si="34"/>
        <v>0</v>
      </c>
      <c r="EH9" s="1184">
        <f t="shared" si="34"/>
        <v>0</v>
      </c>
      <c r="EI9" s="1184">
        <f t="shared" si="34"/>
        <v>0</v>
      </c>
      <c r="EJ9" s="1184">
        <f t="shared" si="34"/>
        <v>0</v>
      </c>
      <c r="EK9" s="1184">
        <f t="shared" si="34"/>
        <v>0</v>
      </c>
      <c r="EL9" s="1184">
        <f t="shared" si="34"/>
        <v>0</v>
      </c>
      <c r="EM9" s="1184">
        <f t="shared" si="34"/>
        <v>0</v>
      </c>
      <c r="EN9" s="1184"/>
      <c r="EO9" s="1184">
        <f t="shared" ref="EO9:EZ18" si="35">SUMIFS($CN$14:$CN$68,$CC$14:$CC$68,1,$CD$14:$CD$68,EO$2,$BR$14:$BR$68,$CZ9)+         SUMIFS($CN$14:$CN$68,$CC$14:$CC$68,"&gt;1",$CD$14:$CD$68,"&lt;="&amp;EO$2,$CE$14:$CE$68,"&gt;="&amp;EO$2,$BR$14:$BR$68,$CZ9)</f>
        <v>0</v>
      </c>
      <c r="EP9" s="1184">
        <f t="shared" si="35"/>
        <v>0</v>
      </c>
      <c r="EQ9" s="1184">
        <f t="shared" si="35"/>
        <v>0</v>
      </c>
      <c r="ER9" s="1184">
        <f t="shared" si="35"/>
        <v>0</v>
      </c>
      <c r="ES9" s="1184">
        <f t="shared" si="35"/>
        <v>0</v>
      </c>
      <c r="ET9" s="1184">
        <f t="shared" si="35"/>
        <v>0</v>
      </c>
      <c r="EU9" s="1184">
        <f t="shared" si="35"/>
        <v>0</v>
      </c>
      <c r="EV9" s="1184">
        <f t="shared" si="35"/>
        <v>0</v>
      </c>
      <c r="EW9" s="1184">
        <f t="shared" si="35"/>
        <v>0</v>
      </c>
      <c r="EX9" s="1184">
        <f t="shared" si="35"/>
        <v>0</v>
      </c>
      <c r="EY9" s="1184">
        <f t="shared" si="35"/>
        <v>0</v>
      </c>
      <c r="EZ9" s="1184">
        <f t="shared" si="35"/>
        <v>0</v>
      </c>
      <c r="FA9" s="1184"/>
      <c r="FB9" s="1186">
        <f>SUMIF($BR$14:$BR$68,$CZ9,$CI$14:$CI$68)</f>
        <v>0</v>
      </c>
      <c r="FC9" s="1184">
        <f>FB9+DB9+EB9                 -         SUMIF('Nährstoffe und Lagerraum'!$AX$113:$AX$155,$CZ9,'Nährstoffe und Lagerraum'!$U$113:$U$155)/12  -$GD9*$HE9/12</f>
        <v>0</v>
      </c>
      <c r="FD9" s="1184">
        <f>FC9+DC9+EC9                 -         SUMIF('Nährstoffe und Lagerraum'!$AX$113:$AX$155,$CZ9,'Nährstoffe und Lagerraum'!$U$113:$U$155)/12  -$GD9*$HE9/12</f>
        <v>0</v>
      </c>
      <c r="FE9" s="1184">
        <f>FD9+DD9+ED9                 -         SUMIF('Nährstoffe und Lagerraum'!$AX$113:$AX$155,$CZ9,'Nährstoffe und Lagerraum'!$U$113:$U$155)/12  -$GD9*$HE9/12</f>
        <v>0</v>
      </c>
      <c r="FF9" s="1184">
        <f>FE9+DE9+EE9                 -         SUMIF('Nährstoffe und Lagerraum'!$AX$113:$AX$155,$CZ9,'Nährstoffe und Lagerraum'!$U$113:$U$155)/12  -$GD9*$HE9/12</f>
        <v>0</v>
      </c>
      <c r="FG9" s="1184">
        <f>FF9+DF9+EF9                 -         SUMIF('Nährstoffe und Lagerraum'!$AX$113:$AX$155,$CZ9,'Nährstoffe und Lagerraum'!$U$113:$U$155)/12  -$GD9*$HE9/12</f>
        <v>0</v>
      </c>
      <c r="FH9" s="1184">
        <f>FG9+DG9+EG9                 -         SUMIF('Nährstoffe und Lagerraum'!$AX$113:$AX$155,$CZ9,'Nährstoffe und Lagerraum'!$U$113:$U$155)/12  -$GD9*$HE9/12</f>
        <v>0</v>
      </c>
      <c r="FI9" s="1184">
        <f>FH9+DH9+EH9                 -         SUMIF('Nährstoffe und Lagerraum'!$AX$113:$AX$155,$CZ9,'Nährstoffe und Lagerraum'!$U$113:$U$155)/12  -$GD9*$HE9/12</f>
        <v>0</v>
      </c>
      <c r="FJ9" s="1184">
        <f>FI9+DI9+EI9                 -         SUMIF('Nährstoffe und Lagerraum'!$AX$113:$AX$155,$CZ9,'Nährstoffe und Lagerraum'!$U$113:$U$155)/12  -$GD9*$HE9/12</f>
        <v>0</v>
      </c>
      <c r="FK9" s="1184">
        <f>FJ9+DJ9+EJ9                 -         SUMIF('Nährstoffe und Lagerraum'!$AX$113:$AX$155,$CZ9,'Nährstoffe und Lagerraum'!$U$113:$U$155)/12  -$GD9*$HE9/12</f>
        <v>0</v>
      </c>
      <c r="FL9" s="1184">
        <f>FK9+DK9+EK9                 -         SUMIF('Nährstoffe und Lagerraum'!$AX$113:$AX$155,$CZ9,'Nährstoffe und Lagerraum'!$U$113:$U$155)/12  -$GD9*$HE9/12</f>
        <v>0</v>
      </c>
      <c r="FM9" s="1184">
        <f>FL9+DL9+EL9                 -         SUMIF('Nährstoffe und Lagerraum'!$AX$113:$AX$155,$CZ9,'Nährstoffe und Lagerraum'!$U$113:$U$155)/12  -$GD9*$HE9/12</f>
        <v>0</v>
      </c>
      <c r="FN9" s="1184">
        <f>FM9+DM9+EM9                 -         SUMIF('Nährstoffe und Lagerraum'!$AX$113:$AX$155,$CZ9,'Nährstoffe und Lagerraum'!$U$113:$U$155)/12  -$GD9*$HE9/12</f>
        <v>0</v>
      </c>
      <c r="FO9" s="1184"/>
      <c r="FP9" s="1186">
        <f>SUMIF($BR$14:$BR$68,$CZ9,$CJ$14:$CJ$68)</f>
        <v>0</v>
      </c>
      <c r="FQ9" s="1184">
        <f>FP9+DO9+EO9                 -         SUMIF('Nährstoffe und Lagerraum'!$AX$113:$AX$155,$CZ9,'Nährstoffe und Lagerraum'!$V$113:$V$155)/12  -$GE9*$HE9/12</f>
        <v>0</v>
      </c>
      <c r="FR9" s="1184">
        <f>FQ9+DP9+EP9                 -         SUMIF('Nährstoffe und Lagerraum'!$AX$113:$AX$155,$CZ9,'Nährstoffe und Lagerraum'!$V$113:$V$155)/12  -$GE9*$HE9/12</f>
        <v>0</v>
      </c>
      <c r="FS9" s="1184">
        <f>FR9+DQ9+EQ9                 -         SUMIF('Nährstoffe und Lagerraum'!$AX$113:$AX$155,$CZ9,'Nährstoffe und Lagerraum'!$V$113:$V$155)/12  -$GE9*$HE9/12</f>
        <v>0</v>
      </c>
      <c r="FT9" s="1184">
        <f>FS9+DR9+ER9                 -         SUMIF('Nährstoffe und Lagerraum'!$AX$113:$AX$155,$CZ9,'Nährstoffe und Lagerraum'!$V$113:$V$155)/12  -$GE9*$HE9/12</f>
        <v>0</v>
      </c>
      <c r="FU9" s="1184">
        <f>FT9+DS9+ES9                 -         SUMIF('Nährstoffe und Lagerraum'!$AX$113:$AX$155,$CZ9,'Nährstoffe und Lagerraum'!$V$113:$V$155)/12  -$GE9*$HE9/12</f>
        <v>0</v>
      </c>
      <c r="FV9" s="1184">
        <f>FU9+DT9+ET9                 -         SUMIF('Nährstoffe und Lagerraum'!$AX$113:$AX$155,$CZ9,'Nährstoffe und Lagerraum'!$V$113:$V$155)/12  -$GE9*$HE9/12</f>
        <v>0</v>
      </c>
      <c r="FW9" s="1184">
        <f>FV9+DU9+EU9                 -         SUMIF('Nährstoffe und Lagerraum'!$AX$113:$AX$155,$CZ9,'Nährstoffe und Lagerraum'!$V$113:$V$155)/12  -$GE9*$HE9/12</f>
        <v>0</v>
      </c>
      <c r="FX9" s="1184">
        <f>FW9+DV9+EV9                 -         SUMIF('Nährstoffe und Lagerraum'!$AX$113:$AX$155,$CZ9,'Nährstoffe und Lagerraum'!$V$113:$V$155)/12  -$GE9*$HE9/12</f>
        <v>0</v>
      </c>
      <c r="FY9" s="1184">
        <f>FX9+DW9+EW9                 -         SUMIF('Nährstoffe und Lagerraum'!$AX$113:$AX$155,$CZ9,'Nährstoffe und Lagerraum'!$V$113:$V$155)/12  -$GE9*$HE9/12</f>
        <v>0</v>
      </c>
      <c r="FZ9" s="1184">
        <f>FY9+DX9+EX9                 -         SUMIF('Nährstoffe und Lagerraum'!$AX$113:$AX$155,$CZ9,'Nährstoffe und Lagerraum'!$V$113:$V$155)/12  -$GE9*$HE9/12</f>
        <v>0</v>
      </c>
      <c r="GA9" s="1184">
        <f>FZ9+DY9+EY9                 -         SUMIF('Nährstoffe und Lagerraum'!$AX$113:$AX$155,$CZ9,'Nährstoffe und Lagerraum'!$V$113:$V$155)/12  -$GE9*$HE9/12</f>
        <v>0</v>
      </c>
      <c r="GB9" s="1184">
        <f>GA9+DZ9+EZ9                 -         SUMIF('Nährstoffe und Lagerraum'!$AX$113:$AX$155,$CZ9,'Nährstoffe und Lagerraum'!$V$113:$V$155)/12  -$GE9*$HE9/12</f>
        <v>0</v>
      </c>
      <c r="GC9" s="1184"/>
      <c r="GD9" s="1184">
        <f>SUMIFS($CI$14:$CI$68,$BR$14:$BR$68,$CZ9)+SUMIFS($CM$14:$CM$68,$BR$14:$BR$68,$CZ9)+SUMIFS($CR$14:$CR$68,$BR$14:$BR$68,$CZ9)  -         SUMIF('Nährstoffe und Lagerraum'!$AX$113:$AX$155,$CZ9,'Nährstoffe und Lagerraum'!$U$113:$U$155)</f>
        <v>0</v>
      </c>
      <c r="GE9" s="1184">
        <f>SUMIFS($CJ$14:$CJ$68,$BR$14:$BR$68,$CZ9)+SUMIFS($CO$14:$CO$68,$BR$14:$BR$68,$CZ9)+SUMIFS($CT$14:$CT$68,$BR$14:$BR$68,$CZ9)  -         SUMIF('Nährstoffe und Lagerraum'!$AX$113:$AX$155,$CZ9,'Nährstoffe und Lagerraum'!$V$113:$V$155)</f>
        <v>0</v>
      </c>
      <c r="GF9" s="1184"/>
      <c r="GG9" s="1184"/>
      <c r="GH9" s="1184">
        <f>SUMIF('Nährstoffe und Lagerraum'!$AX$113:$AX$155,$CZ9,'Nährstoffe und Lagerraum'!$U$113:$U$155)</f>
        <v>0</v>
      </c>
      <c r="GI9" s="1184">
        <f>SUMIF('Nährstoffe und Lagerraum'!$AX$113:$AX$155,$CZ9,'Nährstoffe und Lagerraum'!$V$113:$V$155)</f>
        <v>0</v>
      </c>
      <c r="GJ9" s="1184">
        <f>GD9+GH9</f>
        <v>0</v>
      </c>
      <c r="GK9" s="1184">
        <f>GE9+GI9</f>
        <v>0</v>
      </c>
      <c r="GL9" s="1184">
        <f t="shared" ref="GL9" si="36">GD9-GD9*HE9</f>
        <v>0</v>
      </c>
      <c r="GM9" s="1184">
        <f t="shared" ref="GM9" si="37">GE9-GE9*HE9</f>
        <v>0</v>
      </c>
      <c r="GN9" s="1184">
        <f t="shared" ref="GN9" si="38">SUMIF($BR$14:$BR$68,CZ9,$CW$14:$CW$68)</f>
        <v>0</v>
      </c>
      <c r="GO9" s="1184" cm="1">
        <f t="array" ref="GO9">IF(GN9=0,0,(IFERROR(SUMPRODUCT($J$14:$J$68,$CH$14:$CH$68,($BR$14:$BR$68=CZ9)*1)+SUMPRODUCT($L$14:$L$68,$M$14:$M$68,$CK$14:$CK$68,($BR$14:$BR$68=CZ9)*1,($BT$14:$BT$68=FALSE)*1)/10+SUMPRODUCT($R$14:$R$68,$CP$14:$CP$68,($BR$14:$BR$68=CZ9)*1),0))/GN9)</f>
        <v>0</v>
      </c>
      <c r="GP9" s="1184">
        <f t="shared" ref="GP9" si="39">GN9*GO9/100</f>
        <v>0</v>
      </c>
      <c r="GQ9" s="1184">
        <f>(SUMIF('Nährstoffe und Lagerraum'!$AX$113:$AX$130,'Lagerhaltung (freiwillig)'!CZ9,'Nährstoffe und Lagerraum'!$D$113:$D$130)+SUMIF('Nährstoffe und Lagerraum'!$AX$137:$AX$155,'Lagerhaltung (freiwillig)'!CZ9,'Nährstoffe und Lagerraum'!$E$137:$E$155))</f>
        <v>0</v>
      </c>
      <c r="GR9" s="1184" cm="1">
        <f t="array" ref="GR9">IF(GQ9=0,0,(IFERROR(SUMPRODUCT('Nährstoffe und Lagerraum'!$D$113:$D$130,'Nährstoffe und Lagerraum'!$F$113:$F$130,('Nährstoffe und Lagerraum'!$AX$113:$AX$130='Lagerhaltung (freiwillig)'!CZ9)*1)+SUMPRODUCT('Nährstoffe und Lagerraum'!$E$137:$E$155,'Nährstoffe und Lagerraum'!$F$137:$F$155,('Nährstoffe und Lagerraum'!$AX$137:$AX$155='Lagerhaltung (freiwillig)'!CZ9)*1),0))/GQ9)</f>
        <v>0</v>
      </c>
      <c r="GS9" s="1184">
        <f t="shared" ref="GS9" si="40">GQ9*GR9/100</f>
        <v>0</v>
      </c>
      <c r="GT9" s="1184">
        <f>GP9-GS9</f>
        <v>0</v>
      </c>
      <c r="GU9" s="1184">
        <f>IF(AND(GO9=0,GR9=0),0,IF(GO9=0,GT9/(GR9/100),GT9/(GO9/100)))</f>
        <v>0</v>
      </c>
      <c r="GV9" s="1184">
        <f>IF(OR(GO9=0,GR9=0),MAX(GO9,GR9),GO9)</f>
        <v>0</v>
      </c>
      <c r="GW9" s="1186" t="str">
        <f t="shared" ref="GW9:GX73" si="41">" "</f>
        <v xml:space="preserve"> </v>
      </c>
      <c r="GX9" s="1186" t="str">
        <f t="shared" si="41"/>
        <v xml:space="preserve"> </v>
      </c>
      <c r="GY9" s="1195">
        <f t="shared" ref="GY9" si="42">IF(OR(HK9=3,GU9&lt;=0),0,IF(DA9=$DA$4,$GX$4/$GG$4,IF(DA9=$DA$6,$GX$6/$GG$6,0)))</f>
        <v>0</v>
      </c>
      <c r="GZ9" s="1184">
        <f t="shared" ref="GZ9" si="43">GU9*GY9</f>
        <v>0</v>
      </c>
      <c r="HA9" s="1184" t="str">
        <f t="shared" ref="HA9:HA40" si="44">IF(HK9=3,"a",VLOOKUP(CY9,$Y$13:$AZ$131,COLUMN($AZ$1)-COLUMN($Y$1)+1,FALSE))</f>
        <v>a</v>
      </c>
      <c r="HB9" s="1196">
        <f t="shared" ref="HB9" si="45">IF(HA9="a",0,GD9*HE9)</f>
        <v>0</v>
      </c>
      <c r="HC9" s="1196">
        <f t="shared" ref="HC9" si="46">IF(HA9="a",0,GD9*(1-HE9))</f>
        <v>0</v>
      </c>
      <c r="HD9" s="1196"/>
      <c r="HE9" s="1187">
        <f t="shared" ref="HE9" si="47">IF(OR(HK9=3,GU9&lt;=0),0,IF(HA9&lt;&gt;"a",IF(GU9=0,0,MIN(1,HA9/GU9)),IF(DA9=$DA$4,IF($GG$4-$HC$4-$HB$4=0,0,$HD$4/($GG$4-$HC$4-$HB$4)),IF(DA9=$DA$6,IF($GG$6-$HC$6-$HB$6=0,0,$HD$6/($GG$6-$HC$6-$HB$6)),0))))</f>
        <v>0</v>
      </c>
      <c r="HF9" s="1196">
        <f t="shared" ref="HF9" si="48">MAX(0,GU9*HE9)</f>
        <v>0</v>
      </c>
      <c r="HG9" s="1196">
        <f t="shared" ref="HG9" si="49">GU9-HF9</f>
        <v>0</v>
      </c>
      <c r="HH9" s="1196">
        <f t="shared" ref="HH9" si="50">GO9</f>
        <v>0</v>
      </c>
      <c r="HI9" s="1328" cm="1">
        <f t="array" ref="HI9">IF(AND(HG9=0,GL9=0),0,IF(HG9=0,1,IF(OR(GL9*1000/HG9/HH9&gt;INDEX(Pflanzen!$W$5:$W$104,CZ9)/INDEX(Pflanzen!$I$5:$I$104,CZ9)*$HI$1,GL9*1000/HG9/HH9&lt;INDEX(Pflanzen!$W$5:$W$104,CZ9)/INDEX(Pflanzen!$I$5:$I$104,CZ9)/$HI$1),1,0)))</f>
        <v>0</v>
      </c>
      <c r="HJ9" s="1328" cm="1">
        <f t="array" ref="HJ9">IF(AND(GM9=0,HG9=0),0,IF(HG9=0,1,IF(OR(GM9*1000/HG9/HH9&gt;INDEX(Pflanzen!$X$5:$X$104,CZ9)/INDEX(Pflanzen!$I$5:$I$104,CZ9)*$HI$1,GM9*1000/HG9/HH9&lt;INDEX(Pflanzen!$X$5:$X$104,CZ9)/INDEX(Pflanzen!$I$5:$I$104,CZ9)/$HI$1),1,0)))</f>
        <v>0</v>
      </c>
      <c r="HK9" s="1184">
        <f>IF(AND(GD9=0,GE9=0,GH9=0,GI9=0,GJ9=0,GK9=0),3,DA9)</f>
        <v>3</v>
      </c>
      <c r="HL9" s="1184"/>
      <c r="HN9" s="1184"/>
      <c r="HO9" s="1193" t="str">
        <f>Tiere!B35</f>
        <v>Weibliche Rinder über 1 Jahr bis 2 Jahre</v>
      </c>
      <c r="HP9" s="1184">
        <v>6</v>
      </c>
      <c r="HQ9" s="1194">
        <f>SUMIF('Nährstoffe und Lagerraum'!$BM$68:$BM$87,'Lagerhaltung (freiwillig)'!HP9,'Nährstoffe und Lagerraum'!$Z$68:$Z$87)+SUMIF('Nährstoffe und Lagerraum'!$BM$68:$BM$87,'Lagerhaltung (freiwillig)'!HP9,'Nährstoffe und Lagerraum'!$AA$68:$AA$87)</f>
        <v>0</v>
      </c>
      <c r="HR9" s="1184" cm="1">
        <f t="array" ref="HR9">INDEX(Tiere!$C$30:$C$114,'Lagerhaltung (freiwillig)'!HP9)</f>
        <v>1</v>
      </c>
      <c r="HS9" s="1184" cm="1">
        <f t="array" ref="HS9">INDEX(Tiere!$H$30:$H$114,'Lagerhaltung (freiwillig)'!HP9)</f>
        <v>71.599999999999994</v>
      </c>
      <c r="HT9" s="1184">
        <f t="shared" si="12"/>
        <v>0</v>
      </c>
      <c r="HU9" s="1184" cm="1">
        <f t="array" ref="HU9">INDEX(Tiere!$I$30:$I$114,'Lagerhaltung (freiwillig)'!HP9)</f>
        <v>21.4</v>
      </c>
      <c r="HV9" s="1184">
        <f t="shared" si="13"/>
        <v>0</v>
      </c>
      <c r="HW9" s="1184" cm="1">
        <f t="array" ref="HW9">INDEX(Tiere!$BC$30:$BC$114,'Lagerhaltung (freiwillig)'!HP9)</f>
        <v>7.2900000000000009</v>
      </c>
      <c r="HX9" s="1184">
        <f t="shared" si="14"/>
        <v>0</v>
      </c>
      <c r="HY9" s="1184" cm="1">
        <f t="array" ref="HY9">INDEX(Tiere!$BD$30:$BD$114,'Lagerhaltung (freiwillig)'!HP9)</f>
        <v>4.0230000000000006</v>
      </c>
      <c r="HZ9" s="1184">
        <f t="shared" si="15"/>
        <v>0</v>
      </c>
      <c r="IA9" s="1184"/>
      <c r="IB9" s="1184"/>
      <c r="IC9" s="1186" t="s">
        <v>1073</v>
      </c>
      <c r="ID9" s="1184"/>
      <c r="IE9" s="1184"/>
      <c r="IF9" s="1184"/>
      <c r="IG9" s="1184">
        <f>SUMIF('Nährstoffe und Lagerraum'!$BK$68:$BK$87,ID9,'Nährstoffe und Lagerraum'!$FG$68:$FG$87)/1000</f>
        <v>0</v>
      </c>
      <c r="IH9" s="1184"/>
      <c r="II9" s="1184"/>
      <c r="IJ9" s="1184">
        <f>SUM(IJ5:IJ8)</f>
        <v>0</v>
      </c>
      <c r="IK9" s="1184">
        <f>SUM(IK5:IK8)</f>
        <v>0</v>
      </c>
      <c r="IL9" s="1184">
        <f>SUM(IL5:IL8)</f>
        <v>0</v>
      </c>
      <c r="IM9" s="1184">
        <f>SUM(IM5:IM8)</f>
        <v>0</v>
      </c>
    </row>
    <row r="10" spans="1:247" ht="11.25" customHeight="1" x14ac:dyDescent="0.2">
      <c r="A10" s="3037"/>
      <c r="B10" s="3041"/>
      <c r="C10" s="3041"/>
      <c r="D10" s="3041"/>
      <c r="E10" s="3041"/>
      <c r="F10" s="3039"/>
      <c r="G10" s="3039"/>
      <c r="H10" s="3038"/>
      <c r="I10" s="3037" t="s">
        <v>8273</v>
      </c>
      <c r="J10" s="3038"/>
      <c r="K10" s="3037" t="s">
        <v>1016</v>
      </c>
      <c r="L10" s="3039"/>
      <c r="M10" s="3039"/>
      <c r="N10" s="3039"/>
      <c r="O10" s="3039"/>
      <c r="P10" s="3038"/>
      <c r="Q10" s="3040" t="s">
        <v>8263</v>
      </c>
      <c r="R10" s="3041"/>
      <c r="S10" s="3041"/>
      <c r="T10" s="3042"/>
      <c r="U10" s="1298"/>
      <c r="V10" s="1300"/>
      <c r="Y10" s="3098"/>
      <c r="Z10" s="3099"/>
      <c r="AA10" s="3099"/>
      <c r="AB10" s="3100"/>
      <c r="AC10" s="3068"/>
      <c r="AD10" s="3015"/>
      <c r="AE10" s="3015"/>
      <c r="AF10" s="3015"/>
      <c r="AG10" s="3073"/>
      <c r="AH10" s="3074"/>
      <c r="AI10" s="3074"/>
      <c r="AJ10" s="3075"/>
      <c r="AK10" s="3013"/>
      <c r="AL10" s="3076"/>
      <c r="AM10" s="3076"/>
      <c r="AN10" s="3077"/>
      <c r="AO10" s="2995"/>
      <c r="AP10" s="2995"/>
      <c r="AQ10" s="3084"/>
      <c r="AR10" s="3086"/>
      <c r="AS10" s="3013"/>
      <c r="AT10" s="3076"/>
      <c r="AU10" s="3076"/>
      <c r="AV10" s="3077"/>
      <c r="AY10" s="1184"/>
      <c r="AZ10" s="1184"/>
      <c r="BA10" s="1184"/>
      <c r="BB10" s="1184"/>
      <c r="BC10" s="1184"/>
      <c r="BD10" s="1184"/>
      <c r="BQ10" s="1184"/>
      <c r="BR10" s="2994"/>
      <c r="BS10" s="2994"/>
      <c r="BT10" s="2994"/>
      <c r="BU10" s="2994"/>
      <c r="BV10" s="2994"/>
      <c r="BW10" s="2994"/>
      <c r="BX10" s="1197"/>
      <c r="BY10" s="1197"/>
      <c r="BZ10" s="1197"/>
      <c r="CA10" s="2994" t="s">
        <v>1033</v>
      </c>
      <c r="CB10" s="2994"/>
      <c r="CC10" s="2994"/>
      <c r="CD10" s="2994"/>
      <c r="CE10" s="2994"/>
      <c r="CF10" s="2994"/>
      <c r="CG10" s="1344"/>
      <c r="CH10" s="814"/>
      <c r="CI10" s="2994" t="s">
        <v>1034</v>
      </c>
      <c r="CJ10" s="2994"/>
      <c r="CK10" s="2994"/>
      <c r="CL10" s="2996"/>
      <c r="CM10" s="2996"/>
      <c r="CN10" s="2996"/>
      <c r="CO10" s="2996"/>
      <c r="CP10" s="2996"/>
      <c r="CQ10" s="2996"/>
      <c r="CR10" s="1197"/>
      <c r="CS10" s="1282"/>
      <c r="CT10" s="1287"/>
      <c r="CU10" s="1991"/>
      <c r="CV10" s="1993"/>
      <c r="CW10" s="1197"/>
      <c r="CX10" s="1184"/>
      <c r="CY10" s="320" t="str">
        <f>Pflanzen!A6</f>
        <v xml:space="preserve"> +++Getreide+++</v>
      </c>
      <c r="CZ10" s="1200">
        <f>IFERROR(MATCH($CY10,Pflanzen!$C$5:$C$114,0),1)</f>
        <v>2</v>
      </c>
      <c r="DA10" s="320" cm="1">
        <f t="array" ref="DA10">INDEX(Pflanzen!$H$5:$H$114,'Lagerhaltung (freiwillig)'!CZ10)</f>
        <v>0</v>
      </c>
      <c r="DB10" s="1200">
        <f t="shared" si="32"/>
        <v>0</v>
      </c>
      <c r="DC10" s="1200">
        <f t="shared" si="32"/>
        <v>0</v>
      </c>
      <c r="DD10" s="1200">
        <f t="shared" si="32"/>
        <v>0</v>
      </c>
      <c r="DE10" s="1200">
        <f t="shared" si="32"/>
        <v>0</v>
      </c>
      <c r="DF10" s="1200">
        <f t="shared" si="32"/>
        <v>0</v>
      </c>
      <c r="DG10" s="1184">
        <f t="shared" si="32"/>
        <v>0</v>
      </c>
      <c r="DH10" s="1184">
        <f t="shared" si="32"/>
        <v>0</v>
      </c>
      <c r="DI10" s="1184">
        <f t="shared" si="32"/>
        <v>0</v>
      </c>
      <c r="DJ10" s="1184">
        <f t="shared" si="32"/>
        <v>0</v>
      </c>
      <c r="DK10" s="1184">
        <f t="shared" si="32"/>
        <v>0</v>
      </c>
      <c r="DL10" s="1184">
        <f t="shared" si="32"/>
        <v>0</v>
      </c>
      <c r="DM10" s="1184">
        <f t="shared" si="32"/>
        <v>0</v>
      </c>
      <c r="DN10" s="1184"/>
      <c r="DO10" s="1184">
        <f t="shared" si="33"/>
        <v>0</v>
      </c>
      <c r="DP10" s="1184">
        <f t="shared" si="33"/>
        <v>0</v>
      </c>
      <c r="DQ10" s="1184">
        <f t="shared" si="33"/>
        <v>0</v>
      </c>
      <c r="DR10" s="1184">
        <f t="shared" si="33"/>
        <v>0</v>
      </c>
      <c r="DS10" s="1184">
        <f t="shared" si="33"/>
        <v>0</v>
      </c>
      <c r="DT10" s="1184">
        <f t="shared" si="33"/>
        <v>0</v>
      </c>
      <c r="DU10" s="1184">
        <f t="shared" si="33"/>
        <v>0</v>
      </c>
      <c r="DV10" s="1184">
        <f t="shared" si="33"/>
        <v>0</v>
      </c>
      <c r="DW10" s="1184">
        <f t="shared" si="33"/>
        <v>0</v>
      </c>
      <c r="DX10" s="1184">
        <f t="shared" si="33"/>
        <v>0</v>
      </c>
      <c r="DY10" s="1184">
        <f t="shared" si="33"/>
        <v>0</v>
      </c>
      <c r="DZ10" s="1184">
        <f t="shared" si="33"/>
        <v>0</v>
      </c>
      <c r="EA10" s="1184"/>
      <c r="EB10" s="1184">
        <f t="shared" si="34"/>
        <v>0</v>
      </c>
      <c r="EC10" s="1184">
        <f t="shared" si="34"/>
        <v>0</v>
      </c>
      <c r="ED10" s="1184">
        <f t="shared" si="34"/>
        <v>0</v>
      </c>
      <c r="EE10" s="1184">
        <f t="shared" si="34"/>
        <v>0</v>
      </c>
      <c r="EF10" s="1184">
        <f t="shared" si="34"/>
        <v>0</v>
      </c>
      <c r="EG10" s="1184">
        <f t="shared" si="34"/>
        <v>0</v>
      </c>
      <c r="EH10" s="1184">
        <f t="shared" si="34"/>
        <v>0</v>
      </c>
      <c r="EI10" s="1184">
        <f t="shared" si="34"/>
        <v>0</v>
      </c>
      <c r="EJ10" s="1184">
        <f t="shared" si="34"/>
        <v>0</v>
      </c>
      <c r="EK10" s="1184">
        <f t="shared" si="34"/>
        <v>0</v>
      </c>
      <c r="EL10" s="1184">
        <f t="shared" si="34"/>
        <v>0</v>
      </c>
      <c r="EM10" s="1184">
        <f t="shared" si="34"/>
        <v>0</v>
      </c>
      <c r="EN10" s="1184"/>
      <c r="EO10" s="1184">
        <f t="shared" si="35"/>
        <v>0</v>
      </c>
      <c r="EP10" s="1184">
        <f t="shared" si="35"/>
        <v>0</v>
      </c>
      <c r="EQ10" s="1184">
        <f t="shared" si="35"/>
        <v>0</v>
      </c>
      <c r="ER10" s="1184">
        <f t="shared" si="35"/>
        <v>0</v>
      </c>
      <c r="ES10" s="1184">
        <f t="shared" si="35"/>
        <v>0</v>
      </c>
      <c r="ET10" s="1184">
        <f t="shared" si="35"/>
        <v>0</v>
      </c>
      <c r="EU10" s="1184">
        <f t="shared" si="35"/>
        <v>0</v>
      </c>
      <c r="EV10" s="1184">
        <f t="shared" si="35"/>
        <v>0</v>
      </c>
      <c r="EW10" s="1184">
        <f t="shared" si="35"/>
        <v>0</v>
      </c>
      <c r="EX10" s="1184">
        <f t="shared" si="35"/>
        <v>0</v>
      </c>
      <c r="EY10" s="1184">
        <f t="shared" si="35"/>
        <v>0</v>
      </c>
      <c r="EZ10" s="1184">
        <f t="shared" si="35"/>
        <v>0</v>
      </c>
      <c r="FA10" s="1184"/>
      <c r="FB10" s="1186">
        <f t="shared" ref="FB10:FB74" si="51">SUMIF($BR$14:$BR$68,$CZ10,$CI$14:$CI$68)</f>
        <v>0</v>
      </c>
      <c r="FC10" s="1184">
        <f>FB10+DB10+EB10                 -         SUMIF('Nährstoffe und Lagerraum'!$AX$113:$AX$155,$CZ10,'Nährstoffe und Lagerraum'!$U$113:$U$155)/12  -$GD10*$HE10/12</f>
        <v>0</v>
      </c>
      <c r="FD10" s="1184">
        <f>FC10+DC10+EC10                 -         SUMIF('Nährstoffe und Lagerraum'!$AX$113:$AX$155,$CZ10,'Nährstoffe und Lagerraum'!$U$113:$U$155)/12  -$GD10*$HE10/12</f>
        <v>0</v>
      </c>
      <c r="FE10" s="1184">
        <f>FD10+DD10+ED10                 -         SUMIF('Nährstoffe und Lagerraum'!$AX$113:$AX$155,$CZ10,'Nährstoffe und Lagerraum'!$U$113:$U$155)/12  -$GD10*$HE10/12</f>
        <v>0</v>
      </c>
      <c r="FF10" s="1184">
        <f>FE10+DE10+EE10                 -         SUMIF('Nährstoffe und Lagerraum'!$AX$113:$AX$155,$CZ10,'Nährstoffe und Lagerraum'!$U$113:$U$155)/12  -$GD10*$HE10/12</f>
        <v>0</v>
      </c>
      <c r="FG10" s="1184">
        <f>FF10+DF10+EF10                 -         SUMIF('Nährstoffe und Lagerraum'!$AX$113:$AX$155,$CZ10,'Nährstoffe und Lagerraum'!$U$113:$U$155)/12  -$GD10*$HE10/12</f>
        <v>0</v>
      </c>
      <c r="FH10" s="1184">
        <f>FG10+DG10+EG10                 -         SUMIF('Nährstoffe und Lagerraum'!$AX$113:$AX$155,$CZ10,'Nährstoffe und Lagerraum'!$U$113:$U$155)/12  -$GD10*$HE10/12</f>
        <v>0</v>
      </c>
      <c r="FI10" s="1184">
        <f>FH10+DH10+EH10                 -         SUMIF('Nährstoffe und Lagerraum'!$AX$113:$AX$155,$CZ10,'Nährstoffe und Lagerraum'!$U$113:$U$155)/12  -$GD10*$HE10/12</f>
        <v>0</v>
      </c>
      <c r="FJ10" s="1184">
        <f>FI10+DI10+EI10                 -         SUMIF('Nährstoffe und Lagerraum'!$AX$113:$AX$155,$CZ10,'Nährstoffe und Lagerraum'!$U$113:$U$155)/12  -$GD10*$HE10/12</f>
        <v>0</v>
      </c>
      <c r="FK10" s="1184">
        <f>FJ10+DJ10+EJ10                 -         SUMIF('Nährstoffe und Lagerraum'!$AX$113:$AX$155,$CZ10,'Nährstoffe und Lagerraum'!$U$113:$U$155)/12  -$GD10*$HE10/12</f>
        <v>0</v>
      </c>
      <c r="FL10" s="1184">
        <f>FK10+DK10+EK10                 -         SUMIF('Nährstoffe und Lagerraum'!$AX$113:$AX$155,$CZ10,'Nährstoffe und Lagerraum'!$U$113:$U$155)/12  -$GD10*$HE10/12</f>
        <v>0</v>
      </c>
      <c r="FM10" s="1184">
        <f>FL10+DL10+EL10                 -         SUMIF('Nährstoffe und Lagerraum'!$AX$113:$AX$155,$CZ10,'Nährstoffe und Lagerraum'!$U$113:$U$155)/12  -$GD10*$HE10/12</f>
        <v>0</v>
      </c>
      <c r="FN10" s="1184">
        <f>FM10+DM10+EM10                 -         SUMIF('Nährstoffe und Lagerraum'!$AX$113:$AX$155,$CZ10,'Nährstoffe und Lagerraum'!$U$113:$U$155)/12  -$GD10*$HE10/12</f>
        <v>0</v>
      </c>
      <c r="FO10" s="1184"/>
      <c r="FP10" s="1186">
        <f t="shared" ref="FP10:FP74" si="52">SUMIF($BR$14:$BR$68,$CZ10,$CJ$14:$CJ$68)</f>
        <v>0</v>
      </c>
      <c r="FQ10" s="1184">
        <f>FP10+DO10+EO10                 -         SUMIF('Nährstoffe und Lagerraum'!$AX$113:$AX$155,$CZ10,'Nährstoffe und Lagerraum'!$V$113:$V$155)/12  -$GE10*$HE10/12</f>
        <v>0</v>
      </c>
      <c r="FR10" s="1184">
        <f>FQ10+DP10+EP10                 -         SUMIF('Nährstoffe und Lagerraum'!$AX$113:$AX$155,$CZ10,'Nährstoffe und Lagerraum'!$V$113:$V$155)/12  -$GE10*$HE10/12</f>
        <v>0</v>
      </c>
      <c r="FS10" s="1184">
        <f>FR10+DQ10+EQ10                 -         SUMIF('Nährstoffe und Lagerraum'!$AX$113:$AX$155,$CZ10,'Nährstoffe und Lagerraum'!$V$113:$V$155)/12  -$GE10*$HE10/12</f>
        <v>0</v>
      </c>
      <c r="FT10" s="1184">
        <f>FS10+DR10+ER10                 -         SUMIF('Nährstoffe und Lagerraum'!$AX$113:$AX$155,$CZ10,'Nährstoffe und Lagerraum'!$V$113:$V$155)/12  -$GE10*$HE10/12</f>
        <v>0</v>
      </c>
      <c r="FU10" s="1184">
        <f>FT10+DS10+ES10                 -         SUMIF('Nährstoffe und Lagerraum'!$AX$113:$AX$155,$CZ10,'Nährstoffe und Lagerraum'!$V$113:$V$155)/12  -$GE10*$HE10/12</f>
        <v>0</v>
      </c>
      <c r="FV10" s="1184">
        <f>FU10+DT10+ET10                 -         SUMIF('Nährstoffe und Lagerraum'!$AX$113:$AX$155,$CZ10,'Nährstoffe und Lagerraum'!$V$113:$V$155)/12  -$GE10*$HE10/12</f>
        <v>0</v>
      </c>
      <c r="FW10" s="1184">
        <f>FV10+DU10+EU10                 -         SUMIF('Nährstoffe und Lagerraum'!$AX$113:$AX$155,$CZ10,'Nährstoffe und Lagerraum'!$V$113:$V$155)/12  -$GE10*$HE10/12</f>
        <v>0</v>
      </c>
      <c r="FX10" s="1184">
        <f>FW10+DV10+EV10                 -         SUMIF('Nährstoffe und Lagerraum'!$AX$113:$AX$155,$CZ10,'Nährstoffe und Lagerraum'!$V$113:$V$155)/12  -$GE10*$HE10/12</f>
        <v>0</v>
      </c>
      <c r="FY10" s="1184">
        <f>FX10+DW10+EW10                 -         SUMIF('Nährstoffe und Lagerraum'!$AX$113:$AX$155,$CZ10,'Nährstoffe und Lagerraum'!$V$113:$V$155)/12  -$GE10*$HE10/12</f>
        <v>0</v>
      </c>
      <c r="FZ10" s="1184">
        <f>FY10+DX10+EX10                 -         SUMIF('Nährstoffe und Lagerraum'!$AX$113:$AX$155,$CZ10,'Nährstoffe und Lagerraum'!$V$113:$V$155)/12  -$GE10*$HE10/12</f>
        <v>0</v>
      </c>
      <c r="GA10" s="1184">
        <f>FZ10+DY10+EY10                 -         SUMIF('Nährstoffe und Lagerraum'!$AX$113:$AX$155,$CZ10,'Nährstoffe und Lagerraum'!$V$113:$V$155)/12  -$GE10*$HE10/12</f>
        <v>0</v>
      </c>
      <c r="GB10" s="1184">
        <f>GA10+DZ10+EZ10                 -         SUMIF('Nährstoffe und Lagerraum'!$AX$113:$AX$155,$CZ10,'Nährstoffe und Lagerraum'!$V$113:$V$155)/12  -$GE10*$HE10/12</f>
        <v>0</v>
      </c>
      <c r="GC10" s="1184"/>
      <c r="GD10" s="1184">
        <f>SUMIFS($CI$14:$CI$68,$BR$14:$BR$68,$CZ10)+SUMIFS($CM$14:$CM$68,$BR$14:$BR$68,$CZ10)+SUMIFS($CR$14:$CR$68,$BR$14:$BR$68,$CZ10)  -         SUMIF('Nährstoffe und Lagerraum'!$AX$113:$AX$155,$CZ10,'Nährstoffe und Lagerraum'!$U$113:$U$155)</f>
        <v>0</v>
      </c>
      <c r="GE10" s="1184">
        <f>SUMIFS($CJ$14:$CJ$68,$BR$14:$BR$68,$CZ10)+SUMIFS($CO$14:$CO$68,$BR$14:$BR$68,$CZ10)+SUMIFS($CT$14:$CT$68,$BR$14:$BR$68,$CZ10)  -         SUMIF('Nährstoffe und Lagerraum'!$AX$113:$AX$155,$CZ10,'Nährstoffe und Lagerraum'!$V$113:$V$155)</f>
        <v>0</v>
      </c>
      <c r="GF10" s="1184"/>
      <c r="GG10" s="1184"/>
      <c r="GH10" s="1184">
        <f>SUMIF('Nährstoffe und Lagerraum'!$AX$113:$AX$155,$CZ10,'Nährstoffe und Lagerraum'!$U$113:$U$155)</f>
        <v>0</v>
      </c>
      <c r="GI10" s="1184">
        <f>SUMIF('Nährstoffe und Lagerraum'!$AX$113:$AX$155,$CZ10,'Nährstoffe und Lagerraum'!$V$113:$V$155)</f>
        <v>0</v>
      </c>
      <c r="GJ10" s="1184">
        <f t="shared" ref="GJ10:GJ74" si="53">GD10+GH10</f>
        <v>0</v>
      </c>
      <c r="GK10" s="1184">
        <f t="shared" ref="GK10:GK74" si="54">GE10+GI10</f>
        <v>0</v>
      </c>
      <c r="GL10" s="1184">
        <f t="shared" ref="GL10:GL74" si="55">GD10-GD10*HE10</f>
        <v>0</v>
      </c>
      <c r="GM10" s="1184">
        <f t="shared" ref="GM10:GM74" si="56">GE10-GE10*HE10</f>
        <v>0</v>
      </c>
      <c r="GN10" s="1184">
        <f t="shared" ref="GN10:GN74" si="57">SUMIF($BR$14:$BR$68,CZ10,$CW$14:$CW$68)</f>
        <v>0</v>
      </c>
      <c r="GO10" s="1184" cm="1">
        <f t="array" ref="GO10">IF(GN10=0,0,(IFERROR(SUMPRODUCT($J$14:$J$68,$CH$14:$CH$68,($BR$14:$BR$68=CZ10)*1)+SUMPRODUCT($L$14:$L$68,$M$14:$M$68,$CK$14:$CK$68,($BR$14:$BR$68=CZ10)*1,($BT$14:$BT$68=FALSE)*1)/10+SUMPRODUCT($R$14:$R$68,$CP$14:$CP$68,($BR$14:$BR$68=CZ10)*1),0))/GN10)</f>
        <v>0</v>
      </c>
      <c r="GP10" s="1184">
        <f t="shared" ref="GP10:GP74" si="58">GN10*GO10/100</f>
        <v>0</v>
      </c>
      <c r="GQ10" s="1184">
        <f>(SUMIF('Nährstoffe und Lagerraum'!$AX$113:$AX$130,'Lagerhaltung (freiwillig)'!CZ10,'Nährstoffe und Lagerraum'!$D$113:$D$130)+SUMIF('Nährstoffe und Lagerraum'!$AX$137:$AX$155,'Lagerhaltung (freiwillig)'!CZ10,'Nährstoffe und Lagerraum'!$E$137:$E$155))</f>
        <v>0</v>
      </c>
      <c r="GR10" s="1184" cm="1">
        <f t="array" ref="GR10">IF(GQ10=0,0,(IFERROR(SUMPRODUCT('Nährstoffe und Lagerraum'!$D$113:$D$130,'Nährstoffe und Lagerraum'!$F$113:$F$130,('Nährstoffe und Lagerraum'!$AX$113:$AX$130='Lagerhaltung (freiwillig)'!CZ10)*1)+SUMPRODUCT('Nährstoffe und Lagerraum'!$E$137:$E$155,'Nährstoffe und Lagerraum'!$F$137:$F$155,('Nährstoffe und Lagerraum'!$AX$137:$AX$155='Lagerhaltung (freiwillig)'!CZ10)*1),0))/GQ10)</f>
        <v>0</v>
      </c>
      <c r="GS10" s="1184">
        <f t="shared" ref="GS10:GS74" si="59">GQ10*GR10/100</f>
        <v>0</v>
      </c>
      <c r="GT10" s="1184">
        <f t="shared" ref="GT10:GT74" si="60">GP10-GS10</f>
        <v>0</v>
      </c>
      <c r="GU10" s="1184">
        <f t="shared" ref="GU10:GU74" si="61">IF(AND(GO10=0,GR10=0),0,IF(GO10=0,GT10/(GR10/100),GT10/(GO10/100)))</f>
        <v>0</v>
      </c>
      <c r="GV10" s="1184">
        <f t="shared" ref="GV10:GV74" si="62">IF(OR(GO10=0,GR10=0),MAX(GO10,GR10),GO10)</f>
        <v>0</v>
      </c>
      <c r="GW10" s="1186" t="str">
        <f t="shared" si="41"/>
        <v xml:space="preserve"> </v>
      </c>
      <c r="GX10" s="1186" t="str">
        <f t="shared" si="41"/>
        <v xml:space="preserve"> </v>
      </c>
      <c r="GY10" s="1195">
        <f t="shared" ref="GY10:GY74" si="63">IF(OR(HK10=3,GU10&lt;=0),0,IF(DA10=$DA$4,$GX$4/$GG$4,IF(DA10=$DA$6,$GX$6/$GG$6,0)))</f>
        <v>0</v>
      </c>
      <c r="GZ10" s="1184">
        <f t="shared" ref="GZ10:GZ74" si="64">GU10*GY10</f>
        <v>0</v>
      </c>
      <c r="HA10" s="1184" t="str">
        <f t="shared" si="44"/>
        <v>a</v>
      </c>
      <c r="HB10" s="1196">
        <f t="shared" ref="HB10:HB74" si="65">IF(HA10="a",0,GD10*HE10)</f>
        <v>0</v>
      </c>
      <c r="HC10" s="1196">
        <f t="shared" ref="HC10:HC74" si="66">IF(HA10="a",0,GD10*(1-HE10))</f>
        <v>0</v>
      </c>
      <c r="HD10" s="1196"/>
      <c r="HE10" s="1187">
        <f t="shared" ref="HE10:HE74" si="67">IF(OR(HK10=3,GU10&lt;=0),0,IF(HA10&lt;&gt;"a",IF(GU10=0,0,MIN(1,HA10/GU10)),IF(DA10=$DA$4,IF($GG$4-$HC$4-$HB$4=0,0,$HD$4/($GG$4-$HC$4-$HB$4)),IF(DA10=$DA$6,IF($GG$6-$HC$6-$HB$6=0,0,$HD$6/($GG$6-$HC$6-$HB$6)),0))))</f>
        <v>0</v>
      </c>
      <c r="HF10" s="1196">
        <f t="shared" ref="HF10:HF74" si="68">MAX(0,GU10*HE10)</f>
        <v>0</v>
      </c>
      <c r="HG10" s="1196">
        <f t="shared" ref="HG10:HG74" si="69">GU10-HF10</f>
        <v>0</v>
      </c>
      <c r="HH10" s="1196">
        <f t="shared" ref="HH10:HH74" si="70">GO10</f>
        <v>0</v>
      </c>
      <c r="HI10" s="1328" cm="1">
        <f t="array" ref="HI10">IF(AND(HG10=0,GL10=0),0,IF(HG10=0,1,IF(OR(GL10*1000/HG10/HH10&gt;INDEX(Pflanzen!$W$5:$W$104,CZ10)/INDEX(Pflanzen!$I$5:$I$104,CZ10)*$HI$1,GL10*1000/HG10/HH10&lt;INDEX(Pflanzen!$W$5:$W$104,CZ10)/INDEX(Pflanzen!$I$5:$I$104,CZ10)/$HI$1),1,0)))</f>
        <v>0</v>
      </c>
      <c r="HJ10" s="1328" cm="1">
        <f t="array" ref="HJ10">IF(AND(GM10=0,HG10=0),0,IF(HG10=0,1,IF(OR(GM10*1000/HG10/HH10&gt;INDEX(Pflanzen!$X$5:$X$104,CZ10)/INDEX(Pflanzen!$I$5:$I$104,CZ10)*$HI$1,GM10*1000/HG10/HH10&lt;INDEX(Pflanzen!$X$5:$X$104,CZ10)/INDEX(Pflanzen!$I$5:$I$104,CZ10)/$HI$1),1,0)))</f>
        <v>0</v>
      </c>
      <c r="HK10" s="1184">
        <f t="shared" ref="HK10:HK74" si="71">IF(AND(GD10=0,GE10=0,GH10=0,GI10=0,GJ10=0,GK10=0),3,DA10)</f>
        <v>3</v>
      </c>
      <c r="HL10" s="1184"/>
      <c r="HN10" s="1184"/>
      <c r="HO10" s="1193" t="str">
        <f>Tiere!B36</f>
        <v>Andere weibliche Rinder über 2 Jahre</v>
      </c>
      <c r="HP10" s="1184">
        <v>7</v>
      </c>
      <c r="HQ10" s="1194">
        <f>SUMIF('Nährstoffe und Lagerraum'!$BM$68:$BM$87,'Lagerhaltung (freiwillig)'!HP10,'Nährstoffe und Lagerraum'!$Z$68:$Z$87)+SUMIF('Nährstoffe und Lagerraum'!$BM$68:$BM$87,'Lagerhaltung (freiwillig)'!HP10,'Nährstoffe und Lagerraum'!$AA$68:$AA$87)</f>
        <v>0</v>
      </c>
      <c r="HR10" s="1184" cm="1">
        <f t="array" ref="HR10">INDEX(Tiere!$C$30:$C$114,'Lagerhaltung (freiwillig)'!HP10)</f>
        <v>1</v>
      </c>
      <c r="HS10" s="1184" cm="1">
        <f t="array" ref="HS10">INDEX(Tiere!$H$30:$H$114,'Lagerhaltung (freiwillig)'!HP10)</f>
        <v>84.4</v>
      </c>
      <c r="HT10" s="1184">
        <f t="shared" si="12"/>
        <v>0</v>
      </c>
      <c r="HU10" s="1184" cm="1">
        <f t="array" ref="HU10">INDEX(Tiere!$I$30:$I$114,'Lagerhaltung (freiwillig)'!HP10)</f>
        <v>24.4</v>
      </c>
      <c r="HV10" s="1184">
        <f t="shared" si="13"/>
        <v>0</v>
      </c>
      <c r="HW10" s="1184" cm="1">
        <f t="array" ref="HW10">INDEX(Tiere!$BC$30:$BC$114,'Lagerhaltung (freiwillig)'!HP10)</f>
        <v>7.2900000000000009</v>
      </c>
      <c r="HX10" s="1184">
        <f t="shared" si="14"/>
        <v>0</v>
      </c>
      <c r="HY10" s="1184" cm="1">
        <f t="array" ref="HY10">INDEX(Tiere!$BD$30:$BD$114,'Lagerhaltung (freiwillig)'!HP10)</f>
        <v>4.0230000000000006</v>
      </c>
      <c r="HZ10" s="1184">
        <f t="shared" si="15"/>
        <v>0</v>
      </c>
      <c r="IA10" s="1184"/>
      <c r="IB10" s="1184"/>
      <c r="IC10" s="1186" t="s">
        <v>1076</v>
      </c>
      <c r="ID10" s="1184"/>
      <c r="IE10" s="1184"/>
      <c r="IF10" s="1184"/>
      <c r="IG10" s="1184"/>
      <c r="IH10" s="1184"/>
      <c r="II10" s="1184"/>
      <c r="IJ10" s="1186">
        <f>MAX(0,IF($IJ$9+$IL$9&gt;$GG$4+$GG$6,GG4,IF(IJ9&gt;GG4,GG4,IF(IL9&gt;GG6,IJ9+IL9-GG6,IJ9))))</f>
        <v>0</v>
      </c>
      <c r="IK10" s="1186"/>
      <c r="IL10" s="1184">
        <f>MAX(0,IF($IJ$9+$IL$9&gt;$GG$4+$GG$6,GG6,IF(IJ9&gt;GG4,IL9+IJ9-GG4,IF(IL9&gt;GG6,GG6,IL9))))</f>
        <v>0</v>
      </c>
    </row>
    <row r="11" spans="1:247" ht="15" customHeight="1" x14ac:dyDescent="0.2">
      <c r="A11" s="3028" t="s">
        <v>8325</v>
      </c>
      <c r="B11" s="3029"/>
      <c r="C11" s="3029"/>
      <c r="D11" s="3029"/>
      <c r="E11" s="3030"/>
      <c r="F11" s="3017" t="s">
        <v>1014</v>
      </c>
      <c r="G11" s="1157" t="s">
        <v>4</v>
      </c>
      <c r="H11" s="1158" t="s">
        <v>427</v>
      </c>
      <c r="I11" s="3017" t="s">
        <v>8320</v>
      </c>
      <c r="J11" s="3049" t="s">
        <v>1015</v>
      </c>
      <c r="K11" s="3017" t="s">
        <v>8320</v>
      </c>
      <c r="L11" s="3010" t="s">
        <v>1017</v>
      </c>
      <c r="M11" s="3010" t="s">
        <v>1018</v>
      </c>
      <c r="N11" s="3046" t="s">
        <v>8268</v>
      </c>
      <c r="O11" s="3058"/>
      <c r="P11" s="3063" t="s">
        <v>942</v>
      </c>
      <c r="Q11" s="3017" t="s">
        <v>8320</v>
      </c>
      <c r="R11" s="3010" t="s">
        <v>8239</v>
      </c>
      <c r="S11" s="3046" t="s">
        <v>8274</v>
      </c>
      <c r="T11" s="3047"/>
      <c r="U11" s="1299"/>
      <c r="V11" s="1301"/>
      <c r="Y11" s="3098"/>
      <c r="Z11" s="3099"/>
      <c r="AA11" s="3099"/>
      <c r="AB11" s="3100"/>
      <c r="AC11" s="3068" t="s">
        <v>280</v>
      </c>
      <c r="AD11" s="3068" t="s">
        <v>281</v>
      </c>
      <c r="AE11" s="3011" t="s">
        <v>1062</v>
      </c>
      <c r="AF11" s="3013" t="s">
        <v>8299</v>
      </c>
      <c r="AG11" s="3068" t="s">
        <v>280</v>
      </c>
      <c r="AH11" s="3068" t="s">
        <v>281</v>
      </c>
      <c r="AI11" s="3011" t="s">
        <v>1062</v>
      </c>
      <c r="AJ11" s="3013" t="s">
        <v>8299</v>
      </c>
      <c r="AK11" s="3068" t="s">
        <v>280</v>
      </c>
      <c r="AL11" s="3013" t="s">
        <v>281</v>
      </c>
      <c r="AM11" s="3011" t="s">
        <v>1062</v>
      </c>
      <c r="AN11" s="3013" t="s">
        <v>8299</v>
      </c>
      <c r="AO11" s="2739" t="s">
        <v>8333</v>
      </c>
      <c r="AP11" s="2636"/>
      <c r="AQ11" s="2636"/>
      <c r="AR11" s="2637"/>
      <c r="AS11" s="3015" t="s">
        <v>280</v>
      </c>
      <c r="AT11" s="3013" t="s">
        <v>281</v>
      </c>
      <c r="AU11" s="3011" t="s">
        <v>1062</v>
      </c>
      <c r="AV11" s="2995" t="s">
        <v>8299</v>
      </c>
      <c r="AY11" s="1184"/>
      <c r="AZ11" s="1184"/>
      <c r="BA11" s="1184">
        <f>COUNTIF(BA13:BA131,"&lt;-0,5")</f>
        <v>0</v>
      </c>
      <c r="BB11" s="1184"/>
      <c r="BC11" s="1194">
        <f>SUM(BC13:BC131)</f>
        <v>0</v>
      </c>
      <c r="BD11" s="1184"/>
      <c r="BQ11" s="1184"/>
      <c r="BR11" s="1184"/>
      <c r="BS11" s="1184"/>
      <c r="BT11" s="1184"/>
      <c r="BU11" s="1185"/>
      <c r="BV11" s="1185"/>
      <c r="BW11" s="1184"/>
      <c r="BX11" s="1184"/>
      <c r="BY11" s="1184"/>
      <c r="BZ11" s="1184"/>
      <c r="CA11" s="1184"/>
      <c r="CB11" s="1184"/>
      <c r="CC11" s="1184"/>
      <c r="CD11" s="1184"/>
      <c r="CE11" s="1184"/>
      <c r="CF11" s="1184"/>
      <c r="CG11" s="1184"/>
      <c r="CH11" s="1184"/>
      <c r="CI11" s="1184"/>
      <c r="CJ11" s="1184"/>
      <c r="CK11" s="1184"/>
      <c r="CL11" s="1184"/>
      <c r="CM11" s="1184"/>
      <c r="CN11" s="1184"/>
      <c r="CO11" s="1184"/>
      <c r="CP11" s="1184"/>
      <c r="CQ11" s="1184"/>
      <c r="CR11" s="1184"/>
      <c r="CS11" s="1184"/>
      <c r="CT11" s="1184"/>
      <c r="CU11" s="1184"/>
      <c r="CV11" s="1184"/>
      <c r="CW11" s="1184"/>
      <c r="CX11" s="1184"/>
      <c r="CY11" s="320" t="str">
        <f>Pflanzen!A7</f>
        <v>Winterweizen C-Sorte</v>
      </c>
      <c r="CZ11" s="1200">
        <f>IFERROR(MATCH($CY11,Pflanzen!$C$5:$C$114,0),1)</f>
        <v>3</v>
      </c>
      <c r="DA11" s="320" cm="1">
        <f t="array" ref="DA11">INDEX(Pflanzen!$H$5:$H$114,'Lagerhaltung (freiwillig)'!CZ11)</f>
        <v>2</v>
      </c>
      <c r="DB11" s="1200">
        <f t="shared" si="32"/>
        <v>0</v>
      </c>
      <c r="DC11" s="1200">
        <f t="shared" si="32"/>
        <v>0</v>
      </c>
      <c r="DD11" s="1200">
        <f t="shared" si="32"/>
        <v>0</v>
      </c>
      <c r="DE11" s="1200">
        <f t="shared" si="32"/>
        <v>0</v>
      </c>
      <c r="DF11" s="1200">
        <f t="shared" si="32"/>
        <v>0</v>
      </c>
      <c r="DG11" s="1184">
        <f t="shared" si="32"/>
        <v>0</v>
      </c>
      <c r="DH11" s="1184">
        <f t="shared" si="32"/>
        <v>0</v>
      </c>
      <c r="DI11" s="1184">
        <f t="shared" si="32"/>
        <v>0</v>
      </c>
      <c r="DJ11" s="1184">
        <f t="shared" si="32"/>
        <v>0</v>
      </c>
      <c r="DK11" s="1184">
        <f t="shared" si="32"/>
        <v>0</v>
      </c>
      <c r="DL11" s="1184">
        <f t="shared" si="32"/>
        <v>0</v>
      </c>
      <c r="DM11" s="1184">
        <f t="shared" si="32"/>
        <v>0</v>
      </c>
      <c r="DN11" s="1184"/>
      <c r="DO11" s="1184">
        <f t="shared" si="33"/>
        <v>0</v>
      </c>
      <c r="DP11" s="1184">
        <f t="shared" si="33"/>
        <v>0</v>
      </c>
      <c r="DQ11" s="1184">
        <f t="shared" si="33"/>
        <v>0</v>
      </c>
      <c r="DR11" s="1184">
        <f t="shared" si="33"/>
        <v>0</v>
      </c>
      <c r="DS11" s="1184">
        <f t="shared" si="33"/>
        <v>0</v>
      </c>
      <c r="DT11" s="1184">
        <f t="shared" si="33"/>
        <v>0</v>
      </c>
      <c r="DU11" s="1184">
        <f t="shared" si="33"/>
        <v>0</v>
      </c>
      <c r="DV11" s="1184">
        <f t="shared" si="33"/>
        <v>0</v>
      </c>
      <c r="DW11" s="1184">
        <f t="shared" si="33"/>
        <v>0</v>
      </c>
      <c r="DX11" s="1184">
        <f t="shared" si="33"/>
        <v>0</v>
      </c>
      <c r="DY11" s="1184">
        <f t="shared" si="33"/>
        <v>0</v>
      </c>
      <c r="DZ11" s="1184">
        <f t="shared" si="33"/>
        <v>0</v>
      </c>
      <c r="EA11" s="1184"/>
      <c r="EB11" s="1184">
        <f t="shared" si="34"/>
        <v>0</v>
      </c>
      <c r="EC11" s="1184">
        <f t="shared" si="34"/>
        <v>0</v>
      </c>
      <c r="ED11" s="1184">
        <f t="shared" si="34"/>
        <v>0</v>
      </c>
      <c r="EE11" s="1184">
        <f t="shared" si="34"/>
        <v>0</v>
      </c>
      <c r="EF11" s="1184">
        <f t="shared" si="34"/>
        <v>0</v>
      </c>
      <c r="EG11" s="1184">
        <f t="shared" si="34"/>
        <v>0</v>
      </c>
      <c r="EH11" s="1184">
        <f t="shared" si="34"/>
        <v>0</v>
      </c>
      <c r="EI11" s="1184">
        <f t="shared" si="34"/>
        <v>0</v>
      </c>
      <c r="EJ11" s="1184">
        <f t="shared" si="34"/>
        <v>0</v>
      </c>
      <c r="EK11" s="1184">
        <f t="shared" si="34"/>
        <v>0</v>
      </c>
      <c r="EL11" s="1184">
        <f t="shared" si="34"/>
        <v>0</v>
      </c>
      <c r="EM11" s="1184">
        <f t="shared" si="34"/>
        <v>0</v>
      </c>
      <c r="EN11" s="1184"/>
      <c r="EO11" s="1184">
        <f t="shared" si="35"/>
        <v>0</v>
      </c>
      <c r="EP11" s="1184">
        <f t="shared" si="35"/>
        <v>0</v>
      </c>
      <c r="EQ11" s="1184">
        <f t="shared" si="35"/>
        <v>0</v>
      </c>
      <c r="ER11" s="1184">
        <f t="shared" si="35"/>
        <v>0</v>
      </c>
      <c r="ES11" s="1184">
        <f t="shared" si="35"/>
        <v>0</v>
      </c>
      <c r="ET11" s="1184">
        <f t="shared" si="35"/>
        <v>0</v>
      </c>
      <c r="EU11" s="1184">
        <f t="shared" si="35"/>
        <v>0</v>
      </c>
      <c r="EV11" s="1184">
        <f t="shared" si="35"/>
        <v>0</v>
      </c>
      <c r="EW11" s="1184">
        <f t="shared" si="35"/>
        <v>0</v>
      </c>
      <c r="EX11" s="1184">
        <f t="shared" si="35"/>
        <v>0</v>
      </c>
      <c r="EY11" s="1184">
        <f t="shared" si="35"/>
        <v>0</v>
      </c>
      <c r="EZ11" s="1184">
        <f t="shared" si="35"/>
        <v>0</v>
      </c>
      <c r="FA11" s="1184"/>
      <c r="FB11" s="1186">
        <f t="shared" si="51"/>
        <v>0</v>
      </c>
      <c r="FC11" s="1184">
        <f>FB11+DB11+EB11                 -         SUMIF('Nährstoffe und Lagerraum'!$AX$113:$AX$155,$CZ11,'Nährstoffe und Lagerraum'!$U$113:$U$155)/12  -$GD11*$HE11/12</f>
        <v>0</v>
      </c>
      <c r="FD11" s="1184">
        <f>FC11+DC11+EC11                 -         SUMIF('Nährstoffe und Lagerraum'!$AX$113:$AX$155,$CZ11,'Nährstoffe und Lagerraum'!$U$113:$U$155)/12  -$GD11*$HE11/12</f>
        <v>0</v>
      </c>
      <c r="FE11" s="1184">
        <f>FD11+DD11+ED11                 -         SUMIF('Nährstoffe und Lagerraum'!$AX$113:$AX$155,$CZ11,'Nährstoffe und Lagerraum'!$U$113:$U$155)/12  -$GD11*$HE11/12</f>
        <v>0</v>
      </c>
      <c r="FF11" s="1184">
        <f>FE11+DE11+EE11                 -         SUMIF('Nährstoffe und Lagerraum'!$AX$113:$AX$155,$CZ11,'Nährstoffe und Lagerraum'!$U$113:$U$155)/12  -$GD11*$HE11/12</f>
        <v>0</v>
      </c>
      <c r="FG11" s="1184">
        <f>FF11+DF11+EF11                 -         SUMIF('Nährstoffe und Lagerraum'!$AX$113:$AX$155,$CZ11,'Nährstoffe und Lagerraum'!$U$113:$U$155)/12  -$GD11*$HE11/12</f>
        <v>0</v>
      </c>
      <c r="FH11" s="1184">
        <f>FG11+DG11+EG11                 -         SUMIF('Nährstoffe und Lagerraum'!$AX$113:$AX$155,$CZ11,'Nährstoffe und Lagerraum'!$U$113:$U$155)/12  -$GD11*$HE11/12</f>
        <v>0</v>
      </c>
      <c r="FI11" s="1184">
        <f>FH11+DH11+EH11                 -         SUMIF('Nährstoffe und Lagerraum'!$AX$113:$AX$155,$CZ11,'Nährstoffe und Lagerraum'!$U$113:$U$155)/12  -$GD11*$HE11/12</f>
        <v>0</v>
      </c>
      <c r="FJ11" s="1184">
        <f>FI11+DI11+EI11                 -         SUMIF('Nährstoffe und Lagerraum'!$AX$113:$AX$155,$CZ11,'Nährstoffe und Lagerraum'!$U$113:$U$155)/12  -$GD11*$HE11/12</f>
        <v>0</v>
      </c>
      <c r="FK11" s="1184">
        <f>FJ11+DJ11+EJ11                 -         SUMIF('Nährstoffe und Lagerraum'!$AX$113:$AX$155,$CZ11,'Nährstoffe und Lagerraum'!$U$113:$U$155)/12  -$GD11*$HE11/12</f>
        <v>0</v>
      </c>
      <c r="FL11" s="1184">
        <f>FK11+DK11+EK11                 -         SUMIF('Nährstoffe und Lagerraum'!$AX$113:$AX$155,$CZ11,'Nährstoffe und Lagerraum'!$U$113:$U$155)/12  -$GD11*$HE11/12</f>
        <v>0</v>
      </c>
      <c r="FM11" s="1184">
        <f>FL11+DL11+EL11                 -         SUMIF('Nährstoffe und Lagerraum'!$AX$113:$AX$155,$CZ11,'Nährstoffe und Lagerraum'!$U$113:$U$155)/12  -$GD11*$HE11/12</f>
        <v>0</v>
      </c>
      <c r="FN11" s="1184">
        <f>FM11+DM11+EM11                 -         SUMIF('Nährstoffe und Lagerraum'!$AX$113:$AX$155,$CZ11,'Nährstoffe und Lagerraum'!$U$113:$U$155)/12  -$GD11*$HE11/12</f>
        <v>0</v>
      </c>
      <c r="FO11" s="1184"/>
      <c r="FP11" s="1186">
        <f t="shared" si="52"/>
        <v>0</v>
      </c>
      <c r="FQ11" s="1184">
        <f>FP11+DO11+EO11                 -         SUMIF('Nährstoffe und Lagerraum'!$AX$113:$AX$155,$CZ11,'Nährstoffe und Lagerraum'!$V$113:$V$155)/12  -$GE11*$HE11/12</f>
        <v>0</v>
      </c>
      <c r="FR11" s="1184">
        <f>FQ11+DP11+EP11                 -         SUMIF('Nährstoffe und Lagerraum'!$AX$113:$AX$155,$CZ11,'Nährstoffe und Lagerraum'!$V$113:$V$155)/12  -$GE11*$HE11/12</f>
        <v>0</v>
      </c>
      <c r="FS11" s="1184">
        <f>FR11+DQ11+EQ11                 -         SUMIF('Nährstoffe und Lagerraum'!$AX$113:$AX$155,$CZ11,'Nährstoffe und Lagerraum'!$V$113:$V$155)/12  -$GE11*$HE11/12</f>
        <v>0</v>
      </c>
      <c r="FT11" s="1184">
        <f>FS11+DR11+ER11                 -         SUMIF('Nährstoffe und Lagerraum'!$AX$113:$AX$155,$CZ11,'Nährstoffe und Lagerraum'!$V$113:$V$155)/12  -$GE11*$HE11/12</f>
        <v>0</v>
      </c>
      <c r="FU11" s="1184">
        <f>FT11+DS11+ES11                 -         SUMIF('Nährstoffe und Lagerraum'!$AX$113:$AX$155,$CZ11,'Nährstoffe und Lagerraum'!$V$113:$V$155)/12  -$GE11*$HE11/12</f>
        <v>0</v>
      </c>
      <c r="FV11" s="1184">
        <f>FU11+DT11+ET11                 -         SUMIF('Nährstoffe und Lagerraum'!$AX$113:$AX$155,$CZ11,'Nährstoffe und Lagerraum'!$V$113:$V$155)/12  -$GE11*$HE11/12</f>
        <v>0</v>
      </c>
      <c r="FW11" s="1184">
        <f>FV11+DU11+EU11                 -         SUMIF('Nährstoffe und Lagerraum'!$AX$113:$AX$155,$CZ11,'Nährstoffe und Lagerraum'!$V$113:$V$155)/12  -$GE11*$HE11/12</f>
        <v>0</v>
      </c>
      <c r="FX11" s="1184">
        <f>FW11+DV11+EV11                 -         SUMIF('Nährstoffe und Lagerraum'!$AX$113:$AX$155,$CZ11,'Nährstoffe und Lagerraum'!$V$113:$V$155)/12  -$GE11*$HE11/12</f>
        <v>0</v>
      </c>
      <c r="FY11" s="1184">
        <f>FX11+DW11+EW11                 -         SUMIF('Nährstoffe und Lagerraum'!$AX$113:$AX$155,$CZ11,'Nährstoffe und Lagerraum'!$V$113:$V$155)/12  -$GE11*$HE11/12</f>
        <v>0</v>
      </c>
      <c r="FZ11" s="1184">
        <f>FY11+DX11+EX11                 -         SUMIF('Nährstoffe und Lagerraum'!$AX$113:$AX$155,$CZ11,'Nährstoffe und Lagerraum'!$V$113:$V$155)/12  -$GE11*$HE11/12</f>
        <v>0</v>
      </c>
      <c r="GA11" s="1184">
        <f>FZ11+DY11+EY11                 -         SUMIF('Nährstoffe und Lagerraum'!$AX$113:$AX$155,$CZ11,'Nährstoffe und Lagerraum'!$V$113:$V$155)/12  -$GE11*$HE11/12</f>
        <v>0</v>
      </c>
      <c r="GB11" s="1184">
        <f>GA11+DZ11+EZ11                 -         SUMIF('Nährstoffe und Lagerraum'!$AX$113:$AX$155,$CZ11,'Nährstoffe und Lagerraum'!$V$113:$V$155)/12  -$GE11*$HE11/12</f>
        <v>0</v>
      </c>
      <c r="GC11" s="1184"/>
      <c r="GD11" s="1184">
        <f>SUMIFS($CI$14:$CI$68,$BR$14:$BR$68,$CZ11)+SUMIFS($CM$14:$CM$68,$BR$14:$BR$68,$CZ11)+SUMIFS($CR$14:$CR$68,$BR$14:$BR$68,$CZ11)  -         SUMIF('Nährstoffe und Lagerraum'!$AX$113:$AX$155,$CZ11,'Nährstoffe und Lagerraum'!$U$113:$U$155)</f>
        <v>0</v>
      </c>
      <c r="GE11" s="1184">
        <f>SUMIFS($CJ$14:$CJ$68,$BR$14:$BR$68,$CZ11)+SUMIFS($CO$14:$CO$68,$BR$14:$BR$68,$CZ11)+SUMIFS($CT$14:$CT$68,$BR$14:$BR$68,$CZ11)  -         SUMIF('Nährstoffe und Lagerraum'!$AX$113:$AX$155,$CZ11,'Nährstoffe und Lagerraum'!$V$113:$V$155)</f>
        <v>0</v>
      </c>
      <c r="GF11" s="1184"/>
      <c r="GG11" s="1184"/>
      <c r="GH11" s="1184">
        <f>SUMIF('Nährstoffe und Lagerraum'!$AX$113:$AX$155,$CZ11,'Nährstoffe und Lagerraum'!$U$113:$U$155)</f>
        <v>0</v>
      </c>
      <c r="GI11" s="1184">
        <f>SUMIF('Nährstoffe und Lagerraum'!$AX$113:$AX$155,$CZ11,'Nährstoffe und Lagerraum'!$V$113:$V$155)</f>
        <v>0</v>
      </c>
      <c r="GJ11" s="1184">
        <f t="shared" si="53"/>
        <v>0</v>
      </c>
      <c r="GK11" s="1184">
        <f t="shared" si="54"/>
        <v>0</v>
      </c>
      <c r="GL11" s="1184">
        <f t="shared" si="55"/>
        <v>0</v>
      </c>
      <c r="GM11" s="1184">
        <f t="shared" si="56"/>
        <v>0</v>
      </c>
      <c r="GN11" s="1184">
        <f t="shared" si="57"/>
        <v>0</v>
      </c>
      <c r="GO11" s="1184" cm="1">
        <f t="array" ref="GO11">IF(GN11=0,0,(IFERROR(SUMPRODUCT($J$14:$J$68,$CH$14:$CH$68,($BR$14:$BR$68=CZ11)*1)+SUMPRODUCT($L$14:$L$68,$M$14:$M$68,$CK$14:$CK$68,($BR$14:$BR$68=CZ11)*1,($BT$14:$BT$68=FALSE)*1)/10+SUMPRODUCT($R$14:$R$68,$CP$14:$CP$68,($BR$14:$BR$68=CZ11)*1),0))/GN11)</f>
        <v>0</v>
      </c>
      <c r="GP11" s="1184">
        <f t="shared" si="58"/>
        <v>0</v>
      </c>
      <c r="GQ11" s="1184">
        <f>(SUMIF('Nährstoffe und Lagerraum'!$AX$113:$AX$130,'Lagerhaltung (freiwillig)'!CZ11,'Nährstoffe und Lagerraum'!$D$113:$D$130)+SUMIF('Nährstoffe und Lagerraum'!$AX$137:$AX$155,'Lagerhaltung (freiwillig)'!CZ11,'Nährstoffe und Lagerraum'!$E$137:$E$155))</f>
        <v>0</v>
      </c>
      <c r="GR11" s="1184" cm="1">
        <f t="array" ref="GR11">IF(GQ11=0,0,(IFERROR(SUMPRODUCT('Nährstoffe und Lagerraum'!$D$113:$D$130,'Nährstoffe und Lagerraum'!$F$113:$F$130,('Nährstoffe und Lagerraum'!$AX$113:$AX$130='Lagerhaltung (freiwillig)'!CZ11)*1)+SUMPRODUCT('Nährstoffe und Lagerraum'!$E$137:$E$155,'Nährstoffe und Lagerraum'!$F$137:$F$155,('Nährstoffe und Lagerraum'!$AX$137:$AX$155='Lagerhaltung (freiwillig)'!CZ11)*1),0))/GQ11)</f>
        <v>0</v>
      </c>
      <c r="GS11" s="1184">
        <f t="shared" si="59"/>
        <v>0</v>
      </c>
      <c r="GT11" s="1184">
        <f t="shared" si="60"/>
        <v>0</v>
      </c>
      <c r="GU11" s="1184">
        <f t="shared" si="61"/>
        <v>0</v>
      </c>
      <c r="GV11" s="1184">
        <f t="shared" si="62"/>
        <v>0</v>
      </c>
      <c r="GW11" s="1186" t="str">
        <f t="shared" si="41"/>
        <v xml:space="preserve"> </v>
      </c>
      <c r="GX11" s="1186" t="str">
        <f t="shared" si="41"/>
        <v xml:space="preserve"> </v>
      </c>
      <c r="GY11" s="1195">
        <f t="shared" si="63"/>
        <v>0</v>
      </c>
      <c r="GZ11" s="1184">
        <f t="shared" si="64"/>
        <v>0</v>
      </c>
      <c r="HA11" s="1184" t="str">
        <f t="shared" si="44"/>
        <v>a</v>
      </c>
      <c r="HB11" s="1196">
        <f t="shared" si="65"/>
        <v>0</v>
      </c>
      <c r="HC11" s="1196">
        <f t="shared" si="66"/>
        <v>0</v>
      </c>
      <c r="HD11" s="1196"/>
      <c r="HE11" s="1187">
        <f t="shared" si="67"/>
        <v>0</v>
      </c>
      <c r="HF11" s="1196">
        <f t="shared" si="68"/>
        <v>0</v>
      </c>
      <c r="HG11" s="1196">
        <f t="shared" si="69"/>
        <v>0</v>
      </c>
      <c r="HH11" s="1196">
        <f t="shared" si="70"/>
        <v>0</v>
      </c>
      <c r="HI11" s="1328" cm="1">
        <f t="array" ref="HI11">IF(AND(HG11=0,GL11=0),0,IF(HG11=0,1,IF(OR(GL11*1000/HG11/HH11&gt;INDEX(Pflanzen!$W$5:$W$104,CZ11)/INDEX(Pflanzen!$I$5:$I$104,CZ11)*$HI$1,GL11*1000/HG11/HH11&lt;INDEX(Pflanzen!$W$5:$W$104,CZ11)/INDEX(Pflanzen!$I$5:$I$104,CZ11)/$HI$1),1,0)))</f>
        <v>0</v>
      </c>
      <c r="HJ11" s="1328" cm="1">
        <f t="array" ref="HJ11">IF(AND(GM11=0,HG11=0),0,IF(HG11=0,1,IF(OR(GM11*1000/HG11/HH11&gt;INDEX(Pflanzen!$X$5:$X$104,CZ11)/INDEX(Pflanzen!$I$5:$I$104,CZ11)*$HI$1,GM11*1000/HG11/HH11&lt;INDEX(Pflanzen!$X$5:$X$104,CZ11)/INDEX(Pflanzen!$I$5:$I$104,CZ11)/$HI$1),1,0)))</f>
        <v>0</v>
      </c>
      <c r="HK11" s="1184">
        <f t="shared" si="71"/>
        <v>3</v>
      </c>
      <c r="HL11" s="1184"/>
      <c r="HN11" s="1184"/>
      <c r="HO11" s="1193" t="str">
        <f>Tiere!B37</f>
        <v>Fresseraufzucht (80-210 kg), Standardfutter</v>
      </c>
      <c r="HP11" s="1184">
        <v>8</v>
      </c>
      <c r="HQ11" s="1194">
        <f>SUMIF('Nährstoffe und Lagerraum'!$BM$68:$BM$87,'Lagerhaltung (freiwillig)'!HP11,'Nährstoffe und Lagerraum'!$Z$68:$Z$87)+SUMIF('Nährstoffe und Lagerraum'!$BM$68:$BM$87,'Lagerhaltung (freiwillig)'!HP11,'Nährstoffe und Lagerraum'!$AA$68:$AA$87)</f>
        <v>0</v>
      </c>
      <c r="HR11" s="1184" cm="1">
        <f t="array" ref="HR11">INDEX(Tiere!$C$30:$C$114,'Lagerhaltung (freiwillig)'!HP11)</f>
        <v>1</v>
      </c>
      <c r="HS11" s="1184" cm="1">
        <f t="array" ref="HS11">INDEX(Tiere!$H$30:$H$114,'Lagerhaltung (freiwillig)'!HP11)</f>
        <v>7.47</v>
      </c>
      <c r="HT11" s="1184">
        <f t="shared" si="12"/>
        <v>0</v>
      </c>
      <c r="HU11" s="1184" cm="1">
        <f t="array" ref="HU11">INDEX(Tiere!$I$30:$I$114,'Lagerhaltung (freiwillig)'!HP11)</f>
        <v>2.87</v>
      </c>
      <c r="HV11" s="1184">
        <f t="shared" si="13"/>
        <v>0</v>
      </c>
      <c r="HW11" s="1184" cm="1">
        <f t="array" ref="HW11">INDEX(Tiere!$BC$30:$BC$114,'Lagerhaltung (freiwillig)'!HP11)</f>
        <v>10.8</v>
      </c>
      <c r="HX11" s="1184">
        <f t="shared" si="14"/>
        <v>0</v>
      </c>
      <c r="HY11" s="1184" cm="1">
        <f t="array" ref="HY11">INDEX(Tiere!$BD$30:$BD$114,'Lagerhaltung (freiwillig)'!HP11)</f>
        <v>5.96</v>
      </c>
      <c r="HZ11" s="1184">
        <f t="shared" si="15"/>
        <v>0</v>
      </c>
      <c r="IA11" s="1184"/>
      <c r="IB11" s="1184"/>
      <c r="IC11" s="1184"/>
      <c r="ID11" s="1184"/>
      <c r="IE11" s="1184"/>
      <c r="IF11" s="1184"/>
      <c r="IG11" s="1184"/>
      <c r="IH11" s="1184"/>
      <c r="II11" s="1184"/>
      <c r="IJ11" s="1184"/>
      <c r="IK11" s="1184"/>
      <c r="IL11" s="1184"/>
    </row>
    <row r="12" spans="1:247" ht="13.5" customHeight="1" x14ac:dyDescent="0.2">
      <c r="A12" s="2635"/>
      <c r="B12" s="2636"/>
      <c r="C12" s="2636"/>
      <c r="D12" s="2636"/>
      <c r="E12" s="2740"/>
      <c r="F12" s="3018"/>
      <c r="G12" s="3006" t="s">
        <v>1027</v>
      </c>
      <c r="H12" s="3007"/>
      <c r="I12" s="3018"/>
      <c r="J12" s="3050"/>
      <c r="K12" s="3018"/>
      <c r="L12" s="2848"/>
      <c r="M12" s="2848"/>
      <c r="N12" s="3048"/>
      <c r="O12" s="3001"/>
      <c r="P12" s="3064"/>
      <c r="Q12" s="3018"/>
      <c r="R12" s="2848"/>
      <c r="S12" s="3048"/>
      <c r="T12" s="3002"/>
      <c r="U12" s="1299"/>
      <c r="V12" s="1301"/>
      <c r="Y12" s="3101"/>
      <c r="Z12" s="3102"/>
      <c r="AA12" s="3102"/>
      <c r="AB12" s="3103"/>
      <c r="AC12" s="3069"/>
      <c r="AD12" s="3069"/>
      <c r="AE12" s="3012"/>
      <c r="AF12" s="3069"/>
      <c r="AG12" s="3069"/>
      <c r="AH12" s="3069"/>
      <c r="AI12" s="3012"/>
      <c r="AJ12" s="3069"/>
      <c r="AK12" s="3069"/>
      <c r="AL12" s="3014"/>
      <c r="AM12" s="3012"/>
      <c r="AN12" s="3069"/>
      <c r="AO12" s="1353" t="s">
        <v>8334</v>
      </c>
      <c r="AP12" s="1354"/>
      <c r="AQ12" s="1354"/>
      <c r="AR12" s="1355"/>
      <c r="AS12" s="3016"/>
      <c r="AT12" s="3014"/>
      <c r="AU12" s="3012"/>
      <c r="AV12" s="3085"/>
      <c r="AY12" s="1186" t="s">
        <v>1063</v>
      </c>
      <c r="AZ12" s="1186" t="s">
        <v>1078</v>
      </c>
      <c r="BA12" s="1186"/>
      <c r="BB12" s="1186"/>
      <c r="BC12" s="1186"/>
      <c r="BD12" s="1186"/>
      <c r="BE12" s="1342"/>
      <c r="BF12" s="1342"/>
      <c r="BG12" s="1342"/>
      <c r="BH12" s="1342"/>
      <c r="BI12" s="1342"/>
      <c r="BJ12" s="1342"/>
      <c r="BK12" s="1342"/>
      <c r="BL12" s="1342"/>
      <c r="BM12" s="1342"/>
      <c r="BN12" s="1342"/>
      <c r="BO12" s="1342"/>
      <c r="BQ12" s="1184"/>
      <c r="BR12" s="1184"/>
      <c r="BS12" s="1184"/>
      <c r="BT12" s="1184"/>
      <c r="BU12" s="1185"/>
      <c r="BV12" s="1185"/>
      <c r="BW12" s="1186" t="s">
        <v>451</v>
      </c>
      <c r="BX12" s="1186"/>
      <c r="BY12" s="1186"/>
      <c r="BZ12" s="1186"/>
      <c r="CA12" s="1184"/>
      <c r="CB12" s="1184"/>
      <c r="CC12" s="1186" t="s">
        <v>1029</v>
      </c>
      <c r="CD12" s="1184"/>
      <c r="CE12" s="1184"/>
      <c r="CF12" s="1186"/>
      <c r="CG12" s="1186"/>
      <c r="CH12" s="2994" t="s">
        <v>246</v>
      </c>
      <c r="CI12" s="2994"/>
      <c r="CJ12" s="2994"/>
      <c r="CK12" s="2994" t="s">
        <v>1029</v>
      </c>
      <c r="CL12" s="2994"/>
      <c r="CM12" s="2994"/>
      <c r="CN12" s="2994"/>
      <c r="CO12" s="2994"/>
      <c r="CP12" s="2994" t="s">
        <v>451</v>
      </c>
      <c r="CQ12" s="2994"/>
      <c r="CR12" s="2994"/>
      <c r="CS12" s="1283"/>
      <c r="CT12" s="1286"/>
      <c r="CU12" s="1992" t="s">
        <v>8684</v>
      </c>
      <c r="CV12" s="1992" t="s">
        <v>8685</v>
      </c>
      <c r="CW12" s="1186" t="s">
        <v>1053</v>
      </c>
      <c r="CX12" s="1184"/>
      <c r="CY12" s="320" t="str">
        <f>Pflanzen!A8</f>
        <v>Winterweizen A/B-Sorte</v>
      </c>
      <c r="CZ12" s="1200">
        <f>IFERROR(MATCH($CY12,Pflanzen!$C$5:$C$114,0),1)</f>
        <v>4</v>
      </c>
      <c r="DA12" s="320" cm="1">
        <f t="array" ref="DA12">INDEX(Pflanzen!$H$5:$H$114,'Lagerhaltung (freiwillig)'!CZ12)</f>
        <v>2</v>
      </c>
      <c r="DB12" s="1200">
        <f t="shared" si="32"/>
        <v>0</v>
      </c>
      <c r="DC12" s="1200">
        <f t="shared" si="32"/>
        <v>0</v>
      </c>
      <c r="DD12" s="1200">
        <f t="shared" si="32"/>
        <v>0</v>
      </c>
      <c r="DE12" s="1200">
        <f t="shared" si="32"/>
        <v>0</v>
      </c>
      <c r="DF12" s="1200">
        <f t="shared" si="32"/>
        <v>0</v>
      </c>
      <c r="DG12" s="1184">
        <f t="shared" si="32"/>
        <v>0</v>
      </c>
      <c r="DH12" s="1184">
        <f t="shared" si="32"/>
        <v>0</v>
      </c>
      <c r="DI12" s="1184">
        <f t="shared" si="32"/>
        <v>0</v>
      </c>
      <c r="DJ12" s="1184">
        <f t="shared" si="32"/>
        <v>0</v>
      </c>
      <c r="DK12" s="1184">
        <f t="shared" si="32"/>
        <v>0</v>
      </c>
      <c r="DL12" s="1184">
        <f t="shared" si="32"/>
        <v>0</v>
      </c>
      <c r="DM12" s="1184">
        <f t="shared" si="32"/>
        <v>0</v>
      </c>
      <c r="DN12" s="1184"/>
      <c r="DO12" s="1184">
        <f t="shared" si="33"/>
        <v>0</v>
      </c>
      <c r="DP12" s="1184">
        <f t="shared" si="33"/>
        <v>0</v>
      </c>
      <c r="DQ12" s="1184">
        <f t="shared" si="33"/>
        <v>0</v>
      </c>
      <c r="DR12" s="1184">
        <f t="shared" si="33"/>
        <v>0</v>
      </c>
      <c r="DS12" s="1184">
        <f t="shared" si="33"/>
        <v>0</v>
      </c>
      <c r="DT12" s="1184">
        <f t="shared" si="33"/>
        <v>0</v>
      </c>
      <c r="DU12" s="1184">
        <f t="shared" si="33"/>
        <v>0</v>
      </c>
      <c r="DV12" s="1184">
        <f t="shared" si="33"/>
        <v>0</v>
      </c>
      <c r="DW12" s="1184">
        <f t="shared" si="33"/>
        <v>0</v>
      </c>
      <c r="DX12" s="1184">
        <f t="shared" si="33"/>
        <v>0</v>
      </c>
      <c r="DY12" s="1184">
        <f t="shared" si="33"/>
        <v>0</v>
      </c>
      <c r="DZ12" s="1184">
        <f t="shared" si="33"/>
        <v>0</v>
      </c>
      <c r="EA12" s="1184"/>
      <c r="EB12" s="1184">
        <f t="shared" si="34"/>
        <v>0</v>
      </c>
      <c r="EC12" s="1184">
        <f t="shared" si="34"/>
        <v>0</v>
      </c>
      <c r="ED12" s="1184">
        <f t="shared" si="34"/>
        <v>0</v>
      </c>
      <c r="EE12" s="1184">
        <f t="shared" si="34"/>
        <v>0</v>
      </c>
      <c r="EF12" s="1184">
        <f t="shared" si="34"/>
        <v>0</v>
      </c>
      <c r="EG12" s="1184">
        <f t="shared" si="34"/>
        <v>0</v>
      </c>
      <c r="EH12" s="1184">
        <f t="shared" si="34"/>
        <v>0</v>
      </c>
      <c r="EI12" s="1184">
        <f t="shared" si="34"/>
        <v>0</v>
      </c>
      <c r="EJ12" s="1184">
        <f t="shared" si="34"/>
        <v>0</v>
      </c>
      <c r="EK12" s="1184">
        <f t="shared" si="34"/>
        <v>0</v>
      </c>
      <c r="EL12" s="1184">
        <f t="shared" si="34"/>
        <v>0</v>
      </c>
      <c r="EM12" s="1184">
        <f t="shared" si="34"/>
        <v>0</v>
      </c>
      <c r="EN12" s="1184"/>
      <c r="EO12" s="1184">
        <f t="shared" si="35"/>
        <v>0</v>
      </c>
      <c r="EP12" s="1184">
        <f t="shared" si="35"/>
        <v>0</v>
      </c>
      <c r="EQ12" s="1184">
        <f t="shared" si="35"/>
        <v>0</v>
      </c>
      <c r="ER12" s="1184">
        <f t="shared" si="35"/>
        <v>0</v>
      </c>
      <c r="ES12" s="1184">
        <f t="shared" si="35"/>
        <v>0</v>
      </c>
      <c r="ET12" s="1184">
        <f t="shared" si="35"/>
        <v>0</v>
      </c>
      <c r="EU12" s="1184">
        <f t="shared" si="35"/>
        <v>0</v>
      </c>
      <c r="EV12" s="1184">
        <f t="shared" si="35"/>
        <v>0</v>
      </c>
      <c r="EW12" s="1184">
        <f t="shared" si="35"/>
        <v>0</v>
      </c>
      <c r="EX12" s="1184">
        <f t="shared" si="35"/>
        <v>0</v>
      </c>
      <c r="EY12" s="1184">
        <f t="shared" si="35"/>
        <v>0</v>
      </c>
      <c r="EZ12" s="1184">
        <f t="shared" si="35"/>
        <v>0</v>
      </c>
      <c r="FA12" s="1184"/>
      <c r="FB12" s="1186">
        <f t="shared" si="51"/>
        <v>0</v>
      </c>
      <c r="FC12" s="1184">
        <f>FB12+DB12+EB12                 -         SUMIF('Nährstoffe und Lagerraum'!$AX$113:$AX$155,$CZ12,'Nährstoffe und Lagerraum'!$U$113:$U$155)/12  -$GD12*$HE12/12</f>
        <v>0</v>
      </c>
      <c r="FD12" s="1184">
        <f>FC12+DC12+EC12                 -         SUMIF('Nährstoffe und Lagerraum'!$AX$113:$AX$155,$CZ12,'Nährstoffe und Lagerraum'!$U$113:$U$155)/12  -$GD12*$HE12/12</f>
        <v>0</v>
      </c>
      <c r="FE12" s="1184">
        <f>FD12+DD12+ED12                 -         SUMIF('Nährstoffe und Lagerraum'!$AX$113:$AX$155,$CZ12,'Nährstoffe und Lagerraum'!$U$113:$U$155)/12  -$GD12*$HE12/12</f>
        <v>0</v>
      </c>
      <c r="FF12" s="1184">
        <f>FE12+DE12+EE12                 -         SUMIF('Nährstoffe und Lagerraum'!$AX$113:$AX$155,$CZ12,'Nährstoffe und Lagerraum'!$U$113:$U$155)/12  -$GD12*$HE12/12</f>
        <v>0</v>
      </c>
      <c r="FG12" s="1184">
        <f>FF12+DF12+EF12                 -         SUMIF('Nährstoffe und Lagerraum'!$AX$113:$AX$155,$CZ12,'Nährstoffe und Lagerraum'!$U$113:$U$155)/12  -$GD12*$HE12/12</f>
        <v>0</v>
      </c>
      <c r="FH12" s="1184">
        <f>FG12+DG12+EG12                 -         SUMIF('Nährstoffe und Lagerraum'!$AX$113:$AX$155,$CZ12,'Nährstoffe und Lagerraum'!$U$113:$U$155)/12  -$GD12*$HE12/12</f>
        <v>0</v>
      </c>
      <c r="FI12" s="1184">
        <f>FH12+DH12+EH12                 -         SUMIF('Nährstoffe und Lagerraum'!$AX$113:$AX$155,$CZ12,'Nährstoffe und Lagerraum'!$U$113:$U$155)/12  -$GD12*$HE12/12</f>
        <v>0</v>
      </c>
      <c r="FJ12" s="1184">
        <f>FI12+DI12+EI12                 -         SUMIF('Nährstoffe und Lagerraum'!$AX$113:$AX$155,$CZ12,'Nährstoffe und Lagerraum'!$U$113:$U$155)/12  -$GD12*$HE12/12</f>
        <v>0</v>
      </c>
      <c r="FK12" s="1184">
        <f>FJ12+DJ12+EJ12                 -         SUMIF('Nährstoffe und Lagerraum'!$AX$113:$AX$155,$CZ12,'Nährstoffe und Lagerraum'!$U$113:$U$155)/12  -$GD12*$HE12/12</f>
        <v>0</v>
      </c>
      <c r="FL12" s="1184">
        <f>FK12+DK12+EK12                 -         SUMIF('Nährstoffe und Lagerraum'!$AX$113:$AX$155,$CZ12,'Nährstoffe und Lagerraum'!$U$113:$U$155)/12  -$GD12*$HE12/12</f>
        <v>0</v>
      </c>
      <c r="FM12" s="1184">
        <f>FL12+DL12+EL12                 -         SUMIF('Nährstoffe und Lagerraum'!$AX$113:$AX$155,$CZ12,'Nährstoffe und Lagerraum'!$U$113:$U$155)/12  -$GD12*$HE12/12</f>
        <v>0</v>
      </c>
      <c r="FN12" s="1184">
        <f>FM12+DM12+EM12                 -         SUMIF('Nährstoffe und Lagerraum'!$AX$113:$AX$155,$CZ12,'Nährstoffe und Lagerraum'!$U$113:$U$155)/12  -$GD12*$HE12/12</f>
        <v>0</v>
      </c>
      <c r="FO12" s="1184"/>
      <c r="FP12" s="1186">
        <f t="shared" si="52"/>
        <v>0</v>
      </c>
      <c r="FQ12" s="1184">
        <f>FP12+DO12+EO12                 -         SUMIF('Nährstoffe und Lagerraum'!$AX$113:$AX$155,$CZ12,'Nährstoffe und Lagerraum'!$V$113:$V$155)/12  -$GE12*$HE12/12</f>
        <v>0</v>
      </c>
      <c r="FR12" s="1184">
        <f>FQ12+DP12+EP12                 -         SUMIF('Nährstoffe und Lagerraum'!$AX$113:$AX$155,$CZ12,'Nährstoffe und Lagerraum'!$V$113:$V$155)/12  -$GE12*$HE12/12</f>
        <v>0</v>
      </c>
      <c r="FS12" s="1184">
        <f>FR12+DQ12+EQ12                 -         SUMIF('Nährstoffe und Lagerraum'!$AX$113:$AX$155,$CZ12,'Nährstoffe und Lagerraum'!$V$113:$V$155)/12  -$GE12*$HE12/12</f>
        <v>0</v>
      </c>
      <c r="FT12" s="1184">
        <f>FS12+DR12+ER12                 -         SUMIF('Nährstoffe und Lagerraum'!$AX$113:$AX$155,$CZ12,'Nährstoffe und Lagerraum'!$V$113:$V$155)/12  -$GE12*$HE12/12</f>
        <v>0</v>
      </c>
      <c r="FU12" s="1184">
        <f>FT12+DS12+ES12                 -         SUMIF('Nährstoffe und Lagerraum'!$AX$113:$AX$155,$CZ12,'Nährstoffe und Lagerraum'!$V$113:$V$155)/12  -$GE12*$HE12/12</f>
        <v>0</v>
      </c>
      <c r="FV12" s="1184">
        <f>FU12+DT12+ET12                 -         SUMIF('Nährstoffe und Lagerraum'!$AX$113:$AX$155,$CZ12,'Nährstoffe und Lagerraum'!$V$113:$V$155)/12  -$GE12*$HE12/12</f>
        <v>0</v>
      </c>
      <c r="FW12" s="1184">
        <f>FV12+DU12+EU12                 -         SUMIF('Nährstoffe und Lagerraum'!$AX$113:$AX$155,$CZ12,'Nährstoffe und Lagerraum'!$V$113:$V$155)/12  -$GE12*$HE12/12</f>
        <v>0</v>
      </c>
      <c r="FX12" s="1184">
        <f>FW12+DV12+EV12                 -         SUMIF('Nährstoffe und Lagerraum'!$AX$113:$AX$155,$CZ12,'Nährstoffe und Lagerraum'!$V$113:$V$155)/12  -$GE12*$HE12/12</f>
        <v>0</v>
      </c>
      <c r="FY12" s="1184">
        <f>FX12+DW12+EW12                 -         SUMIF('Nährstoffe und Lagerraum'!$AX$113:$AX$155,$CZ12,'Nährstoffe und Lagerraum'!$V$113:$V$155)/12  -$GE12*$HE12/12</f>
        <v>0</v>
      </c>
      <c r="FZ12" s="1184">
        <f>FY12+DX12+EX12                 -         SUMIF('Nährstoffe und Lagerraum'!$AX$113:$AX$155,$CZ12,'Nährstoffe und Lagerraum'!$V$113:$V$155)/12  -$GE12*$HE12/12</f>
        <v>0</v>
      </c>
      <c r="GA12" s="1184">
        <f>FZ12+DY12+EY12                 -         SUMIF('Nährstoffe und Lagerraum'!$AX$113:$AX$155,$CZ12,'Nährstoffe und Lagerraum'!$V$113:$V$155)/12  -$GE12*$HE12/12</f>
        <v>0</v>
      </c>
      <c r="GB12" s="1184">
        <f>GA12+DZ12+EZ12                 -         SUMIF('Nährstoffe und Lagerraum'!$AX$113:$AX$155,$CZ12,'Nährstoffe und Lagerraum'!$V$113:$V$155)/12  -$GE12*$HE12/12</f>
        <v>0</v>
      </c>
      <c r="GC12" s="1184"/>
      <c r="GD12" s="1184">
        <f>SUMIFS($CI$14:$CI$68,$BR$14:$BR$68,$CZ12)+SUMIFS($CM$14:$CM$68,$BR$14:$BR$68,$CZ12)+SUMIFS($CR$14:$CR$68,$BR$14:$BR$68,$CZ12)  -         SUMIF('Nährstoffe und Lagerraum'!$AX$113:$AX$155,$CZ12,'Nährstoffe und Lagerraum'!$U$113:$U$155)</f>
        <v>0</v>
      </c>
      <c r="GE12" s="1184">
        <f>SUMIFS($CJ$14:$CJ$68,$BR$14:$BR$68,$CZ12)+SUMIFS($CO$14:$CO$68,$BR$14:$BR$68,$CZ12)+SUMIFS($CT$14:$CT$68,$BR$14:$BR$68,$CZ12)  -         SUMIF('Nährstoffe und Lagerraum'!$AX$113:$AX$155,$CZ12,'Nährstoffe und Lagerraum'!$V$113:$V$155)</f>
        <v>0</v>
      </c>
      <c r="GF12" s="1184"/>
      <c r="GG12" s="1184"/>
      <c r="GH12" s="1184">
        <f>SUMIF('Nährstoffe und Lagerraum'!$AX$113:$AX$155,$CZ12,'Nährstoffe und Lagerraum'!$U$113:$U$155)</f>
        <v>0</v>
      </c>
      <c r="GI12" s="1184">
        <f>SUMIF('Nährstoffe und Lagerraum'!$AX$113:$AX$155,$CZ12,'Nährstoffe und Lagerraum'!$V$113:$V$155)</f>
        <v>0</v>
      </c>
      <c r="GJ12" s="1184">
        <f t="shared" si="53"/>
        <v>0</v>
      </c>
      <c r="GK12" s="1184">
        <f t="shared" si="54"/>
        <v>0</v>
      </c>
      <c r="GL12" s="1184">
        <f t="shared" si="55"/>
        <v>0</v>
      </c>
      <c r="GM12" s="1184">
        <f t="shared" si="56"/>
        <v>0</v>
      </c>
      <c r="GN12" s="1184">
        <f t="shared" si="57"/>
        <v>0</v>
      </c>
      <c r="GO12" s="1184" cm="1">
        <f t="array" ref="GO12">IF(GN12=0,0,(IFERROR(SUMPRODUCT($J$14:$J$68,$CH$14:$CH$68,($BR$14:$BR$68=CZ12)*1)+SUMPRODUCT($L$14:$L$68,$M$14:$M$68,$CK$14:$CK$68,($BR$14:$BR$68=CZ12)*1,($BT$14:$BT$68=FALSE)*1)/10+SUMPRODUCT($R$14:$R$68,$CP$14:$CP$68,($BR$14:$BR$68=CZ12)*1),0))/GN12)</f>
        <v>0</v>
      </c>
      <c r="GP12" s="1184">
        <f t="shared" si="58"/>
        <v>0</v>
      </c>
      <c r="GQ12" s="1184">
        <f>(SUMIF('Nährstoffe und Lagerraum'!$AX$113:$AX$130,'Lagerhaltung (freiwillig)'!CZ12,'Nährstoffe und Lagerraum'!$D$113:$D$130)+SUMIF('Nährstoffe und Lagerraum'!$AX$137:$AX$155,'Lagerhaltung (freiwillig)'!CZ12,'Nährstoffe und Lagerraum'!$E$137:$E$155))</f>
        <v>0</v>
      </c>
      <c r="GR12" s="1184" cm="1">
        <f t="array" ref="GR12">IF(GQ12=0,0,(IFERROR(SUMPRODUCT('Nährstoffe und Lagerraum'!$D$113:$D$130,'Nährstoffe und Lagerraum'!$F$113:$F$130,('Nährstoffe und Lagerraum'!$AX$113:$AX$130='Lagerhaltung (freiwillig)'!CZ12)*1)+SUMPRODUCT('Nährstoffe und Lagerraum'!$E$137:$E$155,'Nährstoffe und Lagerraum'!$F$137:$F$155,('Nährstoffe und Lagerraum'!$AX$137:$AX$155='Lagerhaltung (freiwillig)'!CZ12)*1),0))/GQ12)</f>
        <v>0</v>
      </c>
      <c r="GS12" s="1184">
        <f t="shared" si="59"/>
        <v>0</v>
      </c>
      <c r="GT12" s="1184">
        <f t="shared" si="60"/>
        <v>0</v>
      </c>
      <c r="GU12" s="1184">
        <f t="shared" si="61"/>
        <v>0</v>
      </c>
      <c r="GV12" s="1184">
        <f t="shared" si="62"/>
        <v>0</v>
      </c>
      <c r="GW12" s="1186" t="str">
        <f t="shared" si="41"/>
        <v xml:space="preserve"> </v>
      </c>
      <c r="GX12" s="1186" t="str">
        <f t="shared" si="41"/>
        <v xml:space="preserve"> </v>
      </c>
      <c r="GY12" s="1195">
        <f t="shared" si="63"/>
        <v>0</v>
      </c>
      <c r="GZ12" s="1184">
        <f t="shared" si="64"/>
        <v>0</v>
      </c>
      <c r="HA12" s="1184" t="str">
        <f t="shared" si="44"/>
        <v>a</v>
      </c>
      <c r="HB12" s="1196">
        <f t="shared" si="65"/>
        <v>0</v>
      </c>
      <c r="HC12" s="1196">
        <f t="shared" si="66"/>
        <v>0</v>
      </c>
      <c r="HD12" s="1196"/>
      <c r="HE12" s="1187">
        <f t="shared" si="67"/>
        <v>0</v>
      </c>
      <c r="HF12" s="1196">
        <f t="shared" si="68"/>
        <v>0</v>
      </c>
      <c r="HG12" s="1196">
        <f t="shared" si="69"/>
        <v>0</v>
      </c>
      <c r="HH12" s="1196">
        <f t="shared" si="70"/>
        <v>0</v>
      </c>
      <c r="HI12" s="1328" cm="1">
        <f t="array" ref="HI12">IF(AND(HG12=0,GL12=0),0,IF(HG12=0,1,IF(OR(GL12*1000/HG12/HH12&gt;INDEX(Pflanzen!$W$5:$W$104,CZ12)/INDEX(Pflanzen!$I$5:$I$104,CZ12)*$HI$1,GL12*1000/HG12/HH12&lt;INDEX(Pflanzen!$W$5:$W$104,CZ12)/INDEX(Pflanzen!$I$5:$I$104,CZ12)/$HI$1),1,0)))</f>
        <v>0</v>
      </c>
      <c r="HJ12" s="1328" cm="1">
        <f t="array" ref="HJ12">IF(AND(GM12=0,HG12=0),0,IF(HG12=0,1,IF(OR(GM12*1000/HG12/HH12&gt;INDEX(Pflanzen!$X$5:$X$104,CZ12)/INDEX(Pflanzen!$I$5:$I$104,CZ12)*$HI$1,GM12*1000/HG12/HH12&lt;INDEX(Pflanzen!$X$5:$X$104,CZ12)/INDEX(Pflanzen!$I$5:$I$104,CZ12)/$HI$1),1,0)))</f>
        <v>0</v>
      </c>
      <c r="HK12" s="1184">
        <f t="shared" si="71"/>
        <v>3</v>
      </c>
      <c r="HL12" s="1184"/>
      <c r="HN12" s="1184"/>
      <c r="HO12" s="1193" t="str">
        <f>Tiere!B38</f>
        <v>Fresseraufzucht (80-210 kg), N-/P-reduziert</v>
      </c>
      <c r="HP12" s="1184">
        <v>9</v>
      </c>
      <c r="HQ12" s="1194">
        <f>SUMIF('Nährstoffe und Lagerraum'!$BM$68:$BM$87,'Lagerhaltung (freiwillig)'!HP12,'Nährstoffe und Lagerraum'!$Z$68:$Z$87)+SUMIF('Nährstoffe und Lagerraum'!$BM$68:$BM$87,'Lagerhaltung (freiwillig)'!HP12,'Nährstoffe und Lagerraum'!$AA$68:$AA$87)</f>
        <v>0</v>
      </c>
      <c r="HR12" s="1184" cm="1">
        <f t="array" ref="HR12">INDEX(Tiere!$C$30:$C$114,'Lagerhaltung (freiwillig)'!HP12)</f>
        <v>1</v>
      </c>
      <c r="HS12" s="1184" cm="1">
        <f t="array" ref="HS12">INDEX(Tiere!$H$30:$H$114,'Lagerhaltung (freiwillig)'!HP12)</f>
        <v>7.47</v>
      </c>
      <c r="HT12" s="1184">
        <f t="shared" si="12"/>
        <v>0</v>
      </c>
      <c r="HU12" s="1184" cm="1">
        <f t="array" ref="HU12">INDEX(Tiere!$I$30:$I$114,'Lagerhaltung (freiwillig)'!HP12)</f>
        <v>2.87</v>
      </c>
      <c r="HV12" s="1184">
        <f t="shared" si="13"/>
        <v>0</v>
      </c>
      <c r="HW12" s="1184" cm="1">
        <f t="array" ref="HW12">INDEX(Tiere!$BC$30:$BC$114,'Lagerhaltung (freiwillig)'!HP12)</f>
        <v>10.8</v>
      </c>
      <c r="HX12" s="1184">
        <f t="shared" si="14"/>
        <v>0</v>
      </c>
      <c r="HY12" s="1184" cm="1">
        <f t="array" ref="HY12">INDEX(Tiere!$BD$30:$BD$114,'Lagerhaltung (freiwillig)'!HP12)</f>
        <v>5.96</v>
      </c>
      <c r="HZ12" s="1184">
        <f t="shared" si="15"/>
        <v>0</v>
      </c>
      <c r="IA12" s="1184"/>
      <c r="IB12" s="1184"/>
      <c r="IC12" s="1184"/>
      <c r="ID12" s="1184"/>
      <c r="IE12" s="1184"/>
      <c r="IF12" s="1184"/>
      <c r="IG12" s="1184"/>
      <c r="IH12" s="1184"/>
      <c r="II12" s="1184"/>
      <c r="IJ12" s="1184"/>
      <c r="IK12" s="1184"/>
      <c r="IL12" s="1184"/>
    </row>
    <row r="13" spans="1:247" ht="12.75" customHeight="1" thickBot="1" x14ac:dyDescent="0.25">
      <c r="A13" s="3031"/>
      <c r="B13" s="3032"/>
      <c r="C13" s="3032"/>
      <c r="D13" s="3032"/>
      <c r="E13" s="3033"/>
      <c r="F13" s="3019"/>
      <c r="G13" s="3034" t="s">
        <v>437</v>
      </c>
      <c r="H13" s="3035"/>
      <c r="I13" s="3019"/>
      <c r="J13" s="3051"/>
      <c r="K13" s="3019"/>
      <c r="L13" s="2849"/>
      <c r="M13" s="2849"/>
      <c r="N13" s="1160" t="s">
        <v>8269</v>
      </c>
      <c r="O13" s="2187" t="s">
        <v>943</v>
      </c>
      <c r="P13" s="3065"/>
      <c r="Q13" s="3019"/>
      <c r="R13" s="2849"/>
      <c r="S13" s="2179" t="s">
        <v>8269</v>
      </c>
      <c r="T13" s="1284" t="s">
        <v>943</v>
      </c>
      <c r="U13" s="1299"/>
      <c r="V13" s="1301"/>
      <c r="Y13" s="1554" t="str" cm="1">
        <f t="array" ref="Y13">IFERROR(INDEX($CY$4:$CY$165,AY13),"")</f>
        <v/>
      </c>
      <c r="Z13" s="1555"/>
      <c r="AA13" s="1555"/>
      <c r="AB13" s="1555"/>
      <c r="AC13" s="1454" t="str" cm="1">
        <f t="array" ref="AC13">IFERROR(INDEX($GN$4:$GN$165,AY13),"")</f>
        <v/>
      </c>
      <c r="AD13" s="1454" t="str" cm="1">
        <f t="array" ref="AD13">IFERROR(INDEX($GO$4:$GO$165,AY13),"")</f>
        <v/>
      </c>
      <c r="AE13" s="1454" t="str" cm="1">
        <f t="array" ref="AE13">IFERROR(INDEX($GJ$4:$GJ$165,AY13),"")</f>
        <v/>
      </c>
      <c r="AF13" s="1454" t="str" cm="1">
        <f t="array" ref="AF13">IFERROR(INDEX($GK$4:$GK$165,AY13),"")</f>
        <v/>
      </c>
      <c r="AG13" s="1454" t="str" cm="1">
        <f t="array" ref="AG13">IFERROR(INDEX($GQ$4:$GQ$165,AY13),"")</f>
        <v/>
      </c>
      <c r="AH13" s="1454" t="str" cm="1">
        <f t="array" ref="AH13">IFERROR(INDEX($GR$4:$GR$165,AY13),"")</f>
        <v/>
      </c>
      <c r="AI13" s="1454" t="str" cm="1">
        <f t="array" ref="AI13">IFERROR(INDEX($GH$4:$GH$165,AY13),"")</f>
        <v/>
      </c>
      <c r="AJ13" s="1454" t="str" cm="1">
        <f t="array" ref="AJ13">IFERROR(INDEX($GI$4:$GI$165,AY13),"")</f>
        <v/>
      </c>
      <c r="AK13" s="1454" t="str" cm="1">
        <f t="array" ref="AK13">IFERROR(INDEX($GU$4:$GU$165,AY13),"")</f>
        <v/>
      </c>
      <c r="AL13" s="1455" t="str" cm="1">
        <f t="array" ref="AL13">IFERROR(INDEX($GV$4:$GV$165,AY13),"")</f>
        <v/>
      </c>
      <c r="AM13" s="1454" t="str" cm="1">
        <f t="array" ref="AM13">IFERROR(INDEX($GD$4:$GD$165,AY13),"")</f>
        <v/>
      </c>
      <c r="AN13" s="1454" t="str" cm="1">
        <f t="array" ref="AN13">IFERROR(INDEX($GE$4:$GE$165,AY13),"")</f>
        <v/>
      </c>
      <c r="AO13" s="1456" t="str" cm="1">
        <f t="array" ref="AO13">IFERROR(INDEX($GW$4:$GW$165,AY13),"")</f>
        <v/>
      </c>
      <c r="AP13" s="1456" t="str" cm="1">
        <f t="array" ref="AP13">IFERROR(INDEX($GZ$4:$GZ$165,AY13),"")</f>
        <v/>
      </c>
      <c r="AQ13" s="1457"/>
      <c r="AR13" s="1454" t="str" cm="1">
        <f t="array" ref="AR13">IFERROR(INDEX($HF$4:$HF$165,AY13),"")</f>
        <v/>
      </c>
      <c r="AS13" s="1454" t="str" cm="1">
        <f t="array" ref="AS13">IFERROR(INDEX($HG$4:$HG$165,AY13),"")</f>
        <v/>
      </c>
      <c r="AT13" s="1454" t="str" cm="1">
        <f t="array" ref="AT13">IFERROR(INDEX($HH$4:$HH$165,AY13),"")</f>
        <v/>
      </c>
      <c r="AU13" s="1454" t="str" cm="1">
        <f t="array" ref="AU13">IFERROR(INDEX($GL$4:$GL$165,AY13),"")</f>
        <v/>
      </c>
      <c r="AV13" s="1454" t="str" cm="1">
        <f t="array" ref="AV13">IFERROR(INDEX($GM$4:$GM$165,AY13),"")</f>
        <v/>
      </c>
      <c r="AY13" s="1184" t="str" cm="1">
        <f t="array" ref="AY13">IFERROR(SMALL(IF($HK$4:$HK$165=1,ROW($HK$4:$HK$165)-3),ROW(W1)),IFERROR(SMALL(IF($HK$4:$HK$165=2,ROW($HK$4:$HK$165)-3),ROW(W1)-COUNTIF($HK$4:$HK$165,1)),IFERROR(SMALL(IF($HK$4:$HK$165=0,ROW($HK$4:$HK$165)-3),ROW(W1)-COUNTIF($HK$4:$HK$165,1)-COUNTIF($HK$4:$HK$165,2)),"")))</f>
        <v/>
      </c>
      <c r="AZ13" s="1184" t="str">
        <f t="shared" ref="AZ13:AZ36" si="72">IF(AQ13="","a",AQ13)</f>
        <v>a</v>
      </c>
      <c r="BA13" s="1194" t="e">
        <f t="shared" ref="BA13:BA36" si="73">IF(AK13=" ",0,AK13-AQ13)</f>
        <v>#VALUE!</v>
      </c>
      <c r="BB13" s="1194" cm="1">
        <f t="array" ref="BB13">IFERROR(INDEX($HK$4:$HK$165,AY13),0)</f>
        <v>0</v>
      </c>
      <c r="BC13" s="1194">
        <f t="shared" ref="BC13:BC36" si="74">IFERROR(SUM(INDEX($HI$4:$HI$165,AY13),INDEX($HJ$4:$HJ$165,AY13)),0)</f>
        <v>0</v>
      </c>
      <c r="BD13" s="1194"/>
      <c r="BE13" s="1343"/>
      <c r="BF13" s="1343"/>
      <c r="BG13" s="1343"/>
      <c r="BH13" s="1343"/>
      <c r="BI13" s="1343"/>
      <c r="BJ13" s="1343"/>
      <c r="BK13" s="1343"/>
      <c r="BL13" s="1343"/>
      <c r="BM13" s="1343"/>
      <c r="BN13" s="1343"/>
      <c r="BO13" s="1343"/>
      <c r="BQ13" s="1186" t="s">
        <v>8285</v>
      </c>
      <c r="BR13" s="1186" t="s">
        <v>8284</v>
      </c>
      <c r="BS13" s="1186"/>
      <c r="BT13" s="1186" t="s">
        <v>8288</v>
      </c>
      <c r="BU13" s="1198"/>
      <c r="BV13" s="1198"/>
      <c r="BW13" s="1186" t="s">
        <v>994</v>
      </c>
      <c r="BX13" s="1186" t="s">
        <v>1037</v>
      </c>
      <c r="BY13" s="1186" t="s">
        <v>1038</v>
      </c>
      <c r="BZ13" s="1186" t="s">
        <v>8197</v>
      </c>
      <c r="CA13" s="1186" t="s">
        <v>1025</v>
      </c>
      <c r="CB13" s="1186" t="s">
        <v>1026</v>
      </c>
      <c r="CC13" s="1186" t="s">
        <v>994</v>
      </c>
      <c r="CD13" s="1186" t="s">
        <v>1055</v>
      </c>
      <c r="CE13" s="1186" t="s">
        <v>1056</v>
      </c>
      <c r="CF13" s="1186" t="s">
        <v>1035</v>
      </c>
      <c r="CG13" s="1186" t="s">
        <v>8323</v>
      </c>
      <c r="CH13" s="1186" t="s">
        <v>276</v>
      </c>
      <c r="CI13" s="1296" t="s">
        <v>1031</v>
      </c>
      <c r="CJ13" s="1295" t="s">
        <v>8270</v>
      </c>
      <c r="CK13" s="1186" t="s">
        <v>276</v>
      </c>
      <c r="CL13" s="1296" t="s">
        <v>1030</v>
      </c>
      <c r="CM13" s="1296" t="s">
        <v>1088</v>
      </c>
      <c r="CN13" s="1295" t="s">
        <v>8272</v>
      </c>
      <c r="CO13" s="1295" t="s">
        <v>8271</v>
      </c>
      <c r="CP13" s="1186" t="s">
        <v>276</v>
      </c>
      <c r="CQ13" s="1321" t="s">
        <v>1030</v>
      </c>
      <c r="CR13" s="1321" t="s">
        <v>1088</v>
      </c>
      <c r="CS13" s="1295" t="s">
        <v>8272</v>
      </c>
      <c r="CT13" s="1295" t="s">
        <v>8271</v>
      </c>
      <c r="CU13" s="1209"/>
      <c r="CV13" s="1186"/>
      <c r="CW13" s="1186" t="s">
        <v>1054</v>
      </c>
      <c r="CX13" s="1184"/>
      <c r="CY13" s="320" t="str">
        <f>Pflanzen!A9</f>
        <v>Winterweizen E-Sorte</v>
      </c>
      <c r="CZ13" s="1200">
        <f>IFERROR(MATCH($CY13,Pflanzen!$C$5:$C$114,0),1)</f>
        <v>5</v>
      </c>
      <c r="DA13" s="320" cm="1">
        <f t="array" ref="DA13">INDEX(Pflanzen!$H$5:$H$114,'Lagerhaltung (freiwillig)'!CZ13)</f>
        <v>2</v>
      </c>
      <c r="DB13" s="1200">
        <f t="shared" si="32"/>
        <v>0</v>
      </c>
      <c r="DC13" s="1200">
        <f t="shared" si="32"/>
        <v>0</v>
      </c>
      <c r="DD13" s="1200">
        <f t="shared" si="32"/>
        <v>0</v>
      </c>
      <c r="DE13" s="1200">
        <f t="shared" si="32"/>
        <v>0</v>
      </c>
      <c r="DF13" s="1200">
        <f t="shared" si="32"/>
        <v>0</v>
      </c>
      <c r="DG13" s="1184">
        <f t="shared" si="32"/>
        <v>0</v>
      </c>
      <c r="DH13" s="1184">
        <f t="shared" si="32"/>
        <v>0</v>
      </c>
      <c r="DI13" s="1184">
        <f t="shared" si="32"/>
        <v>0</v>
      </c>
      <c r="DJ13" s="1184">
        <f t="shared" si="32"/>
        <v>0</v>
      </c>
      <c r="DK13" s="1184">
        <f t="shared" si="32"/>
        <v>0</v>
      </c>
      <c r="DL13" s="1184">
        <f t="shared" si="32"/>
        <v>0</v>
      </c>
      <c r="DM13" s="1184">
        <f t="shared" si="32"/>
        <v>0</v>
      </c>
      <c r="DN13" s="1184"/>
      <c r="DO13" s="1184">
        <f t="shared" si="33"/>
        <v>0</v>
      </c>
      <c r="DP13" s="1184">
        <f t="shared" si="33"/>
        <v>0</v>
      </c>
      <c r="DQ13" s="1184">
        <f t="shared" si="33"/>
        <v>0</v>
      </c>
      <c r="DR13" s="1184">
        <f t="shared" si="33"/>
        <v>0</v>
      </c>
      <c r="DS13" s="1184">
        <f t="shared" si="33"/>
        <v>0</v>
      </c>
      <c r="DT13" s="1184">
        <f t="shared" si="33"/>
        <v>0</v>
      </c>
      <c r="DU13" s="1184">
        <f t="shared" si="33"/>
        <v>0</v>
      </c>
      <c r="DV13" s="1184">
        <f t="shared" si="33"/>
        <v>0</v>
      </c>
      <c r="DW13" s="1184">
        <f t="shared" si="33"/>
        <v>0</v>
      </c>
      <c r="DX13" s="1184">
        <f t="shared" si="33"/>
        <v>0</v>
      </c>
      <c r="DY13" s="1184">
        <f t="shared" si="33"/>
        <v>0</v>
      </c>
      <c r="DZ13" s="1184">
        <f t="shared" si="33"/>
        <v>0</v>
      </c>
      <c r="EA13" s="1184"/>
      <c r="EB13" s="1184">
        <f t="shared" si="34"/>
        <v>0</v>
      </c>
      <c r="EC13" s="1184">
        <f t="shared" si="34"/>
        <v>0</v>
      </c>
      <c r="ED13" s="1184">
        <f t="shared" si="34"/>
        <v>0</v>
      </c>
      <c r="EE13" s="1184">
        <f t="shared" si="34"/>
        <v>0</v>
      </c>
      <c r="EF13" s="1184">
        <f t="shared" si="34"/>
        <v>0</v>
      </c>
      <c r="EG13" s="1184">
        <f t="shared" si="34"/>
        <v>0</v>
      </c>
      <c r="EH13" s="1184">
        <f t="shared" si="34"/>
        <v>0</v>
      </c>
      <c r="EI13" s="1184">
        <f t="shared" si="34"/>
        <v>0</v>
      </c>
      <c r="EJ13" s="1184">
        <f t="shared" si="34"/>
        <v>0</v>
      </c>
      <c r="EK13" s="1184">
        <f t="shared" si="34"/>
        <v>0</v>
      </c>
      <c r="EL13" s="1184">
        <f t="shared" si="34"/>
        <v>0</v>
      </c>
      <c r="EM13" s="1184">
        <f t="shared" si="34"/>
        <v>0</v>
      </c>
      <c r="EN13" s="1184"/>
      <c r="EO13" s="1184">
        <f t="shared" si="35"/>
        <v>0</v>
      </c>
      <c r="EP13" s="1184">
        <f t="shared" si="35"/>
        <v>0</v>
      </c>
      <c r="EQ13" s="1184">
        <f t="shared" si="35"/>
        <v>0</v>
      </c>
      <c r="ER13" s="1184">
        <f t="shared" si="35"/>
        <v>0</v>
      </c>
      <c r="ES13" s="1184">
        <f t="shared" si="35"/>
        <v>0</v>
      </c>
      <c r="ET13" s="1184">
        <f t="shared" si="35"/>
        <v>0</v>
      </c>
      <c r="EU13" s="1184">
        <f t="shared" si="35"/>
        <v>0</v>
      </c>
      <c r="EV13" s="1184">
        <f t="shared" si="35"/>
        <v>0</v>
      </c>
      <c r="EW13" s="1184">
        <f t="shared" si="35"/>
        <v>0</v>
      </c>
      <c r="EX13" s="1184">
        <f t="shared" si="35"/>
        <v>0</v>
      </c>
      <c r="EY13" s="1184">
        <f t="shared" si="35"/>
        <v>0</v>
      </c>
      <c r="EZ13" s="1184">
        <f t="shared" si="35"/>
        <v>0</v>
      </c>
      <c r="FA13" s="1184"/>
      <c r="FB13" s="1186">
        <f t="shared" si="51"/>
        <v>0</v>
      </c>
      <c r="FC13" s="1184">
        <f>FB13+DB13+EB13                 -         SUMIF('Nährstoffe und Lagerraum'!$AX$113:$AX$155,$CZ13,'Nährstoffe und Lagerraum'!$U$113:$U$155)/12  -$GD13*$HE13/12</f>
        <v>0</v>
      </c>
      <c r="FD13" s="1184">
        <f>FC13+DC13+EC13                 -         SUMIF('Nährstoffe und Lagerraum'!$AX$113:$AX$155,$CZ13,'Nährstoffe und Lagerraum'!$U$113:$U$155)/12  -$GD13*$HE13/12</f>
        <v>0</v>
      </c>
      <c r="FE13" s="1184">
        <f>FD13+DD13+ED13                 -         SUMIF('Nährstoffe und Lagerraum'!$AX$113:$AX$155,$CZ13,'Nährstoffe und Lagerraum'!$U$113:$U$155)/12  -$GD13*$HE13/12</f>
        <v>0</v>
      </c>
      <c r="FF13" s="1184">
        <f>FE13+DE13+EE13                 -         SUMIF('Nährstoffe und Lagerraum'!$AX$113:$AX$155,$CZ13,'Nährstoffe und Lagerraum'!$U$113:$U$155)/12  -$GD13*$HE13/12</f>
        <v>0</v>
      </c>
      <c r="FG13" s="1184">
        <f>FF13+DF13+EF13                 -         SUMIF('Nährstoffe und Lagerraum'!$AX$113:$AX$155,$CZ13,'Nährstoffe und Lagerraum'!$U$113:$U$155)/12  -$GD13*$HE13/12</f>
        <v>0</v>
      </c>
      <c r="FH13" s="1184">
        <f>FG13+DG13+EG13                 -         SUMIF('Nährstoffe und Lagerraum'!$AX$113:$AX$155,$CZ13,'Nährstoffe und Lagerraum'!$U$113:$U$155)/12  -$GD13*$HE13/12</f>
        <v>0</v>
      </c>
      <c r="FI13" s="1184">
        <f>FH13+DH13+EH13                 -         SUMIF('Nährstoffe und Lagerraum'!$AX$113:$AX$155,$CZ13,'Nährstoffe und Lagerraum'!$U$113:$U$155)/12  -$GD13*$HE13/12</f>
        <v>0</v>
      </c>
      <c r="FJ13" s="1184">
        <f>FI13+DI13+EI13                 -         SUMIF('Nährstoffe und Lagerraum'!$AX$113:$AX$155,$CZ13,'Nährstoffe und Lagerraum'!$U$113:$U$155)/12  -$GD13*$HE13/12</f>
        <v>0</v>
      </c>
      <c r="FK13" s="1184">
        <f>FJ13+DJ13+EJ13                 -         SUMIF('Nährstoffe und Lagerraum'!$AX$113:$AX$155,$CZ13,'Nährstoffe und Lagerraum'!$U$113:$U$155)/12  -$GD13*$HE13/12</f>
        <v>0</v>
      </c>
      <c r="FL13" s="1184">
        <f>FK13+DK13+EK13                 -         SUMIF('Nährstoffe und Lagerraum'!$AX$113:$AX$155,$CZ13,'Nährstoffe und Lagerraum'!$U$113:$U$155)/12  -$GD13*$HE13/12</f>
        <v>0</v>
      </c>
      <c r="FM13" s="1184">
        <f>FL13+DL13+EL13                 -         SUMIF('Nährstoffe und Lagerraum'!$AX$113:$AX$155,$CZ13,'Nährstoffe und Lagerraum'!$U$113:$U$155)/12  -$GD13*$HE13/12</f>
        <v>0</v>
      </c>
      <c r="FN13" s="1184">
        <f>FM13+DM13+EM13                 -         SUMIF('Nährstoffe und Lagerraum'!$AX$113:$AX$155,$CZ13,'Nährstoffe und Lagerraum'!$U$113:$U$155)/12  -$GD13*$HE13/12</f>
        <v>0</v>
      </c>
      <c r="FO13" s="1184"/>
      <c r="FP13" s="1186">
        <f t="shared" si="52"/>
        <v>0</v>
      </c>
      <c r="FQ13" s="1184">
        <f>FP13+DO13+EO13                 -         SUMIF('Nährstoffe und Lagerraum'!$AX$113:$AX$155,$CZ13,'Nährstoffe und Lagerraum'!$V$113:$V$155)/12  -$GE13*$HE13/12</f>
        <v>0</v>
      </c>
      <c r="FR13" s="1184">
        <f>FQ13+DP13+EP13                 -         SUMIF('Nährstoffe und Lagerraum'!$AX$113:$AX$155,$CZ13,'Nährstoffe und Lagerraum'!$V$113:$V$155)/12  -$GE13*$HE13/12</f>
        <v>0</v>
      </c>
      <c r="FS13" s="1184">
        <f>FR13+DQ13+EQ13                 -         SUMIF('Nährstoffe und Lagerraum'!$AX$113:$AX$155,$CZ13,'Nährstoffe und Lagerraum'!$V$113:$V$155)/12  -$GE13*$HE13/12</f>
        <v>0</v>
      </c>
      <c r="FT13" s="1184">
        <f>FS13+DR13+ER13                 -         SUMIF('Nährstoffe und Lagerraum'!$AX$113:$AX$155,$CZ13,'Nährstoffe und Lagerraum'!$V$113:$V$155)/12  -$GE13*$HE13/12</f>
        <v>0</v>
      </c>
      <c r="FU13" s="1184">
        <f>FT13+DS13+ES13                 -         SUMIF('Nährstoffe und Lagerraum'!$AX$113:$AX$155,$CZ13,'Nährstoffe und Lagerraum'!$V$113:$V$155)/12  -$GE13*$HE13/12</f>
        <v>0</v>
      </c>
      <c r="FV13" s="1184">
        <f>FU13+DT13+ET13                 -         SUMIF('Nährstoffe und Lagerraum'!$AX$113:$AX$155,$CZ13,'Nährstoffe und Lagerraum'!$V$113:$V$155)/12  -$GE13*$HE13/12</f>
        <v>0</v>
      </c>
      <c r="FW13" s="1184">
        <f>FV13+DU13+EU13                 -         SUMIF('Nährstoffe und Lagerraum'!$AX$113:$AX$155,$CZ13,'Nährstoffe und Lagerraum'!$V$113:$V$155)/12  -$GE13*$HE13/12</f>
        <v>0</v>
      </c>
      <c r="FX13" s="1184">
        <f>FW13+DV13+EV13                 -         SUMIF('Nährstoffe und Lagerraum'!$AX$113:$AX$155,$CZ13,'Nährstoffe und Lagerraum'!$V$113:$V$155)/12  -$GE13*$HE13/12</f>
        <v>0</v>
      </c>
      <c r="FY13" s="1184">
        <f>FX13+DW13+EW13                 -         SUMIF('Nährstoffe und Lagerraum'!$AX$113:$AX$155,$CZ13,'Nährstoffe und Lagerraum'!$V$113:$V$155)/12  -$GE13*$HE13/12</f>
        <v>0</v>
      </c>
      <c r="FZ13" s="1184">
        <f>FY13+DX13+EX13                 -         SUMIF('Nährstoffe und Lagerraum'!$AX$113:$AX$155,$CZ13,'Nährstoffe und Lagerraum'!$V$113:$V$155)/12  -$GE13*$HE13/12</f>
        <v>0</v>
      </c>
      <c r="GA13" s="1184">
        <f>FZ13+DY13+EY13                 -         SUMIF('Nährstoffe und Lagerraum'!$AX$113:$AX$155,$CZ13,'Nährstoffe und Lagerraum'!$V$113:$V$155)/12  -$GE13*$HE13/12</f>
        <v>0</v>
      </c>
      <c r="GB13" s="1184">
        <f>GA13+DZ13+EZ13                 -         SUMIF('Nährstoffe und Lagerraum'!$AX$113:$AX$155,$CZ13,'Nährstoffe und Lagerraum'!$V$113:$V$155)/12  -$GE13*$HE13/12</f>
        <v>0</v>
      </c>
      <c r="GC13" s="1184"/>
      <c r="GD13" s="1184">
        <f>SUMIFS($CI$14:$CI$68,$BR$14:$BR$68,$CZ13)+SUMIFS($CM$14:$CM$68,$BR$14:$BR$68,$CZ13)+SUMIFS($CR$14:$CR$68,$BR$14:$BR$68,$CZ13)  -         SUMIF('Nährstoffe und Lagerraum'!$AX$113:$AX$155,$CZ13,'Nährstoffe und Lagerraum'!$U$113:$U$155)</f>
        <v>0</v>
      </c>
      <c r="GE13" s="1184">
        <f>SUMIFS($CJ$14:$CJ$68,$BR$14:$BR$68,$CZ13)+SUMIFS($CO$14:$CO$68,$BR$14:$BR$68,$CZ13)+SUMIFS($CT$14:$CT$68,$BR$14:$BR$68,$CZ13)  -         SUMIF('Nährstoffe und Lagerraum'!$AX$113:$AX$155,$CZ13,'Nährstoffe und Lagerraum'!$V$113:$V$155)</f>
        <v>0</v>
      </c>
      <c r="GF13" s="1184"/>
      <c r="GG13" s="1184"/>
      <c r="GH13" s="1184">
        <f>SUMIF('Nährstoffe und Lagerraum'!$AX$113:$AX$155,$CZ13,'Nährstoffe und Lagerraum'!$U$113:$U$155)</f>
        <v>0</v>
      </c>
      <c r="GI13" s="1184">
        <f>SUMIF('Nährstoffe und Lagerraum'!$AX$113:$AX$155,$CZ13,'Nährstoffe und Lagerraum'!$V$113:$V$155)</f>
        <v>0</v>
      </c>
      <c r="GJ13" s="1184">
        <f t="shared" si="53"/>
        <v>0</v>
      </c>
      <c r="GK13" s="1184">
        <f t="shared" si="54"/>
        <v>0</v>
      </c>
      <c r="GL13" s="1184">
        <f t="shared" si="55"/>
        <v>0</v>
      </c>
      <c r="GM13" s="1184">
        <f t="shared" si="56"/>
        <v>0</v>
      </c>
      <c r="GN13" s="1184">
        <f t="shared" si="57"/>
        <v>0</v>
      </c>
      <c r="GO13" s="1184" cm="1">
        <f t="array" ref="GO13">IF(GN13=0,0,(IFERROR(SUMPRODUCT($J$14:$J$68,$CH$14:$CH$68,($BR$14:$BR$68=CZ13)*1)+SUMPRODUCT($L$14:$L$68,$M$14:$M$68,$CK$14:$CK$68,($BR$14:$BR$68=CZ13)*1,($BT$14:$BT$68=FALSE)*1)/10+SUMPRODUCT($R$14:$R$68,$CP$14:$CP$68,($BR$14:$BR$68=CZ13)*1),0))/GN13)</f>
        <v>0</v>
      </c>
      <c r="GP13" s="1184">
        <f t="shared" si="58"/>
        <v>0</v>
      </c>
      <c r="GQ13" s="1184">
        <f>(SUMIF('Nährstoffe und Lagerraum'!$AX$113:$AX$130,'Lagerhaltung (freiwillig)'!CZ13,'Nährstoffe und Lagerraum'!$D$113:$D$130)+SUMIF('Nährstoffe und Lagerraum'!$AX$137:$AX$155,'Lagerhaltung (freiwillig)'!CZ13,'Nährstoffe und Lagerraum'!$E$137:$E$155))</f>
        <v>0</v>
      </c>
      <c r="GR13" s="1184" cm="1">
        <f t="array" ref="GR13">IF(GQ13=0,0,(IFERROR(SUMPRODUCT('Nährstoffe und Lagerraum'!$D$113:$D$130,'Nährstoffe und Lagerraum'!$F$113:$F$130,('Nährstoffe und Lagerraum'!$AX$113:$AX$130='Lagerhaltung (freiwillig)'!CZ13)*1)+SUMPRODUCT('Nährstoffe und Lagerraum'!$E$137:$E$155,'Nährstoffe und Lagerraum'!$F$137:$F$155,('Nährstoffe und Lagerraum'!$AX$137:$AX$155='Lagerhaltung (freiwillig)'!CZ13)*1),0))/GQ13)</f>
        <v>0</v>
      </c>
      <c r="GS13" s="1184">
        <f t="shared" si="59"/>
        <v>0</v>
      </c>
      <c r="GT13" s="1184">
        <f t="shared" si="60"/>
        <v>0</v>
      </c>
      <c r="GU13" s="1184">
        <f t="shared" si="61"/>
        <v>0</v>
      </c>
      <c r="GV13" s="1184">
        <f t="shared" si="62"/>
        <v>0</v>
      </c>
      <c r="GW13" s="1186" t="str">
        <f t="shared" si="41"/>
        <v xml:space="preserve"> </v>
      </c>
      <c r="GX13" s="1186" t="str">
        <f t="shared" si="41"/>
        <v xml:space="preserve"> </v>
      </c>
      <c r="GY13" s="1195">
        <f t="shared" si="63"/>
        <v>0</v>
      </c>
      <c r="GZ13" s="1184">
        <f t="shared" si="64"/>
        <v>0</v>
      </c>
      <c r="HA13" s="1184" t="str">
        <f t="shared" si="44"/>
        <v>a</v>
      </c>
      <c r="HB13" s="1196">
        <f t="shared" si="65"/>
        <v>0</v>
      </c>
      <c r="HC13" s="1196">
        <f t="shared" si="66"/>
        <v>0</v>
      </c>
      <c r="HD13" s="1196"/>
      <c r="HE13" s="1187">
        <f t="shared" si="67"/>
        <v>0</v>
      </c>
      <c r="HF13" s="1196">
        <f t="shared" si="68"/>
        <v>0</v>
      </c>
      <c r="HG13" s="1196">
        <f t="shared" si="69"/>
        <v>0</v>
      </c>
      <c r="HH13" s="1196">
        <f t="shared" si="70"/>
        <v>0</v>
      </c>
      <c r="HI13" s="1328" cm="1">
        <f t="array" ref="HI13">IF(AND(HG13=0,GL13=0),0,IF(HG13=0,1,IF(OR(GL13*1000/HG13/HH13&gt;INDEX(Pflanzen!$W$5:$W$104,CZ13)/INDEX(Pflanzen!$I$5:$I$104,CZ13)*$HI$1,GL13*1000/HG13/HH13&lt;INDEX(Pflanzen!$W$5:$W$104,CZ13)/INDEX(Pflanzen!$I$5:$I$104,CZ13)/$HI$1),1,0)))</f>
        <v>0</v>
      </c>
      <c r="HJ13" s="1328" cm="1">
        <f t="array" ref="HJ13">IF(AND(GM13=0,HG13=0),0,IF(HG13=0,1,IF(OR(GM13*1000/HG13/HH13&gt;INDEX(Pflanzen!$X$5:$X$104,CZ13)/INDEX(Pflanzen!$I$5:$I$104,CZ13)*$HI$1,GM13*1000/HG13/HH13&lt;INDEX(Pflanzen!$X$5:$X$104,CZ13)/INDEX(Pflanzen!$I$5:$I$104,CZ13)/$HI$1),1,0)))</f>
        <v>0</v>
      </c>
      <c r="HK13" s="1184">
        <f t="shared" si="71"/>
        <v>3</v>
      </c>
      <c r="HL13" s="1184"/>
      <c r="HN13" s="1184"/>
      <c r="HO13" s="1193" t="str">
        <f>Tiere!B39</f>
        <v>Männl. Rinder über 6 Monate bis 1 Jahr</v>
      </c>
      <c r="HP13" s="1184">
        <v>10</v>
      </c>
      <c r="HQ13" s="1194">
        <f>SUMIF('Nährstoffe und Lagerraum'!$BM$68:$BM$87,'Lagerhaltung (freiwillig)'!HP13,'Nährstoffe und Lagerraum'!$Z$68:$Z$87)+SUMIF('Nährstoffe und Lagerraum'!$BM$68:$BM$87,'Lagerhaltung (freiwillig)'!HP13,'Nährstoffe und Lagerraum'!$AA$68:$AA$87)</f>
        <v>0</v>
      </c>
      <c r="HR13" s="1184" cm="1">
        <f t="array" ref="HR13">INDEX(Tiere!$C$30:$C$114,'Lagerhaltung (freiwillig)'!HP13)</f>
        <v>1</v>
      </c>
      <c r="HS13" s="1184" cm="1">
        <f t="array" ref="HS13">INDEX(Tiere!$H$30:$H$114,'Lagerhaltung (freiwillig)'!HP13)</f>
        <v>20</v>
      </c>
      <c r="HT13" s="1184">
        <f t="shared" si="12"/>
        <v>0</v>
      </c>
      <c r="HU13" s="1184" cm="1">
        <f t="array" ref="HU13">INDEX(Tiere!$I$30:$I$114,'Lagerhaltung (freiwillig)'!HP13)</f>
        <v>8</v>
      </c>
      <c r="HV13" s="1184">
        <f t="shared" si="13"/>
        <v>0</v>
      </c>
      <c r="HW13" s="1184" cm="1">
        <f t="array" ref="HW13">INDEX(Tiere!$BC$30:$BC$114,'Lagerhaltung (freiwillig)'!HP13)</f>
        <v>7.2900000000000009</v>
      </c>
      <c r="HX13" s="1184">
        <f t="shared" si="14"/>
        <v>0</v>
      </c>
      <c r="HY13" s="1184" cm="1">
        <f t="array" ref="HY13">INDEX(Tiere!$BD$30:$BD$114,'Lagerhaltung (freiwillig)'!HP13)</f>
        <v>4.0230000000000006</v>
      </c>
      <c r="HZ13" s="1184">
        <f t="shared" si="15"/>
        <v>0</v>
      </c>
      <c r="IA13" s="1184"/>
      <c r="IB13" s="1184"/>
      <c r="IC13" s="1184"/>
      <c r="ID13" s="1184"/>
      <c r="IE13" s="1184"/>
      <c r="IF13" s="1184"/>
      <c r="IG13" s="1184"/>
      <c r="IH13" s="1184"/>
      <c r="II13" s="1184"/>
      <c r="IJ13" s="1184"/>
      <c r="IK13" s="1184"/>
      <c r="IL13" s="1184"/>
    </row>
    <row r="14" spans="1:247" ht="15.6" customHeight="1" x14ac:dyDescent="0.2">
      <c r="A14" s="68"/>
      <c r="B14" s="806"/>
      <c r="C14" s="806"/>
      <c r="D14" s="806"/>
      <c r="E14" s="806"/>
      <c r="F14" s="1463" cm="1">
        <f t="array" ref="F14">INDEX(Pflanzen!$I$5:$I$104,BR14)</f>
        <v>0</v>
      </c>
      <c r="G14" s="1464" cm="1">
        <f t="array" ref="G14">INDEX(Pflanzen!$W$5:$W$104,BR14)</f>
        <v>0</v>
      </c>
      <c r="H14" s="1465" cm="1">
        <f t="array" ref="H14">INDEX(Pflanzen!$X$5:$X$104,BR14)</f>
        <v>0</v>
      </c>
      <c r="I14" s="1121"/>
      <c r="J14" s="1302"/>
      <c r="K14" s="1121"/>
      <c r="L14" s="1486"/>
      <c r="M14" s="1489"/>
      <c r="N14" s="1486"/>
      <c r="O14" s="1486"/>
      <c r="P14" s="1291"/>
      <c r="Q14" s="1490"/>
      <c r="R14" s="1486"/>
      <c r="S14" s="1489"/>
      <c r="T14" s="1302"/>
      <c r="U14" s="725"/>
      <c r="V14" s="1346" t="str">
        <f>IF(OR(AND(BZ14=3,L14&gt;0),AND(OR(J14&gt;0,M14&gt;0,R14&gt;0),OR(G14=0,H14=0,F14=0)),AND(L14="",M14&gt;0),AND(L14&gt;0,M14="")),"Fehler","")</f>
        <v/>
      </c>
      <c r="Y14" s="1554" t="str" cm="1">
        <f t="array" ref="Y14">IFERROR(INDEX($CY$4:$CY$165,AY14),"")</f>
        <v/>
      </c>
      <c r="Z14" s="1555"/>
      <c r="AA14" s="1555"/>
      <c r="AB14" s="1555"/>
      <c r="AC14" s="1454" t="str" cm="1">
        <f t="array" ref="AC14">IFERROR(INDEX($GN$4:$GN$165,AY14),"")</f>
        <v/>
      </c>
      <c r="AD14" s="1454" t="str" cm="1">
        <f t="array" ref="AD14">IFERROR(INDEX($GO$4:$GO$165,AY14),"")</f>
        <v/>
      </c>
      <c r="AE14" s="1454" t="str" cm="1">
        <f t="array" ref="AE14">IFERROR(INDEX($GJ$4:$GJ$165,AY14),"")</f>
        <v/>
      </c>
      <c r="AF14" s="1454" t="str" cm="1">
        <f t="array" ref="AF14">IFERROR(INDEX($GK$4:$GK$165,AY14),"")</f>
        <v/>
      </c>
      <c r="AG14" s="1454" t="str" cm="1">
        <f t="array" ref="AG14">IFERROR(INDEX($GQ$4:$GQ$165,AY14),"")</f>
        <v/>
      </c>
      <c r="AH14" s="1454" t="str" cm="1">
        <f t="array" ref="AH14">IFERROR(INDEX($GR$4:$GR$165,AY14),"")</f>
        <v/>
      </c>
      <c r="AI14" s="1454" t="str" cm="1">
        <f t="array" ref="AI14">IFERROR(INDEX($GH$4:$GH$165,AY14),"")</f>
        <v/>
      </c>
      <c r="AJ14" s="1454" t="str" cm="1">
        <f t="array" ref="AJ14">IFERROR(INDEX($GI$4:$GI$165,AY14),"")</f>
        <v/>
      </c>
      <c r="AK14" s="1454" t="str" cm="1">
        <f t="array" ref="AK14">IFERROR(INDEX($GU$4:$GU$165,AY14),"")</f>
        <v/>
      </c>
      <c r="AL14" s="1455" t="str" cm="1">
        <f t="array" ref="AL14">IFERROR(INDEX($GV$4:$GV$165,AY14),"")</f>
        <v/>
      </c>
      <c r="AM14" s="1454" t="str" cm="1">
        <f t="array" ref="AM14">IFERROR(INDEX($GD$4:$GD$165,AY14),"")</f>
        <v/>
      </c>
      <c r="AN14" s="1454" t="str" cm="1">
        <f t="array" ref="AN14">IFERROR(INDEX($GE$4:$GE$165,AY14),"")</f>
        <v/>
      </c>
      <c r="AO14" s="1456" t="str" cm="1">
        <f t="array" ref="AO14">IFERROR(INDEX($GW$4:$GW$165,AY14),"")</f>
        <v/>
      </c>
      <c r="AP14" s="1456" t="str" cm="1">
        <f t="array" ref="AP14">IFERROR(INDEX($GZ$4:$GZ$165,AY14),"")</f>
        <v/>
      </c>
      <c r="AQ14" s="1457"/>
      <c r="AR14" s="1454" t="str" cm="1">
        <f t="array" ref="AR14">IFERROR(INDEX($HF$4:$HF$165,AY14),"")</f>
        <v/>
      </c>
      <c r="AS14" s="1454" t="str" cm="1">
        <f t="array" ref="AS14">IFERROR(INDEX($HG$4:$HG$165,AY14),"")</f>
        <v/>
      </c>
      <c r="AT14" s="1454" t="str" cm="1">
        <f t="array" ref="AT14">IFERROR(INDEX($HH$4:$HH$165,AY14),"")</f>
        <v/>
      </c>
      <c r="AU14" s="1454" t="str" cm="1">
        <f t="array" ref="AU14">IFERROR(INDEX($GL$4:$GL$165,AY14),"")</f>
        <v/>
      </c>
      <c r="AV14" s="1454" t="str" cm="1">
        <f t="array" ref="AV14">IFERROR(INDEX($GM$4:$GM$165,AY14),"")</f>
        <v/>
      </c>
      <c r="AY14" s="1184" t="str" cm="1">
        <f t="array" ref="AY14">IFERROR(SMALL(IF($HK$4:$HK$165=1,ROW($HK$4:$HK$165)-3),ROW(W2)),IFERROR(SMALL(IF($HK$4:$HK$165=2,ROW($HK$4:$HK$165)-3),ROW(W2)-COUNTIF($HK$4:$HK$165,1)),IFERROR(SMALL(IF($HK$4:$HK$165=0,ROW($HK$4:$HK$165)-3),ROW(W2)-COUNTIF($HK$4:$HK$165,1)-COUNTIF($HK$4:$HK$165,2)),"")))</f>
        <v/>
      </c>
      <c r="AZ14" s="1184" t="str">
        <f t="shared" si="72"/>
        <v>a</v>
      </c>
      <c r="BA14" s="1194" t="e">
        <f t="shared" si="73"/>
        <v>#VALUE!</v>
      </c>
      <c r="BB14" s="1194" cm="1">
        <f t="array" ref="BB14">IFERROR(INDEX($HK$4:$HK$165,AY14),0)</f>
        <v>0</v>
      </c>
      <c r="BC14" s="1194">
        <f t="shared" si="74"/>
        <v>0</v>
      </c>
      <c r="BD14" s="1194"/>
      <c r="BE14" s="1343"/>
      <c r="BF14" s="1343"/>
      <c r="BG14" s="1343"/>
      <c r="BH14" s="1343"/>
      <c r="BI14" s="1343"/>
      <c r="BJ14" s="1343"/>
      <c r="BK14" s="1343"/>
      <c r="BL14" s="1343"/>
      <c r="BM14" s="1343"/>
      <c r="BN14" s="1343"/>
      <c r="BO14" s="1343"/>
      <c r="BQ14" s="1184"/>
      <c r="BR14" s="1184">
        <v>1</v>
      </c>
      <c r="BS14" s="1184"/>
      <c r="BT14" s="1184" t="b">
        <v>0</v>
      </c>
      <c r="BU14" s="1199"/>
      <c r="BV14" s="1199"/>
      <c r="BW14" s="1184">
        <f t="shared" ref="BW14:BW36" si="75">IF(AND(S14&lt;&gt;T14,T14&gt;S14,S14&gt;0),T14-S14+1,IF(AND(S14=0,T14=0),12,1))</f>
        <v>12</v>
      </c>
      <c r="BX14" s="1184">
        <f t="shared" ref="BX14:BX36" si="76">IF(AND(S14=0,T14&gt;0),T14,S14)</f>
        <v>0</v>
      </c>
      <c r="BY14" s="1184">
        <f t="shared" ref="BY14:BY36" si="77">IF(AND(T14=0,S14&gt;0),S14,IF(AND(S14=0,T14=0),12,T14))</f>
        <v>12</v>
      </c>
      <c r="BZ14" s="1184" cm="1">
        <f t="array" ref="BZ14">INDEX(Pflanzen!$AB$5:$AB$114,'Lagerhaltung (freiwillig)'!BR14)</f>
        <v>0</v>
      </c>
      <c r="CA14" s="1184" cm="1">
        <f t="array" ref="CA14">IF(BZ14=1,INDEX(Pflanzen!$AC$5:$AC$114,BR14),N14)</f>
        <v>0</v>
      </c>
      <c r="CB14" s="1184" cm="1">
        <f t="array" ref="CB14">IF(BZ14=1,INDEX(Pflanzen!$AD$5:$AD$114,BR14),O14)</f>
        <v>0</v>
      </c>
      <c r="CC14" s="1184">
        <f t="shared" ref="CC14:CC36" si="78">IF(AND(CA14&lt;&gt;CB14,CB14&gt;CA14),CB14-CA14+1,IF(AND(CA14=0,CB14=0),12,1))</f>
        <v>12</v>
      </c>
      <c r="CD14" s="1184">
        <f t="shared" ref="CD14:CD36" si="79">IF(AND(CA14=0,CB14&gt;0),CB14,CA14)</f>
        <v>0</v>
      </c>
      <c r="CE14" s="1184">
        <f t="shared" ref="CE14:CE36" si="80">IF(AND(CB14=0,CA14&gt;0),CA14,IF(AND(CA14=0,CB14=0),12,CB14))</f>
        <v>12</v>
      </c>
      <c r="CF14" s="1184" cm="1">
        <f t="array" ref="CF14">INDEX(Pflanzen!$F$5:$F$114,BR14)</f>
        <v>0</v>
      </c>
      <c r="CG14" s="1184" cm="1">
        <f t="array" ref="CG14">INDEX(Pflanzen!$G$5:$G$114,BR14)</f>
        <v>0</v>
      </c>
      <c r="CH14" s="1184">
        <f t="shared" ref="CH14:CH36" si="81">IF(I14&gt;0,I14,F14)</f>
        <v>0</v>
      </c>
      <c r="CI14" s="1184">
        <f>IF(F14=0,0,IF(I14&gt;0,J14*G14*I14/F14/1000,J14*G14/1000))</f>
        <v>0</v>
      </c>
      <c r="CJ14" s="1184">
        <f>IF(F14=0,0,IF(I14&gt;0,J14*H14*I14/F14/1000,J14*H14/1000))</f>
        <v>0</v>
      </c>
      <c r="CK14" s="1184">
        <f t="shared" ref="CK14:CK36" si="82">IF(K14&gt;0,K14,F14)</f>
        <v>0</v>
      </c>
      <c r="CL14" s="1184">
        <f t="shared" ref="CL14:CL36" si="83">IF(BT14=TRUE,0,IF(K14&gt;0,L14*M14/10*G14*K14/F14/CC14/1000,L14*M14/10*G14/CC14/1000))</f>
        <v>0</v>
      </c>
      <c r="CM14" s="1184">
        <f t="shared" ref="CM14:CM36" si="84">IF(BT14=TRUE,0,IF(K14&gt;0,L14*M14/10*G14*K14/F14/1000,L14*M14/10*G14/1000))</f>
        <v>0</v>
      </c>
      <c r="CN14" s="1184">
        <f t="shared" ref="CN14:CN36" si="85">IF(BT14=TRUE,0,IF(K14&gt;0,L14*M14/10*H14*K14/F14/CC14/1000,L14*M14/10*H14/CC14/1000))</f>
        <v>0</v>
      </c>
      <c r="CO14" s="1184">
        <f t="shared" ref="CO14:CO36" si="86">IF(BT14=TRUE,0,IF(K14&gt;0,L14*M14/10*H14*K14/F14/1000,L14*M14/10*H14/1000))</f>
        <v>0</v>
      </c>
      <c r="CP14" s="1184">
        <f t="shared" ref="CP14:CP36" si="87">IF(Q14&gt;0,Q14,F14)</f>
        <v>0</v>
      </c>
      <c r="CQ14" s="1184">
        <f t="shared" ref="CQ14:CQ36" si="88">IF(Q14&gt;0,R14*G14*Q14/F14/BW14/1000,R14*G14/BW14/1000)</f>
        <v>0</v>
      </c>
      <c r="CR14" s="1184">
        <f t="shared" ref="CR14:CR36" si="89">IF(Q14&gt;0,R14*G14*Q14/F14/1000,R14*G14/1000)</f>
        <v>0</v>
      </c>
      <c r="CS14" s="1184">
        <f t="shared" ref="CS14:CS36" si="90">IF(Q14&gt;0,R14*H14*Q14/F14/BW14/1000,R14*H14/BW14/1000)</f>
        <v>0</v>
      </c>
      <c r="CT14" s="1184">
        <f t="shared" ref="CT14:CT36" si="91">IF(Q14&gt;0,R14*H14*Q14/F14/1000,R14*H14/1000)</f>
        <v>0</v>
      </c>
      <c r="CU14" s="1184">
        <f>IF(OR(AND(R14&lt;0,OR(AND(CP14&lt;&gt;CK14,CM14&gt;0),AND(CP14&lt;&gt;CH14,CI14&gt;0))),      AND(COUNTIF($BR$14:$BR$68,BR14)&gt;1,COUNTIFS($BR$14:$BR$68,BR14,$R$14:$R$68,"&lt;0")&gt;0)),1,2)</f>
        <v>2</v>
      </c>
      <c r="CV14" s="1184">
        <f>F14</f>
        <v>0</v>
      </c>
      <c r="CW14" s="1186">
        <f>IF(CU14=2,IF(BT14=TRUE,SUM(J14,R14),SUM(J14,L14*M14/10,R14)),IF(BT14=TRUE,SUM(J14*CH14,R14*CP14)/CV14,SUM(J14*CH14,L14*M14/10*CK14,R14*CP14)/CV14))</f>
        <v>0</v>
      </c>
      <c r="CX14" s="1184"/>
      <c r="CY14" s="320" t="str">
        <f>Pflanzen!A10</f>
        <v>Sommerweizen</v>
      </c>
      <c r="CZ14" s="1200">
        <f>IFERROR(MATCH($CY14,Pflanzen!$C$5:$C$114,0),1)</f>
        <v>6</v>
      </c>
      <c r="DA14" s="320" cm="1">
        <f t="array" ref="DA14">INDEX(Pflanzen!$H$5:$H$114,'Lagerhaltung (freiwillig)'!CZ14)</f>
        <v>2</v>
      </c>
      <c r="DB14" s="1200">
        <f t="shared" si="32"/>
        <v>0</v>
      </c>
      <c r="DC14" s="1200">
        <f t="shared" si="32"/>
        <v>0</v>
      </c>
      <c r="DD14" s="1200">
        <f t="shared" si="32"/>
        <v>0</v>
      </c>
      <c r="DE14" s="1200">
        <f t="shared" si="32"/>
        <v>0</v>
      </c>
      <c r="DF14" s="1200">
        <f t="shared" si="32"/>
        <v>0</v>
      </c>
      <c r="DG14" s="1184">
        <f t="shared" si="32"/>
        <v>0</v>
      </c>
      <c r="DH14" s="1184">
        <f t="shared" si="32"/>
        <v>0</v>
      </c>
      <c r="DI14" s="1184">
        <f t="shared" si="32"/>
        <v>0</v>
      </c>
      <c r="DJ14" s="1184">
        <f t="shared" si="32"/>
        <v>0</v>
      </c>
      <c r="DK14" s="1184">
        <f t="shared" si="32"/>
        <v>0</v>
      </c>
      <c r="DL14" s="1184">
        <f t="shared" si="32"/>
        <v>0</v>
      </c>
      <c r="DM14" s="1184">
        <f t="shared" si="32"/>
        <v>0</v>
      </c>
      <c r="DN14" s="1184"/>
      <c r="DO14" s="1184">
        <f t="shared" si="33"/>
        <v>0</v>
      </c>
      <c r="DP14" s="1184">
        <f t="shared" si="33"/>
        <v>0</v>
      </c>
      <c r="DQ14" s="1184">
        <f t="shared" si="33"/>
        <v>0</v>
      </c>
      <c r="DR14" s="1184">
        <f t="shared" si="33"/>
        <v>0</v>
      </c>
      <c r="DS14" s="1184">
        <f t="shared" si="33"/>
        <v>0</v>
      </c>
      <c r="DT14" s="1184">
        <f t="shared" si="33"/>
        <v>0</v>
      </c>
      <c r="DU14" s="1184">
        <f t="shared" si="33"/>
        <v>0</v>
      </c>
      <c r="DV14" s="1184">
        <f t="shared" si="33"/>
        <v>0</v>
      </c>
      <c r="DW14" s="1184">
        <f t="shared" si="33"/>
        <v>0</v>
      </c>
      <c r="DX14" s="1184">
        <f t="shared" si="33"/>
        <v>0</v>
      </c>
      <c r="DY14" s="1184">
        <f t="shared" si="33"/>
        <v>0</v>
      </c>
      <c r="DZ14" s="1184">
        <f t="shared" si="33"/>
        <v>0</v>
      </c>
      <c r="EA14" s="1184"/>
      <c r="EB14" s="1184">
        <f t="shared" si="34"/>
        <v>0</v>
      </c>
      <c r="EC14" s="1184">
        <f t="shared" si="34"/>
        <v>0</v>
      </c>
      <c r="ED14" s="1184">
        <f t="shared" si="34"/>
        <v>0</v>
      </c>
      <c r="EE14" s="1184">
        <f t="shared" si="34"/>
        <v>0</v>
      </c>
      <c r="EF14" s="1184">
        <f t="shared" si="34"/>
        <v>0</v>
      </c>
      <c r="EG14" s="1184">
        <f t="shared" si="34"/>
        <v>0</v>
      </c>
      <c r="EH14" s="1184">
        <f t="shared" si="34"/>
        <v>0</v>
      </c>
      <c r="EI14" s="1184">
        <f t="shared" si="34"/>
        <v>0</v>
      </c>
      <c r="EJ14" s="1184">
        <f t="shared" si="34"/>
        <v>0</v>
      </c>
      <c r="EK14" s="1184">
        <f t="shared" si="34"/>
        <v>0</v>
      </c>
      <c r="EL14" s="1184">
        <f t="shared" si="34"/>
        <v>0</v>
      </c>
      <c r="EM14" s="1184">
        <f t="shared" si="34"/>
        <v>0</v>
      </c>
      <c r="EN14" s="1184"/>
      <c r="EO14" s="1184">
        <f t="shared" si="35"/>
        <v>0</v>
      </c>
      <c r="EP14" s="1184">
        <f t="shared" si="35"/>
        <v>0</v>
      </c>
      <c r="EQ14" s="1184">
        <f t="shared" si="35"/>
        <v>0</v>
      </c>
      <c r="ER14" s="1184">
        <f t="shared" si="35"/>
        <v>0</v>
      </c>
      <c r="ES14" s="1184">
        <f t="shared" si="35"/>
        <v>0</v>
      </c>
      <c r="ET14" s="1184">
        <f t="shared" si="35"/>
        <v>0</v>
      </c>
      <c r="EU14" s="1184">
        <f t="shared" si="35"/>
        <v>0</v>
      </c>
      <c r="EV14" s="1184">
        <f t="shared" si="35"/>
        <v>0</v>
      </c>
      <c r="EW14" s="1184">
        <f t="shared" si="35"/>
        <v>0</v>
      </c>
      <c r="EX14" s="1184">
        <f t="shared" si="35"/>
        <v>0</v>
      </c>
      <c r="EY14" s="1184">
        <f t="shared" si="35"/>
        <v>0</v>
      </c>
      <c r="EZ14" s="1184">
        <f t="shared" si="35"/>
        <v>0</v>
      </c>
      <c r="FA14" s="1184"/>
      <c r="FB14" s="1186">
        <f t="shared" si="51"/>
        <v>0</v>
      </c>
      <c r="FC14" s="1184">
        <f>FB14+DB14+EB14                 -         SUMIF('Nährstoffe und Lagerraum'!$AX$113:$AX$155,$CZ14,'Nährstoffe und Lagerraum'!$U$113:$U$155)/12  -$GD14*$HE14/12</f>
        <v>0</v>
      </c>
      <c r="FD14" s="1184">
        <f>FC14+DC14+EC14                 -         SUMIF('Nährstoffe und Lagerraum'!$AX$113:$AX$155,$CZ14,'Nährstoffe und Lagerraum'!$U$113:$U$155)/12  -$GD14*$HE14/12</f>
        <v>0</v>
      </c>
      <c r="FE14" s="1184">
        <f>FD14+DD14+ED14                 -         SUMIF('Nährstoffe und Lagerraum'!$AX$113:$AX$155,$CZ14,'Nährstoffe und Lagerraum'!$U$113:$U$155)/12  -$GD14*$HE14/12</f>
        <v>0</v>
      </c>
      <c r="FF14" s="1184">
        <f>FE14+DE14+EE14                 -         SUMIF('Nährstoffe und Lagerraum'!$AX$113:$AX$155,$CZ14,'Nährstoffe und Lagerraum'!$U$113:$U$155)/12  -$GD14*$HE14/12</f>
        <v>0</v>
      </c>
      <c r="FG14" s="1184">
        <f>FF14+DF14+EF14                 -         SUMIF('Nährstoffe und Lagerraum'!$AX$113:$AX$155,$CZ14,'Nährstoffe und Lagerraum'!$U$113:$U$155)/12  -$GD14*$HE14/12</f>
        <v>0</v>
      </c>
      <c r="FH14" s="1184">
        <f>FG14+DG14+EG14                 -         SUMIF('Nährstoffe und Lagerraum'!$AX$113:$AX$155,$CZ14,'Nährstoffe und Lagerraum'!$U$113:$U$155)/12  -$GD14*$HE14/12</f>
        <v>0</v>
      </c>
      <c r="FI14" s="1184">
        <f>FH14+DH14+EH14                 -         SUMIF('Nährstoffe und Lagerraum'!$AX$113:$AX$155,$CZ14,'Nährstoffe und Lagerraum'!$U$113:$U$155)/12  -$GD14*$HE14/12</f>
        <v>0</v>
      </c>
      <c r="FJ14" s="1184">
        <f>FI14+DI14+EI14                 -         SUMIF('Nährstoffe und Lagerraum'!$AX$113:$AX$155,$CZ14,'Nährstoffe und Lagerraum'!$U$113:$U$155)/12  -$GD14*$HE14/12</f>
        <v>0</v>
      </c>
      <c r="FK14" s="1184">
        <f>FJ14+DJ14+EJ14                 -         SUMIF('Nährstoffe und Lagerraum'!$AX$113:$AX$155,$CZ14,'Nährstoffe und Lagerraum'!$U$113:$U$155)/12  -$GD14*$HE14/12</f>
        <v>0</v>
      </c>
      <c r="FL14" s="1184">
        <f>FK14+DK14+EK14                 -         SUMIF('Nährstoffe und Lagerraum'!$AX$113:$AX$155,$CZ14,'Nährstoffe und Lagerraum'!$U$113:$U$155)/12  -$GD14*$HE14/12</f>
        <v>0</v>
      </c>
      <c r="FM14" s="1184">
        <f>FL14+DL14+EL14                 -         SUMIF('Nährstoffe und Lagerraum'!$AX$113:$AX$155,$CZ14,'Nährstoffe und Lagerraum'!$U$113:$U$155)/12  -$GD14*$HE14/12</f>
        <v>0</v>
      </c>
      <c r="FN14" s="1184">
        <f>FM14+DM14+EM14                 -         SUMIF('Nährstoffe und Lagerraum'!$AX$113:$AX$155,$CZ14,'Nährstoffe und Lagerraum'!$U$113:$U$155)/12  -$GD14*$HE14/12</f>
        <v>0</v>
      </c>
      <c r="FO14" s="1184"/>
      <c r="FP14" s="1186">
        <f t="shared" si="52"/>
        <v>0</v>
      </c>
      <c r="FQ14" s="1184">
        <f>FP14+DO14+EO14                 -         SUMIF('Nährstoffe und Lagerraum'!$AX$113:$AX$155,$CZ14,'Nährstoffe und Lagerraum'!$V$113:$V$155)/12  -$GE14*$HE14/12</f>
        <v>0</v>
      </c>
      <c r="FR14" s="1184">
        <f>FQ14+DP14+EP14                 -         SUMIF('Nährstoffe und Lagerraum'!$AX$113:$AX$155,$CZ14,'Nährstoffe und Lagerraum'!$V$113:$V$155)/12  -$GE14*$HE14/12</f>
        <v>0</v>
      </c>
      <c r="FS14" s="1184">
        <f>FR14+DQ14+EQ14                 -         SUMIF('Nährstoffe und Lagerraum'!$AX$113:$AX$155,$CZ14,'Nährstoffe und Lagerraum'!$V$113:$V$155)/12  -$GE14*$HE14/12</f>
        <v>0</v>
      </c>
      <c r="FT14" s="1184">
        <f>FS14+DR14+ER14                 -         SUMIF('Nährstoffe und Lagerraum'!$AX$113:$AX$155,$CZ14,'Nährstoffe und Lagerraum'!$V$113:$V$155)/12  -$GE14*$HE14/12</f>
        <v>0</v>
      </c>
      <c r="FU14" s="1184">
        <f>FT14+DS14+ES14                 -         SUMIF('Nährstoffe und Lagerraum'!$AX$113:$AX$155,$CZ14,'Nährstoffe und Lagerraum'!$V$113:$V$155)/12  -$GE14*$HE14/12</f>
        <v>0</v>
      </c>
      <c r="FV14" s="1184">
        <f>FU14+DT14+ET14                 -         SUMIF('Nährstoffe und Lagerraum'!$AX$113:$AX$155,$CZ14,'Nährstoffe und Lagerraum'!$V$113:$V$155)/12  -$GE14*$HE14/12</f>
        <v>0</v>
      </c>
      <c r="FW14" s="1184">
        <f>FV14+DU14+EU14                 -         SUMIF('Nährstoffe und Lagerraum'!$AX$113:$AX$155,$CZ14,'Nährstoffe und Lagerraum'!$V$113:$V$155)/12  -$GE14*$HE14/12</f>
        <v>0</v>
      </c>
      <c r="FX14" s="1184">
        <f>FW14+DV14+EV14                 -         SUMIF('Nährstoffe und Lagerraum'!$AX$113:$AX$155,$CZ14,'Nährstoffe und Lagerraum'!$V$113:$V$155)/12  -$GE14*$HE14/12</f>
        <v>0</v>
      </c>
      <c r="FY14" s="1184">
        <f>FX14+DW14+EW14                 -         SUMIF('Nährstoffe und Lagerraum'!$AX$113:$AX$155,$CZ14,'Nährstoffe und Lagerraum'!$V$113:$V$155)/12  -$GE14*$HE14/12</f>
        <v>0</v>
      </c>
      <c r="FZ14" s="1184">
        <f>FY14+DX14+EX14                 -         SUMIF('Nährstoffe und Lagerraum'!$AX$113:$AX$155,$CZ14,'Nährstoffe und Lagerraum'!$V$113:$V$155)/12  -$GE14*$HE14/12</f>
        <v>0</v>
      </c>
      <c r="GA14" s="1184">
        <f>FZ14+DY14+EY14                 -         SUMIF('Nährstoffe und Lagerraum'!$AX$113:$AX$155,$CZ14,'Nährstoffe und Lagerraum'!$V$113:$V$155)/12  -$GE14*$HE14/12</f>
        <v>0</v>
      </c>
      <c r="GB14" s="1184">
        <f>GA14+DZ14+EZ14                 -         SUMIF('Nährstoffe und Lagerraum'!$AX$113:$AX$155,$CZ14,'Nährstoffe und Lagerraum'!$V$113:$V$155)/12  -$GE14*$HE14/12</f>
        <v>0</v>
      </c>
      <c r="GC14" s="1184"/>
      <c r="GD14" s="1184">
        <f>SUMIFS($CI$14:$CI$68,$BR$14:$BR$68,$CZ14)+SUMIFS($CM$14:$CM$68,$BR$14:$BR$68,$CZ14)+SUMIFS($CR$14:$CR$68,$BR$14:$BR$68,$CZ14)  -         SUMIF('Nährstoffe und Lagerraum'!$AX$113:$AX$155,$CZ14,'Nährstoffe und Lagerraum'!$U$113:$U$155)</f>
        <v>0</v>
      </c>
      <c r="GE14" s="1184">
        <f>SUMIFS($CJ$14:$CJ$68,$BR$14:$BR$68,$CZ14)+SUMIFS($CO$14:$CO$68,$BR$14:$BR$68,$CZ14)+SUMIFS($CT$14:$CT$68,$BR$14:$BR$68,$CZ14)  -         SUMIF('Nährstoffe und Lagerraum'!$AX$113:$AX$155,$CZ14,'Nährstoffe und Lagerraum'!$V$113:$V$155)</f>
        <v>0</v>
      </c>
      <c r="GF14" s="1184"/>
      <c r="GG14" s="1184"/>
      <c r="GH14" s="1184">
        <f>SUMIF('Nährstoffe und Lagerraum'!$AX$113:$AX$155,$CZ14,'Nährstoffe und Lagerraum'!$U$113:$U$155)</f>
        <v>0</v>
      </c>
      <c r="GI14" s="1184">
        <f>SUMIF('Nährstoffe und Lagerraum'!$AX$113:$AX$155,$CZ14,'Nährstoffe und Lagerraum'!$V$113:$V$155)</f>
        <v>0</v>
      </c>
      <c r="GJ14" s="1184">
        <f t="shared" si="53"/>
        <v>0</v>
      </c>
      <c r="GK14" s="1184">
        <f t="shared" si="54"/>
        <v>0</v>
      </c>
      <c r="GL14" s="1184">
        <f t="shared" si="55"/>
        <v>0</v>
      </c>
      <c r="GM14" s="1184">
        <f t="shared" si="56"/>
        <v>0</v>
      </c>
      <c r="GN14" s="1184">
        <f t="shared" si="57"/>
        <v>0</v>
      </c>
      <c r="GO14" s="1184" cm="1">
        <f t="array" ref="GO14">IF(GN14=0,0,(IFERROR(SUMPRODUCT($J$14:$J$68,$CH$14:$CH$68,($BR$14:$BR$68=CZ14)*1)+SUMPRODUCT($L$14:$L$68,$M$14:$M$68,$CK$14:$CK$68,($BR$14:$BR$68=CZ14)*1,($BT$14:$BT$68=FALSE)*1)/10+SUMPRODUCT($R$14:$R$68,$CP$14:$CP$68,($BR$14:$BR$68=CZ14)*1),0))/GN14)</f>
        <v>0</v>
      </c>
      <c r="GP14" s="1184">
        <f t="shared" si="58"/>
        <v>0</v>
      </c>
      <c r="GQ14" s="1184">
        <f>(SUMIF('Nährstoffe und Lagerraum'!$AX$113:$AX$130,'Lagerhaltung (freiwillig)'!CZ14,'Nährstoffe und Lagerraum'!$D$113:$D$130)+SUMIF('Nährstoffe und Lagerraum'!$AX$137:$AX$155,'Lagerhaltung (freiwillig)'!CZ14,'Nährstoffe und Lagerraum'!$E$137:$E$155))</f>
        <v>0</v>
      </c>
      <c r="GR14" s="1184" cm="1">
        <f t="array" ref="GR14">IF(GQ14=0,0,(IFERROR(SUMPRODUCT('Nährstoffe und Lagerraum'!$D$113:$D$130,'Nährstoffe und Lagerraum'!$F$113:$F$130,('Nährstoffe und Lagerraum'!$AX$113:$AX$130='Lagerhaltung (freiwillig)'!CZ14)*1)+SUMPRODUCT('Nährstoffe und Lagerraum'!$E$137:$E$155,'Nährstoffe und Lagerraum'!$F$137:$F$155,('Nährstoffe und Lagerraum'!$AX$137:$AX$155='Lagerhaltung (freiwillig)'!CZ14)*1),0))/GQ14)</f>
        <v>0</v>
      </c>
      <c r="GS14" s="1184">
        <f t="shared" si="59"/>
        <v>0</v>
      </c>
      <c r="GT14" s="1184">
        <f t="shared" si="60"/>
        <v>0</v>
      </c>
      <c r="GU14" s="1184">
        <f t="shared" si="61"/>
        <v>0</v>
      </c>
      <c r="GV14" s="1184">
        <f t="shared" si="62"/>
        <v>0</v>
      </c>
      <c r="GW14" s="1186" t="str">
        <f t="shared" si="41"/>
        <v xml:space="preserve"> </v>
      </c>
      <c r="GX14" s="1186" t="str">
        <f t="shared" si="41"/>
        <v xml:space="preserve"> </v>
      </c>
      <c r="GY14" s="1195">
        <f t="shared" si="63"/>
        <v>0</v>
      </c>
      <c r="GZ14" s="1184">
        <f t="shared" si="64"/>
        <v>0</v>
      </c>
      <c r="HA14" s="1184" t="str">
        <f t="shared" si="44"/>
        <v>a</v>
      </c>
      <c r="HB14" s="1196">
        <f t="shared" si="65"/>
        <v>0</v>
      </c>
      <c r="HC14" s="1196">
        <f t="shared" si="66"/>
        <v>0</v>
      </c>
      <c r="HD14" s="1196"/>
      <c r="HE14" s="1187">
        <f t="shared" si="67"/>
        <v>0</v>
      </c>
      <c r="HF14" s="1196">
        <f t="shared" si="68"/>
        <v>0</v>
      </c>
      <c r="HG14" s="1196">
        <f t="shared" si="69"/>
        <v>0</v>
      </c>
      <c r="HH14" s="1196">
        <f t="shared" si="70"/>
        <v>0</v>
      </c>
      <c r="HI14" s="1328" cm="1">
        <f t="array" ref="HI14">IF(AND(HG14=0,GL14=0),0,IF(HG14=0,1,IF(OR(GL14*1000/HG14/HH14&gt;INDEX(Pflanzen!$W$5:$W$104,CZ14)/INDEX(Pflanzen!$I$5:$I$104,CZ14)*$HI$1,GL14*1000/HG14/HH14&lt;INDEX(Pflanzen!$W$5:$W$104,CZ14)/INDEX(Pflanzen!$I$5:$I$104,CZ14)/$HI$1),1,0)))</f>
        <v>0</v>
      </c>
      <c r="HJ14" s="1328" cm="1">
        <f t="array" ref="HJ14">IF(AND(GM14=0,HG14=0),0,IF(HG14=0,1,IF(OR(GM14*1000/HG14/HH14&gt;INDEX(Pflanzen!$X$5:$X$104,CZ14)/INDEX(Pflanzen!$I$5:$I$104,CZ14)*$HI$1,GM14*1000/HG14/HH14&lt;INDEX(Pflanzen!$X$5:$X$104,CZ14)/INDEX(Pflanzen!$I$5:$I$104,CZ14)/$HI$1),1,0)))</f>
        <v>0</v>
      </c>
      <c r="HK14" s="1184">
        <f t="shared" si="71"/>
        <v>3</v>
      </c>
      <c r="HL14" s="1184"/>
      <c r="HN14" s="1184"/>
      <c r="HO14" s="1193" t="str">
        <f>Tiere!B40</f>
        <v>Männl. Rinder über 1 Jahr bis zwei Jahre (Mast)</v>
      </c>
      <c r="HP14" s="1184">
        <v>11</v>
      </c>
      <c r="HQ14" s="1194">
        <f>SUMIF('Nährstoffe und Lagerraum'!$BM$68:$BM$87,'Lagerhaltung (freiwillig)'!HP14,'Nährstoffe und Lagerraum'!$Z$68:$Z$87)+SUMIF('Nährstoffe und Lagerraum'!$BM$68:$BM$87,'Lagerhaltung (freiwillig)'!HP14,'Nährstoffe und Lagerraum'!$AA$68:$AA$87)</f>
        <v>0</v>
      </c>
      <c r="HR14" s="1184" cm="1">
        <f t="array" ref="HR14">INDEX(Tiere!$C$30:$C$114,'Lagerhaltung (freiwillig)'!HP14)</f>
        <v>1</v>
      </c>
      <c r="HS14" s="1184" cm="1">
        <f t="array" ref="HS14">INDEX(Tiere!$H$30:$H$114,'Lagerhaltung (freiwillig)'!HP14)</f>
        <v>28.5</v>
      </c>
      <c r="HT14" s="1184">
        <f t="shared" si="12"/>
        <v>0</v>
      </c>
      <c r="HU14" s="1184" cm="1">
        <f t="array" ref="HU14">INDEX(Tiere!$I$30:$I$114,'Lagerhaltung (freiwillig)'!HP14)</f>
        <v>11.5</v>
      </c>
      <c r="HV14" s="1184">
        <f t="shared" si="13"/>
        <v>0</v>
      </c>
      <c r="HW14" s="1184" cm="1">
        <f t="array" ref="HW14">INDEX(Tiere!$BC$30:$BC$114,'Lagerhaltung (freiwillig)'!HP14)</f>
        <v>10.8</v>
      </c>
      <c r="HX14" s="1184">
        <f t="shared" si="14"/>
        <v>0</v>
      </c>
      <c r="HY14" s="1184" cm="1">
        <f t="array" ref="HY14">INDEX(Tiere!$BD$30:$BD$114,'Lagerhaltung (freiwillig)'!HP14)</f>
        <v>5.96</v>
      </c>
      <c r="HZ14" s="1184">
        <f t="shared" si="15"/>
        <v>0</v>
      </c>
      <c r="IA14" s="1184"/>
      <c r="IB14" s="1184"/>
      <c r="IC14" s="1184"/>
      <c r="ID14" s="1184"/>
      <c r="IE14" s="1184"/>
      <c r="IF14" s="1184"/>
      <c r="IG14" s="1184"/>
      <c r="IH14" s="1184"/>
      <c r="II14" s="1184"/>
      <c r="IJ14" s="1184"/>
      <c r="IK14" s="1184"/>
      <c r="IL14" s="1184"/>
    </row>
    <row r="15" spans="1:247" ht="15.6" customHeight="1" x14ac:dyDescent="0.2">
      <c r="A15" s="725"/>
      <c r="B15" s="726"/>
      <c r="C15" s="726"/>
      <c r="D15" s="726"/>
      <c r="E15" s="726"/>
      <c r="F15" s="1466" cm="1">
        <f t="array" ref="F15">INDEX(Pflanzen!$I$5:$I$104,BR15)</f>
        <v>0</v>
      </c>
      <c r="G15" s="1467" cm="1">
        <f t="array" ref="G15">INDEX(Pflanzen!$W$5:$W$104,BR15)</f>
        <v>0</v>
      </c>
      <c r="H15" s="1468" cm="1">
        <f t="array" ref="H15">INDEX(Pflanzen!$X$5:$X$104,BR15)</f>
        <v>0</v>
      </c>
      <c r="I15" s="1122"/>
      <c r="J15" s="1303"/>
      <c r="K15" s="1122"/>
      <c r="L15" s="1487"/>
      <c r="M15" s="1491"/>
      <c r="N15" s="1487"/>
      <c r="O15" s="1487"/>
      <c r="P15" s="1292"/>
      <c r="Q15" s="2180"/>
      <c r="R15" s="1487"/>
      <c r="S15" s="1491"/>
      <c r="T15" s="1303"/>
      <c r="U15" s="725"/>
      <c r="V15" s="1346" t="str">
        <f t="shared" ref="V15:V36" si="92">IF(OR(AND(BZ15=3,L15&gt;0),AND(OR(J15&gt;0,M15&gt;0,R15&gt;0),OR(G15=0,H15=0,F15=0)),AND(L15="",M15&gt;0),AND(L15&gt;0,M15="")),"Fehler","")</f>
        <v/>
      </c>
      <c r="Y15" s="1554" t="str" cm="1">
        <f t="array" ref="Y15">IFERROR(INDEX($CY$4:$CY$165,AY15),"")</f>
        <v/>
      </c>
      <c r="Z15" s="1555"/>
      <c r="AA15" s="1555"/>
      <c r="AB15" s="1555"/>
      <c r="AC15" s="1454" t="str" cm="1">
        <f t="array" ref="AC15">IFERROR(INDEX($GN$4:$GN$165,AY15),"")</f>
        <v/>
      </c>
      <c r="AD15" s="1454" t="str" cm="1">
        <f t="array" ref="AD15">IFERROR(INDEX($GO$4:$GO$165,AY15),"")</f>
        <v/>
      </c>
      <c r="AE15" s="1454" t="str" cm="1">
        <f t="array" ref="AE15">IFERROR(INDEX($GJ$4:$GJ$165,AY15),"")</f>
        <v/>
      </c>
      <c r="AF15" s="1454" t="str" cm="1">
        <f t="array" ref="AF15">IFERROR(INDEX($GK$4:$GK$165,AY15),"")</f>
        <v/>
      </c>
      <c r="AG15" s="1454" t="str" cm="1">
        <f t="array" ref="AG15">IFERROR(INDEX($GQ$4:$GQ$165,AY15),"")</f>
        <v/>
      </c>
      <c r="AH15" s="1454" t="str" cm="1">
        <f t="array" ref="AH15">IFERROR(INDEX($GR$4:$GR$165,AY15),"")</f>
        <v/>
      </c>
      <c r="AI15" s="1454" t="str" cm="1">
        <f t="array" ref="AI15">IFERROR(INDEX($GH$4:$GH$165,AY15),"")</f>
        <v/>
      </c>
      <c r="AJ15" s="1454" t="str" cm="1">
        <f t="array" ref="AJ15">IFERROR(INDEX($GI$4:$GI$165,AY15),"")</f>
        <v/>
      </c>
      <c r="AK15" s="1454" t="str" cm="1">
        <f t="array" ref="AK15">IFERROR(INDEX($GU$4:$GU$165,AY15),"")</f>
        <v/>
      </c>
      <c r="AL15" s="1455" t="str" cm="1">
        <f t="array" ref="AL15">IFERROR(INDEX($GV$4:$GV$165,AY15),"")</f>
        <v/>
      </c>
      <c r="AM15" s="1454" t="str" cm="1">
        <f t="array" ref="AM15">IFERROR(INDEX($GD$4:$GD$165,AY15),"")</f>
        <v/>
      </c>
      <c r="AN15" s="1454" t="str" cm="1">
        <f t="array" ref="AN15">IFERROR(INDEX($GE$4:$GE$165,AY15),"")</f>
        <v/>
      </c>
      <c r="AO15" s="1455" t="str" cm="1">
        <f t="array" ref="AO15">IFERROR(INDEX($GW$4:$GW$165,AY15),"")</f>
        <v/>
      </c>
      <c r="AP15" s="1455" t="str" cm="1">
        <f t="array" ref="AP15">IFERROR(INDEX($GZ$4:$GZ$165,AY15),"")</f>
        <v/>
      </c>
      <c r="AQ15" s="1457"/>
      <c r="AR15" s="1454" t="str" cm="1">
        <f t="array" ref="AR15">IFERROR(INDEX($HF$4:$HF$165,AY15),"")</f>
        <v/>
      </c>
      <c r="AS15" s="1454" t="str" cm="1">
        <f t="array" ref="AS15">IFERROR(INDEX($HG$4:$HG$165,AY15),"")</f>
        <v/>
      </c>
      <c r="AT15" s="1454" t="str" cm="1">
        <f t="array" ref="AT15">IFERROR(INDEX($HH$4:$HH$165,AY15),"")</f>
        <v/>
      </c>
      <c r="AU15" s="1454" t="str" cm="1">
        <f t="array" ref="AU15">IFERROR(INDEX($GL$4:$GL$165,AY15),"")</f>
        <v/>
      </c>
      <c r="AV15" s="1454" t="str" cm="1">
        <f t="array" ref="AV15">IFERROR(INDEX($GM$4:$GM$165,AY15),"")</f>
        <v/>
      </c>
      <c r="AY15" s="1184" t="str" cm="1">
        <f t="array" ref="AY15">IFERROR(SMALL(IF($HK$4:$HK$165=1,ROW($HK$4:$HK$165)-3),ROW(W3)),IFERROR(SMALL(IF($HK$4:$HK$165=2,ROW($HK$4:$HK$165)-3),ROW(W3)-COUNTIF($HK$4:$HK$165,1)),IFERROR(SMALL(IF($HK$4:$HK$165=0,ROW($HK$4:$HK$165)-3),ROW(W3)-COUNTIF($HK$4:$HK$165,1)-COUNTIF($HK$4:$HK$165,2)),"")))</f>
        <v/>
      </c>
      <c r="AZ15" s="1184" t="str">
        <f t="shared" si="72"/>
        <v>a</v>
      </c>
      <c r="BA15" s="1194" t="e">
        <f t="shared" si="73"/>
        <v>#VALUE!</v>
      </c>
      <c r="BB15" s="1194" cm="1">
        <f t="array" ref="BB15">IFERROR(INDEX($HK$4:$HK$165,AY15),0)</f>
        <v>0</v>
      </c>
      <c r="BC15" s="1194">
        <f t="shared" si="74"/>
        <v>0</v>
      </c>
      <c r="BD15" s="1194"/>
      <c r="BE15" s="1343"/>
      <c r="BF15" s="1343"/>
      <c r="BG15" s="1343"/>
      <c r="BH15" s="1343"/>
      <c r="BI15" s="1343"/>
      <c r="BJ15" s="1343"/>
      <c r="BK15" s="1343"/>
      <c r="BL15" s="1343"/>
      <c r="BM15" s="1343"/>
      <c r="BN15" s="1343"/>
      <c r="BO15" s="1343"/>
      <c r="BQ15" s="1184"/>
      <c r="BR15" s="1184">
        <v>1</v>
      </c>
      <c r="BS15" s="1184"/>
      <c r="BT15" s="1184" t="b">
        <v>0</v>
      </c>
      <c r="BU15" s="1199"/>
      <c r="BV15" s="1199"/>
      <c r="BW15" s="1184">
        <f t="shared" si="75"/>
        <v>12</v>
      </c>
      <c r="BX15" s="1184">
        <f t="shared" si="76"/>
        <v>0</v>
      </c>
      <c r="BY15" s="1184">
        <f t="shared" si="77"/>
        <v>12</v>
      </c>
      <c r="BZ15" s="1184" cm="1">
        <f t="array" ref="BZ15">INDEX(Pflanzen!$AB$5:$AB$114,'Lagerhaltung (freiwillig)'!BR15)</f>
        <v>0</v>
      </c>
      <c r="CA15" s="1184" cm="1">
        <f t="array" ref="CA15">IF(BZ15=1,INDEX(Pflanzen!$AC$5:$AC$114,BR15),N15)</f>
        <v>0</v>
      </c>
      <c r="CB15" s="1184" cm="1">
        <f t="array" ref="CB15">IF(BZ15=1,INDEX(Pflanzen!$AD$5:$AD$114,BR15),O15)</f>
        <v>0</v>
      </c>
      <c r="CC15" s="1184">
        <f t="shared" si="78"/>
        <v>12</v>
      </c>
      <c r="CD15" s="1184">
        <f t="shared" si="79"/>
        <v>0</v>
      </c>
      <c r="CE15" s="1184">
        <f t="shared" si="80"/>
        <v>12</v>
      </c>
      <c r="CF15" s="1184" cm="1">
        <f t="array" ref="CF15">INDEX(Pflanzen!$F$5:$F$114,BR15)</f>
        <v>0</v>
      </c>
      <c r="CG15" s="1184" cm="1">
        <f t="array" ref="CG15">INDEX(Pflanzen!$G$5:$G$114,BR15)</f>
        <v>0</v>
      </c>
      <c r="CH15" s="1184">
        <f t="shared" si="81"/>
        <v>0</v>
      </c>
      <c r="CI15" s="1184">
        <f t="shared" ref="CI15:CI36" si="93">IF(F15=0,0,IF(I15&gt;0,J15*G15*I15/F15/1000,J15*G15/1000))</f>
        <v>0</v>
      </c>
      <c r="CJ15" s="1184">
        <f t="shared" ref="CJ15:CJ36" si="94">IF(F15=0,0,IF(I15&gt;0,J15*H15*I15/F15/1000,J15*H15/1000))</f>
        <v>0</v>
      </c>
      <c r="CK15" s="1184">
        <f t="shared" si="82"/>
        <v>0</v>
      </c>
      <c r="CL15" s="1184">
        <f t="shared" si="83"/>
        <v>0</v>
      </c>
      <c r="CM15" s="1184">
        <f t="shared" si="84"/>
        <v>0</v>
      </c>
      <c r="CN15" s="1184">
        <f t="shared" si="85"/>
        <v>0</v>
      </c>
      <c r="CO15" s="1184">
        <f t="shared" si="86"/>
        <v>0</v>
      </c>
      <c r="CP15" s="1184">
        <f t="shared" si="87"/>
        <v>0</v>
      </c>
      <c r="CQ15" s="1184">
        <f t="shared" si="88"/>
        <v>0</v>
      </c>
      <c r="CR15" s="1184">
        <f t="shared" si="89"/>
        <v>0</v>
      </c>
      <c r="CS15" s="1184">
        <f t="shared" si="90"/>
        <v>0</v>
      </c>
      <c r="CT15" s="1184">
        <f t="shared" si="91"/>
        <v>0</v>
      </c>
      <c r="CU15" s="1184">
        <f t="shared" ref="CU15:CU36" si="95">IF(OR(AND(R15&lt;0,OR(AND(CP15&lt;&gt;CK15,CM15&gt;0),AND(CP15&lt;&gt;CH15,CI15&gt;0))),      AND(COUNTIF($BR$14:$BR$68,BR15)&gt;1,COUNTIFS($BR$14:$BR$68,BR15,$R$14:$R$68,"&lt;0")&gt;0)),1,2)</f>
        <v>2</v>
      </c>
      <c r="CV15" s="1184">
        <f t="shared" ref="CV15:CV36" si="96">F15</f>
        <v>0</v>
      </c>
      <c r="CW15" s="1186">
        <f t="shared" ref="CW15:CW36" si="97">IF(CU15=2,IF(BT15=TRUE,SUM(J15,R15),SUM(J15,L15*M15/10,R15)),IF(BT15=TRUE,SUM(J15*CH15,R15*CP15)/CV15,SUM(J15*CH15,L15*M15/10*CK15,R15*CP15)/CV15))</f>
        <v>0</v>
      </c>
      <c r="CX15" s="1184"/>
      <c r="CY15" s="320" t="str">
        <f>Pflanzen!A11</f>
        <v>Weizenstroh</v>
      </c>
      <c r="CZ15" s="1200">
        <f>IFERROR(MATCH($CY15,Pflanzen!$C$5:$C$114,0),1)</f>
        <v>7</v>
      </c>
      <c r="DA15" s="320" cm="1">
        <f t="array" ref="DA15">INDEX(Pflanzen!$H$5:$H$114,'Lagerhaltung (freiwillig)'!CZ15)</f>
        <v>0</v>
      </c>
      <c r="DB15" s="1200">
        <f t="shared" si="32"/>
        <v>0</v>
      </c>
      <c r="DC15" s="1200">
        <f t="shared" si="32"/>
        <v>0</v>
      </c>
      <c r="DD15" s="1200">
        <f t="shared" si="32"/>
        <v>0</v>
      </c>
      <c r="DE15" s="1200">
        <f t="shared" si="32"/>
        <v>0</v>
      </c>
      <c r="DF15" s="1200">
        <f t="shared" si="32"/>
        <v>0</v>
      </c>
      <c r="DG15" s="1184">
        <f t="shared" si="32"/>
        <v>0</v>
      </c>
      <c r="DH15" s="1184">
        <f t="shared" si="32"/>
        <v>0</v>
      </c>
      <c r="DI15" s="1184">
        <f t="shared" si="32"/>
        <v>0</v>
      </c>
      <c r="DJ15" s="1184">
        <f t="shared" si="32"/>
        <v>0</v>
      </c>
      <c r="DK15" s="1184">
        <f t="shared" si="32"/>
        <v>0</v>
      </c>
      <c r="DL15" s="1184">
        <f t="shared" si="32"/>
        <v>0</v>
      </c>
      <c r="DM15" s="1184">
        <f t="shared" si="32"/>
        <v>0</v>
      </c>
      <c r="DN15" s="1184"/>
      <c r="DO15" s="1184">
        <f t="shared" si="33"/>
        <v>0</v>
      </c>
      <c r="DP15" s="1184">
        <f t="shared" si="33"/>
        <v>0</v>
      </c>
      <c r="DQ15" s="1184">
        <f t="shared" si="33"/>
        <v>0</v>
      </c>
      <c r="DR15" s="1184">
        <f t="shared" si="33"/>
        <v>0</v>
      </c>
      <c r="DS15" s="1184">
        <f t="shared" si="33"/>
        <v>0</v>
      </c>
      <c r="DT15" s="1184">
        <f t="shared" si="33"/>
        <v>0</v>
      </c>
      <c r="DU15" s="1184">
        <f t="shared" si="33"/>
        <v>0</v>
      </c>
      <c r="DV15" s="1184">
        <f t="shared" si="33"/>
        <v>0</v>
      </c>
      <c r="DW15" s="1184">
        <f t="shared" si="33"/>
        <v>0</v>
      </c>
      <c r="DX15" s="1184">
        <f t="shared" si="33"/>
        <v>0</v>
      </c>
      <c r="DY15" s="1184">
        <f t="shared" si="33"/>
        <v>0</v>
      </c>
      <c r="DZ15" s="1184">
        <f t="shared" si="33"/>
        <v>0</v>
      </c>
      <c r="EA15" s="1184"/>
      <c r="EB15" s="1184">
        <f t="shared" si="34"/>
        <v>0</v>
      </c>
      <c r="EC15" s="1184">
        <f t="shared" si="34"/>
        <v>0</v>
      </c>
      <c r="ED15" s="1184">
        <f t="shared" si="34"/>
        <v>0</v>
      </c>
      <c r="EE15" s="1184">
        <f t="shared" si="34"/>
        <v>0</v>
      </c>
      <c r="EF15" s="1184">
        <f t="shared" si="34"/>
        <v>0</v>
      </c>
      <c r="EG15" s="1184">
        <f t="shared" si="34"/>
        <v>0</v>
      </c>
      <c r="EH15" s="1184">
        <f t="shared" si="34"/>
        <v>0</v>
      </c>
      <c r="EI15" s="1184">
        <f t="shared" si="34"/>
        <v>0</v>
      </c>
      <c r="EJ15" s="1184">
        <f t="shared" si="34"/>
        <v>0</v>
      </c>
      <c r="EK15" s="1184">
        <f t="shared" si="34"/>
        <v>0</v>
      </c>
      <c r="EL15" s="1184">
        <f t="shared" si="34"/>
        <v>0</v>
      </c>
      <c r="EM15" s="1184">
        <f t="shared" si="34"/>
        <v>0</v>
      </c>
      <c r="EN15" s="1184"/>
      <c r="EO15" s="1184">
        <f t="shared" si="35"/>
        <v>0</v>
      </c>
      <c r="EP15" s="1184">
        <f t="shared" si="35"/>
        <v>0</v>
      </c>
      <c r="EQ15" s="1184">
        <f t="shared" si="35"/>
        <v>0</v>
      </c>
      <c r="ER15" s="1184">
        <f t="shared" si="35"/>
        <v>0</v>
      </c>
      <c r="ES15" s="1184">
        <f t="shared" si="35"/>
        <v>0</v>
      </c>
      <c r="ET15" s="1184">
        <f t="shared" si="35"/>
        <v>0</v>
      </c>
      <c r="EU15" s="1184">
        <f t="shared" si="35"/>
        <v>0</v>
      </c>
      <c r="EV15" s="1184">
        <f t="shared" si="35"/>
        <v>0</v>
      </c>
      <c r="EW15" s="1184">
        <f t="shared" si="35"/>
        <v>0</v>
      </c>
      <c r="EX15" s="1184">
        <f t="shared" si="35"/>
        <v>0</v>
      </c>
      <c r="EY15" s="1184">
        <f t="shared" si="35"/>
        <v>0</v>
      </c>
      <c r="EZ15" s="1184">
        <f t="shared" si="35"/>
        <v>0</v>
      </c>
      <c r="FA15" s="1184"/>
      <c r="FB15" s="1186">
        <f t="shared" si="51"/>
        <v>0</v>
      </c>
      <c r="FC15" s="1184">
        <f>FB15+DB15+EB15                 -         SUMIF('Nährstoffe und Lagerraum'!$AX$113:$AX$155,$CZ15,'Nährstoffe und Lagerraum'!$U$113:$U$155)/12  -$GD15*$HE15/12</f>
        <v>0</v>
      </c>
      <c r="FD15" s="1184">
        <f>FC15+DC15+EC15                 -         SUMIF('Nährstoffe und Lagerraum'!$AX$113:$AX$155,$CZ15,'Nährstoffe und Lagerraum'!$U$113:$U$155)/12  -$GD15*$HE15/12</f>
        <v>0</v>
      </c>
      <c r="FE15" s="1184">
        <f>FD15+DD15+ED15                 -         SUMIF('Nährstoffe und Lagerraum'!$AX$113:$AX$155,$CZ15,'Nährstoffe und Lagerraum'!$U$113:$U$155)/12  -$GD15*$HE15/12</f>
        <v>0</v>
      </c>
      <c r="FF15" s="1184">
        <f>FE15+DE15+EE15                 -         SUMIF('Nährstoffe und Lagerraum'!$AX$113:$AX$155,$CZ15,'Nährstoffe und Lagerraum'!$U$113:$U$155)/12  -$GD15*$HE15/12</f>
        <v>0</v>
      </c>
      <c r="FG15" s="1184">
        <f>FF15+DF15+EF15                 -         SUMIF('Nährstoffe und Lagerraum'!$AX$113:$AX$155,$CZ15,'Nährstoffe und Lagerraum'!$U$113:$U$155)/12  -$GD15*$HE15/12</f>
        <v>0</v>
      </c>
      <c r="FH15" s="1184">
        <f>FG15+DG15+EG15                 -         SUMIF('Nährstoffe und Lagerraum'!$AX$113:$AX$155,$CZ15,'Nährstoffe und Lagerraum'!$U$113:$U$155)/12  -$GD15*$HE15/12</f>
        <v>0</v>
      </c>
      <c r="FI15" s="1184">
        <f>FH15+DH15+EH15                 -         SUMIF('Nährstoffe und Lagerraum'!$AX$113:$AX$155,$CZ15,'Nährstoffe und Lagerraum'!$U$113:$U$155)/12  -$GD15*$HE15/12</f>
        <v>0</v>
      </c>
      <c r="FJ15" s="1184">
        <f>FI15+DI15+EI15                 -         SUMIF('Nährstoffe und Lagerraum'!$AX$113:$AX$155,$CZ15,'Nährstoffe und Lagerraum'!$U$113:$U$155)/12  -$GD15*$HE15/12</f>
        <v>0</v>
      </c>
      <c r="FK15" s="1184">
        <f>FJ15+DJ15+EJ15                 -         SUMIF('Nährstoffe und Lagerraum'!$AX$113:$AX$155,$CZ15,'Nährstoffe und Lagerraum'!$U$113:$U$155)/12  -$GD15*$HE15/12</f>
        <v>0</v>
      </c>
      <c r="FL15" s="1184">
        <f>FK15+DK15+EK15                 -         SUMIF('Nährstoffe und Lagerraum'!$AX$113:$AX$155,$CZ15,'Nährstoffe und Lagerraum'!$U$113:$U$155)/12  -$GD15*$HE15/12</f>
        <v>0</v>
      </c>
      <c r="FM15" s="1184">
        <f>FL15+DL15+EL15                 -         SUMIF('Nährstoffe und Lagerraum'!$AX$113:$AX$155,$CZ15,'Nährstoffe und Lagerraum'!$U$113:$U$155)/12  -$GD15*$HE15/12</f>
        <v>0</v>
      </c>
      <c r="FN15" s="1184">
        <f>FM15+DM15+EM15                 -         SUMIF('Nährstoffe und Lagerraum'!$AX$113:$AX$155,$CZ15,'Nährstoffe und Lagerraum'!$U$113:$U$155)/12  -$GD15*$HE15/12</f>
        <v>0</v>
      </c>
      <c r="FO15" s="1184"/>
      <c r="FP15" s="1186">
        <f t="shared" si="52"/>
        <v>0</v>
      </c>
      <c r="FQ15" s="1184">
        <f>FP15+DO15+EO15                 -         SUMIF('Nährstoffe und Lagerraum'!$AX$113:$AX$155,$CZ15,'Nährstoffe und Lagerraum'!$V$113:$V$155)/12  -$GE15*$HE15/12</f>
        <v>0</v>
      </c>
      <c r="FR15" s="1184">
        <f>FQ15+DP15+EP15                 -         SUMIF('Nährstoffe und Lagerraum'!$AX$113:$AX$155,$CZ15,'Nährstoffe und Lagerraum'!$V$113:$V$155)/12  -$GE15*$HE15/12</f>
        <v>0</v>
      </c>
      <c r="FS15" s="1184">
        <f>FR15+DQ15+EQ15                 -         SUMIF('Nährstoffe und Lagerraum'!$AX$113:$AX$155,$CZ15,'Nährstoffe und Lagerraum'!$V$113:$V$155)/12  -$GE15*$HE15/12</f>
        <v>0</v>
      </c>
      <c r="FT15" s="1184">
        <f>FS15+DR15+ER15                 -         SUMIF('Nährstoffe und Lagerraum'!$AX$113:$AX$155,$CZ15,'Nährstoffe und Lagerraum'!$V$113:$V$155)/12  -$GE15*$HE15/12</f>
        <v>0</v>
      </c>
      <c r="FU15" s="1184">
        <f>FT15+DS15+ES15                 -         SUMIF('Nährstoffe und Lagerraum'!$AX$113:$AX$155,$CZ15,'Nährstoffe und Lagerraum'!$V$113:$V$155)/12  -$GE15*$HE15/12</f>
        <v>0</v>
      </c>
      <c r="FV15" s="1184">
        <f>FU15+DT15+ET15                 -         SUMIF('Nährstoffe und Lagerraum'!$AX$113:$AX$155,$CZ15,'Nährstoffe und Lagerraum'!$V$113:$V$155)/12  -$GE15*$HE15/12</f>
        <v>0</v>
      </c>
      <c r="FW15" s="1184">
        <f>FV15+DU15+EU15                 -         SUMIF('Nährstoffe und Lagerraum'!$AX$113:$AX$155,$CZ15,'Nährstoffe und Lagerraum'!$V$113:$V$155)/12  -$GE15*$HE15/12</f>
        <v>0</v>
      </c>
      <c r="FX15" s="1184">
        <f>FW15+DV15+EV15                 -         SUMIF('Nährstoffe und Lagerraum'!$AX$113:$AX$155,$CZ15,'Nährstoffe und Lagerraum'!$V$113:$V$155)/12  -$GE15*$HE15/12</f>
        <v>0</v>
      </c>
      <c r="FY15" s="1184">
        <f>FX15+DW15+EW15                 -         SUMIF('Nährstoffe und Lagerraum'!$AX$113:$AX$155,$CZ15,'Nährstoffe und Lagerraum'!$V$113:$V$155)/12  -$GE15*$HE15/12</f>
        <v>0</v>
      </c>
      <c r="FZ15" s="1184">
        <f>FY15+DX15+EX15                 -         SUMIF('Nährstoffe und Lagerraum'!$AX$113:$AX$155,$CZ15,'Nährstoffe und Lagerraum'!$V$113:$V$155)/12  -$GE15*$HE15/12</f>
        <v>0</v>
      </c>
      <c r="GA15" s="1184">
        <f>FZ15+DY15+EY15                 -         SUMIF('Nährstoffe und Lagerraum'!$AX$113:$AX$155,$CZ15,'Nährstoffe und Lagerraum'!$V$113:$V$155)/12  -$GE15*$HE15/12</f>
        <v>0</v>
      </c>
      <c r="GB15" s="1184">
        <f>GA15+DZ15+EZ15                 -         SUMIF('Nährstoffe und Lagerraum'!$AX$113:$AX$155,$CZ15,'Nährstoffe und Lagerraum'!$V$113:$V$155)/12  -$GE15*$HE15/12</f>
        <v>0</v>
      </c>
      <c r="GC15" s="1184"/>
      <c r="GD15" s="1184">
        <f>SUMIFS($CI$14:$CI$68,$BR$14:$BR$68,$CZ15)+SUMIFS($CM$14:$CM$68,$BR$14:$BR$68,$CZ15)+SUMIFS($CR$14:$CR$68,$BR$14:$BR$68,$CZ15)  -         SUMIF('Nährstoffe und Lagerraum'!$AX$113:$AX$155,$CZ15,'Nährstoffe und Lagerraum'!$U$113:$U$155)</f>
        <v>0</v>
      </c>
      <c r="GE15" s="1184">
        <f>SUMIFS($CJ$14:$CJ$68,$BR$14:$BR$68,$CZ15)+SUMIFS($CO$14:$CO$68,$BR$14:$BR$68,$CZ15)+SUMIFS($CT$14:$CT$68,$BR$14:$BR$68,$CZ15)  -         SUMIF('Nährstoffe und Lagerraum'!$AX$113:$AX$155,$CZ15,'Nährstoffe und Lagerraum'!$V$113:$V$155)</f>
        <v>0</v>
      </c>
      <c r="GF15" s="1184"/>
      <c r="GG15" s="1184"/>
      <c r="GH15" s="1184">
        <f>SUMIF('Nährstoffe und Lagerraum'!$AX$113:$AX$155,$CZ15,'Nährstoffe und Lagerraum'!$U$113:$U$155)</f>
        <v>0</v>
      </c>
      <c r="GI15" s="1184">
        <f>SUMIF('Nährstoffe und Lagerraum'!$AX$113:$AX$155,$CZ15,'Nährstoffe und Lagerraum'!$V$113:$V$155)</f>
        <v>0</v>
      </c>
      <c r="GJ15" s="1184">
        <f t="shared" si="53"/>
        <v>0</v>
      </c>
      <c r="GK15" s="1184">
        <f t="shared" si="54"/>
        <v>0</v>
      </c>
      <c r="GL15" s="1184">
        <f t="shared" si="55"/>
        <v>0</v>
      </c>
      <c r="GM15" s="1184">
        <f t="shared" si="56"/>
        <v>0</v>
      </c>
      <c r="GN15" s="1184">
        <f t="shared" si="57"/>
        <v>0</v>
      </c>
      <c r="GO15" s="1184" cm="1">
        <f t="array" ref="GO15">IF(GN15=0,0,(IFERROR(SUMPRODUCT($J$14:$J$68,$CH$14:$CH$68,($BR$14:$BR$68=CZ15)*1)+SUMPRODUCT($L$14:$L$68,$M$14:$M$68,$CK$14:$CK$68,($BR$14:$BR$68=CZ15)*1,($BT$14:$BT$68=FALSE)*1)/10+SUMPRODUCT($R$14:$R$68,$CP$14:$CP$68,($BR$14:$BR$68=CZ15)*1),0))/GN15)</f>
        <v>0</v>
      </c>
      <c r="GP15" s="1184">
        <f t="shared" si="58"/>
        <v>0</v>
      </c>
      <c r="GQ15" s="1184">
        <f>(SUMIF('Nährstoffe und Lagerraum'!$AX$113:$AX$130,'Lagerhaltung (freiwillig)'!CZ15,'Nährstoffe und Lagerraum'!$D$113:$D$130)+SUMIF('Nährstoffe und Lagerraum'!$AX$137:$AX$155,'Lagerhaltung (freiwillig)'!CZ15,'Nährstoffe und Lagerraum'!$E$137:$E$155))</f>
        <v>0</v>
      </c>
      <c r="GR15" s="1184" cm="1">
        <f t="array" ref="GR15">IF(GQ15=0,0,(IFERROR(SUMPRODUCT('Nährstoffe und Lagerraum'!$D$113:$D$130,'Nährstoffe und Lagerraum'!$F$113:$F$130,('Nährstoffe und Lagerraum'!$AX$113:$AX$130='Lagerhaltung (freiwillig)'!CZ15)*1)+SUMPRODUCT('Nährstoffe und Lagerraum'!$E$137:$E$155,'Nährstoffe und Lagerraum'!$F$137:$F$155,('Nährstoffe und Lagerraum'!$AX$137:$AX$155='Lagerhaltung (freiwillig)'!CZ15)*1),0))/GQ15)</f>
        <v>0</v>
      </c>
      <c r="GS15" s="1184">
        <f t="shared" si="59"/>
        <v>0</v>
      </c>
      <c r="GT15" s="1184">
        <f t="shared" si="60"/>
        <v>0</v>
      </c>
      <c r="GU15" s="1184">
        <f t="shared" si="61"/>
        <v>0</v>
      </c>
      <c r="GV15" s="1184">
        <f t="shared" si="62"/>
        <v>0</v>
      </c>
      <c r="GW15" s="1186" t="str">
        <f t="shared" si="41"/>
        <v xml:space="preserve"> </v>
      </c>
      <c r="GX15" s="1186" t="str">
        <f t="shared" si="41"/>
        <v xml:space="preserve"> </v>
      </c>
      <c r="GY15" s="1195">
        <f t="shared" si="63"/>
        <v>0</v>
      </c>
      <c r="GZ15" s="1184">
        <f t="shared" si="64"/>
        <v>0</v>
      </c>
      <c r="HA15" s="1184" t="str">
        <f t="shared" si="44"/>
        <v>a</v>
      </c>
      <c r="HB15" s="1196">
        <f t="shared" si="65"/>
        <v>0</v>
      </c>
      <c r="HC15" s="1196">
        <f t="shared" si="66"/>
        <v>0</v>
      </c>
      <c r="HD15" s="1196"/>
      <c r="HE15" s="1187">
        <f t="shared" si="67"/>
        <v>0</v>
      </c>
      <c r="HF15" s="1196">
        <f t="shared" si="68"/>
        <v>0</v>
      </c>
      <c r="HG15" s="1196">
        <f t="shared" si="69"/>
        <v>0</v>
      </c>
      <c r="HH15" s="1196">
        <f t="shared" si="70"/>
        <v>0</v>
      </c>
      <c r="HI15" s="1328" cm="1">
        <f t="array" ref="HI15">IF(AND(HG15=0,GL15=0),0,IF(HG15=0,1,IF(OR(GL15*1000/HG15/HH15&gt;INDEX(Pflanzen!$W$5:$W$104,CZ15)/INDEX(Pflanzen!$I$5:$I$104,CZ15)*$HI$1,GL15*1000/HG15/HH15&lt;INDEX(Pflanzen!$W$5:$W$104,CZ15)/INDEX(Pflanzen!$I$5:$I$104,CZ15)/$HI$1),1,0)))</f>
        <v>0</v>
      </c>
      <c r="HJ15" s="1328" cm="1">
        <f t="array" ref="HJ15">IF(AND(GM15=0,HG15=0),0,IF(HG15=0,1,IF(OR(GM15*1000/HG15/HH15&gt;INDEX(Pflanzen!$X$5:$X$104,CZ15)/INDEX(Pflanzen!$I$5:$I$104,CZ15)*$HI$1,GM15*1000/HG15/HH15&lt;INDEX(Pflanzen!$X$5:$X$104,CZ15)/INDEX(Pflanzen!$I$5:$I$104,CZ15)/$HI$1),1,0)))</f>
        <v>0</v>
      </c>
      <c r="HK15" s="1184">
        <f t="shared" si="71"/>
        <v>3</v>
      </c>
      <c r="HL15" s="1184"/>
      <c r="HN15" s="1184"/>
      <c r="HO15" s="1193" t="str">
        <f>Tiere!B41</f>
        <v>Männliche Rinder über 2 Jahre, Zuchtbullen</v>
      </c>
      <c r="HP15" s="1184">
        <v>12</v>
      </c>
      <c r="HQ15" s="1194">
        <f>SUMIF('Nährstoffe und Lagerraum'!$BM$68:$BM$87,'Lagerhaltung (freiwillig)'!HP15,'Nährstoffe und Lagerraum'!$Z$68:$Z$87)+SUMIF('Nährstoffe und Lagerraum'!$BM$68:$BM$87,'Lagerhaltung (freiwillig)'!HP15,'Nährstoffe und Lagerraum'!$AA$68:$AA$87)</f>
        <v>0</v>
      </c>
      <c r="HR15" s="1184" cm="1">
        <f t="array" ref="HR15">INDEX(Tiere!$C$30:$C$114,'Lagerhaltung (freiwillig)'!HP15)</f>
        <v>1</v>
      </c>
      <c r="HS15" s="1184" cm="1">
        <f t="array" ref="HS15">INDEX(Tiere!$H$30:$H$114,'Lagerhaltung (freiwillig)'!HP15)</f>
        <v>62</v>
      </c>
      <c r="HT15" s="1184">
        <f t="shared" si="12"/>
        <v>0</v>
      </c>
      <c r="HU15" s="1184" cm="1">
        <f t="array" ref="HU15">INDEX(Tiere!$I$30:$I$114,'Lagerhaltung (freiwillig)'!HP15)</f>
        <v>19.399999999999999</v>
      </c>
      <c r="HV15" s="1184">
        <f t="shared" si="13"/>
        <v>0</v>
      </c>
      <c r="HW15" s="1184" cm="1">
        <f t="array" ref="HW15">INDEX(Tiere!$BC$30:$BC$114,'Lagerhaltung (freiwillig)'!HP15)</f>
        <v>10.8</v>
      </c>
      <c r="HX15" s="1184">
        <f t="shared" si="14"/>
        <v>0</v>
      </c>
      <c r="HY15" s="1184" cm="1">
        <f t="array" ref="HY15">INDEX(Tiere!$BD$30:$BD$114,'Lagerhaltung (freiwillig)'!HP15)</f>
        <v>5.96</v>
      </c>
      <c r="HZ15" s="1184">
        <f t="shared" si="15"/>
        <v>0</v>
      </c>
      <c r="IA15" s="1184"/>
      <c r="IB15" s="1184"/>
      <c r="IC15" s="1184"/>
      <c r="ID15" s="1184"/>
      <c r="IE15" s="1184"/>
      <c r="IF15" s="1184"/>
      <c r="IG15" s="1184"/>
      <c r="IH15" s="1184"/>
      <c r="II15" s="1184"/>
      <c r="IJ15" s="1184"/>
      <c r="IK15" s="1184"/>
      <c r="IL15" s="1184"/>
    </row>
    <row r="16" spans="1:247" ht="15.6" customHeight="1" x14ac:dyDescent="0.2">
      <c r="A16" s="725"/>
      <c r="B16" s="726"/>
      <c r="C16" s="726"/>
      <c r="D16" s="726"/>
      <c r="E16" s="726"/>
      <c r="F16" s="1466" cm="1">
        <f t="array" ref="F16">INDEX(Pflanzen!$I$5:$I$104,BR16)</f>
        <v>0</v>
      </c>
      <c r="G16" s="1467" cm="1">
        <f t="array" ref="G16">INDEX(Pflanzen!$W$5:$W$104,BR16)</f>
        <v>0</v>
      </c>
      <c r="H16" s="1468" cm="1">
        <f t="array" ref="H16">INDEX(Pflanzen!$X$5:$X$104,BR16)</f>
        <v>0</v>
      </c>
      <c r="I16" s="1122"/>
      <c r="J16" s="1303"/>
      <c r="K16" s="1122"/>
      <c r="L16" s="1487"/>
      <c r="M16" s="1491"/>
      <c r="N16" s="1487"/>
      <c r="O16" s="1487"/>
      <c r="P16" s="1292"/>
      <c r="Q16" s="2180"/>
      <c r="R16" s="1487"/>
      <c r="S16" s="1491"/>
      <c r="T16" s="1303"/>
      <c r="U16" s="725"/>
      <c r="V16" s="1346" t="str">
        <f t="shared" si="92"/>
        <v/>
      </c>
      <c r="Y16" s="1554" t="str" cm="1">
        <f t="array" ref="Y16">IFERROR(INDEX($CY$4:$CY$165,AY16),"")</f>
        <v/>
      </c>
      <c r="Z16" s="1555"/>
      <c r="AA16" s="1555"/>
      <c r="AB16" s="1555"/>
      <c r="AC16" s="1454" t="str" cm="1">
        <f t="array" ref="AC16">IFERROR(INDEX($GN$4:$GN$165,AY16),"")</f>
        <v/>
      </c>
      <c r="AD16" s="1454" t="str" cm="1">
        <f t="array" ref="AD16">IFERROR(INDEX($GO$4:$GO$165,AY16),"")</f>
        <v/>
      </c>
      <c r="AE16" s="1454" t="str" cm="1">
        <f t="array" ref="AE16">IFERROR(INDEX($GJ$4:$GJ$165,AY16),"")</f>
        <v/>
      </c>
      <c r="AF16" s="1454" t="str" cm="1">
        <f t="array" ref="AF16">IFERROR(INDEX($GK$4:$GK$165,AY16),"")</f>
        <v/>
      </c>
      <c r="AG16" s="1454" t="str" cm="1">
        <f t="array" ref="AG16">IFERROR(INDEX($GQ$4:$GQ$165,AY16),"")</f>
        <v/>
      </c>
      <c r="AH16" s="1454" t="str" cm="1">
        <f t="array" ref="AH16">IFERROR(INDEX($GR$4:$GR$165,AY16),"")</f>
        <v/>
      </c>
      <c r="AI16" s="1454" t="str" cm="1">
        <f t="array" ref="AI16">IFERROR(INDEX($GH$4:$GH$165,AY16),"")</f>
        <v/>
      </c>
      <c r="AJ16" s="1454" t="str" cm="1">
        <f t="array" ref="AJ16">IFERROR(INDEX($GI$4:$GI$165,AY16),"")</f>
        <v/>
      </c>
      <c r="AK16" s="1454" t="str" cm="1">
        <f t="array" ref="AK16">IFERROR(INDEX($GU$4:$GU$165,AY16),"")</f>
        <v/>
      </c>
      <c r="AL16" s="1455" t="str" cm="1">
        <f t="array" ref="AL16">IFERROR(INDEX($GV$4:$GV$165,AY16),"")</f>
        <v/>
      </c>
      <c r="AM16" s="1454" t="str" cm="1">
        <f t="array" ref="AM16">IFERROR(INDEX($GD$4:$GD$165,AY16),"")</f>
        <v/>
      </c>
      <c r="AN16" s="1454" t="str" cm="1">
        <f t="array" ref="AN16">IFERROR(INDEX($GE$4:$GE$165,AY16),"")</f>
        <v/>
      </c>
      <c r="AO16" s="1455" t="str" cm="1">
        <f t="array" ref="AO16">IFERROR(INDEX($GW$4:$GW$165,AY16),"")</f>
        <v/>
      </c>
      <c r="AP16" s="1455" t="str" cm="1">
        <f t="array" ref="AP16">IFERROR(INDEX($GZ$4:$GZ$165,AY16),"")</f>
        <v/>
      </c>
      <c r="AQ16" s="1457"/>
      <c r="AR16" s="1454" t="str" cm="1">
        <f t="array" ref="AR16">IFERROR(INDEX($HF$4:$HF$165,AY16),"")</f>
        <v/>
      </c>
      <c r="AS16" s="1454" t="str" cm="1">
        <f t="array" ref="AS16">IFERROR(INDEX($HG$4:$HG$165,AY16),"")</f>
        <v/>
      </c>
      <c r="AT16" s="1454" t="str" cm="1">
        <f t="array" ref="AT16">IFERROR(INDEX($HH$4:$HH$165,AY16),"")</f>
        <v/>
      </c>
      <c r="AU16" s="1454" t="str" cm="1">
        <f t="array" ref="AU16">IFERROR(INDEX($GL$4:$GL$165,AY16),"")</f>
        <v/>
      </c>
      <c r="AV16" s="1454" t="str" cm="1">
        <f t="array" ref="AV16">IFERROR(INDEX($GM$4:$GM$165,AY16),"")</f>
        <v/>
      </c>
      <c r="AY16" s="1184" t="str" cm="1">
        <f t="array" ref="AY16">IFERROR(SMALL(IF($HK$4:$HK$165=1,ROW($HK$4:$HK$165)-3),ROW(W4)),IFERROR(SMALL(IF($HK$4:$HK$165=2,ROW($HK$4:$HK$165)-3),ROW(W4)-COUNTIF($HK$4:$HK$165,1)),IFERROR(SMALL(IF($HK$4:$HK$165=0,ROW($HK$4:$HK$165)-3),ROW(W4)-COUNTIF($HK$4:$HK$165,1)-COUNTIF($HK$4:$HK$165,2)),"")))</f>
        <v/>
      </c>
      <c r="AZ16" s="1184" t="str">
        <f t="shared" si="72"/>
        <v>a</v>
      </c>
      <c r="BA16" s="1194" t="e">
        <f t="shared" si="73"/>
        <v>#VALUE!</v>
      </c>
      <c r="BB16" s="1194" cm="1">
        <f t="array" ref="BB16">IFERROR(INDEX($HK$4:$HK$165,AY16),0)</f>
        <v>0</v>
      </c>
      <c r="BC16" s="1194">
        <f t="shared" si="74"/>
        <v>0</v>
      </c>
      <c r="BD16" s="1194"/>
      <c r="BE16" s="1343"/>
      <c r="BF16" s="1343"/>
      <c r="BG16" s="1343"/>
      <c r="BH16" s="1343"/>
      <c r="BI16" s="1343"/>
      <c r="BJ16" s="1343"/>
      <c r="BK16" s="1343"/>
      <c r="BL16" s="1343"/>
      <c r="BM16" s="1343"/>
      <c r="BN16" s="1343"/>
      <c r="BO16" s="1343"/>
      <c r="BQ16" s="1184"/>
      <c r="BR16" s="1184">
        <v>1</v>
      </c>
      <c r="BS16" s="1184"/>
      <c r="BT16" s="1184" t="b">
        <v>0</v>
      </c>
      <c r="BU16" s="1199"/>
      <c r="BV16" s="1199"/>
      <c r="BW16" s="1184">
        <f t="shared" si="75"/>
        <v>12</v>
      </c>
      <c r="BX16" s="1184">
        <f t="shared" si="76"/>
        <v>0</v>
      </c>
      <c r="BY16" s="1184">
        <f t="shared" si="77"/>
        <v>12</v>
      </c>
      <c r="BZ16" s="1184" cm="1">
        <f t="array" ref="BZ16">INDEX(Pflanzen!$AB$5:$AB$114,'Lagerhaltung (freiwillig)'!BR16)</f>
        <v>0</v>
      </c>
      <c r="CA16" s="1184" cm="1">
        <f t="array" ref="CA16">IF(BZ16=1,INDEX(Pflanzen!$AC$5:$AC$114,BR16),N16)</f>
        <v>0</v>
      </c>
      <c r="CB16" s="1184" cm="1">
        <f t="array" ref="CB16">IF(BZ16=1,INDEX(Pflanzen!$AD$5:$AD$114,BR16),O16)</f>
        <v>0</v>
      </c>
      <c r="CC16" s="1184">
        <f t="shared" si="78"/>
        <v>12</v>
      </c>
      <c r="CD16" s="1184">
        <f t="shared" si="79"/>
        <v>0</v>
      </c>
      <c r="CE16" s="1184">
        <f t="shared" si="80"/>
        <v>12</v>
      </c>
      <c r="CF16" s="1184" cm="1">
        <f t="array" ref="CF16">INDEX(Pflanzen!$F$5:$F$114,BR16)</f>
        <v>0</v>
      </c>
      <c r="CG16" s="1184" cm="1">
        <f t="array" ref="CG16">INDEX(Pflanzen!$G$5:$G$114,BR16)</f>
        <v>0</v>
      </c>
      <c r="CH16" s="1184">
        <f t="shared" si="81"/>
        <v>0</v>
      </c>
      <c r="CI16" s="1184">
        <f t="shared" si="93"/>
        <v>0</v>
      </c>
      <c r="CJ16" s="1184">
        <f t="shared" si="94"/>
        <v>0</v>
      </c>
      <c r="CK16" s="1184">
        <f t="shared" si="82"/>
        <v>0</v>
      </c>
      <c r="CL16" s="1184">
        <f t="shared" si="83"/>
        <v>0</v>
      </c>
      <c r="CM16" s="1184">
        <f t="shared" si="84"/>
        <v>0</v>
      </c>
      <c r="CN16" s="1184">
        <f t="shared" si="85"/>
        <v>0</v>
      </c>
      <c r="CO16" s="1184">
        <f t="shared" si="86"/>
        <v>0</v>
      </c>
      <c r="CP16" s="1184">
        <f t="shared" si="87"/>
        <v>0</v>
      </c>
      <c r="CQ16" s="1184">
        <f t="shared" si="88"/>
        <v>0</v>
      </c>
      <c r="CR16" s="1184">
        <f t="shared" si="89"/>
        <v>0</v>
      </c>
      <c r="CS16" s="1184">
        <f t="shared" si="90"/>
        <v>0</v>
      </c>
      <c r="CT16" s="1184">
        <f t="shared" si="91"/>
        <v>0</v>
      </c>
      <c r="CU16" s="1184">
        <f t="shared" si="95"/>
        <v>2</v>
      </c>
      <c r="CV16" s="1184">
        <f t="shared" si="96"/>
        <v>0</v>
      </c>
      <c r="CW16" s="1186">
        <f t="shared" si="97"/>
        <v>0</v>
      </c>
      <c r="CX16" s="1184"/>
      <c r="CY16" s="320" t="str">
        <f>Pflanzen!A12</f>
        <v>Gerstenstroh</v>
      </c>
      <c r="CZ16" s="1200">
        <f>IFERROR(MATCH($CY16,Pflanzen!$C$5:$C$114,0),1)</f>
        <v>8</v>
      </c>
      <c r="DA16" s="320" cm="1">
        <f t="array" ref="DA16">INDEX(Pflanzen!$H$5:$H$114,'Lagerhaltung (freiwillig)'!CZ16)</f>
        <v>0</v>
      </c>
      <c r="DB16" s="1200">
        <f t="shared" si="32"/>
        <v>0</v>
      </c>
      <c r="DC16" s="1200">
        <f t="shared" si="32"/>
        <v>0</v>
      </c>
      <c r="DD16" s="1200">
        <f t="shared" si="32"/>
        <v>0</v>
      </c>
      <c r="DE16" s="1200">
        <f t="shared" si="32"/>
        <v>0</v>
      </c>
      <c r="DF16" s="1200">
        <f t="shared" si="32"/>
        <v>0</v>
      </c>
      <c r="DG16" s="1184">
        <f t="shared" si="32"/>
        <v>0</v>
      </c>
      <c r="DH16" s="1184">
        <f t="shared" si="32"/>
        <v>0</v>
      </c>
      <c r="DI16" s="1184">
        <f t="shared" si="32"/>
        <v>0</v>
      </c>
      <c r="DJ16" s="1184">
        <f t="shared" si="32"/>
        <v>0</v>
      </c>
      <c r="DK16" s="1184">
        <f t="shared" si="32"/>
        <v>0</v>
      </c>
      <c r="DL16" s="1184">
        <f t="shared" si="32"/>
        <v>0</v>
      </c>
      <c r="DM16" s="1184">
        <f t="shared" si="32"/>
        <v>0</v>
      </c>
      <c r="DN16" s="1184"/>
      <c r="DO16" s="1184">
        <f t="shared" si="33"/>
        <v>0</v>
      </c>
      <c r="DP16" s="1184">
        <f t="shared" si="33"/>
        <v>0</v>
      </c>
      <c r="DQ16" s="1184">
        <f t="shared" si="33"/>
        <v>0</v>
      </c>
      <c r="DR16" s="1184">
        <f t="shared" si="33"/>
        <v>0</v>
      </c>
      <c r="DS16" s="1184">
        <f t="shared" si="33"/>
        <v>0</v>
      </c>
      <c r="DT16" s="1184">
        <f t="shared" si="33"/>
        <v>0</v>
      </c>
      <c r="DU16" s="1184">
        <f t="shared" si="33"/>
        <v>0</v>
      </c>
      <c r="DV16" s="1184">
        <f t="shared" si="33"/>
        <v>0</v>
      </c>
      <c r="DW16" s="1184">
        <f t="shared" si="33"/>
        <v>0</v>
      </c>
      <c r="DX16" s="1184">
        <f t="shared" si="33"/>
        <v>0</v>
      </c>
      <c r="DY16" s="1184">
        <f t="shared" si="33"/>
        <v>0</v>
      </c>
      <c r="DZ16" s="1184">
        <f t="shared" si="33"/>
        <v>0</v>
      </c>
      <c r="EA16" s="1184"/>
      <c r="EB16" s="1184">
        <f t="shared" si="34"/>
        <v>0</v>
      </c>
      <c r="EC16" s="1184">
        <f t="shared" si="34"/>
        <v>0</v>
      </c>
      <c r="ED16" s="1184">
        <f t="shared" si="34"/>
        <v>0</v>
      </c>
      <c r="EE16" s="1184">
        <f t="shared" si="34"/>
        <v>0</v>
      </c>
      <c r="EF16" s="1184">
        <f t="shared" si="34"/>
        <v>0</v>
      </c>
      <c r="EG16" s="1184">
        <f t="shared" si="34"/>
        <v>0</v>
      </c>
      <c r="EH16" s="1184">
        <f t="shared" si="34"/>
        <v>0</v>
      </c>
      <c r="EI16" s="1184">
        <f t="shared" si="34"/>
        <v>0</v>
      </c>
      <c r="EJ16" s="1184">
        <f t="shared" si="34"/>
        <v>0</v>
      </c>
      <c r="EK16" s="1184">
        <f t="shared" si="34"/>
        <v>0</v>
      </c>
      <c r="EL16" s="1184">
        <f t="shared" si="34"/>
        <v>0</v>
      </c>
      <c r="EM16" s="1184">
        <f t="shared" si="34"/>
        <v>0</v>
      </c>
      <c r="EN16" s="1184"/>
      <c r="EO16" s="1184">
        <f t="shared" si="35"/>
        <v>0</v>
      </c>
      <c r="EP16" s="1184">
        <f t="shared" si="35"/>
        <v>0</v>
      </c>
      <c r="EQ16" s="1184">
        <f t="shared" si="35"/>
        <v>0</v>
      </c>
      <c r="ER16" s="1184">
        <f t="shared" si="35"/>
        <v>0</v>
      </c>
      <c r="ES16" s="1184">
        <f t="shared" si="35"/>
        <v>0</v>
      </c>
      <c r="ET16" s="1184">
        <f t="shared" si="35"/>
        <v>0</v>
      </c>
      <c r="EU16" s="1184">
        <f t="shared" si="35"/>
        <v>0</v>
      </c>
      <c r="EV16" s="1184">
        <f t="shared" si="35"/>
        <v>0</v>
      </c>
      <c r="EW16" s="1184">
        <f t="shared" si="35"/>
        <v>0</v>
      </c>
      <c r="EX16" s="1184">
        <f t="shared" si="35"/>
        <v>0</v>
      </c>
      <c r="EY16" s="1184">
        <f t="shared" si="35"/>
        <v>0</v>
      </c>
      <c r="EZ16" s="1184">
        <f t="shared" si="35"/>
        <v>0</v>
      </c>
      <c r="FA16" s="1184"/>
      <c r="FB16" s="1186">
        <f t="shared" si="51"/>
        <v>0</v>
      </c>
      <c r="FC16" s="1184">
        <f>FB16+DB16+EB16                 -         SUMIF('Nährstoffe und Lagerraum'!$AX$113:$AX$155,$CZ16,'Nährstoffe und Lagerraum'!$U$113:$U$155)/12  -$GD16*$HE16/12</f>
        <v>0</v>
      </c>
      <c r="FD16" s="1184">
        <f>FC16+DC16+EC16                 -         SUMIF('Nährstoffe und Lagerraum'!$AX$113:$AX$155,$CZ16,'Nährstoffe und Lagerraum'!$U$113:$U$155)/12  -$GD16*$HE16/12</f>
        <v>0</v>
      </c>
      <c r="FE16" s="1184">
        <f>FD16+DD16+ED16                 -         SUMIF('Nährstoffe und Lagerraum'!$AX$113:$AX$155,$CZ16,'Nährstoffe und Lagerraum'!$U$113:$U$155)/12  -$GD16*$HE16/12</f>
        <v>0</v>
      </c>
      <c r="FF16" s="1184">
        <f>FE16+DE16+EE16                 -         SUMIF('Nährstoffe und Lagerraum'!$AX$113:$AX$155,$CZ16,'Nährstoffe und Lagerraum'!$U$113:$U$155)/12  -$GD16*$HE16/12</f>
        <v>0</v>
      </c>
      <c r="FG16" s="1184">
        <f>FF16+DF16+EF16                 -         SUMIF('Nährstoffe und Lagerraum'!$AX$113:$AX$155,$CZ16,'Nährstoffe und Lagerraum'!$U$113:$U$155)/12  -$GD16*$HE16/12</f>
        <v>0</v>
      </c>
      <c r="FH16" s="1184">
        <f>FG16+DG16+EG16                 -         SUMIF('Nährstoffe und Lagerraum'!$AX$113:$AX$155,$CZ16,'Nährstoffe und Lagerraum'!$U$113:$U$155)/12  -$GD16*$HE16/12</f>
        <v>0</v>
      </c>
      <c r="FI16" s="1184">
        <f>FH16+DH16+EH16                 -         SUMIF('Nährstoffe und Lagerraum'!$AX$113:$AX$155,$CZ16,'Nährstoffe und Lagerraum'!$U$113:$U$155)/12  -$GD16*$HE16/12</f>
        <v>0</v>
      </c>
      <c r="FJ16" s="1184">
        <f>FI16+DI16+EI16                 -         SUMIF('Nährstoffe und Lagerraum'!$AX$113:$AX$155,$CZ16,'Nährstoffe und Lagerraum'!$U$113:$U$155)/12  -$GD16*$HE16/12</f>
        <v>0</v>
      </c>
      <c r="FK16" s="1184">
        <f>FJ16+DJ16+EJ16                 -         SUMIF('Nährstoffe und Lagerraum'!$AX$113:$AX$155,$CZ16,'Nährstoffe und Lagerraum'!$U$113:$U$155)/12  -$GD16*$HE16/12</f>
        <v>0</v>
      </c>
      <c r="FL16" s="1184">
        <f>FK16+DK16+EK16                 -         SUMIF('Nährstoffe und Lagerraum'!$AX$113:$AX$155,$CZ16,'Nährstoffe und Lagerraum'!$U$113:$U$155)/12  -$GD16*$HE16/12</f>
        <v>0</v>
      </c>
      <c r="FM16" s="1184">
        <f>FL16+DL16+EL16                 -         SUMIF('Nährstoffe und Lagerraum'!$AX$113:$AX$155,$CZ16,'Nährstoffe und Lagerraum'!$U$113:$U$155)/12  -$GD16*$HE16/12</f>
        <v>0</v>
      </c>
      <c r="FN16" s="1184">
        <f>FM16+DM16+EM16                 -         SUMIF('Nährstoffe und Lagerraum'!$AX$113:$AX$155,$CZ16,'Nährstoffe und Lagerraum'!$U$113:$U$155)/12  -$GD16*$HE16/12</f>
        <v>0</v>
      </c>
      <c r="FO16" s="1184"/>
      <c r="FP16" s="1186">
        <f t="shared" si="52"/>
        <v>0</v>
      </c>
      <c r="FQ16" s="1184">
        <f>FP16+DO16+EO16                 -         SUMIF('Nährstoffe und Lagerraum'!$AX$113:$AX$155,$CZ16,'Nährstoffe und Lagerraum'!$V$113:$V$155)/12  -$GE16*$HE16/12</f>
        <v>0</v>
      </c>
      <c r="FR16" s="1184">
        <f>FQ16+DP16+EP16                 -         SUMIF('Nährstoffe und Lagerraum'!$AX$113:$AX$155,$CZ16,'Nährstoffe und Lagerraum'!$V$113:$V$155)/12  -$GE16*$HE16/12</f>
        <v>0</v>
      </c>
      <c r="FS16" s="1184">
        <f>FR16+DQ16+EQ16                 -         SUMIF('Nährstoffe und Lagerraum'!$AX$113:$AX$155,$CZ16,'Nährstoffe und Lagerraum'!$V$113:$V$155)/12  -$GE16*$HE16/12</f>
        <v>0</v>
      </c>
      <c r="FT16" s="1184">
        <f>FS16+DR16+ER16                 -         SUMIF('Nährstoffe und Lagerraum'!$AX$113:$AX$155,$CZ16,'Nährstoffe und Lagerraum'!$V$113:$V$155)/12  -$GE16*$HE16/12</f>
        <v>0</v>
      </c>
      <c r="FU16" s="1184">
        <f>FT16+DS16+ES16                 -         SUMIF('Nährstoffe und Lagerraum'!$AX$113:$AX$155,$CZ16,'Nährstoffe und Lagerraum'!$V$113:$V$155)/12  -$GE16*$HE16/12</f>
        <v>0</v>
      </c>
      <c r="FV16" s="1184">
        <f>FU16+DT16+ET16                 -         SUMIF('Nährstoffe und Lagerraum'!$AX$113:$AX$155,$CZ16,'Nährstoffe und Lagerraum'!$V$113:$V$155)/12  -$GE16*$HE16/12</f>
        <v>0</v>
      </c>
      <c r="FW16" s="1184">
        <f>FV16+DU16+EU16                 -         SUMIF('Nährstoffe und Lagerraum'!$AX$113:$AX$155,$CZ16,'Nährstoffe und Lagerraum'!$V$113:$V$155)/12  -$GE16*$HE16/12</f>
        <v>0</v>
      </c>
      <c r="FX16" s="1184">
        <f>FW16+DV16+EV16                 -         SUMIF('Nährstoffe und Lagerraum'!$AX$113:$AX$155,$CZ16,'Nährstoffe und Lagerraum'!$V$113:$V$155)/12  -$GE16*$HE16/12</f>
        <v>0</v>
      </c>
      <c r="FY16" s="1184">
        <f>FX16+DW16+EW16                 -         SUMIF('Nährstoffe und Lagerraum'!$AX$113:$AX$155,$CZ16,'Nährstoffe und Lagerraum'!$V$113:$V$155)/12  -$GE16*$HE16/12</f>
        <v>0</v>
      </c>
      <c r="FZ16" s="1184">
        <f>FY16+DX16+EX16                 -         SUMIF('Nährstoffe und Lagerraum'!$AX$113:$AX$155,$CZ16,'Nährstoffe und Lagerraum'!$V$113:$V$155)/12  -$GE16*$HE16/12</f>
        <v>0</v>
      </c>
      <c r="GA16" s="1184">
        <f>FZ16+DY16+EY16                 -         SUMIF('Nährstoffe und Lagerraum'!$AX$113:$AX$155,$CZ16,'Nährstoffe und Lagerraum'!$V$113:$V$155)/12  -$GE16*$HE16/12</f>
        <v>0</v>
      </c>
      <c r="GB16" s="1184">
        <f>GA16+DZ16+EZ16                 -         SUMIF('Nährstoffe und Lagerraum'!$AX$113:$AX$155,$CZ16,'Nährstoffe und Lagerraum'!$V$113:$V$155)/12  -$GE16*$HE16/12</f>
        <v>0</v>
      </c>
      <c r="GC16" s="1184"/>
      <c r="GD16" s="1184">
        <f>SUMIFS($CI$14:$CI$68,$BR$14:$BR$68,$CZ16)+SUMIFS($CM$14:$CM$68,$BR$14:$BR$68,$CZ16)+SUMIFS($CR$14:$CR$68,$BR$14:$BR$68,$CZ16)  -         SUMIF('Nährstoffe und Lagerraum'!$AX$113:$AX$155,$CZ16,'Nährstoffe und Lagerraum'!$U$113:$U$155)</f>
        <v>0</v>
      </c>
      <c r="GE16" s="1184">
        <f>SUMIFS($CJ$14:$CJ$68,$BR$14:$BR$68,$CZ16)+SUMIFS($CO$14:$CO$68,$BR$14:$BR$68,$CZ16)+SUMIFS($CT$14:$CT$68,$BR$14:$BR$68,$CZ16)  -         SUMIF('Nährstoffe und Lagerraum'!$AX$113:$AX$155,$CZ16,'Nährstoffe und Lagerraum'!$V$113:$V$155)</f>
        <v>0</v>
      </c>
      <c r="GF16" s="1184"/>
      <c r="GG16" s="1184"/>
      <c r="GH16" s="1184">
        <f>SUMIF('Nährstoffe und Lagerraum'!$AX$113:$AX$155,$CZ16,'Nährstoffe und Lagerraum'!$U$113:$U$155)</f>
        <v>0</v>
      </c>
      <c r="GI16" s="1184">
        <f>SUMIF('Nährstoffe und Lagerraum'!$AX$113:$AX$155,$CZ16,'Nährstoffe und Lagerraum'!$V$113:$V$155)</f>
        <v>0</v>
      </c>
      <c r="GJ16" s="1184">
        <f t="shared" si="53"/>
        <v>0</v>
      </c>
      <c r="GK16" s="1184">
        <f t="shared" si="54"/>
        <v>0</v>
      </c>
      <c r="GL16" s="1184">
        <f t="shared" si="55"/>
        <v>0</v>
      </c>
      <c r="GM16" s="1184">
        <f t="shared" si="56"/>
        <v>0</v>
      </c>
      <c r="GN16" s="1184">
        <f t="shared" si="57"/>
        <v>0</v>
      </c>
      <c r="GO16" s="1184" cm="1">
        <f t="array" ref="GO16">IF(GN16=0,0,(IFERROR(SUMPRODUCT($J$14:$J$68,$CH$14:$CH$68,($BR$14:$BR$68=CZ16)*1)+SUMPRODUCT($L$14:$L$68,$M$14:$M$68,$CK$14:$CK$68,($BR$14:$BR$68=CZ16)*1,($BT$14:$BT$68=FALSE)*1)/10+SUMPRODUCT($R$14:$R$68,$CP$14:$CP$68,($BR$14:$BR$68=CZ16)*1),0))/GN16)</f>
        <v>0</v>
      </c>
      <c r="GP16" s="1184">
        <f t="shared" si="58"/>
        <v>0</v>
      </c>
      <c r="GQ16" s="1184">
        <f>(SUMIF('Nährstoffe und Lagerraum'!$AX$113:$AX$130,'Lagerhaltung (freiwillig)'!CZ16,'Nährstoffe und Lagerraum'!$D$113:$D$130)+SUMIF('Nährstoffe und Lagerraum'!$AX$137:$AX$155,'Lagerhaltung (freiwillig)'!CZ16,'Nährstoffe und Lagerraum'!$E$137:$E$155))</f>
        <v>0</v>
      </c>
      <c r="GR16" s="1184" cm="1">
        <f t="array" ref="GR16">IF(GQ16=0,0,(IFERROR(SUMPRODUCT('Nährstoffe und Lagerraum'!$D$113:$D$130,'Nährstoffe und Lagerraum'!$F$113:$F$130,('Nährstoffe und Lagerraum'!$AX$113:$AX$130='Lagerhaltung (freiwillig)'!CZ16)*1)+SUMPRODUCT('Nährstoffe und Lagerraum'!$E$137:$E$155,'Nährstoffe und Lagerraum'!$F$137:$F$155,('Nährstoffe und Lagerraum'!$AX$137:$AX$155='Lagerhaltung (freiwillig)'!CZ16)*1),0))/GQ16)</f>
        <v>0</v>
      </c>
      <c r="GS16" s="1184">
        <f t="shared" si="59"/>
        <v>0</v>
      </c>
      <c r="GT16" s="1184">
        <f t="shared" si="60"/>
        <v>0</v>
      </c>
      <c r="GU16" s="1184">
        <f t="shared" si="61"/>
        <v>0</v>
      </c>
      <c r="GV16" s="1184">
        <f t="shared" si="62"/>
        <v>0</v>
      </c>
      <c r="GW16" s="1186" t="str">
        <f t="shared" si="41"/>
        <v xml:space="preserve"> </v>
      </c>
      <c r="GX16" s="1186" t="str">
        <f t="shared" si="41"/>
        <v xml:space="preserve"> </v>
      </c>
      <c r="GY16" s="1195">
        <f t="shared" si="63"/>
        <v>0</v>
      </c>
      <c r="GZ16" s="1184">
        <f t="shared" si="64"/>
        <v>0</v>
      </c>
      <c r="HA16" s="1184" t="str">
        <f t="shared" si="44"/>
        <v>a</v>
      </c>
      <c r="HB16" s="1196">
        <f t="shared" si="65"/>
        <v>0</v>
      </c>
      <c r="HC16" s="1196">
        <f t="shared" si="66"/>
        <v>0</v>
      </c>
      <c r="HD16" s="1196"/>
      <c r="HE16" s="1187">
        <f t="shared" si="67"/>
        <v>0</v>
      </c>
      <c r="HF16" s="1196">
        <f t="shared" si="68"/>
        <v>0</v>
      </c>
      <c r="HG16" s="1196">
        <f t="shared" si="69"/>
        <v>0</v>
      </c>
      <c r="HH16" s="1196">
        <f t="shared" si="70"/>
        <v>0</v>
      </c>
      <c r="HI16" s="1328" cm="1">
        <f t="array" ref="HI16">IF(AND(HG16=0,GL16=0),0,IF(HG16=0,1,IF(OR(GL16*1000/HG16/HH16&gt;INDEX(Pflanzen!$W$5:$W$104,CZ16)/INDEX(Pflanzen!$I$5:$I$104,CZ16)*$HI$1,GL16*1000/HG16/HH16&lt;INDEX(Pflanzen!$W$5:$W$104,CZ16)/INDEX(Pflanzen!$I$5:$I$104,CZ16)/$HI$1),1,0)))</f>
        <v>0</v>
      </c>
      <c r="HJ16" s="1328" cm="1">
        <f t="array" ref="HJ16">IF(AND(GM16=0,HG16=0),0,IF(HG16=0,1,IF(OR(GM16*1000/HG16/HH16&gt;INDEX(Pflanzen!$X$5:$X$104,CZ16)/INDEX(Pflanzen!$I$5:$I$104,CZ16)*$HI$1,GM16*1000/HG16/HH16&lt;INDEX(Pflanzen!$X$5:$X$104,CZ16)/INDEX(Pflanzen!$I$5:$I$104,CZ16)/$HI$1),1,0)))</f>
        <v>0</v>
      </c>
      <c r="HK16" s="1184">
        <f t="shared" si="71"/>
        <v>3</v>
      </c>
      <c r="HL16" s="1184"/>
      <c r="HN16" s="1184"/>
      <c r="HO16" s="1193" t="str">
        <f>Tiere!B42</f>
        <v>Mutterkuh mit Kalb bis 6 Monate</v>
      </c>
      <c r="HP16" s="1184">
        <v>13</v>
      </c>
      <c r="HQ16" s="1194">
        <f>SUMIF('Nährstoffe und Lagerraum'!$BM$68:$BM$87,'Lagerhaltung (freiwillig)'!HP16,'Nährstoffe und Lagerraum'!$Z$68:$Z$87)+SUMIF('Nährstoffe und Lagerraum'!$BM$68:$BM$87,'Lagerhaltung (freiwillig)'!HP16,'Nährstoffe und Lagerraum'!$AA$68:$AA$87)</f>
        <v>0</v>
      </c>
      <c r="HR16" s="1184" cm="1">
        <f t="array" ref="HR16">INDEX(Tiere!$C$30:$C$114,'Lagerhaltung (freiwillig)'!HP16)</f>
        <v>1</v>
      </c>
      <c r="HS16" s="1184" cm="1">
        <f t="array" ref="HS16">INDEX(Tiere!$H$30:$H$114,'Lagerhaltung (freiwillig)'!HP16)</f>
        <v>108</v>
      </c>
      <c r="HT16" s="1184">
        <f t="shared" si="12"/>
        <v>0</v>
      </c>
      <c r="HU16" s="1184" cm="1">
        <f t="array" ref="HU16">INDEX(Tiere!$I$30:$I$114,'Lagerhaltung (freiwillig)'!HP16)</f>
        <v>32</v>
      </c>
      <c r="HV16" s="1184">
        <f t="shared" si="13"/>
        <v>0</v>
      </c>
      <c r="HW16" s="1184" cm="1">
        <f t="array" ref="HW16">INDEX(Tiere!$BC$30:$BC$114,'Lagerhaltung (freiwillig)'!HP16)</f>
        <v>6.21</v>
      </c>
      <c r="HX16" s="1184">
        <f t="shared" si="14"/>
        <v>0</v>
      </c>
      <c r="HY16" s="1184" cm="1">
        <f t="array" ref="HY16">INDEX(Tiere!$BD$30:$BD$114,'Lagerhaltung (freiwillig)'!HP16)</f>
        <v>3.4269999999999996</v>
      </c>
      <c r="HZ16" s="1184">
        <f t="shared" si="15"/>
        <v>0</v>
      </c>
      <c r="IA16" s="1184"/>
      <c r="IB16" s="1184"/>
      <c r="IC16" s="1184"/>
      <c r="ID16" s="1184"/>
      <c r="IE16" s="1184"/>
      <c r="IF16" s="1184"/>
      <c r="IG16" s="1184"/>
      <c r="IH16" s="1184"/>
      <c r="II16" s="1184"/>
      <c r="IJ16" s="1184"/>
      <c r="IK16" s="1184"/>
      <c r="IL16" s="1184"/>
    </row>
    <row r="17" spans="1:246" ht="15.6" customHeight="1" x14ac:dyDescent="0.2">
      <c r="A17" s="725"/>
      <c r="B17" s="726"/>
      <c r="C17" s="726"/>
      <c r="D17" s="726"/>
      <c r="E17" s="726"/>
      <c r="F17" s="1466" cm="1">
        <f t="array" ref="F17">INDEX(Pflanzen!$I$5:$I$104,BR17)</f>
        <v>0</v>
      </c>
      <c r="G17" s="1467" cm="1">
        <f t="array" ref="G17">INDEX(Pflanzen!$W$5:$W$104,BR17)</f>
        <v>0</v>
      </c>
      <c r="H17" s="1468" cm="1">
        <f t="array" ref="H17">INDEX(Pflanzen!$X$5:$X$104,BR17)</f>
        <v>0</v>
      </c>
      <c r="I17" s="1122"/>
      <c r="J17" s="1303"/>
      <c r="K17" s="1122"/>
      <c r="L17" s="1487"/>
      <c r="M17" s="1491"/>
      <c r="N17" s="1487"/>
      <c r="O17" s="1487"/>
      <c r="P17" s="1292"/>
      <c r="Q17" s="2180"/>
      <c r="R17" s="1487"/>
      <c r="S17" s="1491"/>
      <c r="T17" s="1303"/>
      <c r="U17" s="725"/>
      <c r="V17" s="1346" t="str">
        <f t="shared" si="92"/>
        <v/>
      </c>
      <c r="Y17" s="1554" t="str" cm="1">
        <f t="array" ref="Y17">IFERROR(INDEX($CY$4:$CY$165,AY17),"")</f>
        <v/>
      </c>
      <c r="Z17" s="1555"/>
      <c r="AA17" s="1555"/>
      <c r="AB17" s="1555"/>
      <c r="AC17" s="1454" t="str" cm="1">
        <f t="array" ref="AC17">IFERROR(INDEX($GN$4:$GN$165,AY17),"")</f>
        <v/>
      </c>
      <c r="AD17" s="1454" t="str" cm="1">
        <f t="array" ref="AD17">IFERROR(INDEX($GO$4:$GO$165,AY17),"")</f>
        <v/>
      </c>
      <c r="AE17" s="1454" t="str" cm="1">
        <f t="array" ref="AE17">IFERROR(INDEX($GJ$4:$GJ$165,AY17),"")</f>
        <v/>
      </c>
      <c r="AF17" s="1454" t="str" cm="1">
        <f t="array" ref="AF17">IFERROR(INDEX($GK$4:$GK$165,AY17),"")</f>
        <v/>
      </c>
      <c r="AG17" s="1454" t="str" cm="1">
        <f t="array" ref="AG17">IFERROR(INDEX($GQ$4:$GQ$165,AY17),"")</f>
        <v/>
      </c>
      <c r="AH17" s="1454" t="str" cm="1">
        <f t="array" ref="AH17">IFERROR(INDEX($GR$4:$GR$165,AY17),"")</f>
        <v/>
      </c>
      <c r="AI17" s="1454" t="str" cm="1">
        <f t="array" ref="AI17">IFERROR(INDEX($GH$4:$GH$165,AY17),"")</f>
        <v/>
      </c>
      <c r="AJ17" s="1454" t="str" cm="1">
        <f t="array" ref="AJ17">IFERROR(INDEX($GI$4:$GI$165,AY17),"")</f>
        <v/>
      </c>
      <c r="AK17" s="1454" t="str" cm="1">
        <f t="array" ref="AK17">IFERROR(INDEX($GU$4:$GU$165,AY17),"")</f>
        <v/>
      </c>
      <c r="AL17" s="1455" t="str" cm="1">
        <f t="array" ref="AL17">IFERROR(INDEX($GV$4:$GV$165,AY17),"")</f>
        <v/>
      </c>
      <c r="AM17" s="1454" t="str" cm="1">
        <f t="array" ref="AM17">IFERROR(INDEX($GD$4:$GD$165,AY17),"")</f>
        <v/>
      </c>
      <c r="AN17" s="1454" t="str" cm="1">
        <f t="array" ref="AN17">IFERROR(INDEX($GE$4:$GE$165,AY17),"")</f>
        <v/>
      </c>
      <c r="AO17" s="1455" t="str" cm="1">
        <f t="array" ref="AO17">IFERROR(INDEX($GW$4:$GW$165,AY17),"")</f>
        <v/>
      </c>
      <c r="AP17" s="1455" t="str" cm="1">
        <f t="array" ref="AP17">IFERROR(INDEX($GZ$4:$GZ$165,AY17),"")</f>
        <v/>
      </c>
      <c r="AQ17" s="1457"/>
      <c r="AR17" s="1454" t="str" cm="1">
        <f t="array" ref="AR17">IFERROR(INDEX($HF$4:$HF$165,AY17),"")</f>
        <v/>
      </c>
      <c r="AS17" s="1454" t="str" cm="1">
        <f t="array" ref="AS17">IFERROR(INDEX($HG$4:$HG$165,AY17),"")</f>
        <v/>
      </c>
      <c r="AT17" s="1454" t="str" cm="1">
        <f t="array" ref="AT17">IFERROR(INDEX($HH$4:$HH$165,AY17),"")</f>
        <v/>
      </c>
      <c r="AU17" s="1454" t="str" cm="1">
        <f t="array" ref="AU17">IFERROR(INDEX($GL$4:$GL$165,AY17),"")</f>
        <v/>
      </c>
      <c r="AV17" s="1454" t="str" cm="1">
        <f t="array" ref="AV17">IFERROR(INDEX($GM$4:$GM$165,AY17),"")</f>
        <v/>
      </c>
      <c r="AY17" s="1184" t="str" cm="1">
        <f t="array" ref="AY17">IFERROR(SMALL(IF($HK$4:$HK$165=1,ROW($HK$4:$HK$165)-3),ROW(W5)),IFERROR(SMALL(IF($HK$4:$HK$165=2,ROW($HK$4:$HK$165)-3),ROW(W5)-COUNTIF($HK$4:$HK$165,1)),IFERROR(SMALL(IF($HK$4:$HK$165=0,ROW($HK$4:$HK$165)-3),ROW(W5)-COUNTIF($HK$4:$HK$165,1)-COUNTIF($HK$4:$HK$165,2)),"")))</f>
        <v/>
      </c>
      <c r="AZ17" s="1184" t="str">
        <f t="shared" si="72"/>
        <v>a</v>
      </c>
      <c r="BA17" s="1194" t="e">
        <f t="shared" si="73"/>
        <v>#VALUE!</v>
      </c>
      <c r="BB17" s="1194" cm="1">
        <f t="array" ref="BB17">IFERROR(INDEX($HK$4:$HK$165,AY17),0)</f>
        <v>0</v>
      </c>
      <c r="BC17" s="1194">
        <f t="shared" si="74"/>
        <v>0</v>
      </c>
      <c r="BD17" s="1194"/>
      <c r="BE17" s="1343"/>
      <c r="BF17" s="1343"/>
      <c r="BG17" s="1343"/>
      <c r="BH17" s="1343"/>
      <c r="BI17" s="1343"/>
      <c r="BJ17" s="1343"/>
      <c r="BK17" s="1343"/>
      <c r="BL17" s="1343"/>
      <c r="BM17" s="1343"/>
      <c r="BN17" s="1343"/>
      <c r="BO17" s="1343"/>
      <c r="BQ17" s="1184"/>
      <c r="BR17" s="1184">
        <v>1</v>
      </c>
      <c r="BS17" s="1184"/>
      <c r="BT17" s="1184" t="b">
        <v>0</v>
      </c>
      <c r="BU17" s="1199"/>
      <c r="BV17" s="1199"/>
      <c r="BW17" s="1184">
        <f t="shared" si="75"/>
        <v>12</v>
      </c>
      <c r="BX17" s="1184">
        <f t="shared" si="76"/>
        <v>0</v>
      </c>
      <c r="BY17" s="1184">
        <f t="shared" si="77"/>
        <v>12</v>
      </c>
      <c r="BZ17" s="1184" cm="1">
        <f t="array" ref="BZ17">INDEX(Pflanzen!$AB$5:$AB$114,'Lagerhaltung (freiwillig)'!BR17)</f>
        <v>0</v>
      </c>
      <c r="CA17" s="1184" cm="1">
        <f t="array" ref="CA17">IF(BZ17=1,INDEX(Pflanzen!$AC$5:$AC$114,BR17),N17)</f>
        <v>0</v>
      </c>
      <c r="CB17" s="1184" cm="1">
        <f t="array" ref="CB17">IF(BZ17=1,INDEX(Pflanzen!$AD$5:$AD$114,BR17),O17)</f>
        <v>0</v>
      </c>
      <c r="CC17" s="1184">
        <f t="shared" si="78"/>
        <v>12</v>
      </c>
      <c r="CD17" s="1184">
        <f t="shared" si="79"/>
        <v>0</v>
      </c>
      <c r="CE17" s="1184">
        <f t="shared" si="80"/>
        <v>12</v>
      </c>
      <c r="CF17" s="1184" cm="1">
        <f t="array" ref="CF17">INDEX(Pflanzen!$F$5:$F$114,BR17)</f>
        <v>0</v>
      </c>
      <c r="CG17" s="1184" cm="1">
        <f t="array" ref="CG17">INDEX(Pflanzen!$G$5:$G$114,BR17)</f>
        <v>0</v>
      </c>
      <c r="CH17" s="1184">
        <f t="shared" si="81"/>
        <v>0</v>
      </c>
      <c r="CI17" s="1184">
        <f t="shared" si="93"/>
        <v>0</v>
      </c>
      <c r="CJ17" s="1184">
        <f t="shared" si="94"/>
        <v>0</v>
      </c>
      <c r="CK17" s="1184">
        <f t="shared" si="82"/>
        <v>0</v>
      </c>
      <c r="CL17" s="1184">
        <f t="shared" si="83"/>
        <v>0</v>
      </c>
      <c r="CM17" s="1184">
        <f t="shared" si="84"/>
        <v>0</v>
      </c>
      <c r="CN17" s="1184">
        <f t="shared" si="85"/>
        <v>0</v>
      </c>
      <c r="CO17" s="1184">
        <f t="shared" si="86"/>
        <v>0</v>
      </c>
      <c r="CP17" s="1184">
        <f t="shared" si="87"/>
        <v>0</v>
      </c>
      <c r="CQ17" s="1184">
        <f t="shared" si="88"/>
        <v>0</v>
      </c>
      <c r="CR17" s="1184">
        <f t="shared" si="89"/>
        <v>0</v>
      </c>
      <c r="CS17" s="1184">
        <f t="shared" si="90"/>
        <v>0</v>
      </c>
      <c r="CT17" s="1184">
        <f t="shared" si="91"/>
        <v>0</v>
      </c>
      <c r="CU17" s="1184">
        <f t="shared" si="95"/>
        <v>2</v>
      </c>
      <c r="CV17" s="1184">
        <f t="shared" si="96"/>
        <v>0</v>
      </c>
      <c r="CW17" s="1186">
        <f t="shared" si="97"/>
        <v>0</v>
      </c>
      <c r="CX17" s="1184"/>
      <c r="CY17" s="320" t="str">
        <f>Pflanzen!A13</f>
        <v>Wintergerste</v>
      </c>
      <c r="CZ17" s="1200">
        <f>IFERROR(MATCH($CY17,Pflanzen!$C$5:$C$114,0),1)</f>
        <v>9</v>
      </c>
      <c r="DA17" s="320" cm="1">
        <f t="array" ref="DA17">INDEX(Pflanzen!$H$5:$H$114,'Lagerhaltung (freiwillig)'!CZ17)</f>
        <v>2</v>
      </c>
      <c r="DB17" s="1200">
        <f t="shared" si="32"/>
        <v>0</v>
      </c>
      <c r="DC17" s="1200">
        <f t="shared" si="32"/>
        <v>0</v>
      </c>
      <c r="DD17" s="1200">
        <f t="shared" si="32"/>
        <v>0</v>
      </c>
      <c r="DE17" s="1200">
        <f t="shared" si="32"/>
        <v>0</v>
      </c>
      <c r="DF17" s="1200">
        <f t="shared" si="32"/>
        <v>0</v>
      </c>
      <c r="DG17" s="1184">
        <f t="shared" si="32"/>
        <v>0</v>
      </c>
      <c r="DH17" s="1184">
        <f t="shared" si="32"/>
        <v>0</v>
      </c>
      <c r="DI17" s="1184">
        <f t="shared" si="32"/>
        <v>0</v>
      </c>
      <c r="DJ17" s="1184">
        <f t="shared" si="32"/>
        <v>0</v>
      </c>
      <c r="DK17" s="1184">
        <f t="shared" si="32"/>
        <v>0</v>
      </c>
      <c r="DL17" s="1184">
        <f t="shared" si="32"/>
        <v>0</v>
      </c>
      <c r="DM17" s="1184">
        <f t="shared" si="32"/>
        <v>0</v>
      </c>
      <c r="DN17" s="1184"/>
      <c r="DO17" s="1184">
        <f t="shared" si="33"/>
        <v>0</v>
      </c>
      <c r="DP17" s="1184">
        <f t="shared" si="33"/>
        <v>0</v>
      </c>
      <c r="DQ17" s="1184">
        <f t="shared" si="33"/>
        <v>0</v>
      </c>
      <c r="DR17" s="1184">
        <f t="shared" si="33"/>
        <v>0</v>
      </c>
      <c r="DS17" s="1184">
        <f t="shared" si="33"/>
        <v>0</v>
      </c>
      <c r="DT17" s="1184">
        <f t="shared" si="33"/>
        <v>0</v>
      </c>
      <c r="DU17" s="1184">
        <f t="shared" si="33"/>
        <v>0</v>
      </c>
      <c r="DV17" s="1184">
        <f t="shared" si="33"/>
        <v>0</v>
      </c>
      <c r="DW17" s="1184">
        <f t="shared" si="33"/>
        <v>0</v>
      </c>
      <c r="DX17" s="1184">
        <f t="shared" si="33"/>
        <v>0</v>
      </c>
      <c r="DY17" s="1184">
        <f t="shared" si="33"/>
        <v>0</v>
      </c>
      <c r="DZ17" s="1184">
        <f t="shared" si="33"/>
        <v>0</v>
      </c>
      <c r="EA17" s="1184"/>
      <c r="EB17" s="1184">
        <f t="shared" si="34"/>
        <v>0</v>
      </c>
      <c r="EC17" s="1184">
        <f t="shared" si="34"/>
        <v>0</v>
      </c>
      <c r="ED17" s="1184">
        <f t="shared" si="34"/>
        <v>0</v>
      </c>
      <c r="EE17" s="1184">
        <f t="shared" si="34"/>
        <v>0</v>
      </c>
      <c r="EF17" s="1184">
        <f t="shared" si="34"/>
        <v>0</v>
      </c>
      <c r="EG17" s="1184">
        <f t="shared" si="34"/>
        <v>0</v>
      </c>
      <c r="EH17" s="1184">
        <f t="shared" si="34"/>
        <v>0</v>
      </c>
      <c r="EI17" s="1184">
        <f t="shared" si="34"/>
        <v>0</v>
      </c>
      <c r="EJ17" s="1184">
        <f t="shared" si="34"/>
        <v>0</v>
      </c>
      <c r="EK17" s="1184">
        <f t="shared" si="34"/>
        <v>0</v>
      </c>
      <c r="EL17" s="1184">
        <f t="shared" si="34"/>
        <v>0</v>
      </c>
      <c r="EM17" s="1184">
        <f t="shared" si="34"/>
        <v>0</v>
      </c>
      <c r="EN17" s="1184"/>
      <c r="EO17" s="1184">
        <f t="shared" si="35"/>
        <v>0</v>
      </c>
      <c r="EP17" s="1184">
        <f t="shared" si="35"/>
        <v>0</v>
      </c>
      <c r="EQ17" s="1184">
        <f t="shared" si="35"/>
        <v>0</v>
      </c>
      <c r="ER17" s="1184">
        <f t="shared" si="35"/>
        <v>0</v>
      </c>
      <c r="ES17" s="1184">
        <f t="shared" si="35"/>
        <v>0</v>
      </c>
      <c r="ET17" s="1184">
        <f t="shared" si="35"/>
        <v>0</v>
      </c>
      <c r="EU17" s="1184">
        <f t="shared" si="35"/>
        <v>0</v>
      </c>
      <c r="EV17" s="1184">
        <f t="shared" si="35"/>
        <v>0</v>
      </c>
      <c r="EW17" s="1184">
        <f t="shared" si="35"/>
        <v>0</v>
      </c>
      <c r="EX17" s="1184">
        <f t="shared" si="35"/>
        <v>0</v>
      </c>
      <c r="EY17" s="1184">
        <f t="shared" si="35"/>
        <v>0</v>
      </c>
      <c r="EZ17" s="1184">
        <f t="shared" si="35"/>
        <v>0</v>
      </c>
      <c r="FA17" s="1184"/>
      <c r="FB17" s="1186">
        <f t="shared" si="51"/>
        <v>0</v>
      </c>
      <c r="FC17" s="1184">
        <f>FB17+DB17+EB17                 -         SUMIF('Nährstoffe und Lagerraum'!$AX$113:$AX$155,$CZ17,'Nährstoffe und Lagerraum'!$U$113:$U$155)/12  -$GD17*$HE17/12</f>
        <v>0</v>
      </c>
      <c r="FD17" s="1184">
        <f>FC17+DC17+EC17                 -         SUMIF('Nährstoffe und Lagerraum'!$AX$113:$AX$155,$CZ17,'Nährstoffe und Lagerraum'!$U$113:$U$155)/12  -$GD17*$HE17/12</f>
        <v>0</v>
      </c>
      <c r="FE17" s="1184">
        <f>FD17+DD17+ED17                 -         SUMIF('Nährstoffe und Lagerraum'!$AX$113:$AX$155,$CZ17,'Nährstoffe und Lagerraum'!$U$113:$U$155)/12  -$GD17*$HE17/12</f>
        <v>0</v>
      </c>
      <c r="FF17" s="1184">
        <f>FE17+DE17+EE17                 -         SUMIF('Nährstoffe und Lagerraum'!$AX$113:$AX$155,$CZ17,'Nährstoffe und Lagerraum'!$U$113:$U$155)/12  -$GD17*$HE17/12</f>
        <v>0</v>
      </c>
      <c r="FG17" s="1184">
        <f>FF17+DF17+EF17                 -         SUMIF('Nährstoffe und Lagerraum'!$AX$113:$AX$155,$CZ17,'Nährstoffe und Lagerraum'!$U$113:$U$155)/12  -$GD17*$HE17/12</f>
        <v>0</v>
      </c>
      <c r="FH17" s="1184">
        <f>FG17+DG17+EG17                 -         SUMIF('Nährstoffe und Lagerraum'!$AX$113:$AX$155,$CZ17,'Nährstoffe und Lagerraum'!$U$113:$U$155)/12  -$GD17*$HE17/12</f>
        <v>0</v>
      </c>
      <c r="FI17" s="1184">
        <f>FH17+DH17+EH17                 -         SUMIF('Nährstoffe und Lagerraum'!$AX$113:$AX$155,$CZ17,'Nährstoffe und Lagerraum'!$U$113:$U$155)/12  -$GD17*$HE17/12</f>
        <v>0</v>
      </c>
      <c r="FJ17" s="1184">
        <f>FI17+DI17+EI17                 -         SUMIF('Nährstoffe und Lagerraum'!$AX$113:$AX$155,$CZ17,'Nährstoffe und Lagerraum'!$U$113:$U$155)/12  -$GD17*$HE17/12</f>
        <v>0</v>
      </c>
      <c r="FK17" s="1184">
        <f>FJ17+DJ17+EJ17                 -         SUMIF('Nährstoffe und Lagerraum'!$AX$113:$AX$155,$CZ17,'Nährstoffe und Lagerraum'!$U$113:$U$155)/12  -$GD17*$HE17/12</f>
        <v>0</v>
      </c>
      <c r="FL17" s="1184">
        <f>FK17+DK17+EK17                 -         SUMIF('Nährstoffe und Lagerraum'!$AX$113:$AX$155,$CZ17,'Nährstoffe und Lagerraum'!$U$113:$U$155)/12  -$GD17*$HE17/12</f>
        <v>0</v>
      </c>
      <c r="FM17" s="1184">
        <f>FL17+DL17+EL17                 -         SUMIF('Nährstoffe und Lagerraum'!$AX$113:$AX$155,$CZ17,'Nährstoffe und Lagerraum'!$U$113:$U$155)/12  -$GD17*$HE17/12</f>
        <v>0</v>
      </c>
      <c r="FN17" s="1184">
        <f>FM17+DM17+EM17                 -         SUMIF('Nährstoffe und Lagerraum'!$AX$113:$AX$155,$CZ17,'Nährstoffe und Lagerraum'!$U$113:$U$155)/12  -$GD17*$HE17/12</f>
        <v>0</v>
      </c>
      <c r="FO17" s="1184"/>
      <c r="FP17" s="1186">
        <f t="shared" si="52"/>
        <v>0</v>
      </c>
      <c r="FQ17" s="1184">
        <f>FP17+DO17+EO17                 -         SUMIF('Nährstoffe und Lagerraum'!$AX$113:$AX$155,$CZ17,'Nährstoffe und Lagerraum'!$V$113:$V$155)/12  -$GE17*$HE17/12</f>
        <v>0</v>
      </c>
      <c r="FR17" s="1184">
        <f>FQ17+DP17+EP17                 -         SUMIF('Nährstoffe und Lagerraum'!$AX$113:$AX$155,$CZ17,'Nährstoffe und Lagerraum'!$V$113:$V$155)/12  -$GE17*$HE17/12</f>
        <v>0</v>
      </c>
      <c r="FS17" s="1184">
        <f>FR17+DQ17+EQ17                 -         SUMIF('Nährstoffe und Lagerraum'!$AX$113:$AX$155,$CZ17,'Nährstoffe und Lagerraum'!$V$113:$V$155)/12  -$GE17*$HE17/12</f>
        <v>0</v>
      </c>
      <c r="FT17" s="1184">
        <f>FS17+DR17+ER17                 -         SUMIF('Nährstoffe und Lagerraum'!$AX$113:$AX$155,$CZ17,'Nährstoffe und Lagerraum'!$V$113:$V$155)/12  -$GE17*$HE17/12</f>
        <v>0</v>
      </c>
      <c r="FU17" s="1184">
        <f>FT17+DS17+ES17                 -         SUMIF('Nährstoffe und Lagerraum'!$AX$113:$AX$155,$CZ17,'Nährstoffe und Lagerraum'!$V$113:$V$155)/12  -$GE17*$HE17/12</f>
        <v>0</v>
      </c>
      <c r="FV17" s="1184">
        <f>FU17+DT17+ET17                 -         SUMIF('Nährstoffe und Lagerraum'!$AX$113:$AX$155,$CZ17,'Nährstoffe und Lagerraum'!$V$113:$V$155)/12  -$GE17*$HE17/12</f>
        <v>0</v>
      </c>
      <c r="FW17" s="1184">
        <f>FV17+DU17+EU17                 -         SUMIF('Nährstoffe und Lagerraum'!$AX$113:$AX$155,$CZ17,'Nährstoffe und Lagerraum'!$V$113:$V$155)/12  -$GE17*$HE17/12</f>
        <v>0</v>
      </c>
      <c r="FX17" s="1184">
        <f>FW17+DV17+EV17                 -         SUMIF('Nährstoffe und Lagerraum'!$AX$113:$AX$155,$CZ17,'Nährstoffe und Lagerraum'!$V$113:$V$155)/12  -$GE17*$HE17/12</f>
        <v>0</v>
      </c>
      <c r="FY17" s="1184">
        <f>FX17+DW17+EW17                 -         SUMIF('Nährstoffe und Lagerraum'!$AX$113:$AX$155,$CZ17,'Nährstoffe und Lagerraum'!$V$113:$V$155)/12  -$GE17*$HE17/12</f>
        <v>0</v>
      </c>
      <c r="FZ17" s="1184">
        <f>FY17+DX17+EX17                 -         SUMIF('Nährstoffe und Lagerraum'!$AX$113:$AX$155,$CZ17,'Nährstoffe und Lagerraum'!$V$113:$V$155)/12  -$GE17*$HE17/12</f>
        <v>0</v>
      </c>
      <c r="GA17" s="1184">
        <f>FZ17+DY17+EY17                 -         SUMIF('Nährstoffe und Lagerraum'!$AX$113:$AX$155,$CZ17,'Nährstoffe und Lagerraum'!$V$113:$V$155)/12  -$GE17*$HE17/12</f>
        <v>0</v>
      </c>
      <c r="GB17" s="1184">
        <f>GA17+DZ17+EZ17                 -         SUMIF('Nährstoffe und Lagerraum'!$AX$113:$AX$155,$CZ17,'Nährstoffe und Lagerraum'!$V$113:$V$155)/12  -$GE17*$HE17/12</f>
        <v>0</v>
      </c>
      <c r="GC17" s="1184"/>
      <c r="GD17" s="1184">
        <f>SUMIFS($CI$14:$CI$68,$BR$14:$BR$68,$CZ17)+SUMIFS($CM$14:$CM$68,$BR$14:$BR$68,$CZ17)+SUMIFS($CR$14:$CR$68,$BR$14:$BR$68,$CZ17)  -         SUMIF('Nährstoffe und Lagerraum'!$AX$113:$AX$155,$CZ17,'Nährstoffe und Lagerraum'!$U$113:$U$155)</f>
        <v>0</v>
      </c>
      <c r="GE17" s="1184">
        <f>SUMIFS($CJ$14:$CJ$68,$BR$14:$BR$68,$CZ17)+SUMIFS($CO$14:$CO$68,$BR$14:$BR$68,$CZ17)+SUMIFS($CT$14:$CT$68,$BR$14:$BR$68,$CZ17)  -         SUMIF('Nährstoffe und Lagerraum'!$AX$113:$AX$155,$CZ17,'Nährstoffe und Lagerraum'!$V$113:$V$155)</f>
        <v>0</v>
      </c>
      <c r="GF17" s="1184"/>
      <c r="GG17" s="1184"/>
      <c r="GH17" s="1184">
        <f>SUMIF('Nährstoffe und Lagerraum'!$AX$113:$AX$155,$CZ17,'Nährstoffe und Lagerraum'!$U$113:$U$155)</f>
        <v>0</v>
      </c>
      <c r="GI17" s="1184">
        <f>SUMIF('Nährstoffe und Lagerraum'!$AX$113:$AX$155,$CZ17,'Nährstoffe und Lagerraum'!$V$113:$V$155)</f>
        <v>0</v>
      </c>
      <c r="GJ17" s="1184">
        <f t="shared" si="53"/>
        <v>0</v>
      </c>
      <c r="GK17" s="1184">
        <f t="shared" si="54"/>
        <v>0</v>
      </c>
      <c r="GL17" s="1184">
        <f t="shared" si="55"/>
        <v>0</v>
      </c>
      <c r="GM17" s="1184">
        <f t="shared" si="56"/>
        <v>0</v>
      </c>
      <c r="GN17" s="1184">
        <f t="shared" si="57"/>
        <v>0</v>
      </c>
      <c r="GO17" s="1184" cm="1">
        <f t="array" ref="GO17">IF(GN17=0,0,(IFERROR(SUMPRODUCT($J$14:$J$68,$CH$14:$CH$68,($BR$14:$BR$68=CZ17)*1)+SUMPRODUCT($L$14:$L$68,$M$14:$M$68,$CK$14:$CK$68,($BR$14:$BR$68=CZ17)*1,($BT$14:$BT$68=FALSE)*1)/10+SUMPRODUCT($R$14:$R$68,$CP$14:$CP$68,($BR$14:$BR$68=CZ17)*1),0))/GN17)</f>
        <v>0</v>
      </c>
      <c r="GP17" s="1184">
        <f t="shared" si="58"/>
        <v>0</v>
      </c>
      <c r="GQ17" s="1184">
        <f>(SUMIF('Nährstoffe und Lagerraum'!$AX$113:$AX$130,'Lagerhaltung (freiwillig)'!CZ17,'Nährstoffe und Lagerraum'!$D$113:$D$130)+SUMIF('Nährstoffe und Lagerraum'!$AX$137:$AX$155,'Lagerhaltung (freiwillig)'!CZ17,'Nährstoffe und Lagerraum'!$E$137:$E$155))</f>
        <v>0</v>
      </c>
      <c r="GR17" s="1184" cm="1">
        <f t="array" ref="GR17">IF(GQ17=0,0,(IFERROR(SUMPRODUCT('Nährstoffe und Lagerraum'!$D$113:$D$130,'Nährstoffe und Lagerraum'!$F$113:$F$130,('Nährstoffe und Lagerraum'!$AX$113:$AX$130='Lagerhaltung (freiwillig)'!CZ17)*1)+SUMPRODUCT('Nährstoffe und Lagerraum'!$E$137:$E$155,'Nährstoffe und Lagerraum'!$F$137:$F$155,('Nährstoffe und Lagerraum'!$AX$137:$AX$155='Lagerhaltung (freiwillig)'!CZ17)*1),0))/GQ17)</f>
        <v>0</v>
      </c>
      <c r="GS17" s="1184">
        <f t="shared" si="59"/>
        <v>0</v>
      </c>
      <c r="GT17" s="1184">
        <f t="shared" si="60"/>
        <v>0</v>
      </c>
      <c r="GU17" s="1184">
        <f t="shared" si="61"/>
        <v>0</v>
      </c>
      <c r="GV17" s="1184">
        <f t="shared" si="62"/>
        <v>0</v>
      </c>
      <c r="GW17" s="1186" t="str">
        <f t="shared" si="41"/>
        <v xml:space="preserve"> </v>
      </c>
      <c r="GX17" s="1186" t="str">
        <f t="shared" si="41"/>
        <v xml:space="preserve"> </v>
      </c>
      <c r="GY17" s="1195">
        <f t="shared" si="63"/>
        <v>0</v>
      </c>
      <c r="GZ17" s="1184">
        <f t="shared" si="64"/>
        <v>0</v>
      </c>
      <c r="HA17" s="1184" t="str">
        <f t="shared" si="44"/>
        <v>a</v>
      </c>
      <c r="HB17" s="1196">
        <f t="shared" si="65"/>
        <v>0</v>
      </c>
      <c r="HC17" s="1196">
        <f t="shared" si="66"/>
        <v>0</v>
      </c>
      <c r="HD17" s="1196"/>
      <c r="HE17" s="1187">
        <f t="shared" si="67"/>
        <v>0</v>
      </c>
      <c r="HF17" s="1196">
        <f t="shared" si="68"/>
        <v>0</v>
      </c>
      <c r="HG17" s="1196">
        <f t="shared" si="69"/>
        <v>0</v>
      </c>
      <c r="HH17" s="1196">
        <f t="shared" si="70"/>
        <v>0</v>
      </c>
      <c r="HI17" s="1328" cm="1">
        <f t="array" ref="HI17">IF(AND(HG17=0,GL17=0),0,IF(HG17=0,1,IF(OR(GL17*1000/HG17/HH17&gt;INDEX(Pflanzen!$W$5:$W$104,CZ17)/INDEX(Pflanzen!$I$5:$I$104,CZ17)*$HI$1,GL17*1000/HG17/HH17&lt;INDEX(Pflanzen!$W$5:$W$104,CZ17)/INDEX(Pflanzen!$I$5:$I$104,CZ17)/$HI$1),1,0)))</f>
        <v>0</v>
      </c>
      <c r="HJ17" s="1328" cm="1">
        <f t="array" ref="HJ17">IF(AND(GM17=0,HG17=0),0,IF(HG17=0,1,IF(OR(GM17*1000/HG17/HH17&gt;INDEX(Pflanzen!$X$5:$X$104,CZ17)/INDEX(Pflanzen!$I$5:$I$104,CZ17)*$HI$1,GM17*1000/HG17/HH17&lt;INDEX(Pflanzen!$X$5:$X$104,CZ17)/INDEX(Pflanzen!$I$5:$I$104,CZ17)/$HI$1),1,0)))</f>
        <v>0</v>
      </c>
      <c r="HK17" s="1184">
        <f t="shared" si="71"/>
        <v>3</v>
      </c>
      <c r="HL17" s="1184"/>
      <c r="HN17" s="1184"/>
      <c r="HO17" s="1193" t="str">
        <f>Tiere!B43</f>
        <v>+++Schweine+++</v>
      </c>
      <c r="HP17" s="1184">
        <v>14</v>
      </c>
      <c r="HQ17" s="1194">
        <f>SUMIF('Nährstoffe und Lagerraum'!$BM$68:$BM$87,'Lagerhaltung (freiwillig)'!HP17,'Nährstoffe und Lagerraum'!$Z$68:$Z$87)+SUMIF('Nährstoffe und Lagerraum'!$BM$68:$BM$87,'Lagerhaltung (freiwillig)'!HP17,'Nährstoffe und Lagerraum'!$AA$68:$AA$87)</f>
        <v>0</v>
      </c>
      <c r="HR17" s="1184" cm="1">
        <f t="array" ref="HR17">INDEX(Tiere!$C$30:$C$114,'Lagerhaltung (freiwillig)'!HP17)</f>
        <v>0</v>
      </c>
      <c r="HS17" s="1184" cm="1">
        <f t="array" ref="HS17">INDEX(Tiere!$H$30:$H$114,'Lagerhaltung (freiwillig)'!HP17)</f>
        <v>0</v>
      </c>
      <c r="HT17" s="1184">
        <f t="shared" si="12"/>
        <v>0</v>
      </c>
      <c r="HU17" s="1184" cm="1">
        <f t="array" ref="HU17">INDEX(Tiere!$I$30:$I$114,'Lagerhaltung (freiwillig)'!HP17)</f>
        <v>0</v>
      </c>
      <c r="HV17" s="1184">
        <f t="shared" si="13"/>
        <v>0</v>
      </c>
      <c r="HW17" s="1184" cm="1">
        <f t="array" ref="HW17">INDEX(Tiere!$BC$30:$BC$114,'Lagerhaltung (freiwillig)'!HP17)</f>
        <v>0</v>
      </c>
      <c r="HX17" s="1184">
        <f t="shared" si="14"/>
        <v>0</v>
      </c>
      <c r="HY17" s="1184" cm="1">
        <f t="array" ref="HY17">INDEX(Tiere!$BD$30:$BD$114,'Lagerhaltung (freiwillig)'!HP17)</f>
        <v>0</v>
      </c>
      <c r="HZ17" s="1184">
        <f t="shared" si="15"/>
        <v>0</v>
      </c>
      <c r="IA17" s="1184"/>
      <c r="IB17" s="1184"/>
      <c r="IC17" s="1184"/>
      <c r="ID17" s="1184"/>
      <c r="IE17" s="1184"/>
      <c r="IF17" s="1184"/>
      <c r="IG17" s="1184"/>
      <c r="IH17" s="1184"/>
      <c r="II17" s="1184"/>
      <c r="IJ17" s="1184"/>
      <c r="IK17" s="1184"/>
      <c r="IL17" s="1184"/>
    </row>
    <row r="18" spans="1:246" ht="15.6" customHeight="1" x14ac:dyDescent="0.2">
      <c r="A18" s="725"/>
      <c r="B18" s="726"/>
      <c r="C18" s="726"/>
      <c r="D18" s="726"/>
      <c r="E18" s="726"/>
      <c r="F18" s="1466" cm="1">
        <f t="array" ref="F18">INDEX(Pflanzen!$I$5:$I$104,BR18)</f>
        <v>0</v>
      </c>
      <c r="G18" s="1467" cm="1">
        <f t="array" ref="G18">INDEX(Pflanzen!$W$5:$W$104,BR18)</f>
        <v>0</v>
      </c>
      <c r="H18" s="1468" cm="1">
        <f t="array" ref="H18">INDEX(Pflanzen!$X$5:$X$104,BR18)</f>
        <v>0</v>
      </c>
      <c r="I18" s="1122"/>
      <c r="J18" s="1303"/>
      <c r="K18" s="1122"/>
      <c r="L18" s="1487"/>
      <c r="M18" s="1491"/>
      <c r="N18" s="1487"/>
      <c r="O18" s="1487"/>
      <c r="P18" s="1292"/>
      <c r="Q18" s="2180"/>
      <c r="R18" s="1487"/>
      <c r="S18" s="1491"/>
      <c r="T18" s="1303"/>
      <c r="U18" s="858"/>
      <c r="V18" s="1346" t="str">
        <f t="shared" si="92"/>
        <v/>
      </c>
      <c r="Y18" s="1554" t="str" cm="1">
        <f t="array" ref="Y18">IFERROR(INDEX($CY$4:$CY$165,AY18),"")</f>
        <v/>
      </c>
      <c r="Z18" s="1555"/>
      <c r="AA18" s="1555"/>
      <c r="AB18" s="1555"/>
      <c r="AC18" s="1454" t="str" cm="1">
        <f t="array" ref="AC18">IFERROR(INDEX($GN$4:$GN$165,AY18),"")</f>
        <v/>
      </c>
      <c r="AD18" s="1454" t="str" cm="1">
        <f t="array" ref="AD18">IFERROR(INDEX($GO$4:$GO$165,AY18),"")</f>
        <v/>
      </c>
      <c r="AE18" s="1454" t="str" cm="1">
        <f t="array" ref="AE18">IFERROR(INDEX($GJ$4:$GJ$165,AY18),"")</f>
        <v/>
      </c>
      <c r="AF18" s="1454" t="str" cm="1">
        <f t="array" ref="AF18">IFERROR(INDEX($GK$4:$GK$165,AY18),"")</f>
        <v/>
      </c>
      <c r="AG18" s="1454" t="str" cm="1">
        <f t="array" ref="AG18">IFERROR(INDEX($GQ$4:$GQ$165,AY18),"")</f>
        <v/>
      </c>
      <c r="AH18" s="1454" t="str" cm="1">
        <f t="array" ref="AH18">IFERROR(INDEX($GR$4:$GR$165,AY18),"")</f>
        <v/>
      </c>
      <c r="AI18" s="1454" t="str" cm="1">
        <f t="array" ref="AI18">IFERROR(INDEX($GH$4:$GH$165,AY18),"")</f>
        <v/>
      </c>
      <c r="AJ18" s="1454" t="str" cm="1">
        <f t="array" ref="AJ18">IFERROR(INDEX($GI$4:$GI$165,AY18),"")</f>
        <v/>
      </c>
      <c r="AK18" s="1454" t="str" cm="1">
        <f t="array" ref="AK18">IFERROR(INDEX($GU$4:$GU$165,AY18),"")</f>
        <v/>
      </c>
      <c r="AL18" s="1455" t="str" cm="1">
        <f t="array" ref="AL18">IFERROR(INDEX($GV$4:$GV$165,AY18),"")</f>
        <v/>
      </c>
      <c r="AM18" s="1454" t="str" cm="1">
        <f t="array" ref="AM18">IFERROR(INDEX($GD$4:$GD$165,AY18),"")</f>
        <v/>
      </c>
      <c r="AN18" s="1454" t="str" cm="1">
        <f t="array" ref="AN18">IFERROR(INDEX($GE$4:$GE$165,AY18),"")</f>
        <v/>
      </c>
      <c r="AO18" s="1455" t="str" cm="1">
        <f t="array" ref="AO18">IFERROR(INDEX($GW$4:$GW$165,AY18),"")</f>
        <v/>
      </c>
      <c r="AP18" s="1455" t="str" cm="1">
        <f t="array" ref="AP18">IFERROR(INDEX($GZ$4:$GZ$165,AY18),"")</f>
        <v/>
      </c>
      <c r="AQ18" s="1457"/>
      <c r="AR18" s="1454" t="str" cm="1">
        <f t="array" ref="AR18">IFERROR(INDEX($HF$4:$HF$165,AY18),"")</f>
        <v/>
      </c>
      <c r="AS18" s="1454" t="str" cm="1">
        <f t="array" ref="AS18">IFERROR(INDEX($HG$4:$HG$165,AY18),"")</f>
        <v/>
      </c>
      <c r="AT18" s="1454" t="str" cm="1">
        <f t="array" ref="AT18">IFERROR(INDEX($HH$4:$HH$165,AY18),"")</f>
        <v/>
      </c>
      <c r="AU18" s="1454" t="str" cm="1">
        <f t="array" ref="AU18">IFERROR(INDEX($GL$4:$GL$165,AY18),"")</f>
        <v/>
      </c>
      <c r="AV18" s="1454" t="str" cm="1">
        <f t="array" ref="AV18">IFERROR(INDEX($GM$4:$GM$165,AY18),"")</f>
        <v/>
      </c>
      <c r="AY18" s="1184" t="str" cm="1">
        <f t="array" ref="AY18">IFERROR(SMALL(IF($HK$4:$HK$165=1,ROW($HK$4:$HK$165)-3),ROW(W6)),IFERROR(SMALL(IF($HK$4:$HK$165=2,ROW($HK$4:$HK$165)-3),ROW(W6)-COUNTIF($HK$4:$HK$165,1)),IFERROR(SMALL(IF($HK$4:$HK$165=0,ROW($HK$4:$HK$165)-3),ROW(W6)-COUNTIF($HK$4:$HK$165,1)-COUNTIF($HK$4:$HK$165,2)),"")))</f>
        <v/>
      </c>
      <c r="AZ18" s="1184" t="str">
        <f t="shared" si="72"/>
        <v>a</v>
      </c>
      <c r="BA18" s="1194" t="e">
        <f t="shared" si="73"/>
        <v>#VALUE!</v>
      </c>
      <c r="BB18" s="1194" cm="1">
        <f t="array" ref="BB18">IFERROR(INDEX($HK$4:$HK$165,AY18),0)</f>
        <v>0</v>
      </c>
      <c r="BC18" s="1194">
        <f t="shared" si="74"/>
        <v>0</v>
      </c>
      <c r="BD18" s="1194"/>
      <c r="BE18" s="1343"/>
      <c r="BF18" s="1343"/>
      <c r="BG18" s="1343"/>
      <c r="BH18" s="1343"/>
      <c r="BI18" s="1343"/>
      <c r="BJ18" s="1343"/>
      <c r="BK18" s="1343"/>
      <c r="BL18" s="1343"/>
      <c r="BM18" s="1343"/>
      <c r="BN18" s="1343"/>
      <c r="BO18" s="1343"/>
      <c r="BQ18" s="1184"/>
      <c r="BR18" s="1184">
        <v>1</v>
      </c>
      <c r="BS18" s="1184"/>
      <c r="BT18" s="1184" t="b">
        <v>0</v>
      </c>
      <c r="BU18" s="1199"/>
      <c r="BV18" s="1199"/>
      <c r="BW18" s="1184">
        <f t="shared" si="75"/>
        <v>12</v>
      </c>
      <c r="BX18" s="1184">
        <f t="shared" si="76"/>
        <v>0</v>
      </c>
      <c r="BY18" s="1184">
        <f t="shared" si="77"/>
        <v>12</v>
      </c>
      <c r="BZ18" s="1184" cm="1">
        <f t="array" ref="BZ18">INDEX(Pflanzen!$AB$5:$AB$114,'Lagerhaltung (freiwillig)'!BR18)</f>
        <v>0</v>
      </c>
      <c r="CA18" s="1184" cm="1">
        <f t="array" ref="CA18">IF(BZ18=1,INDEX(Pflanzen!$AC$5:$AC$114,BR18),N18)</f>
        <v>0</v>
      </c>
      <c r="CB18" s="1184" cm="1">
        <f t="array" ref="CB18">IF(BZ18=1,INDEX(Pflanzen!$AD$5:$AD$114,BR18),O18)</f>
        <v>0</v>
      </c>
      <c r="CC18" s="1184">
        <f t="shared" si="78"/>
        <v>12</v>
      </c>
      <c r="CD18" s="1184">
        <f t="shared" si="79"/>
        <v>0</v>
      </c>
      <c r="CE18" s="1184">
        <f t="shared" si="80"/>
        <v>12</v>
      </c>
      <c r="CF18" s="1184" cm="1">
        <f t="array" ref="CF18">INDEX(Pflanzen!$F$5:$F$114,BR18)</f>
        <v>0</v>
      </c>
      <c r="CG18" s="1184" cm="1">
        <f t="array" ref="CG18">INDEX(Pflanzen!$G$5:$G$114,BR18)</f>
        <v>0</v>
      </c>
      <c r="CH18" s="1184">
        <f t="shared" si="81"/>
        <v>0</v>
      </c>
      <c r="CI18" s="1184">
        <f t="shared" si="93"/>
        <v>0</v>
      </c>
      <c r="CJ18" s="1184">
        <f t="shared" si="94"/>
        <v>0</v>
      </c>
      <c r="CK18" s="1184">
        <f t="shared" si="82"/>
        <v>0</v>
      </c>
      <c r="CL18" s="1184">
        <f t="shared" si="83"/>
        <v>0</v>
      </c>
      <c r="CM18" s="1184">
        <f t="shared" si="84"/>
        <v>0</v>
      </c>
      <c r="CN18" s="1184">
        <f t="shared" si="85"/>
        <v>0</v>
      </c>
      <c r="CO18" s="1184">
        <f t="shared" si="86"/>
        <v>0</v>
      </c>
      <c r="CP18" s="1184">
        <f t="shared" si="87"/>
        <v>0</v>
      </c>
      <c r="CQ18" s="1184">
        <f t="shared" si="88"/>
        <v>0</v>
      </c>
      <c r="CR18" s="1184">
        <f t="shared" si="89"/>
        <v>0</v>
      </c>
      <c r="CS18" s="1184">
        <f t="shared" si="90"/>
        <v>0</v>
      </c>
      <c r="CT18" s="1184">
        <f t="shared" si="91"/>
        <v>0</v>
      </c>
      <c r="CU18" s="1184">
        <f t="shared" si="95"/>
        <v>2</v>
      </c>
      <c r="CV18" s="1184">
        <f t="shared" si="96"/>
        <v>0</v>
      </c>
      <c r="CW18" s="1186">
        <f t="shared" si="97"/>
        <v>0</v>
      </c>
      <c r="CX18" s="1184"/>
      <c r="CY18" s="320" t="str">
        <f>Pflanzen!A14</f>
        <v>Sommerfuttergerste</v>
      </c>
      <c r="CZ18" s="1200">
        <f>IFERROR(MATCH($CY18,Pflanzen!$C$5:$C$114,0),1)</f>
        <v>10</v>
      </c>
      <c r="DA18" s="320" cm="1">
        <f t="array" ref="DA18">INDEX(Pflanzen!$H$5:$H$114,'Lagerhaltung (freiwillig)'!CZ18)</f>
        <v>2</v>
      </c>
      <c r="DB18" s="1200">
        <f t="shared" si="32"/>
        <v>0</v>
      </c>
      <c r="DC18" s="1200">
        <f t="shared" si="32"/>
        <v>0</v>
      </c>
      <c r="DD18" s="1200">
        <f t="shared" si="32"/>
        <v>0</v>
      </c>
      <c r="DE18" s="1200">
        <f t="shared" si="32"/>
        <v>0</v>
      </c>
      <c r="DF18" s="1200">
        <f t="shared" si="32"/>
        <v>0</v>
      </c>
      <c r="DG18" s="1184">
        <f t="shared" si="32"/>
        <v>0</v>
      </c>
      <c r="DH18" s="1184">
        <f t="shared" si="32"/>
        <v>0</v>
      </c>
      <c r="DI18" s="1184">
        <f t="shared" si="32"/>
        <v>0</v>
      </c>
      <c r="DJ18" s="1184">
        <f t="shared" si="32"/>
        <v>0</v>
      </c>
      <c r="DK18" s="1184">
        <f t="shared" si="32"/>
        <v>0</v>
      </c>
      <c r="DL18" s="1184">
        <f t="shared" si="32"/>
        <v>0</v>
      </c>
      <c r="DM18" s="1184">
        <f t="shared" si="32"/>
        <v>0</v>
      </c>
      <c r="DN18" s="1184"/>
      <c r="DO18" s="1184">
        <f t="shared" si="33"/>
        <v>0</v>
      </c>
      <c r="DP18" s="1184">
        <f t="shared" si="33"/>
        <v>0</v>
      </c>
      <c r="DQ18" s="1184">
        <f t="shared" si="33"/>
        <v>0</v>
      </c>
      <c r="DR18" s="1184">
        <f t="shared" si="33"/>
        <v>0</v>
      </c>
      <c r="DS18" s="1184">
        <f t="shared" si="33"/>
        <v>0</v>
      </c>
      <c r="DT18" s="1184">
        <f t="shared" si="33"/>
        <v>0</v>
      </c>
      <c r="DU18" s="1184">
        <f t="shared" si="33"/>
        <v>0</v>
      </c>
      <c r="DV18" s="1184">
        <f t="shared" si="33"/>
        <v>0</v>
      </c>
      <c r="DW18" s="1184">
        <f t="shared" si="33"/>
        <v>0</v>
      </c>
      <c r="DX18" s="1184">
        <f t="shared" si="33"/>
        <v>0</v>
      </c>
      <c r="DY18" s="1184">
        <f t="shared" si="33"/>
        <v>0</v>
      </c>
      <c r="DZ18" s="1184">
        <f t="shared" si="33"/>
        <v>0</v>
      </c>
      <c r="EA18" s="1184"/>
      <c r="EB18" s="1184">
        <f t="shared" si="34"/>
        <v>0</v>
      </c>
      <c r="EC18" s="1184">
        <f t="shared" si="34"/>
        <v>0</v>
      </c>
      <c r="ED18" s="1184">
        <f t="shared" si="34"/>
        <v>0</v>
      </c>
      <c r="EE18" s="1184">
        <f t="shared" si="34"/>
        <v>0</v>
      </c>
      <c r="EF18" s="1184">
        <f t="shared" si="34"/>
        <v>0</v>
      </c>
      <c r="EG18" s="1184">
        <f t="shared" si="34"/>
        <v>0</v>
      </c>
      <c r="EH18" s="1184">
        <f t="shared" si="34"/>
        <v>0</v>
      </c>
      <c r="EI18" s="1184">
        <f t="shared" si="34"/>
        <v>0</v>
      </c>
      <c r="EJ18" s="1184">
        <f t="shared" si="34"/>
        <v>0</v>
      </c>
      <c r="EK18" s="1184">
        <f t="shared" si="34"/>
        <v>0</v>
      </c>
      <c r="EL18" s="1184">
        <f t="shared" si="34"/>
        <v>0</v>
      </c>
      <c r="EM18" s="1184">
        <f t="shared" si="34"/>
        <v>0</v>
      </c>
      <c r="EN18" s="1184"/>
      <c r="EO18" s="1184">
        <f t="shared" si="35"/>
        <v>0</v>
      </c>
      <c r="EP18" s="1184">
        <f t="shared" si="35"/>
        <v>0</v>
      </c>
      <c r="EQ18" s="1184">
        <f t="shared" si="35"/>
        <v>0</v>
      </c>
      <c r="ER18" s="1184">
        <f t="shared" si="35"/>
        <v>0</v>
      </c>
      <c r="ES18" s="1184">
        <f t="shared" si="35"/>
        <v>0</v>
      </c>
      <c r="ET18" s="1184">
        <f t="shared" si="35"/>
        <v>0</v>
      </c>
      <c r="EU18" s="1184">
        <f t="shared" si="35"/>
        <v>0</v>
      </c>
      <c r="EV18" s="1184">
        <f t="shared" si="35"/>
        <v>0</v>
      </c>
      <c r="EW18" s="1184">
        <f t="shared" si="35"/>
        <v>0</v>
      </c>
      <c r="EX18" s="1184">
        <f t="shared" si="35"/>
        <v>0</v>
      </c>
      <c r="EY18" s="1184">
        <f t="shared" si="35"/>
        <v>0</v>
      </c>
      <c r="EZ18" s="1184">
        <f t="shared" si="35"/>
        <v>0</v>
      </c>
      <c r="FA18" s="1184"/>
      <c r="FB18" s="1186">
        <f t="shared" si="51"/>
        <v>0</v>
      </c>
      <c r="FC18" s="1184">
        <f>FB18+DB18+EB18                 -         SUMIF('Nährstoffe und Lagerraum'!$AX$113:$AX$155,$CZ18,'Nährstoffe und Lagerraum'!$U$113:$U$155)/12  -$GD18*$HE18/12</f>
        <v>0</v>
      </c>
      <c r="FD18" s="1184">
        <f>FC18+DC18+EC18                 -         SUMIF('Nährstoffe und Lagerraum'!$AX$113:$AX$155,$CZ18,'Nährstoffe und Lagerraum'!$U$113:$U$155)/12  -$GD18*$HE18/12</f>
        <v>0</v>
      </c>
      <c r="FE18" s="1184">
        <f>FD18+DD18+ED18                 -         SUMIF('Nährstoffe und Lagerraum'!$AX$113:$AX$155,$CZ18,'Nährstoffe und Lagerraum'!$U$113:$U$155)/12  -$GD18*$HE18/12</f>
        <v>0</v>
      </c>
      <c r="FF18" s="1184">
        <f>FE18+DE18+EE18                 -         SUMIF('Nährstoffe und Lagerraum'!$AX$113:$AX$155,$CZ18,'Nährstoffe und Lagerraum'!$U$113:$U$155)/12  -$GD18*$HE18/12</f>
        <v>0</v>
      </c>
      <c r="FG18" s="1184">
        <f>FF18+DF18+EF18                 -         SUMIF('Nährstoffe und Lagerraum'!$AX$113:$AX$155,$CZ18,'Nährstoffe und Lagerraum'!$U$113:$U$155)/12  -$GD18*$HE18/12</f>
        <v>0</v>
      </c>
      <c r="FH18" s="1184">
        <f>FG18+DG18+EG18                 -         SUMIF('Nährstoffe und Lagerraum'!$AX$113:$AX$155,$CZ18,'Nährstoffe und Lagerraum'!$U$113:$U$155)/12  -$GD18*$HE18/12</f>
        <v>0</v>
      </c>
      <c r="FI18" s="1184">
        <f>FH18+DH18+EH18                 -         SUMIF('Nährstoffe und Lagerraum'!$AX$113:$AX$155,$CZ18,'Nährstoffe und Lagerraum'!$U$113:$U$155)/12  -$GD18*$HE18/12</f>
        <v>0</v>
      </c>
      <c r="FJ18" s="1184">
        <f>FI18+DI18+EI18                 -         SUMIF('Nährstoffe und Lagerraum'!$AX$113:$AX$155,$CZ18,'Nährstoffe und Lagerraum'!$U$113:$U$155)/12  -$GD18*$HE18/12</f>
        <v>0</v>
      </c>
      <c r="FK18" s="1184">
        <f>FJ18+DJ18+EJ18                 -         SUMIF('Nährstoffe und Lagerraum'!$AX$113:$AX$155,$CZ18,'Nährstoffe und Lagerraum'!$U$113:$U$155)/12  -$GD18*$HE18/12</f>
        <v>0</v>
      </c>
      <c r="FL18" s="1184">
        <f>FK18+DK18+EK18                 -         SUMIF('Nährstoffe und Lagerraum'!$AX$113:$AX$155,$CZ18,'Nährstoffe und Lagerraum'!$U$113:$U$155)/12  -$GD18*$HE18/12</f>
        <v>0</v>
      </c>
      <c r="FM18" s="1184">
        <f>FL18+DL18+EL18                 -         SUMIF('Nährstoffe und Lagerraum'!$AX$113:$AX$155,$CZ18,'Nährstoffe und Lagerraum'!$U$113:$U$155)/12  -$GD18*$HE18/12</f>
        <v>0</v>
      </c>
      <c r="FN18" s="1184">
        <f>FM18+DM18+EM18                 -         SUMIF('Nährstoffe und Lagerraum'!$AX$113:$AX$155,$CZ18,'Nährstoffe und Lagerraum'!$U$113:$U$155)/12  -$GD18*$HE18/12</f>
        <v>0</v>
      </c>
      <c r="FO18" s="1184"/>
      <c r="FP18" s="1186">
        <f t="shared" si="52"/>
        <v>0</v>
      </c>
      <c r="FQ18" s="1184">
        <f>FP18+DO18+EO18                 -         SUMIF('Nährstoffe und Lagerraum'!$AX$113:$AX$155,$CZ18,'Nährstoffe und Lagerraum'!$V$113:$V$155)/12  -$GE18*$HE18/12</f>
        <v>0</v>
      </c>
      <c r="FR18" s="1184">
        <f>FQ18+DP18+EP18                 -         SUMIF('Nährstoffe und Lagerraum'!$AX$113:$AX$155,$CZ18,'Nährstoffe und Lagerraum'!$V$113:$V$155)/12  -$GE18*$HE18/12</f>
        <v>0</v>
      </c>
      <c r="FS18" s="1184">
        <f>FR18+DQ18+EQ18                 -         SUMIF('Nährstoffe und Lagerraum'!$AX$113:$AX$155,$CZ18,'Nährstoffe und Lagerraum'!$V$113:$V$155)/12  -$GE18*$HE18/12</f>
        <v>0</v>
      </c>
      <c r="FT18" s="1184">
        <f>FS18+DR18+ER18                 -         SUMIF('Nährstoffe und Lagerraum'!$AX$113:$AX$155,$CZ18,'Nährstoffe und Lagerraum'!$V$113:$V$155)/12  -$GE18*$HE18/12</f>
        <v>0</v>
      </c>
      <c r="FU18" s="1184">
        <f>FT18+DS18+ES18                 -         SUMIF('Nährstoffe und Lagerraum'!$AX$113:$AX$155,$CZ18,'Nährstoffe und Lagerraum'!$V$113:$V$155)/12  -$GE18*$HE18/12</f>
        <v>0</v>
      </c>
      <c r="FV18" s="1184">
        <f>FU18+DT18+ET18                 -         SUMIF('Nährstoffe und Lagerraum'!$AX$113:$AX$155,$CZ18,'Nährstoffe und Lagerraum'!$V$113:$V$155)/12  -$GE18*$HE18/12</f>
        <v>0</v>
      </c>
      <c r="FW18" s="1184">
        <f>FV18+DU18+EU18                 -         SUMIF('Nährstoffe und Lagerraum'!$AX$113:$AX$155,$CZ18,'Nährstoffe und Lagerraum'!$V$113:$V$155)/12  -$GE18*$HE18/12</f>
        <v>0</v>
      </c>
      <c r="FX18" s="1184">
        <f>FW18+DV18+EV18                 -         SUMIF('Nährstoffe und Lagerraum'!$AX$113:$AX$155,$CZ18,'Nährstoffe und Lagerraum'!$V$113:$V$155)/12  -$GE18*$HE18/12</f>
        <v>0</v>
      </c>
      <c r="FY18" s="1184">
        <f>FX18+DW18+EW18                 -         SUMIF('Nährstoffe und Lagerraum'!$AX$113:$AX$155,$CZ18,'Nährstoffe und Lagerraum'!$V$113:$V$155)/12  -$GE18*$HE18/12</f>
        <v>0</v>
      </c>
      <c r="FZ18" s="1184">
        <f>FY18+DX18+EX18                 -         SUMIF('Nährstoffe und Lagerraum'!$AX$113:$AX$155,$CZ18,'Nährstoffe und Lagerraum'!$V$113:$V$155)/12  -$GE18*$HE18/12</f>
        <v>0</v>
      </c>
      <c r="GA18" s="1184">
        <f>FZ18+DY18+EY18                 -         SUMIF('Nährstoffe und Lagerraum'!$AX$113:$AX$155,$CZ18,'Nährstoffe und Lagerraum'!$V$113:$V$155)/12  -$GE18*$HE18/12</f>
        <v>0</v>
      </c>
      <c r="GB18" s="1184">
        <f>GA18+DZ18+EZ18                 -         SUMIF('Nährstoffe und Lagerraum'!$AX$113:$AX$155,$CZ18,'Nährstoffe und Lagerraum'!$V$113:$V$155)/12  -$GE18*$HE18/12</f>
        <v>0</v>
      </c>
      <c r="GC18" s="1184"/>
      <c r="GD18" s="1184">
        <f>SUMIFS($CI$14:$CI$68,$BR$14:$BR$68,$CZ18)+SUMIFS($CM$14:$CM$68,$BR$14:$BR$68,$CZ18)+SUMIFS($CR$14:$CR$68,$BR$14:$BR$68,$CZ18)  -         SUMIF('Nährstoffe und Lagerraum'!$AX$113:$AX$155,$CZ18,'Nährstoffe und Lagerraum'!$U$113:$U$155)</f>
        <v>0</v>
      </c>
      <c r="GE18" s="1184">
        <f>SUMIFS($CJ$14:$CJ$68,$BR$14:$BR$68,$CZ18)+SUMIFS($CO$14:$CO$68,$BR$14:$BR$68,$CZ18)+SUMIFS($CT$14:$CT$68,$BR$14:$BR$68,$CZ18)  -         SUMIF('Nährstoffe und Lagerraum'!$AX$113:$AX$155,$CZ18,'Nährstoffe und Lagerraum'!$V$113:$V$155)</f>
        <v>0</v>
      </c>
      <c r="GF18" s="1184"/>
      <c r="GG18" s="1184"/>
      <c r="GH18" s="1184">
        <f>SUMIF('Nährstoffe und Lagerraum'!$AX$113:$AX$155,$CZ18,'Nährstoffe und Lagerraum'!$U$113:$U$155)</f>
        <v>0</v>
      </c>
      <c r="GI18" s="1184">
        <f>SUMIF('Nährstoffe und Lagerraum'!$AX$113:$AX$155,$CZ18,'Nährstoffe und Lagerraum'!$V$113:$V$155)</f>
        <v>0</v>
      </c>
      <c r="GJ18" s="1184">
        <f t="shared" si="53"/>
        <v>0</v>
      </c>
      <c r="GK18" s="1184">
        <f t="shared" si="54"/>
        <v>0</v>
      </c>
      <c r="GL18" s="1184">
        <f t="shared" si="55"/>
        <v>0</v>
      </c>
      <c r="GM18" s="1184">
        <f t="shared" si="56"/>
        <v>0</v>
      </c>
      <c r="GN18" s="1184">
        <f t="shared" si="57"/>
        <v>0</v>
      </c>
      <c r="GO18" s="1184" cm="1">
        <f t="array" ref="GO18">IF(GN18=0,0,(IFERROR(SUMPRODUCT($J$14:$J$68,$CH$14:$CH$68,($BR$14:$BR$68=CZ18)*1)+SUMPRODUCT($L$14:$L$68,$M$14:$M$68,$CK$14:$CK$68,($BR$14:$BR$68=CZ18)*1,($BT$14:$BT$68=FALSE)*1)/10+SUMPRODUCT($R$14:$R$68,$CP$14:$CP$68,($BR$14:$BR$68=CZ18)*1),0))/GN18)</f>
        <v>0</v>
      </c>
      <c r="GP18" s="1184">
        <f t="shared" si="58"/>
        <v>0</v>
      </c>
      <c r="GQ18" s="1184">
        <f>(SUMIF('Nährstoffe und Lagerraum'!$AX$113:$AX$130,'Lagerhaltung (freiwillig)'!CZ18,'Nährstoffe und Lagerraum'!$D$113:$D$130)+SUMIF('Nährstoffe und Lagerraum'!$AX$137:$AX$155,'Lagerhaltung (freiwillig)'!CZ18,'Nährstoffe und Lagerraum'!$E$137:$E$155))</f>
        <v>0</v>
      </c>
      <c r="GR18" s="1184" cm="1">
        <f t="array" ref="GR18">IF(GQ18=0,0,(IFERROR(SUMPRODUCT('Nährstoffe und Lagerraum'!$D$113:$D$130,'Nährstoffe und Lagerraum'!$F$113:$F$130,('Nährstoffe und Lagerraum'!$AX$113:$AX$130='Lagerhaltung (freiwillig)'!CZ18)*1)+SUMPRODUCT('Nährstoffe und Lagerraum'!$E$137:$E$155,'Nährstoffe und Lagerraum'!$F$137:$F$155,('Nährstoffe und Lagerraum'!$AX$137:$AX$155='Lagerhaltung (freiwillig)'!CZ18)*1),0))/GQ18)</f>
        <v>0</v>
      </c>
      <c r="GS18" s="1184">
        <f t="shared" si="59"/>
        <v>0</v>
      </c>
      <c r="GT18" s="1184">
        <f t="shared" si="60"/>
        <v>0</v>
      </c>
      <c r="GU18" s="1184">
        <f t="shared" si="61"/>
        <v>0</v>
      </c>
      <c r="GV18" s="1184">
        <f t="shared" si="62"/>
        <v>0</v>
      </c>
      <c r="GW18" s="1186" t="str">
        <f t="shared" si="41"/>
        <v xml:space="preserve"> </v>
      </c>
      <c r="GX18" s="1186" t="str">
        <f t="shared" si="41"/>
        <v xml:space="preserve"> </v>
      </c>
      <c r="GY18" s="1195">
        <f t="shared" si="63"/>
        <v>0</v>
      </c>
      <c r="GZ18" s="1184">
        <f t="shared" si="64"/>
        <v>0</v>
      </c>
      <c r="HA18" s="1184" t="str">
        <f t="shared" si="44"/>
        <v>a</v>
      </c>
      <c r="HB18" s="1196">
        <f t="shared" si="65"/>
        <v>0</v>
      </c>
      <c r="HC18" s="1196">
        <f t="shared" si="66"/>
        <v>0</v>
      </c>
      <c r="HD18" s="1196"/>
      <c r="HE18" s="1187">
        <f t="shared" si="67"/>
        <v>0</v>
      </c>
      <c r="HF18" s="1196">
        <f t="shared" si="68"/>
        <v>0</v>
      </c>
      <c r="HG18" s="1196">
        <f t="shared" si="69"/>
        <v>0</v>
      </c>
      <c r="HH18" s="1196">
        <f t="shared" si="70"/>
        <v>0</v>
      </c>
      <c r="HI18" s="1328" cm="1">
        <f t="array" ref="HI18">IF(AND(HG18=0,GL18=0),0,IF(HG18=0,1,IF(OR(GL18*1000/HG18/HH18&gt;INDEX(Pflanzen!$W$5:$W$104,CZ18)/INDEX(Pflanzen!$I$5:$I$104,CZ18)*$HI$1,GL18*1000/HG18/HH18&lt;INDEX(Pflanzen!$W$5:$W$104,CZ18)/INDEX(Pflanzen!$I$5:$I$104,CZ18)/$HI$1),1,0)))</f>
        <v>0</v>
      </c>
      <c r="HJ18" s="1328" cm="1">
        <f t="array" ref="HJ18">IF(AND(GM18=0,HG18=0),0,IF(HG18=0,1,IF(OR(GM18*1000/HG18/HH18&gt;INDEX(Pflanzen!$X$5:$X$104,CZ18)/INDEX(Pflanzen!$I$5:$I$104,CZ18)*$HI$1,GM18*1000/HG18/HH18&lt;INDEX(Pflanzen!$X$5:$X$104,CZ18)/INDEX(Pflanzen!$I$5:$I$104,CZ18)/$HI$1),1,0)))</f>
        <v>0</v>
      </c>
      <c r="HK18" s="1184">
        <f t="shared" si="71"/>
        <v>3</v>
      </c>
      <c r="HL18" s="1184"/>
      <c r="HN18" s="1184"/>
      <c r="HO18" s="1193" t="str">
        <f>Tiere!B44</f>
        <v>Zuchtsauen mit 25 Ferkel bis 8 kg, Standard</v>
      </c>
      <c r="HP18" s="1184">
        <v>15</v>
      </c>
      <c r="HQ18" s="1194">
        <f>SUMIF('Nährstoffe und Lagerraum'!$BM$68:$BM$87,'Lagerhaltung (freiwillig)'!HP18,'Nährstoffe und Lagerraum'!$Z$68:$Z$87)+SUMIF('Nährstoffe und Lagerraum'!$BM$68:$BM$87,'Lagerhaltung (freiwillig)'!HP18,'Nährstoffe und Lagerraum'!$AA$68:$AA$87)</f>
        <v>0</v>
      </c>
      <c r="HR18" s="1184" cm="1">
        <f t="array" ref="HR18">INDEX(Tiere!$C$30:$C$114,'Lagerhaltung (freiwillig)'!HP18)</f>
        <v>2</v>
      </c>
      <c r="HS18" s="1184" cm="1">
        <f t="array" ref="HS18">INDEX(Tiere!$H$30:$H$114,'Lagerhaltung (freiwillig)'!HP18)</f>
        <v>0</v>
      </c>
      <c r="HT18" s="1184">
        <f t="shared" si="12"/>
        <v>0</v>
      </c>
      <c r="HU18" s="1184" cm="1">
        <f t="array" ref="HU18">INDEX(Tiere!$I$30:$I$114,'Lagerhaltung (freiwillig)'!HP18)</f>
        <v>0</v>
      </c>
      <c r="HV18" s="1184">
        <f t="shared" si="13"/>
        <v>0</v>
      </c>
      <c r="HW18" s="1184" cm="1">
        <f t="array" ref="HW18">INDEX(Tiere!$BC$30:$BC$114,'Lagerhaltung (freiwillig)'!HP18)</f>
        <v>5.12</v>
      </c>
      <c r="HX18" s="1184">
        <f t="shared" si="14"/>
        <v>0</v>
      </c>
      <c r="HY18" s="1184" cm="1">
        <f t="array" ref="HY18">INDEX(Tiere!$BD$30:$BD$114,'Lagerhaltung (freiwillig)'!HP18)</f>
        <v>2.34</v>
      </c>
      <c r="HZ18" s="1184">
        <f t="shared" si="15"/>
        <v>0</v>
      </c>
      <c r="IA18" s="1184"/>
      <c r="IB18" s="1184"/>
      <c r="IC18" s="1184"/>
      <c r="ID18" s="1184"/>
      <c r="IE18" s="1184"/>
      <c r="IF18" s="1184"/>
      <c r="IG18" s="1184"/>
      <c r="IH18" s="1184"/>
      <c r="II18" s="1184"/>
      <c r="IJ18" s="1184"/>
      <c r="IK18" s="1184"/>
      <c r="IL18" s="1184"/>
    </row>
    <row r="19" spans="1:246" ht="15.6" customHeight="1" x14ac:dyDescent="0.2">
      <c r="A19" s="725"/>
      <c r="B19" s="726"/>
      <c r="C19" s="726"/>
      <c r="D19" s="726"/>
      <c r="E19" s="726"/>
      <c r="F19" s="1466" cm="1">
        <f t="array" ref="F19">INDEX(Pflanzen!$I$5:$I$104,BR19)</f>
        <v>0</v>
      </c>
      <c r="G19" s="1467" cm="1">
        <f t="array" ref="G19">INDEX(Pflanzen!$W$5:$W$104,BR19)</f>
        <v>0</v>
      </c>
      <c r="H19" s="1468" cm="1">
        <f t="array" ref="H19">INDEX(Pflanzen!$X$5:$X$104,BR19)</f>
        <v>0</v>
      </c>
      <c r="I19" s="1122"/>
      <c r="J19" s="1303"/>
      <c r="K19" s="1122"/>
      <c r="L19" s="1487"/>
      <c r="M19" s="1491"/>
      <c r="N19" s="1487"/>
      <c r="O19" s="1487"/>
      <c r="P19" s="1292"/>
      <c r="Q19" s="2180"/>
      <c r="R19" s="1487"/>
      <c r="S19" s="1491"/>
      <c r="T19" s="1303"/>
      <c r="U19" s="725"/>
      <c r="V19" s="1346" t="str">
        <f t="shared" si="92"/>
        <v/>
      </c>
      <c r="Y19" s="1554" t="str" cm="1">
        <f t="array" ref="Y19">IFERROR(INDEX($CY$4:$CY$165,AY19),"")</f>
        <v/>
      </c>
      <c r="Z19" s="1555"/>
      <c r="AA19" s="1555"/>
      <c r="AB19" s="1555"/>
      <c r="AC19" s="1454" t="str" cm="1">
        <f t="array" ref="AC19">IFERROR(INDEX($GN$4:$GN$165,AY19),"")</f>
        <v/>
      </c>
      <c r="AD19" s="1454" t="str" cm="1">
        <f t="array" ref="AD19">IFERROR(INDEX($GO$4:$GO$165,AY19),"")</f>
        <v/>
      </c>
      <c r="AE19" s="1454" t="str" cm="1">
        <f t="array" ref="AE19">IFERROR(INDEX($GJ$4:$GJ$165,AY19),"")</f>
        <v/>
      </c>
      <c r="AF19" s="1454" t="str" cm="1">
        <f t="array" ref="AF19">IFERROR(INDEX($GK$4:$GK$165,AY19),"")</f>
        <v/>
      </c>
      <c r="AG19" s="1454" t="str" cm="1">
        <f t="array" ref="AG19">IFERROR(INDEX($GQ$4:$GQ$165,AY19),"")</f>
        <v/>
      </c>
      <c r="AH19" s="1454" t="str" cm="1">
        <f t="array" ref="AH19">IFERROR(INDEX($GR$4:$GR$165,AY19),"")</f>
        <v/>
      </c>
      <c r="AI19" s="1454" t="str" cm="1">
        <f t="array" ref="AI19">IFERROR(INDEX($GH$4:$GH$165,AY19),"")</f>
        <v/>
      </c>
      <c r="AJ19" s="1454" t="str" cm="1">
        <f t="array" ref="AJ19">IFERROR(INDEX($GI$4:$GI$165,AY19),"")</f>
        <v/>
      </c>
      <c r="AK19" s="1454" t="str" cm="1">
        <f t="array" ref="AK19">IFERROR(INDEX($GU$4:$GU$165,AY19),"")</f>
        <v/>
      </c>
      <c r="AL19" s="1455" t="str" cm="1">
        <f t="array" ref="AL19">IFERROR(INDEX($GV$4:$GV$165,AY19),"")</f>
        <v/>
      </c>
      <c r="AM19" s="1454" t="str" cm="1">
        <f t="array" ref="AM19">IFERROR(INDEX($GD$4:$GD$165,AY19),"")</f>
        <v/>
      </c>
      <c r="AN19" s="1454" t="str" cm="1">
        <f t="array" ref="AN19">IFERROR(INDEX($GE$4:$GE$165,AY19),"")</f>
        <v/>
      </c>
      <c r="AO19" s="1454" t="str" cm="1">
        <f t="array" ref="AO19">IFERROR(INDEX($GW$4:$GW$165,AY19),"")</f>
        <v/>
      </c>
      <c r="AP19" s="1454" t="str" cm="1">
        <f t="array" ref="AP19">IFERROR(INDEX($GZ$4:$GZ$165,AY19),"")</f>
        <v/>
      </c>
      <c r="AQ19" s="1457"/>
      <c r="AR19" s="1454" t="str" cm="1">
        <f t="array" ref="AR19">IFERROR(INDEX($HF$4:$HF$165,AY19),"")</f>
        <v/>
      </c>
      <c r="AS19" s="1454" t="str" cm="1">
        <f t="array" ref="AS19">IFERROR(INDEX($HG$4:$HG$165,AY19),"")</f>
        <v/>
      </c>
      <c r="AT19" s="1454" t="str" cm="1">
        <f t="array" ref="AT19">IFERROR(INDEX($HH$4:$HH$165,AY19),"")</f>
        <v/>
      </c>
      <c r="AU19" s="1454" t="str" cm="1">
        <f t="array" ref="AU19">IFERROR(INDEX($GL$4:$GL$165,AY19),"")</f>
        <v/>
      </c>
      <c r="AV19" s="1454" t="str" cm="1">
        <f t="array" ref="AV19">IFERROR(INDEX($GM$4:$GM$165,AY19),"")</f>
        <v/>
      </c>
      <c r="AY19" s="1184" t="str" cm="1">
        <f t="array" ref="AY19">IFERROR(SMALL(IF($HK$4:$HK$165=1,ROW($HK$4:$HK$165)-3),ROW(W7)),IFERROR(SMALL(IF($HK$4:$HK$165=2,ROW($HK$4:$HK$165)-3),ROW(W7)-COUNTIF($HK$4:$HK$165,1)),IFERROR(SMALL(IF($HK$4:$HK$165=0,ROW($HK$4:$HK$165)-3),ROW(W7)-COUNTIF($HK$4:$HK$165,1)-COUNTIF($HK$4:$HK$165,2)),"")))</f>
        <v/>
      </c>
      <c r="AZ19" s="1184" t="str">
        <f t="shared" si="72"/>
        <v>a</v>
      </c>
      <c r="BA19" s="1194" t="e">
        <f t="shared" si="73"/>
        <v>#VALUE!</v>
      </c>
      <c r="BB19" s="1194" cm="1">
        <f t="array" ref="BB19">IFERROR(INDEX($HK$4:$HK$165,AY19),0)</f>
        <v>0</v>
      </c>
      <c r="BC19" s="1194">
        <f t="shared" si="74"/>
        <v>0</v>
      </c>
      <c r="BD19" s="1194"/>
      <c r="BE19" s="1343"/>
      <c r="BF19" s="1343"/>
      <c r="BG19" s="1343"/>
      <c r="BH19" s="1343"/>
      <c r="BI19" s="1343"/>
      <c r="BJ19" s="1343"/>
      <c r="BK19" s="1343"/>
      <c r="BL19" s="1343"/>
      <c r="BM19" s="1343"/>
      <c r="BN19" s="1343"/>
      <c r="BO19" s="1343"/>
      <c r="BQ19" s="1184"/>
      <c r="BR19" s="1184">
        <v>1</v>
      </c>
      <c r="BS19" s="1184"/>
      <c r="BT19" s="1184" t="b">
        <v>0</v>
      </c>
      <c r="BU19" s="1199"/>
      <c r="BV19" s="1199"/>
      <c r="BW19" s="1184">
        <f t="shared" si="75"/>
        <v>12</v>
      </c>
      <c r="BX19" s="1184">
        <f t="shared" si="76"/>
        <v>0</v>
      </c>
      <c r="BY19" s="1184">
        <f t="shared" si="77"/>
        <v>12</v>
      </c>
      <c r="BZ19" s="1184" cm="1">
        <f t="array" ref="BZ19">INDEX(Pflanzen!$AB$5:$AB$114,'Lagerhaltung (freiwillig)'!BR19)</f>
        <v>0</v>
      </c>
      <c r="CA19" s="1184" cm="1">
        <f t="array" ref="CA19">IF(BZ19=1,INDEX(Pflanzen!$AC$5:$AC$114,BR19),N19)</f>
        <v>0</v>
      </c>
      <c r="CB19" s="1184" cm="1">
        <f t="array" ref="CB19">IF(BZ19=1,INDEX(Pflanzen!$AD$5:$AD$114,BR19),O19)</f>
        <v>0</v>
      </c>
      <c r="CC19" s="1184">
        <f t="shared" si="78"/>
        <v>12</v>
      </c>
      <c r="CD19" s="1184">
        <f t="shared" si="79"/>
        <v>0</v>
      </c>
      <c r="CE19" s="1184">
        <f t="shared" si="80"/>
        <v>12</v>
      </c>
      <c r="CF19" s="1184" cm="1">
        <f t="array" ref="CF19">INDEX(Pflanzen!$F$5:$F$114,BR19)</f>
        <v>0</v>
      </c>
      <c r="CG19" s="1184" cm="1">
        <f t="array" ref="CG19">INDEX(Pflanzen!$G$5:$G$114,BR19)</f>
        <v>0</v>
      </c>
      <c r="CH19" s="1184">
        <f t="shared" si="81"/>
        <v>0</v>
      </c>
      <c r="CI19" s="1184">
        <f t="shared" si="93"/>
        <v>0</v>
      </c>
      <c r="CJ19" s="1184">
        <f t="shared" si="94"/>
        <v>0</v>
      </c>
      <c r="CK19" s="1184">
        <f t="shared" si="82"/>
        <v>0</v>
      </c>
      <c r="CL19" s="1184">
        <f t="shared" si="83"/>
        <v>0</v>
      </c>
      <c r="CM19" s="1184">
        <f t="shared" si="84"/>
        <v>0</v>
      </c>
      <c r="CN19" s="1184">
        <f t="shared" si="85"/>
        <v>0</v>
      </c>
      <c r="CO19" s="1184">
        <f t="shared" si="86"/>
        <v>0</v>
      </c>
      <c r="CP19" s="1184">
        <f t="shared" si="87"/>
        <v>0</v>
      </c>
      <c r="CQ19" s="1184">
        <f t="shared" si="88"/>
        <v>0</v>
      </c>
      <c r="CR19" s="1184">
        <f t="shared" si="89"/>
        <v>0</v>
      </c>
      <c r="CS19" s="1184">
        <f t="shared" si="90"/>
        <v>0</v>
      </c>
      <c r="CT19" s="1184">
        <f t="shared" si="91"/>
        <v>0</v>
      </c>
      <c r="CU19" s="1184">
        <f t="shared" si="95"/>
        <v>2</v>
      </c>
      <c r="CV19" s="1184">
        <f t="shared" si="96"/>
        <v>0</v>
      </c>
      <c r="CW19" s="1186">
        <f t="shared" si="97"/>
        <v>0</v>
      </c>
      <c r="CX19" s="1184"/>
      <c r="CY19" s="320" t="str">
        <f>Pflanzen!A15</f>
        <v>Sommerbraugerste</v>
      </c>
      <c r="CZ19" s="1200">
        <f>IFERROR(MATCH($CY19,Pflanzen!$C$5:$C$114,0),1)</f>
        <v>11</v>
      </c>
      <c r="DA19" s="320" cm="1">
        <f t="array" ref="DA19">INDEX(Pflanzen!$H$5:$H$114,'Lagerhaltung (freiwillig)'!CZ19)</f>
        <v>2</v>
      </c>
      <c r="DB19" s="1200">
        <f t="shared" ref="DB19:DM28" si="98">SUMIFS($CQ$14:$CQ$68,$BW$14:$BW$68,1,$BX$14:$BX$68,DB$2,$BR$14:$BR$68,$CZ19)+    SUMIFS($CQ$14:$CQ$68,$BW$14:$BW$68,"&gt;1",$BX$14:$BX$68,"&lt;="&amp;DB$2,$BY$14:$BY$68,"&gt;="&amp;DB$2,$BR$14:$BR$68,$CZ19)</f>
        <v>0</v>
      </c>
      <c r="DC19" s="1200">
        <f t="shared" si="98"/>
        <v>0</v>
      </c>
      <c r="DD19" s="1200">
        <f t="shared" si="98"/>
        <v>0</v>
      </c>
      <c r="DE19" s="1200">
        <f t="shared" si="98"/>
        <v>0</v>
      </c>
      <c r="DF19" s="1200">
        <f t="shared" si="98"/>
        <v>0</v>
      </c>
      <c r="DG19" s="1184">
        <f t="shared" si="98"/>
        <v>0</v>
      </c>
      <c r="DH19" s="1184">
        <f t="shared" si="98"/>
        <v>0</v>
      </c>
      <c r="DI19" s="1184">
        <f t="shared" si="98"/>
        <v>0</v>
      </c>
      <c r="DJ19" s="1184">
        <f t="shared" si="98"/>
        <v>0</v>
      </c>
      <c r="DK19" s="1184">
        <f t="shared" si="98"/>
        <v>0</v>
      </c>
      <c r="DL19" s="1184">
        <f t="shared" si="98"/>
        <v>0</v>
      </c>
      <c r="DM19" s="1184">
        <f t="shared" si="98"/>
        <v>0</v>
      </c>
      <c r="DN19" s="1184"/>
      <c r="DO19" s="1184">
        <f t="shared" ref="DO19:DZ28" si="99">SUMIFS($CS$14:$CS$68,$BW$14:$BW$68,1,$BX$14:$BX$68,DO$2,$BR$14:$BR$68,$CZ19)+    SUMIFS($CS$14:$CS$68,$BW$14:$BW$68,"&gt;1",$BX$14:$BX$68,"&lt;="&amp;DO$2,$BY$14:$BY$68,"&gt;="&amp;DO$2,$BR$14:$BR$68,$CZ19)</f>
        <v>0</v>
      </c>
      <c r="DP19" s="1184">
        <f t="shared" si="99"/>
        <v>0</v>
      </c>
      <c r="DQ19" s="1184">
        <f t="shared" si="99"/>
        <v>0</v>
      </c>
      <c r="DR19" s="1184">
        <f t="shared" si="99"/>
        <v>0</v>
      </c>
      <c r="DS19" s="1184">
        <f t="shared" si="99"/>
        <v>0</v>
      </c>
      <c r="DT19" s="1184">
        <f t="shared" si="99"/>
        <v>0</v>
      </c>
      <c r="DU19" s="1184">
        <f t="shared" si="99"/>
        <v>0</v>
      </c>
      <c r="DV19" s="1184">
        <f t="shared" si="99"/>
        <v>0</v>
      </c>
      <c r="DW19" s="1184">
        <f t="shared" si="99"/>
        <v>0</v>
      </c>
      <c r="DX19" s="1184">
        <f t="shared" si="99"/>
        <v>0</v>
      </c>
      <c r="DY19" s="1184">
        <f t="shared" si="99"/>
        <v>0</v>
      </c>
      <c r="DZ19" s="1184">
        <f t="shared" si="99"/>
        <v>0</v>
      </c>
      <c r="EA19" s="1184"/>
      <c r="EB19" s="1184">
        <f t="shared" ref="EB19:EM28" si="100">SUMIFS($CL$14:$CL$68,$CC$14:$CC$68,1,$CD$14:$CD$68,EB$2,$BR$14:$BR$68,$CZ19)+         SUMIFS($CL$14:$CL$68,$CC$14:$CC$68,"&gt;1",$CD$14:$CD$68,"&lt;="&amp;EB$2,$CE$14:$CE$68,"&gt;="&amp;EB$2,$BR$14:$BR$68,$CZ19)</f>
        <v>0</v>
      </c>
      <c r="EC19" s="1184">
        <f t="shared" si="100"/>
        <v>0</v>
      </c>
      <c r="ED19" s="1184">
        <f t="shared" si="100"/>
        <v>0</v>
      </c>
      <c r="EE19" s="1184">
        <f t="shared" si="100"/>
        <v>0</v>
      </c>
      <c r="EF19" s="1184">
        <f t="shared" si="100"/>
        <v>0</v>
      </c>
      <c r="EG19" s="1184">
        <f t="shared" si="100"/>
        <v>0</v>
      </c>
      <c r="EH19" s="1184">
        <f t="shared" si="100"/>
        <v>0</v>
      </c>
      <c r="EI19" s="1184">
        <f t="shared" si="100"/>
        <v>0</v>
      </c>
      <c r="EJ19" s="1184">
        <f t="shared" si="100"/>
        <v>0</v>
      </c>
      <c r="EK19" s="1184">
        <f t="shared" si="100"/>
        <v>0</v>
      </c>
      <c r="EL19" s="1184">
        <f t="shared" si="100"/>
        <v>0</v>
      </c>
      <c r="EM19" s="1184">
        <f t="shared" si="100"/>
        <v>0</v>
      </c>
      <c r="EN19" s="1184"/>
      <c r="EO19" s="1184">
        <f t="shared" ref="EO19:EZ28" si="101">SUMIFS($CN$14:$CN$68,$CC$14:$CC$68,1,$CD$14:$CD$68,EO$2,$BR$14:$BR$68,$CZ19)+         SUMIFS($CN$14:$CN$68,$CC$14:$CC$68,"&gt;1",$CD$14:$CD$68,"&lt;="&amp;EO$2,$CE$14:$CE$68,"&gt;="&amp;EO$2,$BR$14:$BR$68,$CZ19)</f>
        <v>0</v>
      </c>
      <c r="EP19" s="1184">
        <f t="shared" si="101"/>
        <v>0</v>
      </c>
      <c r="EQ19" s="1184">
        <f t="shared" si="101"/>
        <v>0</v>
      </c>
      <c r="ER19" s="1184">
        <f t="shared" si="101"/>
        <v>0</v>
      </c>
      <c r="ES19" s="1184">
        <f t="shared" si="101"/>
        <v>0</v>
      </c>
      <c r="ET19" s="1184">
        <f t="shared" si="101"/>
        <v>0</v>
      </c>
      <c r="EU19" s="1184">
        <f t="shared" si="101"/>
        <v>0</v>
      </c>
      <c r="EV19" s="1184">
        <f t="shared" si="101"/>
        <v>0</v>
      </c>
      <c r="EW19" s="1184">
        <f t="shared" si="101"/>
        <v>0</v>
      </c>
      <c r="EX19" s="1184">
        <f t="shared" si="101"/>
        <v>0</v>
      </c>
      <c r="EY19" s="1184">
        <f t="shared" si="101"/>
        <v>0</v>
      </c>
      <c r="EZ19" s="1184">
        <f t="shared" si="101"/>
        <v>0</v>
      </c>
      <c r="FA19" s="1184"/>
      <c r="FB19" s="1186">
        <f t="shared" si="51"/>
        <v>0</v>
      </c>
      <c r="FC19" s="1184">
        <f>FB19+DB19+EB19                 -         SUMIF('Nährstoffe und Lagerraum'!$AX$113:$AX$155,$CZ19,'Nährstoffe und Lagerraum'!$U$113:$U$155)/12  -$GD19*$HE19/12</f>
        <v>0</v>
      </c>
      <c r="FD19" s="1184">
        <f>FC19+DC19+EC19                 -         SUMIF('Nährstoffe und Lagerraum'!$AX$113:$AX$155,$CZ19,'Nährstoffe und Lagerraum'!$U$113:$U$155)/12  -$GD19*$HE19/12</f>
        <v>0</v>
      </c>
      <c r="FE19" s="1184">
        <f>FD19+DD19+ED19                 -         SUMIF('Nährstoffe und Lagerraum'!$AX$113:$AX$155,$CZ19,'Nährstoffe und Lagerraum'!$U$113:$U$155)/12  -$GD19*$HE19/12</f>
        <v>0</v>
      </c>
      <c r="FF19" s="1184">
        <f>FE19+DE19+EE19                 -         SUMIF('Nährstoffe und Lagerraum'!$AX$113:$AX$155,$CZ19,'Nährstoffe und Lagerraum'!$U$113:$U$155)/12  -$GD19*$HE19/12</f>
        <v>0</v>
      </c>
      <c r="FG19" s="1184">
        <f>FF19+DF19+EF19                 -         SUMIF('Nährstoffe und Lagerraum'!$AX$113:$AX$155,$CZ19,'Nährstoffe und Lagerraum'!$U$113:$U$155)/12  -$GD19*$HE19/12</f>
        <v>0</v>
      </c>
      <c r="FH19" s="1184">
        <f>FG19+DG19+EG19                 -         SUMIF('Nährstoffe und Lagerraum'!$AX$113:$AX$155,$CZ19,'Nährstoffe und Lagerraum'!$U$113:$U$155)/12  -$GD19*$HE19/12</f>
        <v>0</v>
      </c>
      <c r="FI19" s="1184">
        <f>FH19+DH19+EH19                 -         SUMIF('Nährstoffe und Lagerraum'!$AX$113:$AX$155,$CZ19,'Nährstoffe und Lagerraum'!$U$113:$U$155)/12  -$GD19*$HE19/12</f>
        <v>0</v>
      </c>
      <c r="FJ19" s="1184">
        <f>FI19+DI19+EI19                 -         SUMIF('Nährstoffe und Lagerraum'!$AX$113:$AX$155,$CZ19,'Nährstoffe und Lagerraum'!$U$113:$U$155)/12  -$GD19*$HE19/12</f>
        <v>0</v>
      </c>
      <c r="FK19" s="1184">
        <f>FJ19+DJ19+EJ19                 -         SUMIF('Nährstoffe und Lagerraum'!$AX$113:$AX$155,$CZ19,'Nährstoffe und Lagerraum'!$U$113:$U$155)/12  -$GD19*$HE19/12</f>
        <v>0</v>
      </c>
      <c r="FL19" s="1184">
        <f>FK19+DK19+EK19                 -         SUMIF('Nährstoffe und Lagerraum'!$AX$113:$AX$155,$CZ19,'Nährstoffe und Lagerraum'!$U$113:$U$155)/12  -$GD19*$HE19/12</f>
        <v>0</v>
      </c>
      <c r="FM19" s="1184">
        <f>FL19+DL19+EL19                 -         SUMIF('Nährstoffe und Lagerraum'!$AX$113:$AX$155,$CZ19,'Nährstoffe und Lagerraum'!$U$113:$U$155)/12  -$GD19*$HE19/12</f>
        <v>0</v>
      </c>
      <c r="FN19" s="1184">
        <f>FM19+DM19+EM19                 -         SUMIF('Nährstoffe und Lagerraum'!$AX$113:$AX$155,$CZ19,'Nährstoffe und Lagerraum'!$U$113:$U$155)/12  -$GD19*$HE19/12</f>
        <v>0</v>
      </c>
      <c r="FO19" s="1184"/>
      <c r="FP19" s="1186">
        <f t="shared" si="52"/>
        <v>0</v>
      </c>
      <c r="FQ19" s="1184">
        <f>FP19+DO19+EO19                 -         SUMIF('Nährstoffe und Lagerraum'!$AX$113:$AX$155,$CZ19,'Nährstoffe und Lagerraum'!$V$113:$V$155)/12  -$GE19*$HE19/12</f>
        <v>0</v>
      </c>
      <c r="FR19" s="1184">
        <f>FQ19+DP19+EP19                 -         SUMIF('Nährstoffe und Lagerraum'!$AX$113:$AX$155,$CZ19,'Nährstoffe und Lagerraum'!$V$113:$V$155)/12  -$GE19*$HE19/12</f>
        <v>0</v>
      </c>
      <c r="FS19" s="1184">
        <f>FR19+DQ19+EQ19                 -         SUMIF('Nährstoffe und Lagerraum'!$AX$113:$AX$155,$CZ19,'Nährstoffe und Lagerraum'!$V$113:$V$155)/12  -$GE19*$HE19/12</f>
        <v>0</v>
      </c>
      <c r="FT19" s="1184">
        <f>FS19+DR19+ER19                 -         SUMIF('Nährstoffe und Lagerraum'!$AX$113:$AX$155,$CZ19,'Nährstoffe und Lagerraum'!$V$113:$V$155)/12  -$GE19*$HE19/12</f>
        <v>0</v>
      </c>
      <c r="FU19" s="1184">
        <f>FT19+DS19+ES19                 -         SUMIF('Nährstoffe und Lagerraum'!$AX$113:$AX$155,$CZ19,'Nährstoffe und Lagerraum'!$V$113:$V$155)/12  -$GE19*$HE19/12</f>
        <v>0</v>
      </c>
      <c r="FV19" s="1184">
        <f>FU19+DT19+ET19                 -         SUMIF('Nährstoffe und Lagerraum'!$AX$113:$AX$155,$CZ19,'Nährstoffe und Lagerraum'!$V$113:$V$155)/12  -$GE19*$HE19/12</f>
        <v>0</v>
      </c>
      <c r="FW19" s="1184">
        <f>FV19+DU19+EU19                 -         SUMIF('Nährstoffe und Lagerraum'!$AX$113:$AX$155,$CZ19,'Nährstoffe und Lagerraum'!$V$113:$V$155)/12  -$GE19*$HE19/12</f>
        <v>0</v>
      </c>
      <c r="FX19" s="1184">
        <f>FW19+DV19+EV19                 -         SUMIF('Nährstoffe und Lagerraum'!$AX$113:$AX$155,$CZ19,'Nährstoffe und Lagerraum'!$V$113:$V$155)/12  -$GE19*$HE19/12</f>
        <v>0</v>
      </c>
      <c r="FY19" s="1184">
        <f>FX19+DW19+EW19                 -         SUMIF('Nährstoffe und Lagerraum'!$AX$113:$AX$155,$CZ19,'Nährstoffe und Lagerraum'!$V$113:$V$155)/12  -$GE19*$HE19/12</f>
        <v>0</v>
      </c>
      <c r="FZ19" s="1184">
        <f>FY19+DX19+EX19                 -         SUMIF('Nährstoffe und Lagerraum'!$AX$113:$AX$155,$CZ19,'Nährstoffe und Lagerraum'!$V$113:$V$155)/12  -$GE19*$HE19/12</f>
        <v>0</v>
      </c>
      <c r="GA19" s="1184">
        <f>FZ19+DY19+EY19                 -         SUMIF('Nährstoffe und Lagerraum'!$AX$113:$AX$155,$CZ19,'Nährstoffe und Lagerraum'!$V$113:$V$155)/12  -$GE19*$HE19/12</f>
        <v>0</v>
      </c>
      <c r="GB19" s="1184">
        <f>GA19+DZ19+EZ19                 -         SUMIF('Nährstoffe und Lagerraum'!$AX$113:$AX$155,$CZ19,'Nährstoffe und Lagerraum'!$V$113:$V$155)/12  -$GE19*$HE19/12</f>
        <v>0</v>
      </c>
      <c r="GC19" s="1184"/>
      <c r="GD19" s="1184">
        <f>SUMIFS($CI$14:$CI$68,$BR$14:$BR$68,$CZ19)+SUMIFS($CM$14:$CM$68,$BR$14:$BR$68,$CZ19)+SUMIFS($CR$14:$CR$68,$BR$14:$BR$68,$CZ19)  -         SUMIF('Nährstoffe und Lagerraum'!$AX$113:$AX$155,$CZ19,'Nährstoffe und Lagerraum'!$U$113:$U$155)</f>
        <v>0</v>
      </c>
      <c r="GE19" s="1184">
        <f>SUMIFS($CJ$14:$CJ$68,$BR$14:$BR$68,$CZ19)+SUMIFS($CO$14:$CO$68,$BR$14:$BR$68,$CZ19)+SUMIFS($CT$14:$CT$68,$BR$14:$BR$68,$CZ19)  -         SUMIF('Nährstoffe und Lagerraum'!$AX$113:$AX$155,$CZ19,'Nährstoffe und Lagerraum'!$V$113:$V$155)</f>
        <v>0</v>
      </c>
      <c r="GF19" s="1184"/>
      <c r="GG19" s="1184"/>
      <c r="GH19" s="1184">
        <f>SUMIF('Nährstoffe und Lagerraum'!$AX$113:$AX$155,$CZ19,'Nährstoffe und Lagerraum'!$U$113:$U$155)</f>
        <v>0</v>
      </c>
      <c r="GI19" s="1184">
        <f>SUMIF('Nährstoffe und Lagerraum'!$AX$113:$AX$155,$CZ19,'Nährstoffe und Lagerraum'!$V$113:$V$155)</f>
        <v>0</v>
      </c>
      <c r="GJ19" s="1184">
        <f t="shared" si="53"/>
        <v>0</v>
      </c>
      <c r="GK19" s="1184">
        <f t="shared" si="54"/>
        <v>0</v>
      </c>
      <c r="GL19" s="1184">
        <f t="shared" si="55"/>
        <v>0</v>
      </c>
      <c r="GM19" s="1184">
        <f t="shared" si="56"/>
        <v>0</v>
      </c>
      <c r="GN19" s="1184">
        <f t="shared" si="57"/>
        <v>0</v>
      </c>
      <c r="GO19" s="1184" cm="1">
        <f t="array" ref="GO19">IF(GN19=0,0,(IFERROR(SUMPRODUCT($J$14:$J$68,$CH$14:$CH$68,($BR$14:$BR$68=CZ19)*1)+SUMPRODUCT($L$14:$L$68,$M$14:$M$68,$CK$14:$CK$68,($BR$14:$BR$68=CZ19)*1,($BT$14:$BT$68=FALSE)*1)/10+SUMPRODUCT($R$14:$R$68,$CP$14:$CP$68,($BR$14:$BR$68=CZ19)*1),0))/GN19)</f>
        <v>0</v>
      </c>
      <c r="GP19" s="1184">
        <f t="shared" si="58"/>
        <v>0</v>
      </c>
      <c r="GQ19" s="1184">
        <f>(SUMIF('Nährstoffe und Lagerraum'!$AX$113:$AX$130,'Lagerhaltung (freiwillig)'!CZ19,'Nährstoffe und Lagerraum'!$D$113:$D$130)+SUMIF('Nährstoffe und Lagerraum'!$AX$137:$AX$155,'Lagerhaltung (freiwillig)'!CZ19,'Nährstoffe und Lagerraum'!$E$137:$E$155))</f>
        <v>0</v>
      </c>
      <c r="GR19" s="1184" cm="1">
        <f t="array" ref="GR19">IF(GQ19=0,0,(IFERROR(SUMPRODUCT('Nährstoffe und Lagerraum'!$D$113:$D$130,'Nährstoffe und Lagerraum'!$F$113:$F$130,('Nährstoffe und Lagerraum'!$AX$113:$AX$130='Lagerhaltung (freiwillig)'!CZ19)*1)+SUMPRODUCT('Nährstoffe und Lagerraum'!$E$137:$E$155,'Nährstoffe und Lagerraum'!$F$137:$F$155,('Nährstoffe und Lagerraum'!$AX$137:$AX$155='Lagerhaltung (freiwillig)'!CZ19)*1),0))/GQ19)</f>
        <v>0</v>
      </c>
      <c r="GS19" s="1184">
        <f t="shared" si="59"/>
        <v>0</v>
      </c>
      <c r="GT19" s="1184">
        <f t="shared" si="60"/>
        <v>0</v>
      </c>
      <c r="GU19" s="1184">
        <f t="shared" si="61"/>
        <v>0</v>
      </c>
      <c r="GV19" s="1184">
        <f t="shared" si="62"/>
        <v>0</v>
      </c>
      <c r="GW19" s="1186" t="str">
        <f t="shared" si="41"/>
        <v xml:space="preserve"> </v>
      </c>
      <c r="GX19" s="1186" t="str">
        <f t="shared" si="41"/>
        <v xml:space="preserve"> </v>
      </c>
      <c r="GY19" s="1195">
        <f t="shared" si="63"/>
        <v>0</v>
      </c>
      <c r="GZ19" s="1184">
        <f t="shared" si="64"/>
        <v>0</v>
      </c>
      <c r="HA19" s="1184" t="str">
        <f t="shared" si="44"/>
        <v>a</v>
      </c>
      <c r="HB19" s="1196">
        <f t="shared" si="65"/>
        <v>0</v>
      </c>
      <c r="HC19" s="1196">
        <f t="shared" si="66"/>
        <v>0</v>
      </c>
      <c r="HD19" s="1196"/>
      <c r="HE19" s="1187">
        <f t="shared" si="67"/>
        <v>0</v>
      </c>
      <c r="HF19" s="1196">
        <f t="shared" si="68"/>
        <v>0</v>
      </c>
      <c r="HG19" s="1196">
        <f t="shared" si="69"/>
        <v>0</v>
      </c>
      <c r="HH19" s="1196">
        <f t="shared" si="70"/>
        <v>0</v>
      </c>
      <c r="HI19" s="1328" cm="1">
        <f t="array" ref="HI19">IF(AND(HG19=0,GL19=0),0,IF(HG19=0,1,IF(OR(GL19*1000/HG19/HH19&gt;INDEX(Pflanzen!$W$5:$W$104,CZ19)/INDEX(Pflanzen!$I$5:$I$104,CZ19)*$HI$1,GL19*1000/HG19/HH19&lt;INDEX(Pflanzen!$W$5:$W$104,CZ19)/INDEX(Pflanzen!$I$5:$I$104,CZ19)/$HI$1),1,0)))</f>
        <v>0</v>
      </c>
      <c r="HJ19" s="1328" cm="1">
        <f t="array" ref="HJ19">IF(AND(GM19=0,HG19=0),0,IF(HG19=0,1,IF(OR(GM19*1000/HG19/HH19&gt;INDEX(Pflanzen!$X$5:$X$104,CZ19)/INDEX(Pflanzen!$I$5:$I$104,CZ19)*$HI$1,GM19*1000/HG19/HH19&lt;INDEX(Pflanzen!$X$5:$X$104,CZ19)/INDEX(Pflanzen!$I$5:$I$104,CZ19)/$HI$1),1,0)))</f>
        <v>0</v>
      </c>
      <c r="HK19" s="1184">
        <f t="shared" si="71"/>
        <v>3</v>
      </c>
      <c r="HL19" s="1184"/>
      <c r="HN19" s="1184"/>
      <c r="HO19" s="1193" t="str">
        <f>Tiere!B45</f>
        <v>Zuchtsauen mit 25 Ferkel bis 8 kg, N-/P-reduziert</v>
      </c>
      <c r="HP19" s="1184">
        <v>16</v>
      </c>
      <c r="HQ19" s="1194">
        <f>SUMIF('Nährstoffe und Lagerraum'!$BM$68:$BM$87,'Lagerhaltung (freiwillig)'!HP19,'Nährstoffe und Lagerraum'!$Z$68:$Z$87)+SUMIF('Nährstoffe und Lagerraum'!$BM$68:$BM$87,'Lagerhaltung (freiwillig)'!HP19,'Nährstoffe und Lagerraum'!$AA$68:$AA$87)</f>
        <v>0</v>
      </c>
      <c r="HR19" s="1184" cm="1">
        <f t="array" ref="HR19">INDEX(Tiere!$C$30:$C$114,'Lagerhaltung (freiwillig)'!HP19)</f>
        <v>2</v>
      </c>
      <c r="HS19" s="1184" cm="1">
        <f t="array" ref="HS19">INDEX(Tiere!$H$30:$H$114,'Lagerhaltung (freiwillig)'!HP19)</f>
        <v>0</v>
      </c>
      <c r="HT19" s="1184">
        <f t="shared" si="12"/>
        <v>0</v>
      </c>
      <c r="HU19" s="1184" cm="1">
        <f t="array" ref="HU19">INDEX(Tiere!$I$30:$I$114,'Lagerhaltung (freiwillig)'!HP19)</f>
        <v>0</v>
      </c>
      <c r="HV19" s="1184">
        <f t="shared" si="13"/>
        <v>0</v>
      </c>
      <c r="HW19" s="1184" cm="1">
        <f t="array" ref="HW19">INDEX(Tiere!$BC$30:$BC$114,'Lagerhaltung (freiwillig)'!HP19)</f>
        <v>5.12</v>
      </c>
      <c r="HX19" s="1184">
        <f t="shared" si="14"/>
        <v>0</v>
      </c>
      <c r="HY19" s="1184" cm="1">
        <f t="array" ref="HY19">INDEX(Tiere!$BD$30:$BD$114,'Lagerhaltung (freiwillig)'!HP19)</f>
        <v>2.34</v>
      </c>
      <c r="HZ19" s="1184">
        <f t="shared" si="15"/>
        <v>0</v>
      </c>
      <c r="IA19" s="1184"/>
      <c r="IB19" s="1184"/>
      <c r="IC19" s="1184"/>
      <c r="ID19" s="1184"/>
      <c r="IE19" s="1184"/>
      <c r="IF19" s="1184"/>
      <c r="IG19" s="1184"/>
      <c r="IH19" s="1184"/>
      <c r="II19" s="1184"/>
      <c r="IJ19" s="1184"/>
      <c r="IK19" s="1184"/>
      <c r="IL19" s="1184"/>
    </row>
    <row r="20" spans="1:246" ht="15.6" customHeight="1" x14ac:dyDescent="0.2">
      <c r="A20" s="725"/>
      <c r="B20" s="726"/>
      <c r="C20" s="726"/>
      <c r="D20" s="726"/>
      <c r="E20" s="726"/>
      <c r="F20" s="1466" cm="1">
        <f t="array" ref="F20">INDEX(Pflanzen!$I$5:$I$104,BR20)</f>
        <v>0</v>
      </c>
      <c r="G20" s="1467" cm="1">
        <f t="array" ref="G20">INDEX(Pflanzen!$W$5:$W$104,BR20)</f>
        <v>0</v>
      </c>
      <c r="H20" s="1468" cm="1">
        <f t="array" ref="H20">INDEX(Pflanzen!$X$5:$X$104,BR20)</f>
        <v>0</v>
      </c>
      <c r="I20" s="1122"/>
      <c r="J20" s="1303"/>
      <c r="K20" s="1122"/>
      <c r="L20" s="1487"/>
      <c r="M20" s="1491"/>
      <c r="N20" s="1487"/>
      <c r="O20" s="1487"/>
      <c r="P20" s="1292"/>
      <c r="Q20" s="2180"/>
      <c r="R20" s="1487"/>
      <c r="S20" s="1491"/>
      <c r="T20" s="1303"/>
      <c r="U20" s="725"/>
      <c r="V20" s="1346" t="str">
        <f t="shared" si="92"/>
        <v/>
      </c>
      <c r="Y20" s="1554" t="str" cm="1">
        <f t="array" ref="Y20">IFERROR(INDEX($CY$4:$CY$165,AY20),"")</f>
        <v/>
      </c>
      <c r="Z20" s="1555"/>
      <c r="AA20" s="1555"/>
      <c r="AB20" s="1555"/>
      <c r="AC20" s="1454" t="str" cm="1">
        <f t="array" ref="AC20">IFERROR(INDEX($GN$4:$GN$165,AY20),"")</f>
        <v/>
      </c>
      <c r="AD20" s="1454" t="str" cm="1">
        <f t="array" ref="AD20">IFERROR(INDEX($GO$4:$GO$165,AY20),"")</f>
        <v/>
      </c>
      <c r="AE20" s="1454" t="str" cm="1">
        <f t="array" ref="AE20">IFERROR(INDEX($GJ$4:$GJ$165,AY20),"")</f>
        <v/>
      </c>
      <c r="AF20" s="1454" t="str" cm="1">
        <f t="array" ref="AF20">IFERROR(INDEX($GK$4:$GK$165,AY20),"")</f>
        <v/>
      </c>
      <c r="AG20" s="1454" t="str" cm="1">
        <f t="array" ref="AG20">IFERROR(INDEX($GQ$4:$GQ$165,AY20),"")</f>
        <v/>
      </c>
      <c r="AH20" s="1454" t="str" cm="1">
        <f t="array" ref="AH20">IFERROR(INDEX($GR$4:$GR$165,AY20),"")</f>
        <v/>
      </c>
      <c r="AI20" s="1454" t="str" cm="1">
        <f t="array" ref="AI20">IFERROR(INDEX($GH$4:$GH$165,AY20),"")</f>
        <v/>
      </c>
      <c r="AJ20" s="1454" t="str" cm="1">
        <f t="array" ref="AJ20">IFERROR(INDEX($GI$4:$GI$165,AY20),"")</f>
        <v/>
      </c>
      <c r="AK20" s="1454" t="str" cm="1">
        <f t="array" ref="AK20">IFERROR(INDEX($GU$4:$GU$165,AY20),"")</f>
        <v/>
      </c>
      <c r="AL20" s="1455" t="str" cm="1">
        <f t="array" ref="AL20">IFERROR(INDEX($GV$4:$GV$165,AY20),"")</f>
        <v/>
      </c>
      <c r="AM20" s="1454" t="str" cm="1">
        <f t="array" ref="AM20">IFERROR(INDEX($GD$4:$GD$165,AY20),"")</f>
        <v/>
      </c>
      <c r="AN20" s="1454" t="str" cm="1">
        <f t="array" ref="AN20">IFERROR(INDEX($GE$4:$GE$165,AY20),"")</f>
        <v/>
      </c>
      <c r="AO20" s="1454" t="str" cm="1">
        <f t="array" ref="AO20">IFERROR(INDEX($GW$4:$GW$165,AY20),"")</f>
        <v/>
      </c>
      <c r="AP20" s="1454" t="str" cm="1">
        <f t="array" ref="AP20">IFERROR(INDEX($GZ$4:$GZ$165,AY20),"")</f>
        <v/>
      </c>
      <c r="AQ20" s="1457"/>
      <c r="AR20" s="1454" t="str" cm="1">
        <f t="array" ref="AR20">IFERROR(INDEX($HF$4:$HF$165,AY20),"")</f>
        <v/>
      </c>
      <c r="AS20" s="1454" t="str" cm="1">
        <f t="array" ref="AS20">IFERROR(INDEX($HG$4:$HG$165,AY20),"")</f>
        <v/>
      </c>
      <c r="AT20" s="1454" t="str" cm="1">
        <f t="array" ref="AT20">IFERROR(INDEX($HH$4:$HH$165,AY20),"")</f>
        <v/>
      </c>
      <c r="AU20" s="1454" t="str" cm="1">
        <f t="array" ref="AU20">IFERROR(INDEX($GL$4:$GL$165,AY20),"")</f>
        <v/>
      </c>
      <c r="AV20" s="1454" t="str" cm="1">
        <f t="array" ref="AV20">IFERROR(INDEX($GM$4:$GM$165,AY20),"")</f>
        <v/>
      </c>
      <c r="AY20" s="1184" t="str" cm="1">
        <f t="array" ref="AY20">IFERROR(SMALL(IF($HK$4:$HK$165=1,ROW($HK$4:$HK$165)-3),ROW(W8)),IFERROR(SMALL(IF($HK$4:$HK$165=2,ROW($HK$4:$HK$165)-3),ROW(W8)-COUNTIF($HK$4:$HK$165,1)),IFERROR(SMALL(IF($HK$4:$HK$165=0,ROW($HK$4:$HK$165)-3),ROW(W8)-COUNTIF($HK$4:$HK$165,1)-COUNTIF($HK$4:$HK$165,2)),"")))</f>
        <v/>
      </c>
      <c r="AZ20" s="1184" t="str">
        <f t="shared" si="72"/>
        <v>a</v>
      </c>
      <c r="BA20" s="1194" t="e">
        <f t="shared" si="73"/>
        <v>#VALUE!</v>
      </c>
      <c r="BB20" s="1194" cm="1">
        <f t="array" ref="BB20">IFERROR(INDEX($HK$4:$HK$165,AY20),0)</f>
        <v>0</v>
      </c>
      <c r="BC20" s="1194">
        <f t="shared" si="74"/>
        <v>0</v>
      </c>
      <c r="BD20" s="1194"/>
      <c r="BE20" s="1343"/>
      <c r="BF20" s="1343"/>
      <c r="BG20" s="1343"/>
      <c r="BH20" s="1343"/>
      <c r="BI20" s="1343"/>
      <c r="BJ20" s="1343"/>
      <c r="BK20" s="1343"/>
      <c r="BL20" s="1343"/>
      <c r="BM20" s="1343"/>
      <c r="BN20" s="1343"/>
      <c r="BO20" s="1343"/>
      <c r="BQ20" s="1184"/>
      <c r="BR20" s="1184">
        <v>1</v>
      </c>
      <c r="BS20" s="1184"/>
      <c r="BT20" s="1184" t="b">
        <v>0</v>
      </c>
      <c r="BU20" s="1199"/>
      <c r="BV20" s="1199"/>
      <c r="BW20" s="1184">
        <f t="shared" si="75"/>
        <v>12</v>
      </c>
      <c r="BX20" s="1184">
        <f t="shared" si="76"/>
        <v>0</v>
      </c>
      <c r="BY20" s="1184">
        <f t="shared" si="77"/>
        <v>12</v>
      </c>
      <c r="BZ20" s="1184" cm="1">
        <f t="array" ref="BZ20">INDEX(Pflanzen!$AB$5:$AB$114,'Lagerhaltung (freiwillig)'!BR20)</f>
        <v>0</v>
      </c>
      <c r="CA20" s="1184" cm="1">
        <f t="array" ref="CA20">IF(BZ20=1,INDEX(Pflanzen!$AC$5:$AC$114,BR20),N20)</f>
        <v>0</v>
      </c>
      <c r="CB20" s="1184" cm="1">
        <f t="array" ref="CB20">IF(BZ20=1,INDEX(Pflanzen!$AD$5:$AD$114,BR20),O20)</f>
        <v>0</v>
      </c>
      <c r="CC20" s="1184">
        <f t="shared" si="78"/>
        <v>12</v>
      </c>
      <c r="CD20" s="1184">
        <f t="shared" si="79"/>
        <v>0</v>
      </c>
      <c r="CE20" s="1184">
        <f t="shared" si="80"/>
        <v>12</v>
      </c>
      <c r="CF20" s="1184" cm="1">
        <f t="array" ref="CF20">INDEX(Pflanzen!$F$5:$F$114,BR20)</f>
        <v>0</v>
      </c>
      <c r="CG20" s="1184" cm="1">
        <f t="array" ref="CG20">INDEX(Pflanzen!$G$5:$G$114,BR20)</f>
        <v>0</v>
      </c>
      <c r="CH20" s="1184">
        <f t="shared" si="81"/>
        <v>0</v>
      </c>
      <c r="CI20" s="1184">
        <f t="shared" si="93"/>
        <v>0</v>
      </c>
      <c r="CJ20" s="1184">
        <f t="shared" si="94"/>
        <v>0</v>
      </c>
      <c r="CK20" s="1184">
        <f t="shared" si="82"/>
        <v>0</v>
      </c>
      <c r="CL20" s="1184">
        <f t="shared" si="83"/>
        <v>0</v>
      </c>
      <c r="CM20" s="1184">
        <f t="shared" si="84"/>
        <v>0</v>
      </c>
      <c r="CN20" s="1184">
        <f t="shared" si="85"/>
        <v>0</v>
      </c>
      <c r="CO20" s="1184">
        <f t="shared" si="86"/>
        <v>0</v>
      </c>
      <c r="CP20" s="1184">
        <f t="shared" si="87"/>
        <v>0</v>
      </c>
      <c r="CQ20" s="1184">
        <f t="shared" si="88"/>
        <v>0</v>
      </c>
      <c r="CR20" s="1184">
        <f t="shared" si="89"/>
        <v>0</v>
      </c>
      <c r="CS20" s="1184">
        <f t="shared" si="90"/>
        <v>0</v>
      </c>
      <c r="CT20" s="1184">
        <f t="shared" si="91"/>
        <v>0</v>
      </c>
      <c r="CU20" s="1184">
        <f t="shared" si="95"/>
        <v>2</v>
      </c>
      <c r="CV20" s="1184">
        <f t="shared" si="96"/>
        <v>0</v>
      </c>
      <c r="CW20" s="1186">
        <f t="shared" si="97"/>
        <v>0</v>
      </c>
      <c r="CX20" s="1184"/>
      <c r="CY20" s="320" t="str">
        <f>Pflanzen!A16</f>
        <v>Winterroggen</v>
      </c>
      <c r="CZ20" s="1200">
        <f>IFERROR(MATCH($CY20,Pflanzen!$C$5:$C$114,0),1)</f>
        <v>12</v>
      </c>
      <c r="DA20" s="320" cm="1">
        <f t="array" ref="DA20">INDEX(Pflanzen!$H$5:$H$114,'Lagerhaltung (freiwillig)'!CZ20)</f>
        <v>2</v>
      </c>
      <c r="DB20" s="1200">
        <f t="shared" si="98"/>
        <v>0</v>
      </c>
      <c r="DC20" s="1200">
        <f t="shared" si="98"/>
        <v>0</v>
      </c>
      <c r="DD20" s="1200">
        <f t="shared" si="98"/>
        <v>0</v>
      </c>
      <c r="DE20" s="1200">
        <f t="shared" si="98"/>
        <v>0</v>
      </c>
      <c r="DF20" s="1200">
        <f t="shared" si="98"/>
        <v>0</v>
      </c>
      <c r="DG20" s="1184">
        <f t="shared" si="98"/>
        <v>0</v>
      </c>
      <c r="DH20" s="1184">
        <f t="shared" si="98"/>
        <v>0</v>
      </c>
      <c r="DI20" s="1184">
        <f t="shared" si="98"/>
        <v>0</v>
      </c>
      <c r="DJ20" s="1184">
        <f t="shared" si="98"/>
        <v>0</v>
      </c>
      <c r="DK20" s="1184">
        <f t="shared" si="98"/>
        <v>0</v>
      </c>
      <c r="DL20" s="1184">
        <f t="shared" si="98"/>
        <v>0</v>
      </c>
      <c r="DM20" s="1184">
        <f t="shared" si="98"/>
        <v>0</v>
      </c>
      <c r="DN20" s="1184"/>
      <c r="DO20" s="1184">
        <f t="shared" si="99"/>
        <v>0</v>
      </c>
      <c r="DP20" s="1184">
        <f t="shared" si="99"/>
        <v>0</v>
      </c>
      <c r="DQ20" s="1184">
        <f t="shared" si="99"/>
        <v>0</v>
      </c>
      <c r="DR20" s="1184">
        <f t="shared" si="99"/>
        <v>0</v>
      </c>
      <c r="DS20" s="1184">
        <f t="shared" si="99"/>
        <v>0</v>
      </c>
      <c r="DT20" s="1184">
        <f t="shared" si="99"/>
        <v>0</v>
      </c>
      <c r="DU20" s="1184">
        <f t="shared" si="99"/>
        <v>0</v>
      </c>
      <c r="DV20" s="1184">
        <f t="shared" si="99"/>
        <v>0</v>
      </c>
      <c r="DW20" s="1184">
        <f t="shared" si="99"/>
        <v>0</v>
      </c>
      <c r="DX20" s="1184">
        <f t="shared" si="99"/>
        <v>0</v>
      </c>
      <c r="DY20" s="1184">
        <f t="shared" si="99"/>
        <v>0</v>
      </c>
      <c r="DZ20" s="1184">
        <f t="shared" si="99"/>
        <v>0</v>
      </c>
      <c r="EA20" s="1184"/>
      <c r="EB20" s="1184">
        <f t="shared" si="100"/>
        <v>0</v>
      </c>
      <c r="EC20" s="1184">
        <f t="shared" si="100"/>
        <v>0</v>
      </c>
      <c r="ED20" s="1184">
        <f t="shared" si="100"/>
        <v>0</v>
      </c>
      <c r="EE20" s="1184">
        <f t="shared" si="100"/>
        <v>0</v>
      </c>
      <c r="EF20" s="1184">
        <f t="shared" si="100"/>
        <v>0</v>
      </c>
      <c r="EG20" s="1184">
        <f t="shared" si="100"/>
        <v>0</v>
      </c>
      <c r="EH20" s="1184">
        <f t="shared" si="100"/>
        <v>0</v>
      </c>
      <c r="EI20" s="1184">
        <f t="shared" si="100"/>
        <v>0</v>
      </c>
      <c r="EJ20" s="1184">
        <f t="shared" si="100"/>
        <v>0</v>
      </c>
      <c r="EK20" s="1184">
        <f t="shared" si="100"/>
        <v>0</v>
      </c>
      <c r="EL20" s="1184">
        <f t="shared" si="100"/>
        <v>0</v>
      </c>
      <c r="EM20" s="1184">
        <f t="shared" si="100"/>
        <v>0</v>
      </c>
      <c r="EN20" s="1184"/>
      <c r="EO20" s="1184">
        <f t="shared" si="101"/>
        <v>0</v>
      </c>
      <c r="EP20" s="1184">
        <f t="shared" si="101"/>
        <v>0</v>
      </c>
      <c r="EQ20" s="1184">
        <f t="shared" si="101"/>
        <v>0</v>
      </c>
      <c r="ER20" s="1184">
        <f t="shared" si="101"/>
        <v>0</v>
      </c>
      <c r="ES20" s="1184">
        <f t="shared" si="101"/>
        <v>0</v>
      </c>
      <c r="ET20" s="1184">
        <f t="shared" si="101"/>
        <v>0</v>
      </c>
      <c r="EU20" s="1184">
        <f t="shared" si="101"/>
        <v>0</v>
      </c>
      <c r="EV20" s="1184">
        <f t="shared" si="101"/>
        <v>0</v>
      </c>
      <c r="EW20" s="1184">
        <f t="shared" si="101"/>
        <v>0</v>
      </c>
      <c r="EX20" s="1184">
        <f t="shared" si="101"/>
        <v>0</v>
      </c>
      <c r="EY20" s="1184">
        <f t="shared" si="101"/>
        <v>0</v>
      </c>
      <c r="EZ20" s="1184">
        <f t="shared" si="101"/>
        <v>0</v>
      </c>
      <c r="FA20" s="1184"/>
      <c r="FB20" s="1186">
        <f t="shared" si="51"/>
        <v>0</v>
      </c>
      <c r="FC20" s="1184">
        <f>FB20+DB20+EB20                 -         SUMIF('Nährstoffe und Lagerraum'!$AX$113:$AX$155,$CZ20,'Nährstoffe und Lagerraum'!$U$113:$U$155)/12  -$GD20*$HE20/12</f>
        <v>0</v>
      </c>
      <c r="FD20" s="1184">
        <f>FC20+DC20+EC20                 -         SUMIF('Nährstoffe und Lagerraum'!$AX$113:$AX$155,$CZ20,'Nährstoffe und Lagerraum'!$U$113:$U$155)/12  -$GD20*$HE20/12</f>
        <v>0</v>
      </c>
      <c r="FE20" s="1184">
        <f>FD20+DD20+ED20                 -         SUMIF('Nährstoffe und Lagerraum'!$AX$113:$AX$155,$CZ20,'Nährstoffe und Lagerraum'!$U$113:$U$155)/12  -$GD20*$HE20/12</f>
        <v>0</v>
      </c>
      <c r="FF20" s="1184">
        <f>FE20+DE20+EE20                 -         SUMIF('Nährstoffe und Lagerraum'!$AX$113:$AX$155,$CZ20,'Nährstoffe und Lagerraum'!$U$113:$U$155)/12  -$GD20*$HE20/12</f>
        <v>0</v>
      </c>
      <c r="FG20" s="1184">
        <f>FF20+DF20+EF20                 -         SUMIF('Nährstoffe und Lagerraum'!$AX$113:$AX$155,$CZ20,'Nährstoffe und Lagerraum'!$U$113:$U$155)/12  -$GD20*$HE20/12</f>
        <v>0</v>
      </c>
      <c r="FH20" s="1184">
        <f>FG20+DG20+EG20                 -         SUMIF('Nährstoffe und Lagerraum'!$AX$113:$AX$155,$CZ20,'Nährstoffe und Lagerraum'!$U$113:$U$155)/12  -$GD20*$HE20/12</f>
        <v>0</v>
      </c>
      <c r="FI20" s="1184">
        <f>FH20+DH20+EH20                 -         SUMIF('Nährstoffe und Lagerraum'!$AX$113:$AX$155,$CZ20,'Nährstoffe und Lagerraum'!$U$113:$U$155)/12  -$GD20*$HE20/12</f>
        <v>0</v>
      </c>
      <c r="FJ20" s="1184">
        <f>FI20+DI20+EI20                 -         SUMIF('Nährstoffe und Lagerraum'!$AX$113:$AX$155,$CZ20,'Nährstoffe und Lagerraum'!$U$113:$U$155)/12  -$GD20*$HE20/12</f>
        <v>0</v>
      </c>
      <c r="FK20" s="1184">
        <f>FJ20+DJ20+EJ20                 -         SUMIF('Nährstoffe und Lagerraum'!$AX$113:$AX$155,$CZ20,'Nährstoffe und Lagerraum'!$U$113:$U$155)/12  -$GD20*$HE20/12</f>
        <v>0</v>
      </c>
      <c r="FL20" s="1184">
        <f>FK20+DK20+EK20                 -         SUMIF('Nährstoffe und Lagerraum'!$AX$113:$AX$155,$CZ20,'Nährstoffe und Lagerraum'!$U$113:$U$155)/12  -$GD20*$HE20/12</f>
        <v>0</v>
      </c>
      <c r="FM20" s="1184">
        <f>FL20+DL20+EL20                 -         SUMIF('Nährstoffe und Lagerraum'!$AX$113:$AX$155,$CZ20,'Nährstoffe und Lagerraum'!$U$113:$U$155)/12  -$GD20*$HE20/12</f>
        <v>0</v>
      </c>
      <c r="FN20" s="1184">
        <f>FM20+DM20+EM20                 -         SUMIF('Nährstoffe und Lagerraum'!$AX$113:$AX$155,$CZ20,'Nährstoffe und Lagerraum'!$U$113:$U$155)/12  -$GD20*$HE20/12</f>
        <v>0</v>
      </c>
      <c r="FO20" s="1184"/>
      <c r="FP20" s="1186">
        <f t="shared" si="52"/>
        <v>0</v>
      </c>
      <c r="FQ20" s="1184">
        <f>FP20+DO20+EO20                 -         SUMIF('Nährstoffe und Lagerraum'!$AX$113:$AX$155,$CZ20,'Nährstoffe und Lagerraum'!$V$113:$V$155)/12  -$GE20*$HE20/12</f>
        <v>0</v>
      </c>
      <c r="FR20" s="1184">
        <f>FQ20+DP20+EP20                 -         SUMIF('Nährstoffe und Lagerraum'!$AX$113:$AX$155,$CZ20,'Nährstoffe und Lagerraum'!$V$113:$V$155)/12  -$GE20*$HE20/12</f>
        <v>0</v>
      </c>
      <c r="FS20" s="1184">
        <f>FR20+DQ20+EQ20                 -         SUMIF('Nährstoffe und Lagerraum'!$AX$113:$AX$155,$CZ20,'Nährstoffe und Lagerraum'!$V$113:$V$155)/12  -$GE20*$HE20/12</f>
        <v>0</v>
      </c>
      <c r="FT20" s="1184">
        <f>FS20+DR20+ER20                 -         SUMIF('Nährstoffe und Lagerraum'!$AX$113:$AX$155,$CZ20,'Nährstoffe und Lagerraum'!$V$113:$V$155)/12  -$GE20*$HE20/12</f>
        <v>0</v>
      </c>
      <c r="FU20" s="1184">
        <f>FT20+DS20+ES20                 -         SUMIF('Nährstoffe und Lagerraum'!$AX$113:$AX$155,$CZ20,'Nährstoffe und Lagerraum'!$V$113:$V$155)/12  -$GE20*$HE20/12</f>
        <v>0</v>
      </c>
      <c r="FV20" s="1184">
        <f>FU20+DT20+ET20                 -         SUMIF('Nährstoffe und Lagerraum'!$AX$113:$AX$155,$CZ20,'Nährstoffe und Lagerraum'!$V$113:$V$155)/12  -$GE20*$HE20/12</f>
        <v>0</v>
      </c>
      <c r="FW20" s="1184">
        <f>FV20+DU20+EU20                 -         SUMIF('Nährstoffe und Lagerraum'!$AX$113:$AX$155,$CZ20,'Nährstoffe und Lagerraum'!$V$113:$V$155)/12  -$GE20*$HE20/12</f>
        <v>0</v>
      </c>
      <c r="FX20" s="1184">
        <f>FW20+DV20+EV20                 -         SUMIF('Nährstoffe und Lagerraum'!$AX$113:$AX$155,$CZ20,'Nährstoffe und Lagerraum'!$V$113:$V$155)/12  -$GE20*$HE20/12</f>
        <v>0</v>
      </c>
      <c r="FY20" s="1184">
        <f>FX20+DW20+EW20                 -         SUMIF('Nährstoffe und Lagerraum'!$AX$113:$AX$155,$CZ20,'Nährstoffe und Lagerraum'!$V$113:$V$155)/12  -$GE20*$HE20/12</f>
        <v>0</v>
      </c>
      <c r="FZ20" s="1184">
        <f>FY20+DX20+EX20                 -         SUMIF('Nährstoffe und Lagerraum'!$AX$113:$AX$155,$CZ20,'Nährstoffe und Lagerraum'!$V$113:$V$155)/12  -$GE20*$HE20/12</f>
        <v>0</v>
      </c>
      <c r="GA20" s="1184">
        <f>FZ20+DY20+EY20                 -         SUMIF('Nährstoffe und Lagerraum'!$AX$113:$AX$155,$CZ20,'Nährstoffe und Lagerraum'!$V$113:$V$155)/12  -$GE20*$HE20/12</f>
        <v>0</v>
      </c>
      <c r="GB20" s="1184">
        <f>GA20+DZ20+EZ20                 -         SUMIF('Nährstoffe und Lagerraum'!$AX$113:$AX$155,$CZ20,'Nährstoffe und Lagerraum'!$V$113:$V$155)/12  -$GE20*$HE20/12</f>
        <v>0</v>
      </c>
      <c r="GC20" s="1184"/>
      <c r="GD20" s="1184">
        <f>SUMIFS($CI$14:$CI$68,$BR$14:$BR$68,$CZ20)+SUMIFS($CM$14:$CM$68,$BR$14:$BR$68,$CZ20)+SUMIFS($CR$14:$CR$68,$BR$14:$BR$68,$CZ20)  -         SUMIF('Nährstoffe und Lagerraum'!$AX$113:$AX$155,$CZ20,'Nährstoffe und Lagerraum'!$U$113:$U$155)</f>
        <v>0</v>
      </c>
      <c r="GE20" s="1184">
        <f>SUMIFS($CJ$14:$CJ$68,$BR$14:$BR$68,$CZ20)+SUMIFS($CO$14:$CO$68,$BR$14:$BR$68,$CZ20)+SUMIFS($CT$14:$CT$68,$BR$14:$BR$68,$CZ20)  -         SUMIF('Nährstoffe und Lagerraum'!$AX$113:$AX$155,$CZ20,'Nährstoffe und Lagerraum'!$V$113:$V$155)</f>
        <v>0</v>
      </c>
      <c r="GF20" s="1184"/>
      <c r="GG20" s="1184"/>
      <c r="GH20" s="1184">
        <f>SUMIF('Nährstoffe und Lagerraum'!$AX$113:$AX$155,$CZ20,'Nährstoffe und Lagerraum'!$U$113:$U$155)</f>
        <v>0</v>
      </c>
      <c r="GI20" s="1184">
        <f>SUMIF('Nährstoffe und Lagerraum'!$AX$113:$AX$155,$CZ20,'Nährstoffe und Lagerraum'!$V$113:$V$155)</f>
        <v>0</v>
      </c>
      <c r="GJ20" s="1184">
        <f t="shared" si="53"/>
        <v>0</v>
      </c>
      <c r="GK20" s="1184">
        <f t="shared" si="54"/>
        <v>0</v>
      </c>
      <c r="GL20" s="1184">
        <f t="shared" si="55"/>
        <v>0</v>
      </c>
      <c r="GM20" s="1184">
        <f t="shared" si="56"/>
        <v>0</v>
      </c>
      <c r="GN20" s="1184">
        <f t="shared" si="57"/>
        <v>0</v>
      </c>
      <c r="GO20" s="1184" cm="1">
        <f t="array" ref="GO20">IF(GN20=0,0,(IFERROR(SUMPRODUCT($J$14:$J$68,$CH$14:$CH$68,($BR$14:$BR$68=CZ20)*1)+SUMPRODUCT($L$14:$L$68,$M$14:$M$68,$CK$14:$CK$68,($BR$14:$BR$68=CZ20)*1,($BT$14:$BT$68=FALSE)*1)/10+SUMPRODUCT($R$14:$R$68,$CP$14:$CP$68,($BR$14:$BR$68=CZ20)*1),0))/GN20)</f>
        <v>0</v>
      </c>
      <c r="GP20" s="1184">
        <f t="shared" si="58"/>
        <v>0</v>
      </c>
      <c r="GQ20" s="1184">
        <f>(SUMIF('Nährstoffe und Lagerraum'!$AX$113:$AX$130,'Lagerhaltung (freiwillig)'!CZ20,'Nährstoffe und Lagerraum'!$D$113:$D$130)+SUMIF('Nährstoffe und Lagerraum'!$AX$137:$AX$155,'Lagerhaltung (freiwillig)'!CZ20,'Nährstoffe und Lagerraum'!$E$137:$E$155))</f>
        <v>0</v>
      </c>
      <c r="GR20" s="1184" cm="1">
        <f t="array" ref="GR20">IF(GQ20=0,0,(IFERROR(SUMPRODUCT('Nährstoffe und Lagerraum'!$D$113:$D$130,'Nährstoffe und Lagerraum'!$F$113:$F$130,('Nährstoffe und Lagerraum'!$AX$113:$AX$130='Lagerhaltung (freiwillig)'!CZ20)*1)+SUMPRODUCT('Nährstoffe und Lagerraum'!$E$137:$E$155,'Nährstoffe und Lagerraum'!$F$137:$F$155,('Nährstoffe und Lagerraum'!$AX$137:$AX$155='Lagerhaltung (freiwillig)'!CZ20)*1),0))/GQ20)</f>
        <v>0</v>
      </c>
      <c r="GS20" s="1184">
        <f t="shared" si="59"/>
        <v>0</v>
      </c>
      <c r="GT20" s="1184">
        <f t="shared" si="60"/>
        <v>0</v>
      </c>
      <c r="GU20" s="1184">
        <f t="shared" si="61"/>
        <v>0</v>
      </c>
      <c r="GV20" s="1184">
        <f t="shared" si="62"/>
        <v>0</v>
      </c>
      <c r="GW20" s="1186" t="str">
        <f t="shared" si="41"/>
        <v xml:space="preserve"> </v>
      </c>
      <c r="GX20" s="1186" t="str">
        <f t="shared" si="41"/>
        <v xml:space="preserve"> </v>
      </c>
      <c r="GY20" s="1195">
        <f t="shared" si="63"/>
        <v>0</v>
      </c>
      <c r="GZ20" s="1184">
        <f t="shared" si="64"/>
        <v>0</v>
      </c>
      <c r="HA20" s="1184" t="str">
        <f t="shared" si="44"/>
        <v>a</v>
      </c>
      <c r="HB20" s="1196">
        <f t="shared" si="65"/>
        <v>0</v>
      </c>
      <c r="HC20" s="1196">
        <f t="shared" si="66"/>
        <v>0</v>
      </c>
      <c r="HD20" s="1196"/>
      <c r="HE20" s="1187">
        <f t="shared" si="67"/>
        <v>0</v>
      </c>
      <c r="HF20" s="1196">
        <f t="shared" si="68"/>
        <v>0</v>
      </c>
      <c r="HG20" s="1196">
        <f t="shared" si="69"/>
        <v>0</v>
      </c>
      <c r="HH20" s="1196">
        <f t="shared" si="70"/>
        <v>0</v>
      </c>
      <c r="HI20" s="1328" cm="1">
        <f t="array" ref="HI20">IF(AND(HG20=0,GL20=0),0,IF(HG20=0,1,IF(OR(GL20*1000/HG20/HH20&gt;INDEX(Pflanzen!$W$5:$W$104,CZ20)/INDEX(Pflanzen!$I$5:$I$104,CZ20)*$HI$1,GL20*1000/HG20/HH20&lt;INDEX(Pflanzen!$W$5:$W$104,CZ20)/INDEX(Pflanzen!$I$5:$I$104,CZ20)/$HI$1),1,0)))</f>
        <v>0</v>
      </c>
      <c r="HJ20" s="1328" cm="1">
        <f t="array" ref="HJ20">IF(AND(GM20=0,HG20=0),0,IF(HG20=0,1,IF(OR(GM20*1000/HG20/HH20&gt;INDEX(Pflanzen!$X$5:$X$104,CZ20)/INDEX(Pflanzen!$I$5:$I$104,CZ20)*$HI$1,GM20*1000/HG20/HH20&lt;INDEX(Pflanzen!$X$5:$X$104,CZ20)/INDEX(Pflanzen!$I$5:$I$104,CZ20)/$HI$1),1,0)))</f>
        <v>0</v>
      </c>
      <c r="HK20" s="1184">
        <f t="shared" si="71"/>
        <v>3</v>
      </c>
      <c r="HL20" s="1184"/>
      <c r="HN20" s="1184"/>
      <c r="HO20" s="1193" t="str">
        <f>Tiere!B46</f>
        <v>Zuchtsauen mit 25 Ferkel bis 8 kg, stark N-/P-red.*</v>
      </c>
      <c r="HP20" s="1184">
        <v>17</v>
      </c>
      <c r="HQ20" s="1194">
        <f>SUMIF('Nährstoffe und Lagerraum'!$BM$68:$BM$87,'Lagerhaltung (freiwillig)'!HP20,'Nährstoffe und Lagerraum'!$Z$68:$Z$87)+SUMIF('Nährstoffe und Lagerraum'!$BM$68:$BM$87,'Lagerhaltung (freiwillig)'!HP20,'Nährstoffe und Lagerraum'!$AA$68:$AA$87)</f>
        <v>0</v>
      </c>
      <c r="HR20" s="1184" cm="1">
        <f t="array" ref="HR20">INDEX(Tiere!$C$30:$C$114,'Lagerhaltung (freiwillig)'!HP20)</f>
        <v>2</v>
      </c>
      <c r="HS20" s="1184" cm="1">
        <f t="array" ref="HS20">INDEX(Tiere!$H$30:$H$114,'Lagerhaltung (freiwillig)'!HP20)</f>
        <v>0</v>
      </c>
      <c r="HT20" s="1184">
        <f t="shared" si="12"/>
        <v>0</v>
      </c>
      <c r="HU20" s="1184" cm="1">
        <f t="array" ref="HU20">INDEX(Tiere!$I$30:$I$114,'Lagerhaltung (freiwillig)'!HP20)</f>
        <v>0</v>
      </c>
      <c r="HV20" s="1184">
        <f t="shared" si="13"/>
        <v>0</v>
      </c>
      <c r="HW20" s="1184" cm="1">
        <f t="array" ref="HW20">INDEX(Tiere!$BC$30:$BC$114,'Lagerhaltung (freiwillig)'!HP20)</f>
        <v>5.12</v>
      </c>
      <c r="HX20" s="1184">
        <f t="shared" si="14"/>
        <v>0</v>
      </c>
      <c r="HY20" s="1184" cm="1">
        <f t="array" ref="HY20">INDEX(Tiere!$BD$30:$BD$114,'Lagerhaltung (freiwillig)'!HP20)</f>
        <v>2.34</v>
      </c>
      <c r="HZ20" s="1184">
        <f t="shared" si="15"/>
        <v>0</v>
      </c>
      <c r="IA20" s="1184"/>
      <c r="IB20" s="1184"/>
      <c r="IC20" s="1184"/>
      <c r="ID20" s="1184"/>
      <c r="IE20" s="1184"/>
      <c r="IF20" s="1184"/>
      <c r="IG20" s="1184"/>
      <c r="IH20" s="1184"/>
      <c r="II20" s="1184"/>
      <c r="IJ20" s="1184"/>
      <c r="IK20" s="1184"/>
      <c r="IL20" s="1184"/>
    </row>
    <row r="21" spans="1:246" ht="15.6" customHeight="1" x14ac:dyDescent="0.2">
      <c r="A21" s="725"/>
      <c r="B21" s="726"/>
      <c r="C21" s="726"/>
      <c r="D21" s="726"/>
      <c r="E21" s="726"/>
      <c r="F21" s="1466" cm="1">
        <f t="array" ref="F21">INDEX(Pflanzen!$I$5:$I$104,BR21)</f>
        <v>0</v>
      </c>
      <c r="G21" s="1467" cm="1">
        <f t="array" ref="G21">INDEX(Pflanzen!$W$5:$W$104,BR21)</f>
        <v>0</v>
      </c>
      <c r="H21" s="1468" cm="1">
        <f t="array" ref="H21">INDEX(Pflanzen!$X$5:$X$104,BR21)</f>
        <v>0</v>
      </c>
      <c r="I21" s="1122"/>
      <c r="J21" s="1303"/>
      <c r="K21" s="1122"/>
      <c r="L21" s="1487"/>
      <c r="M21" s="1491"/>
      <c r="N21" s="1487"/>
      <c r="O21" s="1487"/>
      <c r="P21" s="1292"/>
      <c r="Q21" s="2180"/>
      <c r="R21" s="1487"/>
      <c r="S21" s="1491"/>
      <c r="T21" s="1303"/>
      <c r="U21" s="725"/>
      <c r="V21" s="1346" t="str">
        <f t="shared" si="92"/>
        <v/>
      </c>
      <c r="Y21" s="1554" t="str" cm="1">
        <f t="array" ref="Y21">IFERROR(INDEX($CY$4:$CY$165,AY21),"")</f>
        <v/>
      </c>
      <c r="Z21" s="1555"/>
      <c r="AA21" s="1555"/>
      <c r="AB21" s="1555"/>
      <c r="AC21" s="1454" t="str" cm="1">
        <f t="array" ref="AC21">IFERROR(INDEX($GN$4:$GN$165,AY21),"")</f>
        <v/>
      </c>
      <c r="AD21" s="1454" t="str" cm="1">
        <f t="array" ref="AD21">IFERROR(INDEX($GO$4:$GO$165,AY21),"")</f>
        <v/>
      </c>
      <c r="AE21" s="1454" t="str" cm="1">
        <f t="array" ref="AE21">IFERROR(INDEX($GJ$4:$GJ$165,AY21),"")</f>
        <v/>
      </c>
      <c r="AF21" s="1454" t="str" cm="1">
        <f t="array" ref="AF21">IFERROR(INDEX($GK$4:$GK$165,AY21),"")</f>
        <v/>
      </c>
      <c r="AG21" s="1454" t="str" cm="1">
        <f t="array" ref="AG21">IFERROR(INDEX($GQ$4:$GQ$165,AY21),"")</f>
        <v/>
      </c>
      <c r="AH21" s="1454" t="str" cm="1">
        <f t="array" ref="AH21">IFERROR(INDEX($GR$4:$GR$165,AY21),"")</f>
        <v/>
      </c>
      <c r="AI21" s="1454" t="str" cm="1">
        <f t="array" ref="AI21">IFERROR(INDEX($GH$4:$GH$165,AY21),"")</f>
        <v/>
      </c>
      <c r="AJ21" s="1454" t="str" cm="1">
        <f t="array" ref="AJ21">IFERROR(INDEX($GI$4:$GI$165,AY21),"")</f>
        <v/>
      </c>
      <c r="AK21" s="1454" t="str" cm="1">
        <f t="array" ref="AK21">IFERROR(INDEX($GU$4:$GU$165,AY21),"")</f>
        <v/>
      </c>
      <c r="AL21" s="1455" t="str" cm="1">
        <f t="array" ref="AL21">IFERROR(INDEX($GV$4:$GV$165,AY21),"")</f>
        <v/>
      </c>
      <c r="AM21" s="1454" t="str" cm="1">
        <f t="array" ref="AM21">IFERROR(INDEX($GD$4:$GD$165,AY21),"")</f>
        <v/>
      </c>
      <c r="AN21" s="1454" t="str" cm="1">
        <f t="array" ref="AN21">IFERROR(INDEX($GE$4:$GE$165,AY21),"")</f>
        <v/>
      </c>
      <c r="AO21" s="1454" t="str" cm="1">
        <f t="array" ref="AO21">IFERROR(INDEX($GW$4:$GW$165,AY21),"")</f>
        <v/>
      </c>
      <c r="AP21" s="1454" t="str" cm="1">
        <f t="array" ref="AP21">IFERROR(INDEX($GZ$4:$GZ$165,AY21),"")</f>
        <v/>
      </c>
      <c r="AQ21" s="1457"/>
      <c r="AR21" s="1454" t="str" cm="1">
        <f t="array" ref="AR21">IFERROR(INDEX($HF$4:$HF$165,AY21),"")</f>
        <v/>
      </c>
      <c r="AS21" s="1454" t="str" cm="1">
        <f t="array" ref="AS21">IFERROR(INDEX($HG$4:$HG$165,AY21),"")</f>
        <v/>
      </c>
      <c r="AT21" s="1454" t="str" cm="1">
        <f t="array" ref="AT21">IFERROR(INDEX($HH$4:$HH$165,AY21),"")</f>
        <v/>
      </c>
      <c r="AU21" s="1454" t="str" cm="1">
        <f t="array" ref="AU21">IFERROR(INDEX($GL$4:$GL$165,AY21),"")</f>
        <v/>
      </c>
      <c r="AV21" s="1454" t="str" cm="1">
        <f t="array" ref="AV21">IFERROR(INDEX($GM$4:$GM$165,AY21),"")</f>
        <v/>
      </c>
      <c r="AY21" s="1184" t="str" cm="1">
        <f t="array" ref="AY21">IFERROR(SMALL(IF($HK$4:$HK$165=1,ROW($HK$4:$HK$165)-3),ROW(W9)),IFERROR(SMALL(IF($HK$4:$HK$165=2,ROW($HK$4:$HK$165)-3),ROW(W9)-COUNTIF($HK$4:$HK$165,1)),IFERROR(SMALL(IF($HK$4:$HK$165=0,ROW($HK$4:$HK$165)-3),ROW(W9)-COUNTIF($HK$4:$HK$165,1)-COUNTIF($HK$4:$HK$165,2)),"")))</f>
        <v/>
      </c>
      <c r="AZ21" s="1184" t="str">
        <f t="shared" si="72"/>
        <v>a</v>
      </c>
      <c r="BA21" s="1194" t="e">
        <f t="shared" si="73"/>
        <v>#VALUE!</v>
      </c>
      <c r="BB21" s="1194" cm="1">
        <f t="array" ref="BB21">IFERROR(INDEX($HK$4:$HK$165,AY21),0)</f>
        <v>0</v>
      </c>
      <c r="BC21" s="1194">
        <f t="shared" si="74"/>
        <v>0</v>
      </c>
      <c r="BD21" s="1194"/>
      <c r="BE21" s="1343"/>
      <c r="BF21" s="1343"/>
      <c r="BG21" s="1343"/>
      <c r="BH21" s="1343"/>
      <c r="BI21" s="1343"/>
      <c r="BJ21" s="1343"/>
      <c r="BK21" s="1343"/>
      <c r="BL21" s="1343"/>
      <c r="BM21" s="1343"/>
      <c r="BN21" s="1343"/>
      <c r="BO21" s="1343"/>
      <c r="BQ21" s="1184"/>
      <c r="BR21" s="1184">
        <v>1</v>
      </c>
      <c r="BS21" s="1184"/>
      <c r="BT21" s="1184" t="b">
        <v>0</v>
      </c>
      <c r="BU21" s="1199"/>
      <c r="BV21" s="1199"/>
      <c r="BW21" s="1184">
        <f t="shared" si="75"/>
        <v>12</v>
      </c>
      <c r="BX21" s="1184">
        <f t="shared" si="76"/>
        <v>0</v>
      </c>
      <c r="BY21" s="1184">
        <f t="shared" si="77"/>
        <v>12</v>
      </c>
      <c r="BZ21" s="1184" cm="1">
        <f t="array" ref="BZ21">INDEX(Pflanzen!$AB$5:$AB$114,'Lagerhaltung (freiwillig)'!BR21)</f>
        <v>0</v>
      </c>
      <c r="CA21" s="1184" cm="1">
        <f t="array" ref="CA21">IF(BZ21=1,INDEX(Pflanzen!$AC$5:$AC$114,BR21),N21)</f>
        <v>0</v>
      </c>
      <c r="CB21" s="1184" cm="1">
        <f t="array" ref="CB21">IF(BZ21=1,INDEX(Pflanzen!$AD$5:$AD$114,BR21),O21)</f>
        <v>0</v>
      </c>
      <c r="CC21" s="1184">
        <f t="shared" si="78"/>
        <v>12</v>
      </c>
      <c r="CD21" s="1184">
        <f t="shared" si="79"/>
        <v>0</v>
      </c>
      <c r="CE21" s="1184">
        <f t="shared" si="80"/>
        <v>12</v>
      </c>
      <c r="CF21" s="1184" cm="1">
        <f t="array" ref="CF21">INDEX(Pflanzen!$F$5:$F$114,BR21)</f>
        <v>0</v>
      </c>
      <c r="CG21" s="1184" cm="1">
        <f t="array" ref="CG21">INDEX(Pflanzen!$G$5:$G$114,BR21)</f>
        <v>0</v>
      </c>
      <c r="CH21" s="1184">
        <f t="shared" si="81"/>
        <v>0</v>
      </c>
      <c r="CI21" s="1184">
        <f t="shared" si="93"/>
        <v>0</v>
      </c>
      <c r="CJ21" s="1184">
        <f t="shared" si="94"/>
        <v>0</v>
      </c>
      <c r="CK21" s="1184">
        <f t="shared" si="82"/>
        <v>0</v>
      </c>
      <c r="CL21" s="1184">
        <f t="shared" si="83"/>
        <v>0</v>
      </c>
      <c r="CM21" s="1184">
        <f t="shared" si="84"/>
        <v>0</v>
      </c>
      <c r="CN21" s="1184">
        <f t="shared" si="85"/>
        <v>0</v>
      </c>
      <c r="CO21" s="1184">
        <f t="shared" si="86"/>
        <v>0</v>
      </c>
      <c r="CP21" s="1184">
        <f t="shared" si="87"/>
        <v>0</v>
      </c>
      <c r="CQ21" s="1184">
        <f t="shared" si="88"/>
        <v>0</v>
      </c>
      <c r="CR21" s="1184">
        <f t="shared" si="89"/>
        <v>0</v>
      </c>
      <c r="CS21" s="1184">
        <f t="shared" si="90"/>
        <v>0</v>
      </c>
      <c r="CT21" s="1184">
        <f t="shared" si="91"/>
        <v>0</v>
      </c>
      <c r="CU21" s="1184">
        <f t="shared" si="95"/>
        <v>2</v>
      </c>
      <c r="CV21" s="1184">
        <f t="shared" si="96"/>
        <v>0</v>
      </c>
      <c r="CW21" s="1186">
        <f t="shared" si="97"/>
        <v>0</v>
      </c>
      <c r="CX21" s="1184"/>
      <c r="CY21" s="320" t="str">
        <f>Pflanzen!A17</f>
        <v>Hafer</v>
      </c>
      <c r="CZ21" s="1200">
        <f>IFERROR(MATCH($CY21,Pflanzen!$C$5:$C$114,0),1)</f>
        <v>13</v>
      </c>
      <c r="DA21" s="320" cm="1">
        <f t="array" ref="DA21">INDEX(Pflanzen!$H$5:$H$114,'Lagerhaltung (freiwillig)'!CZ21)</f>
        <v>2</v>
      </c>
      <c r="DB21" s="1200">
        <f t="shared" si="98"/>
        <v>0</v>
      </c>
      <c r="DC21" s="1200">
        <f t="shared" si="98"/>
        <v>0</v>
      </c>
      <c r="DD21" s="1200">
        <f t="shared" si="98"/>
        <v>0</v>
      </c>
      <c r="DE21" s="1200">
        <f t="shared" si="98"/>
        <v>0</v>
      </c>
      <c r="DF21" s="1200">
        <f t="shared" si="98"/>
        <v>0</v>
      </c>
      <c r="DG21" s="1184">
        <f t="shared" si="98"/>
        <v>0</v>
      </c>
      <c r="DH21" s="1184">
        <f t="shared" si="98"/>
        <v>0</v>
      </c>
      <c r="DI21" s="1184">
        <f t="shared" si="98"/>
        <v>0</v>
      </c>
      <c r="DJ21" s="1184">
        <f t="shared" si="98"/>
        <v>0</v>
      </c>
      <c r="DK21" s="1184">
        <f t="shared" si="98"/>
        <v>0</v>
      </c>
      <c r="DL21" s="1184">
        <f t="shared" si="98"/>
        <v>0</v>
      </c>
      <c r="DM21" s="1184">
        <f t="shared" si="98"/>
        <v>0</v>
      </c>
      <c r="DN21" s="1184"/>
      <c r="DO21" s="1184">
        <f t="shared" si="99"/>
        <v>0</v>
      </c>
      <c r="DP21" s="1184">
        <f t="shared" si="99"/>
        <v>0</v>
      </c>
      <c r="DQ21" s="1184">
        <f t="shared" si="99"/>
        <v>0</v>
      </c>
      <c r="DR21" s="1184">
        <f t="shared" si="99"/>
        <v>0</v>
      </c>
      <c r="DS21" s="1184">
        <f t="shared" si="99"/>
        <v>0</v>
      </c>
      <c r="DT21" s="1184">
        <f t="shared" si="99"/>
        <v>0</v>
      </c>
      <c r="DU21" s="1184">
        <f t="shared" si="99"/>
        <v>0</v>
      </c>
      <c r="DV21" s="1184">
        <f t="shared" si="99"/>
        <v>0</v>
      </c>
      <c r="DW21" s="1184">
        <f t="shared" si="99"/>
        <v>0</v>
      </c>
      <c r="DX21" s="1184">
        <f t="shared" si="99"/>
        <v>0</v>
      </c>
      <c r="DY21" s="1184">
        <f t="shared" si="99"/>
        <v>0</v>
      </c>
      <c r="DZ21" s="1184">
        <f t="shared" si="99"/>
        <v>0</v>
      </c>
      <c r="EA21" s="1184"/>
      <c r="EB21" s="1184">
        <f t="shared" si="100"/>
        <v>0</v>
      </c>
      <c r="EC21" s="1184">
        <f t="shared" si="100"/>
        <v>0</v>
      </c>
      <c r="ED21" s="1184">
        <f t="shared" si="100"/>
        <v>0</v>
      </c>
      <c r="EE21" s="1184">
        <f t="shared" si="100"/>
        <v>0</v>
      </c>
      <c r="EF21" s="1184">
        <f t="shared" si="100"/>
        <v>0</v>
      </c>
      <c r="EG21" s="1184">
        <f t="shared" si="100"/>
        <v>0</v>
      </c>
      <c r="EH21" s="1184">
        <f t="shared" si="100"/>
        <v>0</v>
      </c>
      <c r="EI21" s="1184">
        <f t="shared" si="100"/>
        <v>0</v>
      </c>
      <c r="EJ21" s="1184">
        <f t="shared" si="100"/>
        <v>0</v>
      </c>
      <c r="EK21" s="1184">
        <f t="shared" si="100"/>
        <v>0</v>
      </c>
      <c r="EL21" s="1184">
        <f t="shared" si="100"/>
        <v>0</v>
      </c>
      <c r="EM21" s="1184">
        <f t="shared" si="100"/>
        <v>0</v>
      </c>
      <c r="EN21" s="1184"/>
      <c r="EO21" s="1184">
        <f t="shared" si="101"/>
        <v>0</v>
      </c>
      <c r="EP21" s="1184">
        <f t="shared" si="101"/>
        <v>0</v>
      </c>
      <c r="EQ21" s="1184">
        <f t="shared" si="101"/>
        <v>0</v>
      </c>
      <c r="ER21" s="1184">
        <f t="shared" si="101"/>
        <v>0</v>
      </c>
      <c r="ES21" s="1184">
        <f t="shared" si="101"/>
        <v>0</v>
      </c>
      <c r="ET21" s="1184">
        <f t="shared" si="101"/>
        <v>0</v>
      </c>
      <c r="EU21" s="1184">
        <f t="shared" si="101"/>
        <v>0</v>
      </c>
      <c r="EV21" s="1184">
        <f t="shared" si="101"/>
        <v>0</v>
      </c>
      <c r="EW21" s="1184">
        <f t="shared" si="101"/>
        <v>0</v>
      </c>
      <c r="EX21" s="1184">
        <f t="shared" si="101"/>
        <v>0</v>
      </c>
      <c r="EY21" s="1184">
        <f t="shared" si="101"/>
        <v>0</v>
      </c>
      <c r="EZ21" s="1184">
        <f t="shared" si="101"/>
        <v>0</v>
      </c>
      <c r="FA21" s="1184"/>
      <c r="FB21" s="1186">
        <f t="shared" si="51"/>
        <v>0</v>
      </c>
      <c r="FC21" s="1184">
        <f>FB21+DB21+EB21                 -         SUMIF('Nährstoffe und Lagerraum'!$AX$113:$AX$155,$CZ21,'Nährstoffe und Lagerraum'!$U$113:$U$155)/12  -$GD21*$HE21/12</f>
        <v>0</v>
      </c>
      <c r="FD21" s="1184">
        <f>FC21+DC21+EC21                 -         SUMIF('Nährstoffe und Lagerraum'!$AX$113:$AX$155,$CZ21,'Nährstoffe und Lagerraum'!$U$113:$U$155)/12  -$GD21*$HE21/12</f>
        <v>0</v>
      </c>
      <c r="FE21" s="1184">
        <f>FD21+DD21+ED21                 -         SUMIF('Nährstoffe und Lagerraum'!$AX$113:$AX$155,$CZ21,'Nährstoffe und Lagerraum'!$U$113:$U$155)/12  -$GD21*$HE21/12</f>
        <v>0</v>
      </c>
      <c r="FF21" s="1184">
        <f>FE21+DE21+EE21                 -         SUMIF('Nährstoffe und Lagerraum'!$AX$113:$AX$155,$CZ21,'Nährstoffe und Lagerraum'!$U$113:$U$155)/12  -$GD21*$HE21/12</f>
        <v>0</v>
      </c>
      <c r="FG21" s="1184">
        <f>FF21+DF21+EF21                 -         SUMIF('Nährstoffe und Lagerraum'!$AX$113:$AX$155,$CZ21,'Nährstoffe und Lagerraum'!$U$113:$U$155)/12  -$GD21*$HE21/12</f>
        <v>0</v>
      </c>
      <c r="FH21" s="1184">
        <f>FG21+DG21+EG21                 -         SUMIF('Nährstoffe und Lagerraum'!$AX$113:$AX$155,$CZ21,'Nährstoffe und Lagerraum'!$U$113:$U$155)/12  -$GD21*$HE21/12</f>
        <v>0</v>
      </c>
      <c r="FI21" s="1184">
        <f>FH21+DH21+EH21                 -         SUMIF('Nährstoffe und Lagerraum'!$AX$113:$AX$155,$CZ21,'Nährstoffe und Lagerraum'!$U$113:$U$155)/12  -$GD21*$HE21/12</f>
        <v>0</v>
      </c>
      <c r="FJ21" s="1184">
        <f>FI21+DI21+EI21                 -         SUMIF('Nährstoffe und Lagerraum'!$AX$113:$AX$155,$CZ21,'Nährstoffe und Lagerraum'!$U$113:$U$155)/12  -$GD21*$HE21/12</f>
        <v>0</v>
      </c>
      <c r="FK21" s="1184">
        <f>FJ21+DJ21+EJ21                 -         SUMIF('Nährstoffe und Lagerraum'!$AX$113:$AX$155,$CZ21,'Nährstoffe und Lagerraum'!$U$113:$U$155)/12  -$GD21*$HE21/12</f>
        <v>0</v>
      </c>
      <c r="FL21" s="1184">
        <f>FK21+DK21+EK21                 -         SUMIF('Nährstoffe und Lagerraum'!$AX$113:$AX$155,$CZ21,'Nährstoffe und Lagerraum'!$U$113:$U$155)/12  -$GD21*$HE21/12</f>
        <v>0</v>
      </c>
      <c r="FM21" s="1184">
        <f>FL21+DL21+EL21                 -         SUMIF('Nährstoffe und Lagerraum'!$AX$113:$AX$155,$CZ21,'Nährstoffe und Lagerraum'!$U$113:$U$155)/12  -$GD21*$HE21/12</f>
        <v>0</v>
      </c>
      <c r="FN21" s="1184">
        <f>FM21+DM21+EM21                 -         SUMIF('Nährstoffe und Lagerraum'!$AX$113:$AX$155,$CZ21,'Nährstoffe und Lagerraum'!$U$113:$U$155)/12  -$GD21*$HE21/12</f>
        <v>0</v>
      </c>
      <c r="FO21" s="1184"/>
      <c r="FP21" s="1186">
        <f t="shared" si="52"/>
        <v>0</v>
      </c>
      <c r="FQ21" s="1184">
        <f>FP21+DO21+EO21                 -         SUMIF('Nährstoffe und Lagerraum'!$AX$113:$AX$155,$CZ21,'Nährstoffe und Lagerraum'!$V$113:$V$155)/12  -$GE21*$HE21/12</f>
        <v>0</v>
      </c>
      <c r="FR21" s="1184">
        <f>FQ21+DP21+EP21                 -         SUMIF('Nährstoffe und Lagerraum'!$AX$113:$AX$155,$CZ21,'Nährstoffe und Lagerraum'!$V$113:$V$155)/12  -$GE21*$HE21/12</f>
        <v>0</v>
      </c>
      <c r="FS21" s="1184">
        <f>FR21+DQ21+EQ21                 -         SUMIF('Nährstoffe und Lagerraum'!$AX$113:$AX$155,$CZ21,'Nährstoffe und Lagerraum'!$V$113:$V$155)/12  -$GE21*$HE21/12</f>
        <v>0</v>
      </c>
      <c r="FT21" s="1184">
        <f>FS21+DR21+ER21                 -         SUMIF('Nährstoffe und Lagerraum'!$AX$113:$AX$155,$CZ21,'Nährstoffe und Lagerraum'!$V$113:$V$155)/12  -$GE21*$HE21/12</f>
        <v>0</v>
      </c>
      <c r="FU21" s="1184">
        <f>FT21+DS21+ES21                 -         SUMIF('Nährstoffe und Lagerraum'!$AX$113:$AX$155,$CZ21,'Nährstoffe und Lagerraum'!$V$113:$V$155)/12  -$GE21*$HE21/12</f>
        <v>0</v>
      </c>
      <c r="FV21" s="1184">
        <f>FU21+DT21+ET21                 -         SUMIF('Nährstoffe und Lagerraum'!$AX$113:$AX$155,$CZ21,'Nährstoffe und Lagerraum'!$V$113:$V$155)/12  -$GE21*$HE21/12</f>
        <v>0</v>
      </c>
      <c r="FW21" s="1184">
        <f>FV21+DU21+EU21                 -         SUMIF('Nährstoffe und Lagerraum'!$AX$113:$AX$155,$CZ21,'Nährstoffe und Lagerraum'!$V$113:$V$155)/12  -$GE21*$HE21/12</f>
        <v>0</v>
      </c>
      <c r="FX21" s="1184">
        <f>FW21+DV21+EV21                 -         SUMIF('Nährstoffe und Lagerraum'!$AX$113:$AX$155,$CZ21,'Nährstoffe und Lagerraum'!$V$113:$V$155)/12  -$GE21*$HE21/12</f>
        <v>0</v>
      </c>
      <c r="FY21" s="1184">
        <f>FX21+DW21+EW21                 -         SUMIF('Nährstoffe und Lagerraum'!$AX$113:$AX$155,$CZ21,'Nährstoffe und Lagerraum'!$V$113:$V$155)/12  -$GE21*$HE21/12</f>
        <v>0</v>
      </c>
      <c r="FZ21" s="1184">
        <f>FY21+DX21+EX21                 -         SUMIF('Nährstoffe und Lagerraum'!$AX$113:$AX$155,$CZ21,'Nährstoffe und Lagerraum'!$V$113:$V$155)/12  -$GE21*$HE21/12</f>
        <v>0</v>
      </c>
      <c r="GA21" s="1184">
        <f>FZ21+DY21+EY21                 -         SUMIF('Nährstoffe und Lagerraum'!$AX$113:$AX$155,$CZ21,'Nährstoffe und Lagerraum'!$V$113:$V$155)/12  -$GE21*$HE21/12</f>
        <v>0</v>
      </c>
      <c r="GB21" s="1184">
        <f>GA21+DZ21+EZ21                 -         SUMIF('Nährstoffe und Lagerraum'!$AX$113:$AX$155,$CZ21,'Nährstoffe und Lagerraum'!$V$113:$V$155)/12  -$GE21*$HE21/12</f>
        <v>0</v>
      </c>
      <c r="GC21" s="1184"/>
      <c r="GD21" s="1184">
        <f>SUMIFS($CI$14:$CI$68,$BR$14:$BR$68,$CZ21)+SUMIFS($CM$14:$CM$68,$BR$14:$BR$68,$CZ21)+SUMIFS($CR$14:$CR$68,$BR$14:$BR$68,$CZ21)  -         SUMIF('Nährstoffe und Lagerraum'!$AX$113:$AX$155,$CZ21,'Nährstoffe und Lagerraum'!$U$113:$U$155)</f>
        <v>0</v>
      </c>
      <c r="GE21" s="1184">
        <f>SUMIFS($CJ$14:$CJ$68,$BR$14:$BR$68,$CZ21)+SUMIFS($CO$14:$CO$68,$BR$14:$BR$68,$CZ21)+SUMIFS($CT$14:$CT$68,$BR$14:$BR$68,$CZ21)  -         SUMIF('Nährstoffe und Lagerraum'!$AX$113:$AX$155,$CZ21,'Nährstoffe und Lagerraum'!$V$113:$V$155)</f>
        <v>0</v>
      </c>
      <c r="GF21" s="1184"/>
      <c r="GG21" s="1184"/>
      <c r="GH21" s="1184">
        <f>SUMIF('Nährstoffe und Lagerraum'!$AX$113:$AX$155,$CZ21,'Nährstoffe und Lagerraum'!$U$113:$U$155)</f>
        <v>0</v>
      </c>
      <c r="GI21" s="1184">
        <f>SUMIF('Nährstoffe und Lagerraum'!$AX$113:$AX$155,$CZ21,'Nährstoffe und Lagerraum'!$V$113:$V$155)</f>
        <v>0</v>
      </c>
      <c r="GJ21" s="1184">
        <f t="shared" si="53"/>
        <v>0</v>
      </c>
      <c r="GK21" s="1184">
        <f t="shared" si="54"/>
        <v>0</v>
      </c>
      <c r="GL21" s="1184">
        <f t="shared" si="55"/>
        <v>0</v>
      </c>
      <c r="GM21" s="1184">
        <f t="shared" si="56"/>
        <v>0</v>
      </c>
      <c r="GN21" s="1184">
        <f t="shared" si="57"/>
        <v>0</v>
      </c>
      <c r="GO21" s="1184" cm="1">
        <f t="array" ref="GO21">IF(GN21=0,0,(IFERROR(SUMPRODUCT($J$14:$J$68,$CH$14:$CH$68,($BR$14:$BR$68=CZ21)*1)+SUMPRODUCT($L$14:$L$68,$M$14:$M$68,$CK$14:$CK$68,($BR$14:$BR$68=CZ21)*1,($BT$14:$BT$68=FALSE)*1)/10+SUMPRODUCT($R$14:$R$68,$CP$14:$CP$68,($BR$14:$BR$68=CZ21)*1),0))/GN21)</f>
        <v>0</v>
      </c>
      <c r="GP21" s="1184">
        <f t="shared" si="58"/>
        <v>0</v>
      </c>
      <c r="GQ21" s="1184">
        <f>(SUMIF('Nährstoffe und Lagerraum'!$AX$113:$AX$130,'Lagerhaltung (freiwillig)'!CZ21,'Nährstoffe und Lagerraum'!$D$113:$D$130)+SUMIF('Nährstoffe und Lagerraum'!$AX$137:$AX$155,'Lagerhaltung (freiwillig)'!CZ21,'Nährstoffe und Lagerraum'!$E$137:$E$155))</f>
        <v>0</v>
      </c>
      <c r="GR21" s="1184" cm="1">
        <f t="array" ref="GR21">IF(GQ21=0,0,(IFERROR(SUMPRODUCT('Nährstoffe und Lagerraum'!$D$113:$D$130,'Nährstoffe und Lagerraum'!$F$113:$F$130,('Nährstoffe und Lagerraum'!$AX$113:$AX$130='Lagerhaltung (freiwillig)'!CZ21)*1)+SUMPRODUCT('Nährstoffe und Lagerraum'!$E$137:$E$155,'Nährstoffe und Lagerraum'!$F$137:$F$155,('Nährstoffe und Lagerraum'!$AX$137:$AX$155='Lagerhaltung (freiwillig)'!CZ21)*1),0))/GQ21)</f>
        <v>0</v>
      </c>
      <c r="GS21" s="1184">
        <f t="shared" si="59"/>
        <v>0</v>
      </c>
      <c r="GT21" s="1184">
        <f t="shared" si="60"/>
        <v>0</v>
      </c>
      <c r="GU21" s="1184">
        <f t="shared" si="61"/>
        <v>0</v>
      </c>
      <c r="GV21" s="1184">
        <f t="shared" si="62"/>
        <v>0</v>
      </c>
      <c r="GW21" s="1186" t="str">
        <f t="shared" si="41"/>
        <v xml:space="preserve"> </v>
      </c>
      <c r="GX21" s="1186" t="str">
        <f t="shared" si="41"/>
        <v xml:space="preserve"> </v>
      </c>
      <c r="GY21" s="1195">
        <f t="shared" si="63"/>
        <v>0</v>
      </c>
      <c r="GZ21" s="1184">
        <f t="shared" si="64"/>
        <v>0</v>
      </c>
      <c r="HA21" s="1184" t="str">
        <f t="shared" si="44"/>
        <v>a</v>
      </c>
      <c r="HB21" s="1196">
        <f t="shared" si="65"/>
        <v>0</v>
      </c>
      <c r="HC21" s="1196">
        <f t="shared" si="66"/>
        <v>0</v>
      </c>
      <c r="HD21" s="1196"/>
      <c r="HE21" s="1187">
        <f t="shared" si="67"/>
        <v>0</v>
      </c>
      <c r="HF21" s="1196">
        <f t="shared" si="68"/>
        <v>0</v>
      </c>
      <c r="HG21" s="1196">
        <f t="shared" si="69"/>
        <v>0</v>
      </c>
      <c r="HH21" s="1196">
        <f t="shared" si="70"/>
        <v>0</v>
      </c>
      <c r="HI21" s="1328" cm="1">
        <f t="array" ref="HI21">IF(AND(HG21=0,GL21=0),0,IF(HG21=0,1,IF(OR(GL21*1000/HG21/HH21&gt;INDEX(Pflanzen!$W$5:$W$104,CZ21)/INDEX(Pflanzen!$I$5:$I$104,CZ21)*$HI$1,GL21*1000/HG21/HH21&lt;INDEX(Pflanzen!$W$5:$W$104,CZ21)/INDEX(Pflanzen!$I$5:$I$104,CZ21)/$HI$1),1,0)))</f>
        <v>0</v>
      </c>
      <c r="HJ21" s="1328" cm="1">
        <f t="array" ref="HJ21">IF(AND(GM21=0,HG21=0),0,IF(HG21=0,1,IF(OR(GM21*1000/HG21/HH21&gt;INDEX(Pflanzen!$X$5:$X$104,CZ21)/INDEX(Pflanzen!$I$5:$I$104,CZ21)*$HI$1,GM21*1000/HG21/HH21&lt;INDEX(Pflanzen!$X$5:$X$104,CZ21)/INDEX(Pflanzen!$I$5:$I$104,CZ21)/$HI$1),1,0)))</f>
        <v>0</v>
      </c>
      <c r="HK21" s="1184">
        <f t="shared" si="71"/>
        <v>3</v>
      </c>
      <c r="HL21" s="1184"/>
      <c r="HN21" s="1184"/>
      <c r="HO21" s="1193" t="str">
        <f>Tiere!B47</f>
        <v>Zuchtsauen mit 28 Ferkel bis 8 kg, Standard</v>
      </c>
      <c r="HP21" s="1184">
        <v>18</v>
      </c>
      <c r="HQ21" s="1194">
        <f>SUMIF('Nährstoffe und Lagerraum'!$BM$68:$BM$87,'Lagerhaltung (freiwillig)'!HP21,'Nährstoffe und Lagerraum'!$Z$68:$Z$87)+SUMIF('Nährstoffe und Lagerraum'!$BM$68:$BM$87,'Lagerhaltung (freiwillig)'!HP21,'Nährstoffe und Lagerraum'!$AA$68:$AA$87)</f>
        <v>0</v>
      </c>
      <c r="HR21" s="1184" cm="1">
        <f t="array" ref="HR21">INDEX(Tiere!$C$30:$C$114,'Lagerhaltung (freiwillig)'!HP21)</f>
        <v>2</v>
      </c>
      <c r="HS21" s="1184" cm="1">
        <f t="array" ref="HS21">INDEX(Tiere!$H$30:$H$114,'Lagerhaltung (freiwillig)'!HP21)</f>
        <v>0</v>
      </c>
      <c r="HT21" s="1184">
        <f t="shared" si="12"/>
        <v>0</v>
      </c>
      <c r="HU21" s="1184" cm="1">
        <f t="array" ref="HU21">INDEX(Tiere!$I$30:$I$114,'Lagerhaltung (freiwillig)'!HP21)</f>
        <v>0</v>
      </c>
      <c r="HV21" s="1184">
        <f t="shared" si="13"/>
        <v>0</v>
      </c>
      <c r="HW21" s="1184" cm="1">
        <f t="array" ref="HW21">INDEX(Tiere!$BC$30:$BC$114,'Lagerhaltung (freiwillig)'!HP21)</f>
        <v>5.7344000000000008</v>
      </c>
      <c r="HX21" s="1184">
        <f t="shared" si="14"/>
        <v>0</v>
      </c>
      <c r="HY21" s="1184" cm="1">
        <f t="array" ref="HY21">INDEX(Tiere!$BD$30:$BD$114,'Lagerhaltung (freiwillig)'!HP21)</f>
        <v>2.6208</v>
      </c>
      <c r="HZ21" s="1184">
        <f t="shared" si="15"/>
        <v>0</v>
      </c>
      <c r="IA21" s="1184"/>
      <c r="IB21" s="1184"/>
      <c r="IC21" s="1184"/>
      <c r="ID21" s="1184"/>
      <c r="IE21" s="1184"/>
      <c r="IF21" s="1184"/>
      <c r="IG21" s="1184"/>
      <c r="IH21" s="1184"/>
      <c r="II21" s="1184"/>
      <c r="IJ21" s="1184"/>
      <c r="IK21" s="1184"/>
      <c r="IL21" s="1184"/>
    </row>
    <row r="22" spans="1:246" ht="15.6" customHeight="1" x14ac:dyDescent="0.2">
      <c r="A22" s="725"/>
      <c r="B22" s="726"/>
      <c r="C22" s="726"/>
      <c r="D22" s="726"/>
      <c r="E22" s="726"/>
      <c r="F22" s="1466" cm="1">
        <f t="array" ref="F22">INDEX(Pflanzen!$I$5:$I$104,BR22)</f>
        <v>0</v>
      </c>
      <c r="G22" s="1467" cm="1">
        <f t="array" ref="G22">INDEX(Pflanzen!$W$5:$W$104,BR22)</f>
        <v>0</v>
      </c>
      <c r="H22" s="1468" cm="1">
        <f t="array" ref="H22">INDEX(Pflanzen!$X$5:$X$104,BR22)</f>
        <v>0</v>
      </c>
      <c r="I22" s="1122"/>
      <c r="J22" s="1303"/>
      <c r="K22" s="1122"/>
      <c r="L22" s="1487"/>
      <c r="M22" s="1491"/>
      <c r="N22" s="1487"/>
      <c r="O22" s="1487"/>
      <c r="P22" s="1292"/>
      <c r="Q22" s="2180"/>
      <c r="R22" s="1487"/>
      <c r="S22" s="1491"/>
      <c r="T22" s="1303"/>
      <c r="U22" s="725"/>
      <c r="V22" s="1346" t="str">
        <f t="shared" si="92"/>
        <v/>
      </c>
      <c r="Y22" s="1554" t="str" cm="1">
        <f t="array" ref="Y22">IFERROR(INDEX($CY$4:$CY$165,AY22),"")</f>
        <v/>
      </c>
      <c r="Z22" s="1555"/>
      <c r="AA22" s="1555"/>
      <c r="AB22" s="1555"/>
      <c r="AC22" s="1454" t="str" cm="1">
        <f t="array" ref="AC22">IFERROR(INDEX($GN$4:$GN$165,AY22),"")</f>
        <v/>
      </c>
      <c r="AD22" s="1454" t="str" cm="1">
        <f t="array" ref="AD22">IFERROR(INDEX($GO$4:$GO$165,AY22),"")</f>
        <v/>
      </c>
      <c r="AE22" s="1454" t="str" cm="1">
        <f t="array" ref="AE22">IFERROR(INDEX($GJ$4:$GJ$165,AY22),"")</f>
        <v/>
      </c>
      <c r="AF22" s="1454" t="str" cm="1">
        <f t="array" ref="AF22">IFERROR(INDEX($GK$4:$GK$165,AY22),"")</f>
        <v/>
      </c>
      <c r="AG22" s="1454" t="str" cm="1">
        <f t="array" ref="AG22">IFERROR(INDEX($GQ$4:$GQ$165,AY22),"")</f>
        <v/>
      </c>
      <c r="AH22" s="1454" t="str" cm="1">
        <f t="array" ref="AH22">IFERROR(INDEX($GR$4:$GR$165,AY22),"")</f>
        <v/>
      </c>
      <c r="AI22" s="1454" t="str" cm="1">
        <f t="array" ref="AI22">IFERROR(INDEX($GH$4:$GH$165,AY22),"")</f>
        <v/>
      </c>
      <c r="AJ22" s="1454" t="str" cm="1">
        <f t="array" ref="AJ22">IFERROR(INDEX($GI$4:$GI$165,AY22),"")</f>
        <v/>
      </c>
      <c r="AK22" s="1454" t="str" cm="1">
        <f t="array" ref="AK22">IFERROR(INDEX($GU$4:$GU$165,AY22),"")</f>
        <v/>
      </c>
      <c r="AL22" s="1455" t="str" cm="1">
        <f t="array" ref="AL22">IFERROR(INDEX($GV$4:$GV$165,AY22),"")</f>
        <v/>
      </c>
      <c r="AM22" s="1454" t="str" cm="1">
        <f t="array" ref="AM22">IFERROR(INDEX($GD$4:$GD$165,AY22),"")</f>
        <v/>
      </c>
      <c r="AN22" s="1454" t="str" cm="1">
        <f t="array" ref="AN22">IFERROR(INDEX($GE$4:$GE$165,AY22),"")</f>
        <v/>
      </c>
      <c r="AO22" s="1454" t="str" cm="1">
        <f t="array" ref="AO22">IFERROR(INDEX($GW$4:$GW$165,AY22),"")</f>
        <v/>
      </c>
      <c r="AP22" s="1454" t="str" cm="1">
        <f t="array" ref="AP22">IFERROR(INDEX($GZ$4:$GZ$165,AY22),"")</f>
        <v/>
      </c>
      <c r="AQ22" s="1457"/>
      <c r="AR22" s="1454" t="str" cm="1">
        <f t="array" ref="AR22">IFERROR(INDEX($HF$4:$HF$165,AY22),"")</f>
        <v/>
      </c>
      <c r="AS22" s="1454" t="str" cm="1">
        <f t="array" ref="AS22">IFERROR(INDEX($HG$4:$HG$165,AY22),"")</f>
        <v/>
      </c>
      <c r="AT22" s="1454" t="str" cm="1">
        <f t="array" ref="AT22">IFERROR(INDEX($HH$4:$HH$165,AY22),"")</f>
        <v/>
      </c>
      <c r="AU22" s="1454" t="str" cm="1">
        <f t="array" ref="AU22">IFERROR(INDEX($GL$4:$GL$165,AY22),"")</f>
        <v/>
      </c>
      <c r="AV22" s="1454" t="str" cm="1">
        <f t="array" ref="AV22">IFERROR(INDEX($GM$4:$GM$165,AY22),"")</f>
        <v/>
      </c>
      <c r="AY22" s="1184" t="str" cm="1">
        <f t="array" ref="AY22">IFERROR(SMALL(IF($HK$4:$HK$165=1,ROW($HK$4:$HK$165)-3),ROW(W10)),IFERROR(SMALL(IF($HK$4:$HK$165=2,ROW($HK$4:$HK$165)-3),ROW(W10)-COUNTIF($HK$4:$HK$165,1)),IFERROR(SMALL(IF($HK$4:$HK$165=0,ROW($HK$4:$HK$165)-3),ROW(W10)-COUNTIF($HK$4:$HK$165,1)-COUNTIF($HK$4:$HK$165,2)),"")))</f>
        <v/>
      </c>
      <c r="AZ22" s="1184" t="str">
        <f t="shared" si="72"/>
        <v>a</v>
      </c>
      <c r="BA22" s="1194" t="e">
        <f t="shared" si="73"/>
        <v>#VALUE!</v>
      </c>
      <c r="BB22" s="1194" cm="1">
        <f t="array" ref="BB22">IFERROR(INDEX($HK$4:$HK$165,AY22),0)</f>
        <v>0</v>
      </c>
      <c r="BC22" s="1194">
        <f t="shared" si="74"/>
        <v>0</v>
      </c>
      <c r="BD22" s="1194"/>
      <c r="BE22" s="1343"/>
      <c r="BF22" s="1343"/>
      <c r="BG22" s="1343"/>
      <c r="BH22" s="1343"/>
      <c r="BI22" s="1343"/>
      <c r="BJ22" s="1343"/>
      <c r="BK22" s="1343"/>
      <c r="BL22" s="1343"/>
      <c r="BM22" s="1343"/>
      <c r="BN22" s="1343"/>
      <c r="BO22" s="1343"/>
      <c r="BQ22" s="1184"/>
      <c r="BR22" s="1184">
        <v>1</v>
      </c>
      <c r="BS22" s="1184"/>
      <c r="BT22" s="1184" t="b">
        <v>0</v>
      </c>
      <c r="BU22" s="1199"/>
      <c r="BV22" s="1199"/>
      <c r="BW22" s="1184">
        <f t="shared" si="75"/>
        <v>12</v>
      </c>
      <c r="BX22" s="1184">
        <f t="shared" si="76"/>
        <v>0</v>
      </c>
      <c r="BY22" s="1184">
        <f t="shared" si="77"/>
        <v>12</v>
      </c>
      <c r="BZ22" s="1184" cm="1">
        <f t="array" ref="BZ22">INDEX(Pflanzen!$AB$5:$AB$114,'Lagerhaltung (freiwillig)'!BR22)</f>
        <v>0</v>
      </c>
      <c r="CA22" s="1184" cm="1">
        <f t="array" ref="CA22">IF(BZ22=1,INDEX(Pflanzen!$AC$5:$AC$114,BR22),N22)</f>
        <v>0</v>
      </c>
      <c r="CB22" s="1184" cm="1">
        <f t="array" ref="CB22">IF(BZ22=1,INDEX(Pflanzen!$AD$5:$AD$114,BR22),O22)</f>
        <v>0</v>
      </c>
      <c r="CC22" s="1184">
        <f t="shared" si="78"/>
        <v>12</v>
      </c>
      <c r="CD22" s="1184">
        <f t="shared" si="79"/>
        <v>0</v>
      </c>
      <c r="CE22" s="1184">
        <f t="shared" si="80"/>
        <v>12</v>
      </c>
      <c r="CF22" s="1184" cm="1">
        <f t="array" ref="CF22">INDEX(Pflanzen!$F$5:$F$114,BR22)</f>
        <v>0</v>
      </c>
      <c r="CG22" s="1184" cm="1">
        <f t="array" ref="CG22">INDEX(Pflanzen!$G$5:$G$114,BR22)</f>
        <v>0</v>
      </c>
      <c r="CH22" s="1184">
        <f t="shared" si="81"/>
        <v>0</v>
      </c>
      <c r="CI22" s="1184">
        <f t="shared" si="93"/>
        <v>0</v>
      </c>
      <c r="CJ22" s="1184">
        <f t="shared" si="94"/>
        <v>0</v>
      </c>
      <c r="CK22" s="1184">
        <f t="shared" si="82"/>
        <v>0</v>
      </c>
      <c r="CL22" s="1184">
        <f t="shared" si="83"/>
        <v>0</v>
      </c>
      <c r="CM22" s="1184">
        <f t="shared" si="84"/>
        <v>0</v>
      </c>
      <c r="CN22" s="1184">
        <f t="shared" si="85"/>
        <v>0</v>
      </c>
      <c r="CO22" s="1184">
        <f t="shared" si="86"/>
        <v>0</v>
      </c>
      <c r="CP22" s="1184">
        <f t="shared" si="87"/>
        <v>0</v>
      </c>
      <c r="CQ22" s="1184">
        <f t="shared" si="88"/>
        <v>0</v>
      </c>
      <c r="CR22" s="1184">
        <f t="shared" si="89"/>
        <v>0</v>
      </c>
      <c r="CS22" s="1184">
        <f t="shared" si="90"/>
        <v>0</v>
      </c>
      <c r="CT22" s="1184">
        <f t="shared" si="91"/>
        <v>0</v>
      </c>
      <c r="CU22" s="1184">
        <f t="shared" si="95"/>
        <v>2</v>
      </c>
      <c r="CV22" s="1184">
        <f t="shared" si="96"/>
        <v>0</v>
      </c>
      <c r="CW22" s="1186">
        <f t="shared" si="97"/>
        <v>0</v>
      </c>
      <c r="CX22" s="1184"/>
      <c r="CY22" s="320" t="str">
        <f>Pflanzen!A18</f>
        <v>Triticale</v>
      </c>
      <c r="CZ22" s="1200">
        <f>IFERROR(MATCH($CY22,Pflanzen!$C$5:$C$114,0),1)</f>
        <v>14</v>
      </c>
      <c r="DA22" s="320" cm="1">
        <f t="array" ref="DA22">INDEX(Pflanzen!$H$5:$H$114,'Lagerhaltung (freiwillig)'!CZ22)</f>
        <v>2</v>
      </c>
      <c r="DB22" s="1200">
        <f t="shared" si="98"/>
        <v>0</v>
      </c>
      <c r="DC22" s="1200">
        <f t="shared" si="98"/>
        <v>0</v>
      </c>
      <c r="DD22" s="1200">
        <f t="shared" si="98"/>
        <v>0</v>
      </c>
      <c r="DE22" s="1200">
        <f t="shared" si="98"/>
        <v>0</v>
      </c>
      <c r="DF22" s="1200">
        <f t="shared" si="98"/>
        <v>0</v>
      </c>
      <c r="DG22" s="1184">
        <f t="shared" si="98"/>
        <v>0</v>
      </c>
      <c r="DH22" s="1184">
        <f t="shared" si="98"/>
        <v>0</v>
      </c>
      <c r="DI22" s="1184">
        <f t="shared" si="98"/>
        <v>0</v>
      </c>
      <c r="DJ22" s="1184">
        <f t="shared" si="98"/>
        <v>0</v>
      </c>
      <c r="DK22" s="1184">
        <f t="shared" si="98"/>
        <v>0</v>
      </c>
      <c r="DL22" s="1184">
        <f t="shared" si="98"/>
        <v>0</v>
      </c>
      <c r="DM22" s="1184">
        <f t="shared" si="98"/>
        <v>0</v>
      </c>
      <c r="DN22" s="1184"/>
      <c r="DO22" s="1184">
        <f t="shared" si="99"/>
        <v>0</v>
      </c>
      <c r="DP22" s="1184">
        <f t="shared" si="99"/>
        <v>0</v>
      </c>
      <c r="DQ22" s="1184">
        <f t="shared" si="99"/>
        <v>0</v>
      </c>
      <c r="DR22" s="1184">
        <f t="shared" si="99"/>
        <v>0</v>
      </c>
      <c r="DS22" s="1184">
        <f t="shared" si="99"/>
        <v>0</v>
      </c>
      <c r="DT22" s="1184">
        <f t="shared" si="99"/>
        <v>0</v>
      </c>
      <c r="DU22" s="1184">
        <f t="shared" si="99"/>
        <v>0</v>
      </c>
      <c r="DV22" s="1184">
        <f t="shared" si="99"/>
        <v>0</v>
      </c>
      <c r="DW22" s="1184">
        <f t="shared" si="99"/>
        <v>0</v>
      </c>
      <c r="DX22" s="1184">
        <f t="shared" si="99"/>
        <v>0</v>
      </c>
      <c r="DY22" s="1184">
        <f t="shared" si="99"/>
        <v>0</v>
      </c>
      <c r="DZ22" s="1184">
        <f t="shared" si="99"/>
        <v>0</v>
      </c>
      <c r="EA22" s="1184"/>
      <c r="EB22" s="1184">
        <f t="shared" si="100"/>
        <v>0</v>
      </c>
      <c r="EC22" s="1184">
        <f t="shared" si="100"/>
        <v>0</v>
      </c>
      <c r="ED22" s="1184">
        <f t="shared" si="100"/>
        <v>0</v>
      </c>
      <c r="EE22" s="1184">
        <f t="shared" si="100"/>
        <v>0</v>
      </c>
      <c r="EF22" s="1184">
        <f t="shared" si="100"/>
        <v>0</v>
      </c>
      <c r="EG22" s="1184">
        <f t="shared" si="100"/>
        <v>0</v>
      </c>
      <c r="EH22" s="1184">
        <f t="shared" si="100"/>
        <v>0</v>
      </c>
      <c r="EI22" s="1184">
        <f t="shared" si="100"/>
        <v>0</v>
      </c>
      <c r="EJ22" s="1184">
        <f t="shared" si="100"/>
        <v>0</v>
      </c>
      <c r="EK22" s="1184">
        <f t="shared" si="100"/>
        <v>0</v>
      </c>
      <c r="EL22" s="1184">
        <f t="shared" si="100"/>
        <v>0</v>
      </c>
      <c r="EM22" s="1184">
        <f t="shared" si="100"/>
        <v>0</v>
      </c>
      <c r="EN22" s="1184"/>
      <c r="EO22" s="1184">
        <f t="shared" si="101"/>
        <v>0</v>
      </c>
      <c r="EP22" s="1184">
        <f t="shared" si="101"/>
        <v>0</v>
      </c>
      <c r="EQ22" s="1184">
        <f t="shared" si="101"/>
        <v>0</v>
      </c>
      <c r="ER22" s="1184">
        <f t="shared" si="101"/>
        <v>0</v>
      </c>
      <c r="ES22" s="1184">
        <f t="shared" si="101"/>
        <v>0</v>
      </c>
      <c r="ET22" s="1184">
        <f t="shared" si="101"/>
        <v>0</v>
      </c>
      <c r="EU22" s="1184">
        <f t="shared" si="101"/>
        <v>0</v>
      </c>
      <c r="EV22" s="1184">
        <f t="shared" si="101"/>
        <v>0</v>
      </c>
      <c r="EW22" s="1184">
        <f t="shared" si="101"/>
        <v>0</v>
      </c>
      <c r="EX22" s="1184">
        <f t="shared" si="101"/>
        <v>0</v>
      </c>
      <c r="EY22" s="1184">
        <f t="shared" si="101"/>
        <v>0</v>
      </c>
      <c r="EZ22" s="1184">
        <f t="shared" si="101"/>
        <v>0</v>
      </c>
      <c r="FA22" s="1184"/>
      <c r="FB22" s="1186">
        <f t="shared" si="51"/>
        <v>0</v>
      </c>
      <c r="FC22" s="1184">
        <f>FB22+DB22+EB22                 -         SUMIF('Nährstoffe und Lagerraum'!$AX$113:$AX$155,$CZ22,'Nährstoffe und Lagerraum'!$U$113:$U$155)/12  -$GD22*$HE22/12</f>
        <v>0</v>
      </c>
      <c r="FD22" s="1184">
        <f>FC22+DC22+EC22                 -         SUMIF('Nährstoffe und Lagerraum'!$AX$113:$AX$155,$CZ22,'Nährstoffe und Lagerraum'!$U$113:$U$155)/12  -$GD22*$HE22/12</f>
        <v>0</v>
      </c>
      <c r="FE22" s="1184">
        <f>FD22+DD22+ED22                 -         SUMIF('Nährstoffe und Lagerraum'!$AX$113:$AX$155,$CZ22,'Nährstoffe und Lagerraum'!$U$113:$U$155)/12  -$GD22*$HE22/12</f>
        <v>0</v>
      </c>
      <c r="FF22" s="1184">
        <f>FE22+DE22+EE22                 -         SUMIF('Nährstoffe und Lagerraum'!$AX$113:$AX$155,$CZ22,'Nährstoffe und Lagerraum'!$U$113:$U$155)/12  -$GD22*$HE22/12</f>
        <v>0</v>
      </c>
      <c r="FG22" s="1184">
        <f>FF22+DF22+EF22                 -         SUMIF('Nährstoffe und Lagerraum'!$AX$113:$AX$155,$CZ22,'Nährstoffe und Lagerraum'!$U$113:$U$155)/12  -$GD22*$HE22/12</f>
        <v>0</v>
      </c>
      <c r="FH22" s="1184">
        <f>FG22+DG22+EG22                 -         SUMIF('Nährstoffe und Lagerraum'!$AX$113:$AX$155,$CZ22,'Nährstoffe und Lagerraum'!$U$113:$U$155)/12  -$GD22*$HE22/12</f>
        <v>0</v>
      </c>
      <c r="FI22" s="1184">
        <f>FH22+DH22+EH22                 -         SUMIF('Nährstoffe und Lagerraum'!$AX$113:$AX$155,$CZ22,'Nährstoffe und Lagerraum'!$U$113:$U$155)/12  -$GD22*$HE22/12</f>
        <v>0</v>
      </c>
      <c r="FJ22" s="1184">
        <f>FI22+DI22+EI22                 -         SUMIF('Nährstoffe und Lagerraum'!$AX$113:$AX$155,$CZ22,'Nährstoffe und Lagerraum'!$U$113:$U$155)/12  -$GD22*$HE22/12</f>
        <v>0</v>
      </c>
      <c r="FK22" s="1184">
        <f>FJ22+DJ22+EJ22                 -         SUMIF('Nährstoffe und Lagerraum'!$AX$113:$AX$155,$CZ22,'Nährstoffe und Lagerraum'!$U$113:$U$155)/12  -$GD22*$HE22/12</f>
        <v>0</v>
      </c>
      <c r="FL22" s="1184">
        <f>FK22+DK22+EK22                 -         SUMIF('Nährstoffe und Lagerraum'!$AX$113:$AX$155,$CZ22,'Nährstoffe und Lagerraum'!$U$113:$U$155)/12  -$GD22*$HE22/12</f>
        <v>0</v>
      </c>
      <c r="FM22" s="1184">
        <f>FL22+DL22+EL22                 -         SUMIF('Nährstoffe und Lagerraum'!$AX$113:$AX$155,$CZ22,'Nährstoffe und Lagerraum'!$U$113:$U$155)/12  -$GD22*$HE22/12</f>
        <v>0</v>
      </c>
      <c r="FN22" s="1184">
        <f>FM22+DM22+EM22                 -         SUMIF('Nährstoffe und Lagerraum'!$AX$113:$AX$155,$CZ22,'Nährstoffe und Lagerraum'!$U$113:$U$155)/12  -$GD22*$HE22/12</f>
        <v>0</v>
      </c>
      <c r="FO22" s="1184"/>
      <c r="FP22" s="1186">
        <f t="shared" si="52"/>
        <v>0</v>
      </c>
      <c r="FQ22" s="1184">
        <f>FP22+DO22+EO22                 -         SUMIF('Nährstoffe und Lagerraum'!$AX$113:$AX$155,$CZ22,'Nährstoffe und Lagerraum'!$V$113:$V$155)/12  -$GE22*$HE22/12</f>
        <v>0</v>
      </c>
      <c r="FR22" s="1184">
        <f>FQ22+DP22+EP22                 -         SUMIF('Nährstoffe und Lagerraum'!$AX$113:$AX$155,$CZ22,'Nährstoffe und Lagerraum'!$V$113:$V$155)/12  -$GE22*$HE22/12</f>
        <v>0</v>
      </c>
      <c r="FS22" s="1184">
        <f>FR22+DQ22+EQ22                 -         SUMIF('Nährstoffe und Lagerraum'!$AX$113:$AX$155,$CZ22,'Nährstoffe und Lagerraum'!$V$113:$V$155)/12  -$GE22*$HE22/12</f>
        <v>0</v>
      </c>
      <c r="FT22" s="1184">
        <f>FS22+DR22+ER22                 -         SUMIF('Nährstoffe und Lagerraum'!$AX$113:$AX$155,$CZ22,'Nährstoffe und Lagerraum'!$V$113:$V$155)/12  -$GE22*$HE22/12</f>
        <v>0</v>
      </c>
      <c r="FU22" s="1184">
        <f>FT22+DS22+ES22                 -         SUMIF('Nährstoffe und Lagerraum'!$AX$113:$AX$155,$CZ22,'Nährstoffe und Lagerraum'!$V$113:$V$155)/12  -$GE22*$HE22/12</f>
        <v>0</v>
      </c>
      <c r="FV22" s="1184">
        <f>FU22+DT22+ET22                 -         SUMIF('Nährstoffe und Lagerraum'!$AX$113:$AX$155,$CZ22,'Nährstoffe und Lagerraum'!$V$113:$V$155)/12  -$GE22*$HE22/12</f>
        <v>0</v>
      </c>
      <c r="FW22" s="1184">
        <f>FV22+DU22+EU22                 -         SUMIF('Nährstoffe und Lagerraum'!$AX$113:$AX$155,$CZ22,'Nährstoffe und Lagerraum'!$V$113:$V$155)/12  -$GE22*$HE22/12</f>
        <v>0</v>
      </c>
      <c r="FX22" s="1184">
        <f>FW22+DV22+EV22                 -         SUMIF('Nährstoffe und Lagerraum'!$AX$113:$AX$155,$CZ22,'Nährstoffe und Lagerraum'!$V$113:$V$155)/12  -$GE22*$HE22/12</f>
        <v>0</v>
      </c>
      <c r="FY22" s="1184">
        <f>FX22+DW22+EW22                 -         SUMIF('Nährstoffe und Lagerraum'!$AX$113:$AX$155,$CZ22,'Nährstoffe und Lagerraum'!$V$113:$V$155)/12  -$GE22*$HE22/12</f>
        <v>0</v>
      </c>
      <c r="FZ22" s="1184">
        <f>FY22+DX22+EX22                 -         SUMIF('Nährstoffe und Lagerraum'!$AX$113:$AX$155,$CZ22,'Nährstoffe und Lagerraum'!$V$113:$V$155)/12  -$GE22*$HE22/12</f>
        <v>0</v>
      </c>
      <c r="GA22" s="1184">
        <f>FZ22+DY22+EY22                 -         SUMIF('Nährstoffe und Lagerraum'!$AX$113:$AX$155,$CZ22,'Nährstoffe und Lagerraum'!$V$113:$V$155)/12  -$GE22*$HE22/12</f>
        <v>0</v>
      </c>
      <c r="GB22" s="1184">
        <f>GA22+DZ22+EZ22                 -         SUMIF('Nährstoffe und Lagerraum'!$AX$113:$AX$155,$CZ22,'Nährstoffe und Lagerraum'!$V$113:$V$155)/12  -$GE22*$HE22/12</f>
        <v>0</v>
      </c>
      <c r="GC22" s="1184"/>
      <c r="GD22" s="1184">
        <f>SUMIFS($CI$14:$CI$68,$BR$14:$BR$68,$CZ22)+SUMIFS($CM$14:$CM$68,$BR$14:$BR$68,$CZ22)+SUMIFS($CR$14:$CR$68,$BR$14:$BR$68,$CZ22)  -         SUMIF('Nährstoffe und Lagerraum'!$AX$113:$AX$155,$CZ22,'Nährstoffe und Lagerraum'!$U$113:$U$155)</f>
        <v>0</v>
      </c>
      <c r="GE22" s="1184">
        <f>SUMIFS($CJ$14:$CJ$68,$BR$14:$BR$68,$CZ22)+SUMIFS($CO$14:$CO$68,$BR$14:$BR$68,$CZ22)+SUMIFS($CT$14:$CT$68,$BR$14:$BR$68,$CZ22)  -         SUMIF('Nährstoffe und Lagerraum'!$AX$113:$AX$155,$CZ22,'Nährstoffe und Lagerraum'!$V$113:$V$155)</f>
        <v>0</v>
      </c>
      <c r="GF22" s="1184"/>
      <c r="GG22" s="1184"/>
      <c r="GH22" s="1184">
        <f>SUMIF('Nährstoffe und Lagerraum'!$AX$113:$AX$155,$CZ22,'Nährstoffe und Lagerraum'!$U$113:$U$155)</f>
        <v>0</v>
      </c>
      <c r="GI22" s="1184">
        <f>SUMIF('Nährstoffe und Lagerraum'!$AX$113:$AX$155,$CZ22,'Nährstoffe und Lagerraum'!$V$113:$V$155)</f>
        <v>0</v>
      </c>
      <c r="GJ22" s="1184">
        <f t="shared" si="53"/>
        <v>0</v>
      </c>
      <c r="GK22" s="1184">
        <f t="shared" si="54"/>
        <v>0</v>
      </c>
      <c r="GL22" s="1184">
        <f t="shared" si="55"/>
        <v>0</v>
      </c>
      <c r="GM22" s="1184">
        <f t="shared" si="56"/>
        <v>0</v>
      </c>
      <c r="GN22" s="1184">
        <f t="shared" si="57"/>
        <v>0</v>
      </c>
      <c r="GO22" s="1184" cm="1">
        <f t="array" ref="GO22">IF(GN22=0,0,(IFERROR(SUMPRODUCT($J$14:$J$68,$CH$14:$CH$68,($BR$14:$BR$68=CZ22)*1)+SUMPRODUCT($L$14:$L$68,$M$14:$M$68,$CK$14:$CK$68,($BR$14:$BR$68=CZ22)*1,($BT$14:$BT$68=FALSE)*1)/10+SUMPRODUCT($R$14:$R$68,$CP$14:$CP$68,($BR$14:$BR$68=CZ22)*1),0))/GN22)</f>
        <v>0</v>
      </c>
      <c r="GP22" s="1184">
        <f t="shared" si="58"/>
        <v>0</v>
      </c>
      <c r="GQ22" s="1184">
        <f>(SUMIF('Nährstoffe und Lagerraum'!$AX$113:$AX$130,'Lagerhaltung (freiwillig)'!CZ22,'Nährstoffe und Lagerraum'!$D$113:$D$130)+SUMIF('Nährstoffe und Lagerraum'!$AX$137:$AX$155,'Lagerhaltung (freiwillig)'!CZ22,'Nährstoffe und Lagerraum'!$E$137:$E$155))</f>
        <v>0</v>
      </c>
      <c r="GR22" s="1184" cm="1">
        <f t="array" ref="GR22">IF(GQ22=0,0,(IFERROR(SUMPRODUCT('Nährstoffe und Lagerraum'!$D$113:$D$130,'Nährstoffe und Lagerraum'!$F$113:$F$130,('Nährstoffe und Lagerraum'!$AX$113:$AX$130='Lagerhaltung (freiwillig)'!CZ22)*1)+SUMPRODUCT('Nährstoffe und Lagerraum'!$E$137:$E$155,'Nährstoffe und Lagerraum'!$F$137:$F$155,('Nährstoffe und Lagerraum'!$AX$137:$AX$155='Lagerhaltung (freiwillig)'!CZ22)*1),0))/GQ22)</f>
        <v>0</v>
      </c>
      <c r="GS22" s="1184">
        <f t="shared" si="59"/>
        <v>0</v>
      </c>
      <c r="GT22" s="1184">
        <f t="shared" si="60"/>
        <v>0</v>
      </c>
      <c r="GU22" s="1184">
        <f t="shared" si="61"/>
        <v>0</v>
      </c>
      <c r="GV22" s="1184">
        <f t="shared" si="62"/>
        <v>0</v>
      </c>
      <c r="GW22" s="1186" t="str">
        <f t="shared" si="41"/>
        <v xml:space="preserve"> </v>
      </c>
      <c r="GX22" s="1186" t="str">
        <f t="shared" si="41"/>
        <v xml:space="preserve"> </v>
      </c>
      <c r="GY22" s="1195">
        <f t="shared" si="63"/>
        <v>0</v>
      </c>
      <c r="GZ22" s="1184">
        <f t="shared" si="64"/>
        <v>0</v>
      </c>
      <c r="HA22" s="1184" t="str">
        <f t="shared" si="44"/>
        <v>a</v>
      </c>
      <c r="HB22" s="1196">
        <f t="shared" si="65"/>
        <v>0</v>
      </c>
      <c r="HC22" s="1196">
        <f t="shared" si="66"/>
        <v>0</v>
      </c>
      <c r="HD22" s="1196"/>
      <c r="HE22" s="1187">
        <f t="shared" si="67"/>
        <v>0</v>
      </c>
      <c r="HF22" s="1196">
        <f t="shared" si="68"/>
        <v>0</v>
      </c>
      <c r="HG22" s="1196">
        <f t="shared" si="69"/>
        <v>0</v>
      </c>
      <c r="HH22" s="1196">
        <f t="shared" si="70"/>
        <v>0</v>
      </c>
      <c r="HI22" s="1328" cm="1">
        <f t="array" ref="HI22">IF(AND(HG22=0,GL22=0),0,IF(HG22=0,1,IF(OR(GL22*1000/HG22/HH22&gt;INDEX(Pflanzen!$W$5:$W$104,CZ22)/INDEX(Pflanzen!$I$5:$I$104,CZ22)*$HI$1,GL22*1000/HG22/HH22&lt;INDEX(Pflanzen!$W$5:$W$104,CZ22)/INDEX(Pflanzen!$I$5:$I$104,CZ22)/$HI$1),1,0)))</f>
        <v>0</v>
      </c>
      <c r="HJ22" s="1328" cm="1">
        <f t="array" ref="HJ22">IF(AND(GM22=0,HG22=0),0,IF(HG22=0,1,IF(OR(GM22*1000/HG22/HH22&gt;INDEX(Pflanzen!$X$5:$X$104,CZ22)/INDEX(Pflanzen!$I$5:$I$104,CZ22)*$HI$1,GM22*1000/HG22/HH22&lt;INDEX(Pflanzen!$X$5:$X$104,CZ22)/INDEX(Pflanzen!$I$5:$I$104,CZ22)/$HI$1),1,0)))</f>
        <v>0</v>
      </c>
      <c r="HK22" s="1184">
        <f t="shared" si="71"/>
        <v>3</v>
      </c>
      <c r="HL22" s="1184"/>
      <c r="HN22" s="1184"/>
      <c r="HO22" s="1193" t="str">
        <f>Tiere!B48</f>
        <v>Zuchtsauen mit 28 Ferkel bis 8 kg, N-/P-reduziert</v>
      </c>
      <c r="HP22" s="1184">
        <v>19</v>
      </c>
      <c r="HQ22" s="1194">
        <f>SUMIF('Nährstoffe und Lagerraum'!$BM$68:$BM$87,'Lagerhaltung (freiwillig)'!HP22,'Nährstoffe und Lagerraum'!$Z$68:$Z$87)+SUMIF('Nährstoffe und Lagerraum'!$BM$68:$BM$87,'Lagerhaltung (freiwillig)'!HP22,'Nährstoffe und Lagerraum'!$AA$68:$AA$87)</f>
        <v>0</v>
      </c>
      <c r="HR22" s="1184" cm="1">
        <f t="array" ref="HR22">INDEX(Tiere!$C$30:$C$114,'Lagerhaltung (freiwillig)'!HP22)</f>
        <v>2</v>
      </c>
      <c r="HS22" s="1184" cm="1">
        <f t="array" ref="HS22">INDEX(Tiere!$H$30:$H$114,'Lagerhaltung (freiwillig)'!HP22)</f>
        <v>0</v>
      </c>
      <c r="HT22" s="1184">
        <f t="shared" si="12"/>
        <v>0</v>
      </c>
      <c r="HU22" s="1184" cm="1">
        <f t="array" ref="HU22">INDEX(Tiere!$I$30:$I$114,'Lagerhaltung (freiwillig)'!HP22)</f>
        <v>0</v>
      </c>
      <c r="HV22" s="1184">
        <f t="shared" si="13"/>
        <v>0</v>
      </c>
      <c r="HW22" s="1184" cm="1">
        <f t="array" ref="HW22">INDEX(Tiere!$BC$30:$BC$114,'Lagerhaltung (freiwillig)'!HP22)</f>
        <v>5.7344000000000008</v>
      </c>
      <c r="HX22" s="1184">
        <f t="shared" si="14"/>
        <v>0</v>
      </c>
      <c r="HY22" s="1184" cm="1">
        <f t="array" ref="HY22">INDEX(Tiere!$BD$30:$BD$114,'Lagerhaltung (freiwillig)'!HP22)</f>
        <v>2.6208</v>
      </c>
      <c r="HZ22" s="1184">
        <f t="shared" si="15"/>
        <v>0</v>
      </c>
      <c r="IA22" s="1184"/>
      <c r="IB22" s="1184"/>
      <c r="IC22" s="1184"/>
      <c r="ID22" s="1184"/>
      <c r="IE22" s="1184"/>
      <c r="IF22" s="1184"/>
      <c r="IG22" s="1184"/>
      <c r="IH22" s="1184"/>
      <c r="II22" s="1184"/>
      <c r="IJ22" s="1184"/>
      <c r="IK22" s="1184"/>
      <c r="IL22" s="1184"/>
    </row>
    <row r="23" spans="1:246" ht="15.6" customHeight="1" x14ac:dyDescent="0.2">
      <c r="A23" s="725"/>
      <c r="B23" s="726"/>
      <c r="C23" s="726"/>
      <c r="D23" s="726"/>
      <c r="E23" s="726"/>
      <c r="F23" s="1466" cm="1">
        <f t="array" ref="F23">INDEX(Pflanzen!$I$5:$I$104,BR23)</f>
        <v>0</v>
      </c>
      <c r="G23" s="1467" cm="1">
        <f t="array" ref="G23">INDEX(Pflanzen!$W$5:$W$104,BR23)</f>
        <v>0</v>
      </c>
      <c r="H23" s="1468" cm="1">
        <f t="array" ref="H23">INDEX(Pflanzen!$X$5:$X$104,BR23)</f>
        <v>0</v>
      </c>
      <c r="I23" s="1122"/>
      <c r="J23" s="1303"/>
      <c r="K23" s="1122"/>
      <c r="L23" s="1487"/>
      <c r="M23" s="1491"/>
      <c r="N23" s="1487"/>
      <c r="O23" s="1487"/>
      <c r="P23" s="1292"/>
      <c r="Q23" s="2180"/>
      <c r="R23" s="1487"/>
      <c r="S23" s="1491"/>
      <c r="T23" s="1303"/>
      <c r="U23" s="725"/>
      <c r="V23" s="1346" t="str">
        <f t="shared" si="92"/>
        <v/>
      </c>
      <c r="Y23" s="1554" t="str" cm="1">
        <f t="array" ref="Y23">IFERROR(INDEX($CY$4:$CY$165,AY23),"")</f>
        <v/>
      </c>
      <c r="Z23" s="1555"/>
      <c r="AA23" s="1555"/>
      <c r="AB23" s="1555"/>
      <c r="AC23" s="1454" t="str" cm="1">
        <f t="array" ref="AC23">IFERROR(INDEX($GN$4:$GN$165,AY23),"")</f>
        <v/>
      </c>
      <c r="AD23" s="1454" t="str" cm="1">
        <f t="array" ref="AD23">IFERROR(INDEX($GO$4:$GO$165,AY23),"")</f>
        <v/>
      </c>
      <c r="AE23" s="1454" t="str" cm="1">
        <f t="array" ref="AE23">IFERROR(INDEX($GJ$4:$GJ$165,AY23),"")</f>
        <v/>
      </c>
      <c r="AF23" s="1454" t="str" cm="1">
        <f t="array" ref="AF23">IFERROR(INDEX($GK$4:$GK$165,AY23),"")</f>
        <v/>
      </c>
      <c r="AG23" s="1454" t="str" cm="1">
        <f t="array" ref="AG23">IFERROR(INDEX($GQ$4:$GQ$165,AY23),"")</f>
        <v/>
      </c>
      <c r="AH23" s="1454" t="str" cm="1">
        <f t="array" ref="AH23">IFERROR(INDEX($GR$4:$GR$165,AY23),"")</f>
        <v/>
      </c>
      <c r="AI23" s="1454" t="str" cm="1">
        <f t="array" ref="AI23">IFERROR(INDEX($GH$4:$GH$165,AY23),"")</f>
        <v/>
      </c>
      <c r="AJ23" s="1454" t="str" cm="1">
        <f t="array" ref="AJ23">IFERROR(INDEX($GI$4:$GI$165,AY23),"")</f>
        <v/>
      </c>
      <c r="AK23" s="1454" t="str" cm="1">
        <f t="array" ref="AK23">IFERROR(INDEX($GU$4:$GU$165,AY23),"")</f>
        <v/>
      </c>
      <c r="AL23" s="1455" t="str" cm="1">
        <f t="array" ref="AL23">IFERROR(INDEX($GV$4:$GV$165,AY23),"")</f>
        <v/>
      </c>
      <c r="AM23" s="1454" t="str" cm="1">
        <f t="array" ref="AM23">IFERROR(INDEX($GD$4:$GD$165,AY23),"")</f>
        <v/>
      </c>
      <c r="AN23" s="1454" t="str" cm="1">
        <f t="array" ref="AN23">IFERROR(INDEX($GE$4:$GE$165,AY23),"")</f>
        <v/>
      </c>
      <c r="AO23" s="1454" t="str" cm="1">
        <f t="array" ref="AO23">IFERROR(INDEX($GW$4:$GW$165,AY23),"")</f>
        <v/>
      </c>
      <c r="AP23" s="1454" t="str" cm="1">
        <f t="array" ref="AP23">IFERROR(INDEX($GZ$4:$GZ$165,AY23),"")</f>
        <v/>
      </c>
      <c r="AQ23" s="1457"/>
      <c r="AR23" s="1454" t="str" cm="1">
        <f t="array" ref="AR23">IFERROR(INDEX($HF$4:$HF$165,AY23),"")</f>
        <v/>
      </c>
      <c r="AS23" s="1454" t="str" cm="1">
        <f t="array" ref="AS23">IFERROR(INDEX($HG$4:$HG$165,AY23),"")</f>
        <v/>
      </c>
      <c r="AT23" s="1454" t="str" cm="1">
        <f t="array" ref="AT23">IFERROR(INDEX($HH$4:$HH$165,AY23),"")</f>
        <v/>
      </c>
      <c r="AU23" s="1454" t="str" cm="1">
        <f t="array" ref="AU23">IFERROR(INDEX($GL$4:$GL$165,AY23),"")</f>
        <v/>
      </c>
      <c r="AV23" s="1454" t="str" cm="1">
        <f t="array" ref="AV23">IFERROR(INDEX($GM$4:$GM$165,AY23),"")</f>
        <v/>
      </c>
      <c r="AY23" s="1184" t="str" cm="1">
        <f t="array" ref="AY23">IFERROR(SMALL(IF($HK$4:$HK$165=1,ROW($HK$4:$HK$165)-3),ROW(W11)),IFERROR(SMALL(IF($HK$4:$HK$165=2,ROW($HK$4:$HK$165)-3),ROW(W11)-COUNTIF($HK$4:$HK$165,1)),IFERROR(SMALL(IF($HK$4:$HK$165=0,ROW($HK$4:$HK$165)-3),ROW(W11)-COUNTIF($HK$4:$HK$165,1)-COUNTIF($HK$4:$HK$165,2)),"")))</f>
        <v/>
      </c>
      <c r="AZ23" s="1184" t="str">
        <f t="shared" si="72"/>
        <v>a</v>
      </c>
      <c r="BA23" s="1194" t="e">
        <f t="shared" si="73"/>
        <v>#VALUE!</v>
      </c>
      <c r="BB23" s="1194" cm="1">
        <f t="array" ref="BB23">IFERROR(INDEX($HK$4:$HK$165,AY23),0)</f>
        <v>0</v>
      </c>
      <c r="BC23" s="1194">
        <f t="shared" si="74"/>
        <v>0</v>
      </c>
      <c r="BD23" s="1194"/>
      <c r="BE23" s="1343"/>
      <c r="BF23" s="1343"/>
      <c r="BG23" s="1343"/>
      <c r="BH23" s="1343"/>
      <c r="BI23" s="1343"/>
      <c r="BJ23" s="1343"/>
      <c r="BK23" s="1343"/>
      <c r="BL23" s="1343"/>
      <c r="BM23" s="1343"/>
      <c r="BN23" s="1343"/>
      <c r="BO23" s="1343"/>
      <c r="BQ23" s="1184"/>
      <c r="BR23" s="1184">
        <v>1</v>
      </c>
      <c r="BS23" s="1184"/>
      <c r="BT23" s="1184" t="b">
        <v>0</v>
      </c>
      <c r="BU23" s="1199"/>
      <c r="BV23" s="1199"/>
      <c r="BW23" s="1184">
        <f t="shared" si="75"/>
        <v>12</v>
      </c>
      <c r="BX23" s="1184">
        <f t="shared" si="76"/>
        <v>0</v>
      </c>
      <c r="BY23" s="1184">
        <f t="shared" si="77"/>
        <v>12</v>
      </c>
      <c r="BZ23" s="1184" cm="1">
        <f t="array" ref="BZ23">INDEX(Pflanzen!$AB$5:$AB$114,'Lagerhaltung (freiwillig)'!BR23)</f>
        <v>0</v>
      </c>
      <c r="CA23" s="1184" cm="1">
        <f t="array" ref="CA23">IF(BZ23=1,INDEX(Pflanzen!$AC$5:$AC$114,BR23),N23)</f>
        <v>0</v>
      </c>
      <c r="CB23" s="1184" cm="1">
        <f t="array" ref="CB23">IF(BZ23=1,INDEX(Pflanzen!$AD$5:$AD$114,BR23),O23)</f>
        <v>0</v>
      </c>
      <c r="CC23" s="1184">
        <f t="shared" si="78"/>
        <v>12</v>
      </c>
      <c r="CD23" s="1184">
        <f t="shared" si="79"/>
        <v>0</v>
      </c>
      <c r="CE23" s="1184">
        <f t="shared" si="80"/>
        <v>12</v>
      </c>
      <c r="CF23" s="1184" cm="1">
        <f t="array" ref="CF23">INDEX(Pflanzen!$F$5:$F$114,BR23)</f>
        <v>0</v>
      </c>
      <c r="CG23" s="1184" cm="1">
        <f t="array" ref="CG23">INDEX(Pflanzen!$G$5:$G$114,BR23)</f>
        <v>0</v>
      </c>
      <c r="CH23" s="1184">
        <f t="shared" si="81"/>
        <v>0</v>
      </c>
      <c r="CI23" s="1184">
        <f t="shared" si="93"/>
        <v>0</v>
      </c>
      <c r="CJ23" s="1184">
        <f t="shared" si="94"/>
        <v>0</v>
      </c>
      <c r="CK23" s="1184">
        <f t="shared" si="82"/>
        <v>0</v>
      </c>
      <c r="CL23" s="1184">
        <f t="shared" si="83"/>
        <v>0</v>
      </c>
      <c r="CM23" s="1184">
        <f t="shared" si="84"/>
        <v>0</v>
      </c>
      <c r="CN23" s="1184">
        <f t="shared" si="85"/>
        <v>0</v>
      </c>
      <c r="CO23" s="1184">
        <f t="shared" si="86"/>
        <v>0</v>
      </c>
      <c r="CP23" s="1184">
        <f t="shared" si="87"/>
        <v>0</v>
      </c>
      <c r="CQ23" s="1184">
        <f t="shared" si="88"/>
        <v>0</v>
      </c>
      <c r="CR23" s="1184">
        <f t="shared" si="89"/>
        <v>0</v>
      </c>
      <c r="CS23" s="1184">
        <f t="shared" si="90"/>
        <v>0</v>
      </c>
      <c r="CT23" s="1184">
        <f t="shared" si="91"/>
        <v>0</v>
      </c>
      <c r="CU23" s="1184">
        <f t="shared" si="95"/>
        <v>2</v>
      </c>
      <c r="CV23" s="1184">
        <f t="shared" si="96"/>
        <v>0</v>
      </c>
      <c r="CW23" s="1186">
        <f t="shared" si="97"/>
        <v>0</v>
      </c>
      <c r="CX23" s="1184"/>
      <c r="CY23" s="320" t="str">
        <f>Pflanzen!A19</f>
        <v>Dinkel</v>
      </c>
      <c r="CZ23" s="1200">
        <f>IFERROR(MATCH($CY23,Pflanzen!$C$5:$C$114,0),1)</f>
        <v>15</v>
      </c>
      <c r="DA23" s="320" cm="1">
        <f t="array" ref="DA23">INDEX(Pflanzen!$H$5:$H$114,'Lagerhaltung (freiwillig)'!CZ23)</f>
        <v>2</v>
      </c>
      <c r="DB23" s="1200">
        <f t="shared" si="98"/>
        <v>0</v>
      </c>
      <c r="DC23" s="1200">
        <f t="shared" si="98"/>
        <v>0</v>
      </c>
      <c r="DD23" s="1200">
        <f t="shared" si="98"/>
        <v>0</v>
      </c>
      <c r="DE23" s="1200">
        <f t="shared" si="98"/>
        <v>0</v>
      </c>
      <c r="DF23" s="1200">
        <f t="shared" si="98"/>
        <v>0</v>
      </c>
      <c r="DG23" s="1184">
        <f t="shared" si="98"/>
        <v>0</v>
      </c>
      <c r="DH23" s="1184">
        <f t="shared" si="98"/>
        <v>0</v>
      </c>
      <c r="DI23" s="1184">
        <f t="shared" si="98"/>
        <v>0</v>
      </c>
      <c r="DJ23" s="1184">
        <f t="shared" si="98"/>
        <v>0</v>
      </c>
      <c r="DK23" s="1184">
        <f t="shared" si="98"/>
        <v>0</v>
      </c>
      <c r="DL23" s="1184">
        <f t="shared" si="98"/>
        <v>0</v>
      </c>
      <c r="DM23" s="1184">
        <f t="shared" si="98"/>
        <v>0</v>
      </c>
      <c r="DN23" s="1184"/>
      <c r="DO23" s="1184">
        <f t="shared" si="99"/>
        <v>0</v>
      </c>
      <c r="DP23" s="1184">
        <f t="shared" si="99"/>
        <v>0</v>
      </c>
      <c r="DQ23" s="1184">
        <f t="shared" si="99"/>
        <v>0</v>
      </c>
      <c r="DR23" s="1184">
        <f t="shared" si="99"/>
        <v>0</v>
      </c>
      <c r="DS23" s="1184">
        <f t="shared" si="99"/>
        <v>0</v>
      </c>
      <c r="DT23" s="1184">
        <f t="shared" si="99"/>
        <v>0</v>
      </c>
      <c r="DU23" s="1184">
        <f t="shared" si="99"/>
        <v>0</v>
      </c>
      <c r="DV23" s="1184">
        <f t="shared" si="99"/>
        <v>0</v>
      </c>
      <c r="DW23" s="1184">
        <f t="shared" si="99"/>
        <v>0</v>
      </c>
      <c r="DX23" s="1184">
        <f t="shared" si="99"/>
        <v>0</v>
      </c>
      <c r="DY23" s="1184">
        <f t="shared" si="99"/>
        <v>0</v>
      </c>
      <c r="DZ23" s="1184">
        <f t="shared" si="99"/>
        <v>0</v>
      </c>
      <c r="EA23" s="1184"/>
      <c r="EB23" s="1184">
        <f t="shared" si="100"/>
        <v>0</v>
      </c>
      <c r="EC23" s="1184">
        <f t="shared" si="100"/>
        <v>0</v>
      </c>
      <c r="ED23" s="1184">
        <f t="shared" si="100"/>
        <v>0</v>
      </c>
      <c r="EE23" s="1184">
        <f t="shared" si="100"/>
        <v>0</v>
      </c>
      <c r="EF23" s="1184">
        <f t="shared" si="100"/>
        <v>0</v>
      </c>
      <c r="EG23" s="1184">
        <f t="shared" si="100"/>
        <v>0</v>
      </c>
      <c r="EH23" s="1184">
        <f t="shared" si="100"/>
        <v>0</v>
      </c>
      <c r="EI23" s="1184">
        <f t="shared" si="100"/>
        <v>0</v>
      </c>
      <c r="EJ23" s="1184">
        <f t="shared" si="100"/>
        <v>0</v>
      </c>
      <c r="EK23" s="1184">
        <f t="shared" si="100"/>
        <v>0</v>
      </c>
      <c r="EL23" s="1184">
        <f t="shared" si="100"/>
        <v>0</v>
      </c>
      <c r="EM23" s="1184">
        <f t="shared" si="100"/>
        <v>0</v>
      </c>
      <c r="EN23" s="1184"/>
      <c r="EO23" s="1184">
        <f t="shared" si="101"/>
        <v>0</v>
      </c>
      <c r="EP23" s="1184">
        <f t="shared" si="101"/>
        <v>0</v>
      </c>
      <c r="EQ23" s="1184">
        <f t="shared" si="101"/>
        <v>0</v>
      </c>
      <c r="ER23" s="1184">
        <f t="shared" si="101"/>
        <v>0</v>
      </c>
      <c r="ES23" s="1184">
        <f t="shared" si="101"/>
        <v>0</v>
      </c>
      <c r="ET23" s="1184">
        <f t="shared" si="101"/>
        <v>0</v>
      </c>
      <c r="EU23" s="1184">
        <f t="shared" si="101"/>
        <v>0</v>
      </c>
      <c r="EV23" s="1184">
        <f t="shared" si="101"/>
        <v>0</v>
      </c>
      <c r="EW23" s="1184">
        <f t="shared" si="101"/>
        <v>0</v>
      </c>
      <c r="EX23" s="1184">
        <f t="shared" si="101"/>
        <v>0</v>
      </c>
      <c r="EY23" s="1184">
        <f t="shared" si="101"/>
        <v>0</v>
      </c>
      <c r="EZ23" s="1184">
        <f t="shared" si="101"/>
        <v>0</v>
      </c>
      <c r="FA23" s="1184"/>
      <c r="FB23" s="1186">
        <f t="shared" si="51"/>
        <v>0</v>
      </c>
      <c r="FC23" s="1184">
        <f>FB23+DB23+EB23                 -         SUMIF('Nährstoffe und Lagerraum'!$AX$113:$AX$155,$CZ23,'Nährstoffe und Lagerraum'!$U$113:$U$155)/12  -$GD23*$HE23/12</f>
        <v>0</v>
      </c>
      <c r="FD23" s="1184">
        <f>FC23+DC23+EC23                 -         SUMIF('Nährstoffe und Lagerraum'!$AX$113:$AX$155,$CZ23,'Nährstoffe und Lagerraum'!$U$113:$U$155)/12  -$GD23*$HE23/12</f>
        <v>0</v>
      </c>
      <c r="FE23" s="1184">
        <f>FD23+DD23+ED23                 -         SUMIF('Nährstoffe und Lagerraum'!$AX$113:$AX$155,$CZ23,'Nährstoffe und Lagerraum'!$U$113:$U$155)/12  -$GD23*$HE23/12</f>
        <v>0</v>
      </c>
      <c r="FF23" s="1184">
        <f>FE23+DE23+EE23                 -         SUMIF('Nährstoffe und Lagerraum'!$AX$113:$AX$155,$CZ23,'Nährstoffe und Lagerraum'!$U$113:$U$155)/12  -$GD23*$HE23/12</f>
        <v>0</v>
      </c>
      <c r="FG23" s="1184">
        <f>FF23+DF23+EF23                 -         SUMIF('Nährstoffe und Lagerraum'!$AX$113:$AX$155,$CZ23,'Nährstoffe und Lagerraum'!$U$113:$U$155)/12  -$GD23*$HE23/12</f>
        <v>0</v>
      </c>
      <c r="FH23" s="1184">
        <f>FG23+DG23+EG23                 -         SUMIF('Nährstoffe und Lagerraum'!$AX$113:$AX$155,$CZ23,'Nährstoffe und Lagerraum'!$U$113:$U$155)/12  -$GD23*$HE23/12</f>
        <v>0</v>
      </c>
      <c r="FI23" s="1184">
        <f>FH23+DH23+EH23                 -         SUMIF('Nährstoffe und Lagerraum'!$AX$113:$AX$155,$CZ23,'Nährstoffe und Lagerraum'!$U$113:$U$155)/12  -$GD23*$HE23/12</f>
        <v>0</v>
      </c>
      <c r="FJ23" s="1184">
        <f>FI23+DI23+EI23                 -         SUMIF('Nährstoffe und Lagerraum'!$AX$113:$AX$155,$CZ23,'Nährstoffe und Lagerraum'!$U$113:$U$155)/12  -$GD23*$HE23/12</f>
        <v>0</v>
      </c>
      <c r="FK23" s="1184">
        <f>FJ23+DJ23+EJ23                 -         SUMIF('Nährstoffe und Lagerraum'!$AX$113:$AX$155,$CZ23,'Nährstoffe und Lagerraum'!$U$113:$U$155)/12  -$GD23*$HE23/12</f>
        <v>0</v>
      </c>
      <c r="FL23" s="1184">
        <f>FK23+DK23+EK23                 -         SUMIF('Nährstoffe und Lagerraum'!$AX$113:$AX$155,$CZ23,'Nährstoffe und Lagerraum'!$U$113:$U$155)/12  -$GD23*$HE23/12</f>
        <v>0</v>
      </c>
      <c r="FM23" s="1184">
        <f>FL23+DL23+EL23                 -         SUMIF('Nährstoffe und Lagerraum'!$AX$113:$AX$155,$CZ23,'Nährstoffe und Lagerraum'!$U$113:$U$155)/12  -$GD23*$HE23/12</f>
        <v>0</v>
      </c>
      <c r="FN23" s="1184">
        <f>FM23+DM23+EM23                 -         SUMIF('Nährstoffe und Lagerraum'!$AX$113:$AX$155,$CZ23,'Nährstoffe und Lagerraum'!$U$113:$U$155)/12  -$GD23*$HE23/12</f>
        <v>0</v>
      </c>
      <c r="FO23" s="1184"/>
      <c r="FP23" s="1186">
        <f t="shared" si="52"/>
        <v>0</v>
      </c>
      <c r="FQ23" s="1184">
        <f>FP23+DO23+EO23                 -         SUMIF('Nährstoffe und Lagerraum'!$AX$113:$AX$155,$CZ23,'Nährstoffe und Lagerraum'!$V$113:$V$155)/12  -$GE23*$HE23/12</f>
        <v>0</v>
      </c>
      <c r="FR23" s="1184">
        <f>FQ23+DP23+EP23                 -         SUMIF('Nährstoffe und Lagerraum'!$AX$113:$AX$155,$CZ23,'Nährstoffe und Lagerraum'!$V$113:$V$155)/12  -$GE23*$HE23/12</f>
        <v>0</v>
      </c>
      <c r="FS23" s="1184">
        <f>FR23+DQ23+EQ23                 -         SUMIF('Nährstoffe und Lagerraum'!$AX$113:$AX$155,$CZ23,'Nährstoffe und Lagerraum'!$V$113:$V$155)/12  -$GE23*$HE23/12</f>
        <v>0</v>
      </c>
      <c r="FT23" s="1184">
        <f>FS23+DR23+ER23                 -         SUMIF('Nährstoffe und Lagerraum'!$AX$113:$AX$155,$CZ23,'Nährstoffe und Lagerraum'!$V$113:$V$155)/12  -$GE23*$HE23/12</f>
        <v>0</v>
      </c>
      <c r="FU23" s="1184">
        <f>FT23+DS23+ES23                 -         SUMIF('Nährstoffe und Lagerraum'!$AX$113:$AX$155,$CZ23,'Nährstoffe und Lagerraum'!$V$113:$V$155)/12  -$GE23*$HE23/12</f>
        <v>0</v>
      </c>
      <c r="FV23" s="1184">
        <f>FU23+DT23+ET23                 -         SUMIF('Nährstoffe und Lagerraum'!$AX$113:$AX$155,$CZ23,'Nährstoffe und Lagerraum'!$V$113:$V$155)/12  -$GE23*$HE23/12</f>
        <v>0</v>
      </c>
      <c r="FW23" s="1184">
        <f>FV23+DU23+EU23                 -         SUMIF('Nährstoffe und Lagerraum'!$AX$113:$AX$155,$CZ23,'Nährstoffe und Lagerraum'!$V$113:$V$155)/12  -$GE23*$HE23/12</f>
        <v>0</v>
      </c>
      <c r="FX23" s="1184">
        <f>FW23+DV23+EV23                 -         SUMIF('Nährstoffe und Lagerraum'!$AX$113:$AX$155,$CZ23,'Nährstoffe und Lagerraum'!$V$113:$V$155)/12  -$GE23*$HE23/12</f>
        <v>0</v>
      </c>
      <c r="FY23" s="1184">
        <f>FX23+DW23+EW23                 -         SUMIF('Nährstoffe und Lagerraum'!$AX$113:$AX$155,$CZ23,'Nährstoffe und Lagerraum'!$V$113:$V$155)/12  -$GE23*$HE23/12</f>
        <v>0</v>
      </c>
      <c r="FZ23" s="1184">
        <f>FY23+DX23+EX23                 -         SUMIF('Nährstoffe und Lagerraum'!$AX$113:$AX$155,$CZ23,'Nährstoffe und Lagerraum'!$V$113:$V$155)/12  -$GE23*$HE23/12</f>
        <v>0</v>
      </c>
      <c r="GA23" s="1184">
        <f>FZ23+DY23+EY23                 -         SUMIF('Nährstoffe und Lagerraum'!$AX$113:$AX$155,$CZ23,'Nährstoffe und Lagerraum'!$V$113:$V$155)/12  -$GE23*$HE23/12</f>
        <v>0</v>
      </c>
      <c r="GB23" s="1184">
        <f>GA23+DZ23+EZ23                 -         SUMIF('Nährstoffe und Lagerraum'!$AX$113:$AX$155,$CZ23,'Nährstoffe und Lagerraum'!$V$113:$V$155)/12  -$GE23*$HE23/12</f>
        <v>0</v>
      </c>
      <c r="GC23" s="1184"/>
      <c r="GD23" s="1184">
        <f>SUMIFS($CI$14:$CI$68,$BR$14:$BR$68,$CZ23)+SUMIFS($CM$14:$CM$68,$BR$14:$BR$68,$CZ23)+SUMIFS($CR$14:$CR$68,$BR$14:$BR$68,$CZ23)  -         SUMIF('Nährstoffe und Lagerraum'!$AX$113:$AX$155,$CZ23,'Nährstoffe und Lagerraum'!$U$113:$U$155)</f>
        <v>0</v>
      </c>
      <c r="GE23" s="1184">
        <f>SUMIFS($CJ$14:$CJ$68,$BR$14:$BR$68,$CZ23)+SUMIFS($CO$14:$CO$68,$BR$14:$BR$68,$CZ23)+SUMIFS($CT$14:$CT$68,$BR$14:$BR$68,$CZ23)  -         SUMIF('Nährstoffe und Lagerraum'!$AX$113:$AX$155,$CZ23,'Nährstoffe und Lagerraum'!$V$113:$V$155)</f>
        <v>0</v>
      </c>
      <c r="GF23" s="1184"/>
      <c r="GG23" s="1184"/>
      <c r="GH23" s="1184">
        <f>SUMIF('Nährstoffe und Lagerraum'!$AX$113:$AX$155,$CZ23,'Nährstoffe und Lagerraum'!$U$113:$U$155)</f>
        <v>0</v>
      </c>
      <c r="GI23" s="1184">
        <f>SUMIF('Nährstoffe und Lagerraum'!$AX$113:$AX$155,$CZ23,'Nährstoffe und Lagerraum'!$V$113:$V$155)</f>
        <v>0</v>
      </c>
      <c r="GJ23" s="1184">
        <f t="shared" si="53"/>
        <v>0</v>
      </c>
      <c r="GK23" s="1184">
        <f t="shared" si="54"/>
        <v>0</v>
      </c>
      <c r="GL23" s="1184">
        <f t="shared" si="55"/>
        <v>0</v>
      </c>
      <c r="GM23" s="1184">
        <f t="shared" si="56"/>
        <v>0</v>
      </c>
      <c r="GN23" s="1184">
        <f t="shared" si="57"/>
        <v>0</v>
      </c>
      <c r="GO23" s="1184" cm="1">
        <f t="array" ref="GO23">IF(GN23=0,0,(IFERROR(SUMPRODUCT($J$14:$J$68,$CH$14:$CH$68,($BR$14:$BR$68=CZ23)*1)+SUMPRODUCT($L$14:$L$68,$M$14:$M$68,$CK$14:$CK$68,($BR$14:$BR$68=CZ23)*1,($BT$14:$BT$68=FALSE)*1)/10+SUMPRODUCT($R$14:$R$68,$CP$14:$CP$68,($BR$14:$BR$68=CZ23)*1),0))/GN23)</f>
        <v>0</v>
      </c>
      <c r="GP23" s="1184">
        <f t="shared" si="58"/>
        <v>0</v>
      </c>
      <c r="GQ23" s="1184">
        <f>(SUMIF('Nährstoffe und Lagerraum'!$AX$113:$AX$130,'Lagerhaltung (freiwillig)'!CZ23,'Nährstoffe und Lagerraum'!$D$113:$D$130)+SUMIF('Nährstoffe und Lagerraum'!$AX$137:$AX$155,'Lagerhaltung (freiwillig)'!CZ23,'Nährstoffe und Lagerraum'!$E$137:$E$155))</f>
        <v>0</v>
      </c>
      <c r="GR23" s="1184" cm="1">
        <f t="array" ref="GR23">IF(GQ23=0,0,(IFERROR(SUMPRODUCT('Nährstoffe und Lagerraum'!$D$113:$D$130,'Nährstoffe und Lagerraum'!$F$113:$F$130,('Nährstoffe und Lagerraum'!$AX$113:$AX$130='Lagerhaltung (freiwillig)'!CZ23)*1)+SUMPRODUCT('Nährstoffe und Lagerraum'!$E$137:$E$155,'Nährstoffe und Lagerraum'!$F$137:$F$155,('Nährstoffe und Lagerraum'!$AX$137:$AX$155='Lagerhaltung (freiwillig)'!CZ23)*1),0))/GQ23)</f>
        <v>0</v>
      </c>
      <c r="GS23" s="1184">
        <f t="shared" si="59"/>
        <v>0</v>
      </c>
      <c r="GT23" s="1184">
        <f t="shared" si="60"/>
        <v>0</v>
      </c>
      <c r="GU23" s="1184">
        <f t="shared" si="61"/>
        <v>0</v>
      </c>
      <c r="GV23" s="1184">
        <f t="shared" si="62"/>
        <v>0</v>
      </c>
      <c r="GW23" s="1186" t="str">
        <f t="shared" si="41"/>
        <v xml:space="preserve"> </v>
      </c>
      <c r="GX23" s="1186" t="str">
        <f t="shared" si="41"/>
        <v xml:space="preserve"> </v>
      </c>
      <c r="GY23" s="1195">
        <f t="shared" si="63"/>
        <v>0</v>
      </c>
      <c r="GZ23" s="1184">
        <f t="shared" si="64"/>
        <v>0</v>
      </c>
      <c r="HA23" s="1184" t="str">
        <f t="shared" si="44"/>
        <v>a</v>
      </c>
      <c r="HB23" s="1196">
        <f t="shared" si="65"/>
        <v>0</v>
      </c>
      <c r="HC23" s="1196">
        <f t="shared" si="66"/>
        <v>0</v>
      </c>
      <c r="HD23" s="1196"/>
      <c r="HE23" s="1187">
        <f t="shared" si="67"/>
        <v>0</v>
      </c>
      <c r="HF23" s="1196">
        <f t="shared" si="68"/>
        <v>0</v>
      </c>
      <c r="HG23" s="1196">
        <f t="shared" si="69"/>
        <v>0</v>
      </c>
      <c r="HH23" s="1196">
        <f t="shared" si="70"/>
        <v>0</v>
      </c>
      <c r="HI23" s="1328" cm="1">
        <f t="array" ref="HI23">IF(AND(HG23=0,GL23=0),0,IF(HG23=0,1,IF(OR(GL23*1000/HG23/HH23&gt;INDEX(Pflanzen!$W$5:$W$104,CZ23)/INDEX(Pflanzen!$I$5:$I$104,CZ23)*$HI$1,GL23*1000/HG23/HH23&lt;INDEX(Pflanzen!$W$5:$W$104,CZ23)/INDEX(Pflanzen!$I$5:$I$104,CZ23)/$HI$1),1,0)))</f>
        <v>0</v>
      </c>
      <c r="HJ23" s="1328" cm="1">
        <f t="array" ref="HJ23">IF(AND(GM23=0,HG23=0),0,IF(HG23=0,1,IF(OR(GM23*1000/HG23/HH23&gt;INDEX(Pflanzen!$X$5:$X$104,CZ23)/INDEX(Pflanzen!$I$5:$I$104,CZ23)*$HI$1,GM23*1000/HG23/HH23&lt;INDEX(Pflanzen!$X$5:$X$104,CZ23)/INDEX(Pflanzen!$I$5:$I$104,CZ23)/$HI$1),1,0)))</f>
        <v>0</v>
      </c>
      <c r="HK23" s="1184">
        <f t="shared" si="71"/>
        <v>3</v>
      </c>
      <c r="HL23" s="1184"/>
      <c r="HN23" s="1184"/>
      <c r="HO23" s="1193" t="str">
        <f>Tiere!B49</f>
        <v>Zuchtsauen mit 28 Ferkel bis 8 kg, stark N-/P-red.*</v>
      </c>
      <c r="HP23" s="1184">
        <v>20</v>
      </c>
      <c r="HQ23" s="1194">
        <f>SUMIF('Nährstoffe und Lagerraum'!$BM$68:$BM$87,'Lagerhaltung (freiwillig)'!HP23,'Nährstoffe und Lagerraum'!$Z$68:$Z$87)+SUMIF('Nährstoffe und Lagerraum'!$BM$68:$BM$87,'Lagerhaltung (freiwillig)'!HP23,'Nährstoffe und Lagerraum'!$AA$68:$AA$87)</f>
        <v>0</v>
      </c>
      <c r="HR23" s="1184" cm="1">
        <f t="array" ref="HR23">INDEX(Tiere!$C$30:$C$114,'Lagerhaltung (freiwillig)'!HP23)</f>
        <v>2</v>
      </c>
      <c r="HS23" s="1184" cm="1">
        <f t="array" ref="HS23">INDEX(Tiere!$H$30:$H$114,'Lagerhaltung (freiwillig)'!HP23)</f>
        <v>0</v>
      </c>
      <c r="HT23" s="1184">
        <f t="shared" si="12"/>
        <v>0</v>
      </c>
      <c r="HU23" s="1184" cm="1">
        <f t="array" ref="HU23">INDEX(Tiere!$I$30:$I$114,'Lagerhaltung (freiwillig)'!HP23)</f>
        <v>0</v>
      </c>
      <c r="HV23" s="1184">
        <f t="shared" si="13"/>
        <v>0</v>
      </c>
      <c r="HW23" s="1184" cm="1">
        <f t="array" ref="HW23">INDEX(Tiere!$BC$30:$BC$114,'Lagerhaltung (freiwillig)'!HP23)</f>
        <v>5.7344000000000008</v>
      </c>
      <c r="HX23" s="1184">
        <f t="shared" si="14"/>
        <v>0</v>
      </c>
      <c r="HY23" s="1184" cm="1">
        <f t="array" ref="HY23">INDEX(Tiere!$BD$30:$BD$114,'Lagerhaltung (freiwillig)'!HP23)</f>
        <v>2.6208</v>
      </c>
      <c r="HZ23" s="1184">
        <f t="shared" si="15"/>
        <v>0</v>
      </c>
      <c r="IA23" s="1184"/>
      <c r="IB23" s="1184"/>
      <c r="IC23" s="1184"/>
      <c r="ID23" s="1184"/>
      <c r="IE23" s="1184"/>
      <c r="IF23" s="1184"/>
      <c r="IG23" s="1184"/>
      <c r="IH23" s="1184"/>
      <c r="II23" s="1184"/>
      <c r="IJ23" s="1184"/>
      <c r="IK23" s="1184"/>
      <c r="IL23" s="1184"/>
    </row>
    <row r="24" spans="1:246" ht="15.6" customHeight="1" x14ac:dyDescent="0.2">
      <c r="A24" s="725"/>
      <c r="B24" s="726"/>
      <c r="C24" s="726"/>
      <c r="D24" s="726"/>
      <c r="E24" s="726"/>
      <c r="F24" s="1466" cm="1">
        <f t="array" ref="F24">INDEX(Pflanzen!$I$5:$I$104,BR24)</f>
        <v>0</v>
      </c>
      <c r="G24" s="1467" cm="1">
        <f t="array" ref="G24">INDEX(Pflanzen!$W$5:$W$104,BR24)</f>
        <v>0</v>
      </c>
      <c r="H24" s="1468" cm="1">
        <f t="array" ref="H24">INDEX(Pflanzen!$X$5:$X$104,BR24)</f>
        <v>0</v>
      </c>
      <c r="I24" s="1122"/>
      <c r="J24" s="1303"/>
      <c r="K24" s="1122"/>
      <c r="L24" s="1487"/>
      <c r="M24" s="1491"/>
      <c r="N24" s="1487"/>
      <c r="O24" s="1487"/>
      <c r="P24" s="1292"/>
      <c r="Q24" s="2180"/>
      <c r="R24" s="1487"/>
      <c r="S24" s="1491"/>
      <c r="T24" s="1303"/>
      <c r="U24" s="725"/>
      <c r="V24" s="1346" t="str">
        <f t="shared" si="92"/>
        <v/>
      </c>
      <c r="Y24" s="1554" t="str" cm="1">
        <f t="array" ref="Y24">IFERROR(INDEX($CY$4:$CY$165,AY24),"")</f>
        <v/>
      </c>
      <c r="Z24" s="1555"/>
      <c r="AA24" s="1555"/>
      <c r="AB24" s="1555"/>
      <c r="AC24" s="1454" t="str" cm="1">
        <f t="array" ref="AC24">IFERROR(INDEX($GN$4:$GN$165,AY24),"")</f>
        <v/>
      </c>
      <c r="AD24" s="1454" t="str" cm="1">
        <f t="array" ref="AD24">IFERROR(INDEX($GO$4:$GO$165,AY24),"")</f>
        <v/>
      </c>
      <c r="AE24" s="1454" t="str" cm="1">
        <f t="array" ref="AE24">IFERROR(INDEX($GJ$4:$GJ$165,AY24),"")</f>
        <v/>
      </c>
      <c r="AF24" s="1454" t="str" cm="1">
        <f t="array" ref="AF24">IFERROR(INDEX($GK$4:$GK$165,AY24),"")</f>
        <v/>
      </c>
      <c r="AG24" s="1454" t="str" cm="1">
        <f t="array" ref="AG24">IFERROR(INDEX($GQ$4:$GQ$165,AY24),"")</f>
        <v/>
      </c>
      <c r="AH24" s="1454" t="str" cm="1">
        <f t="array" ref="AH24">IFERROR(INDEX($GR$4:$GR$165,AY24),"")</f>
        <v/>
      </c>
      <c r="AI24" s="1454" t="str" cm="1">
        <f t="array" ref="AI24">IFERROR(INDEX($GH$4:$GH$165,AY24),"")</f>
        <v/>
      </c>
      <c r="AJ24" s="1454" t="str" cm="1">
        <f t="array" ref="AJ24">IFERROR(INDEX($GI$4:$GI$165,AY24),"")</f>
        <v/>
      </c>
      <c r="AK24" s="1454" t="str" cm="1">
        <f t="array" ref="AK24">IFERROR(INDEX($GU$4:$GU$165,AY24),"")</f>
        <v/>
      </c>
      <c r="AL24" s="1455" t="str" cm="1">
        <f t="array" ref="AL24">IFERROR(INDEX($GV$4:$GV$165,AY24),"")</f>
        <v/>
      </c>
      <c r="AM24" s="1454" t="str" cm="1">
        <f t="array" ref="AM24">IFERROR(INDEX($GD$4:$GD$165,AY24),"")</f>
        <v/>
      </c>
      <c r="AN24" s="1454" t="str" cm="1">
        <f t="array" ref="AN24">IFERROR(INDEX($GE$4:$GE$165,AY24),"")</f>
        <v/>
      </c>
      <c r="AO24" s="1454" t="str" cm="1">
        <f t="array" ref="AO24">IFERROR(INDEX($GW$4:$GW$165,AY24),"")</f>
        <v/>
      </c>
      <c r="AP24" s="1454" t="str" cm="1">
        <f t="array" ref="AP24">IFERROR(INDEX($GZ$4:$GZ$165,AY24),"")</f>
        <v/>
      </c>
      <c r="AQ24" s="1457"/>
      <c r="AR24" s="1454" t="str" cm="1">
        <f t="array" ref="AR24">IFERROR(INDEX($HF$4:$HF$165,AY24),"")</f>
        <v/>
      </c>
      <c r="AS24" s="1454" t="str" cm="1">
        <f t="array" ref="AS24">IFERROR(INDEX($HG$4:$HG$165,AY24),"")</f>
        <v/>
      </c>
      <c r="AT24" s="1454" t="str" cm="1">
        <f t="array" ref="AT24">IFERROR(INDEX($HH$4:$HH$165,AY24),"")</f>
        <v/>
      </c>
      <c r="AU24" s="1454" t="str" cm="1">
        <f t="array" ref="AU24">IFERROR(INDEX($GL$4:$GL$165,AY24),"")</f>
        <v/>
      </c>
      <c r="AV24" s="1454" t="str" cm="1">
        <f t="array" ref="AV24">IFERROR(INDEX($GM$4:$GM$165,AY24),"")</f>
        <v/>
      </c>
      <c r="AY24" s="1184" t="str" cm="1">
        <f t="array" ref="AY24">IFERROR(SMALL(IF($HK$4:$HK$165=1,ROW($HK$4:$HK$165)-3),ROW(W12)),IFERROR(SMALL(IF($HK$4:$HK$165=2,ROW($HK$4:$HK$165)-3),ROW(W12)-COUNTIF($HK$4:$HK$165,1)),IFERROR(SMALL(IF($HK$4:$HK$165=0,ROW($HK$4:$HK$165)-3),ROW(W12)-COUNTIF($HK$4:$HK$165,1)-COUNTIF($HK$4:$HK$165,2)),"")))</f>
        <v/>
      </c>
      <c r="AZ24" s="1184" t="str">
        <f t="shared" si="72"/>
        <v>a</v>
      </c>
      <c r="BA24" s="1194" t="e">
        <f t="shared" si="73"/>
        <v>#VALUE!</v>
      </c>
      <c r="BB24" s="1194" cm="1">
        <f t="array" ref="BB24">IFERROR(INDEX($HK$4:$HK$165,AY24),0)</f>
        <v>0</v>
      </c>
      <c r="BC24" s="1194">
        <f t="shared" si="74"/>
        <v>0</v>
      </c>
      <c r="BD24" s="1194"/>
      <c r="BE24" s="1343"/>
      <c r="BF24" s="1343"/>
      <c r="BG24" s="1343"/>
      <c r="BH24" s="1343"/>
      <c r="BI24" s="1343"/>
      <c r="BJ24" s="1343"/>
      <c r="BK24" s="1343"/>
      <c r="BL24" s="1343"/>
      <c r="BM24" s="1343"/>
      <c r="BN24" s="1343"/>
      <c r="BO24" s="1343"/>
      <c r="BQ24" s="1184"/>
      <c r="BR24" s="1184">
        <v>1</v>
      </c>
      <c r="BS24" s="1184"/>
      <c r="BT24" s="1184" t="b">
        <v>0</v>
      </c>
      <c r="BU24" s="1199"/>
      <c r="BV24" s="1199"/>
      <c r="BW24" s="1184">
        <f t="shared" si="75"/>
        <v>12</v>
      </c>
      <c r="BX24" s="1184">
        <f t="shared" si="76"/>
        <v>0</v>
      </c>
      <c r="BY24" s="1184">
        <f t="shared" si="77"/>
        <v>12</v>
      </c>
      <c r="BZ24" s="1184" cm="1">
        <f t="array" ref="BZ24">INDEX(Pflanzen!$AB$5:$AB$114,'Lagerhaltung (freiwillig)'!BR24)</f>
        <v>0</v>
      </c>
      <c r="CA24" s="1184" cm="1">
        <f t="array" ref="CA24">IF(BZ24=1,INDEX(Pflanzen!$AC$5:$AC$114,BR24),N24)</f>
        <v>0</v>
      </c>
      <c r="CB24" s="1184" cm="1">
        <f t="array" ref="CB24">IF(BZ24=1,INDEX(Pflanzen!$AD$5:$AD$114,BR24),O24)</f>
        <v>0</v>
      </c>
      <c r="CC24" s="1184">
        <f t="shared" si="78"/>
        <v>12</v>
      </c>
      <c r="CD24" s="1184">
        <f t="shared" si="79"/>
        <v>0</v>
      </c>
      <c r="CE24" s="1184">
        <f t="shared" si="80"/>
        <v>12</v>
      </c>
      <c r="CF24" s="1184" cm="1">
        <f t="array" ref="CF24">INDEX(Pflanzen!$F$5:$F$114,BR24)</f>
        <v>0</v>
      </c>
      <c r="CG24" s="1184" cm="1">
        <f t="array" ref="CG24">INDEX(Pflanzen!$G$5:$G$114,BR24)</f>
        <v>0</v>
      </c>
      <c r="CH24" s="1184">
        <f t="shared" si="81"/>
        <v>0</v>
      </c>
      <c r="CI24" s="1184">
        <f t="shared" si="93"/>
        <v>0</v>
      </c>
      <c r="CJ24" s="1184">
        <f t="shared" si="94"/>
        <v>0</v>
      </c>
      <c r="CK24" s="1184">
        <f t="shared" si="82"/>
        <v>0</v>
      </c>
      <c r="CL24" s="1184">
        <f t="shared" si="83"/>
        <v>0</v>
      </c>
      <c r="CM24" s="1184">
        <f t="shared" si="84"/>
        <v>0</v>
      </c>
      <c r="CN24" s="1184">
        <f t="shared" si="85"/>
        <v>0</v>
      </c>
      <c r="CO24" s="1184">
        <f t="shared" si="86"/>
        <v>0</v>
      </c>
      <c r="CP24" s="1184">
        <f t="shared" si="87"/>
        <v>0</v>
      </c>
      <c r="CQ24" s="1184">
        <f t="shared" si="88"/>
        <v>0</v>
      </c>
      <c r="CR24" s="1184">
        <f t="shared" si="89"/>
        <v>0</v>
      </c>
      <c r="CS24" s="1184">
        <f t="shared" si="90"/>
        <v>0</v>
      </c>
      <c r="CT24" s="1184">
        <f t="shared" si="91"/>
        <v>0</v>
      </c>
      <c r="CU24" s="1184">
        <f t="shared" si="95"/>
        <v>2</v>
      </c>
      <c r="CV24" s="1184">
        <f t="shared" si="96"/>
        <v>0</v>
      </c>
      <c r="CW24" s="1186">
        <f t="shared" si="97"/>
        <v>0</v>
      </c>
      <c r="CX24" s="1184"/>
      <c r="CY24" s="320" t="str">
        <f>Pflanzen!A20</f>
        <v>Hartweizen (Durum)</v>
      </c>
      <c r="CZ24" s="1200">
        <f>IFERROR(MATCH($CY24,Pflanzen!$C$5:$C$114,0),1)</f>
        <v>16</v>
      </c>
      <c r="DA24" s="320" cm="1">
        <f t="array" ref="DA24">INDEX(Pflanzen!$H$5:$H$114,'Lagerhaltung (freiwillig)'!CZ24)</f>
        <v>2</v>
      </c>
      <c r="DB24" s="1200">
        <f t="shared" si="98"/>
        <v>0</v>
      </c>
      <c r="DC24" s="1200">
        <f t="shared" si="98"/>
        <v>0</v>
      </c>
      <c r="DD24" s="1200">
        <f t="shared" si="98"/>
        <v>0</v>
      </c>
      <c r="DE24" s="1200">
        <f t="shared" si="98"/>
        <v>0</v>
      </c>
      <c r="DF24" s="1200">
        <f t="shared" si="98"/>
        <v>0</v>
      </c>
      <c r="DG24" s="1184">
        <f t="shared" si="98"/>
        <v>0</v>
      </c>
      <c r="DH24" s="1184">
        <f t="shared" si="98"/>
        <v>0</v>
      </c>
      <c r="DI24" s="1184">
        <f t="shared" si="98"/>
        <v>0</v>
      </c>
      <c r="DJ24" s="1184">
        <f t="shared" si="98"/>
        <v>0</v>
      </c>
      <c r="DK24" s="1184">
        <f t="shared" si="98"/>
        <v>0</v>
      </c>
      <c r="DL24" s="1184">
        <f t="shared" si="98"/>
        <v>0</v>
      </c>
      <c r="DM24" s="1184">
        <f t="shared" si="98"/>
        <v>0</v>
      </c>
      <c r="DN24" s="1184"/>
      <c r="DO24" s="1184">
        <f t="shared" si="99"/>
        <v>0</v>
      </c>
      <c r="DP24" s="1184">
        <f t="shared" si="99"/>
        <v>0</v>
      </c>
      <c r="DQ24" s="1184">
        <f t="shared" si="99"/>
        <v>0</v>
      </c>
      <c r="DR24" s="1184">
        <f t="shared" si="99"/>
        <v>0</v>
      </c>
      <c r="DS24" s="1184">
        <f t="shared" si="99"/>
        <v>0</v>
      </c>
      <c r="DT24" s="1184">
        <f t="shared" si="99"/>
        <v>0</v>
      </c>
      <c r="DU24" s="1184">
        <f t="shared" si="99"/>
        <v>0</v>
      </c>
      <c r="DV24" s="1184">
        <f t="shared" si="99"/>
        <v>0</v>
      </c>
      <c r="DW24" s="1184">
        <f t="shared" si="99"/>
        <v>0</v>
      </c>
      <c r="DX24" s="1184">
        <f t="shared" si="99"/>
        <v>0</v>
      </c>
      <c r="DY24" s="1184">
        <f t="shared" si="99"/>
        <v>0</v>
      </c>
      <c r="DZ24" s="1184">
        <f t="shared" si="99"/>
        <v>0</v>
      </c>
      <c r="EA24" s="1184"/>
      <c r="EB24" s="1184">
        <f t="shared" si="100"/>
        <v>0</v>
      </c>
      <c r="EC24" s="1184">
        <f t="shared" si="100"/>
        <v>0</v>
      </c>
      <c r="ED24" s="1184">
        <f t="shared" si="100"/>
        <v>0</v>
      </c>
      <c r="EE24" s="1184">
        <f t="shared" si="100"/>
        <v>0</v>
      </c>
      <c r="EF24" s="1184">
        <f t="shared" si="100"/>
        <v>0</v>
      </c>
      <c r="EG24" s="1184">
        <f t="shared" si="100"/>
        <v>0</v>
      </c>
      <c r="EH24" s="1184">
        <f t="shared" si="100"/>
        <v>0</v>
      </c>
      <c r="EI24" s="1184">
        <f t="shared" si="100"/>
        <v>0</v>
      </c>
      <c r="EJ24" s="1184">
        <f t="shared" si="100"/>
        <v>0</v>
      </c>
      <c r="EK24" s="1184">
        <f t="shared" si="100"/>
        <v>0</v>
      </c>
      <c r="EL24" s="1184">
        <f t="shared" si="100"/>
        <v>0</v>
      </c>
      <c r="EM24" s="1184">
        <f t="shared" si="100"/>
        <v>0</v>
      </c>
      <c r="EN24" s="1184"/>
      <c r="EO24" s="1184">
        <f t="shared" si="101"/>
        <v>0</v>
      </c>
      <c r="EP24" s="1184">
        <f t="shared" si="101"/>
        <v>0</v>
      </c>
      <c r="EQ24" s="1184">
        <f t="shared" si="101"/>
        <v>0</v>
      </c>
      <c r="ER24" s="1184">
        <f t="shared" si="101"/>
        <v>0</v>
      </c>
      <c r="ES24" s="1184">
        <f t="shared" si="101"/>
        <v>0</v>
      </c>
      <c r="ET24" s="1184">
        <f t="shared" si="101"/>
        <v>0</v>
      </c>
      <c r="EU24" s="1184">
        <f t="shared" si="101"/>
        <v>0</v>
      </c>
      <c r="EV24" s="1184">
        <f t="shared" si="101"/>
        <v>0</v>
      </c>
      <c r="EW24" s="1184">
        <f t="shared" si="101"/>
        <v>0</v>
      </c>
      <c r="EX24" s="1184">
        <f t="shared" si="101"/>
        <v>0</v>
      </c>
      <c r="EY24" s="1184">
        <f t="shared" si="101"/>
        <v>0</v>
      </c>
      <c r="EZ24" s="1184">
        <f t="shared" si="101"/>
        <v>0</v>
      </c>
      <c r="FA24" s="1184"/>
      <c r="FB24" s="1186">
        <f t="shared" si="51"/>
        <v>0</v>
      </c>
      <c r="FC24" s="1184">
        <f>FB24+DB24+EB24                 -         SUMIF('Nährstoffe und Lagerraum'!$AX$113:$AX$155,$CZ24,'Nährstoffe und Lagerraum'!$U$113:$U$155)/12  -$GD24*$HE24/12</f>
        <v>0</v>
      </c>
      <c r="FD24" s="1184">
        <f>FC24+DC24+EC24                 -         SUMIF('Nährstoffe und Lagerraum'!$AX$113:$AX$155,$CZ24,'Nährstoffe und Lagerraum'!$U$113:$U$155)/12  -$GD24*$HE24/12</f>
        <v>0</v>
      </c>
      <c r="FE24" s="1184">
        <f>FD24+DD24+ED24                 -         SUMIF('Nährstoffe und Lagerraum'!$AX$113:$AX$155,$CZ24,'Nährstoffe und Lagerraum'!$U$113:$U$155)/12  -$GD24*$HE24/12</f>
        <v>0</v>
      </c>
      <c r="FF24" s="1184">
        <f>FE24+DE24+EE24                 -         SUMIF('Nährstoffe und Lagerraum'!$AX$113:$AX$155,$CZ24,'Nährstoffe und Lagerraum'!$U$113:$U$155)/12  -$GD24*$HE24/12</f>
        <v>0</v>
      </c>
      <c r="FG24" s="1184">
        <f>FF24+DF24+EF24                 -         SUMIF('Nährstoffe und Lagerraum'!$AX$113:$AX$155,$CZ24,'Nährstoffe und Lagerraum'!$U$113:$U$155)/12  -$GD24*$HE24/12</f>
        <v>0</v>
      </c>
      <c r="FH24" s="1184">
        <f>FG24+DG24+EG24                 -         SUMIF('Nährstoffe und Lagerraum'!$AX$113:$AX$155,$CZ24,'Nährstoffe und Lagerraum'!$U$113:$U$155)/12  -$GD24*$HE24/12</f>
        <v>0</v>
      </c>
      <c r="FI24" s="1184">
        <f>FH24+DH24+EH24                 -         SUMIF('Nährstoffe und Lagerraum'!$AX$113:$AX$155,$CZ24,'Nährstoffe und Lagerraum'!$U$113:$U$155)/12  -$GD24*$HE24/12</f>
        <v>0</v>
      </c>
      <c r="FJ24" s="1184">
        <f>FI24+DI24+EI24                 -         SUMIF('Nährstoffe und Lagerraum'!$AX$113:$AX$155,$CZ24,'Nährstoffe und Lagerraum'!$U$113:$U$155)/12  -$GD24*$HE24/12</f>
        <v>0</v>
      </c>
      <c r="FK24" s="1184">
        <f>FJ24+DJ24+EJ24                 -         SUMIF('Nährstoffe und Lagerraum'!$AX$113:$AX$155,$CZ24,'Nährstoffe und Lagerraum'!$U$113:$U$155)/12  -$GD24*$HE24/12</f>
        <v>0</v>
      </c>
      <c r="FL24" s="1184">
        <f>FK24+DK24+EK24                 -         SUMIF('Nährstoffe und Lagerraum'!$AX$113:$AX$155,$CZ24,'Nährstoffe und Lagerraum'!$U$113:$U$155)/12  -$GD24*$HE24/12</f>
        <v>0</v>
      </c>
      <c r="FM24" s="1184">
        <f>FL24+DL24+EL24                 -         SUMIF('Nährstoffe und Lagerraum'!$AX$113:$AX$155,$CZ24,'Nährstoffe und Lagerraum'!$U$113:$U$155)/12  -$GD24*$HE24/12</f>
        <v>0</v>
      </c>
      <c r="FN24" s="1184">
        <f>FM24+DM24+EM24                 -         SUMIF('Nährstoffe und Lagerraum'!$AX$113:$AX$155,$CZ24,'Nährstoffe und Lagerraum'!$U$113:$U$155)/12  -$GD24*$HE24/12</f>
        <v>0</v>
      </c>
      <c r="FO24" s="1184"/>
      <c r="FP24" s="1186">
        <f t="shared" si="52"/>
        <v>0</v>
      </c>
      <c r="FQ24" s="1184">
        <f>FP24+DO24+EO24                 -         SUMIF('Nährstoffe und Lagerraum'!$AX$113:$AX$155,$CZ24,'Nährstoffe und Lagerraum'!$V$113:$V$155)/12  -$GE24*$HE24/12</f>
        <v>0</v>
      </c>
      <c r="FR24" s="1184">
        <f>FQ24+DP24+EP24                 -         SUMIF('Nährstoffe und Lagerraum'!$AX$113:$AX$155,$CZ24,'Nährstoffe und Lagerraum'!$V$113:$V$155)/12  -$GE24*$HE24/12</f>
        <v>0</v>
      </c>
      <c r="FS24" s="1184">
        <f>FR24+DQ24+EQ24                 -         SUMIF('Nährstoffe und Lagerraum'!$AX$113:$AX$155,$CZ24,'Nährstoffe und Lagerraum'!$V$113:$V$155)/12  -$GE24*$HE24/12</f>
        <v>0</v>
      </c>
      <c r="FT24" s="1184">
        <f>FS24+DR24+ER24                 -         SUMIF('Nährstoffe und Lagerraum'!$AX$113:$AX$155,$CZ24,'Nährstoffe und Lagerraum'!$V$113:$V$155)/12  -$GE24*$HE24/12</f>
        <v>0</v>
      </c>
      <c r="FU24" s="1184">
        <f>FT24+DS24+ES24                 -         SUMIF('Nährstoffe und Lagerraum'!$AX$113:$AX$155,$CZ24,'Nährstoffe und Lagerraum'!$V$113:$V$155)/12  -$GE24*$HE24/12</f>
        <v>0</v>
      </c>
      <c r="FV24" s="1184">
        <f>FU24+DT24+ET24                 -         SUMIF('Nährstoffe und Lagerraum'!$AX$113:$AX$155,$CZ24,'Nährstoffe und Lagerraum'!$V$113:$V$155)/12  -$GE24*$HE24/12</f>
        <v>0</v>
      </c>
      <c r="FW24" s="1184">
        <f>FV24+DU24+EU24                 -         SUMIF('Nährstoffe und Lagerraum'!$AX$113:$AX$155,$CZ24,'Nährstoffe und Lagerraum'!$V$113:$V$155)/12  -$GE24*$HE24/12</f>
        <v>0</v>
      </c>
      <c r="FX24" s="1184">
        <f>FW24+DV24+EV24                 -         SUMIF('Nährstoffe und Lagerraum'!$AX$113:$AX$155,$CZ24,'Nährstoffe und Lagerraum'!$V$113:$V$155)/12  -$GE24*$HE24/12</f>
        <v>0</v>
      </c>
      <c r="FY24" s="1184">
        <f>FX24+DW24+EW24                 -         SUMIF('Nährstoffe und Lagerraum'!$AX$113:$AX$155,$CZ24,'Nährstoffe und Lagerraum'!$V$113:$V$155)/12  -$GE24*$HE24/12</f>
        <v>0</v>
      </c>
      <c r="FZ24" s="1184">
        <f>FY24+DX24+EX24                 -         SUMIF('Nährstoffe und Lagerraum'!$AX$113:$AX$155,$CZ24,'Nährstoffe und Lagerraum'!$V$113:$V$155)/12  -$GE24*$HE24/12</f>
        <v>0</v>
      </c>
      <c r="GA24" s="1184">
        <f>FZ24+DY24+EY24                 -         SUMIF('Nährstoffe und Lagerraum'!$AX$113:$AX$155,$CZ24,'Nährstoffe und Lagerraum'!$V$113:$V$155)/12  -$GE24*$HE24/12</f>
        <v>0</v>
      </c>
      <c r="GB24" s="1184">
        <f>GA24+DZ24+EZ24                 -         SUMIF('Nährstoffe und Lagerraum'!$AX$113:$AX$155,$CZ24,'Nährstoffe und Lagerraum'!$V$113:$V$155)/12  -$GE24*$HE24/12</f>
        <v>0</v>
      </c>
      <c r="GC24" s="1184"/>
      <c r="GD24" s="1184">
        <f>SUMIFS($CI$14:$CI$68,$BR$14:$BR$68,$CZ24)+SUMIFS($CM$14:$CM$68,$BR$14:$BR$68,$CZ24)+SUMIFS($CR$14:$CR$68,$BR$14:$BR$68,$CZ24)  -         SUMIF('Nährstoffe und Lagerraum'!$AX$113:$AX$155,$CZ24,'Nährstoffe und Lagerraum'!$U$113:$U$155)</f>
        <v>0</v>
      </c>
      <c r="GE24" s="1184">
        <f>SUMIFS($CJ$14:$CJ$68,$BR$14:$BR$68,$CZ24)+SUMIFS($CO$14:$CO$68,$BR$14:$BR$68,$CZ24)+SUMIFS($CT$14:$CT$68,$BR$14:$BR$68,$CZ24)  -         SUMIF('Nährstoffe und Lagerraum'!$AX$113:$AX$155,$CZ24,'Nährstoffe und Lagerraum'!$V$113:$V$155)</f>
        <v>0</v>
      </c>
      <c r="GF24" s="1184"/>
      <c r="GG24" s="1184"/>
      <c r="GH24" s="1184">
        <f>SUMIF('Nährstoffe und Lagerraum'!$AX$113:$AX$155,$CZ24,'Nährstoffe und Lagerraum'!$U$113:$U$155)</f>
        <v>0</v>
      </c>
      <c r="GI24" s="1184">
        <f>SUMIF('Nährstoffe und Lagerraum'!$AX$113:$AX$155,$CZ24,'Nährstoffe und Lagerraum'!$V$113:$V$155)</f>
        <v>0</v>
      </c>
      <c r="GJ24" s="1184">
        <f t="shared" si="53"/>
        <v>0</v>
      </c>
      <c r="GK24" s="1184">
        <f t="shared" si="54"/>
        <v>0</v>
      </c>
      <c r="GL24" s="1184">
        <f t="shared" si="55"/>
        <v>0</v>
      </c>
      <c r="GM24" s="1184">
        <f t="shared" si="56"/>
        <v>0</v>
      </c>
      <c r="GN24" s="1184">
        <f t="shared" si="57"/>
        <v>0</v>
      </c>
      <c r="GO24" s="1184" cm="1">
        <f t="array" ref="GO24">IF(GN24=0,0,(IFERROR(SUMPRODUCT($J$14:$J$68,$CH$14:$CH$68,($BR$14:$BR$68=CZ24)*1)+SUMPRODUCT($L$14:$L$68,$M$14:$M$68,$CK$14:$CK$68,($BR$14:$BR$68=CZ24)*1,($BT$14:$BT$68=FALSE)*1)/10+SUMPRODUCT($R$14:$R$68,$CP$14:$CP$68,($BR$14:$BR$68=CZ24)*1),0))/GN24)</f>
        <v>0</v>
      </c>
      <c r="GP24" s="1184">
        <f t="shared" si="58"/>
        <v>0</v>
      </c>
      <c r="GQ24" s="1184">
        <f>(SUMIF('Nährstoffe und Lagerraum'!$AX$113:$AX$130,'Lagerhaltung (freiwillig)'!CZ24,'Nährstoffe und Lagerraum'!$D$113:$D$130)+SUMIF('Nährstoffe und Lagerraum'!$AX$137:$AX$155,'Lagerhaltung (freiwillig)'!CZ24,'Nährstoffe und Lagerraum'!$E$137:$E$155))</f>
        <v>0</v>
      </c>
      <c r="GR24" s="1184" cm="1">
        <f t="array" ref="GR24">IF(GQ24=0,0,(IFERROR(SUMPRODUCT('Nährstoffe und Lagerraum'!$D$113:$D$130,'Nährstoffe und Lagerraum'!$F$113:$F$130,('Nährstoffe und Lagerraum'!$AX$113:$AX$130='Lagerhaltung (freiwillig)'!CZ24)*1)+SUMPRODUCT('Nährstoffe und Lagerraum'!$E$137:$E$155,'Nährstoffe und Lagerraum'!$F$137:$F$155,('Nährstoffe und Lagerraum'!$AX$137:$AX$155='Lagerhaltung (freiwillig)'!CZ24)*1),0))/GQ24)</f>
        <v>0</v>
      </c>
      <c r="GS24" s="1184">
        <f t="shared" si="59"/>
        <v>0</v>
      </c>
      <c r="GT24" s="1184">
        <f t="shared" si="60"/>
        <v>0</v>
      </c>
      <c r="GU24" s="1184">
        <f t="shared" si="61"/>
        <v>0</v>
      </c>
      <c r="GV24" s="1184">
        <f t="shared" si="62"/>
        <v>0</v>
      </c>
      <c r="GW24" s="1186" t="str">
        <f t="shared" si="41"/>
        <v xml:space="preserve"> </v>
      </c>
      <c r="GX24" s="1186" t="str">
        <f t="shared" si="41"/>
        <v xml:space="preserve"> </v>
      </c>
      <c r="GY24" s="1195">
        <f t="shared" si="63"/>
        <v>0</v>
      </c>
      <c r="GZ24" s="1184">
        <f t="shared" si="64"/>
        <v>0</v>
      </c>
      <c r="HA24" s="1184" t="str">
        <f t="shared" si="44"/>
        <v>a</v>
      </c>
      <c r="HB24" s="1196">
        <f t="shared" si="65"/>
        <v>0</v>
      </c>
      <c r="HC24" s="1196">
        <f t="shared" si="66"/>
        <v>0</v>
      </c>
      <c r="HD24" s="1196"/>
      <c r="HE24" s="1187">
        <f t="shared" si="67"/>
        <v>0</v>
      </c>
      <c r="HF24" s="1196">
        <f t="shared" si="68"/>
        <v>0</v>
      </c>
      <c r="HG24" s="1196">
        <f t="shared" si="69"/>
        <v>0</v>
      </c>
      <c r="HH24" s="1196">
        <f t="shared" si="70"/>
        <v>0</v>
      </c>
      <c r="HI24" s="1328" cm="1">
        <f t="array" ref="HI24">IF(AND(HG24=0,GL24=0),0,IF(HG24=0,1,IF(OR(GL24*1000/HG24/HH24&gt;INDEX(Pflanzen!$W$5:$W$104,CZ24)/INDEX(Pflanzen!$I$5:$I$104,CZ24)*$HI$1,GL24*1000/HG24/HH24&lt;INDEX(Pflanzen!$W$5:$W$104,CZ24)/INDEX(Pflanzen!$I$5:$I$104,CZ24)/$HI$1),1,0)))</f>
        <v>0</v>
      </c>
      <c r="HJ24" s="1328" cm="1">
        <f t="array" ref="HJ24">IF(AND(GM24=0,HG24=0),0,IF(HG24=0,1,IF(OR(GM24*1000/HG24/HH24&gt;INDEX(Pflanzen!$X$5:$X$104,CZ24)/INDEX(Pflanzen!$I$5:$I$104,CZ24)*$HI$1,GM24*1000/HG24/HH24&lt;INDEX(Pflanzen!$X$5:$X$104,CZ24)/INDEX(Pflanzen!$I$5:$I$104,CZ24)/$HI$1),1,0)))</f>
        <v>0</v>
      </c>
      <c r="HK24" s="1184">
        <f t="shared" si="71"/>
        <v>3</v>
      </c>
      <c r="HL24" s="1184"/>
      <c r="HN24" s="1184"/>
      <c r="HO24" s="1193" t="str">
        <f>Tiere!B50</f>
        <v>Zuchtsauen mit 25 Ferkel bis 28 kg, Standard</v>
      </c>
      <c r="HP24" s="1184">
        <v>21</v>
      </c>
      <c r="HQ24" s="1194">
        <f>SUMIF('Nährstoffe und Lagerraum'!$BM$68:$BM$87,'Lagerhaltung (freiwillig)'!HP24,'Nährstoffe und Lagerraum'!$Z$68:$Z$87)+SUMIF('Nährstoffe und Lagerraum'!$BM$68:$BM$87,'Lagerhaltung (freiwillig)'!HP24,'Nährstoffe und Lagerraum'!$AA$68:$AA$87)</f>
        <v>0</v>
      </c>
      <c r="HR24" s="1184" cm="1">
        <f t="array" ref="HR24">INDEX(Tiere!$C$30:$C$114,'Lagerhaltung (freiwillig)'!HP24)</f>
        <v>2</v>
      </c>
      <c r="HS24" s="1184" cm="1">
        <f t="array" ref="HS24">INDEX(Tiere!$H$30:$H$114,'Lagerhaltung (freiwillig)'!HP24)</f>
        <v>0</v>
      </c>
      <c r="HT24" s="1184">
        <f t="shared" si="12"/>
        <v>0</v>
      </c>
      <c r="HU24" s="1184" cm="1">
        <f t="array" ref="HU24">INDEX(Tiere!$I$30:$I$114,'Lagerhaltung (freiwillig)'!HP24)</f>
        <v>0</v>
      </c>
      <c r="HV24" s="1184">
        <f t="shared" si="13"/>
        <v>0</v>
      </c>
      <c r="HW24" s="1184" cm="1">
        <f t="array" ref="HW24">INDEX(Tiere!$BC$30:$BC$114,'Lagerhaltung (freiwillig)'!HP24)</f>
        <v>17.920000000000002</v>
      </c>
      <c r="HX24" s="1184">
        <f t="shared" si="14"/>
        <v>0</v>
      </c>
      <c r="HY24" s="1184" cm="1">
        <f t="array" ref="HY24">INDEX(Tiere!$BD$30:$BD$114,'Lagerhaltung (freiwillig)'!HP24)</f>
        <v>8.19</v>
      </c>
      <c r="HZ24" s="1184">
        <f t="shared" si="15"/>
        <v>0</v>
      </c>
      <c r="IA24" s="1184"/>
      <c r="IB24" s="1184"/>
      <c r="IC24" s="1184"/>
      <c r="ID24" s="1184"/>
      <c r="IE24" s="1184"/>
      <c r="IF24" s="1184"/>
      <c r="IG24" s="1184"/>
      <c r="IH24" s="1184"/>
      <c r="II24" s="1184"/>
      <c r="IJ24" s="1184"/>
      <c r="IK24" s="1184"/>
      <c r="IL24" s="1184"/>
    </row>
    <row r="25" spans="1:246" ht="15.6" customHeight="1" x14ac:dyDescent="0.2">
      <c r="A25" s="725"/>
      <c r="B25" s="726"/>
      <c r="C25" s="726"/>
      <c r="D25" s="726"/>
      <c r="E25" s="726"/>
      <c r="F25" s="1466" cm="1">
        <f t="array" ref="F25">INDEX(Pflanzen!$I$5:$I$104,BR25)</f>
        <v>0</v>
      </c>
      <c r="G25" s="1467" cm="1">
        <f t="array" ref="G25">INDEX(Pflanzen!$W$5:$W$104,BR25)</f>
        <v>0</v>
      </c>
      <c r="H25" s="1468" cm="1">
        <f t="array" ref="H25">INDEX(Pflanzen!$X$5:$X$104,BR25)</f>
        <v>0</v>
      </c>
      <c r="I25" s="1122"/>
      <c r="J25" s="1303"/>
      <c r="K25" s="1122"/>
      <c r="L25" s="1487"/>
      <c r="M25" s="1491"/>
      <c r="N25" s="1487"/>
      <c r="O25" s="1487"/>
      <c r="P25" s="1292"/>
      <c r="Q25" s="2180"/>
      <c r="R25" s="1487"/>
      <c r="S25" s="1491"/>
      <c r="T25" s="1303"/>
      <c r="U25" s="725"/>
      <c r="V25" s="1346" t="str">
        <f t="shared" si="92"/>
        <v/>
      </c>
      <c r="Y25" s="1554" t="str" cm="1">
        <f t="array" ref="Y25">IFERROR(INDEX($CY$4:$CY$165,AY25),"")</f>
        <v/>
      </c>
      <c r="Z25" s="1555"/>
      <c r="AA25" s="1555"/>
      <c r="AB25" s="1555"/>
      <c r="AC25" s="1454" t="str" cm="1">
        <f t="array" ref="AC25">IFERROR(INDEX($GN$4:$GN$165,AY25),"")</f>
        <v/>
      </c>
      <c r="AD25" s="1454" t="str" cm="1">
        <f t="array" ref="AD25">IFERROR(INDEX($GO$4:$GO$165,AY25),"")</f>
        <v/>
      </c>
      <c r="AE25" s="1454" t="str" cm="1">
        <f t="array" ref="AE25">IFERROR(INDEX($GJ$4:$GJ$165,AY25),"")</f>
        <v/>
      </c>
      <c r="AF25" s="1454" t="str" cm="1">
        <f t="array" ref="AF25">IFERROR(INDEX($GK$4:$GK$165,AY25),"")</f>
        <v/>
      </c>
      <c r="AG25" s="1454" t="str" cm="1">
        <f t="array" ref="AG25">IFERROR(INDEX($GQ$4:$GQ$165,AY25),"")</f>
        <v/>
      </c>
      <c r="AH25" s="1454" t="str" cm="1">
        <f t="array" ref="AH25">IFERROR(INDEX($GR$4:$GR$165,AY25),"")</f>
        <v/>
      </c>
      <c r="AI25" s="1454" t="str" cm="1">
        <f t="array" ref="AI25">IFERROR(INDEX($GH$4:$GH$165,AY25),"")</f>
        <v/>
      </c>
      <c r="AJ25" s="1454" t="str" cm="1">
        <f t="array" ref="AJ25">IFERROR(INDEX($GI$4:$GI$165,AY25),"")</f>
        <v/>
      </c>
      <c r="AK25" s="1454" t="str" cm="1">
        <f t="array" ref="AK25">IFERROR(INDEX($GU$4:$GU$165,AY25),"")</f>
        <v/>
      </c>
      <c r="AL25" s="1455" t="str" cm="1">
        <f t="array" ref="AL25">IFERROR(INDEX($GV$4:$GV$165,AY25),"")</f>
        <v/>
      </c>
      <c r="AM25" s="1454" t="str" cm="1">
        <f t="array" ref="AM25">IFERROR(INDEX($GD$4:$GD$165,AY25),"")</f>
        <v/>
      </c>
      <c r="AN25" s="1454" t="str" cm="1">
        <f t="array" ref="AN25">IFERROR(INDEX($GE$4:$GE$165,AY25),"")</f>
        <v/>
      </c>
      <c r="AO25" s="1454" t="str" cm="1">
        <f t="array" ref="AO25">IFERROR(INDEX($GW$4:$GW$165,AY25),"")</f>
        <v/>
      </c>
      <c r="AP25" s="1454" t="str" cm="1">
        <f t="array" ref="AP25">IFERROR(INDEX($GZ$4:$GZ$165,AY25),"")</f>
        <v/>
      </c>
      <c r="AQ25" s="1457"/>
      <c r="AR25" s="1454" t="str" cm="1">
        <f t="array" ref="AR25">IFERROR(INDEX($HF$4:$HF$165,AY25),"")</f>
        <v/>
      </c>
      <c r="AS25" s="1454" t="str" cm="1">
        <f t="array" ref="AS25">IFERROR(INDEX($HG$4:$HG$165,AY25),"")</f>
        <v/>
      </c>
      <c r="AT25" s="1454" t="str" cm="1">
        <f t="array" ref="AT25">IFERROR(INDEX($HH$4:$HH$165,AY25),"")</f>
        <v/>
      </c>
      <c r="AU25" s="1454" t="str" cm="1">
        <f t="array" ref="AU25">IFERROR(INDEX($GL$4:$GL$165,AY25),"")</f>
        <v/>
      </c>
      <c r="AV25" s="1454" t="str" cm="1">
        <f t="array" ref="AV25">IFERROR(INDEX($GM$4:$GM$165,AY25),"")</f>
        <v/>
      </c>
      <c r="AY25" s="1184" t="str" cm="1">
        <f t="array" ref="AY25">IFERROR(SMALL(IF($HK$4:$HK$165=1,ROW($HK$4:$HK$165)-3),ROW(W13)),IFERROR(SMALL(IF($HK$4:$HK$165=2,ROW($HK$4:$HK$165)-3),ROW(W13)-COUNTIF($HK$4:$HK$165,1)),IFERROR(SMALL(IF($HK$4:$HK$165=0,ROW($HK$4:$HK$165)-3),ROW(W13)-COUNTIF($HK$4:$HK$165,1)-COUNTIF($HK$4:$HK$165,2)),"")))</f>
        <v/>
      </c>
      <c r="AZ25" s="1184" t="str">
        <f t="shared" si="72"/>
        <v>a</v>
      </c>
      <c r="BA25" s="1194" t="e">
        <f t="shared" si="73"/>
        <v>#VALUE!</v>
      </c>
      <c r="BB25" s="1194" cm="1">
        <f t="array" ref="BB25">IFERROR(INDEX($HK$4:$HK$165,AY25),0)</f>
        <v>0</v>
      </c>
      <c r="BC25" s="1194">
        <f t="shared" si="74"/>
        <v>0</v>
      </c>
      <c r="BD25" s="1194"/>
      <c r="BE25" s="1343"/>
      <c r="BF25" s="1343"/>
      <c r="BG25" s="1343"/>
      <c r="BH25" s="1343"/>
      <c r="BI25" s="1343"/>
      <c r="BJ25" s="1343"/>
      <c r="BK25" s="1343"/>
      <c r="BL25" s="1343"/>
      <c r="BM25" s="1343"/>
      <c r="BN25" s="1343"/>
      <c r="BO25" s="1343"/>
      <c r="BQ25" s="1184"/>
      <c r="BR25" s="1184">
        <v>1</v>
      </c>
      <c r="BS25" s="1184"/>
      <c r="BT25" s="1184" t="b">
        <v>0</v>
      </c>
      <c r="BU25" s="1199"/>
      <c r="BV25" s="1199"/>
      <c r="BW25" s="1184">
        <f t="shared" si="75"/>
        <v>12</v>
      </c>
      <c r="BX25" s="1184">
        <f t="shared" si="76"/>
        <v>0</v>
      </c>
      <c r="BY25" s="1184">
        <f t="shared" si="77"/>
        <v>12</v>
      </c>
      <c r="BZ25" s="1184" cm="1">
        <f t="array" ref="BZ25">INDEX(Pflanzen!$AB$5:$AB$114,'Lagerhaltung (freiwillig)'!BR25)</f>
        <v>0</v>
      </c>
      <c r="CA25" s="1184" cm="1">
        <f t="array" ref="CA25">IF(BZ25=1,INDEX(Pflanzen!$AC$5:$AC$114,BR25),N25)</f>
        <v>0</v>
      </c>
      <c r="CB25" s="1184" cm="1">
        <f t="array" ref="CB25">IF(BZ25=1,INDEX(Pflanzen!$AD$5:$AD$114,BR25),O25)</f>
        <v>0</v>
      </c>
      <c r="CC25" s="1184">
        <f t="shared" si="78"/>
        <v>12</v>
      </c>
      <c r="CD25" s="1184">
        <f t="shared" si="79"/>
        <v>0</v>
      </c>
      <c r="CE25" s="1184">
        <f t="shared" si="80"/>
        <v>12</v>
      </c>
      <c r="CF25" s="1184" cm="1">
        <f t="array" ref="CF25">INDEX(Pflanzen!$F$5:$F$114,BR25)</f>
        <v>0</v>
      </c>
      <c r="CG25" s="1184" cm="1">
        <f t="array" ref="CG25">INDEX(Pflanzen!$G$5:$G$114,BR25)</f>
        <v>0</v>
      </c>
      <c r="CH25" s="1184">
        <f t="shared" si="81"/>
        <v>0</v>
      </c>
      <c r="CI25" s="1184">
        <f t="shared" si="93"/>
        <v>0</v>
      </c>
      <c r="CJ25" s="1184">
        <f t="shared" si="94"/>
        <v>0</v>
      </c>
      <c r="CK25" s="1184">
        <f t="shared" si="82"/>
        <v>0</v>
      </c>
      <c r="CL25" s="1184">
        <f t="shared" si="83"/>
        <v>0</v>
      </c>
      <c r="CM25" s="1184">
        <f t="shared" si="84"/>
        <v>0</v>
      </c>
      <c r="CN25" s="1184">
        <f t="shared" si="85"/>
        <v>0</v>
      </c>
      <c r="CO25" s="1184">
        <f t="shared" si="86"/>
        <v>0</v>
      </c>
      <c r="CP25" s="1184">
        <f t="shared" si="87"/>
        <v>0</v>
      </c>
      <c r="CQ25" s="1184">
        <f t="shared" si="88"/>
        <v>0</v>
      </c>
      <c r="CR25" s="1184">
        <f t="shared" si="89"/>
        <v>0</v>
      </c>
      <c r="CS25" s="1184">
        <f t="shared" si="90"/>
        <v>0</v>
      </c>
      <c r="CT25" s="1184">
        <f t="shared" si="91"/>
        <v>0</v>
      </c>
      <c r="CU25" s="1184">
        <f t="shared" si="95"/>
        <v>2</v>
      </c>
      <c r="CV25" s="1184">
        <f t="shared" si="96"/>
        <v>0</v>
      </c>
      <c r="CW25" s="1186">
        <f t="shared" si="97"/>
        <v>0</v>
      </c>
      <c r="CX25" s="1184"/>
      <c r="CY25" s="320" t="str">
        <f>Pflanzen!A21</f>
        <v xml:space="preserve"> +++Körnermais+++</v>
      </c>
      <c r="CZ25" s="1200">
        <f>IFERROR(MATCH($CY25,Pflanzen!$C$5:$C$114,0),1)</f>
        <v>17</v>
      </c>
      <c r="DA25" s="320" cm="1">
        <f t="array" ref="DA25">INDEX(Pflanzen!$H$5:$H$114,'Lagerhaltung (freiwillig)'!CZ25)</f>
        <v>0</v>
      </c>
      <c r="DB25" s="1200">
        <f t="shared" si="98"/>
        <v>0</v>
      </c>
      <c r="DC25" s="1200">
        <f t="shared" si="98"/>
        <v>0</v>
      </c>
      <c r="DD25" s="1200">
        <f t="shared" si="98"/>
        <v>0</v>
      </c>
      <c r="DE25" s="1200">
        <f t="shared" si="98"/>
        <v>0</v>
      </c>
      <c r="DF25" s="1200">
        <f t="shared" si="98"/>
        <v>0</v>
      </c>
      <c r="DG25" s="1184">
        <f t="shared" si="98"/>
        <v>0</v>
      </c>
      <c r="DH25" s="1184">
        <f t="shared" si="98"/>
        <v>0</v>
      </c>
      <c r="DI25" s="1184">
        <f t="shared" si="98"/>
        <v>0</v>
      </c>
      <c r="DJ25" s="1184">
        <f t="shared" si="98"/>
        <v>0</v>
      </c>
      <c r="DK25" s="1184">
        <f t="shared" si="98"/>
        <v>0</v>
      </c>
      <c r="DL25" s="1184">
        <f t="shared" si="98"/>
        <v>0</v>
      </c>
      <c r="DM25" s="1184">
        <f t="shared" si="98"/>
        <v>0</v>
      </c>
      <c r="DN25" s="1184"/>
      <c r="DO25" s="1184">
        <f t="shared" si="99"/>
        <v>0</v>
      </c>
      <c r="DP25" s="1184">
        <f t="shared" si="99"/>
        <v>0</v>
      </c>
      <c r="DQ25" s="1184">
        <f t="shared" si="99"/>
        <v>0</v>
      </c>
      <c r="DR25" s="1184">
        <f t="shared" si="99"/>
        <v>0</v>
      </c>
      <c r="DS25" s="1184">
        <f t="shared" si="99"/>
        <v>0</v>
      </c>
      <c r="DT25" s="1184">
        <f t="shared" si="99"/>
        <v>0</v>
      </c>
      <c r="DU25" s="1184">
        <f t="shared" si="99"/>
        <v>0</v>
      </c>
      <c r="DV25" s="1184">
        <f t="shared" si="99"/>
        <v>0</v>
      </c>
      <c r="DW25" s="1184">
        <f t="shared" si="99"/>
        <v>0</v>
      </c>
      <c r="DX25" s="1184">
        <f t="shared" si="99"/>
        <v>0</v>
      </c>
      <c r="DY25" s="1184">
        <f t="shared" si="99"/>
        <v>0</v>
      </c>
      <c r="DZ25" s="1184">
        <f t="shared" si="99"/>
        <v>0</v>
      </c>
      <c r="EA25" s="1184"/>
      <c r="EB25" s="1184">
        <f t="shared" si="100"/>
        <v>0</v>
      </c>
      <c r="EC25" s="1184">
        <f t="shared" si="100"/>
        <v>0</v>
      </c>
      <c r="ED25" s="1184">
        <f t="shared" si="100"/>
        <v>0</v>
      </c>
      <c r="EE25" s="1184">
        <f t="shared" si="100"/>
        <v>0</v>
      </c>
      <c r="EF25" s="1184">
        <f t="shared" si="100"/>
        <v>0</v>
      </c>
      <c r="EG25" s="1184">
        <f t="shared" si="100"/>
        <v>0</v>
      </c>
      <c r="EH25" s="1184">
        <f t="shared" si="100"/>
        <v>0</v>
      </c>
      <c r="EI25" s="1184">
        <f t="shared" si="100"/>
        <v>0</v>
      </c>
      <c r="EJ25" s="1184">
        <f t="shared" si="100"/>
        <v>0</v>
      </c>
      <c r="EK25" s="1184">
        <f t="shared" si="100"/>
        <v>0</v>
      </c>
      <c r="EL25" s="1184">
        <f t="shared" si="100"/>
        <v>0</v>
      </c>
      <c r="EM25" s="1184">
        <f t="shared" si="100"/>
        <v>0</v>
      </c>
      <c r="EN25" s="1184"/>
      <c r="EO25" s="1184">
        <f t="shared" si="101"/>
        <v>0</v>
      </c>
      <c r="EP25" s="1184">
        <f t="shared" si="101"/>
        <v>0</v>
      </c>
      <c r="EQ25" s="1184">
        <f t="shared" si="101"/>
        <v>0</v>
      </c>
      <c r="ER25" s="1184">
        <f t="shared" si="101"/>
        <v>0</v>
      </c>
      <c r="ES25" s="1184">
        <f t="shared" si="101"/>
        <v>0</v>
      </c>
      <c r="ET25" s="1184">
        <f t="shared" si="101"/>
        <v>0</v>
      </c>
      <c r="EU25" s="1184">
        <f t="shared" si="101"/>
        <v>0</v>
      </c>
      <c r="EV25" s="1184">
        <f t="shared" si="101"/>
        <v>0</v>
      </c>
      <c r="EW25" s="1184">
        <f t="shared" si="101"/>
        <v>0</v>
      </c>
      <c r="EX25" s="1184">
        <f t="shared" si="101"/>
        <v>0</v>
      </c>
      <c r="EY25" s="1184">
        <f t="shared" si="101"/>
        <v>0</v>
      </c>
      <c r="EZ25" s="1184">
        <f t="shared" si="101"/>
        <v>0</v>
      </c>
      <c r="FA25" s="1184"/>
      <c r="FB25" s="1186">
        <f t="shared" si="51"/>
        <v>0</v>
      </c>
      <c r="FC25" s="1184">
        <f>FB25+DB25+EB25                 -         SUMIF('Nährstoffe und Lagerraum'!$AX$113:$AX$155,$CZ25,'Nährstoffe und Lagerraum'!$U$113:$U$155)/12  -$GD25*$HE25/12</f>
        <v>0</v>
      </c>
      <c r="FD25" s="1184">
        <f>FC25+DC25+EC25                 -         SUMIF('Nährstoffe und Lagerraum'!$AX$113:$AX$155,$CZ25,'Nährstoffe und Lagerraum'!$U$113:$U$155)/12  -$GD25*$HE25/12</f>
        <v>0</v>
      </c>
      <c r="FE25" s="1184">
        <f>FD25+DD25+ED25                 -         SUMIF('Nährstoffe und Lagerraum'!$AX$113:$AX$155,$CZ25,'Nährstoffe und Lagerraum'!$U$113:$U$155)/12  -$GD25*$HE25/12</f>
        <v>0</v>
      </c>
      <c r="FF25" s="1184">
        <f>FE25+DE25+EE25                 -         SUMIF('Nährstoffe und Lagerraum'!$AX$113:$AX$155,$CZ25,'Nährstoffe und Lagerraum'!$U$113:$U$155)/12  -$GD25*$HE25/12</f>
        <v>0</v>
      </c>
      <c r="FG25" s="1184">
        <f>FF25+DF25+EF25                 -         SUMIF('Nährstoffe und Lagerraum'!$AX$113:$AX$155,$CZ25,'Nährstoffe und Lagerraum'!$U$113:$U$155)/12  -$GD25*$HE25/12</f>
        <v>0</v>
      </c>
      <c r="FH25" s="1184">
        <f>FG25+DG25+EG25                 -         SUMIF('Nährstoffe und Lagerraum'!$AX$113:$AX$155,$CZ25,'Nährstoffe und Lagerraum'!$U$113:$U$155)/12  -$GD25*$HE25/12</f>
        <v>0</v>
      </c>
      <c r="FI25" s="1184">
        <f>FH25+DH25+EH25                 -         SUMIF('Nährstoffe und Lagerraum'!$AX$113:$AX$155,$CZ25,'Nährstoffe und Lagerraum'!$U$113:$U$155)/12  -$GD25*$HE25/12</f>
        <v>0</v>
      </c>
      <c r="FJ25" s="1184">
        <f>FI25+DI25+EI25                 -         SUMIF('Nährstoffe und Lagerraum'!$AX$113:$AX$155,$CZ25,'Nährstoffe und Lagerraum'!$U$113:$U$155)/12  -$GD25*$HE25/12</f>
        <v>0</v>
      </c>
      <c r="FK25" s="1184">
        <f>FJ25+DJ25+EJ25                 -         SUMIF('Nährstoffe und Lagerraum'!$AX$113:$AX$155,$CZ25,'Nährstoffe und Lagerraum'!$U$113:$U$155)/12  -$GD25*$HE25/12</f>
        <v>0</v>
      </c>
      <c r="FL25" s="1184">
        <f>FK25+DK25+EK25                 -         SUMIF('Nährstoffe und Lagerraum'!$AX$113:$AX$155,$CZ25,'Nährstoffe und Lagerraum'!$U$113:$U$155)/12  -$GD25*$HE25/12</f>
        <v>0</v>
      </c>
      <c r="FM25" s="1184">
        <f>FL25+DL25+EL25                 -         SUMIF('Nährstoffe und Lagerraum'!$AX$113:$AX$155,$CZ25,'Nährstoffe und Lagerraum'!$U$113:$U$155)/12  -$GD25*$HE25/12</f>
        <v>0</v>
      </c>
      <c r="FN25" s="1184">
        <f>FM25+DM25+EM25                 -         SUMIF('Nährstoffe und Lagerraum'!$AX$113:$AX$155,$CZ25,'Nährstoffe und Lagerraum'!$U$113:$U$155)/12  -$GD25*$HE25/12</f>
        <v>0</v>
      </c>
      <c r="FO25" s="1184"/>
      <c r="FP25" s="1186">
        <f t="shared" si="52"/>
        <v>0</v>
      </c>
      <c r="FQ25" s="1184">
        <f>FP25+DO25+EO25                 -         SUMIF('Nährstoffe und Lagerraum'!$AX$113:$AX$155,$CZ25,'Nährstoffe und Lagerraum'!$V$113:$V$155)/12  -$GE25*$HE25/12</f>
        <v>0</v>
      </c>
      <c r="FR25" s="1184">
        <f>FQ25+DP25+EP25                 -         SUMIF('Nährstoffe und Lagerraum'!$AX$113:$AX$155,$CZ25,'Nährstoffe und Lagerraum'!$V$113:$V$155)/12  -$GE25*$HE25/12</f>
        <v>0</v>
      </c>
      <c r="FS25" s="1184">
        <f>FR25+DQ25+EQ25                 -         SUMIF('Nährstoffe und Lagerraum'!$AX$113:$AX$155,$CZ25,'Nährstoffe und Lagerraum'!$V$113:$V$155)/12  -$GE25*$HE25/12</f>
        <v>0</v>
      </c>
      <c r="FT25" s="1184">
        <f>FS25+DR25+ER25                 -         SUMIF('Nährstoffe und Lagerraum'!$AX$113:$AX$155,$CZ25,'Nährstoffe und Lagerraum'!$V$113:$V$155)/12  -$GE25*$HE25/12</f>
        <v>0</v>
      </c>
      <c r="FU25" s="1184">
        <f>FT25+DS25+ES25                 -         SUMIF('Nährstoffe und Lagerraum'!$AX$113:$AX$155,$CZ25,'Nährstoffe und Lagerraum'!$V$113:$V$155)/12  -$GE25*$HE25/12</f>
        <v>0</v>
      </c>
      <c r="FV25" s="1184">
        <f>FU25+DT25+ET25                 -         SUMIF('Nährstoffe und Lagerraum'!$AX$113:$AX$155,$CZ25,'Nährstoffe und Lagerraum'!$V$113:$V$155)/12  -$GE25*$HE25/12</f>
        <v>0</v>
      </c>
      <c r="FW25" s="1184">
        <f>FV25+DU25+EU25                 -         SUMIF('Nährstoffe und Lagerraum'!$AX$113:$AX$155,$CZ25,'Nährstoffe und Lagerraum'!$V$113:$V$155)/12  -$GE25*$HE25/12</f>
        <v>0</v>
      </c>
      <c r="FX25" s="1184">
        <f>FW25+DV25+EV25                 -         SUMIF('Nährstoffe und Lagerraum'!$AX$113:$AX$155,$CZ25,'Nährstoffe und Lagerraum'!$V$113:$V$155)/12  -$GE25*$HE25/12</f>
        <v>0</v>
      </c>
      <c r="FY25" s="1184">
        <f>FX25+DW25+EW25                 -         SUMIF('Nährstoffe und Lagerraum'!$AX$113:$AX$155,$CZ25,'Nährstoffe und Lagerraum'!$V$113:$V$155)/12  -$GE25*$HE25/12</f>
        <v>0</v>
      </c>
      <c r="FZ25" s="1184">
        <f>FY25+DX25+EX25                 -         SUMIF('Nährstoffe und Lagerraum'!$AX$113:$AX$155,$CZ25,'Nährstoffe und Lagerraum'!$V$113:$V$155)/12  -$GE25*$HE25/12</f>
        <v>0</v>
      </c>
      <c r="GA25" s="1184">
        <f>FZ25+DY25+EY25                 -         SUMIF('Nährstoffe und Lagerraum'!$AX$113:$AX$155,$CZ25,'Nährstoffe und Lagerraum'!$V$113:$V$155)/12  -$GE25*$HE25/12</f>
        <v>0</v>
      </c>
      <c r="GB25" s="1184">
        <f>GA25+DZ25+EZ25                 -         SUMIF('Nährstoffe und Lagerraum'!$AX$113:$AX$155,$CZ25,'Nährstoffe und Lagerraum'!$V$113:$V$155)/12  -$GE25*$HE25/12</f>
        <v>0</v>
      </c>
      <c r="GC25" s="1184"/>
      <c r="GD25" s="1184">
        <f>SUMIFS($CI$14:$CI$68,$BR$14:$BR$68,$CZ25)+SUMIFS($CM$14:$CM$68,$BR$14:$BR$68,$CZ25)+SUMIFS($CR$14:$CR$68,$BR$14:$BR$68,$CZ25)  -         SUMIF('Nährstoffe und Lagerraum'!$AX$113:$AX$155,$CZ25,'Nährstoffe und Lagerraum'!$U$113:$U$155)</f>
        <v>0</v>
      </c>
      <c r="GE25" s="1184">
        <f>SUMIFS($CJ$14:$CJ$68,$BR$14:$BR$68,$CZ25)+SUMIFS($CO$14:$CO$68,$BR$14:$BR$68,$CZ25)+SUMIFS($CT$14:$CT$68,$BR$14:$BR$68,$CZ25)  -         SUMIF('Nährstoffe und Lagerraum'!$AX$113:$AX$155,$CZ25,'Nährstoffe und Lagerraum'!$V$113:$V$155)</f>
        <v>0</v>
      </c>
      <c r="GF25" s="1184"/>
      <c r="GG25" s="1184"/>
      <c r="GH25" s="1184">
        <f>SUMIF('Nährstoffe und Lagerraum'!$AX$113:$AX$155,$CZ25,'Nährstoffe und Lagerraum'!$U$113:$U$155)</f>
        <v>0</v>
      </c>
      <c r="GI25" s="1184">
        <f>SUMIF('Nährstoffe und Lagerraum'!$AX$113:$AX$155,$CZ25,'Nährstoffe und Lagerraum'!$V$113:$V$155)</f>
        <v>0</v>
      </c>
      <c r="GJ25" s="1184">
        <f t="shared" si="53"/>
        <v>0</v>
      </c>
      <c r="GK25" s="1184">
        <f t="shared" si="54"/>
        <v>0</v>
      </c>
      <c r="GL25" s="1184">
        <f t="shared" si="55"/>
        <v>0</v>
      </c>
      <c r="GM25" s="1184">
        <f t="shared" si="56"/>
        <v>0</v>
      </c>
      <c r="GN25" s="1184">
        <f t="shared" si="57"/>
        <v>0</v>
      </c>
      <c r="GO25" s="1184" cm="1">
        <f t="array" ref="GO25">IF(GN25=0,0,(IFERROR(SUMPRODUCT($J$14:$J$68,$CH$14:$CH$68,($BR$14:$BR$68=CZ25)*1)+SUMPRODUCT($L$14:$L$68,$M$14:$M$68,$CK$14:$CK$68,($BR$14:$BR$68=CZ25)*1,($BT$14:$BT$68=FALSE)*1)/10+SUMPRODUCT($R$14:$R$68,$CP$14:$CP$68,($BR$14:$BR$68=CZ25)*1),0))/GN25)</f>
        <v>0</v>
      </c>
      <c r="GP25" s="1184">
        <f t="shared" si="58"/>
        <v>0</v>
      </c>
      <c r="GQ25" s="1184">
        <f>(SUMIF('Nährstoffe und Lagerraum'!$AX$113:$AX$130,'Lagerhaltung (freiwillig)'!CZ25,'Nährstoffe und Lagerraum'!$D$113:$D$130)+SUMIF('Nährstoffe und Lagerraum'!$AX$137:$AX$155,'Lagerhaltung (freiwillig)'!CZ25,'Nährstoffe und Lagerraum'!$E$137:$E$155))</f>
        <v>0</v>
      </c>
      <c r="GR25" s="1184" cm="1">
        <f t="array" ref="GR25">IF(GQ25=0,0,(IFERROR(SUMPRODUCT('Nährstoffe und Lagerraum'!$D$113:$D$130,'Nährstoffe und Lagerraum'!$F$113:$F$130,('Nährstoffe und Lagerraum'!$AX$113:$AX$130='Lagerhaltung (freiwillig)'!CZ25)*1)+SUMPRODUCT('Nährstoffe und Lagerraum'!$E$137:$E$155,'Nährstoffe und Lagerraum'!$F$137:$F$155,('Nährstoffe und Lagerraum'!$AX$137:$AX$155='Lagerhaltung (freiwillig)'!CZ25)*1),0))/GQ25)</f>
        <v>0</v>
      </c>
      <c r="GS25" s="1184">
        <f t="shared" si="59"/>
        <v>0</v>
      </c>
      <c r="GT25" s="1184">
        <f t="shared" si="60"/>
        <v>0</v>
      </c>
      <c r="GU25" s="1184">
        <f t="shared" si="61"/>
        <v>0</v>
      </c>
      <c r="GV25" s="1184">
        <f t="shared" si="62"/>
        <v>0</v>
      </c>
      <c r="GW25" s="1186" t="str">
        <f t="shared" si="41"/>
        <v xml:space="preserve"> </v>
      </c>
      <c r="GX25" s="1186" t="str">
        <f t="shared" si="41"/>
        <v xml:space="preserve"> </v>
      </c>
      <c r="GY25" s="1195">
        <f t="shared" si="63"/>
        <v>0</v>
      </c>
      <c r="GZ25" s="1184">
        <f t="shared" si="64"/>
        <v>0</v>
      </c>
      <c r="HA25" s="1184" t="str">
        <f t="shared" si="44"/>
        <v>a</v>
      </c>
      <c r="HB25" s="1196">
        <f t="shared" si="65"/>
        <v>0</v>
      </c>
      <c r="HC25" s="1196">
        <f t="shared" si="66"/>
        <v>0</v>
      </c>
      <c r="HD25" s="1196"/>
      <c r="HE25" s="1187">
        <f t="shared" si="67"/>
        <v>0</v>
      </c>
      <c r="HF25" s="1196">
        <f t="shared" si="68"/>
        <v>0</v>
      </c>
      <c r="HG25" s="1196">
        <f t="shared" si="69"/>
        <v>0</v>
      </c>
      <c r="HH25" s="1196">
        <f t="shared" si="70"/>
        <v>0</v>
      </c>
      <c r="HI25" s="1328" cm="1">
        <f t="array" ref="HI25">IF(AND(HG25=0,GL25=0),0,IF(HG25=0,1,IF(OR(GL25*1000/HG25/HH25&gt;INDEX(Pflanzen!$W$5:$W$104,CZ25)/INDEX(Pflanzen!$I$5:$I$104,CZ25)*$HI$1,GL25*1000/HG25/HH25&lt;INDEX(Pflanzen!$W$5:$W$104,CZ25)/INDEX(Pflanzen!$I$5:$I$104,CZ25)/$HI$1),1,0)))</f>
        <v>0</v>
      </c>
      <c r="HJ25" s="1328" cm="1">
        <f t="array" ref="HJ25">IF(AND(GM25=0,HG25=0),0,IF(HG25=0,1,IF(OR(GM25*1000/HG25/HH25&gt;INDEX(Pflanzen!$X$5:$X$104,CZ25)/INDEX(Pflanzen!$I$5:$I$104,CZ25)*$HI$1,GM25*1000/HG25/HH25&lt;INDEX(Pflanzen!$X$5:$X$104,CZ25)/INDEX(Pflanzen!$I$5:$I$104,CZ25)/$HI$1),1,0)))</f>
        <v>0</v>
      </c>
      <c r="HK25" s="1184">
        <f t="shared" si="71"/>
        <v>3</v>
      </c>
      <c r="HL25" s="1184"/>
      <c r="HN25" s="1184"/>
      <c r="HO25" s="1193" t="str">
        <f>Tiere!B51</f>
        <v>Zuchtsauen mit 25 Ferkel bis 28 kg, N-/P-reduziert</v>
      </c>
      <c r="HP25" s="1184">
        <v>22</v>
      </c>
      <c r="HQ25" s="1194">
        <f>SUMIF('Nährstoffe und Lagerraum'!$BM$68:$BM$87,'Lagerhaltung (freiwillig)'!HP25,'Nährstoffe und Lagerraum'!$Z$68:$Z$87)+SUMIF('Nährstoffe und Lagerraum'!$BM$68:$BM$87,'Lagerhaltung (freiwillig)'!HP25,'Nährstoffe und Lagerraum'!$AA$68:$AA$87)</f>
        <v>0</v>
      </c>
      <c r="HR25" s="1184" cm="1">
        <f t="array" ref="HR25">INDEX(Tiere!$C$30:$C$114,'Lagerhaltung (freiwillig)'!HP25)</f>
        <v>2</v>
      </c>
      <c r="HS25" s="1184" cm="1">
        <f t="array" ref="HS25">INDEX(Tiere!$H$30:$H$114,'Lagerhaltung (freiwillig)'!HP25)</f>
        <v>0</v>
      </c>
      <c r="HT25" s="1184">
        <f t="shared" si="12"/>
        <v>0</v>
      </c>
      <c r="HU25" s="1184" cm="1">
        <f t="array" ref="HU25">INDEX(Tiere!$I$30:$I$114,'Lagerhaltung (freiwillig)'!HP25)</f>
        <v>0</v>
      </c>
      <c r="HV25" s="1184">
        <f t="shared" si="13"/>
        <v>0</v>
      </c>
      <c r="HW25" s="1184" cm="1">
        <f t="array" ref="HW25">INDEX(Tiere!$BC$30:$BC$114,'Lagerhaltung (freiwillig)'!HP25)</f>
        <v>17.920000000000002</v>
      </c>
      <c r="HX25" s="1184">
        <f t="shared" si="14"/>
        <v>0</v>
      </c>
      <c r="HY25" s="1184" cm="1">
        <f t="array" ref="HY25">INDEX(Tiere!$BD$30:$BD$114,'Lagerhaltung (freiwillig)'!HP25)</f>
        <v>8.19</v>
      </c>
      <c r="HZ25" s="1184">
        <f t="shared" si="15"/>
        <v>0</v>
      </c>
      <c r="IA25" s="1184"/>
      <c r="IB25" s="1184"/>
      <c r="IC25" s="1184"/>
      <c r="ID25" s="1184"/>
      <c r="IE25" s="1184"/>
      <c r="IF25" s="1184"/>
      <c r="IG25" s="1184"/>
      <c r="IH25" s="1184"/>
      <c r="II25" s="1184"/>
      <c r="IJ25" s="1184"/>
      <c r="IK25" s="1184"/>
      <c r="IL25" s="1184"/>
    </row>
    <row r="26" spans="1:246" ht="15.6" customHeight="1" x14ac:dyDescent="0.2">
      <c r="A26" s="725"/>
      <c r="B26" s="726"/>
      <c r="C26" s="726"/>
      <c r="D26" s="726"/>
      <c r="E26" s="726"/>
      <c r="F26" s="1466" cm="1">
        <f t="array" ref="F26">INDEX(Pflanzen!$I$5:$I$104,BR26)</f>
        <v>0</v>
      </c>
      <c r="G26" s="1467" cm="1">
        <f t="array" ref="G26">INDEX(Pflanzen!$W$5:$W$104,BR26)</f>
        <v>0</v>
      </c>
      <c r="H26" s="1468" cm="1">
        <f t="array" ref="H26">INDEX(Pflanzen!$X$5:$X$104,BR26)</f>
        <v>0</v>
      </c>
      <c r="I26" s="1122"/>
      <c r="J26" s="1303"/>
      <c r="K26" s="1122"/>
      <c r="L26" s="1487"/>
      <c r="M26" s="1491"/>
      <c r="N26" s="1487"/>
      <c r="O26" s="1487"/>
      <c r="P26" s="1292"/>
      <c r="Q26" s="2180"/>
      <c r="R26" s="1487"/>
      <c r="S26" s="1491"/>
      <c r="T26" s="1303"/>
      <c r="U26" s="725"/>
      <c r="V26" s="1346" t="str">
        <f t="shared" si="92"/>
        <v/>
      </c>
      <c r="Y26" s="1554" t="str" cm="1">
        <f t="array" ref="Y26">IFERROR(INDEX($CY$4:$CY$165,AY26),"")</f>
        <v/>
      </c>
      <c r="Z26" s="1555"/>
      <c r="AA26" s="1555"/>
      <c r="AB26" s="1555"/>
      <c r="AC26" s="1454" t="str" cm="1">
        <f t="array" ref="AC26">IFERROR(INDEX($GN$4:$GN$165,AY26),"")</f>
        <v/>
      </c>
      <c r="AD26" s="1454" t="str" cm="1">
        <f t="array" ref="AD26">IFERROR(INDEX($GO$4:$GO$165,AY26),"")</f>
        <v/>
      </c>
      <c r="AE26" s="1454" t="str" cm="1">
        <f t="array" ref="AE26">IFERROR(INDEX($GJ$4:$GJ$165,AY26),"")</f>
        <v/>
      </c>
      <c r="AF26" s="1454" t="str" cm="1">
        <f t="array" ref="AF26">IFERROR(INDEX($GK$4:$GK$165,AY26),"")</f>
        <v/>
      </c>
      <c r="AG26" s="1454" t="str" cm="1">
        <f t="array" ref="AG26">IFERROR(INDEX($GQ$4:$GQ$165,AY26),"")</f>
        <v/>
      </c>
      <c r="AH26" s="1454" t="str" cm="1">
        <f t="array" ref="AH26">IFERROR(INDEX($GR$4:$GR$165,AY26),"")</f>
        <v/>
      </c>
      <c r="AI26" s="1454" t="str" cm="1">
        <f t="array" ref="AI26">IFERROR(INDEX($GH$4:$GH$165,AY26),"")</f>
        <v/>
      </c>
      <c r="AJ26" s="1454" t="str" cm="1">
        <f t="array" ref="AJ26">IFERROR(INDEX($GI$4:$GI$165,AY26),"")</f>
        <v/>
      </c>
      <c r="AK26" s="1454" t="str" cm="1">
        <f t="array" ref="AK26">IFERROR(INDEX($GU$4:$GU$165,AY26),"")</f>
        <v/>
      </c>
      <c r="AL26" s="1455" t="str" cm="1">
        <f t="array" ref="AL26">IFERROR(INDEX($GV$4:$GV$165,AY26),"")</f>
        <v/>
      </c>
      <c r="AM26" s="1454" t="str" cm="1">
        <f t="array" ref="AM26">IFERROR(INDEX($GD$4:$GD$165,AY26),"")</f>
        <v/>
      </c>
      <c r="AN26" s="1454" t="str" cm="1">
        <f t="array" ref="AN26">IFERROR(INDEX($GE$4:$GE$165,AY26),"")</f>
        <v/>
      </c>
      <c r="AO26" s="1454" t="str" cm="1">
        <f t="array" ref="AO26">IFERROR(INDEX($GW$4:$GW$165,AY26),"")</f>
        <v/>
      </c>
      <c r="AP26" s="1454" t="str" cm="1">
        <f t="array" ref="AP26">IFERROR(INDEX($GZ$4:$GZ$165,AY26),"")</f>
        <v/>
      </c>
      <c r="AQ26" s="1457"/>
      <c r="AR26" s="1454" t="str" cm="1">
        <f t="array" ref="AR26">IFERROR(INDEX($HF$4:$HF$165,AY26),"")</f>
        <v/>
      </c>
      <c r="AS26" s="1454" t="str" cm="1">
        <f t="array" ref="AS26">IFERROR(INDEX($HG$4:$HG$165,AY26),"")</f>
        <v/>
      </c>
      <c r="AT26" s="1454" t="str" cm="1">
        <f t="array" ref="AT26">IFERROR(INDEX($HH$4:$HH$165,AY26),"")</f>
        <v/>
      </c>
      <c r="AU26" s="1454" t="str" cm="1">
        <f t="array" ref="AU26">IFERROR(INDEX($GL$4:$GL$165,AY26),"")</f>
        <v/>
      </c>
      <c r="AV26" s="1454" t="str" cm="1">
        <f t="array" ref="AV26">IFERROR(INDEX($GM$4:$GM$165,AY26),"")</f>
        <v/>
      </c>
      <c r="AY26" s="1184" t="str" cm="1">
        <f t="array" ref="AY26">IFERROR(SMALL(IF($HK$4:$HK$165=1,ROW($HK$4:$HK$165)-3),ROW(W14)),IFERROR(SMALL(IF($HK$4:$HK$165=2,ROW($HK$4:$HK$165)-3),ROW(W14)-COUNTIF($HK$4:$HK$165,1)),IFERROR(SMALL(IF($HK$4:$HK$165=0,ROW($HK$4:$HK$165)-3),ROW(W14)-COUNTIF($HK$4:$HK$165,1)-COUNTIF($HK$4:$HK$165,2)),"")))</f>
        <v/>
      </c>
      <c r="AZ26" s="1184" t="str">
        <f t="shared" si="72"/>
        <v>a</v>
      </c>
      <c r="BA26" s="1194" t="e">
        <f t="shared" si="73"/>
        <v>#VALUE!</v>
      </c>
      <c r="BB26" s="1194" cm="1">
        <f t="array" ref="BB26">IFERROR(INDEX($HK$4:$HK$165,AY26),0)</f>
        <v>0</v>
      </c>
      <c r="BC26" s="1194">
        <f t="shared" si="74"/>
        <v>0</v>
      </c>
      <c r="BD26" s="1194"/>
      <c r="BE26" s="1343"/>
      <c r="BF26" s="1343"/>
      <c r="BG26" s="1343"/>
      <c r="BH26" s="1343"/>
      <c r="BI26" s="1343"/>
      <c r="BJ26" s="1343"/>
      <c r="BK26" s="1343"/>
      <c r="BL26" s="1343"/>
      <c r="BM26" s="1343"/>
      <c r="BN26" s="1343"/>
      <c r="BO26" s="1343"/>
      <c r="BQ26" s="1184"/>
      <c r="BR26" s="1184">
        <v>1</v>
      </c>
      <c r="BS26" s="1184"/>
      <c r="BT26" s="1184" t="b">
        <v>0</v>
      </c>
      <c r="BU26" s="1199"/>
      <c r="BV26" s="1199"/>
      <c r="BW26" s="1184">
        <f t="shared" si="75"/>
        <v>12</v>
      </c>
      <c r="BX26" s="1184">
        <f t="shared" si="76"/>
        <v>0</v>
      </c>
      <c r="BY26" s="1184">
        <f t="shared" si="77"/>
        <v>12</v>
      </c>
      <c r="BZ26" s="1184" cm="1">
        <f t="array" ref="BZ26">INDEX(Pflanzen!$AB$5:$AB$114,'Lagerhaltung (freiwillig)'!BR26)</f>
        <v>0</v>
      </c>
      <c r="CA26" s="1184" cm="1">
        <f t="array" ref="CA26">IF(BZ26=1,INDEX(Pflanzen!$AC$5:$AC$114,BR26),N26)</f>
        <v>0</v>
      </c>
      <c r="CB26" s="1184" cm="1">
        <f t="array" ref="CB26">IF(BZ26=1,INDEX(Pflanzen!$AD$5:$AD$114,BR26),O26)</f>
        <v>0</v>
      </c>
      <c r="CC26" s="1184">
        <f t="shared" si="78"/>
        <v>12</v>
      </c>
      <c r="CD26" s="1184">
        <f t="shared" si="79"/>
        <v>0</v>
      </c>
      <c r="CE26" s="1184">
        <f t="shared" si="80"/>
        <v>12</v>
      </c>
      <c r="CF26" s="1184" cm="1">
        <f t="array" ref="CF26">INDEX(Pflanzen!$F$5:$F$114,BR26)</f>
        <v>0</v>
      </c>
      <c r="CG26" s="1184" cm="1">
        <f t="array" ref="CG26">INDEX(Pflanzen!$G$5:$G$114,BR26)</f>
        <v>0</v>
      </c>
      <c r="CH26" s="1184">
        <f t="shared" si="81"/>
        <v>0</v>
      </c>
      <c r="CI26" s="1184">
        <f t="shared" si="93"/>
        <v>0</v>
      </c>
      <c r="CJ26" s="1184">
        <f t="shared" si="94"/>
        <v>0</v>
      </c>
      <c r="CK26" s="1184">
        <f t="shared" si="82"/>
        <v>0</v>
      </c>
      <c r="CL26" s="1184">
        <f t="shared" si="83"/>
        <v>0</v>
      </c>
      <c r="CM26" s="1184">
        <f t="shared" si="84"/>
        <v>0</v>
      </c>
      <c r="CN26" s="1184">
        <f t="shared" si="85"/>
        <v>0</v>
      </c>
      <c r="CO26" s="1184">
        <f t="shared" si="86"/>
        <v>0</v>
      </c>
      <c r="CP26" s="1184">
        <f t="shared" si="87"/>
        <v>0</v>
      </c>
      <c r="CQ26" s="1184">
        <f t="shared" si="88"/>
        <v>0</v>
      </c>
      <c r="CR26" s="1184">
        <f t="shared" si="89"/>
        <v>0</v>
      </c>
      <c r="CS26" s="1184">
        <f t="shared" si="90"/>
        <v>0</v>
      </c>
      <c r="CT26" s="1184">
        <f t="shared" si="91"/>
        <v>0</v>
      </c>
      <c r="CU26" s="1184">
        <f t="shared" si="95"/>
        <v>2</v>
      </c>
      <c r="CV26" s="1184">
        <f t="shared" si="96"/>
        <v>0</v>
      </c>
      <c r="CW26" s="1186">
        <f t="shared" si="97"/>
        <v>0</v>
      </c>
      <c r="CX26" s="1184"/>
      <c r="CY26" s="320" t="str">
        <f>Pflanzen!A22</f>
        <v>Körnermaisstroh</v>
      </c>
      <c r="CZ26" s="1200">
        <f>IFERROR(MATCH($CY26,Pflanzen!$C$5:$C$114,0),1)</f>
        <v>18</v>
      </c>
      <c r="DA26" s="320" cm="1">
        <f t="array" ref="DA26">INDEX(Pflanzen!$H$5:$H$114,'Lagerhaltung (freiwillig)'!CZ26)</f>
        <v>0</v>
      </c>
      <c r="DB26" s="1200">
        <f t="shared" si="98"/>
        <v>0</v>
      </c>
      <c r="DC26" s="1200">
        <f t="shared" si="98"/>
        <v>0</v>
      </c>
      <c r="DD26" s="1200">
        <f t="shared" si="98"/>
        <v>0</v>
      </c>
      <c r="DE26" s="1200">
        <f t="shared" si="98"/>
        <v>0</v>
      </c>
      <c r="DF26" s="1200">
        <f t="shared" si="98"/>
        <v>0</v>
      </c>
      <c r="DG26" s="1184">
        <f t="shared" si="98"/>
        <v>0</v>
      </c>
      <c r="DH26" s="1184">
        <f t="shared" si="98"/>
        <v>0</v>
      </c>
      <c r="DI26" s="1184">
        <f t="shared" si="98"/>
        <v>0</v>
      </c>
      <c r="DJ26" s="1184">
        <f t="shared" si="98"/>
        <v>0</v>
      </c>
      <c r="DK26" s="1184">
        <f t="shared" si="98"/>
        <v>0</v>
      </c>
      <c r="DL26" s="1184">
        <f t="shared" si="98"/>
        <v>0</v>
      </c>
      <c r="DM26" s="1184">
        <f t="shared" si="98"/>
        <v>0</v>
      </c>
      <c r="DN26" s="1184"/>
      <c r="DO26" s="1184">
        <f t="shared" si="99"/>
        <v>0</v>
      </c>
      <c r="DP26" s="1184">
        <f t="shared" si="99"/>
        <v>0</v>
      </c>
      <c r="DQ26" s="1184">
        <f t="shared" si="99"/>
        <v>0</v>
      </c>
      <c r="DR26" s="1184">
        <f t="shared" si="99"/>
        <v>0</v>
      </c>
      <c r="DS26" s="1184">
        <f t="shared" si="99"/>
        <v>0</v>
      </c>
      <c r="DT26" s="1184">
        <f t="shared" si="99"/>
        <v>0</v>
      </c>
      <c r="DU26" s="1184">
        <f t="shared" si="99"/>
        <v>0</v>
      </c>
      <c r="DV26" s="1184">
        <f t="shared" si="99"/>
        <v>0</v>
      </c>
      <c r="DW26" s="1184">
        <f t="shared" si="99"/>
        <v>0</v>
      </c>
      <c r="DX26" s="1184">
        <f t="shared" si="99"/>
        <v>0</v>
      </c>
      <c r="DY26" s="1184">
        <f t="shared" si="99"/>
        <v>0</v>
      </c>
      <c r="DZ26" s="1184">
        <f t="shared" si="99"/>
        <v>0</v>
      </c>
      <c r="EA26" s="1184"/>
      <c r="EB26" s="1184">
        <f t="shared" si="100"/>
        <v>0</v>
      </c>
      <c r="EC26" s="1184">
        <f t="shared" si="100"/>
        <v>0</v>
      </c>
      <c r="ED26" s="1184">
        <f t="shared" si="100"/>
        <v>0</v>
      </c>
      <c r="EE26" s="1184">
        <f t="shared" si="100"/>
        <v>0</v>
      </c>
      <c r="EF26" s="1184">
        <f t="shared" si="100"/>
        <v>0</v>
      </c>
      <c r="EG26" s="1184">
        <f t="shared" si="100"/>
        <v>0</v>
      </c>
      <c r="EH26" s="1184">
        <f t="shared" si="100"/>
        <v>0</v>
      </c>
      <c r="EI26" s="1184">
        <f t="shared" si="100"/>
        <v>0</v>
      </c>
      <c r="EJ26" s="1184">
        <f t="shared" si="100"/>
        <v>0</v>
      </c>
      <c r="EK26" s="1184">
        <f t="shared" si="100"/>
        <v>0</v>
      </c>
      <c r="EL26" s="1184">
        <f t="shared" si="100"/>
        <v>0</v>
      </c>
      <c r="EM26" s="1184">
        <f t="shared" si="100"/>
        <v>0</v>
      </c>
      <c r="EN26" s="1184"/>
      <c r="EO26" s="1184">
        <f t="shared" si="101"/>
        <v>0</v>
      </c>
      <c r="EP26" s="1184">
        <f t="shared" si="101"/>
        <v>0</v>
      </c>
      <c r="EQ26" s="1184">
        <f t="shared" si="101"/>
        <v>0</v>
      </c>
      <c r="ER26" s="1184">
        <f t="shared" si="101"/>
        <v>0</v>
      </c>
      <c r="ES26" s="1184">
        <f t="shared" si="101"/>
        <v>0</v>
      </c>
      <c r="ET26" s="1184">
        <f t="shared" si="101"/>
        <v>0</v>
      </c>
      <c r="EU26" s="1184">
        <f t="shared" si="101"/>
        <v>0</v>
      </c>
      <c r="EV26" s="1184">
        <f t="shared" si="101"/>
        <v>0</v>
      </c>
      <c r="EW26" s="1184">
        <f t="shared" si="101"/>
        <v>0</v>
      </c>
      <c r="EX26" s="1184">
        <f t="shared" si="101"/>
        <v>0</v>
      </c>
      <c r="EY26" s="1184">
        <f t="shared" si="101"/>
        <v>0</v>
      </c>
      <c r="EZ26" s="1184">
        <f t="shared" si="101"/>
        <v>0</v>
      </c>
      <c r="FA26" s="1184"/>
      <c r="FB26" s="1186">
        <f t="shared" si="51"/>
        <v>0</v>
      </c>
      <c r="FC26" s="1184">
        <f>FB26+DB26+EB26                 -         SUMIF('Nährstoffe und Lagerraum'!$AX$113:$AX$155,$CZ26,'Nährstoffe und Lagerraum'!$U$113:$U$155)/12  -$GD26*$HE26/12</f>
        <v>0</v>
      </c>
      <c r="FD26" s="1184">
        <f>FC26+DC26+EC26                 -         SUMIF('Nährstoffe und Lagerraum'!$AX$113:$AX$155,$CZ26,'Nährstoffe und Lagerraum'!$U$113:$U$155)/12  -$GD26*$HE26/12</f>
        <v>0</v>
      </c>
      <c r="FE26" s="1184">
        <f>FD26+DD26+ED26                 -         SUMIF('Nährstoffe und Lagerraum'!$AX$113:$AX$155,$CZ26,'Nährstoffe und Lagerraum'!$U$113:$U$155)/12  -$GD26*$HE26/12</f>
        <v>0</v>
      </c>
      <c r="FF26" s="1184">
        <f>FE26+DE26+EE26                 -         SUMIF('Nährstoffe und Lagerraum'!$AX$113:$AX$155,$CZ26,'Nährstoffe und Lagerraum'!$U$113:$U$155)/12  -$GD26*$HE26/12</f>
        <v>0</v>
      </c>
      <c r="FG26" s="1184">
        <f>FF26+DF26+EF26                 -         SUMIF('Nährstoffe und Lagerraum'!$AX$113:$AX$155,$CZ26,'Nährstoffe und Lagerraum'!$U$113:$U$155)/12  -$GD26*$HE26/12</f>
        <v>0</v>
      </c>
      <c r="FH26" s="1184">
        <f>FG26+DG26+EG26                 -         SUMIF('Nährstoffe und Lagerraum'!$AX$113:$AX$155,$CZ26,'Nährstoffe und Lagerraum'!$U$113:$U$155)/12  -$GD26*$HE26/12</f>
        <v>0</v>
      </c>
      <c r="FI26" s="1184">
        <f>FH26+DH26+EH26                 -         SUMIF('Nährstoffe und Lagerraum'!$AX$113:$AX$155,$CZ26,'Nährstoffe und Lagerraum'!$U$113:$U$155)/12  -$GD26*$HE26/12</f>
        <v>0</v>
      </c>
      <c r="FJ26" s="1184">
        <f>FI26+DI26+EI26                 -         SUMIF('Nährstoffe und Lagerraum'!$AX$113:$AX$155,$CZ26,'Nährstoffe und Lagerraum'!$U$113:$U$155)/12  -$GD26*$HE26/12</f>
        <v>0</v>
      </c>
      <c r="FK26" s="1184">
        <f>FJ26+DJ26+EJ26                 -         SUMIF('Nährstoffe und Lagerraum'!$AX$113:$AX$155,$CZ26,'Nährstoffe und Lagerraum'!$U$113:$U$155)/12  -$GD26*$HE26/12</f>
        <v>0</v>
      </c>
      <c r="FL26" s="1184">
        <f>FK26+DK26+EK26                 -         SUMIF('Nährstoffe und Lagerraum'!$AX$113:$AX$155,$CZ26,'Nährstoffe und Lagerraum'!$U$113:$U$155)/12  -$GD26*$HE26/12</f>
        <v>0</v>
      </c>
      <c r="FM26" s="1184">
        <f>FL26+DL26+EL26                 -         SUMIF('Nährstoffe und Lagerraum'!$AX$113:$AX$155,$CZ26,'Nährstoffe und Lagerraum'!$U$113:$U$155)/12  -$GD26*$HE26/12</f>
        <v>0</v>
      </c>
      <c r="FN26" s="1184">
        <f>FM26+DM26+EM26                 -         SUMIF('Nährstoffe und Lagerraum'!$AX$113:$AX$155,$CZ26,'Nährstoffe und Lagerraum'!$U$113:$U$155)/12  -$GD26*$HE26/12</f>
        <v>0</v>
      </c>
      <c r="FO26" s="1184"/>
      <c r="FP26" s="1186">
        <f t="shared" si="52"/>
        <v>0</v>
      </c>
      <c r="FQ26" s="1184">
        <f>FP26+DO26+EO26                 -         SUMIF('Nährstoffe und Lagerraum'!$AX$113:$AX$155,$CZ26,'Nährstoffe und Lagerraum'!$V$113:$V$155)/12  -$GE26*$HE26/12</f>
        <v>0</v>
      </c>
      <c r="FR26" s="1184">
        <f>FQ26+DP26+EP26                 -         SUMIF('Nährstoffe und Lagerraum'!$AX$113:$AX$155,$CZ26,'Nährstoffe und Lagerraum'!$V$113:$V$155)/12  -$GE26*$HE26/12</f>
        <v>0</v>
      </c>
      <c r="FS26" s="1184">
        <f>FR26+DQ26+EQ26                 -         SUMIF('Nährstoffe und Lagerraum'!$AX$113:$AX$155,$CZ26,'Nährstoffe und Lagerraum'!$V$113:$V$155)/12  -$GE26*$HE26/12</f>
        <v>0</v>
      </c>
      <c r="FT26" s="1184">
        <f>FS26+DR26+ER26                 -         SUMIF('Nährstoffe und Lagerraum'!$AX$113:$AX$155,$CZ26,'Nährstoffe und Lagerraum'!$V$113:$V$155)/12  -$GE26*$HE26/12</f>
        <v>0</v>
      </c>
      <c r="FU26" s="1184">
        <f>FT26+DS26+ES26                 -         SUMIF('Nährstoffe und Lagerraum'!$AX$113:$AX$155,$CZ26,'Nährstoffe und Lagerraum'!$V$113:$V$155)/12  -$GE26*$HE26/12</f>
        <v>0</v>
      </c>
      <c r="FV26" s="1184">
        <f>FU26+DT26+ET26                 -         SUMIF('Nährstoffe und Lagerraum'!$AX$113:$AX$155,$CZ26,'Nährstoffe und Lagerraum'!$V$113:$V$155)/12  -$GE26*$HE26/12</f>
        <v>0</v>
      </c>
      <c r="FW26" s="1184">
        <f>FV26+DU26+EU26                 -         SUMIF('Nährstoffe und Lagerraum'!$AX$113:$AX$155,$CZ26,'Nährstoffe und Lagerraum'!$V$113:$V$155)/12  -$GE26*$HE26/12</f>
        <v>0</v>
      </c>
      <c r="FX26" s="1184">
        <f>FW26+DV26+EV26                 -         SUMIF('Nährstoffe und Lagerraum'!$AX$113:$AX$155,$CZ26,'Nährstoffe und Lagerraum'!$V$113:$V$155)/12  -$GE26*$HE26/12</f>
        <v>0</v>
      </c>
      <c r="FY26" s="1184">
        <f>FX26+DW26+EW26                 -         SUMIF('Nährstoffe und Lagerraum'!$AX$113:$AX$155,$CZ26,'Nährstoffe und Lagerraum'!$V$113:$V$155)/12  -$GE26*$HE26/12</f>
        <v>0</v>
      </c>
      <c r="FZ26" s="1184">
        <f>FY26+DX26+EX26                 -         SUMIF('Nährstoffe und Lagerraum'!$AX$113:$AX$155,$CZ26,'Nährstoffe und Lagerraum'!$V$113:$V$155)/12  -$GE26*$HE26/12</f>
        <v>0</v>
      </c>
      <c r="GA26" s="1184">
        <f>FZ26+DY26+EY26                 -         SUMIF('Nährstoffe und Lagerraum'!$AX$113:$AX$155,$CZ26,'Nährstoffe und Lagerraum'!$V$113:$V$155)/12  -$GE26*$HE26/12</f>
        <v>0</v>
      </c>
      <c r="GB26" s="1184">
        <f>GA26+DZ26+EZ26                 -         SUMIF('Nährstoffe und Lagerraum'!$AX$113:$AX$155,$CZ26,'Nährstoffe und Lagerraum'!$V$113:$V$155)/12  -$GE26*$HE26/12</f>
        <v>0</v>
      </c>
      <c r="GC26" s="1184"/>
      <c r="GD26" s="1184">
        <f>SUMIFS($CI$14:$CI$68,$BR$14:$BR$68,$CZ26)+SUMIFS($CM$14:$CM$68,$BR$14:$BR$68,$CZ26)+SUMIFS($CR$14:$CR$68,$BR$14:$BR$68,$CZ26)  -         SUMIF('Nährstoffe und Lagerraum'!$AX$113:$AX$155,$CZ26,'Nährstoffe und Lagerraum'!$U$113:$U$155)</f>
        <v>0</v>
      </c>
      <c r="GE26" s="1184">
        <f>SUMIFS($CJ$14:$CJ$68,$BR$14:$BR$68,$CZ26)+SUMIFS($CO$14:$CO$68,$BR$14:$BR$68,$CZ26)+SUMIFS($CT$14:$CT$68,$BR$14:$BR$68,$CZ26)  -         SUMIF('Nährstoffe und Lagerraum'!$AX$113:$AX$155,$CZ26,'Nährstoffe und Lagerraum'!$V$113:$V$155)</f>
        <v>0</v>
      </c>
      <c r="GF26" s="1184"/>
      <c r="GG26" s="1184"/>
      <c r="GH26" s="1184">
        <f>SUMIF('Nährstoffe und Lagerraum'!$AX$113:$AX$155,$CZ26,'Nährstoffe und Lagerraum'!$U$113:$U$155)</f>
        <v>0</v>
      </c>
      <c r="GI26" s="1184">
        <f>SUMIF('Nährstoffe und Lagerraum'!$AX$113:$AX$155,$CZ26,'Nährstoffe und Lagerraum'!$V$113:$V$155)</f>
        <v>0</v>
      </c>
      <c r="GJ26" s="1184">
        <f t="shared" si="53"/>
        <v>0</v>
      </c>
      <c r="GK26" s="1184">
        <f t="shared" si="54"/>
        <v>0</v>
      </c>
      <c r="GL26" s="1184">
        <f t="shared" si="55"/>
        <v>0</v>
      </c>
      <c r="GM26" s="1184">
        <f t="shared" si="56"/>
        <v>0</v>
      </c>
      <c r="GN26" s="1184">
        <f t="shared" si="57"/>
        <v>0</v>
      </c>
      <c r="GO26" s="1184" cm="1">
        <f t="array" ref="GO26">IF(GN26=0,0,(IFERROR(SUMPRODUCT($J$14:$J$68,$CH$14:$CH$68,($BR$14:$BR$68=CZ26)*1)+SUMPRODUCT($L$14:$L$68,$M$14:$M$68,$CK$14:$CK$68,($BR$14:$BR$68=CZ26)*1,($BT$14:$BT$68=FALSE)*1)/10+SUMPRODUCT($R$14:$R$68,$CP$14:$CP$68,($BR$14:$BR$68=CZ26)*1),0))/GN26)</f>
        <v>0</v>
      </c>
      <c r="GP26" s="1184">
        <f t="shared" si="58"/>
        <v>0</v>
      </c>
      <c r="GQ26" s="1184">
        <f>(SUMIF('Nährstoffe und Lagerraum'!$AX$113:$AX$130,'Lagerhaltung (freiwillig)'!CZ26,'Nährstoffe und Lagerraum'!$D$113:$D$130)+SUMIF('Nährstoffe und Lagerraum'!$AX$137:$AX$155,'Lagerhaltung (freiwillig)'!CZ26,'Nährstoffe und Lagerraum'!$E$137:$E$155))</f>
        <v>0</v>
      </c>
      <c r="GR26" s="1184" cm="1">
        <f t="array" ref="GR26">IF(GQ26=0,0,(IFERROR(SUMPRODUCT('Nährstoffe und Lagerraum'!$D$113:$D$130,'Nährstoffe und Lagerraum'!$F$113:$F$130,('Nährstoffe und Lagerraum'!$AX$113:$AX$130='Lagerhaltung (freiwillig)'!CZ26)*1)+SUMPRODUCT('Nährstoffe und Lagerraum'!$E$137:$E$155,'Nährstoffe und Lagerraum'!$F$137:$F$155,('Nährstoffe und Lagerraum'!$AX$137:$AX$155='Lagerhaltung (freiwillig)'!CZ26)*1),0))/GQ26)</f>
        <v>0</v>
      </c>
      <c r="GS26" s="1184">
        <f t="shared" si="59"/>
        <v>0</v>
      </c>
      <c r="GT26" s="1184">
        <f t="shared" si="60"/>
        <v>0</v>
      </c>
      <c r="GU26" s="1184">
        <f t="shared" si="61"/>
        <v>0</v>
      </c>
      <c r="GV26" s="1184">
        <f t="shared" si="62"/>
        <v>0</v>
      </c>
      <c r="GW26" s="1186" t="str">
        <f t="shared" si="41"/>
        <v xml:space="preserve"> </v>
      </c>
      <c r="GX26" s="1186" t="str">
        <f t="shared" si="41"/>
        <v xml:space="preserve"> </v>
      </c>
      <c r="GY26" s="1195">
        <f t="shared" si="63"/>
        <v>0</v>
      </c>
      <c r="GZ26" s="1184">
        <f t="shared" si="64"/>
        <v>0</v>
      </c>
      <c r="HA26" s="1184" t="str">
        <f t="shared" si="44"/>
        <v>a</v>
      </c>
      <c r="HB26" s="1196">
        <f t="shared" si="65"/>
        <v>0</v>
      </c>
      <c r="HC26" s="1196">
        <f t="shared" si="66"/>
        <v>0</v>
      </c>
      <c r="HD26" s="1196"/>
      <c r="HE26" s="1187">
        <f t="shared" si="67"/>
        <v>0</v>
      </c>
      <c r="HF26" s="1196">
        <f t="shared" si="68"/>
        <v>0</v>
      </c>
      <c r="HG26" s="1196">
        <f t="shared" si="69"/>
        <v>0</v>
      </c>
      <c r="HH26" s="1196">
        <f t="shared" si="70"/>
        <v>0</v>
      </c>
      <c r="HI26" s="1328" cm="1">
        <f t="array" ref="HI26">IF(AND(HG26=0,GL26=0),0,IF(HG26=0,1,IF(OR(GL26*1000/HG26/HH26&gt;INDEX(Pflanzen!$W$5:$W$104,CZ26)/INDEX(Pflanzen!$I$5:$I$104,CZ26)*$HI$1,GL26*1000/HG26/HH26&lt;INDEX(Pflanzen!$W$5:$W$104,CZ26)/INDEX(Pflanzen!$I$5:$I$104,CZ26)/$HI$1),1,0)))</f>
        <v>0</v>
      </c>
      <c r="HJ26" s="1328" cm="1">
        <f t="array" ref="HJ26">IF(AND(GM26=0,HG26=0),0,IF(HG26=0,1,IF(OR(GM26*1000/HG26/HH26&gt;INDEX(Pflanzen!$X$5:$X$104,CZ26)/INDEX(Pflanzen!$I$5:$I$104,CZ26)*$HI$1,GM26*1000/HG26/HH26&lt;INDEX(Pflanzen!$X$5:$X$104,CZ26)/INDEX(Pflanzen!$I$5:$I$104,CZ26)/$HI$1),1,0)))</f>
        <v>0</v>
      </c>
      <c r="HK26" s="1184">
        <f t="shared" si="71"/>
        <v>3</v>
      </c>
      <c r="HL26" s="1184"/>
      <c r="HN26" s="1184"/>
      <c r="HO26" s="1193" t="str">
        <f>Tiere!B52</f>
        <v>Zuchtsauen mit 25 Ferkel bis 28 kg, stark N-/P-red.*</v>
      </c>
      <c r="HP26" s="1184">
        <v>23</v>
      </c>
      <c r="HQ26" s="1194">
        <f>SUMIF('Nährstoffe und Lagerraum'!$BM$68:$BM$87,'Lagerhaltung (freiwillig)'!HP26,'Nährstoffe und Lagerraum'!$Z$68:$Z$87)+SUMIF('Nährstoffe und Lagerraum'!$BM$68:$BM$87,'Lagerhaltung (freiwillig)'!HP26,'Nährstoffe und Lagerraum'!$AA$68:$AA$87)</f>
        <v>0</v>
      </c>
      <c r="HR26" s="1184" cm="1">
        <f t="array" ref="HR26">INDEX(Tiere!$C$30:$C$114,'Lagerhaltung (freiwillig)'!HP26)</f>
        <v>2</v>
      </c>
      <c r="HS26" s="1184" cm="1">
        <f t="array" ref="HS26">INDEX(Tiere!$H$30:$H$114,'Lagerhaltung (freiwillig)'!HP26)</f>
        <v>0</v>
      </c>
      <c r="HT26" s="1184">
        <f t="shared" si="12"/>
        <v>0</v>
      </c>
      <c r="HU26" s="1184" cm="1">
        <f t="array" ref="HU26">INDEX(Tiere!$I$30:$I$114,'Lagerhaltung (freiwillig)'!HP26)</f>
        <v>0</v>
      </c>
      <c r="HV26" s="1184">
        <f t="shared" si="13"/>
        <v>0</v>
      </c>
      <c r="HW26" s="1184" cm="1">
        <f t="array" ref="HW26">INDEX(Tiere!$BC$30:$BC$114,'Lagerhaltung (freiwillig)'!HP26)</f>
        <v>17.920000000000002</v>
      </c>
      <c r="HX26" s="1184">
        <f t="shared" si="14"/>
        <v>0</v>
      </c>
      <c r="HY26" s="1184" cm="1">
        <f t="array" ref="HY26">INDEX(Tiere!$BD$30:$BD$114,'Lagerhaltung (freiwillig)'!HP26)</f>
        <v>8.19</v>
      </c>
      <c r="HZ26" s="1184">
        <f t="shared" si="15"/>
        <v>0</v>
      </c>
      <c r="IA26" s="1184"/>
      <c r="IB26" s="1184"/>
      <c r="IC26" s="1184"/>
      <c r="ID26" s="1184"/>
      <c r="IE26" s="1184"/>
      <c r="IF26" s="1184"/>
      <c r="IG26" s="1184"/>
      <c r="IH26" s="1184"/>
      <c r="II26" s="1184"/>
      <c r="IJ26" s="1184"/>
      <c r="IK26" s="1184"/>
      <c r="IL26" s="1184"/>
    </row>
    <row r="27" spans="1:246" ht="15.6" customHeight="1" x14ac:dyDescent="0.2">
      <c r="A27" s="725"/>
      <c r="B27" s="726"/>
      <c r="C27" s="726"/>
      <c r="D27" s="726"/>
      <c r="E27" s="726"/>
      <c r="F27" s="1466" cm="1">
        <f t="array" ref="F27">INDEX(Pflanzen!$I$5:$I$104,BR27)</f>
        <v>0</v>
      </c>
      <c r="G27" s="1467" cm="1">
        <f t="array" ref="G27">INDEX(Pflanzen!$W$5:$W$104,BR27)</f>
        <v>0</v>
      </c>
      <c r="H27" s="1468" cm="1">
        <f t="array" ref="H27">INDEX(Pflanzen!$X$5:$X$104,BR27)</f>
        <v>0</v>
      </c>
      <c r="I27" s="1122"/>
      <c r="J27" s="1303"/>
      <c r="K27" s="1122"/>
      <c r="L27" s="1487"/>
      <c r="M27" s="1491"/>
      <c r="N27" s="1487"/>
      <c r="O27" s="1487"/>
      <c r="P27" s="1292"/>
      <c r="Q27" s="2180"/>
      <c r="R27" s="1487"/>
      <c r="S27" s="1491"/>
      <c r="T27" s="1303"/>
      <c r="U27" s="725"/>
      <c r="V27" s="1346" t="str">
        <f t="shared" si="92"/>
        <v/>
      </c>
      <c r="Y27" s="1554" t="str" cm="1">
        <f t="array" ref="Y27">IFERROR(INDEX($CY$4:$CY$165,AY27),"")</f>
        <v/>
      </c>
      <c r="Z27" s="1555"/>
      <c r="AA27" s="1555"/>
      <c r="AB27" s="1555"/>
      <c r="AC27" s="1454" t="str" cm="1">
        <f t="array" ref="AC27">IFERROR(INDEX($GN$4:$GN$165,AY27),"")</f>
        <v/>
      </c>
      <c r="AD27" s="1454" t="str" cm="1">
        <f t="array" ref="AD27">IFERROR(INDEX($GO$4:$GO$165,AY27),"")</f>
        <v/>
      </c>
      <c r="AE27" s="1454" t="str" cm="1">
        <f t="array" ref="AE27">IFERROR(INDEX($GJ$4:$GJ$165,AY27),"")</f>
        <v/>
      </c>
      <c r="AF27" s="1454" t="str" cm="1">
        <f t="array" ref="AF27">IFERROR(INDEX($GK$4:$GK$165,AY27),"")</f>
        <v/>
      </c>
      <c r="AG27" s="1454" t="str" cm="1">
        <f t="array" ref="AG27">IFERROR(INDEX($GQ$4:$GQ$165,AY27),"")</f>
        <v/>
      </c>
      <c r="AH27" s="1454" t="str" cm="1">
        <f t="array" ref="AH27">IFERROR(INDEX($GR$4:$GR$165,AY27),"")</f>
        <v/>
      </c>
      <c r="AI27" s="1454" t="str" cm="1">
        <f t="array" ref="AI27">IFERROR(INDEX($GH$4:$GH$165,AY27),"")</f>
        <v/>
      </c>
      <c r="AJ27" s="1454" t="str" cm="1">
        <f t="array" ref="AJ27">IFERROR(INDEX($GI$4:$GI$165,AY27),"")</f>
        <v/>
      </c>
      <c r="AK27" s="1454" t="str" cm="1">
        <f t="array" ref="AK27">IFERROR(INDEX($GU$4:$GU$165,AY27),"")</f>
        <v/>
      </c>
      <c r="AL27" s="1455" t="str" cm="1">
        <f t="array" ref="AL27">IFERROR(INDEX($GV$4:$GV$165,AY27),"")</f>
        <v/>
      </c>
      <c r="AM27" s="1454" t="str" cm="1">
        <f t="array" ref="AM27">IFERROR(INDEX($GD$4:$GD$165,AY27),"")</f>
        <v/>
      </c>
      <c r="AN27" s="1454" t="str" cm="1">
        <f t="array" ref="AN27">IFERROR(INDEX($GE$4:$GE$165,AY27),"")</f>
        <v/>
      </c>
      <c r="AO27" s="1454" t="str" cm="1">
        <f t="array" ref="AO27">IFERROR(INDEX($GW$4:$GW$165,AY27),"")</f>
        <v/>
      </c>
      <c r="AP27" s="1454" t="str" cm="1">
        <f t="array" ref="AP27">IFERROR(INDEX($GZ$4:$GZ$165,AY27),"")</f>
        <v/>
      </c>
      <c r="AQ27" s="1457"/>
      <c r="AR27" s="1454" t="str" cm="1">
        <f t="array" ref="AR27">IFERROR(INDEX($HF$4:$HF$165,AY27),"")</f>
        <v/>
      </c>
      <c r="AS27" s="1454" t="str" cm="1">
        <f t="array" ref="AS27">IFERROR(INDEX($HG$4:$HG$165,AY27),"")</f>
        <v/>
      </c>
      <c r="AT27" s="1454" t="str" cm="1">
        <f t="array" ref="AT27">IFERROR(INDEX($HH$4:$HH$165,AY27),"")</f>
        <v/>
      </c>
      <c r="AU27" s="1454" t="str" cm="1">
        <f t="array" ref="AU27">IFERROR(INDEX($GL$4:$GL$165,AY27),"")</f>
        <v/>
      </c>
      <c r="AV27" s="1454" t="str" cm="1">
        <f t="array" ref="AV27">IFERROR(INDEX($GM$4:$GM$165,AY27),"")</f>
        <v/>
      </c>
      <c r="AY27" s="1184" t="str" cm="1">
        <f t="array" ref="AY27">IFERROR(SMALL(IF($HK$4:$HK$165=1,ROW($HK$4:$HK$165)-3),ROW(W15)),IFERROR(SMALL(IF($HK$4:$HK$165=2,ROW($HK$4:$HK$165)-3),ROW(W15)-COUNTIF($HK$4:$HK$165,1)),IFERROR(SMALL(IF($HK$4:$HK$165=0,ROW($HK$4:$HK$165)-3),ROW(W15)-COUNTIF($HK$4:$HK$165,1)-COUNTIF($HK$4:$HK$165,2)),"")))</f>
        <v/>
      </c>
      <c r="AZ27" s="1184" t="str">
        <f t="shared" si="72"/>
        <v>a</v>
      </c>
      <c r="BA27" s="1194" t="e">
        <f t="shared" si="73"/>
        <v>#VALUE!</v>
      </c>
      <c r="BB27" s="1194" cm="1">
        <f t="array" ref="BB27">IFERROR(INDEX($HK$4:$HK$165,AY27),0)</f>
        <v>0</v>
      </c>
      <c r="BC27" s="1194">
        <f t="shared" si="74"/>
        <v>0</v>
      </c>
      <c r="BD27" s="1194"/>
      <c r="BE27" s="1343"/>
      <c r="BF27" s="1343"/>
      <c r="BG27" s="1343"/>
      <c r="BH27" s="1343"/>
      <c r="BI27" s="1343"/>
      <c r="BJ27" s="1343"/>
      <c r="BK27" s="1343"/>
      <c r="BL27" s="1343"/>
      <c r="BM27" s="1343"/>
      <c r="BN27" s="1343"/>
      <c r="BO27" s="1343"/>
      <c r="BQ27" s="1184"/>
      <c r="BR27" s="1184">
        <v>1</v>
      </c>
      <c r="BS27" s="1184"/>
      <c r="BT27" s="1184" t="b">
        <v>0</v>
      </c>
      <c r="BU27" s="1199"/>
      <c r="BV27" s="1199"/>
      <c r="BW27" s="1184">
        <f t="shared" si="75"/>
        <v>12</v>
      </c>
      <c r="BX27" s="1184">
        <f t="shared" si="76"/>
        <v>0</v>
      </c>
      <c r="BY27" s="1184">
        <f t="shared" si="77"/>
        <v>12</v>
      </c>
      <c r="BZ27" s="1184" cm="1">
        <f t="array" ref="BZ27">INDEX(Pflanzen!$AB$5:$AB$114,'Lagerhaltung (freiwillig)'!BR27)</f>
        <v>0</v>
      </c>
      <c r="CA27" s="1184" cm="1">
        <f t="array" ref="CA27">IF(BZ27=1,INDEX(Pflanzen!$AC$5:$AC$114,BR27),N27)</f>
        <v>0</v>
      </c>
      <c r="CB27" s="1184" cm="1">
        <f t="array" ref="CB27">IF(BZ27=1,INDEX(Pflanzen!$AD$5:$AD$114,BR27),O27)</f>
        <v>0</v>
      </c>
      <c r="CC27" s="1184">
        <f t="shared" si="78"/>
        <v>12</v>
      </c>
      <c r="CD27" s="1184">
        <f t="shared" si="79"/>
        <v>0</v>
      </c>
      <c r="CE27" s="1184">
        <f t="shared" si="80"/>
        <v>12</v>
      </c>
      <c r="CF27" s="1184" cm="1">
        <f t="array" ref="CF27">INDEX(Pflanzen!$F$5:$F$114,BR27)</f>
        <v>0</v>
      </c>
      <c r="CG27" s="1184" cm="1">
        <f t="array" ref="CG27">INDEX(Pflanzen!$G$5:$G$114,BR27)</f>
        <v>0</v>
      </c>
      <c r="CH27" s="1184">
        <f t="shared" si="81"/>
        <v>0</v>
      </c>
      <c r="CI27" s="1184">
        <f t="shared" si="93"/>
        <v>0</v>
      </c>
      <c r="CJ27" s="1184">
        <f t="shared" si="94"/>
        <v>0</v>
      </c>
      <c r="CK27" s="1184">
        <f t="shared" si="82"/>
        <v>0</v>
      </c>
      <c r="CL27" s="1184">
        <f t="shared" si="83"/>
        <v>0</v>
      </c>
      <c r="CM27" s="1184">
        <f t="shared" si="84"/>
        <v>0</v>
      </c>
      <c r="CN27" s="1184">
        <f t="shared" si="85"/>
        <v>0</v>
      </c>
      <c r="CO27" s="1184">
        <f t="shared" si="86"/>
        <v>0</v>
      </c>
      <c r="CP27" s="1184">
        <f t="shared" si="87"/>
        <v>0</v>
      </c>
      <c r="CQ27" s="1184">
        <f t="shared" si="88"/>
        <v>0</v>
      </c>
      <c r="CR27" s="1184">
        <f t="shared" si="89"/>
        <v>0</v>
      </c>
      <c r="CS27" s="1184">
        <f t="shared" si="90"/>
        <v>0</v>
      </c>
      <c r="CT27" s="1184">
        <f t="shared" si="91"/>
        <v>0</v>
      </c>
      <c r="CU27" s="1184">
        <f t="shared" si="95"/>
        <v>2</v>
      </c>
      <c r="CV27" s="1184">
        <f t="shared" si="96"/>
        <v>0</v>
      </c>
      <c r="CW27" s="1186">
        <f t="shared" si="97"/>
        <v>0</v>
      </c>
      <c r="CX27" s="1184"/>
      <c r="CY27" s="320" t="str">
        <f>Pflanzen!A23</f>
        <v>Körnermais</v>
      </c>
      <c r="CZ27" s="1200">
        <f>IFERROR(MATCH($CY27,Pflanzen!$C$5:$C$114,0),1)</f>
        <v>19</v>
      </c>
      <c r="DA27" s="320" cm="1">
        <f t="array" ref="DA27">INDEX(Pflanzen!$H$5:$H$114,'Lagerhaltung (freiwillig)'!CZ27)</f>
        <v>2</v>
      </c>
      <c r="DB27" s="1200">
        <f t="shared" si="98"/>
        <v>0</v>
      </c>
      <c r="DC27" s="1200">
        <f t="shared" si="98"/>
        <v>0</v>
      </c>
      <c r="DD27" s="1200">
        <f t="shared" si="98"/>
        <v>0</v>
      </c>
      <c r="DE27" s="1200">
        <f t="shared" si="98"/>
        <v>0</v>
      </c>
      <c r="DF27" s="1200">
        <f t="shared" si="98"/>
        <v>0</v>
      </c>
      <c r="DG27" s="1184">
        <f t="shared" si="98"/>
        <v>0</v>
      </c>
      <c r="DH27" s="1184">
        <f t="shared" si="98"/>
        <v>0</v>
      </c>
      <c r="DI27" s="1184">
        <f t="shared" si="98"/>
        <v>0</v>
      </c>
      <c r="DJ27" s="1184">
        <f t="shared" si="98"/>
        <v>0</v>
      </c>
      <c r="DK27" s="1184">
        <f t="shared" si="98"/>
        <v>0</v>
      </c>
      <c r="DL27" s="1184">
        <f t="shared" si="98"/>
        <v>0</v>
      </c>
      <c r="DM27" s="1184">
        <f t="shared" si="98"/>
        <v>0</v>
      </c>
      <c r="DN27" s="1184"/>
      <c r="DO27" s="1184">
        <f t="shared" si="99"/>
        <v>0</v>
      </c>
      <c r="DP27" s="1184">
        <f t="shared" si="99"/>
        <v>0</v>
      </c>
      <c r="DQ27" s="1184">
        <f t="shared" si="99"/>
        <v>0</v>
      </c>
      <c r="DR27" s="1184">
        <f t="shared" si="99"/>
        <v>0</v>
      </c>
      <c r="DS27" s="1184">
        <f t="shared" si="99"/>
        <v>0</v>
      </c>
      <c r="DT27" s="1184">
        <f t="shared" si="99"/>
        <v>0</v>
      </c>
      <c r="DU27" s="1184">
        <f t="shared" si="99"/>
        <v>0</v>
      </c>
      <c r="DV27" s="1184">
        <f t="shared" si="99"/>
        <v>0</v>
      </c>
      <c r="DW27" s="1184">
        <f t="shared" si="99"/>
        <v>0</v>
      </c>
      <c r="DX27" s="1184">
        <f t="shared" si="99"/>
        <v>0</v>
      </c>
      <c r="DY27" s="1184">
        <f t="shared" si="99"/>
        <v>0</v>
      </c>
      <c r="DZ27" s="1184">
        <f t="shared" si="99"/>
        <v>0</v>
      </c>
      <c r="EA27" s="1184"/>
      <c r="EB27" s="1184">
        <f t="shared" si="100"/>
        <v>0</v>
      </c>
      <c r="EC27" s="1184">
        <f t="shared" si="100"/>
        <v>0</v>
      </c>
      <c r="ED27" s="1184">
        <f t="shared" si="100"/>
        <v>0</v>
      </c>
      <c r="EE27" s="1184">
        <f t="shared" si="100"/>
        <v>0</v>
      </c>
      <c r="EF27" s="1184">
        <f t="shared" si="100"/>
        <v>0</v>
      </c>
      <c r="EG27" s="1184">
        <f t="shared" si="100"/>
        <v>0</v>
      </c>
      <c r="EH27" s="1184">
        <f t="shared" si="100"/>
        <v>0</v>
      </c>
      <c r="EI27" s="1184">
        <f t="shared" si="100"/>
        <v>0</v>
      </c>
      <c r="EJ27" s="1184">
        <f t="shared" si="100"/>
        <v>0</v>
      </c>
      <c r="EK27" s="1184">
        <f t="shared" si="100"/>
        <v>0</v>
      </c>
      <c r="EL27" s="1184">
        <f t="shared" si="100"/>
        <v>0</v>
      </c>
      <c r="EM27" s="1184">
        <f t="shared" si="100"/>
        <v>0</v>
      </c>
      <c r="EN27" s="1184"/>
      <c r="EO27" s="1184">
        <f t="shared" si="101"/>
        <v>0</v>
      </c>
      <c r="EP27" s="1184">
        <f t="shared" si="101"/>
        <v>0</v>
      </c>
      <c r="EQ27" s="1184">
        <f t="shared" si="101"/>
        <v>0</v>
      </c>
      <c r="ER27" s="1184">
        <f t="shared" si="101"/>
        <v>0</v>
      </c>
      <c r="ES27" s="1184">
        <f t="shared" si="101"/>
        <v>0</v>
      </c>
      <c r="ET27" s="1184">
        <f t="shared" si="101"/>
        <v>0</v>
      </c>
      <c r="EU27" s="1184">
        <f t="shared" si="101"/>
        <v>0</v>
      </c>
      <c r="EV27" s="1184">
        <f t="shared" si="101"/>
        <v>0</v>
      </c>
      <c r="EW27" s="1184">
        <f t="shared" si="101"/>
        <v>0</v>
      </c>
      <c r="EX27" s="1184">
        <f t="shared" si="101"/>
        <v>0</v>
      </c>
      <c r="EY27" s="1184">
        <f t="shared" si="101"/>
        <v>0</v>
      </c>
      <c r="EZ27" s="1184">
        <f t="shared" si="101"/>
        <v>0</v>
      </c>
      <c r="FA27" s="1184"/>
      <c r="FB27" s="1186">
        <f t="shared" si="51"/>
        <v>0</v>
      </c>
      <c r="FC27" s="1184">
        <f>FB27+DB27+EB27                 -         SUMIF('Nährstoffe und Lagerraum'!$AX$113:$AX$155,$CZ27,'Nährstoffe und Lagerraum'!$U$113:$U$155)/12  -$GD27*$HE27/12</f>
        <v>0</v>
      </c>
      <c r="FD27" s="1184">
        <f>FC27+DC27+EC27                 -         SUMIF('Nährstoffe und Lagerraum'!$AX$113:$AX$155,$CZ27,'Nährstoffe und Lagerraum'!$U$113:$U$155)/12  -$GD27*$HE27/12</f>
        <v>0</v>
      </c>
      <c r="FE27" s="1184">
        <f>FD27+DD27+ED27                 -         SUMIF('Nährstoffe und Lagerraum'!$AX$113:$AX$155,$CZ27,'Nährstoffe und Lagerraum'!$U$113:$U$155)/12  -$GD27*$HE27/12</f>
        <v>0</v>
      </c>
      <c r="FF27" s="1184">
        <f>FE27+DE27+EE27                 -         SUMIF('Nährstoffe und Lagerraum'!$AX$113:$AX$155,$CZ27,'Nährstoffe und Lagerraum'!$U$113:$U$155)/12  -$GD27*$HE27/12</f>
        <v>0</v>
      </c>
      <c r="FG27" s="1184">
        <f>FF27+DF27+EF27                 -         SUMIF('Nährstoffe und Lagerraum'!$AX$113:$AX$155,$CZ27,'Nährstoffe und Lagerraum'!$U$113:$U$155)/12  -$GD27*$HE27/12</f>
        <v>0</v>
      </c>
      <c r="FH27" s="1184">
        <f>FG27+DG27+EG27                 -         SUMIF('Nährstoffe und Lagerraum'!$AX$113:$AX$155,$CZ27,'Nährstoffe und Lagerraum'!$U$113:$U$155)/12  -$GD27*$HE27/12</f>
        <v>0</v>
      </c>
      <c r="FI27" s="1184">
        <f>FH27+DH27+EH27                 -         SUMIF('Nährstoffe und Lagerraum'!$AX$113:$AX$155,$CZ27,'Nährstoffe und Lagerraum'!$U$113:$U$155)/12  -$GD27*$HE27/12</f>
        <v>0</v>
      </c>
      <c r="FJ27" s="1184">
        <f>FI27+DI27+EI27                 -         SUMIF('Nährstoffe und Lagerraum'!$AX$113:$AX$155,$CZ27,'Nährstoffe und Lagerraum'!$U$113:$U$155)/12  -$GD27*$HE27/12</f>
        <v>0</v>
      </c>
      <c r="FK27" s="1184">
        <f>FJ27+DJ27+EJ27                 -         SUMIF('Nährstoffe und Lagerraum'!$AX$113:$AX$155,$CZ27,'Nährstoffe und Lagerraum'!$U$113:$U$155)/12  -$GD27*$HE27/12</f>
        <v>0</v>
      </c>
      <c r="FL27" s="1184">
        <f>FK27+DK27+EK27                 -         SUMIF('Nährstoffe und Lagerraum'!$AX$113:$AX$155,$CZ27,'Nährstoffe und Lagerraum'!$U$113:$U$155)/12  -$GD27*$HE27/12</f>
        <v>0</v>
      </c>
      <c r="FM27" s="1184">
        <f>FL27+DL27+EL27                 -         SUMIF('Nährstoffe und Lagerraum'!$AX$113:$AX$155,$CZ27,'Nährstoffe und Lagerraum'!$U$113:$U$155)/12  -$GD27*$HE27/12</f>
        <v>0</v>
      </c>
      <c r="FN27" s="1184">
        <f>FM27+DM27+EM27                 -         SUMIF('Nährstoffe und Lagerraum'!$AX$113:$AX$155,$CZ27,'Nährstoffe und Lagerraum'!$U$113:$U$155)/12  -$GD27*$HE27/12</f>
        <v>0</v>
      </c>
      <c r="FO27" s="1184"/>
      <c r="FP27" s="1186">
        <f t="shared" si="52"/>
        <v>0</v>
      </c>
      <c r="FQ27" s="1184">
        <f>FP27+DO27+EO27                 -         SUMIF('Nährstoffe und Lagerraum'!$AX$113:$AX$155,$CZ27,'Nährstoffe und Lagerraum'!$V$113:$V$155)/12  -$GE27*$HE27/12</f>
        <v>0</v>
      </c>
      <c r="FR27" s="1184">
        <f>FQ27+DP27+EP27                 -         SUMIF('Nährstoffe und Lagerraum'!$AX$113:$AX$155,$CZ27,'Nährstoffe und Lagerraum'!$V$113:$V$155)/12  -$GE27*$HE27/12</f>
        <v>0</v>
      </c>
      <c r="FS27" s="1184">
        <f>FR27+DQ27+EQ27                 -         SUMIF('Nährstoffe und Lagerraum'!$AX$113:$AX$155,$CZ27,'Nährstoffe und Lagerraum'!$V$113:$V$155)/12  -$GE27*$HE27/12</f>
        <v>0</v>
      </c>
      <c r="FT27" s="1184">
        <f>FS27+DR27+ER27                 -         SUMIF('Nährstoffe und Lagerraum'!$AX$113:$AX$155,$CZ27,'Nährstoffe und Lagerraum'!$V$113:$V$155)/12  -$GE27*$HE27/12</f>
        <v>0</v>
      </c>
      <c r="FU27" s="1184">
        <f>FT27+DS27+ES27                 -         SUMIF('Nährstoffe und Lagerraum'!$AX$113:$AX$155,$CZ27,'Nährstoffe und Lagerraum'!$V$113:$V$155)/12  -$GE27*$HE27/12</f>
        <v>0</v>
      </c>
      <c r="FV27" s="1184">
        <f>FU27+DT27+ET27                 -         SUMIF('Nährstoffe und Lagerraum'!$AX$113:$AX$155,$CZ27,'Nährstoffe und Lagerraum'!$V$113:$V$155)/12  -$GE27*$HE27/12</f>
        <v>0</v>
      </c>
      <c r="FW27" s="1184">
        <f>FV27+DU27+EU27                 -         SUMIF('Nährstoffe und Lagerraum'!$AX$113:$AX$155,$CZ27,'Nährstoffe und Lagerraum'!$V$113:$V$155)/12  -$GE27*$HE27/12</f>
        <v>0</v>
      </c>
      <c r="FX27" s="1184">
        <f>FW27+DV27+EV27                 -         SUMIF('Nährstoffe und Lagerraum'!$AX$113:$AX$155,$CZ27,'Nährstoffe und Lagerraum'!$V$113:$V$155)/12  -$GE27*$HE27/12</f>
        <v>0</v>
      </c>
      <c r="FY27" s="1184">
        <f>FX27+DW27+EW27                 -         SUMIF('Nährstoffe und Lagerraum'!$AX$113:$AX$155,$CZ27,'Nährstoffe und Lagerraum'!$V$113:$V$155)/12  -$GE27*$HE27/12</f>
        <v>0</v>
      </c>
      <c r="FZ27" s="1184">
        <f>FY27+DX27+EX27                 -         SUMIF('Nährstoffe und Lagerraum'!$AX$113:$AX$155,$CZ27,'Nährstoffe und Lagerraum'!$V$113:$V$155)/12  -$GE27*$HE27/12</f>
        <v>0</v>
      </c>
      <c r="GA27" s="1184">
        <f>FZ27+DY27+EY27                 -         SUMIF('Nährstoffe und Lagerraum'!$AX$113:$AX$155,$CZ27,'Nährstoffe und Lagerraum'!$V$113:$V$155)/12  -$GE27*$HE27/12</f>
        <v>0</v>
      </c>
      <c r="GB27" s="1184">
        <f>GA27+DZ27+EZ27                 -         SUMIF('Nährstoffe und Lagerraum'!$AX$113:$AX$155,$CZ27,'Nährstoffe und Lagerraum'!$V$113:$V$155)/12  -$GE27*$HE27/12</f>
        <v>0</v>
      </c>
      <c r="GC27" s="1184"/>
      <c r="GD27" s="1184">
        <f>SUMIFS($CI$14:$CI$68,$BR$14:$BR$68,$CZ27)+SUMIFS($CM$14:$CM$68,$BR$14:$BR$68,$CZ27)+SUMIFS($CR$14:$CR$68,$BR$14:$BR$68,$CZ27)  -         SUMIF('Nährstoffe und Lagerraum'!$AX$113:$AX$155,$CZ27,'Nährstoffe und Lagerraum'!$U$113:$U$155)</f>
        <v>0</v>
      </c>
      <c r="GE27" s="1184">
        <f>SUMIFS($CJ$14:$CJ$68,$BR$14:$BR$68,$CZ27)+SUMIFS($CO$14:$CO$68,$BR$14:$BR$68,$CZ27)+SUMIFS($CT$14:$CT$68,$BR$14:$BR$68,$CZ27)  -         SUMIF('Nährstoffe und Lagerraum'!$AX$113:$AX$155,$CZ27,'Nährstoffe und Lagerraum'!$V$113:$V$155)</f>
        <v>0</v>
      </c>
      <c r="GF27" s="1184"/>
      <c r="GG27" s="1184"/>
      <c r="GH27" s="1184">
        <f>SUMIF('Nährstoffe und Lagerraum'!$AX$113:$AX$155,$CZ27,'Nährstoffe und Lagerraum'!$U$113:$U$155)</f>
        <v>0</v>
      </c>
      <c r="GI27" s="1184">
        <f>SUMIF('Nährstoffe und Lagerraum'!$AX$113:$AX$155,$CZ27,'Nährstoffe und Lagerraum'!$V$113:$V$155)</f>
        <v>0</v>
      </c>
      <c r="GJ27" s="1184">
        <f t="shared" si="53"/>
        <v>0</v>
      </c>
      <c r="GK27" s="1184">
        <f t="shared" si="54"/>
        <v>0</v>
      </c>
      <c r="GL27" s="1184">
        <f t="shared" si="55"/>
        <v>0</v>
      </c>
      <c r="GM27" s="1184">
        <f t="shared" si="56"/>
        <v>0</v>
      </c>
      <c r="GN27" s="1184">
        <f t="shared" si="57"/>
        <v>0</v>
      </c>
      <c r="GO27" s="1184" cm="1">
        <f t="array" ref="GO27">IF(GN27=0,0,(IFERROR(SUMPRODUCT($J$14:$J$68,$CH$14:$CH$68,($BR$14:$BR$68=CZ27)*1)+SUMPRODUCT($L$14:$L$68,$M$14:$M$68,$CK$14:$CK$68,($BR$14:$BR$68=CZ27)*1,($BT$14:$BT$68=FALSE)*1)/10+SUMPRODUCT($R$14:$R$68,$CP$14:$CP$68,($BR$14:$BR$68=CZ27)*1),0))/GN27)</f>
        <v>0</v>
      </c>
      <c r="GP27" s="1184">
        <f t="shared" si="58"/>
        <v>0</v>
      </c>
      <c r="GQ27" s="1184">
        <f>(SUMIF('Nährstoffe und Lagerraum'!$AX$113:$AX$130,'Lagerhaltung (freiwillig)'!CZ27,'Nährstoffe und Lagerraum'!$D$113:$D$130)+SUMIF('Nährstoffe und Lagerraum'!$AX$137:$AX$155,'Lagerhaltung (freiwillig)'!CZ27,'Nährstoffe und Lagerraum'!$E$137:$E$155))</f>
        <v>0</v>
      </c>
      <c r="GR27" s="1184" cm="1">
        <f t="array" ref="GR27">IF(GQ27=0,0,(IFERROR(SUMPRODUCT('Nährstoffe und Lagerraum'!$D$113:$D$130,'Nährstoffe und Lagerraum'!$F$113:$F$130,('Nährstoffe und Lagerraum'!$AX$113:$AX$130='Lagerhaltung (freiwillig)'!CZ27)*1)+SUMPRODUCT('Nährstoffe und Lagerraum'!$E$137:$E$155,'Nährstoffe und Lagerraum'!$F$137:$F$155,('Nährstoffe und Lagerraum'!$AX$137:$AX$155='Lagerhaltung (freiwillig)'!CZ27)*1),0))/GQ27)</f>
        <v>0</v>
      </c>
      <c r="GS27" s="1184">
        <f t="shared" si="59"/>
        <v>0</v>
      </c>
      <c r="GT27" s="1184">
        <f t="shared" si="60"/>
        <v>0</v>
      </c>
      <c r="GU27" s="1184">
        <f t="shared" si="61"/>
        <v>0</v>
      </c>
      <c r="GV27" s="1184">
        <f t="shared" si="62"/>
        <v>0</v>
      </c>
      <c r="GW27" s="1186" t="str">
        <f t="shared" si="41"/>
        <v xml:space="preserve"> </v>
      </c>
      <c r="GX27" s="1186" t="str">
        <f t="shared" si="41"/>
        <v xml:space="preserve"> </v>
      </c>
      <c r="GY27" s="1195">
        <f t="shared" si="63"/>
        <v>0</v>
      </c>
      <c r="GZ27" s="1184">
        <f t="shared" si="64"/>
        <v>0</v>
      </c>
      <c r="HA27" s="1184" t="str">
        <f t="shared" si="44"/>
        <v>a</v>
      </c>
      <c r="HB27" s="1196">
        <f t="shared" si="65"/>
        <v>0</v>
      </c>
      <c r="HC27" s="1196">
        <f t="shared" si="66"/>
        <v>0</v>
      </c>
      <c r="HD27" s="1196"/>
      <c r="HE27" s="1187">
        <f t="shared" si="67"/>
        <v>0</v>
      </c>
      <c r="HF27" s="1196">
        <f t="shared" si="68"/>
        <v>0</v>
      </c>
      <c r="HG27" s="1196">
        <f t="shared" si="69"/>
        <v>0</v>
      </c>
      <c r="HH27" s="1196">
        <f t="shared" si="70"/>
        <v>0</v>
      </c>
      <c r="HI27" s="1328" cm="1">
        <f t="array" ref="HI27">IF(AND(HG27=0,GL27=0),0,IF(HG27=0,1,IF(OR(GL27*1000/HG27/HH27&gt;INDEX(Pflanzen!$W$5:$W$104,CZ27)/INDEX(Pflanzen!$I$5:$I$104,CZ27)*$HI$1,GL27*1000/HG27/HH27&lt;INDEX(Pflanzen!$W$5:$W$104,CZ27)/INDEX(Pflanzen!$I$5:$I$104,CZ27)/$HI$1),1,0)))</f>
        <v>0</v>
      </c>
      <c r="HJ27" s="1328" cm="1">
        <f t="array" ref="HJ27">IF(AND(GM27=0,HG27=0),0,IF(HG27=0,1,IF(OR(GM27*1000/HG27/HH27&gt;INDEX(Pflanzen!$X$5:$X$104,CZ27)/INDEX(Pflanzen!$I$5:$I$104,CZ27)*$HI$1,GM27*1000/HG27/HH27&lt;INDEX(Pflanzen!$X$5:$X$104,CZ27)/INDEX(Pflanzen!$I$5:$I$104,CZ27)/$HI$1),1,0)))</f>
        <v>0</v>
      </c>
      <c r="HK27" s="1184">
        <f t="shared" si="71"/>
        <v>3</v>
      </c>
      <c r="HL27" s="1184"/>
      <c r="HN27" s="1184"/>
      <c r="HO27" s="1193" t="str">
        <f>Tiere!B53</f>
        <v>Zuchtsauen mit 28 Ferkel bis 28 kg, Standard</v>
      </c>
      <c r="HP27" s="1184">
        <v>24</v>
      </c>
      <c r="HQ27" s="1194">
        <f>SUMIF('Nährstoffe und Lagerraum'!$BM$68:$BM$87,'Lagerhaltung (freiwillig)'!HP27,'Nährstoffe und Lagerraum'!$Z$68:$Z$87)+SUMIF('Nährstoffe und Lagerraum'!$BM$68:$BM$87,'Lagerhaltung (freiwillig)'!HP27,'Nährstoffe und Lagerraum'!$AA$68:$AA$87)</f>
        <v>0</v>
      </c>
      <c r="HR27" s="1184" cm="1">
        <f t="array" ref="HR27">INDEX(Tiere!$C$30:$C$114,'Lagerhaltung (freiwillig)'!HP27)</f>
        <v>2</v>
      </c>
      <c r="HS27" s="1184" cm="1">
        <f t="array" ref="HS27">INDEX(Tiere!$H$30:$H$114,'Lagerhaltung (freiwillig)'!HP27)</f>
        <v>0</v>
      </c>
      <c r="HT27" s="1184">
        <f t="shared" si="12"/>
        <v>0</v>
      </c>
      <c r="HU27" s="1184" cm="1">
        <f t="array" ref="HU27">INDEX(Tiere!$I$30:$I$114,'Lagerhaltung (freiwillig)'!HP27)</f>
        <v>0</v>
      </c>
      <c r="HV27" s="1184">
        <f t="shared" si="13"/>
        <v>0</v>
      </c>
      <c r="HW27" s="1184" cm="1">
        <f t="array" ref="HW27">INDEX(Tiere!$BC$30:$BC$114,'Lagerhaltung (freiwillig)'!HP27)</f>
        <v>20.070399999999999</v>
      </c>
      <c r="HX27" s="1184">
        <f t="shared" si="14"/>
        <v>0</v>
      </c>
      <c r="HY27" s="1184" cm="1">
        <f t="array" ref="HY27">INDEX(Tiere!$BD$30:$BD$114,'Lagerhaltung (freiwillig)'!HP27)</f>
        <v>9.1727999999999987</v>
      </c>
      <c r="HZ27" s="1184">
        <f t="shared" si="15"/>
        <v>0</v>
      </c>
      <c r="IA27" s="1184"/>
      <c r="IB27" s="1184"/>
      <c r="IC27" s="1184"/>
      <c r="ID27" s="1184"/>
      <c r="IE27" s="1184"/>
      <c r="IF27" s="1184"/>
      <c r="IG27" s="1184"/>
      <c r="IH27" s="1184"/>
      <c r="II27" s="1184"/>
      <c r="IJ27" s="1184"/>
      <c r="IK27" s="1184"/>
      <c r="IL27" s="1184"/>
    </row>
    <row r="28" spans="1:246" ht="15.6" customHeight="1" x14ac:dyDescent="0.2">
      <c r="A28" s="725"/>
      <c r="B28" s="726"/>
      <c r="C28" s="726"/>
      <c r="D28" s="726"/>
      <c r="E28" s="726"/>
      <c r="F28" s="1466" cm="1">
        <f t="array" ref="F28">INDEX(Pflanzen!$I$5:$I$104,BR28)</f>
        <v>0</v>
      </c>
      <c r="G28" s="1467" cm="1">
        <f t="array" ref="G28">INDEX(Pflanzen!$W$5:$W$104,BR28)</f>
        <v>0</v>
      </c>
      <c r="H28" s="1468" cm="1">
        <f t="array" ref="H28">INDEX(Pflanzen!$X$5:$X$104,BR28)</f>
        <v>0</v>
      </c>
      <c r="I28" s="1122"/>
      <c r="J28" s="1303"/>
      <c r="K28" s="1122"/>
      <c r="L28" s="1487"/>
      <c r="M28" s="1491"/>
      <c r="N28" s="1487"/>
      <c r="O28" s="1487"/>
      <c r="P28" s="1292"/>
      <c r="Q28" s="2180"/>
      <c r="R28" s="1487"/>
      <c r="S28" s="1491"/>
      <c r="T28" s="1303"/>
      <c r="U28" s="725"/>
      <c r="V28" s="1346" t="str">
        <f t="shared" si="92"/>
        <v/>
      </c>
      <c r="Y28" s="1554" t="str" cm="1">
        <f t="array" ref="Y28">IFERROR(INDEX($CY$4:$CY$165,AY28),"")</f>
        <v/>
      </c>
      <c r="Z28" s="1555"/>
      <c r="AA28" s="1555"/>
      <c r="AB28" s="1555"/>
      <c r="AC28" s="1454" t="str" cm="1">
        <f t="array" ref="AC28">IFERROR(INDEX($GN$4:$GN$165,AY28),"")</f>
        <v/>
      </c>
      <c r="AD28" s="1454" t="str" cm="1">
        <f t="array" ref="AD28">IFERROR(INDEX($GO$4:$GO$165,AY28),"")</f>
        <v/>
      </c>
      <c r="AE28" s="1454" t="str" cm="1">
        <f t="array" ref="AE28">IFERROR(INDEX($GJ$4:$GJ$165,AY28),"")</f>
        <v/>
      </c>
      <c r="AF28" s="1454" t="str" cm="1">
        <f t="array" ref="AF28">IFERROR(INDEX($GK$4:$GK$165,AY28),"")</f>
        <v/>
      </c>
      <c r="AG28" s="1454" t="str" cm="1">
        <f t="array" ref="AG28">IFERROR(INDEX($GQ$4:$GQ$165,AY28),"")</f>
        <v/>
      </c>
      <c r="AH28" s="1454" t="str" cm="1">
        <f t="array" ref="AH28">IFERROR(INDEX($GR$4:$GR$165,AY28),"")</f>
        <v/>
      </c>
      <c r="AI28" s="1454" t="str" cm="1">
        <f t="array" ref="AI28">IFERROR(INDEX($GH$4:$GH$165,AY28),"")</f>
        <v/>
      </c>
      <c r="AJ28" s="1454" t="str" cm="1">
        <f t="array" ref="AJ28">IFERROR(INDEX($GI$4:$GI$165,AY28),"")</f>
        <v/>
      </c>
      <c r="AK28" s="1454" t="str" cm="1">
        <f t="array" ref="AK28">IFERROR(INDEX($GU$4:$GU$165,AY28),"")</f>
        <v/>
      </c>
      <c r="AL28" s="1455" t="str" cm="1">
        <f t="array" ref="AL28">IFERROR(INDEX($GV$4:$GV$165,AY28),"")</f>
        <v/>
      </c>
      <c r="AM28" s="1454" t="str" cm="1">
        <f t="array" ref="AM28">IFERROR(INDEX($GD$4:$GD$165,AY28),"")</f>
        <v/>
      </c>
      <c r="AN28" s="1454" t="str" cm="1">
        <f t="array" ref="AN28">IFERROR(INDEX($GE$4:$GE$165,AY28),"")</f>
        <v/>
      </c>
      <c r="AO28" s="1454" t="str" cm="1">
        <f t="array" ref="AO28">IFERROR(INDEX($GW$4:$GW$165,AY28),"")</f>
        <v/>
      </c>
      <c r="AP28" s="1454" t="str" cm="1">
        <f t="array" ref="AP28">IFERROR(INDEX($GZ$4:$GZ$165,AY28),"")</f>
        <v/>
      </c>
      <c r="AQ28" s="1457"/>
      <c r="AR28" s="1454" t="str" cm="1">
        <f t="array" ref="AR28">IFERROR(INDEX($HF$4:$HF$165,AY28),"")</f>
        <v/>
      </c>
      <c r="AS28" s="1454" t="str" cm="1">
        <f t="array" ref="AS28">IFERROR(INDEX($HG$4:$HG$165,AY28),"")</f>
        <v/>
      </c>
      <c r="AT28" s="1454" t="str" cm="1">
        <f t="array" ref="AT28">IFERROR(INDEX($HH$4:$HH$165,AY28),"")</f>
        <v/>
      </c>
      <c r="AU28" s="1454" t="str" cm="1">
        <f t="array" ref="AU28">IFERROR(INDEX($GL$4:$GL$165,AY28),"")</f>
        <v/>
      </c>
      <c r="AV28" s="1454" t="str" cm="1">
        <f t="array" ref="AV28">IFERROR(INDEX($GM$4:$GM$165,AY28),"")</f>
        <v/>
      </c>
      <c r="AY28" s="1184" t="str" cm="1">
        <f t="array" ref="AY28">IFERROR(SMALL(IF($HK$4:$HK$165=1,ROW($HK$4:$HK$165)-3),ROW(W16)),IFERROR(SMALL(IF($HK$4:$HK$165=2,ROW($HK$4:$HK$165)-3),ROW(W16)-COUNTIF($HK$4:$HK$165,1)),IFERROR(SMALL(IF($HK$4:$HK$165=0,ROW($HK$4:$HK$165)-3),ROW(W16)-COUNTIF($HK$4:$HK$165,1)-COUNTIF($HK$4:$HK$165,2)),"")))</f>
        <v/>
      </c>
      <c r="AZ28" s="1184" t="str">
        <f t="shared" si="72"/>
        <v>a</v>
      </c>
      <c r="BA28" s="1194" t="e">
        <f t="shared" si="73"/>
        <v>#VALUE!</v>
      </c>
      <c r="BB28" s="1194" cm="1">
        <f t="array" ref="BB28">IFERROR(INDEX($HK$4:$HK$165,AY28),0)</f>
        <v>0</v>
      </c>
      <c r="BC28" s="1194">
        <f t="shared" si="74"/>
        <v>0</v>
      </c>
      <c r="BD28" s="1194"/>
      <c r="BE28" s="1343"/>
      <c r="BF28" s="1343"/>
      <c r="BG28" s="1343"/>
      <c r="BH28" s="1343"/>
      <c r="BI28" s="1343"/>
      <c r="BJ28" s="1343"/>
      <c r="BK28" s="1343"/>
      <c r="BL28" s="1343"/>
      <c r="BM28" s="1343"/>
      <c r="BN28" s="1343"/>
      <c r="BO28" s="1343"/>
      <c r="BQ28" s="1184"/>
      <c r="BR28" s="1184">
        <v>1</v>
      </c>
      <c r="BS28" s="1184"/>
      <c r="BT28" s="1184" t="b">
        <v>0</v>
      </c>
      <c r="BU28" s="1199"/>
      <c r="BV28" s="1199"/>
      <c r="BW28" s="1184">
        <f t="shared" si="75"/>
        <v>12</v>
      </c>
      <c r="BX28" s="1184">
        <f t="shared" si="76"/>
        <v>0</v>
      </c>
      <c r="BY28" s="1184">
        <f t="shared" si="77"/>
        <v>12</v>
      </c>
      <c r="BZ28" s="1184" cm="1">
        <f t="array" ref="BZ28">INDEX(Pflanzen!$AB$5:$AB$114,'Lagerhaltung (freiwillig)'!BR28)</f>
        <v>0</v>
      </c>
      <c r="CA28" s="1184" cm="1">
        <f t="array" ref="CA28">IF(BZ28=1,INDEX(Pflanzen!$AC$5:$AC$114,BR28),N28)</f>
        <v>0</v>
      </c>
      <c r="CB28" s="1184" cm="1">
        <f t="array" ref="CB28">IF(BZ28=1,INDEX(Pflanzen!$AD$5:$AD$114,BR28),O28)</f>
        <v>0</v>
      </c>
      <c r="CC28" s="1184">
        <f t="shared" si="78"/>
        <v>12</v>
      </c>
      <c r="CD28" s="1184">
        <f t="shared" si="79"/>
        <v>0</v>
      </c>
      <c r="CE28" s="1184">
        <f t="shared" si="80"/>
        <v>12</v>
      </c>
      <c r="CF28" s="1184" cm="1">
        <f t="array" ref="CF28">INDEX(Pflanzen!$F$5:$F$114,BR28)</f>
        <v>0</v>
      </c>
      <c r="CG28" s="1184" cm="1">
        <f t="array" ref="CG28">INDEX(Pflanzen!$G$5:$G$114,BR28)</f>
        <v>0</v>
      </c>
      <c r="CH28" s="1184">
        <f t="shared" si="81"/>
        <v>0</v>
      </c>
      <c r="CI28" s="1184">
        <f t="shared" si="93"/>
        <v>0</v>
      </c>
      <c r="CJ28" s="1184">
        <f t="shared" si="94"/>
        <v>0</v>
      </c>
      <c r="CK28" s="1184">
        <f t="shared" si="82"/>
        <v>0</v>
      </c>
      <c r="CL28" s="1184">
        <f t="shared" si="83"/>
        <v>0</v>
      </c>
      <c r="CM28" s="1184">
        <f t="shared" si="84"/>
        <v>0</v>
      </c>
      <c r="CN28" s="1184">
        <f t="shared" si="85"/>
        <v>0</v>
      </c>
      <c r="CO28" s="1184">
        <f t="shared" si="86"/>
        <v>0</v>
      </c>
      <c r="CP28" s="1184">
        <f t="shared" si="87"/>
        <v>0</v>
      </c>
      <c r="CQ28" s="1184">
        <f t="shared" si="88"/>
        <v>0</v>
      </c>
      <c r="CR28" s="1184">
        <f t="shared" si="89"/>
        <v>0</v>
      </c>
      <c r="CS28" s="1184">
        <f t="shared" si="90"/>
        <v>0</v>
      </c>
      <c r="CT28" s="1184">
        <f t="shared" si="91"/>
        <v>0</v>
      </c>
      <c r="CU28" s="1184">
        <f t="shared" si="95"/>
        <v>2</v>
      </c>
      <c r="CV28" s="1184">
        <f t="shared" si="96"/>
        <v>0</v>
      </c>
      <c r="CW28" s="1186">
        <f t="shared" si="97"/>
        <v>0</v>
      </c>
      <c r="CX28" s="1184"/>
      <c r="CY28" s="320" t="str">
        <f>Pflanzen!A24</f>
        <v xml:space="preserve"> +++Körnerleguminosen+++</v>
      </c>
      <c r="CZ28" s="1200">
        <f>IFERROR(MATCH($CY28,Pflanzen!$C$5:$C$114,0),1)</f>
        <v>20</v>
      </c>
      <c r="DA28" s="320" cm="1">
        <f t="array" ref="DA28">INDEX(Pflanzen!$H$5:$H$114,'Lagerhaltung (freiwillig)'!CZ28)</f>
        <v>0</v>
      </c>
      <c r="DB28" s="1200">
        <f t="shared" si="98"/>
        <v>0</v>
      </c>
      <c r="DC28" s="1200">
        <f t="shared" si="98"/>
        <v>0</v>
      </c>
      <c r="DD28" s="1200">
        <f t="shared" si="98"/>
        <v>0</v>
      </c>
      <c r="DE28" s="1200">
        <f t="shared" si="98"/>
        <v>0</v>
      </c>
      <c r="DF28" s="1200">
        <f t="shared" si="98"/>
        <v>0</v>
      </c>
      <c r="DG28" s="1184">
        <f t="shared" si="98"/>
        <v>0</v>
      </c>
      <c r="DH28" s="1184">
        <f t="shared" si="98"/>
        <v>0</v>
      </c>
      <c r="DI28" s="1184">
        <f t="shared" si="98"/>
        <v>0</v>
      </c>
      <c r="DJ28" s="1184">
        <f t="shared" si="98"/>
        <v>0</v>
      </c>
      <c r="DK28" s="1184">
        <f t="shared" si="98"/>
        <v>0</v>
      </c>
      <c r="DL28" s="1184">
        <f t="shared" si="98"/>
        <v>0</v>
      </c>
      <c r="DM28" s="1184">
        <f t="shared" si="98"/>
        <v>0</v>
      </c>
      <c r="DN28" s="1184"/>
      <c r="DO28" s="1184">
        <f t="shared" si="99"/>
        <v>0</v>
      </c>
      <c r="DP28" s="1184">
        <f t="shared" si="99"/>
        <v>0</v>
      </c>
      <c r="DQ28" s="1184">
        <f t="shared" si="99"/>
        <v>0</v>
      </c>
      <c r="DR28" s="1184">
        <f t="shared" si="99"/>
        <v>0</v>
      </c>
      <c r="DS28" s="1184">
        <f t="shared" si="99"/>
        <v>0</v>
      </c>
      <c r="DT28" s="1184">
        <f t="shared" si="99"/>
        <v>0</v>
      </c>
      <c r="DU28" s="1184">
        <f t="shared" si="99"/>
        <v>0</v>
      </c>
      <c r="DV28" s="1184">
        <f t="shared" si="99"/>
        <v>0</v>
      </c>
      <c r="DW28" s="1184">
        <f t="shared" si="99"/>
        <v>0</v>
      </c>
      <c r="DX28" s="1184">
        <f t="shared" si="99"/>
        <v>0</v>
      </c>
      <c r="DY28" s="1184">
        <f t="shared" si="99"/>
        <v>0</v>
      </c>
      <c r="DZ28" s="1184">
        <f t="shared" si="99"/>
        <v>0</v>
      </c>
      <c r="EA28" s="1184"/>
      <c r="EB28" s="1184">
        <f t="shared" si="100"/>
        <v>0</v>
      </c>
      <c r="EC28" s="1184">
        <f t="shared" si="100"/>
        <v>0</v>
      </c>
      <c r="ED28" s="1184">
        <f t="shared" si="100"/>
        <v>0</v>
      </c>
      <c r="EE28" s="1184">
        <f t="shared" si="100"/>
        <v>0</v>
      </c>
      <c r="EF28" s="1184">
        <f t="shared" si="100"/>
        <v>0</v>
      </c>
      <c r="EG28" s="1184">
        <f t="shared" si="100"/>
        <v>0</v>
      </c>
      <c r="EH28" s="1184">
        <f t="shared" si="100"/>
        <v>0</v>
      </c>
      <c r="EI28" s="1184">
        <f t="shared" si="100"/>
        <v>0</v>
      </c>
      <c r="EJ28" s="1184">
        <f t="shared" si="100"/>
        <v>0</v>
      </c>
      <c r="EK28" s="1184">
        <f t="shared" si="100"/>
        <v>0</v>
      </c>
      <c r="EL28" s="1184">
        <f t="shared" si="100"/>
        <v>0</v>
      </c>
      <c r="EM28" s="1184">
        <f t="shared" si="100"/>
        <v>0</v>
      </c>
      <c r="EN28" s="1184"/>
      <c r="EO28" s="1184">
        <f t="shared" si="101"/>
        <v>0</v>
      </c>
      <c r="EP28" s="1184">
        <f t="shared" si="101"/>
        <v>0</v>
      </c>
      <c r="EQ28" s="1184">
        <f t="shared" si="101"/>
        <v>0</v>
      </c>
      <c r="ER28" s="1184">
        <f t="shared" si="101"/>
        <v>0</v>
      </c>
      <c r="ES28" s="1184">
        <f t="shared" si="101"/>
        <v>0</v>
      </c>
      <c r="ET28" s="1184">
        <f t="shared" si="101"/>
        <v>0</v>
      </c>
      <c r="EU28" s="1184">
        <f t="shared" si="101"/>
        <v>0</v>
      </c>
      <c r="EV28" s="1184">
        <f t="shared" si="101"/>
        <v>0</v>
      </c>
      <c r="EW28" s="1184">
        <f t="shared" si="101"/>
        <v>0</v>
      </c>
      <c r="EX28" s="1184">
        <f t="shared" si="101"/>
        <v>0</v>
      </c>
      <c r="EY28" s="1184">
        <f t="shared" si="101"/>
        <v>0</v>
      </c>
      <c r="EZ28" s="1184">
        <f t="shared" si="101"/>
        <v>0</v>
      </c>
      <c r="FA28" s="1184"/>
      <c r="FB28" s="1186">
        <f t="shared" si="51"/>
        <v>0</v>
      </c>
      <c r="FC28" s="1184">
        <f>FB28+DB28+EB28                 -         SUMIF('Nährstoffe und Lagerraum'!$AX$113:$AX$155,$CZ28,'Nährstoffe und Lagerraum'!$U$113:$U$155)/12  -$GD28*$HE28/12</f>
        <v>0</v>
      </c>
      <c r="FD28" s="1184">
        <f>FC28+DC28+EC28                 -         SUMIF('Nährstoffe und Lagerraum'!$AX$113:$AX$155,$CZ28,'Nährstoffe und Lagerraum'!$U$113:$U$155)/12  -$GD28*$HE28/12</f>
        <v>0</v>
      </c>
      <c r="FE28" s="1184">
        <f>FD28+DD28+ED28                 -         SUMIF('Nährstoffe und Lagerraum'!$AX$113:$AX$155,$CZ28,'Nährstoffe und Lagerraum'!$U$113:$U$155)/12  -$GD28*$HE28/12</f>
        <v>0</v>
      </c>
      <c r="FF28" s="1184">
        <f>FE28+DE28+EE28                 -         SUMIF('Nährstoffe und Lagerraum'!$AX$113:$AX$155,$CZ28,'Nährstoffe und Lagerraum'!$U$113:$U$155)/12  -$GD28*$HE28/12</f>
        <v>0</v>
      </c>
      <c r="FG28" s="1184">
        <f>FF28+DF28+EF28                 -         SUMIF('Nährstoffe und Lagerraum'!$AX$113:$AX$155,$CZ28,'Nährstoffe und Lagerraum'!$U$113:$U$155)/12  -$GD28*$HE28/12</f>
        <v>0</v>
      </c>
      <c r="FH28" s="1184">
        <f>FG28+DG28+EG28                 -         SUMIF('Nährstoffe und Lagerraum'!$AX$113:$AX$155,$CZ28,'Nährstoffe und Lagerraum'!$U$113:$U$155)/12  -$GD28*$HE28/12</f>
        <v>0</v>
      </c>
      <c r="FI28" s="1184">
        <f>FH28+DH28+EH28                 -         SUMIF('Nährstoffe und Lagerraum'!$AX$113:$AX$155,$CZ28,'Nährstoffe und Lagerraum'!$U$113:$U$155)/12  -$GD28*$HE28/12</f>
        <v>0</v>
      </c>
      <c r="FJ28" s="1184">
        <f>FI28+DI28+EI28                 -         SUMIF('Nährstoffe und Lagerraum'!$AX$113:$AX$155,$CZ28,'Nährstoffe und Lagerraum'!$U$113:$U$155)/12  -$GD28*$HE28/12</f>
        <v>0</v>
      </c>
      <c r="FK28" s="1184">
        <f>FJ28+DJ28+EJ28                 -         SUMIF('Nährstoffe und Lagerraum'!$AX$113:$AX$155,$CZ28,'Nährstoffe und Lagerraum'!$U$113:$U$155)/12  -$GD28*$HE28/12</f>
        <v>0</v>
      </c>
      <c r="FL28" s="1184">
        <f>FK28+DK28+EK28                 -         SUMIF('Nährstoffe und Lagerraum'!$AX$113:$AX$155,$CZ28,'Nährstoffe und Lagerraum'!$U$113:$U$155)/12  -$GD28*$HE28/12</f>
        <v>0</v>
      </c>
      <c r="FM28" s="1184">
        <f>FL28+DL28+EL28                 -         SUMIF('Nährstoffe und Lagerraum'!$AX$113:$AX$155,$CZ28,'Nährstoffe und Lagerraum'!$U$113:$U$155)/12  -$GD28*$HE28/12</f>
        <v>0</v>
      </c>
      <c r="FN28" s="1184">
        <f>FM28+DM28+EM28                 -         SUMIF('Nährstoffe und Lagerraum'!$AX$113:$AX$155,$CZ28,'Nährstoffe und Lagerraum'!$U$113:$U$155)/12  -$GD28*$HE28/12</f>
        <v>0</v>
      </c>
      <c r="FO28" s="1184"/>
      <c r="FP28" s="1186">
        <f t="shared" si="52"/>
        <v>0</v>
      </c>
      <c r="FQ28" s="1184">
        <f>FP28+DO28+EO28                 -         SUMIF('Nährstoffe und Lagerraum'!$AX$113:$AX$155,$CZ28,'Nährstoffe und Lagerraum'!$V$113:$V$155)/12  -$GE28*$HE28/12</f>
        <v>0</v>
      </c>
      <c r="FR28" s="1184">
        <f>FQ28+DP28+EP28                 -         SUMIF('Nährstoffe und Lagerraum'!$AX$113:$AX$155,$CZ28,'Nährstoffe und Lagerraum'!$V$113:$V$155)/12  -$GE28*$HE28/12</f>
        <v>0</v>
      </c>
      <c r="FS28" s="1184">
        <f>FR28+DQ28+EQ28                 -         SUMIF('Nährstoffe und Lagerraum'!$AX$113:$AX$155,$CZ28,'Nährstoffe und Lagerraum'!$V$113:$V$155)/12  -$GE28*$HE28/12</f>
        <v>0</v>
      </c>
      <c r="FT28" s="1184">
        <f>FS28+DR28+ER28                 -         SUMIF('Nährstoffe und Lagerraum'!$AX$113:$AX$155,$CZ28,'Nährstoffe und Lagerraum'!$V$113:$V$155)/12  -$GE28*$HE28/12</f>
        <v>0</v>
      </c>
      <c r="FU28" s="1184">
        <f>FT28+DS28+ES28                 -         SUMIF('Nährstoffe und Lagerraum'!$AX$113:$AX$155,$CZ28,'Nährstoffe und Lagerraum'!$V$113:$V$155)/12  -$GE28*$HE28/12</f>
        <v>0</v>
      </c>
      <c r="FV28" s="1184">
        <f>FU28+DT28+ET28                 -         SUMIF('Nährstoffe und Lagerraum'!$AX$113:$AX$155,$CZ28,'Nährstoffe und Lagerraum'!$V$113:$V$155)/12  -$GE28*$HE28/12</f>
        <v>0</v>
      </c>
      <c r="FW28" s="1184">
        <f>FV28+DU28+EU28                 -         SUMIF('Nährstoffe und Lagerraum'!$AX$113:$AX$155,$CZ28,'Nährstoffe und Lagerraum'!$V$113:$V$155)/12  -$GE28*$HE28/12</f>
        <v>0</v>
      </c>
      <c r="FX28" s="1184">
        <f>FW28+DV28+EV28                 -         SUMIF('Nährstoffe und Lagerraum'!$AX$113:$AX$155,$CZ28,'Nährstoffe und Lagerraum'!$V$113:$V$155)/12  -$GE28*$HE28/12</f>
        <v>0</v>
      </c>
      <c r="FY28" s="1184">
        <f>FX28+DW28+EW28                 -         SUMIF('Nährstoffe und Lagerraum'!$AX$113:$AX$155,$CZ28,'Nährstoffe und Lagerraum'!$V$113:$V$155)/12  -$GE28*$HE28/12</f>
        <v>0</v>
      </c>
      <c r="FZ28" s="1184">
        <f>FY28+DX28+EX28                 -         SUMIF('Nährstoffe und Lagerraum'!$AX$113:$AX$155,$CZ28,'Nährstoffe und Lagerraum'!$V$113:$V$155)/12  -$GE28*$HE28/12</f>
        <v>0</v>
      </c>
      <c r="GA28" s="1184">
        <f>FZ28+DY28+EY28                 -         SUMIF('Nährstoffe und Lagerraum'!$AX$113:$AX$155,$CZ28,'Nährstoffe und Lagerraum'!$V$113:$V$155)/12  -$GE28*$HE28/12</f>
        <v>0</v>
      </c>
      <c r="GB28" s="1184">
        <f>GA28+DZ28+EZ28                 -         SUMIF('Nährstoffe und Lagerraum'!$AX$113:$AX$155,$CZ28,'Nährstoffe und Lagerraum'!$V$113:$V$155)/12  -$GE28*$HE28/12</f>
        <v>0</v>
      </c>
      <c r="GC28" s="1184"/>
      <c r="GD28" s="1184">
        <f>SUMIFS($CI$14:$CI$68,$BR$14:$BR$68,$CZ28)+SUMIFS($CM$14:$CM$68,$BR$14:$BR$68,$CZ28)+SUMIFS($CR$14:$CR$68,$BR$14:$BR$68,$CZ28)  -         SUMIF('Nährstoffe und Lagerraum'!$AX$113:$AX$155,$CZ28,'Nährstoffe und Lagerraum'!$U$113:$U$155)</f>
        <v>0</v>
      </c>
      <c r="GE28" s="1184">
        <f>SUMIFS($CJ$14:$CJ$68,$BR$14:$BR$68,$CZ28)+SUMIFS($CO$14:$CO$68,$BR$14:$BR$68,$CZ28)+SUMIFS($CT$14:$CT$68,$BR$14:$BR$68,$CZ28)  -         SUMIF('Nährstoffe und Lagerraum'!$AX$113:$AX$155,$CZ28,'Nährstoffe und Lagerraum'!$V$113:$V$155)</f>
        <v>0</v>
      </c>
      <c r="GF28" s="1184"/>
      <c r="GG28" s="1184"/>
      <c r="GH28" s="1184">
        <f>SUMIF('Nährstoffe und Lagerraum'!$AX$113:$AX$155,$CZ28,'Nährstoffe und Lagerraum'!$U$113:$U$155)</f>
        <v>0</v>
      </c>
      <c r="GI28" s="1184">
        <f>SUMIF('Nährstoffe und Lagerraum'!$AX$113:$AX$155,$CZ28,'Nährstoffe und Lagerraum'!$V$113:$V$155)</f>
        <v>0</v>
      </c>
      <c r="GJ28" s="1184">
        <f t="shared" si="53"/>
        <v>0</v>
      </c>
      <c r="GK28" s="1184">
        <f t="shared" si="54"/>
        <v>0</v>
      </c>
      <c r="GL28" s="1184">
        <f t="shared" si="55"/>
        <v>0</v>
      </c>
      <c r="GM28" s="1184">
        <f t="shared" si="56"/>
        <v>0</v>
      </c>
      <c r="GN28" s="1184">
        <f t="shared" si="57"/>
        <v>0</v>
      </c>
      <c r="GO28" s="1184" cm="1">
        <f t="array" ref="GO28">IF(GN28=0,0,(IFERROR(SUMPRODUCT($J$14:$J$68,$CH$14:$CH$68,($BR$14:$BR$68=CZ28)*1)+SUMPRODUCT($L$14:$L$68,$M$14:$M$68,$CK$14:$CK$68,($BR$14:$BR$68=CZ28)*1,($BT$14:$BT$68=FALSE)*1)/10+SUMPRODUCT($R$14:$R$68,$CP$14:$CP$68,($BR$14:$BR$68=CZ28)*1),0))/GN28)</f>
        <v>0</v>
      </c>
      <c r="GP28" s="1184">
        <f t="shared" si="58"/>
        <v>0</v>
      </c>
      <c r="GQ28" s="1184">
        <f>(SUMIF('Nährstoffe und Lagerraum'!$AX$113:$AX$130,'Lagerhaltung (freiwillig)'!CZ28,'Nährstoffe und Lagerraum'!$D$113:$D$130)+SUMIF('Nährstoffe und Lagerraum'!$AX$137:$AX$155,'Lagerhaltung (freiwillig)'!CZ28,'Nährstoffe und Lagerraum'!$E$137:$E$155))</f>
        <v>0</v>
      </c>
      <c r="GR28" s="1184" cm="1">
        <f t="array" ref="GR28">IF(GQ28=0,0,(IFERROR(SUMPRODUCT('Nährstoffe und Lagerraum'!$D$113:$D$130,'Nährstoffe und Lagerraum'!$F$113:$F$130,('Nährstoffe und Lagerraum'!$AX$113:$AX$130='Lagerhaltung (freiwillig)'!CZ28)*1)+SUMPRODUCT('Nährstoffe und Lagerraum'!$E$137:$E$155,'Nährstoffe und Lagerraum'!$F$137:$F$155,('Nährstoffe und Lagerraum'!$AX$137:$AX$155='Lagerhaltung (freiwillig)'!CZ28)*1),0))/GQ28)</f>
        <v>0</v>
      </c>
      <c r="GS28" s="1184">
        <f t="shared" si="59"/>
        <v>0</v>
      </c>
      <c r="GT28" s="1184">
        <f t="shared" si="60"/>
        <v>0</v>
      </c>
      <c r="GU28" s="1184">
        <f t="shared" si="61"/>
        <v>0</v>
      </c>
      <c r="GV28" s="1184">
        <f t="shared" si="62"/>
        <v>0</v>
      </c>
      <c r="GW28" s="1186" t="str">
        <f t="shared" si="41"/>
        <v xml:space="preserve"> </v>
      </c>
      <c r="GX28" s="1186" t="str">
        <f t="shared" si="41"/>
        <v xml:space="preserve"> </v>
      </c>
      <c r="GY28" s="1195">
        <f t="shared" si="63"/>
        <v>0</v>
      </c>
      <c r="GZ28" s="1184">
        <f t="shared" si="64"/>
        <v>0</v>
      </c>
      <c r="HA28" s="1184" t="str">
        <f t="shared" si="44"/>
        <v>a</v>
      </c>
      <c r="HB28" s="1196">
        <f t="shared" si="65"/>
        <v>0</v>
      </c>
      <c r="HC28" s="1196">
        <f t="shared" si="66"/>
        <v>0</v>
      </c>
      <c r="HD28" s="1196"/>
      <c r="HE28" s="1187">
        <f t="shared" si="67"/>
        <v>0</v>
      </c>
      <c r="HF28" s="1196">
        <f t="shared" si="68"/>
        <v>0</v>
      </c>
      <c r="HG28" s="1196">
        <f t="shared" si="69"/>
        <v>0</v>
      </c>
      <c r="HH28" s="1196">
        <f t="shared" si="70"/>
        <v>0</v>
      </c>
      <c r="HI28" s="1328" cm="1">
        <f t="array" ref="HI28">IF(AND(HG28=0,GL28=0),0,IF(HG28=0,1,IF(OR(GL28*1000/HG28/HH28&gt;INDEX(Pflanzen!$W$5:$W$104,CZ28)/INDEX(Pflanzen!$I$5:$I$104,CZ28)*$HI$1,GL28*1000/HG28/HH28&lt;INDEX(Pflanzen!$W$5:$W$104,CZ28)/INDEX(Pflanzen!$I$5:$I$104,CZ28)/$HI$1),1,0)))</f>
        <v>0</v>
      </c>
      <c r="HJ28" s="1328" cm="1">
        <f t="array" ref="HJ28">IF(AND(GM28=0,HG28=0),0,IF(HG28=0,1,IF(OR(GM28*1000/HG28/HH28&gt;INDEX(Pflanzen!$X$5:$X$104,CZ28)/INDEX(Pflanzen!$I$5:$I$104,CZ28)*$HI$1,GM28*1000/HG28/HH28&lt;INDEX(Pflanzen!$X$5:$X$104,CZ28)/INDEX(Pflanzen!$I$5:$I$104,CZ28)/$HI$1),1,0)))</f>
        <v>0</v>
      </c>
      <c r="HK28" s="1184">
        <f t="shared" si="71"/>
        <v>3</v>
      </c>
      <c r="HL28" s="1184"/>
      <c r="HN28" s="1184"/>
      <c r="HO28" s="1193" t="str">
        <f>Tiere!B54</f>
        <v>Zuchtsauen mit 28 Ferkel bis 28 kg, N-/P-reduziert</v>
      </c>
      <c r="HP28" s="1184">
        <v>25</v>
      </c>
      <c r="HQ28" s="1194">
        <f>SUMIF('Nährstoffe und Lagerraum'!$BM$68:$BM$87,'Lagerhaltung (freiwillig)'!HP28,'Nährstoffe und Lagerraum'!$Z$68:$Z$87)+SUMIF('Nährstoffe und Lagerraum'!$BM$68:$BM$87,'Lagerhaltung (freiwillig)'!HP28,'Nährstoffe und Lagerraum'!$AA$68:$AA$87)</f>
        <v>0</v>
      </c>
      <c r="HR28" s="1184" cm="1">
        <f t="array" ref="HR28">INDEX(Tiere!$C$30:$C$114,'Lagerhaltung (freiwillig)'!HP28)</f>
        <v>2</v>
      </c>
      <c r="HS28" s="1184" cm="1">
        <f t="array" ref="HS28">INDEX(Tiere!$H$30:$H$114,'Lagerhaltung (freiwillig)'!HP28)</f>
        <v>0</v>
      </c>
      <c r="HT28" s="1184">
        <f t="shared" si="12"/>
        <v>0</v>
      </c>
      <c r="HU28" s="1184" cm="1">
        <f t="array" ref="HU28">INDEX(Tiere!$I$30:$I$114,'Lagerhaltung (freiwillig)'!HP28)</f>
        <v>0</v>
      </c>
      <c r="HV28" s="1184">
        <f t="shared" si="13"/>
        <v>0</v>
      </c>
      <c r="HW28" s="1184" cm="1">
        <f t="array" ref="HW28">INDEX(Tiere!$BC$30:$BC$114,'Lagerhaltung (freiwillig)'!HP28)</f>
        <v>20.070399999999999</v>
      </c>
      <c r="HX28" s="1184">
        <f t="shared" si="14"/>
        <v>0</v>
      </c>
      <c r="HY28" s="1184" cm="1">
        <f t="array" ref="HY28">INDEX(Tiere!$BD$30:$BD$114,'Lagerhaltung (freiwillig)'!HP28)</f>
        <v>9.1727999999999987</v>
      </c>
      <c r="HZ28" s="1184">
        <f t="shared" si="15"/>
        <v>0</v>
      </c>
      <c r="IA28" s="1184"/>
      <c r="IB28" s="1184"/>
      <c r="IC28" s="1184"/>
      <c r="ID28" s="1184"/>
      <c r="IE28" s="1184"/>
      <c r="IF28" s="1184"/>
      <c r="IG28" s="1184"/>
      <c r="IH28" s="1184"/>
      <c r="II28" s="1184"/>
      <c r="IJ28" s="1184"/>
      <c r="IK28" s="1184"/>
      <c r="IL28" s="1184"/>
    </row>
    <row r="29" spans="1:246" ht="15.6" customHeight="1" x14ac:dyDescent="0.2">
      <c r="A29" s="725"/>
      <c r="B29" s="726"/>
      <c r="C29" s="726"/>
      <c r="D29" s="726"/>
      <c r="E29" s="726"/>
      <c r="F29" s="1466" cm="1">
        <f t="array" ref="F29">INDEX(Pflanzen!$I$5:$I$104,BR29)</f>
        <v>0</v>
      </c>
      <c r="G29" s="1467" cm="1">
        <f t="array" ref="G29">INDEX(Pflanzen!$W$5:$W$104,BR29)</f>
        <v>0</v>
      </c>
      <c r="H29" s="1468" cm="1">
        <f t="array" ref="H29">INDEX(Pflanzen!$X$5:$X$104,BR29)</f>
        <v>0</v>
      </c>
      <c r="I29" s="1122"/>
      <c r="J29" s="1303"/>
      <c r="K29" s="1122"/>
      <c r="L29" s="1487"/>
      <c r="M29" s="1491"/>
      <c r="N29" s="1487"/>
      <c r="O29" s="1487"/>
      <c r="P29" s="1292"/>
      <c r="Q29" s="2180"/>
      <c r="R29" s="1487"/>
      <c r="S29" s="1491"/>
      <c r="T29" s="1303"/>
      <c r="U29" s="725"/>
      <c r="V29" s="1346" t="str">
        <f t="shared" si="92"/>
        <v/>
      </c>
      <c r="Y29" s="1554" t="str" cm="1">
        <f t="array" ref="Y29">IFERROR(INDEX($CY$4:$CY$165,AY29),"")</f>
        <v/>
      </c>
      <c r="Z29" s="1555"/>
      <c r="AA29" s="1555"/>
      <c r="AB29" s="1555"/>
      <c r="AC29" s="1454" t="str" cm="1">
        <f t="array" ref="AC29">IFERROR(INDEX($GN$4:$GN$165,AY29),"")</f>
        <v/>
      </c>
      <c r="AD29" s="1454" t="str" cm="1">
        <f t="array" ref="AD29">IFERROR(INDEX($GO$4:$GO$165,AY29),"")</f>
        <v/>
      </c>
      <c r="AE29" s="1454" t="str" cm="1">
        <f t="array" ref="AE29">IFERROR(INDEX($GJ$4:$GJ$165,AY29),"")</f>
        <v/>
      </c>
      <c r="AF29" s="1454" t="str" cm="1">
        <f t="array" ref="AF29">IFERROR(INDEX($GK$4:$GK$165,AY29),"")</f>
        <v/>
      </c>
      <c r="AG29" s="1454" t="str" cm="1">
        <f t="array" ref="AG29">IFERROR(INDEX($GQ$4:$GQ$165,AY29),"")</f>
        <v/>
      </c>
      <c r="AH29" s="1454" t="str" cm="1">
        <f t="array" ref="AH29">IFERROR(INDEX($GR$4:$GR$165,AY29),"")</f>
        <v/>
      </c>
      <c r="AI29" s="1454" t="str" cm="1">
        <f t="array" ref="AI29">IFERROR(INDEX($GH$4:$GH$165,AY29),"")</f>
        <v/>
      </c>
      <c r="AJ29" s="1454" t="str" cm="1">
        <f t="array" ref="AJ29">IFERROR(INDEX($GI$4:$GI$165,AY29),"")</f>
        <v/>
      </c>
      <c r="AK29" s="1454" t="str" cm="1">
        <f t="array" ref="AK29">IFERROR(INDEX($GU$4:$GU$165,AY29),"")</f>
        <v/>
      </c>
      <c r="AL29" s="1455" t="str" cm="1">
        <f t="array" ref="AL29">IFERROR(INDEX($GV$4:$GV$165,AY29),"")</f>
        <v/>
      </c>
      <c r="AM29" s="1454" t="str" cm="1">
        <f t="array" ref="AM29">IFERROR(INDEX($GD$4:$GD$165,AY29),"")</f>
        <v/>
      </c>
      <c r="AN29" s="1454" t="str" cm="1">
        <f t="array" ref="AN29">IFERROR(INDEX($GE$4:$GE$165,AY29),"")</f>
        <v/>
      </c>
      <c r="AO29" s="1454" t="str" cm="1">
        <f t="array" ref="AO29">IFERROR(INDEX($GW$4:$GW$165,AY29),"")</f>
        <v/>
      </c>
      <c r="AP29" s="1454" t="str" cm="1">
        <f t="array" ref="AP29">IFERROR(INDEX($GZ$4:$GZ$165,AY29),"")</f>
        <v/>
      </c>
      <c r="AQ29" s="1457"/>
      <c r="AR29" s="1454" t="str" cm="1">
        <f t="array" ref="AR29">IFERROR(INDEX($HF$4:$HF$165,AY29),"")</f>
        <v/>
      </c>
      <c r="AS29" s="1454" t="str" cm="1">
        <f t="array" ref="AS29">IFERROR(INDEX($HG$4:$HG$165,AY29),"")</f>
        <v/>
      </c>
      <c r="AT29" s="1454" t="str" cm="1">
        <f t="array" ref="AT29">IFERROR(INDEX($HH$4:$HH$165,AY29),"")</f>
        <v/>
      </c>
      <c r="AU29" s="1454" t="str" cm="1">
        <f t="array" ref="AU29">IFERROR(INDEX($GL$4:$GL$165,AY29),"")</f>
        <v/>
      </c>
      <c r="AV29" s="1454" t="str" cm="1">
        <f t="array" ref="AV29">IFERROR(INDEX($GM$4:$GM$165,AY29),"")</f>
        <v/>
      </c>
      <c r="AY29" s="1184" t="str" cm="1">
        <f t="array" ref="AY29">IFERROR(SMALL(IF($HK$4:$HK$165=1,ROW($HK$4:$HK$165)-3),ROW(W17)),IFERROR(SMALL(IF($HK$4:$HK$165=2,ROW($HK$4:$HK$165)-3),ROW(W17)-COUNTIF($HK$4:$HK$165,1)),IFERROR(SMALL(IF($HK$4:$HK$165=0,ROW($HK$4:$HK$165)-3),ROW(W17)-COUNTIF($HK$4:$HK$165,1)-COUNTIF($HK$4:$HK$165,2)),"")))</f>
        <v/>
      </c>
      <c r="AZ29" s="1184" t="str">
        <f t="shared" si="72"/>
        <v>a</v>
      </c>
      <c r="BA29" s="1194" t="e">
        <f t="shared" si="73"/>
        <v>#VALUE!</v>
      </c>
      <c r="BB29" s="1194" cm="1">
        <f t="array" ref="BB29">IFERROR(INDEX($HK$4:$HK$165,AY29),0)</f>
        <v>0</v>
      </c>
      <c r="BC29" s="1194">
        <f t="shared" si="74"/>
        <v>0</v>
      </c>
      <c r="BD29" s="1194"/>
      <c r="BE29" s="1343"/>
      <c r="BF29" s="1343"/>
      <c r="BG29" s="1343"/>
      <c r="BH29" s="1343"/>
      <c r="BI29" s="1343"/>
      <c r="BJ29" s="1343"/>
      <c r="BK29" s="1343"/>
      <c r="BL29" s="1343"/>
      <c r="BM29" s="1343"/>
      <c r="BN29" s="1343"/>
      <c r="BO29" s="1343"/>
      <c r="BQ29" s="1184"/>
      <c r="BR29" s="1184">
        <v>1</v>
      </c>
      <c r="BS29" s="1184"/>
      <c r="BT29" s="1184" t="b">
        <v>0</v>
      </c>
      <c r="BU29" s="1199"/>
      <c r="BV29" s="1199"/>
      <c r="BW29" s="1184">
        <f t="shared" si="75"/>
        <v>12</v>
      </c>
      <c r="BX29" s="1184">
        <f t="shared" si="76"/>
        <v>0</v>
      </c>
      <c r="BY29" s="1184">
        <f t="shared" si="77"/>
        <v>12</v>
      </c>
      <c r="BZ29" s="1184" cm="1">
        <f t="array" ref="BZ29">INDEX(Pflanzen!$AB$5:$AB$114,'Lagerhaltung (freiwillig)'!BR29)</f>
        <v>0</v>
      </c>
      <c r="CA29" s="1184" cm="1">
        <f t="array" ref="CA29">IF(BZ29=1,INDEX(Pflanzen!$AC$5:$AC$114,BR29),N29)</f>
        <v>0</v>
      </c>
      <c r="CB29" s="1184" cm="1">
        <f t="array" ref="CB29">IF(BZ29=1,INDEX(Pflanzen!$AD$5:$AD$114,BR29),O29)</f>
        <v>0</v>
      </c>
      <c r="CC29" s="1184">
        <f t="shared" si="78"/>
        <v>12</v>
      </c>
      <c r="CD29" s="1184">
        <f t="shared" si="79"/>
        <v>0</v>
      </c>
      <c r="CE29" s="1184">
        <f t="shared" si="80"/>
        <v>12</v>
      </c>
      <c r="CF29" s="1184" cm="1">
        <f t="array" ref="CF29">INDEX(Pflanzen!$F$5:$F$114,BR29)</f>
        <v>0</v>
      </c>
      <c r="CG29" s="1184" cm="1">
        <f t="array" ref="CG29">INDEX(Pflanzen!$G$5:$G$114,BR29)</f>
        <v>0</v>
      </c>
      <c r="CH29" s="1184">
        <f t="shared" si="81"/>
        <v>0</v>
      </c>
      <c r="CI29" s="1184">
        <f t="shared" si="93"/>
        <v>0</v>
      </c>
      <c r="CJ29" s="1184">
        <f t="shared" si="94"/>
        <v>0</v>
      </c>
      <c r="CK29" s="1184">
        <f t="shared" si="82"/>
        <v>0</v>
      </c>
      <c r="CL29" s="1184">
        <f t="shared" si="83"/>
        <v>0</v>
      </c>
      <c r="CM29" s="1184">
        <f t="shared" si="84"/>
        <v>0</v>
      </c>
      <c r="CN29" s="1184">
        <f t="shared" si="85"/>
        <v>0</v>
      </c>
      <c r="CO29" s="1184">
        <f t="shared" si="86"/>
        <v>0</v>
      </c>
      <c r="CP29" s="1184">
        <f t="shared" si="87"/>
        <v>0</v>
      </c>
      <c r="CQ29" s="1184">
        <f t="shared" si="88"/>
        <v>0</v>
      </c>
      <c r="CR29" s="1184">
        <f t="shared" si="89"/>
        <v>0</v>
      </c>
      <c r="CS29" s="1184">
        <f t="shared" si="90"/>
        <v>0</v>
      </c>
      <c r="CT29" s="1184">
        <f t="shared" si="91"/>
        <v>0</v>
      </c>
      <c r="CU29" s="1184">
        <f t="shared" si="95"/>
        <v>2</v>
      </c>
      <c r="CV29" s="1184">
        <f t="shared" si="96"/>
        <v>0</v>
      </c>
      <c r="CW29" s="1186">
        <f t="shared" si="97"/>
        <v>0</v>
      </c>
      <c r="CX29" s="1184"/>
      <c r="CY29" s="320" t="str">
        <f>Pflanzen!A25</f>
        <v>Ackerbohnen</v>
      </c>
      <c r="CZ29" s="1200">
        <f>IFERROR(MATCH($CY29,Pflanzen!$C$5:$C$114,0),1)</f>
        <v>21</v>
      </c>
      <c r="DA29" s="320" cm="1">
        <f t="array" ref="DA29">INDEX(Pflanzen!$H$5:$H$114,'Lagerhaltung (freiwillig)'!CZ29)</f>
        <v>2</v>
      </c>
      <c r="DB29" s="1200">
        <f t="shared" ref="DB29:DM38" si="102">SUMIFS($CQ$14:$CQ$68,$BW$14:$BW$68,1,$BX$14:$BX$68,DB$2,$BR$14:$BR$68,$CZ29)+    SUMIFS($CQ$14:$CQ$68,$BW$14:$BW$68,"&gt;1",$BX$14:$BX$68,"&lt;="&amp;DB$2,$BY$14:$BY$68,"&gt;="&amp;DB$2,$BR$14:$BR$68,$CZ29)</f>
        <v>0</v>
      </c>
      <c r="DC29" s="1200">
        <f t="shared" si="102"/>
        <v>0</v>
      </c>
      <c r="DD29" s="1200">
        <f t="shared" si="102"/>
        <v>0</v>
      </c>
      <c r="DE29" s="1200">
        <f t="shared" si="102"/>
        <v>0</v>
      </c>
      <c r="DF29" s="1200">
        <f t="shared" si="102"/>
        <v>0</v>
      </c>
      <c r="DG29" s="1184">
        <f t="shared" si="102"/>
        <v>0</v>
      </c>
      <c r="DH29" s="1184">
        <f t="shared" si="102"/>
        <v>0</v>
      </c>
      <c r="DI29" s="1184">
        <f t="shared" si="102"/>
        <v>0</v>
      </c>
      <c r="DJ29" s="1184">
        <f t="shared" si="102"/>
        <v>0</v>
      </c>
      <c r="DK29" s="1184">
        <f t="shared" si="102"/>
        <v>0</v>
      </c>
      <c r="DL29" s="1184">
        <f t="shared" si="102"/>
        <v>0</v>
      </c>
      <c r="DM29" s="1184">
        <f t="shared" si="102"/>
        <v>0</v>
      </c>
      <c r="DN29" s="1184"/>
      <c r="DO29" s="1184">
        <f t="shared" ref="DO29:DZ38" si="103">SUMIFS($CS$14:$CS$68,$BW$14:$BW$68,1,$BX$14:$BX$68,DO$2,$BR$14:$BR$68,$CZ29)+    SUMIFS($CS$14:$CS$68,$BW$14:$BW$68,"&gt;1",$BX$14:$BX$68,"&lt;="&amp;DO$2,$BY$14:$BY$68,"&gt;="&amp;DO$2,$BR$14:$BR$68,$CZ29)</f>
        <v>0</v>
      </c>
      <c r="DP29" s="1184">
        <f t="shared" si="103"/>
        <v>0</v>
      </c>
      <c r="DQ29" s="1184">
        <f t="shared" si="103"/>
        <v>0</v>
      </c>
      <c r="DR29" s="1184">
        <f t="shared" si="103"/>
        <v>0</v>
      </c>
      <c r="DS29" s="1184">
        <f t="shared" si="103"/>
        <v>0</v>
      </c>
      <c r="DT29" s="1184">
        <f t="shared" si="103"/>
        <v>0</v>
      </c>
      <c r="DU29" s="1184">
        <f t="shared" si="103"/>
        <v>0</v>
      </c>
      <c r="DV29" s="1184">
        <f t="shared" si="103"/>
        <v>0</v>
      </c>
      <c r="DW29" s="1184">
        <f t="shared" si="103"/>
        <v>0</v>
      </c>
      <c r="DX29" s="1184">
        <f t="shared" si="103"/>
        <v>0</v>
      </c>
      <c r="DY29" s="1184">
        <f t="shared" si="103"/>
        <v>0</v>
      </c>
      <c r="DZ29" s="1184">
        <f t="shared" si="103"/>
        <v>0</v>
      </c>
      <c r="EA29" s="1184"/>
      <c r="EB29" s="1184">
        <f t="shared" ref="EB29:EM38" si="104">SUMIFS($CL$14:$CL$68,$CC$14:$CC$68,1,$CD$14:$CD$68,EB$2,$BR$14:$BR$68,$CZ29)+         SUMIFS($CL$14:$CL$68,$CC$14:$CC$68,"&gt;1",$CD$14:$CD$68,"&lt;="&amp;EB$2,$CE$14:$CE$68,"&gt;="&amp;EB$2,$BR$14:$BR$68,$CZ29)</f>
        <v>0</v>
      </c>
      <c r="EC29" s="1184">
        <f t="shared" si="104"/>
        <v>0</v>
      </c>
      <c r="ED29" s="1184">
        <f t="shared" si="104"/>
        <v>0</v>
      </c>
      <c r="EE29" s="1184">
        <f t="shared" si="104"/>
        <v>0</v>
      </c>
      <c r="EF29" s="1184">
        <f t="shared" si="104"/>
        <v>0</v>
      </c>
      <c r="EG29" s="1184">
        <f t="shared" si="104"/>
        <v>0</v>
      </c>
      <c r="EH29" s="1184">
        <f t="shared" si="104"/>
        <v>0</v>
      </c>
      <c r="EI29" s="1184">
        <f t="shared" si="104"/>
        <v>0</v>
      </c>
      <c r="EJ29" s="1184">
        <f t="shared" si="104"/>
        <v>0</v>
      </c>
      <c r="EK29" s="1184">
        <f t="shared" si="104"/>
        <v>0</v>
      </c>
      <c r="EL29" s="1184">
        <f t="shared" si="104"/>
        <v>0</v>
      </c>
      <c r="EM29" s="1184">
        <f t="shared" si="104"/>
        <v>0</v>
      </c>
      <c r="EN29" s="1184"/>
      <c r="EO29" s="1184">
        <f t="shared" ref="EO29:EZ38" si="105">SUMIFS($CN$14:$CN$68,$CC$14:$CC$68,1,$CD$14:$CD$68,EO$2,$BR$14:$BR$68,$CZ29)+         SUMIFS($CN$14:$CN$68,$CC$14:$CC$68,"&gt;1",$CD$14:$CD$68,"&lt;="&amp;EO$2,$CE$14:$CE$68,"&gt;="&amp;EO$2,$BR$14:$BR$68,$CZ29)</f>
        <v>0</v>
      </c>
      <c r="EP29" s="1184">
        <f t="shared" si="105"/>
        <v>0</v>
      </c>
      <c r="EQ29" s="1184">
        <f t="shared" si="105"/>
        <v>0</v>
      </c>
      <c r="ER29" s="1184">
        <f t="shared" si="105"/>
        <v>0</v>
      </c>
      <c r="ES29" s="1184">
        <f t="shared" si="105"/>
        <v>0</v>
      </c>
      <c r="ET29" s="1184">
        <f t="shared" si="105"/>
        <v>0</v>
      </c>
      <c r="EU29" s="1184">
        <f t="shared" si="105"/>
        <v>0</v>
      </c>
      <c r="EV29" s="1184">
        <f t="shared" si="105"/>
        <v>0</v>
      </c>
      <c r="EW29" s="1184">
        <f t="shared" si="105"/>
        <v>0</v>
      </c>
      <c r="EX29" s="1184">
        <f t="shared" si="105"/>
        <v>0</v>
      </c>
      <c r="EY29" s="1184">
        <f t="shared" si="105"/>
        <v>0</v>
      </c>
      <c r="EZ29" s="1184">
        <f t="shared" si="105"/>
        <v>0</v>
      </c>
      <c r="FA29" s="1184"/>
      <c r="FB29" s="1186">
        <f t="shared" si="51"/>
        <v>0</v>
      </c>
      <c r="FC29" s="1184">
        <f>FB29+DB29+EB29                 -         SUMIF('Nährstoffe und Lagerraum'!$AX$113:$AX$155,$CZ29,'Nährstoffe und Lagerraum'!$U$113:$U$155)/12  -$GD29*$HE29/12</f>
        <v>0</v>
      </c>
      <c r="FD29" s="1184">
        <f>FC29+DC29+EC29                 -         SUMIF('Nährstoffe und Lagerraum'!$AX$113:$AX$155,$CZ29,'Nährstoffe und Lagerraum'!$U$113:$U$155)/12  -$GD29*$HE29/12</f>
        <v>0</v>
      </c>
      <c r="FE29" s="1184">
        <f>FD29+DD29+ED29                 -         SUMIF('Nährstoffe und Lagerraum'!$AX$113:$AX$155,$CZ29,'Nährstoffe und Lagerraum'!$U$113:$U$155)/12  -$GD29*$HE29/12</f>
        <v>0</v>
      </c>
      <c r="FF29" s="1184">
        <f>FE29+DE29+EE29                 -         SUMIF('Nährstoffe und Lagerraum'!$AX$113:$AX$155,$CZ29,'Nährstoffe und Lagerraum'!$U$113:$U$155)/12  -$GD29*$HE29/12</f>
        <v>0</v>
      </c>
      <c r="FG29" s="1184">
        <f>FF29+DF29+EF29                 -         SUMIF('Nährstoffe und Lagerraum'!$AX$113:$AX$155,$CZ29,'Nährstoffe und Lagerraum'!$U$113:$U$155)/12  -$GD29*$HE29/12</f>
        <v>0</v>
      </c>
      <c r="FH29" s="1184">
        <f>FG29+DG29+EG29                 -         SUMIF('Nährstoffe und Lagerraum'!$AX$113:$AX$155,$CZ29,'Nährstoffe und Lagerraum'!$U$113:$U$155)/12  -$GD29*$HE29/12</f>
        <v>0</v>
      </c>
      <c r="FI29" s="1184">
        <f>FH29+DH29+EH29                 -         SUMIF('Nährstoffe und Lagerraum'!$AX$113:$AX$155,$CZ29,'Nährstoffe und Lagerraum'!$U$113:$U$155)/12  -$GD29*$HE29/12</f>
        <v>0</v>
      </c>
      <c r="FJ29" s="1184">
        <f>FI29+DI29+EI29                 -         SUMIF('Nährstoffe und Lagerraum'!$AX$113:$AX$155,$CZ29,'Nährstoffe und Lagerraum'!$U$113:$U$155)/12  -$GD29*$HE29/12</f>
        <v>0</v>
      </c>
      <c r="FK29" s="1184">
        <f>FJ29+DJ29+EJ29                 -         SUMIF('Nährstoffe und Lagerraum'!$AX$113:$AX$155,$CZ29,'Nährstoffe und Lagerraum'!$U$113:$U$155)/12  -$GD29*$HE29/12</f>
        <v>0</v>
      </c>
      <c r="FL29" s="1184">
        <f>FK29+DK29+EK29                 -         SUMIF('Nährstoffe und Lagerraum'!$AX$113:$AX$155,$CZ29,'Nährstoffe und Lagerraum'!$U$113:$U$155)/12  -$GD29*$HE29/12</f>
        <v>0</v>
      </c>
      <c r="FM29" s="1184">
        <f>FL29+DL29+EL29                 -         SUMIF('Nährstoffe und Lagerraum'!$AX$113:$AX$155,$CZ29,'Nährstoffe und Lagerraum'!$U$113:$U$155)/12  -$GD29*$HE29/12</f>
        <v>0</v>
      </c>
      <c r="FN29" s="1184">
        <f>FM29+DM29+EM29                 -         SUMIF('Nährstoffe und Lagerraum'!$AX$113:$AX$155,$CZ29,'Nährstoffe und Lagerraum'!$U$113:$U$155)/12  -$GD29*$HE29/12</f>
        <v>0</v>
      </c>
      <c r="FO29" s="1184"/>
      <c r="FP29" s="1186">
        <f t="shared" si="52"/>
        <v>0</v>
      </c>
      <c r="FQ29" s="1184">
        <f>FP29+DO29+EO29                 -         SUMIF('Nährstoffe und Lagerraum'!$AX$113:$AX$155,$CZ29,'Nährstoffe und Lagerraum'!$V$113:$V$155)/12  -$GE29*$HE29/12</f>
        <v>0</v>
      </c>
      <c r="FR29" s="1184">
        <f>FQ29+DP29+EP29                 -         SUMIF('Nährstoffe und Lagerraum'!$AX$113:$AX$155,$CZ29,'Nährstoffe und Lagerraum'!$V$113:$V$155)/12  -$GE29*$HE29/12</f>
        <v>0</v>
      </c>
      <c r="FS29" s="1184">
        <f>FR29+DQ29+EQ29                 -         SUMIF('Nährstoffe und Lagerraum'!$AX$113:$AX$155,$CZ29,'Nährstoffe und Lagerraum'!$V$113:$V$155)/12  -$GE29*$HE29/12</f>
        <v>0</v>
      </c>
      <c r="FT29" s="1184">
        <f>FS29+DR29+ER29                 -         SUMIF('Nährstoffe und Lagerraum'!$AX$113:$AX$155,$CZ29,'Nährstoffe und Lagerraum'!$V$113:$V$155)/12  -$GE29*$HE29/12</f>
        <v>0</v>
      </c>
      <c r="FU29" s="1184">
        <f>FT29+DS29+ES29                 -         SUMIF('Nährstoffe und Lagerraum'!$AX$113:$AX$155,$CZ29,'Nährstoffe und Lagerraum'!$V$113:$V$155)/12  -$GE29*$HE29/12</f>
        <v>0</v>
      </c>
      <c r="FV29" s="1184">
        <f>FU29+DT29+ET29                 -         SUMIF('Nährstoffe und Lagerraum'!$AX$113:$AX$155,$CZ29,'Nährstoffe und Lagerraum'!$V$113:$V$155)/12  -$GE29*$HE29/12</f>
        <v>0</v>
      </c>
      <c r="FW29" s="1184">
        <f>FV29+DU29+EU29                 -         SUMIF('Nährstoffe und Lagerraum'!$AX$113:$AX$155,$CZ29,'Nährstoffe und Lagerraum'!$V$113:$V$155)/12  -$GE29*$HE29/12</f>
        <v>0</v>
      </c>
      <c r="FX29" s="1184">
        <f>FW29+DV29+EV29                 -         SUMIF('Nährstoffe und Lagerraum'!$AX$113:$AX$155,$CZ29,'Nährstoffe und Lagerraum'!$V$113:$V$155)/12  -$GE29*$HE29/12</f>
        <v>0</v>
      </c>
      <c r="FY29" s="1184">
        <f>FX29+DW29+EW29                 -         SUMIF('Nährstoffe und Lagerraum'!$AX$113:$AX$155,$CZ29,'Nährstoffe und Lagerraum'!$V$113:$V$155)/12  -$GE29*$HE29/12</f>
        <v>0</v>
      </c>
      <c r="FZ29" s="1184">
        <f>FY29+DX29+EX29                 -         SUMIF('Nährstoffe und Lagerraum'!$AX$113:$AX$155,$CZ29,'Nährstoffe und Lagerraum'!$V$113:$V$155)/12  -$GE29*$HE29/12</f>
        <v>0</v>
      </c>
      <c r="GA29" s="1184">
        <f>FZ29+DY29+EY29                 -         SUMIF('Nährstoffe und Lagerraum'!$AX$113:$AX$155,$CZ29,'Nährstoffe und Lagerraum'!$V$113:$V$155)/12  -$GE29*$HE29/12</f>
        <v>0</v>
      </c>
      <c r="GB29" s="1184">
        <f>GA29+DZ29+EZ29                 -         SUMIF('Nährstoffe und Lagerraum'!$AX$113:$AX$155,$CZ29,'Nährstoffe und Lagerraum'!$V$113:$V$155)/12  -$GE29*$HE29/12</f>
        <v>0</v>
      </c>
      <c r="GC29" s="1184"/>
      <c r="GD29" s="1184">
        <f>SUMIFS($CI$14:$CI$68,$BR$14:$BR$68,$CZ29)+SUMIFS($CM$14:$CM$68,$BR$14:$BR$68,$CZ29)+SUMIFS($CR$14:$CR$68,$BR$14:$BR$68,$CZ29)  -         SUMIF('Nährstoffe und Lagerraum'!$AX$113:$AX$155,$CZ29,'Nährstoffe und Lagerraum'!$U$113:$U$155)</f>
        <v>0</v>
      </c>
      <c r="GE29" s="1184">
        <f>SUMIFS($CJ$14:$CJ$68,$BR$14:$BR$68,$CZ29)+SUMIFS($CO$14:$CO$68,$BR$14:$BR$68,$CZ29)+SUMIFS($CT$14:$CT$68,$BR$14:$BR$68,$CZ29)  -         SUMIF('Nährstoffe und Lagerraum'!$AX$113:$AX$155,$CZ29,'Nährstoffe und Lagerraum'!$V$113:$V$155)</f>
        <v>0</v>
      </c>
      <c r="GF29" s="1184"/>
      <c r="GG29" s="1184"/>
      <c r="GH29" s="1184">
        <f>SUMIF('Nährstoffe und Lagerraum'!$AX$113:$AX$155,$CZ29,'Nährstoffe und Lagerraum'!$U$113:$U$155)</f>
        <v>0</v>
      </c>
      <c r="GI29" s="1184">
        <f>SUMIF('Nährstoffe und Lagerraum'!$AX$113:$AX$155,$CZ29,'Nährstoffe und Lagerraum'!$V$113:$V$155)</f>
        <v>0</v>
      </c>
      <c r="GJ29" s="1184">
        <f t="shared" si="53"/>
        <v>0</v>
      </c>
      <c r="GK29" s="1184">
        <f t="shared" si="54"/>
        <v>0</v>
      </c>
      <c r="GL29" s="1184">
        <f t="shared" si="55"/>
        <v>0</v>
      </c>
      <c r="GM29" s="1184">
        <f t="shared" si="56"/>
        <v>0</v>
      </c>
      <c r="GN29" s="1184">
        <f t="shared" si="57"/>
        <v>0</v>
      </c>
      <c r="GO29" s="1184" cm="1">
        <f t="array" ref="GO29">IF(GN29=0,0,(IFERROR(SUMPRODUCT($J$14:$J$68,$CH$14:$CH$68,($BR$14:$BR$68=CZ29)*1)+SUMPRODUCT($L$14:$L$68,$M$14:$M$68,$CK$14:$CK$68,($BR$14:$BR$68=CZ29)*1,($BT$14:$BT$68=FALSE)*1)/10+SUMPRODUCT($R$14:$R$68,$CP$14:$CP$68,($BR$14:$BR$68=CZ29)*1),0))/GN29)</f>
        <v>0</v>
      </c>
      <c r="GP29" s="1184">
        <f t="shared" si="58"/>
        <v>0</v>
      </c>
      <c r="GQ29" s="1184">
        <f>(SUMIF('Nährstoffe und Lagerraum'!$AX$113:$AX$130,'Lagerhaltung (freiwillig)'!CZ29,'Nährstoffe und Lagerraum'!$D$113:$D$130)+SUMIF('Nährstoffe und Lagerraum'!$AX$137:$AX$155,'Lagerhaltung (freiwillig)'!CZ29,'Nährstoffe und Lagerraum'!$E$137:$E$155))</f>
        <v>0</v>
      </c>
      <c r="GR29" s="1184" cm="1">
        <f t="array" ref="GR29">IF(GQ29=0,0,(IFERROR(SUMPRODUCT('Nährstoffe und Lagerraum'!$D$113:$D$130,'Nährstoffe und Lagerraum'!$F$113:$F$130,('Nährstoffe und Lagerraum'!$AX$113:$AX$130='Lagerhaltung (freiwillig)'!CZ29)*1)+SUMPRODUCT('Nährstoffe und Lagerraum'!$E$137:$E$155,'Nährstoffe und Lagerraum'!$F$137:$F$155,('Nährstoffe und Lagerraum'!$AX$137:$AX$155='Lagerhaltung (freiwillig)'!CZ29)*1),0))/GQ29)</f>
        <v>0</v>
      </c>
      <c r="GS29" s="1184">
        <f t="shared" si="59"/>
        <v>0</v>
      </c>
      <c r="GT29" s="1184">
        <f t="shared" si="60"/>
        <v>0</v>
      </c>
      <c r="GU29" s="1184">
        <f t="shared" si="61"/>
        <v>0</v>
      </c>
      <c r="GV29" s="1184">
        <f t="shared" si="62"/>
        <v>0</v>
      </c>
      <c r="GW29" s="1186" t="str">
        <f t="shared" si="41"/>
        <v xml:space="preserve"> </v>
      </c>
      <c r="GX29" s="1186" t="str">
        <f t="shared" si="41"/>
        <v xml:space="preserve"> </v>
      </c>
      <c r="GY29" s="1195">
        <f t="shared" si="63"/>
        <v>0</v>
      </c>
      <c r="GZ29" s="1184">
        <f t="shared" si="64"/>
        <v>0</v>
      </c>
      <c r="HA29" s="1184" t="str">
        <f t="shared" si="44"/>
        <v>a</v>
      </c>
      <c r="HB29" s="1196">
        <f t="shared" si="65"/>
        <v>0</v>
      </c>
      <c r="HC29" s="1196">
        <f t="shared" si="66"/>
        <v>0</v>
      </c>
      <c r="HD29" s="1196"/>
      <c r="HE29" s="1187">
        <f t="shared" si="67"/>
        <v>0</v>
      </c>
      <c r="HF29" s="1196">
        <f t="shared" si="68"/>
        <v>0</v>
      </c>
      <c r="HG29" s="1196">
        <f t="shared" si="69"/>
        <v>0</v>
      </c>
      <c r="HH29" s="1196">
        <f t="shared" si="70"/>
        <v>0</v>
      </c>
      <c r="HI29" s="1328" cm="1">
        <f t="array" ref="HI29">IF(AND(HG29=0,GL29=0),0,IF(HG29=0,1,IF(OR(GL29*1000/HG29/HH29&gt;INDEX(Pflanzen!$W$5:$W$104,CZ29)/INDEX(Pflanzen!$I$5:$I$104,CZ29)*$HI$1,GL29*1000/HG29/HH29&lt;INDEX(Pflanzen!$W$5:$W$104,CZ29)/INDEX(Pflanzen!$I$5:$I$104,CZ29)/$HI$1),1,0)))</f>
        <v>0</v>
      </c>
      <c r="HJ29" s="1328" cm="1">
        <f t="array" ref="HJ29">IF(AND(GM29=0,HG29=0),0,IF(HG29=0,1,IF(OR(GM29*1000/HG29/HH29&gt;INDEX(Pflanzen!$X$5:$X$104,CZ29)/INDEX(Pflanzen!$I$5:$I$104,CZ29)*$HI$1,GM29*1000/HG29/HH29&lt;INDEX(Pflanzen!$X$5:$X$104,CZ29)/INDEX(Pflanzen!$I$5:$I$104,CZ29)/$HI$1),1,0)))</f>
        <v>0</v>
      </c>
      <c r="HK29" s="1184">
        <f t="shared" si="71"/>
        <v>3</v>
      </c>
      <c r="HL29" s="1184"/>
      <c r="HN29" s="1184"/>
      <c r="HO29" s="1193" t="str">
        <f>Tiere!B55</f>
        <v>Zuchtsauen mit 28 Ferkel bis 28 kg, stark N-/P-red.*</v>
      </c>
      <c r="HP29" s="1184">
        <v>26</v>
      </c>
      <c r="HQ29" s="1194">
        <f>SUMIF('Nährstoffe und Lagerraum'!$BM$68:$BM$87,'Lagerhaltung (freiwillig)'!HP29,'Nährstoffe und Lagerraum'!$Z$68:$Z$87)+SUMIF('Nährstoffe und Lagerraum'!$BM$68:$BM$87,'Lagerhaltung (freiwillig)'!HP29,'Nährstoffe und Lagerraum'!$AA$68:$AA$87)</f>
        <v>0</v>
      </c>
      <c r="HR29" s="1184" cm="1">
        <f t="array" ref="HR29">INDEX(Tiere!$C$30:$C$114,'Lagerhaltung (freiwillig)'!HP29)</f>
        <v>2</v>
      </c>
      <c r="HS29" s="1184" cm="1">
        <f t="array" ref="HS29">INDEX(Tiere!$H$30:$H$114,'Lagerhaltung (freiwillig)'!HP29)</f>
        <v>0</v>
      </c>
      <c r="HT29" s="1184">
        <f t="shared" si="12"/>
        <v>0</v>
      </c>
      <c r="HU29" s="1184" cm="1">
        <f t="array" ref="HU29">INDEX(Tiere!$I$30:$I$114,'Lagerhaltung (freiwillig)'!HP29)</f>
        <v>0</v>
      </c>
      <c r="HV29" s="1184">
        <f t="shared" si="13"/>
        <v>0</v>
      </c>
      <c r="HW29" s="1184" cm="1">
        <f t="array" ref="HW29">INDEX(Tiere!$BC$30:$BC$114,'Lagerhaltung (freiwillig)'!HP29)</f>
        <v>20.070399999999999</v>
      </c>
      <c r="HX29" s="1184">
        <f t="shared" si="14"/>
        <v>0</v>
      </c>
      <c r="HY29" s="1184" cm="1">
        <f t="array" ref="HY29">INDEX(Tiere!$BD$30:$BD$114,'Lagerhaltung (freiwillig)'!HP29)</f>
        <v>9.1727999999999987</v>
      </c>
      <c r="HZ29" s="1184">
        <f t="shared" si="15"/>
        <v>0</v>
      </c>
      <c r="IA29" s="1184"/>
      <c r="IB29" s="1184"/>
      <c r="IC29" s="1184"/>
      <c r="ID29" s="1184"/>
      <c r="IE29" s="1184"/>
      <c r="IF29" s="1184"/>
      <c r="IG29" s="1184"/>
      <c r="IH29" s="1184"/>
      <c r="II29" s="1184"/>
      <c r="IJ29" s="1184"/>
      <c r="IK29" s="1184"/>
      <c r="IL29" s="1184"/>
    </row>
    <row r="30" spans="1:246" ht="15.6" customHeight="1" x14ac:dyDescent="0.2">
      <c r="A30" s="725"/>
      <c r="B30" s="726"/>
      <c r="C30" s="726"/>
      <c r="D30" s="726"/>
      <c r="E30" s="726"/>
      <c r="F30" s="1466" cm="1">
        <f t="array" ref="F30">INDEX(Pflanzen!$I$5:$I$104,BR30)</f>
        <v>0</v>
      </c>
      <c r="G30" s="1467" cm="1">
        <f t="array" ref="G30">INDEX(Pflanzen!$W$5:$W$104,BR30)</f>
        <v>0</v>
      </c>
      <c r="H30" s="1468" cm="1">
        <f t="array" ref="H30">INDEX(Pflanzen!$X$5:$X$104,BR30)</f>
        <v>0</v>
      </c>
      <c r="I30" s="1122"/>
      <c r="J30" s="1303"/>
      <c r="K30" s="1122"/>
      <c r="L30" s="1487"/>
      <c r="M30" s="1491"/>
      <c r="N30" s="1487"/>
      <c r="O30" s="1487"/>
      <c r="P30" s="1292"/>
      <c r="Q30" s="2180"/>
      <c r="R30" s="1487"/>
      <c r="S30" s="1491"/>
      <c r="T30" s="1303"/>
      <c r="U30" s="725"/>
      <c r="V30" s="1346" t="str">
        <f t="shared" si="92"/>
        <v/>
      </c>
      <c r="Y30" s="1554" t="str" cm="1">
        <f t="array" ref="Y30">IFERROR(INDEX($CY$4:$CY$165,AY30),"")</f>
        <v/>
      </c>
      <c r="Z30" s="1555"/>
      <c r="AA30" s="1555"/>
      <c r="AB30" s="1555"/>
      <c r="AC30" s="1454" t="str" cm="1">
        <f t="array" ref="AC30">IFERROR(INDEX($GN$4:$GN$165,AY30),"")</f>
        <v/>
      </c>
      <c r="AD30" s="1454" t="str" cm="1">
        <f t="array" ref="AD30">IFERROR(INDEX($GO$4:$GO$165,AY30),"")</f>
        <v/>
      </c>
      <c r="AE30" s="1454" t="str" cm="1">
        <f t="array" ref="AE30">IFERROR(INDEX($GJ$4:$GJ$165,AY30),"")</f>
        <v/>
      </c>
      <c r="AF30" s="1454" t="str" cm="1">
        <f t="array" ref="AF30">IFERROR(INDEX($GK$4:$GK$165,AY30),"")</f>
        <v/>
      </c>
      <c r="AG30" s="1454" t="str" cm="1">
        <f t="array" ref="AG30">IFERROR(INDEX($GQ$4:$GQ$165,AY30),"")</f>
        <v/>
      </c>
      <c r="AH30" s="1454" t="str" cm="1">
        <f t="array" ref="AH30">IFERROR(INDEX($GR$4:$GR$165,AY30),"")</f>
        <v/>
      </c>
      <c r="AI30" s="1454" t="str" cm="1">
        <f t="array" ref="AI30">IFERROR(INDEX($GH$4:$GH$165,AY30),"")</f>
        <v/>
      </c>
      <c r="AJ30" s="1454" t="str" cm="1">
        <f t="array" ref="AJ30">IFERROR(INDEX($GI$4:$GI$165,AY30),"")</f>
        <v/>
      </c>
      <c r="AK30" s="1454" t="str" cm="1">
        <f t="array" ref="AK30">IFERROR(INDEX($GU$4:$GU$165,AY30),"")</f>
        <v/>
      </c>
      <c r="AL30" s="1455" t="str" cm="1">
        <f t="array" ref="AL30">IFERROR(INDEX($GV$4:$GV$165,AY30),"")</f>
        <v/>
      </c>
      <c r="AM30" s="1454" t="str" cm="1">
        <f t="array" ref="AM30">IFERROR(INDEX($GD$4:$GD$165,AY30),"")</f>
        <v/>
      </c>
      <c r="AN30" s="1454" t="str" cm="1">
        <f t="array" ref="AN30">IFERROR(INDEX($GE$4:$GE$165,AY30),"")</f>
        <v/>
      </c>
      <c r="AO30" s="1454" t="str" cm="1">
        <f t="array" ref="AO30">IFERROR(INDEX($GW$4:$GW$165,AY30),"")</f>
        <v/>
      </c>
      <c r="AP30" s="1454" t="str" cm="1">
        <f t="array" ref="AP30">IFERROR(INDEX($GZ$4:$GZ$165,AY30),"")</f>
        <v/>
      </c>
      <c r="AQ30" s="1457"/>
      <c r="AR30" s="1454" t="str" cm="1">
        <f t="array" ref="AR30">IFERROR(INDEX($HF$4:$HF$165,AY30),"")</f>
        <v/>
      </c>
      <c r="AS30" s="1454" t="str" cm="1">
        <f t="array" ref="AS30">IFERROR(INDEX($HG$4:$HG$165,AY30),"")</f>
        <v/>
      </c>
      <c r="AT30" s="1454" t="str" cm="1">
        <f t="array" ref="AT30">IFERROR(INDEX($HH$4:$HH$165,AY30),"")</f>
        <v/>
      </c>
      <c r="AU30" s="1454" t="str" cm="1">
        <f t="array" ref="AU30">IFERROR(INDEX($GL$4:$GL$165,AY30),"")</f>
        <v/>
      </c>
      <c r="AV30" s="1454" t="str" cm="1">
        <f t="array" ref="AV30">IFERROR(INDEX($GM$4:$GM$165,AY30),"")</f>
        <v/>
      </c>
      <c r="AY30" s="1184" t="str" cm="1">
        <f t="array" ref="AY30">IFERROR(SMALL(IF($HK$4:$HK$165=1,ROW($HK$4:$HK$165)-3),ROW(W18)),IFERROR(SMALL(IF($HK$4:$HK$165=2,ROW($HK$4:$HK$165)-3),ROW(W18)-COUNTIF($HK$4:$HK$165,1)),IFERROR(SMALL(IF($HK$4:$HK$165=0,ROW($HK$4:$HK$165)-3),ROW(W18)-COUNTIF($HK$4:$HK$165,1)-COUNTIF($HK$4:$HK$165,2)),"")))</f>
        <v/>
      </c>
      <c r="AZ30" s="1184" t="str">
        <f t="shared" si="72"/>
        <v>a</v>
      </c>
      <c r="BA30" s="1194" t="e">
        <f t="shared" si="73"/>
        <v>#VALUE!</v>
      </c>
      <c r="BB30" s="1194" cm="1">
        <f t="array" ref="BB30">IFERROR(INDEX($HK$4:$HK$165,AY30),0)</f>
        <v>0</v>
      </c>
      <c r="BC30" s="1194">
        <f t="shared" si="74"/>
        <v>0</v>
      </c>
      <c r="BD30" s="1194"/>
      <c r="BE30" s="1343"/>
      <c r="BF30" s="1343"/>
      <c r="BG30" s="1343"/>
      <c r="BH30" s="1343"/>
      <c r="BI30" s="1343"/>
      <c r="BJ30" s="1343"/>
      <c r="BK30" s="1343"/>
      <c r="BL30" s="1343"/>
      <c r="BM30" s="1343"/>
      <c r="BN30" s="1343"/>
      <c r="BO30" s="1343"/>
      <c r="BQ30" s="1184"/>
      <c r="BR30" s="1184">
        <v>1</v>
      </c>
      <c r="BS30" s="1184"/>
      <c r="BT30" s="1184" t="b">
        <v>0</v>
      </c>
      <c r="BU30" s="1199"/>
      <c r="BV30" s="1199"/>
      <c r="BW30" s="1184">
        <f t="shared" si="75"/>
        <v>12</v>
      </c>
      <c r="BX30" s="1184">
        <f t="shared" si="76"/>
        <v>0</v>
      </c>
      <c r="BY30" s="1184">
        <f t="shared" si="77"/>
        <v>12</v>
      </c>
      <c r="BZ30" s="1184" cm="1">
        <f t="array" ref="BZ30">INDEX(Pflanzen!$AB$5:$AB$114,'Lagerhaltung (freiwillig)'!BR30)</f>
        <v>0</v>
      </c>
      <c r="CA30" s="1184" cm="1">
        <f t="array" ref="CA30">IF(BZ30=1,INDEX(Pflanzen!$AC$5:$AC$114,BR30),N30)</f>
        <v>0</v>
      </c>
      <c r="CB30" s="1184" cm="1">
        <f t="array" ref="CB30">IF(BZ30=1,INDEX(Pflanzen!$AD$5:$AD$114,BR30),O30)</f>
        <v>0</v>
      </c>
      <c r="CC30" s="1184">
        <f t="shared" si="78"/>
        <v>12</v>
      </c>
      <c r="CD30" s="1184">
        <f t="shared" si="79"/>
        <v>0</v>
      </c>
      <c r="CE30" s="1184">
        <f t="shared" si="80"/>
        <v>12</v>
      </c>
      <c r="CF30" s="1184" cm="1">
        <f t="array" ref="CF30">INDEX(Pflanzen!$F$5:$F$114,BR30)</f>
        <v>0</v>
      </c>
      <c r="CG30" s="1184" cm="1">
        <f t="array" ref="CG30">INDEX(Pflanzen!$G$5:$G$114,BR30)</f>
        <v>0</v>
      </c>
      <c r="CH30" s="1184">
        <f t="shared" si="81"/>
        <v>0</v>
      </c>
      <c r="CI30" s="1184">
        <f t="shared" si="93"/>
        <v>0</v>
      </c>
      <c r="CJ30" s="1184">
        <f t="shared" si="94"/>
        <v>0</v>
      </c>
      <c r="CK30" s="1184">
        <f t="shared" si="82"/>
        <v>0</v>
      </c>
      <c r="CL30" s="1184">
        <f t="shared" si="83"/>
        <v>0</v>
      </c>
      <c r="CM30" s="1184">
        <f t="shared" si="84"/>
        <v>0</v>
      </c>
      <c r="CN30" s="1184">
        <f t="shared" si="85"/>
        <v>0</v>
      </c>
      <c r="CO30" s="1184">
        <f t="shared" si="86"/>
        <v>0</v>
      </c>
      <c r="CP30" s="1184">
        <f t="shared" si="87"/>
        <v>0</v>
      </c>
      <c r="CQ30" s="1184">
        <f t="shared" si="88"/>
        <v>0</v>
      </c>
      <c r="CR30" s="1184">
        <f t="shared" si="89"/>
        <v>0</v>
      </c>
      <c r="CS30" s="1184">
        <f t="shared" si="90"/>
        <v>0</v>
      </c>
      <c r="CT30" s="1184">
        <f t="shared" si="91"/>
        <v>0</v>
      </c>
      <c r="CU30" s="1184">
        <f t="shared" si="95"/>
        <v>2</v>
      </c>
      <c r="CV30" s="1184">
        <f t="shared" si="96"/>
        <v>0</v>
      </c>
      <c r="CW30" s="1186">
        <f t="shared" si="97"/>
        <v>0</v>
      </c>
      <c r="CX30" s="1184"/>
      <c r="CY30" s="320" t="str">
        <f>Pflanzen!A26</f>
        <v>Erbsen</v>
      </c>
      <c r="CZ30" s="1200">
        <f>IFERROR(MATCH($CY30,Pflanzen!$C$5:$C$114,0),1)</f>
        <v>22</v>
      </c>
      <c r="DA30" s="320" cm="1">
        <f t="array" ref="DA30">INDEX(Pflanzen!$H$5:$H$114,'Lagerhaltung (freiwillig)'!CZ30)</f>
        <v>2</v>
      </c>
      <c r="DB30" s="1200">
        <f t="shared" si="102"/>
        <v>0</v>
      </c>
      <c r="DC30" s="1200">
        <f t="shared" si="102"/>
        <v>0</v>
      </c>
      <c r="DD30" s="1200">
        <f t="shared" si="102"/>
        <v>0</v>
      </c>
      <c r="DE30" s="1200">
        <f t="shared" si="102"/>
        <v>0</v>
      </c>
      <c r="DF30" s="1200">
        <f t="shared" si="102"/>
        <v>0</v>
      </c>
      <c r="DG30" s="1184">
        <f t="shared" si="102"/>
        <v>0</v>
      </c>
      <c r="DH30" s="1184">
        <f t="shared" si="102"/>
        <v>0</v>
      </c>
      <c r="DI30" s="1184">
        <f t="shared" si="102"/>
        <v>0</v>
      </c>
      <c r="DJ30" s="1184">
        <f t="shared" si="102"/>
        <v>0</v>
      </c>
      <c r="DK30" s="1184">
        <f t="shared" si="102"/>
        <v>0</v>
      </c>
      <c r="DL30" s="1184">
        <f t="shared" si="102"/>
        <v>0</v>
      </c>
      <c r="DM30" s="1184">
        <f t="shared" si="102"/>
        <v>0</v>
      </c>
      <c r="DN30" s="1184"/>
      <c r="DO30" s="1184">
        <f t="shared" si="103"/>
        <v>0</v>
      </c>
      <c r="DP30" s="1184">
        <f t="shared" si="103"/>
        <v>0</v>
      </c>
      <c r="DQ30" s="1184">
        <f t="shared" si="103"/>
        <v>0</v>
      </c>
      <c r="DR30" s="1184">
        <f t="shared" si="103"/>
        <v>0</v>
      </c>
      <c r="DS30" s="1184">
        <f t="shared" si="103"/>
        <v>0</v>
      </c>
      <c r="DT30" s="1184">
        <f t="shared" si="103"/>
        <v>0</v>
      </c>
      <c r="DU30" s="1184">
        <f t="shared" si="103"/>
        <v>0</v>
      </c>
      <c r="DV30" s="1184">
        <f t="shared" si="103"/>
        <v>0</v>
      </c>
      <c r="DW30" s="1184">
        <f t="shared" si="103"/>
        <v>0</v>
      </c>
      <c r="DX30" s="1184">
        <f t="shared" si="103"/>
        <v>0</v>
      </c>
      <c r="DY30" s="1184">
        <f t="shared" si="103"/>
        <v>0</v>
      </c>
      <c r="DZ30" s="1184">
        <f t="shared" si="103"/>
        <v>0</v>
      </c>
      <c r="EA30" s="1184"/>
      <c r="EB30" s="1184">
        <f t="shared" si="104"/>
        <v>0</v>
      </c>
      <c r="EC30" s="1184">
        <f t="shared" si="104"/>
        <v>0</v>
      </c>
      <c r="ED30" s="1184">
        <f t="shared" si="104"/>
        <v>0</v>
      </c>
      <c r="EE30" s="1184">
        <f t="shared" si="104"/>
        <v>0</v>
      </c>
      <c r="EF30" s="1184">
        <f t="shared" si="104"/>
        <v>0</v>
      </c>
      <c r="EG30" s="1184">
        <f t="shared" si="104"/>
        <v>0</v>
      </c>
      <c r="EH30" s="1184">
        <f t="shared" si="104"/>
        <v>0</v>
      </c>
      <c r="EI30" s="1184">
        <f t="shared" si="104"/>
        <v>0</v>
      </c>
      <c r="EJ30" s="1184">
        <f t="shared" si="104"/>
        <v>0</v>
      </c>
      <c r="EK30" s="1184">
        <f t="shared" si="104"/>
        <v>0</v>
      </c>
      <c r="EL30" s="1184">
        <f t="shared" si="104"/>
        <v>0</v>
      </c>
      <c r="EM30" s="1184">
        <f t="shared" si="104"/>
        <v>0</v>
      </c>
      <c r="EN30" s="1184"/>
      <c r="EO30" s="1184">
        <f t="shared" si="105"/>
        <v>0</v>
      </c>
      <c r="EP30" s="1184">
        <f t="shared" si="105"/>
        <v>0</v>
      </c>
      <c r="EQ30" s="1184">
        <f t="shared" si="105"/>
        <v>0</v>
      </c>
      <c r="ER30" s="1184">
        <f t="shared" si="105"/>
        <v>0</v>
      </c>
      <c r="ES30" s="1184">
        <f t="shared" si="105"/>
        <v>0</v>
      </c>
      <c r="ET30" s="1184">
        <f t="shared" si="105"/>
        <v>0</v>
      </c>
      <c r="EU30" s="1184">
        <f t="shared" si="105"/>
        <v>0</v>
      </c>
      <c r="EV30" s="1184">
        <f t="shared" si="105"/>
        <v>0</v>
      </c>
      <c r="EW30" s="1184">
        <f t="shared" si="105"/>
        <v>0</v>
      </c>
      <c r="EX30" s="1184">
        <f t="shared" si="105"/>
        <v>0</v>
      </c>
      <c r="EY30" s="1184">
        <f t="shared" si="105"/>
        <v>0</v>
      </c>
      <c r="EZ30" s="1184">
        <f t="shared" si="105"/>
        <v>0</v>
      </c>
      <c r="FA30" s="1184"/>
      <c r="FB30" s="1186">
        <f t="shared" si="51"/>
        <v>0</v>
      </c>
      <c r="FC30" s="1184">
        <f>FB30+DB30+EB30                 -         SUMIF('Nährstoffe und Lagerraum'!$AX$113:$AX$155,$CZ30,'Nährstoffe und Lagerraum'!$U$113:$U$155)/12  -$GD30*$HE30/12</f>
        <v>0</v>
      </c>
      <c r="FD30" s="1184">
        <f>FC30+DC30+EC30                 -         SUMIF('Nährstoffe und Lagerraum'!$AX$113:$AX$155,$CZ30,'Nährstoffe und Lagerraum'!$U$113:$U$155)/12  -$GD30*$HE30/12</f>
        <v>0</v>
      </c>
      <c r="FE30" s="1184">
        <f>FD30+DD30+ED30                 -         SUMIF('Nährstoffe und Lagerraum'!$AX$113:$AX$155,$CZ30,'Nährstoffe und Lagerraum'!$U$113:$U$155)/12  -$GD30*$HE30/12</f>
        <v>0</v>
      </c>
      <c r="FF30" s="1184">
        <f>FE30+DE30+EE30                 -         SUMIF('Nährstoffe und Lagerraum'!$AX$113:$AX$155,$CZ30,'Nährstoffe und Lagerraum'!$U$113:$U$155)/12  -$GD30*$HE30/12</f>
        <v>0</v>
      </c>
      <c r="FG30" s="1184">
        <f>FF30+DF30+EF30                 -         SUMIF('Nährstoffe und Lagerraum'!$AX$113:$AX$155,$CZ30,'Nährstoffe und Lagerraum'!$U$113:$U$155)/12  -$GD30*$HE30/12</f>
        <v>0</v>
      </c>
      <c r="FH30" s="1184">
        <f>FG30+DG30+EG30                 -         SUMIF('Nährstoffe und Lagerraum'!$AX$113:$AX$155,$CZ30,'Nährstoffe und Lagerraum'!$U$113:$U$155)/12  -$GD30*$HE30/12</f>
        <v>0</v>
      </c>
      <c r="FI30" s="1184">
        <f>FH30+DH30+EH30                 -         SUMIF('Nährstoffe und Lagerraum'!$AX$113:$AX$155,$CZ30,'Nährstoffe und Lagerraum'!$U$113:$U$155)/12  -$GD30*$HE30/12</f>
        <v>0</v>
      </c>
      <c r="FJ30" s="1184">
        <f>FI30+DI30+EI30                 -         SUMIF('Nährstoffe und Lagerraum'!$AX$113:$AX$155,$CZ30,'Nährstoffe und Lagerraum'!$U$113:$U$155)/12  -$GD30*$HE30/12</f>
        <v>0</v>
      </c>
      <c r="FK30" s="1184">
        <f>FJ30+DJ30+EJ30                 -         SUMIF('Nährstoffe und Lagerraum'!$AX$113:$AX$155,$CZ30,'Nährstoffe und Lagerraum'!$U$113:$U$155)/12  -$GD30*$HE30/12</f>
        <v>0</v>
      </c>
      <c r="FL30" s="1184">
        <f>FK30+DK30+EK30                 -         SUMIF('Nährstoffe und Lagerraum'!$AX$113:$AX$155,$CZ30,'Nährstoffe und Lagerraum'!$U$113:$U$155)/12  -$GD30*$HE30/12</f>
        <v>0</v>
      </c>
      <c r="FM30" s="1184">
        <f>FL30+DL30+EL30                 -         SUMIF('Nährstoffe und Lagerraum'!$AX$113:$AX$155,$CZ30,'Nährstoffe und Lagerraum'!$U$113:$U$155)/12  -$GD30*$HE30/12</f>
        <v>0</v>
      </c>
      <c r="FN30" s="1184">
        <f>FM30+DM30+EM30                 -         SUMIF('Nährstoffe und Lagerraum'!$AX$113:$AX$155,$CZ30,'Nährstoffe und Lagerraum'!$U$113:$U$155)/12  -$GD30*$HE30/12</f>
        <v>0</v>
      </c>
      <c r="FO30" s="1184"/>
      <c r="FP30" s="1186">
        <f t="shared" si="52"/>
        <v>0</v>
      </c>
      <c r="FQ30" s="1184">
        <f>FP30+DO30+EO30                 -         SUMIF('Nährstoffe und Lagerraum'!$AX$113:$AX$155,$CZ30,'Nährstoffe und Lagerraum'!$V$113:$V$155)/12  -$GE30*$HE30/12</f>
        <v>0</v>
      </c>
      <c r="FR30" s="1184">
        <f>FQ30+DP30+EP30                 -         SUMIF('Nährstoffe und Lagerraum'!$AX$113:$AX$155,$CZ30,'Nährstoffe und Lagerraum'!$V$113:$V$155)/12  -$GE30*$HE30/12</f>
        <v>0</v>
      </c>
      <c r="FS30" s="1184">
        <f>FR30+DQ30+EQ30                 -         SUMIF('Nährstoffe und Lagerraum'!$AX$113:$AX$155,$CZ30,'Nährstoffe und Lagerraum'!$V$113:$V$155)/12  -$GE30*$HE30/12</f>
        <v>0</v>
      </c>
      <c r="FT30" s="1184">
        <f>FS30+DR30+ER30                 -         SUMIF('Nährstoffe und Lagerraum'!$AX$113:$AX$155,$CZ30,'Nährstoffe und Lagerraum'!$V$113:$V$155)/12  -$GE30*$HE30/12</f>
        <v>0</v>
      </c>
      <c r="FU30" s="1184">
        <f>FT30+DS30+ES30                 -         SUMIF('Nährstoffe und Lagerraum'!$AX$113:$AX$155,$CZ30,'Nährstoffe und Lagerraum'!$V$113:$V$155)/12  -$GE30*$HE30/12</f>
        <v>0</v>
      </c>
      <c r="FV30" s="1184">
        <f>FU30+DT30+ET30                 -         SUMIF('Nährstoffe und Lagerraum'!$AX$113:$AX$155,$CZ30,'Nährstoffe und Lagerraum'!$V$113:$V$155)/12  -$GE30*$HE30/12</f>
        <v>0</v>
      </c>
      <c r="FW30" s="1184">
        <f>FV30+DU30+EU30                 -         SUMIF('Nährstoffe und Lagerraum'!$AX$113:$AX$155,$CZ30,'Nährstoffe und Lagerraum'!$V$113:$V$155)/12  -$GE30*$HE30/12</f>
        <v>0</v>
      </c>
      <c r="FX30" s="1184">
        <f>FW30+DV30+EV30                 -         SUMIF('Nährstoffe und Lagerraum'!$AX$113:$AX$155,$CZ30,'Nährstoffe und Lagerraum'!$V$113:$V$155)/12  -$GE30*$HE30/12</f>
        <v>0</v>
      </c>
      <c r="FY30" s="1184">
        <f>FX30+DW30+EW30                 -         SUMIF('Nährstoffe und Lagerraum'!$AX$113:$AX$155,$CZ30,'Nährstoffe und Lagerraum'!$V$113:$V$155)/12  -$GE30*$HE30/12</f>
        <v>0</v>
      </c>
      <c r="FZ30" s="1184">
        <f>FY30+DX30+EX30                 -         SUMIF('Nährstoffe und Lagerraum'!$AX$113:$AX$155,$CZ30,'Nährstoffe und Lagerraum'!$V$113:$V$155)/12  -$GE30*$HE30/12</f>
        <v>0</v>
      </c>
      <c r="GA30" s="1184">
        <f>FZ30+DY30+EY30                 -         SUMIF('Nährstoffe und Lagerraum'!$AX$113:$AX$155,$CZ30,'Nährstoffe und Lagerraum'!$V$113:$V$155)/12  -$GE30*$HE30/12</f>
        <v>0</v>
      </c>
      <c r="GB30" s="1184">
        <f>GA30+DZ30+EZ30                 -         SUMIF('Nährstoffe und Lagerraum'!$AX$113:$AX$155,$CZ30,'Nährstoffe und Lagerraum'!$V$113:$V$155)/12  -$GE30*$HE30/12</f>
        <v>0</v>
      </c>
      <c r="GC30" s="1184"/>
      <c r="GD30" s="1184">
        <f>SUMIFS($CI$14:$CI$68,$BR$14:$BR$68,$CZ30)+SUMIFS($CM$14:$CM$68,$BR$14:$BR$68,$CZ30)+SUMIFS($CR$14:$CR$68,$BR$14:$BR$68,$CZ30)  -         SUMIF('Nährstoffe und Lagerraum'!$AX$113:$AX$155,$CZ30,'Nährstoffe und Lagerraum'!$U$113:$U$155)</f>
        <v>0</v>
      </c>
      <c r="GE30" s="1184">
        <f>SUMIFS($CJ$14:$CJ$68,$BR$14:$BR$68,$CZ30)+SUMIFS($CO$14:$CO$68,$BR$14:$BR$68,$CZ30)+SUMIFS($CT$14:$CT$68,$BR$14:$BR$68,$CZ30)  -         SUMIF('Nährstoffe und Lagerraum'!$AX$113:$AX$155,$CZ30,'Nährstoffe und Lagerraum'!$V$113:$V$155)</f>
        <v>0</v>
      </c>
      <c r="GF30" s="1184"/>
      <c r="GG30" s="1184"/>
      <c r="GH30" s="1184">
        <f>SUMIF('Nährstoffe und Lagerraum'!$AX$113:$AX$155,$CZ30,'Nährstoffe und Lagerraum'!$U$113:$U$155)</f>
        <v>0</v>
      </c>
      <c r="GI30" s="1184">
        <f>SUMIF('Nährstoffe und Lagerraum'!$AX$113:$AX$155,$CZ30,'Nährstoffe und Lagerraum'!$V$113:$V$155)</f>
        <v>0</v>
      </c>
      <c r="GJ30" s="1184">
        <f t="shared" si="53"/>
        <v>0</v>
      </c>
      <c r="GK30" s="1184">
        <f t="shared" si="54"/>
        <v>0</v>
      </c>
      <c r="GL30" s="1184">
        <f t="shared" si="55"/>
        <v>0</v>
      </c>
      <c r="GM30" s="1184">
        <f t="shared" si="56"/>
        <v>0</v>
      </c>
      <c r="GN30" s="1184">
        <f t="shared" si="57"/>
        <v>0</v>
      </c>
      <c r="GO30" s="1184" cm="1">
        <f t="array" ref="GO30">IF(GN30=0,0,(IFERROR(SUMPRODUCT($J$14:$J$68,$CH$14:$CH$68,($BR$14:$BR$68=CZ30)*1)+SUMPRODUCT($L$14:$L$68,$M$14:$M$68,$CK$14:$CK$68,($BR$14:$BR$68=CZ30)*1,($BT$14:$BT$68=FALSE)*1)/10+SUMPRODUCT($R$14:$R$68,$CP$14:$CP$68,($BR$14:$BR$68=CZ30)*1),0))/GN30)</f>
        <v>0</v>
      </c>
      <c r="GP30" s="1184">
        <f t="shared" si="58"/>
        <v>0</v>
      </c>
      <c r="GQ30" s="1184">
        <f>(SUMIF('Nährstoffe und Lagerraum'!$AX$113:$AX$130,'Lagerhaltung (freiwillig)'!CZ30,'Nährstoffe und Lagerraum'!$D$113:$D$130)+SUMIF('Nährstoffe und Lagerraum'!$AX$137:$AX$155,'Lagerhaltung (freiwillig)'!CZ30,'Nährstoffe und Lagerraum'!$E$137:$E$155))</f>
        <v>0</v>
      </c>
      <c r="GR30" s="1184" cm="1">
        <f t="array" ref="GR30">IF(GQ30=0,0,(IFERROR(SUMPRODUCT('Nährstoffe und Lagerraum'!$D$113:$D$130,'Nährstoffe und Lagerraum'!$F$113:$F$130,('Nährstoffe und Lagerraum'!$AX$113:$AX$130='Lagerhaltung (freiwillig)'!CZ30)*1)+SUMPRODUCT('Nährstoffe und Lagerraum'!$E$137:$E$155,'Nährstoffe und Lagerraum'!$F$137:$F$155,('Nährstoffe und Lagerraum'!$AX$137:$AX$155='Lagerhaltung (freiwillig)'!CZ30)*1),0))/GQ30)</f>
        <v>0</v>
      </c>
      <c r="GS30" s="1184">
        <f t="shared" si="59"/>
        <v>0</v>
      </c>
      <c r="GT30" s="1184">
        <f t="shared" si="60"/>
        <v>0</v>
      </c>
      <c r="GU30" s="1184">
        <f t="shared" si="61"/>
        <v>0</v>
      </c>
      <c r="GV30" s="1184">
        <f t="shared" si="62"/>
        <v>0</v>
      </c>
      <c r="GW30" s="1186" t="str">
        <f t="shared" si="41"/>
        <v xml:space="preserve"> </v>
      </c>
      <c r="GX30" s="1186" t="str">
        <f t="shared" si="41"/>
        <v xml:space="preserve"> </v>
      </c>
      <c r="GY30" s="1195">
        <f t="shared" si="63"/>
        <v>0</v>
      </c>
      <c r="GZ30" s="1184">
        <f t="shared" si="64"/>
        <v>0</v>
      </c>
      <c r="HA30" s="1184" t="str">
        <f t="shared" si="44"/>
        <v>a</v>
      </c>
      <c r="HB30" s="1196">
        <f t="shared" si="65"/>
        <v>0</v>
      </c>
      <c r="HC30" s="1196">
        <f t="shared" si="66"/>
        <v>0</v>
      </c>
      <c r="HD30" s="1196"/>
      <c r="HE30" s="1187">
        <f t="shared" si="67"/>
        <v>0</v>
      </c>
      <c r="HF30" s="1196">
        <f t="shared" si="68"/>
        <v>0</v>
      </c>
      <c r="HG30" s="1196">
        <f t="shared" si="69"/>
        <v>0</v>
      </c>
      <c r="HH30" s="1196">
        <f t="shared" si="70"/>
        <v>0</v>
      </c>
      <c r="HI30" s="1328" cm="1">
        <f t="array" ref="HI30">IF(AND(HG30=0,GL30=0),0,IF(HG30=0,1,IF(OR(GL30*1000/HG30/HH30&gt;INDEX(Pflanzen!$W$5:$W$104,CZ30)/INDEX(Pflanzen!$I$5:$I$104,CZ30)*$HI$1,GL30*1000/HG30/HH30&lt;INDEX(Pflanzen!$W$5:$W$104,CZ30)/INDEX(Pflanzen!$I$5:$I$104,CZ30)/$HI$1),1,0)))</f>
        <v>0</v>
      </c>
      <c r="HJ30" s="1328" cm="1">
        <f t="array" ref="HJ30">IF(AND(GM30=0,HG30=0),0,IF(HG30=0,1,IF(OR(GM30*1000/HG30/HH30&gt;INDEX(Pflanzen!$X$5:$X$104,CZ30)/INDEX(Pflanzen!$I$5:$I$104,CZ30)*$HI$1,GM30*1000/HG30/HH30&lt;INDEX(Pflanzen!$X$5:$X$104,CZ30)/INDEX(Pflanzen!$I$5:$I$104,CZ30)/$HI$1),1,0)))</f>
        <v>0</v>
      </c>
      <c r="HK30" s="1184">
        <f t="shared" si="71"/>
        <v>3</v>
      </c>
      <c r="HL30" s="1184"/>
      <c r="HN30" s="1184"/>
      <c r="HO30" s="1193" t="str">
        <f>Tiere!B56</f>
        <v>Ferkel von 8 bis 28 kg, Standard</v>
      </c>
      <c r="HP30" s="1184">
        <v>27</v>
      </c>
      <c r="HQ30" s="1194">
        <f>SUMIF('Nährstoffe und Lagerraum'!$BM$68:$BM$87,'Lagerhaltung (freiwillig)'!HP30,'Nährstoffe und Lagerraum'!$Z$68:$Z$87)+SUMIF('Nährstoffe und Lagerraum'!$BM$68:$BM$87,'Lagerhaltung (freiwillig)'!HP30,'Nährstoffe und Lagerraum'!$AA$68:$AA$87)</f>
        <v>0</v>
      </c>
      <c r="HR30" s="1184" cm="1">
        <f t="array" ref="HR30">INDEX(Tiere!$C$30:$C$114,'Lagerhaltung (freiwillig)'!HP30)</f>
        <v>2</v>
      </c>
      <c r="HS30" s="1184" cm="1">
        <f t="array" ref="HS30">INDEX(Tiere!$H$30:$H$114,'Lagerhaltung (freiwillig)'!HP30)</f>
        <v>0</v>
      </c>
      <c r="HT30" s="1184">
        <f t="shared" si="12"/>
        <v>0</v>
      </c>
      <c r="HU30" s="1184" cm="1">
        <f t="array" ref="HU30">INDEX(Tiere!$I$30:$I$114,'Lagerhaltung (freiwillig)'!HP30)</f>
        <v>0</v>
      </c>
      <c r="HV30" s="1184">
        <f t="shared" si="13"/>
        <v>0</v>
      </c>
      <c r="HW30" s="1184" cm="1">
        <f t="array" ref="HW30">INDEX(Tiere!$BC$30:$BC$114,'Lagerhaltung (freiwillig)'!HP30)</f>
        <v>4.2048000000000005</v>
      </c>
      <c r="HX30" s="1184">
        <f t="shared" si="14"/>
        <v>0</v>
      </c>
      <c r="HY30" s="1184" cm="1">
        <f t="array" ref="HY30">INDEX(Tiere!$BD$30:$BD$114,'Lagerhaltung (freiwillig)'!HP30)</f>
        <v>1.9217249999999999</v>
      </c>
      <c r="HZ30" s="1184">
        <f t="shared" si="15"/>
        <v>0</v>
      </c>
      <c r="IA30" s="1184"/>
      <c r="IB30" s="1184"/>
      <c r="IC30" s="1184"/>
      <c r="ID30" s="1184"/>
      <c r="IE30" s="1184"/>
      <c r="IF30" s="1184"/>
      <c r="IG30" s="1184"/>
      <c r="IH30" s="1184"/>
      <c r="II30" s="1184"/>
      <c r="IJ30" s="1184"/>
      <c r="IK30" s="1184"/>
      <c r="IL30" s="1184"/>
    </row>
    <row r="31" spans="1:246" ht="15.6" customHeight="1" x14ac:dyDescent="0.2">
      <c r="A31" s="725"/>
      <c r="B31" s="726"/>
      <c r="C31" s="726"/>
      <c r="D31" s="726"/>
      <c r="E31" s="726"/>
      <c r="F31" s="1466" cm="1">
        <f t="array" ref="F31">INDEX(Pflanzen!$I$5:$I$104,BR31)</f>
        <v>0</v>
      </c>
      <c r="G31" s="1467" cm="1">
        <f t="array" ref="G31">INDEX(Pflanzen!$W$5:$W$104,BR31)</f>
        <v>0</v>
      </c>
      <c r="H31" s="1468" cm="1">
        <f t="array" ref="H31">INDEX(Pflanzen!$X$5:$X$104,BR31)</f>
        <v>0</v>
      </c>
      <c r="I31" s="1122"/>
      <c r="J31" s="1303"/>
      <c r="K31" s="1122"/>
      <c r="L31" s="1487"/>
      <c r="M31" s="1491"/>
      <c r="N31" s="1487"/>
      <c r="O31" s="1487"/>
      <c r="P31" s="1292"/>
      <c r="Q31" s="2180"/>
      <c r="R31" s="1487"/>
      <c r="S31" s="1491"/>
      <c r="T31" s="1303"/>
      <c r="U31" s="725"/>
      <c r="V31" s="1346" t="str">
        <f t="shared" si="92"/>
        <v/>
      </c>
      <c r="Y31" s="1554" t="str" cm="1">
        <f t="array" ref="Y31">IFERROR(INDEX($CY$4:$CY$165,AY31),"")</f>
        <v/>
      </c>
      <c r="Z31" s="1555"/>
      <c r="AA31" s="1555"/>
      <c r="AB31" s="1555"/>
      <c r="AC31" s="1454" t="str" cm="1">
        <f t="array" ref="AC31">IFERROR(INDEX($GN$4:$GN$165,AY31),"")</f>
        <v/>
      </c>
      <c r="AD31" s="1454" t="str" cm="1">
        <f t="array" ref="AD31">IFERROR(INDEX($GO$4:$GO$165,AY31),"")</f>
        <v/>
      </c>
      <c r="AE31" s="1454" t="str" cm="1">
        <f t="array" ref="AE31">IFERROR(INDEX($GJ$4:$GJ$165,AY31),"")</f>
        <v/>
      </c>
      <c r="AF31" s="1454" t="str" cm="1">
        <f t="array" ref="AF31">IFERROR(INDEX($GK$4:$GK$165,AY31),"")</f>
        <v/>
      </c>
      <c r="AG31" s="1454" t="str" cm="1">
        <f t="array" ref="AG31">IFERROR(INDEX($GQ$4:$GQ$165,AY31),"")</f>
        <v/>
      </c>
      <c r="AH31" s="1454" t="str" cm="1">
        <f t="array" ref="AH31">IFERROR(INDEX($GR$4:$GR$165,AY31),"")</f>
        <v/>
      </c>
      <c r="AI31" s="1454" t="str" cm="1">
        <f t="array" ref="AI31">IFERROR(INDEX($GH$4:$GH$165,AY31),"")</f>
        <v/>
      </c>
      <c r="AJ31" s="1454" t="str" cm="1">
        <f t="array" ref="AJ31">IFERROR(INDEX($GI$4:$GI$165,AY31),"")</f>
        <v/>
      </c>
      <c r="AK31" s="1454" t="str" cm="1">
        <f t="array" ref="AK31">IFERROR(INDEX($GU$4:$GU$165,AY31),"")</f>
        <v/>
      </c>
      <c r="AL31" s="1455" t="str" cm="1">
        <f t="array" ref="AL31">IFERROR(INDEX($GV$4:$GV$165,AY31),"")</f>
        <v/>
      </c>
      <c r="AM31" s="1454" t="str" cm="1">
        <f t="array" ref="AM31">IFERROR(INDEX($GD$4:$GD$165,AY31),"")</f>
        <v/>
      </c>
      <c r="AN31" s="1454" t="str" cm="1">
        <f t="array" ref="AN31">IFERROR(INDEX($GE$4:$GE$165,AY31),"")</f>
        <v/>
      </c>
      <c r="AO31" s="1454" t="str" cm="1">
        <f t="array" ref="AO31">IFERROR(INDEX($GW$4:$GW$165,AY31),"")</f>
        <v/>
      </c>
      <c r="AP31" s="1454" t="str" cm="1">
        <f t="array" ref="AP31">IFERROR(INDEX($GZ$4:$GZ$165,AY31),"")</f>
        <v/>
      </c>
      <c r="AQ31" s="1457"/>
      <c r="AR31" s="1454" t="str" cm="1">
        <f t="array" ref="AR31">IFERROR(INDEX($HF$4:$HF$165,AY31),"")</f>
        <v/>
      </c>
      <c r="AS31" s="1454" t="str" cm="1">
        <f t="array" ref="AS31">IFERROR(INDEX($HG$4:$HG$165,AY31),"")</f>
        <v/>
      </c>
      <c r="AT31" s="1454" t="str" cm="1">
        <f t="array" ref="AT31">IFERROR(INDEX($HH$4:$HH$165,AY31),"")</f>
        <v/>
      </c>
      <c r="AU31" s="1454" t="str" cm="1">
        <f t="array" ref="AU31">IFERROR(INDEX($GL$4:$GL$165,AY31),"")</f>
        <v/>
      </c>
      <c r="AV31" s="1454" t="str" cm="1">
        <f t="array" ref="AV31">IFERROR(INDEX($GM$4:$GM$165,AY31),"")</f>
        <v/>
      </c>
      <c r="AY31" s="1184" t="str" cm="1">
        <f t="array" ref="AY31">IFERROR(SMALL(IF($HK$4:$HK$165=1,ROW($HK$4:$HK$165)-3),ROW(W19)),IFERROR(SMALL(IF($HK$4:$HK$165=2,ROW($HK$4:$HK$165)-3),ROW(W19)-COUNTIF($HK$4:$HK$165,1)),IFERROR(SMALL(IF($HK$4:$HK$165=0,ROW($HK$4:$HK$165)-3),ROW(W19)-COUNTIF($HK$4:$HK$165,1)-COUNTIF($HK$4:$HK$165,2)),"")))</f>
        <v/>
      </c>
      <c r="AZ31" s="1184" t="str">
        <f t="shared" si="72"/>
        <v>a</v>
      </c>
      <c r="BA31" s="1194" t="e">
        <f t="shared" si="73"/>
        <v>#VALUE!</v>
      </c>
      <c r="BB31" s="1194" cm="1">
        <f t="array" ref="BB31">IFERROR(INDEX($HK$4:$HK$165,AY31),0)</f>
        <v>0</v>
      </c>
      <c r="BC31" s="1194">
        <f t="shared" si="74"/>
        <v>0</v>
      </c>
      <c r="BD31" s="1194"/>
      <c r="BE31" s="1343"/>
      <c r="BF31" s="1343"/>
      <c r="BG31" s="1343"/>
      <c r="BH31" s="1343"/>
      <c r="BI31" s="1343"/>
      <c r="BJ31" s="1343"/>
      <c r="BK31" s="1343"/>
      <c r="BL31" s="1343"/>
      <c r="BM31" s="1343"/>
      <c r="BN31" s="1343"/>
      <c r="BO31" s="1343"/>
      <c r="BQ31" s="1184"/>
      <c r="BR31" s="1184">
        <v>1</v>
      </c>
      <c r="BS31" s="1184"/>
      <c r="BT31" s="1184" t="b">
        <v>0</v>
      </c>
      <c r="BU31" s="1199"/>
      <c r="BV31" s="1199"/>
      <c r="BW31" s="1184">
        <f t="shared" si="75"/>
        <v>12</v>
      </c>
      <c r="BX31" s="1184">
        <f t="shared" si="76"/>
        <v>0</v>
      </c>
      <c r="BY31" s="1184">
        <f t="shared" si="77"/>
        <v>12</v>
      </c>
      <c r="BZ31" s="1184" cm="1">
        <f t="array" ref="BZ31">INDEX(Pflanzen!$AB$5:$AB$114,'Lagerhaltung (freiwillig)'!BR31)</f>
        <v>0</v>
      </c>
      <c r="CA31" s="1184" cm="1">
        <f t="array" ref="CA31">IF(BZ31=1,INDEX(Pflanzen!$AC$5:$AC$114,BR31),N31)</f>
        <v>0</v>
      </c>
      <c r="CB31" s="1184" cm="1">
        <f t="array" ref="CB31">IF(BZ31=1,INDEX(Pflanzen!$AD$5:$AD$114,BR31),O31)</f>
        <v>0</v>
      </c>
      <c r="CC31" s="1184">
        <f t="shared" si="78"/>
        <v>12</v>
      </c>
      <c r="CD31" s="1184">
        <f t="shared" si="79"/>
        <v>0</v>
      </c>
      <c r="CE31" s="1184">
        <f t="shared" si="80"/>
        <v>12</v>
      </c>
      <c r="CF31" s="1184" cm="1">
        <f t="array" ref="CF31">INDEX(Pflanzen!$F$5:$F$114,BR31)</f>
        <v>0</v>
      </c>
      <c r="CG31" s="1184" cm="1">
        <f t="array" ref="CG31">INDEX(Pflanzen!$G$5:$G$114,BR31)</f>
        <v>0</v>
      </c>
      <c r="CH31" s="1184">
        <f t="shared" si="81"/>
        <v>0</v>
      </c>
      <c r="CI31" s="1184">
        <f t="shared" si="93"/>
        <v>0</v>
      </c>
      <c r="CJ31" s="1184">
        <f t="shared" si="94"/>
        <v>0</v>
      </c>
      <c r="CK31" s="1184">
        <f t="shared" si="82"/>
        <v>0</v>
      </c>
      <c r="CL31" s="1184">
        <f t="shared" si="83"/>
        <v>0</v>
      </c>
      <c r="CM31" s="1184">
        <f t="shared" si="84"/>
        <v>0</v>
      </c>
      <c r="CN31" s="1184">
        <f t="shared" si="85"/>
        <v>0</v>
      </c>
      <c r="CO31" s="1184">
        <f t="shared" si="86"/>
        <v>0</v>
      </c>
      <c r="CP31" s="1184">
        <f t="shared" si="87"/>
        <v>0</v>
      </c>
      <c r="CQ31" s="1184">
        <f t="shared" si="88"/>
        <v>0</v>
      </c>
      <c r="CR31" s="1184">
        <f t="shared" si="89"/>
        <v>0</v>
      </c>
      <c r="CS31" s="1184">
        <f t="shared" si="90"/>
        <v>0</v>
      </c>
      <c r="CT31" s="1184">
        <f t="shared" si="91"/>
        <v>0</v>
      </c>
      <c r="CU31" s="1184">
        <f t="shared" si="95"/>
        <v>2</v>
      </c>
      <c r="CV31" s="1184">
        <f t="shared" si="96"/>
        <v>0</v>
      </c>
      <c r="CW31" s="1186">
        <f t="shared" si="97"/>
        <v>0</v>
      </c>
      <c r="CX31" s="1184"/>
      <c r="CY31" s="320" t="str">
        <f>Pflanzen!A27</f>
        <v>Lupinen blau</v>
      </c>
      <c r="CZ31" s="1200">
        <f>IFERROR(MATCH($CY31,Pflanzen!$C$5:$C$114,0),1)</f>
        <v>23</v>
      </c>
      <c r="DA31" s="320" cm="1">
        <f t="array" ref="DA31">INDEX(Pflanzen!$H$5:$H$114,'Lagerhaltung (freiwillig)'!CZ31)</f>
        <v>2</v>
      </c>
      <c r="DB31" s="1200">
        <f t="shared" si="102"/>
        <v>0</v>
      </c>
      <c r="DC31" s="1200">
        <f t="shared" si="102"/>
        <v>0</v>
      </c>
      <c r="DD31" s="1200">
        <f t="shared" si="102"/>
        <v>0</v>
      </c>
      <c r="DE31" s="1200">
        <f t="shared" si="102"/>
        <v>0</v>
      </c>
      <c r="DF31" s="1200">
        <f t="shared" si="102"/>
        <v>0</v>
      </c>
      <c r="DG31" s="1184">
        <f t="shared" si="102"/>
        <v>0</v>
      </c>
      <c r="DH31" s="1184">
        <f t="shared" si="102"/>
        <v>0</v>
      </c>
      <c r="DI31" s="1184">
        <f t="shared" si="102"/>
        <v>0</v>
      </c>
      <c r="DJ31" s="1184">
        <f t="shared" si="102"/>
        <v>0</v>
      </c>
      <c r="DK31" s="1184">
        <f t="shared" si="102"/>
        <v>0</v>
      </c>
      <c r="DL31" s="1184">
        <f t="shared" si="102"/>
        <v>0</v>
      </c>
      <c r="DM31" s="1184">
        <f t="shared" si="102"/>
        <v>0</v>
      </c>
      <c r="DN31" s="1184"/>
      <c r="DO31" s="1184">
        <f t="shared" si="103"/>
        <v>0</v>
      </c>
      <c r="DP31" s="1184">
        <f t="shared" si="103"/>
        <v>0</v>
      </c>
      <c r="DQ31" s="1184">
        <f t="shared" si="103"/>
        <v>0</v>
      </c>
      <c r="DR31" s="1184">
        <f t="shared" si="103"/>
        <v>0</v>
      </c>
      <c r="DS31" s="1184">
        <f t="shared" si="103"/>
        <v>0</v>
      </c>
      <c r="DT31" s="1184">
        <f t="shared" si="103"/>
        <v>0</v>
      </c>
      <c r="DU31" s="1184">
        <f t="shared" si="103"/>
        <v>0</v>
      </c>
      <c r="DV31" s="1184">
        <f t="shared" si="103"/>
        <v>0</v>
      </c>
      <c r="DW31" s="1184">
        <f t="shared" si="103"/>
        <v>0</v>
      </c>
      <c r="DX31" s="1184">
        <f t="shared" si="103"/>
        <v>0</v>
      </c>
      <c r="DY31" s="1184">
        <f t="shared" si="103"/>
        <v>0</v>
      </c>
      <c r="DZ31" s="1184">
        <f t="shared" si="103"/>
        <v>0</v>
      </c>
      <c r="EA31" s="1184"/>
      <c r="EB31" s="1184">
        <f t="shared" si="104"/>
        <v>0</v>
      </c>
      <c r="EC31" s="1184">
        <f t="shared" si="104"/>
        <v>0</v>
      </c>
      <c r="ED31" s="1184">
        <f t="shared" si="104"/>
        <v>0</v>
      </c>
      <c r="EE31" s="1184">
        <f t="shared" si="104"/>
        <v>0</v>
      </c>
      <c r="EF31" s="1184">
        <f t="shared" si="104"/>
        <v>0</v>
      </c>
      <c r="EG31" s="1184">
        <f t="shared" si="104"/>
        <v>0</v>
      </c>
      <c r="EH31" s="1184">
        <f t="shared" si="104"/>
        <v>0</v>
      </c>
      <c r="EI31" s="1184">
        <f t="shared" si="104"/>
        <v>0</v>
      </c>
      <c r="EJ31" s="1184">
        <f t="shared" si="104"/>
        <v>0</v>
      </c>
      <c r="EK31" s="1184">
        <f t="shared" si="104"/>
        <v>0</v>
      </c>
      <c r="EL31" s="1184">
        <f t="shared" si="104"/>
        <v>0</v>
      </c>
      <c r="EM31" s="1184">
        <f t="shared" si="104"/>
        <v>0</v>
      </c>
      <c r="EN31" s="1184"/>
      <c r="EO31" s="1184">
        <f t="shared" si="105"/>
        <v>0</v>
      </c>
      <c r="EP31" s="1184">
        <f t="shared" si="105"/>
        <v>0</v>
      </c>
      <c r="EQ31" s="1184">
        <f t="shared" si="105"/>
        <v>0</v>
      </c>
      <c r="ER31" s="1184">
        <f t="shared" si="105"/>
        <v>0</v>
      </c>
      <c r="ES31" s="1184">
        <f t="shared" si="105"/>
        <v>0</v>
      </c>
      <c r="ET31" s="1184">
        <f t="shared" si="105"/>
        <v>0</v>
      </c>
      <c r="EU31" s="1184">
        <f t="shared" si="105"/>
        <v>0</v>
      </c>
      <c r="EV31" s="1184">
        <f t="shared" si="105"/>
        <v>0</v>
      </c>
      <c r="EW31" s="1184">
        <f t="shared" si="105"/>
        <v>0</v>
      </c>
      <c r="EX31" s="1184">
        <f t="shared" si="105"/>
        <v>0</v>
      </c>
      <c r="EY31" s="1184">
        <f t="shared" si="105"/>
        <v>0</v>
      </c>
      <c r="EZ31" s="1184">
        <f t="shared" si="105"/>
        <v>0</v>
      </c>
      <c r="FA31" s="1184"/>
      <c r="FB31" s="1186">
        <f t="shared" si="51"/>
        <v>0</v>
      </c>
      <c r="FC31" s="1184">
        <f>FB31+DB31+EB31                 -         SUMIF('Nährstoffe und Lagerraum'!$AX$113:$AX$155,$CZ31,'Nährstoffe und Lagerraum'!$U$113:$U$155)/12  -$GD31*$HE31/12</f>
        <v>0</v>
      </c>
      <c r="FD31" s="1184">
        <f>FC31+DC31+EC31                 -         SUMIF('Nährstoffe und Lagerraum'!$AX$113:$AX$155,$CZ31,'Nährstoffe und Lagerraum'!$U$113:$U$155)/12  -$GD31*$HE31/12</f>
        <v>0</v>
      </c>
      <c r="FE31" s="1184">
        <f>FD31+DD31+ED31                 -         SUMIF('Nährstoffe und Lagerraum'!$AX$113:$AX$155,$CZ31,'Nährstoffe und Lagerraum'!$U$113:$U$155)/12  -$GD31*$HE31/12</f>
        <v>0</v>
      </c>
      <c r="FF31" s="1184">
        <f>FE31+DE31+EE31                 -         SUMIF('Nährstoffe und Lagerraum'!$AX$113:$AX$155,$CZ31,'Nährstoffe und Lagerraum'!$U$113:$U$155)/12  -$GD31*$HE31/12</f>
        <v>0</v>
      </c>
      <c r="FG31" s="1184">
        <f>FF31+DF31+EF31                 -         SUMIF('Nährstoffe und Lagerraum'!$AX$113:$AX$155,$CZ31,'Nährstoffe und Lagerraum'!$U$113:$U$155)/12  -$GD31*$HE31/12</f>
        <v>0</v>
      </c>
      <c r="FH31" s="1184">
        <f>FG31+DG31+EG31                 -         SUMIF('Nährstoffe und Lagerraum'!$AX$113:$AX$155,$CZ31,'Nährstoffe und Lagerraum'!$U$113:$U$155)/12  -$GD31*$HE31/12</f>
        <v>0</v>
      </c>
      <c r="FI31" s="1184">
        <f>FH31+DH31+EH31                 -         SUMIF('Nährstoffe und Lagerraum'!$AX$113:$AX$155,$CZ31,'Nährstoffe und Lagerraum'!$U$113:$U$155)/12  -$GD31*$HE31/12</f>
        <v>0</v>
      </c>
      <c r="FJ31" s="1184">
        <f>FI31+DI31+EI31                 -         SUMIF('Nährstoffe und Lagerraum'!$AX$113:$AX$155,$CZ31,'Nährstoffe und Lagerraum'!$U$113:$U$155)/12  -$GD31*$HE31/12</f>
        <v>0</v>
      </c>
      <c r="FK31" s="1184">
        <f>FJ31+DJ31+EJ31                 -         SUMIF('Nährstoffe und Lagerraum'!$AX$113:$AX$155,$CZ31,'Nährstoffe und Lagerraum'!$U$113:$U$155)/12  -$GD31*$HE31/12</f>
        <v>0</v>
      </c>
      <c r="FL31" s="1184">
        <f>FK31+DK31+EK31                 -         SUMIF('Nährstoffe und Lagerraum'!$AX$113:$AX$155,$CZ31,'Nährstoffe und Lagerraum'!$U$113:$U$155)/12  -$GD31*$HE31/12</f>
        <v>0</v>
      </c>
      <c r="FM31" s="1184">
        <f>FL31+DL31+EL31                 -         SUMIF('Nährstoffe und Lagerraum'!$AX$113:$AX$155,$CZ31,'Nährstoffe und Lagerraum'!$U$113:$U$155)/12  -$GD31*$HE31/12</f>
        <v>0</v>
      </c>
      <c r="FN31" s="1184">
        <f>FM31+DM31+EM31                 -         SUMIF('Nährstoffe und Lagerraum'!$AX$113:$AX$155,$CZ31,'Nährstoffe und Lagerraum'!$U$113:$U$155)/12  -$GD31*$HE31/12</f>
        <v>0</v>
      </c>
      <c r="FO31" s="1184"/>
      <c r="FP31" s="1186">
        <f t="shared" si="52"/>
        <v>0</v>
      </c>
      <c r="FQ31" s="1184">
        <f>FP31+DO31+EO31                 -         SUMIF('Nährstoffe und Lagerraum'!$AX$113:$AX$155,$CZ31,'Nährstoffe und Lagerraum'!$V$113:$V$155)/12  -$GE31*$HE31/12</f>
        <v>0</v>
      </c>
      <c r="FR31" s="1184">
        <f>FQ31+DP31+EP31                 -         SUMIF('Nährstoffe und Lagerraum'!$AX$113:$AX$155,$CZ31,'Nährstoffe und Lagerraum'!$V$113:$V$155)/12  -$GE31*$HE31/12</f>
        <v>0</v>
      </c>
      <c r="FS31" s="1184">
        <f>FR31+DQ31+EQ31                 -         SUMIF('Nährstoffe und Lagerraum'!$AX$113:$AX$155,$CZ31,'Nährstoffe und Lagerraum'!$V$113:$V$155)/12  -$GE31*$HE31/12</f>
        <v>0</v>
      </c>
      <c r="FT31" s="1184">
        <f>FS31+DR31+ER31                 -         SUMIF('Nährstoffe und Lagerraum'!$AX$113:$AX$155,$CZ31,'Nährstoffe und Lagerraum'!$V$113:$V$155)/12  -$GE31*$HE31/12</f>
        <v>0</v>
      </c>
      <c r="FU31" s="1184">
        <f>FT31+DS31+ES31                 -         SUMIF('Nährstoffe und Lagerraum'!$AX$113:$AX$155,$CZ31,'Nährstoffe und Lagerraum'!$V$113:$V$155)/12  -$GE31*$HE31/12</f>
        <v>0</v>
      </c>
      <c r="FV31" s="1184">
        <f>FU31+DT31+ET31                 -         SUMIF('Nährstoffe und Lagerraum'!$AX$113:$AX$155,$CZ31,'Nährstoffe und Lagerraum'!$V$113:$V$155)/12  -$GE31*$HE31/12</f>
        <v>0</v>
      </c>
      <c r="FW31" s="1184">
        <f>FV31+DU31+EU31                 -         SUMIF('Nährstoffe und Lagerraum'!$AX$113:$AX$155,$CZ31,'Nährstoffe und Lagerraum'!$V$113:$V$155)/12  -$GE31*$HE31/12</f>
        <v>0</v>
      </c>
      <c r="FX31" s="1184">
        <f>FW31+DV31+EV31                 -         SUMIF('Nährstoffe und Lagerraum'!$AX$113:$AX$155,$CZ31,'Nährstoffe und Lagerraum'!$V$113:$V$155)/12  -$GE31*$HE31/12</f>
        <v>0</v>
      </c>
      <c r="FY31" s="1184">
        <f>FX31+DW31+EW31                 -         SUMIF('Nährstoffe und Lagerraum'!$AX$113:$AX$155,$CZ31,'Nährstoffe und Lagerraum'!$V$113:$V$155)/12  -$GE31*$HE31/12</f>
        <v>0</v>
      </c>
      <c r="FZ31" s="1184">
        <f>FY31+DX31+EX31                 -         SUMIF('Nährstoffe und Lagerraum'!$AX$113:$AX$155,$CZ31,'Nährstoffe und Lagerraum'!$V$113:$V$155)/12  -$GE31*$HE31/12</f>
        <v>0</v>
      </c>
      <c r="GA31" s="1184">
        <f>FZ31+DY31+EY31                 -         SUMIF('Nährstoffe und Lagerraum'!$AX$113:$AX$155,$CZ31,'Nährstoffe und Lagerraum'!$V$113:$V$155)/12  -$GE31*$HE31/12</f>
        <v>0</v>
      </c>
      <c r="GB31" s="1184">
        <f>GA31+DZ31+EZ31                 -         SUMIF('Nährstoffe und Lagerraum'!$AX$113:$AX$155,$CZ31,'Nährstoffe und Lagerraum'!$V$113:$V$155)/12  -$GE31*$HE31/12</f>
        <v>0</v>
      </c>
      <c r="GC31" s="1184"/>
      <c r="GD31" s="1184">
        <f>SUMIFS($CI$14:$CI$68,$BR$14:$BR$68,$CZ31)+SUMIFS($CM$14:$CM$68,$BR$14:$BR$68,$CZ31)+SUMIFS($CR$14:$CR$68,$BR$14:$BR$68,$CZ31)  -         SUMIF('Nährstoffe und Lagerraum'!$AX$113:$AX$155,$CZ31,'Nährstoffe und Lagerraum'!$U$113:$U$155)</f>
        <v>0</v>
      </c>
      <c r="GE31" s="1184">
        <f>SUMIFS($CJ$14:$CJ$68,$BR$14:$BR$68,$CZ31)+SUMIFS($CO$14:$CO$68,$BR$14:$BR$68,$CZ31)+SUMIFS($CT$14:$CT$68,$BR$14:$BR$68,$CZ31)  -         SUMIF('Nährstoffe und Lagerraum'!$AX$113:$AX$155,$CZ31,'Nährstoffe und Lagerraum'!$V$113:$V$155)</f>
        <v>0</v>
      </c>
      <c r="GF31" s="1184"/>
      <c r="GG31" s="1184"/>
      <c r="GH31" s="1184">
        <f>SUMIF('Nährstoffe und Lagerraum'!$AX$113:$AX$155,$CZ31,'Nährstoffe und Lagerraum'!$U$113:$U$155)</f>
        <v>0</v>
      </c>
      <c r="GI31" s="1184">
        <f>SUMIF('Nährstoffe und Lagerraum'!$AX$113:$AX$155,$CZ31,'Nährstoffe und Lagerraum'!$V$113:$V$155)</f>
        <v>0</v>
      </c>
      <c r="GJ31" s="1184">
        <f t="shared" si="53"/>
        <v>0</v>
      </c>
      <c r="GK31" s="1184">
        <f t="shared" si="54"/>
        <v>0</v>
      </c>
      <c r="GL31" s="1184">
        <f t="shared" si="55"/>
        <v>0</v>
      </c>
      <c r="GM31" s="1184">
        <f t="shared" si="56"/>
        <v>0</v>
      </c>
      <c r="GN31" s="1184">
        <f t="shared" si="57"/>
        <v>0</v>
      </c>
      <c r="GO31" s="1184" cm="1">
        <f t="array" ref="GO31">IF(GN31=0,0,(IFERROR(SUMPRODUCT($J$14:$J$68,$CH$14:$CH$68,($BR$14:$BR$68=CZ31)*1)+SUMPRODUCT($L$14:$L$68,$M$14:$M$68,$CK$14:$CK$68,($BR$14:$BR$68=CZ31)*1,($BT$14:$BT$68=FALSE)*1)/10+SUMPRODUCT($R$14:$R$68,$CP$14:$CP$68,($BR$14:$BR$68=CZ31)*1),0))/GN31)</f>
        <v>0</v>
      </c>
      <c r="GP31" s="1184">
        <f t="shared" si="58"/>
        <v>0</v>
      </c>
      <c r="GQ31" s="1184">
        <f>(SUMIF('Nährstoffe und Lagerraum'!$AX$113:$AX$130,'Lagerhaltung (freiwillig)'!CZ31,'Nährstoffe und Lagerraum'!$D$113:$D$130)+SUMIF('Nährstoffe und Lagerraum'!$AX$137:$AX$155,'Lagerhaltung (freiwillig)'!CZ31,'Nährstoffe und Lagerraum'!$E$137:$E$155))</f>
        <v>0</v>
      </c>
      <c r="GR31" s="1184" cm="1">
        <f t="array" ref="GR31">IF(GQ31=0,0,(IFERROR(SUMPRODUCT('Nährstoffe und Lagerraum'!$D$113:$D$130,'Nährstoffe und Lagerraum'!$F$113:$F$130,('Nährstoffe und Lagerraum'!$AX$113:$AX$130='Lagerhaltung (freiwillig)'!CZ31)*1)+SUMPRODUCT('Nährstoffe und Lagerraum'!$E$137:$E$155,'Nährstoffe und Lagerraum'!$F$137:$F$155,('Nährstoffe und Lagerraum'!$AX$137:$AX$155='Lagerhaltung (freiwillig)'!CZ31)*1),0))/GQ31)</f>
        <v>0</v>
      </c>
      <c r="GS31" s="1184">
        <f t="shared" si="59"/>
        <v>0</v>
      </c>
      <c r="GT31" s="1184">
        <f t="shared" si="60"/>
        <v>0</v>
      </c>
      <c r="GU31" s="1184">
        <f t="shared" si="61"/>
        <v>0</v>
      </c>
      <c r="GV31" s="1184">
        <f t="shared" si="62"/>
        <v>0</v>
      </c>
      <c r="GW31" s="1186" t="str">
        <f t="shared" si="41"/>
        <v xml:space="preserve"> </v>
      </c>
      <c r="GX31" s="1186" t="str">
        <f t="shared" si="41"/>
        <v xml:space="preserve"> </v>
      </c>
      <c r="GY31" s="1195">
        <f t="shared" si="63"/>
        <v>0</v>
      </c>
      <c r="GZ31" s="1184">
        <f t="shared" si="64"/>
        <v>0</v>
      </c>
      <c r="HA31" s="1184" t="str">
        <f t="shared" si="44"/>
        <v>a</v>
      </c>
      <c r="HB31" s="1196">
        <f t="shared" si="65"/>
        <v>0</v>
      </c>
      <c r="HC31" s="1196">
        <f t="shared" si="66"/>
        <v>0</v>
      </c>
      <c r="HD31" s="1196"/>
      <c r="HE31" s="1187">
        <f t="shared" si="67"/>
        <v>0</v>
      </c>
      <c r="HF31" s="1196">
        <f t="shared" si="68"/>
        <v>0</v>
      </c>
      <c r="HG31" s="1196">
        <f t="shared" si="69"/>
        <v>0</v>
      </c>
      <c r="HH31" s="1196">
        <f t="shared" si="70"/>
        <v>0</v>
      </c>
      <c r="HI31" s="1328" cm="1">
        <f t="array" ref="HI31">IF(AND(HG31=0,GL31=0),0,IF(HG31=0,1,IF(OR(GL31*1000/HG31/HH31&gt;INDEX(Pflanzen!$W$5:$W$104,CZ31)/INDEX(Pflanzen!$I$5:$I$104,CZ31)*$HI$1,GL31*1000/HG31/HH31&lt;INDEX(Pflanzen!$W$5:$W$104,CZ31)/INDEX(Pflanzen!$I$5:$I$104,CZ31)/$HI$1),1,0)))</f>
        <v>0</v>
      </c>
      <c r="HJ31" s="1328" cm="1">
        <f t="array" ref="HJ31">IF(AND(GM31=0,HG31=0),0,IF(HG31=0,1,IF(OR(GM31*1000/HG31/HH31&gt;INDEX(Pflanzen!$X$5:$X$104,CZ31)/INDEX(Pflanzen!$I$5:$I$104,CZ31)*$HI$1,GM31*1000/HG31/HH31&lt;INDEX(Pflanzen!$X$5:$X$104,CZ31)/INDEX(Pflanzen!$I$5:$I$104,CZ31)/$HI$1),1,0)))</f>
        <v>0</v>
      </c>
      <c r="HK31" s="1184">
        <f t="shared" si="71"/>
        <v>3</v>
      </c>
      <c r="HL31" s="1184"/>
      <c r="HN31" s="1184"/>
      <c r="HO31" s="1193" t="str">
        <f>Tiere!B57</f>
        <v>Ferkel von 8 bis 28 kg, N-/P-reduziert</v>
      </c>
      <c r="HP31" s="1184">
        <v>28</v>
      </c>
      <c r="HQ31" s="1194">
        <f>SUMIF('Nährstoffe und Lagerraum'!$BM$68:$BM$87,'Lagerhaltung (freiwillig)'!HP31,'Nährstoffe und Lagerraum'!$Z$68:$Z$87)+SUMIF('Nährstoffe und Lagerraum'!$BM$68:$BM$87,'Lagerhaltung (freiwillig)'!HP31,'Nährstoffe und Lagerraum'!$AA$68:$AA$87)</f>
        <v>0</v>
      </c>
      <c r="HR31" s="1184" cm="1">
        <f t="array" ref="HR31">INDEX(Tiere!$C$30:$C$114,'Lagerhaltung (freiwillig)'!HP31)</f>
        <v>2</v>
      </c>
      <c r="HS31" s="1184" cm="1">
        <f t="array" ref="HS31">INDEX(Tiere!$H$30:$H$114,'Lagerhaltung (freiwillig)'!HP31)</f>
        <v>0</v>
      </c>
      <c r="HT31" s="1184">
        <f t="shared" si="12"/>
        <v>0</v>
      </c>
      <c r="HU31" s="1184" cm="1">
        <f t="array" ref="HU31">INDEX(Tiere!$I$30:$I$114,'Lagerhaltung (freiwillig)'!HP31)</f>
        <v>0</v>
      </c>
      <c r="HV31" s="1184">
        <f t="shared" si="13"/>
        <v>0</v>
      </c>
      <c r="HW31" s="1184" cm="1">
        <f t="array" ref="HW31">INDEX(Tiere!$BC$30:$BC$114,'Lagerhaltung (freiwillig)'!HP31)</f>
        <v>4.2048000000000005</v>
      </c>
      <c r="HX31" s="1184">
        <f t="shared" si="14"/>
        <v>0</v>
      </c>
      <c r="HY31" s="1184" cm="1">
        <f t="array" ref="HY31">INDEX(Tiere!$BD$30:$BD$114,'Lagerhaltung (freiwillig)'!HP31)</f>
        <v>1.9217249999999999</v>
      </c>
      <c r="HZ31" s="1184">
        <f t="shared" si="15"/>
        <v>0</v>
      </c>
      <c r="IA31" s="1184"/>
      <c r="IB31" s="1184"/>
      <c r="IC31" s="1184"/>
      <c r="ID31" s="1184"/>
      <c r="IE31" s="1184"/>
      <c r="IF31" s="1184"/>
      <c r="IG31" s="1184"/>
      <c r="IH31" s="1184"/>
      <c r="II31" s="1184"/>
      <c r="IJ31" s="1184"/>
      <c r="IK31" s="1184"/>
      <c r="IL31" s="1184"/>
    </row>
    <row r="32" spans="1:246" ht="15.6" customHeight="1" x14ac:dyDescent="0.2">
      <c r="A32" s="725"/>
      <c r="B32" s="726"/>
      <c r="C32" s="726"/>
      <c r="D32" s="726"/>
      <c r="E32" s="726"/>
      <c r="F32" s="1469" cm="1">
        <f t="array" ref="F32">INDEX(Pflanzen!$I$5:$I$104,BR32)</f>
        <v>0</v>
      </c>
      <c r="G32" s="1470" cm="1">
        <f t="array" ref="G32">INDEX(Pflanzen!$W$5:$W$104,BR32)</f>
        <v>0</v>
      </c>
      <c r="H32" s="1471" cm="1">
        <f t="array" ref="H32">INDEX(Pflanzen!$X$5:$X$104,BR32)</f>
        <v>0</v>
      </c>
      <c r="I32" s="1492"/>
      <c r="J32" s="1303"/>
      <c r="K32" s="1122"/>
      <c r="L32" s="1487"/>
      <c r="M32" s="1491"/>
      <c r="N32" s="1487"/>
      <c r="O32" s="1487"/>
      <c r="P32" s="1293"/>
      <c r="Q32" s="1493"/>
      <c r="R32" s="1494"/>
      <c r="S32" s="1491"/>
      <c r="T32" s="1303"/>
      <c r="U32" s="725"/>
      <c r="V32" s="1346" t="str">
        <f t="shared" si="92"/>
        <v/>
      </c>
      <c r="Y32" s="1554" t="str" cm="1">
        <f t="array" ref="Y32">IFERROR(INDEX($CY$4:$CY$165,AY32),"")</f>
        <v/>
      </c>
      <c r="Z32" s="1555"/>
      <c r="AA32" s="1555"/>
      <c r="AB32" s="1555"/>
      <c r="AC32" s="1454" t="str" cm="1">
        <f t="array" ref="AC32">IFERROR(INDEX($GN$4:$GN$165,AY32),"")</f>
        <v/>
      </c>
      <c r="AD32" s="1454" t="str" cm="1">
        <f t="array" ref="AD32">IFERROR(INDEX($GO$4:$GO$165,AY32),"")</f>
        <v/>
      </c>
      <c r="AE32" s="1454" t="str" cm="1">
        <f t="array" ref="AE32">IFERROR(INDEX($GJ$4:$GJ$165,AY32),"")</f>
        <v/>
      </c>
      <c r="AF32" s="1454" t="str" cm="1">
        <f t="array" ref="AF32">IFERROR(INDEX($GK$4:$GK$165,AY32),"")</f>
        <v/>
      </c>
      <c r="AG32" s="1454" t="str" cm="1">
        <f t="array" ref="AG32">IFERROR(INDEX($GQ$4:$GQ$165,AY32),"")</f>
        <v/>
      </c>
      <c r="AH32" s="1454" t="str" cm="1">
        <f t="array" ref="AH32">IFERROR(INDEX($GR$4:$GR$165,AY32),"")</f>
        <v/>
      </c>
      <c r="AI32" s="1454" t="str" cm="1">
        <f t="array" ref="AI32">IFERROR(INDEX($GH$4:$GH$165,AY32),"")</f>
        <v/>
      </c>
      <c r="AJ32" s="1454" t="str" cm="1">
        <f t="array" ref="AJ32">IFERROR(INDEX($GI$4:$GI$165,AY32),"")</f>
        <v/>
      </c>
      <c r="AK32" s="1454" t="str" cm="1">
        <f t="array" ref="AK32">IFERROR(INDEX($GU$4:$GU$165,AY32),"")</f>
        <v/>
      </c>
      <c r="AL32" s="1455" t="str" cm="1">
        <f t="array" ref="AL32">IFERROR(INDEX($GV$4:$GV$165,AY32),"")</f>
        <v/>
      </c>
      <c r="AM32" s="1454" t="str" cm="1">
        <f t="array" ref="AM32">IFERROR(INDEX($GD$4:$GD$165,AY32),"")</f>
        <v/>
      </c>
      <c r="AN32" s="1454" t="str" cm="1">
        <f t="array" ref="AN32">IFERROR(INDEX($GE$4:$GE$165,AY32),"")</f>
        <v/>
      </c>
      <c r="AO32" s="1454" t="str" cm="1">
        <f t="array" ref="AO32">IFERROR(INDEX($GW$4:$GW$165,AY32),"")</f>
        <v/>
      </c>
      <c r="AP32" s="1454" t="str" cm="1">
        <f t="array" ref="AP32">IFERROR(INDEX($GZ$4:$GZ$165,AY32),"")</f>
        <v/>
      </c>
      <c r="AQ32" s="1457"/>
      <c r="AR32" s="1454" t="str" cm="1">
        <f t="array" ref="AR32">IFERROR(INDEX($HF$4:$HF$165,AY32),"")</f>
        <v/>
      </c>
      <c r="AS32" s="1454" t="str" cm="1">
        <f t="array" ref="AS32">IFERROR(INDEX($HG$4:$HG$165,AY32),"")</f>
        <v/>
      </c>
      <c r="AT32" s="1454" t="str" cm="1">
        <f t="array" ref="AT32">IFERROR(INDEX($HH$4:$HH$165,AY32),"")</f>
        <v/>
      </c>
      <c r="AU32" s="1454" t="str" cm="1">
        <f t="array" ref="AU32">IFERROR(INDEX($GL$4:$GL$165,AY32),"")</f>
        <v/>
      </c>
      <c r="AV32" s="1454" t="str" cm="1">
        <f t="array" ref="AV32">IFERROR(INDEX($GM$4:$GM$165,AY32),"")</f>
        <v/>
      </c>
      <c r="AY32" s="1184" t="str" cm="1">
        <f t="array" ref="AY32">IFERROR(SMALL(IF($HK$4:$HK$165=1,ROW($HK$4:$HK$165)-3),ROW(W20)),IFERROR(SMALL(IF($HK$4:$HK$165=2,ROW($HK$4:$HK$165)-3),ROW(W20)-COUNTIF($HK$4:$HK$165,1)),IFERROR(SMALL(IF($HK$4:$HK$165=0,ROW($HK$4:$HK$165)-3),ROW(W20)-COUNTIF($HK$4:$HK$165,1)-COUNTIF($HK$4:$HK$165,2)),"")))</f>
        <v/>
      </c>
      <c r="AZ32" s="1184" t="str">
        <f t="shared" si="72"/>
        <v>a</v>
      </c>
      <c r="BA32" s="1194" t="e">
        <f t="shared" si="73"/>
        <v>#VALUE!</v>
      </c>
      <c r="BB32" s="1194" cm="1">
        <f t="array" ref="BB32">IFERROR(INDEX($HK$4:$HK$165,AY32),0)</f>
        <v>0</v>
      </c>
      <c r="BC32" s="1194">
        <f t="shared" si="74"/>
        <v>0</v>
      </c>
      <c r="BD32" s="1194"/>
      <c r="BE32" s="1343"/>
      <c r="BF32" s="1343"/>
      <c r="BG32" s="1343"/>
      <c r="BH32" s="1343"/>
      <c r="BI32" s="1343"/>
      <c r="BJ32" s="1343"/>
      <c r="BK32" s="1343"/>
      <c r="BL32" s="1343"/>
      <c r="BM32" s="1343"/>
      <c r="BN32" s="1343"/>
      <c r="BO32" s="1343"/>
      <c r="BQ32" s="1184"/>
      <c r="BR32" s="1184">
        <v>1</v>
      </c>
      <c r="BS32" s="1184"/>
      <c r="BT32" s="1184" t="b">
        <v>0</v>
      </c>
      <c r="BU32" s="1199"/>
      <c r="BV32" s="1199"/>
      <c r="BW32" s="1184">
        <f t="shared" si="75"/>
        <v>12</v>
      </c>
      <c r="BX32" s="1184">
        <f t="shared" si="76"/>
        <v>0</v>
      </c>
      <c r="BY32" s="1184">
        <f t="shared" si="77"/>
        <v>12</v>
      </c>
      <c r="BZ32" s="1184" cm="1">
        <f t="array" ref="BZ32">INDEX(Pflanzen!$AB$5:$AB$114,'Lagerhaltung (freiwillig)'!BR32)</f>
        <v>0</v>
      </c>
      <c r="CA32" s="1184" cm="1">
        <f t="array" ref="CA32">IF(BZ32=1,INDEX(Pflanzen!$AC$5:$AC$114,BR32),N32)</f>
        <v>0</v>
      </c>
      <c r="CB32" s="1184" cm="1">
        <f t="array" ref="CB32">IF(BZ32=1,INDEX(Pflanzen!$AD$5:$AD$114,BR32),O32)</f>
        <v>0</v>
      </c>
      <c r="CC32" s="1184">
        <f t="shared" si="78"/>
        <v>12</v>
      </c>
      <c r="CD32" s="1184">
        <f t="shared" si="79"/>
        <v>0</v>
      </c>
      <c r="CE32" s="1184">
        <f t="shared" si="80"/>
        <v>12</v>
      </c>
      <c r="CF32" s="1184" cm="1">
        <f t="array" ref="CF32">INDEX(Pflanzen!$F$5:$F$114,BR32)</f>
        <v>0</v>
      </c>
      <c r="CG32" s="1184" cm="1">
        <f t="array" ref="CG32">INDEX(Pflanzen!$G$5:$G$114,BR32)</f>
        <v>0</v>
      </c>
      <c r="CH32" s="1184">
        <f t="shared" si="81"/>
        <v>0</v>
      </c>
      <c r="CI32" s="1184">
        <f t="shared" si="93"/>
        <v>0</v>
      </c>
      <c r="CJ32" s="1184">
        <f t="shared" si="94"/>
        <v>0</v>
      </c>
      <c r="CK32" s="1184">
        <f t="shared" si="82"/>
        <v>0</v>
      </c>
      <c r="CL32" s="1184">
        <f t="shared" si="83"/>
        <v>0</v>
      </c>
      <c r="CM32" s="1184">
        <f t="shared" si="84"/>
        <v>0</v>
      </c>
      <c r="CN32" s="1184">
        <f t="shared" si="85"/>
        <v>0</v>
      </c>
      <c r="CO32" s="1184">
        <f t="shared" si="86"/>
        <v>0</v>
      </c>
      <c r="CP32" s="1184">
        <f t="shared" si="87"/>
        <v>0</v>
      </c>
      <c r="CQ32" s="1184">
        <f t="shared" si="88"/>
        <v>0</v>
      </c>
      <c r="CR32" s="1184">
        <f t="shared" si="89"/>
        <v>0</v>
      </c>
      <c r="CS32" s="1184">
        <f t="shared" si="90"/>
        <v>0</v>
      </c>
      <c r="CT32" s="1184">
        <f t="shared" si="91"/>
        <v>0</v>
      </c>
      <c r="CU32" s="1184">
        <f t="shared" si="95"/>
        <v>2</v>
      </c>
      <c r="CV32" s="1184">
        <f t="shared" si="96"/>
        <v>0</v>
      </c>
      <c r="CW32" s="1186">
        <f t="shared" si="97"/>
        <v>0</v>
      </c>
      <c r="CX32" s="1184"/>
      <c r="CY32" s="320" t="str">
        <f>Pflanzen!A28</f>
        <v>Sojabohnen</v>
      </c>
      <c r="CZ32" s="1200">
        <f>IFERROR(MATCH($CY32,Pflanzen!$C$5:$C$114,0),1)</f>
        <v>24</v>
      </c>
      <c r="DA32" s="320" cm="1">
        <f t="array" ref="DA32">INDEX(Pflanzen!$H$5:$H$114,'Lagerhaltung (freiwillig)'!CZ32)</f>
        <v>2</v>
      </c>
      <c r="DB32" s="1200">
        <f t="shared" si="102"/>
        <v>0</v>
      </c>
      <c r="DC32" s="1200">
        <f t="shared" si="102"/>
        <v>0</v>
      </c>
      <c r="DD32" s="1200">
        <f t="shared" si="102"/>
        <v>0</v>
      </c>
      <c r="DE32" s="1200">
        <f t="shared" si="102"/>
        <v>0</v>
      </c>
      <c r="DF32" s="1200">
        <f t="shared" si="102"/>
        <v>0</v>
      </c>
      <c r="DG32" s="1184">
        <f t="shared" si="102"/>
        <v>0</v>
      </c>
      <c r="DH32" s="1184">
        <f t="shared" si="102"/>
        <v>0</v>
      </c>
      <c r="DI32" s="1184">
        <f t="shared" si="102"/>
        <v>0</v>
      </c>
      <c r="DJ32" s="1184">
        <f t="shared" si="102"/>
        <v>0</v>
      </c>
      <c r="DK32" s="1184">
        <f t="shared" si="102"/>
        <v>0</v>
      </c>
      <c r="DL32" s="1184">
        <f t="shared" si="102"/>
        <v>0</v>
      </c>
      <c r="DM32" s="1184">
        <f t="shared" si="102"/>
        <v>0</v>
      </c>
      <c r="DN32" s="1184"/>
      <c r="DO32" s="1184">
        <f t="shared" si="103"/>
        <v>0</v>
      </c>
      <c r="DP32" s="1184">
        <f t="shared" si="103"/>
        <v>0</v>
      </c>
      <c r="DQ32" s="1184">
        <f t="shared" si="103"/>
        <v>0</v>
      </c>
      <c r="DR32" s="1184">
        <f t="shared" si="103"/>
        <v>0</v>
      </c>
      <c r="DS32" s="1184">
        <f t="shared" si="103"/>
        <v>0</v>
      </c>
      <c r="DT32" s="1184">
        <f t="shared" si="103"/>
        <v>0</v>
      </c>
      <c r="DU32" s="1184">
        <f t="shared" si="103"/>
        <v>0</v>
      </c>
      <c r="DV32" s="1184">
        <f t="shared" si="103"/>
        <v>0</v>
      </c>
      <c r="DW32" s="1184">
        <f t="shared" si="103"/>
        <v>0</v>
      </c>
      <c r="DX32" s="1184">
        <f t="shared" si="103"/>
        <v>0</v>
      </c>
      <c r="DY32" s="1184">
        <f t="shared" si="103"/>
        <v>0</v>
      </c>
      <c r="DZ32" s="1184">
        <f t="shared" si="103"/>
        <v>0</v>
      </c>
      <c r="EA32" s="1184"/>
      <c r="EB32" s="1184">
        <f t="shared" si="104"/>
        <v>0</v>
      </c>
      <c r="EC32" s="1184">
        <f t="shared" si="104"/>
        <v>0</v>
      </c>
      <c r="ED32" s="1184">
        <f t="shared" si="104"/>
        <v>0</v>
      </c>
      <c r="EE32" s="1184">
        <f t="shared" si="104"/>
        <v>0</v>
      </c>
      <c r="EF32" s="1184">
        <f t="shared" si="104"/>
        <v>0</v>
      </c>
      <c r="EG32" s="1184">
        <f t="shared" si="104"/>
        <v>0</v>
      </c>
      <c r="EH32" s="1184">
        <f t="shared" si="104"/>
        <v>0</v>
      </c>
      <c r="EI32" s="1184">
        <f t="shared" si="104"/>
        <v>0</v>
      </c>
      <c r="EJ32" s="1184">
        <f t="shared" si="104"/>
        <v>0</v>
      </c>
      <c r="EK32" s="1184">
        <f t="shared" si="104"/>
        <v>0</v>
      </c>
      <c r="EL32" s="1184">
        <f t="shared" si="104"/>
        <v>0</v>
      </c>
      <c r="EM32" s="1184">
        <f t="shared" si="104"/>
        <v>0</v>
      </c>
      <c r="EN32" s="1184"/>
      <c r="EO32" s="1184">
        <f t="shared" si="105"/>
        <v>0</v>
      </c>
      <c r="EP32" s="1184">
        <f t="shared" si="105"/>
        <v>0</v>
      </c>
      <c r="EQ32" s="1184">
        <f t="shared" si="105"/>
        <v>0</v>
      </c>
      <c r="ER32" s="1184">
        <f t="shared" si="105"/>
        <v>0</v>
      </c>
      <c r="ES32" s="1184">
        <f t="shared" si="105"/>
        <v>0</v>
      </c>
      <c r="ET32" s="1184">
        <f t="shared" si="105"/>
        <v>0</v>
      </c>
      <c r="EU32" s="1184">
        <f t="shared" si="105"/>
        <v>0</v>
      </c>
      <c r="EV32" s="1184">
        <f t="shared" si="105"/>
        <v>0</v>
      </c>
      <c r="EW32" s="1184">
        <f t="shared" si="105"/>
        <v>0</v>
      </c>
      <c r="EX32" s="1184">
        <f t="shared" si="105"/>
        <v>0</v>
      </c>
      <c r="EY32" s="1184">
        <f t="shared" si="105"/>
        <v>0</v>
      </c>
      <c r="EZ32" s="1184">
        <f t="shared" si="105"/>
        <v>0</v>
      </c>
      <c r="FA32" s="1184"/>
      <c r="FB32" s="1186">
        <f t="shared" si="51"/>
        <v>0</v>
      </c>
      <c r="FC32" s="1184">
        <f>FB32+DB32+EB32                 -         SUMIF('Nährstoffe und Lagerraum'!$AX$113:$AX$155,$CZ32,'Nährstoffe und Lagerraum'!$U$113:$U$155)/12  -$GD32*$HE32/12</f>
        <v>0</v>
      </c>
      <c r="FD32" s="1184">
        <f>FC32+DC32+EC32                 -         SUMIF('Nährstoffe und Lagerraum'!$AX$113:$AX$155,$CZ32,'Nährstoffe und Lagerraum'!$U$113:$U$155)/12  -$GD32*$HE32/12</f>
        <v>0</v>
      </c>
      <c r="FE32" s="1184">
        <f>FD32+DD32+ED32                 -         SUMIF('Nährstoffe und Lagerraum'!$AX$113:$AX$155,$CZ32,'Nährstoffe und Lagerraum'!$U$113:$U$155)/12  -$GD32*$HE32/12</f>
        <v>0</v>
      </c>
      <c r="FF32" s="1184">
        <f>FE32+DE32+EE32                 -         SUMIF('Nährstoffe und Lagerraum'!$AX$113:$AX$155,$CZ32,'Nährstoffe und Lagerraum'!$U$113:$U$155)/12  -$GD32*$HE32/12</f>
        <v>0</v>
      </c>
      <c r="FG32" s="1184">
        <f>FF32+DF32+EF32                 -         SUMIF('Nährstoffe und Lagerraum'!$AX$113:$AX$155,$CZ32,'Nährstoffe und Lagerraum'!$U$113:$U$155)/12  -$GD32*$HE32/12</f>
        <v>0</v>
      </c>
      <c r="FH32" s="1184">
        <f>FG32+DG32+EG32                 -         SUMIF('Nährstoffe und Lagerraum'!$AX$113:$AX$155,$CZ32,'Nährstoffe und Lagerraum'!$U$113:$U$155)/12  -$GD32*$HE32/12</f>
        <v>0</v>
      </c>
      <c r="FI32" s="1184">
        <f>FH32+DH32+EH32                 -         SUMIF('Nährstoffe und Lagerraum'!$AX$113:$AX$155,$CZ32,'Nährstoffe und Lagerraum'!$U$113:$U$155)/12  -$GD32*$HE32/12</f>
        <v>0</v>
      </c>
      <c r="FJ32" s="1184">
        <f>FI32+DI32+EI32                 -         SUMIF('Nährstoffe und Lagerraum'!$AX$113:$AX$155,$CZ32,'Nährstoffe und Lagerraum'!$U$113:$U$155)/12  -$GD32*$HE32/12</f>
        <v>0</v>
      </c>
      <c r="FK32" s="1184">
        <f>FJ32+DJ32+EJ32                 -         SUMIF('Nährstoffe und Lagerraum'!$AX$113:$AX$155,$CZ32,'Nährstoffe und Lagerraum'!$U$113:$U$155)/12  -$GD32*$HE32/12</f>
        <v>0</v>
      </c>
      <c r="FL32" s="1184">
        <f>FK32+DK32+EK32                 -         SUMIF('Nährstoffe und Lagerraum'!$AX$113:$AX$155,$CZ32,'Nährstoffe und Lagerraum'!$U$113:$U$155)/12  -$GD32*$HE32/12</f>
        <v>0</v>
      </c>
      <c r="FM32" s="1184">
        <f>FL32+DL32+EL32                 -         SUMIF('Nährstoffe und Lagerraum'!$AX$113:$AX$155,$CZ32,'Nährstoffe und Lagerraum'!$U$113:$U$155)/12  -$GD32*$HE32/12</f>
        <v>0</v>
      </c>
      <c r="FN32" s="1184">
        <f>FM32+DM32+EM32                 -         SUMIF('Nährstoffe und Lagerraum'!$AX$113:$AX$155,$CZ32,'Nährstoffe und Lagerraum'!$U$113:$U$155)/12  -$GD32*$HE32/12</f>
        <v>0</v>
      </c>
      <c r="FO32" s="1184"/>
      <c r="FP32" s="1186">
        <f t="shared" si="52"/>
        <v>0</v>
      </c>
      <c r="FQ32" s="1184">
        <f>FP32+DO32+EO32                 -         SUMIF('Nährstoffe und Lagerraum'!$AX$113:$AX$155,$CZ32,'Nährstoffe und Lagerraum'!$V$113:$V$155)/12  -$GE32*$HE32/12</f>
        <v>0</v>
      </c>
      <c r="FR32" s="1184">
        <f>FQ32+DP32+EP32                 -         SUMIF('Nährstoffe und Lagerraum'!$AX$113:$AX$155,$CZ32,'Nährstoffe und Lagerraum'!$V$113:$V$155)/12  -$GE32*$HE32/12</f>
        <v>0</v>
      </c>
      <c r="FS32" s="1184">
        <f>FR32+DQ32+EQ32                 -         SUMIF('Nährstoffe und Lagerraum'!$AX$113:$AX$155,$CZ32,'Nährstoffe und Lagerraum'!$V$113:$V$155)/12  -$GE32*$HE32/12</f>
        <v>0</v>
      </c>
      <c r="FT32" s="1184">
        <f>FS32+DR32+ER32                 -         SUMIF('Nährstoffe und Lagerraum'!$AX$113:$AX$155,$CZ32,'Nährstoffe und Lagerraum'!$V$113:$V$155)/12  -$GE32*$HE32/12</f>
        <v>0</v>
      </c>
      <c r="FU32" s="1184">
        <f>FT32+DS32+ES32                 -         SUMIF('Nährstoffe und Lagerraum'!$AX$113:$AX$155,$CZ32,'Nährstoffe und Lagerraum'!$V$113:$V$155)/12  -$GE32*$HE32/12</f>
        <v>0</v>
      </c>
      <c r="FV32" s="1184">
        <f>FU32+DT32+ET32                 -         SUMIF('Nährstoffe und Lagerraum'!$AX$113:$AX$155,$CZ32,'Nährstoffe und Lagerraum'!$V$113:$V$155)/12  -$GE32*$HE32/12</f>
        <v>0</v>
      </c>
      <c r="FW32" s="1184">
        <f>FV32+DU32+EU32                 -         SUMIF('Nährstoffe und Lagerraum'!$AX$113:$AX$155,$CZ32,'Nährstoffe und Lagerraum'!$V$113:$V$155)/12  -$GE32*$HE32/12</f>
        <v>0</v>
      </c>
      <c r="FX32" s="1184">
        <f>FW32+DV32+EV32                 -         SUMIF('Nährstoffe und Lagerraum'!$AX$113:$AX$155,$CZ32,'Nährstoffe und Lagerraum'!$V$113:$V$155)/12  -$GE32*$HE32/12</f>
        <v>0</v>
      </c>
      <c r="FY32" s="1184">
        <f>FX32+DW32+EW32                 -         SUMIF('Nährstoffe und Lagerraum'!$AX$113:$AX$155,$CZ32,'Nährstoffe und Lagerraum'!$V$113:$V$155)/12  -$GE32*$HE32/12</f>
        <v>0</v>
      </c>
      <c r="FZ32" s="1184">
        <f>FY32+DX32+EX32                 -         SUMIF('Nährstoffe und Lagerraum'!$AX$113:$AX$155,$CZ32,'Nährstoffe und Lagerraum'!$V$113:$V$155)/12  -$GE32*$HE32/12</f>
        <v>0</v>
      </c>
      <c r="GA32" s="1184">
        <f>FZ32+DY32+EY32                 -         SUMIF('Nährstoffe und Lagerraum'!$AX$113:$AX$155,$CZ32,'Nährstoffe und Lagerraum'!$V$113:$V$155)/12  -$GE32*$HE32/12</f>
        <v>0</v>
      </c>
      <c r="GB32" s="1184">
        <f>GA32+DZ32+EZ32                 -         SUMIF('Nährstoffe und Lagerraum'!$AX$113:$AX$155,$CZ32,'Nährstoffe und Lagerraum'!$V$113:$V$155)/12  -$GE32*$HE32/12</f>
        <v>0</v>
      </c>
      <c r="GC32" s="1184"/>
      <c r="GD32" s="1184">
        <f>SUMIFS($CI$14:$CI$68,$BR$14:$BR$68,$CZ32)+SUMIFS($CM$14:$CM$68,$BR$14:$BR$68,$CZ32)+SUMIFS($CR$14:$CR$68,$BR$14:$BR$68,$CZ32)  -         SUMIF('Nährstoffe und Lagerraum'!$AX$113:$AX$155,$CZ32,'Nährstoffe und Lagerraum'!$U$113:$U$155)</f>
        <v>0</v>
      </c>
      <c r="GE32" s="1184">
        <f>SUMIFS($CJ$14:$CJ$68,$BR$14:$BR$68,$CZ32)+SUMIFS($CO$14:$CO$68,$BR$14:$BR$68,$CZ32)+SUMIFS($CT$14:$CT$68,$BR$14:$BR$68,$CZ32)  -         SUMIF('Nährstoffe und Lagerraum'!$AX$113:$AX$155,$CZ32,'Nährstoffe und Lagerraum'!$V$113:$V$155)</f>
        <v>0</v>
      </c>
      <c r="GF32" s="1184"/>
      <c r="GG32" s="1184"/>
      <c r="GH32" s="1184">
        <f>SUMIF('Nährstoffe und Lagerraum'!$AX$113:$AX$155,$CZ32,'Nährstoffe und Lagerraum'!$U$113:$U$155)</f>
        <v>0</v>
      </c>
      <c r="GI32" s="1184">
        <f>SUMIF('Nährstoffe und Lagerraum'!$AX$113:$AX$155,$CZ32,'Nährstoffe und Lagerraum'!$V$113:$V$155)</f>
        <v>0</v>
      </c>
      <c r="GJ32" s="1184">
        <f t="shared" si="53"/>
        <v>0</v>
      </c>
      <c r="GK32" s="1184">
        <f t="shared" si="54"/>
        <v>0</v>
      </c>
      <c r="GL32" s="1184">
        <f t="shared" si="55"/>
        <v>0</v>
      </c>
      <c r="GM32" s="1184">
        <f t="shared" si="56"/>
        <v>0</v>
      </c>
      <c r="GN32" s="1184">
        <f t="shared" si="57"/>
        <v>0</v>
      </c>
      <c r="GO32" s="1184" cm="1">
        <f t="array" ref="GO32">IF(GN32=0,0,(IFERROR(SUMPRODUCT($J$14:$J$68,$CH$14:$CH$68,($BR$14:$BR$68=CZ32)*1)+SUMPRODUCT($L$14:$L$68,$M$14:$M$68,$CK$14:$CK$68,($BR$14:$BR$68=CZ32)*1,($BT$14:$BT$68=FALSE)*1)/10+SUMPRODUCT($R$14:$R$68,$CP$14:$CP$68,($BR$14:$BR$68=CZ32)*1),0))/GN32)</f>
        <v>0</v>
      </c>
      <c r="GP32" s="1184">
        <f t="shared" si="58"/>
        <v>0</v>
      </c>
      <c r="GQ32" s="1184">
        <f>(SUMIF('Nährstoffe und Lagerraum'!$AX$113:$AX$130,'Lagerhaltung (freiwillig)'!CZ32,'Nährstoffe und Lagerraum'!$D$113:$D$130)+SUMIF('Nährstoffe und Lagerraum'!$AX$137:$AX$155,'Lagerhaltung (freiwillig)'!CZ32,'Nährstoffe und Lagerraum'!$E$137:$E$155))</f>
        <v>0</v>
      </c>
      <c r="GR32" s="1184" cm="1">
        <f t="array" ref="GR32">IF(GQ32=0,0,(IFERROR(SUMPRODUCT('Nährstoffe und Lagerraum'!$D$113:$D$130,'Nährstoffe und Lagerraum'!$F$113:$F$130,('Nährstoffe und Lagerraum'!$AX$113:$AX$130='Lagerhaltung (freiwillig)'!CZ32)*1)+SUMPRODUCT('Nährstoffe und Lagerraum'!$E$137:$E$155,'Nährstoffe und Lagerraum'!$F$137:$F$155,('Nährstoffe und Lagerraum'!$AX$137:$AX$155='Lagerhaltung (freiwillig)'!CZ32)*1),0))/GQ32)</f>
        <v>0</v>
      </c>
      <c r="GS32" s="1184">
        <f t="shared" si="59"/>
        <v>0</v>
      </c>
      <c r="GT32" s="1184">
        <f t="shared" si="60"/>
        <v>0</v>
      </c>
      <c r="GU32" s="1184">
        <f t="shared" si="61"/>
        <v>0</v>
      </c>
      <c r="GV32" s="1184">
        <f t="shared" si="62"/>
        <v>0</v>
      </c>
      <c r="GW32" s="1186" t="str">
        <f t="shared" si="41"/>
        <v xml:space="preserve"> </v>
      </c>
      <c r="GX32" s="1186" t="str">
        <f t="shared" si="41"/>
        <v xml:space="preserve"> </v>
      </c>
      <c r="GY32" s="1195">
        <f t="shared" si="63"/>
        <v>0</v>
      </c>
      <c r="GZ32" s="1184">
        <f t="shared" si="64"/>
        <v>0</v>
      </c>
      <c r="HA32" s="1184" t="str">
        <f t="shared" si="44"/>
        <v>a</v>
      </c>
      <c r="HB32" s="1196">
        <f t="shared" si="65"/>
        <v>0</v>
      </c>
      <c r="HC32" s="1196">
        <f t="shared" si="66"/>
        <v>0</v>
      </c>
      <c r="HD32" s="1196"/>
      <c r="HE32" s="1187">
        <f t="shared" si="67"/>
        <v>0</v>
      </c>
      <c r="HF32" s="1196">
        <f t="shared" si="68"/>
        <v>0</v>
      </c>
      <c r="HG32" s="1196">
        <f t="shared" si="69"/>
        <v>0</v>
      </c>
      <c r="HH32" s="1196">
        <f t="shared" si="70"/>
        <v>0</v>
      </c>
      <c r="HI32" s="1328" cm="1">
        <f t="array" ref="HI32">IF(AND(HG32=0,GL32=0),0,IF(HG32=0,1,IF(OR(GL32*1000/HG32/HH32&gt;INDEX(Pflanzen!$W$5:$W$104,CZ32)/INDEX(Pflanzen!$I$5:$I$104,CZ32)*$HI$1,GL32*1000/HG32/HH32&lt;INDEX(Pflanzen!$W$5:$W$104,CZ32)/INDEX(Pflanzen!$I$5:$I$104,CZ32)/$HI$1),1,0)))</f>
        <v>0</v>
      </c>
      <c r="HJ32" s="1328" cm="1">
        <f t="array" ref="HJ32">IF(AND(GM32=0,HG32=0),0,IF(HG32=0,1,IF(OR(GM32*1000/HG32/HH32&gt;INDEX(Pflanzen!$X$5:$X$104,CZ32)/INDEX(Pflanzen!$I$5:$I$104,CZ32)*$HI$1,GM32*1000/HG32/HH32&lt;INDEX(Pflanzen!$X$5:$X$104,CZ32)/INDEX(Pflanzen!$I$5:$I$104,CZ32)/$HI$1),1,0)))</f>
        <v>0</v>
      </c>
      <c r="HK32" s="1184">
        <f t="shared" si="71"/>
        <v>3</v>
      </c>
      <c r="HL32" s="1184"/>
      <c r="HN32" s="1184"/>
      <c r="HO32" s="1193" t="str">
        <f>Tiere!B58</f>
        <v>Ferkel von 8 bis 28 kg, stark N-/P-red.*</v>
      </c>
      <c r="HP32" s="1184">
        <v>29</v>
      </c>
      <c r="HQ32" s="1194">
        <f>SUMIF('Nährstoffe und Lagerraum'!$BM$68:$BM$87,'Lagerhaltung (freiwillig)'!HP32,'Nährstoffe und Lagerraum'!$Z$68:$Z$87)+SUMIF('Nährstoffe und Lagerraum'!$BM$68:$BM$87,'Lagerhaltung (freiwillig)'!HP32,'Nährstoffe und Lagerraum'!$AA$68:$AA$87)</f>
        <v>0</v>
      </c>
      <c r="HR32" s="1184" cm="1">
        <f t="array" ref="HR32">INDEX(Tiere!$C$30:$C$114,'Lagerhaltung (freiwillig)'!HP32)</f>
        <v>2</v>
      </c>
      <c r="HS32" s="1184" cm="1">
        <f t="array" ref="HS32">INDEX(Tiere!$H$30:$H$114,'Lagerhaltung (freiwillig)'!HP32)</f>
        <v>0</v>
      </c>
      <c r="HT32" s="1184">
        <f t="shared" si="12"/>
        <v>0</v>
      </c>
      <c r="HU32" s="1184" cm="1">
        <f t="array" ref="HU32">INDEX(Tiere!$I$30:$I$114,'Lagerhaltung (freiwillig)'!HP32)</f>
        <v>0</v>
      </c>
      <c r="HV32" s="1184">
        <f t="shared" si="13"/>
        <v>0</v>
      </c>
      <c r="HW32" s="1184" cm="1">
        <f t="array" ref="HW32">INDEX(Tiere!$BC$30:$BC$114,'Lagerhaltung (freiwillig)'!HP32)</f>
        <v>4.2048000000000005</v>
      </c>
      <c r="HX32" s="1184">
        <f t="shared" si="14"/>
        <v>0</v>
      </c>
      <c r="HY32" s="1184" cm="1">
        <f t="array" ref="HY32">INDEX(Tiere!$BD$30:$BD$114,'Lagerhaltung (freiwillig)'!HP32)</f>
        <v>1.9217249999999999</v>
      </c>
      <c r="HZ32" s="1184">
        <f t="shared" si="15"/>
        <v>0</v>
      </c>
      <c r="IA32" s="1184"/>
      <c r="IB32" s="1184"/>
      <c r="IC32" s="1184"/>
      <c r="ID32" s="1184"/>
      <c r="IE32" s="1184"/>
      <c r="IF32" s="1184"/>
      <c r="IG32" s="1184"/>
      <c r="IH32" s="1184"/>
      <c r="II32" s="1184"/>
      <c r="IJ32" s="1184"/>
      <c r="IK32" s="1184"/>
      <c r="IL32" s="1184"/>
    </row>
    <row r="33" spans="1:247" ht="15.6" customHeight="1" x14ac:dyDescent="0.2">
      <c r="A33" s="725"/>
      <c r="B33" s="726"/>
      <c r="C33" s="726"/>
      <c r="D33" s="726"/>
      <c r="E33" s="726"/>
      <c r="F33" s="1466" cm="1">
        <f t="array" ref="F33">INDEX(Pflanzen!$I$5:$I$104,BR33)</f>
        <v>0</v>
      </c>
      <c r="G33" s="1467" cm="1">
        <f t="array" ref="G33">INDEX(Pflanzen!$W$5:$W$104,BR33)</f>
        <v>0</v>
      </c>
      <c r="H33" s="1468" cm="1">
        <f t="array" ref="H33">INDEX(Pflanzen!$X$5:$X$104,BR33)</f>
        <v>0</v>
      </c>
      <c r="I33" s="1122"/>
      <c r="J33" s="1303"/>
      <c r="K33" s="1122"/>
      <c r="L33" s="1487"/>
      <c r="M33" s="1491"/>
      <c r="N33" s="1487"/>
      <c r="O33" s="1487"/>
      <c r="P33" s="1292"/>
      <c r="Q33" s="2180"/>
      <c r="R33" s="1487"/>
      <c r="S33" s="1491"/>
      <c r="T33" s="1303"/>
      <c r="U33" s="725"/>
      <c r="V33" s="1346" t="str">
        <f t="shared" si="92"/>
        <v/>
      </c>
      <c r="Y33" s="1554" t="str" cm="1">
        <f t="array" ref="Y33">IFERROR(INDEX($CY$4:$CY$165,AY33),"")</f>
        <v/>
      </c>
      <c r="Z33" s="1555"/>
      <c r="AA33" s="1555"/>
      <c r="AB33" s="1555"/>
      <c r="AC33" s="1454" t="str" cm="1">
        <f t="array" ref="AC33">IFERROR(INDEX($GN$4:$GN$165,AY33),"")</f>
        <v/>
      </c>
      <c r="AD33" s="1454" t="str" cm="1">
        <f t="array" ref="AD33">IFERROR(INDEX($GO$4:$GO$165,AY33),"")</f>
        <v/>
      </c>
      <c r="AE33" s="1454" t="str" cm="1">
        <f t="array" ref="AE33">IFERROR(INDEX($GJ$4:$GJ$165,AY33),"")</f>
        <v/>
      </c>
      <c r="AF33" s="1454" t="str" cm="1">
        <f t="array" ref="AF33">IFERROR(INDEX($GK$4:$GK$165,AY33),"")</f>
        <v/>
      </c>
      <c r="AG33" s="1454" t="str" cm="1">
        <f t="array" ref="AG33">IFERROR(INDEX($GQ$4:$GQ$165,AY33),"")</f>
        <v/>
      </c>
      <c r="AH33" s="1454" t="str" cm="1">
        <f t="array" ref="AH33">IFERROR(INDEX($GR$4:$GR$165,AY33),"")</f>
        <v/>
      </c>
      <c r="AI33" s="1454" t="str" cm="1">
        <f t="array" ref="AI33">IFERROR(INDEX($GH$4:$GH$165,AY33),"")</f>
        <v/>
      </c>
      <c r="AJ33" s="1454" t="str" cm="1">
        <f t="array" ref="AJ33">IFERROR(INDEX($GI$4:$GI$165,AY33),"")</f>
        <v/>
      </c>
      <c r="AK33" s="1454" t="str" cm="1">
        <f t="array" ref="AK33">IFERROR(INDEX($GU$4:$GU$165,AY33),"")</f>
        <v/>
      </c>
      <c r="AL33" s="1455" t="str" cm="1">
        <f t="array" ref="AL33">IFERROR(INDEX($GV$4:$GV$165,AY33),"")</f>
        <v/>
      </c>
      <c r="AM33" s="1454" t="str" cm="1">
        <f t="array" ref="AM33">IFERROR(INDEX($GD$4:$GD$165,AY33),"")</f>
        <v/>
      </c>
      <c r="AN33" s="1454" t="str" cm="1">
        <f t="array" ref="AN33">IFERROR(INDEX($GE$4:$GE$165,AY33),"")</f>
        <v/>
      </c>
      <c r="AO33" s="1454" t="str" cm="1">
        <f t="array" ref="AO33">IFERROR(INDEX($GW$4:$GW$165,AY33),"")</f>
        <v/>
      </c>
      <c r="AP33" s="1454" t="str" cm="1">
        <f t="array" ref="AP33">IFERROR(INDEX($GZ$4:$GZ$165,AY33),"")</f>
        <v/>
      </c>
      <c r="AQ33" s="1457"/>
      <c r="AR33" s="1454" t="str" cm="1">
        <f t="array" ref="AR33">IFERROR(INDEX($HF$4:$HF$165,AY33),"")</f>
        <v/>
      </c>
      <c r="AS33" s="1454" t="str" cm="1">
        <f t="array" ref="AS33">IFERROR(INDEX($HG$4:$HG$165,AY33),"")</f>
        <v/>
      </c>
      <c r="AT33" s="1454" t="str" cm="1">
        <f t="array" ref="AT33">IFERROR(INDEX($HH$4:$HH$165,AY33),"")</f>
        <v/>
      </c>
      <c r="AU33" s="1454" t="str" cm="1">
        <f t="array" ref="AU33">IFERROR(INDEX($GL$4:$GL$165,AY33),"")</f>
        <v/>
      </c>
      <c r="AV33" s="1454" t="str" cm="1">
        <f t="array" ref="AV33">IFERROR(INDEX($GM$4:$GM$165,AY33),"")</f>
        <v/>
      </c>
      <c r="AY33" s="1184" t="str" cm="1">
        <f t="array" ref="AY33">IFERROR(SMALL(IF($HK$4:$HK$165=1,ROW($HK$4:$HK$165)-3),ROW(W21)),IFERROR(SMALL(IF($HK$4:$HK$165=2,ROW($HK$4:$HK$165)-3),ROW(W21)-COUNTIF($HK$4:$HK$165,1)),IFERROR(SMALL(IF($HK$4:$HK$165=0,ROW($HK$4:$HK$165)-3),ROW(W21)-COUNTIF($HK$4:$HK$165,1)-COUNTIF($HK$4:$HK$165,2)),"")))</f>
        <v/>
      </c>
      <c r="AZ33" s="1184" t="str">
        <f t="shared" si="72"/>
        <v>a</v>
      </c>
      <c r="BA33" s="1194" t="e">
        <f t="shared" si="73"/>
        <v>#VALUE!</v>
      </c>
      <c r="BB33" s="1194" cm="1">
        <f t="array" ref="BB33">IFERROR(INDEX($HK$4:$HK$165,AY33),0)</f>
        <v>0</v>
      </c>
      <c r="BC33" s="1194">
        <f t="shared" si="74"/>
        <v>0</v>
      </c>
      <c r="BD33" s="1194"/>
      <c r="BE33" s="1343"/>
      <c r="BF33" s="1343"/>
      <c r="BG33" s="1343"/>
      <c r="BH33" s="1343"/>
      <c r="BI33" s="1343"/>
      <c r="BJ33" s="1343"/>
      <c r="BK33" s="1343"/>
      <c r="BL33" s="1343"/>
      <c r="BM33" s="1343"/>
      <c r="BN33" s="1343"/>
      <c r="BO33" s="1343"/>
      <c r="BQ33" s="1184"/>
      <c r="BR33" s="1184">
        <v>1</v>
      </c>
      <c r="BS33" s="1184"/>
      <c r="BT33" s="1184" t="b">
        <v>0</v>
      </c>
      <c r="BU33" s="1199"/>
      <c r="BV33" s="1199"/>
      <c r="BW33" s="1184">
        <f t="shared" si="75"/>
        <v>12</v>
      </c>
      <c r="BX33" s="1184">
        <f t="shared" si="76"/>
        <v>0</v>
      </c>
      <c r="BY33" s="1184">
        <f t="shared" si="77"/>
        <v>12</v>
      </c>
      <c r="BZ33" s="1184" cm="1">
        <f t="array" ref="BZ33">INDEX(Pflanzen!$AB$5:$AB$114,'Lagerhaltung (freiwillig)'!BR33)</f>
        <v>0</v>
      </c>
      <c r="CA33" s="1184" cm="1">
        <f t="array" ref="CA33">IF(BZ33=1,INDEX(Pflanzen!$AC$5:$AC$114,BR33),N33)</f>
        <v>0</v>
      </c>
      <c r="CB33" s="1184" cm="1">
        <f t="array" ref="CB33">IF(BZ33=1,INDEX(Pflanzen!$AD$5:$AD$114,BR33),O33)</f>
        <v>0</v>
      </c>
      <c r="CC33" s="1184">
        <f t="shared" si="78"/>
        <v>12</v>
      </c>
      <c r="CD33" s="1184">
        <f t="shared" si="79"/>
        <v>0</v>
      </c>
      <c r="CE33" s="1184">
        <f t="shared" si="80"/>
        <v>12</v>
      </c>
      <c r="CF33" s="1184" cm="1">
        <f t="array" ref="CF33">INDEX(Pflanzen!$F$5:$F$114,BR33)</f>
        <v>0</v>
      </c>
      <c r="CG33" s="1184" cm="1">
        <f t="array" ref="CG33">INDEX(Pflanzen!$G$5:$G$114,BR33)</f>
        <v>0</v>
      </c>
      <c r="CH33" s="1184">
        <f t="shared" si="81"/>
        <v>0</v>
      </c>
      <c r="CI33" s="1184">
        <f t="shared" si="93"/>
        <v>0</v>
      </c>
      <c r="CJ33" s="1184">
        <f t="shared" si="94"/>
        <v>0</v>
      </c>
      <c r="CK33" s="1184">
        <f t="shared" si="82"/>
        <v>0</v>
      </c>
      <c r="CL33" s="1184">
        <f t="shared" si="83"/>
        <v>0</v>
      </c>
      <c r="CM33" s="1184">
        <f t="shared" si="84"/>
        <v>0</v>
      </c>
      <c r="CN33" s="1184">
        <f t="shared" si="85"/>
        <v>0</v>
      </c>
      <c r="CO33" s="1184">
        <f t="shared" si="86"/>
        <v>0</v>
      </c>
      <c r="CP33" s="1184">
        <f t="shared" si="87"/>
        <v>0</v>
      </c>
      <c r="CQ33" s="1184">
        <f t="shared" si="88"/>
        <v>0</v>
      </c>
      <c r="CR33" s="1184">
        <f t="shared" si="89"/>
        <v>0</v>
      </c>
      <c r="CS33" s="1184">
        <f t="shared" si="90"/>
        <v>0</v>
      </c>
      <c r="CT33" s="1184">
        <f t="shared" si="91"/>
        <v>0</v>
      </c>
      <c r="CU33" s="1184">
        <f t="shared" si="95"/>
        <v>2</v>
      </c>
      <c r="CV33" s="1184">
        <f t="shared" si="96"/>
        <v>0</v>
      </c>
      <c r="CW33" s="1186">
        <f t="shared" si="97"/>
        <v>0</v>
      </c>
      <c r="CX33" s="1184"/>
      <c r="CY33" s="320" t="str">
        <f>Pflanzen!A29</f>
        <v xml:space="preserve"> +++Ölfrüchte+++</v>
      </c>
      <c r="CZ33" s="1200">
        <f>IFERROR(MATCH($CY33,Pflanzen!$C$5:$C$114,0),1)</f>
        <v>25</v>
      </c>
      <c r="DA33" s="320" cm="1">
        <f t="array" ref="DA33">INDEX(Pflanzen!$H$5:$H$114,'Lagerhaltung (freiwillig)'!CZ33)</f>
        <v>0</v>
      </c>
      <c r="DB33" s="1200">
        <f t="shared" si="102"/>
        <v>0</v>
      </c>
      <c r="DC33" s="1200">
        <f t="shared" si="102"/>
        <v>0</v>
      </c>
      <c r="DD33" s="1200">
        <f t="shared" si="102"/>
        <v>0</v>
      </c>
      <c r="DE33" s="1200">
        <f t="shared" si="102"/>
        <v>0</v>
      </c>
      <c r="DF33" s="1200">
        <f t="shared" si="102"/>
        <v>0</v>
      </c>
      <c r="DG33" s="1184">
        <f t="shared" si="102"/>
        <v>0</v>
      </c>
      <c r="DH33" s="1184">
        <f t="shared" si="102"/>
        <v>0</v>
      </c>
      <c r="DI33" s="1184">
        <f t="shared" si="102"/>
        <v>0</v>
      </c>
      <c r="DJ33" s="1184">
        <f t="shared" si="102"/>
        <v>0</v>
      </c>
      <c r="DK33" s="1184">
        <f t="shared" si="102"/>
        <v>0</v>
      </c>
      <c r="DL33" s="1184">
        <f t="shared" si="102"/>
        <v>0</v>
      </c>
      <c r="DM33" s="1184">
        <f t="shared" si="102"/>
        <v>0</v>
      </c>
      <c r="DN33" s="1184"/>
      <c r="DO33" s="1184">
        <f t="shared" si="103"/>
        <v>0</v>
      </c>
      <c r="DP33" s="1184">
        <f t="shared" si="103"/>
        <v>0</v>
      </c>
      <c r="DQ33" s="1184">
        <f t="shared" si="103"/>
        <v>0</v>
      </c>
      <c r="DR33" s="1184">
        <f t="shared" si="103"/>
        <v>0</v>
      </c>
      <c r="DS33" s="1184">
        <f t="shared" si="103"/>
        <v>0</v>
      </c>
      <c r="DT33" s="1184">
        <f t="shared" si="103"/>
        <v>0</v>
      </c>
      <c r="DU33" s="1184">
        <f t="shared" si="103"/>
        <v>0</v>
      </c>
      <c r="DV33" s="1184">
        <f t="shared" si="103"/>
        <v>0</v>
      </c>
      <c r="DW33" s="1184">
        <f t="shared" si="103"/>
        <v>0</v>
      </c>
      <c r="DX33" s="1184">
        <f t="shared" si="103"/>
        <v>0</v>
      </c>
      <c r="DY33" s="1184">
        <f t="shared" si="103"/>
        <v>0</v>
      </c>
      <c r="DZ33" s="1184">
        <f t="shared" si="103"/>
        <v>0</v>
      </c>
      <c r="EA33" s="1184"/>
      <c r="EB33" s="1184">
        <f t="shared" si="104"/>
        <v>0</v>
      </c>
      <c r="EC33" s="1184">
        <f t="shared" si="104"/>
        <v>0</v>
      </c>
      <c r="ED33" s="1184">
        <f t="shared" si="104"/>
        <v>0</v>
      </c>
      <c r="EE33" s="1184">
        <f t="shared" si="104"/>
        <v>0</v>
      </c>
      <c r="EF33" s="1184">
        <f t="shared" si="104"/>
        <v>0</v>
      </c>
      <c r="EG33" s="1184">
        <f t="shared" si="104"/>
        <v>0</v>
      </c>
      <c r="EH33" s="1184">
        <f t="shared" si="104"/>
        <v>0</v>
      </c>
      <c r="EI33" s="1184">
        <f t="shared" si="104"/>
        <v>0</v>
      </c>
      <c r="EJ33" s="1184">
        <f t="shared" si="104"/>
        <v>0</v>
      </c>
      <c r="EK33" s="1184">
        <f t="shared" si="104"/>
        <v>0</v>
      </c>
      <c r="EL33" s="1184">
        <f t="shared" si="104"/>
        <v>0</v>
      </c>
      <c r="EM33" s="1184">
        <f t="shared" si="104"/>
        <v>0</v>
      </c>
      <c r="EN33" s="1184"/>
      <c r="EO33" s="1184">
        <f t="shared" si="105"/>
        <v>0</v>
      </c>
      <c r="EP33" s="1184">
        <f t="shared" si="105"/>
        <v>0</v>
      </c>
      <c r="EQ33" s="1184">
        <f t="shared" si="105"/>
        <v>0</v>
      </c>
      <c r="ER33" s="1184">
        <f t="shared" si="105"/>
        <v>0</v>
      </c>
      <c r="ES33" s="1184">
        <f t="shared" si="105"/>
        <v>0</v>
      </c>
      <c r="ET33" s="1184">
        <f t="shared" si="105"/>
        <v>0</v>
      </c>
      <c r="EU33" s="1184">
        <f t="shared" si="105"/>
        <v>0</v>
      </c>
      <c r="EV33" s="1184">
        <f t="shared" si="105"/>
        <v>0</v>
      </c>
      <c r="EW33" s="1184">
        <f t="shared" si="105"/>
        <v>0</v>
      </c>
      <c r="EX33" s="1184">
        <f t="shared" si="105"/>
        <v>0</v>
      </c>
      <c r="EY33" s="1184">
        <f t="shared" si="105"/>
        <v>0</v>
      </c>
      <c r="EZ33" s="1184">
        <f t="shared" si="105"/>
        <v>0</v>
      </c>
      <c r="FA33" s="1184"/>
      <c r="FB33" s="1186">
        <f t="shared" si="51"/>
        <v>0</v>
      </c>
      <c r="FC33" s="1184">
        <f>FB33+DB33+EB33                 -         SUMIF('Nährstoffe und Lagerraum'!$AX$113:$AX$155,$CZ33,'Nährstoffe und Lagerraum'!$U$113:$U$155)/12  -$GD33*$HE33/12</f>
        <v>0</v>
      </c>
      <c r="FD33" s="1184">
        <f>FC33+DC33+EC33                 -         SUMIF('Nährstoffe und Lagerraum'!$AX$113:$AX$155,$CZ33,'Nährstoffe und Lagerraum'!$U$113:$U$155)/12  -$GD33*$HE33/12</f>
        <v>0</v>
      </c>
      <c r="FE33" s="1184">
        <f>FD33+DD33+ED33                 -         SUMIF('Nährstoffe und Lagerraum'!$AX$113:$AX$155,$CZ33,'Nährstoffe und Lagerraum'!$U$113:$U$155)/12  -$GD33*$HE33/12</f>
        <v>0</v>
      </c>
      <c r="FF33" s="1184">
        <f>FE33+DE33+EE33                 -         SUMIF('Nährstoffe und Lagerraum'!$AX$113:$AX$155,$CZ33,'Nährstoffe und Lagerraum'!$U$113:$U$155)/12  -$GD33*$HE33/12</f>
        <v>0</v>
      </c>
      <c r="FG33" s="1184">
        <f>FF33+DF33+EF33                 -         SUMIF('Nährstoffe und Lagerraum'!$AX$113:$AX$155,$CZ33,'Nährstoffe und Lagerraum'!$U$113:$U$155)/12  -$GD33*$HE33/12</f>
        <v>0</v>
      </c>
      <c r="FH33" s="1184">
        <f>FG33+DG33+EG33                 -         SUMIF('Nährstoffe und Lagerraum'!$AX$113:$AX$155,$CZ33,'Nährstoffe und Lagerraum'!$U$113:$U$155)/12  -$GD33*$HE33/12</f>
        <v>0</v>
      </c>
      <c r="FI33" s="1184">
        <f>FH33+DH33+EH33                 -         SUMIF('Nährstoffe und Lagerraum'!$AX$113:$AX$155,$CZ33,'Nährstoffe und Lagerraum'!$U$113:$U$155)/12  -$GD33*$HE33/12</f>
        <v>0</v>
      </c>
      <c r="FJ33" s="1184">
        <f>FI33+DI33+EI33                 -         SUMIF('Nährstoffe und Lagerraum'!$AX$113:$AX$155,$CZ33,'Nährstoffe und Lagerraum'!$U$113:$U$155)/12  -$GD33*$HE33/12</f>
        <v>0</v>
      </c>
      <c r="FK33" s="1184">
        <f>FJ33+DJ33+EJ33                 -         SUMIF('Nährstoffe und Lagerraum'!$AX$113:$AX$155,$CZ33,'Nährstoffe und Lagerraum'!$U$113:$U$155)/12  -$GD33*$HE33/12</f>
        <v>0</v>
      </c>
      <c r="FL33" s="1184">
        <f>FK33+DK33+EK33                 -         SUMIF('Nährstoffe und Lagerraum'!$AX$113:$AX$155,$CZ33,'Nährstoffe und Lagerraum'!$U$113:$U$155)/12  -$GD33*$HE33/12</f>
        <v>0</v>
      </c>
      <c r="FM33" s="1184">
        <f>FL33+DL33+EL33                 -         SUMIF('Nährstoffe und Lagerraum'!$AX$113:$AX$155,$CZ33,'Nährstoffe und Lagerraum'!$U$113:$U$155)/12  -$GD33*$HE33/12</f>
        <v>0</v>
      </c>
      <c r="FN33" s="1184">
        <f>FM33+DM33+EM33                 -         SUMIF('Nährstoffe und Lagerraum'!$AX$113:$AX$155,$CZ33,'Nährstoffe und Lagerraum'!$U$113:$U$155)/12  -$GD33*$HE33/12</f>
        <v>0</v>
      </c>
      <c r="FO33" s="1184"/>
      <c r="FP33" s="1186">
        <f t="shared" si="52"/>
        <v>0</v>
      </c>
      <c r="FQ33" s="1184">
        <f>FP33+DO33+EO33                 -         SUMIF('Nährstoffe und Lagerraum'!$AX$113:$AX$155,$CZ33,'Nährstoffe und Lagerraum'!$V$113:$V$155)/12  -$GE33*$HE33/12</f>
        <v>0</v>
      </c>
      <c r="FR33" s="1184">
        <f>FQ33+DP33+EP33                 -         SUMIF('Nährstoffe und Lagerraum'!$AX$113:$AX$155,$CZ33,'Nährstoffe und Lagerraum'!$V$113:$V$155)/12  -$GE33*$HE33/12</f>
        <v>0</v>
      </c>
      <c r="FS33" s="1184">
        <f>FR33+DQ33+EQ33                 -         SUMIF('Nährstoffe und Lagerraum'!$AX$113:$AX$155,$CZ33,'Nährstoffe und Lagerraum'!$V$113:$V$155)/12  -$GE33*$HE33/12</f>
        <v>0</v>
      </c>
      <c r="FT33" s="1184">
        <f>FS33+DR33+ER33                 -         SUMIF('Nährstoffe und Lagerraum'!$AX$113:$AX$155,$CZ33,'Nährstoffe und Lagerraum'!$V$113:$V$155)/12  -$GE33*$HE33/12</f>
        <v>0</v>
      </c>
      <c r="FU33" s="1184">
        <f>FT33+DS33+ES33                 -         SUMIF('Nährstoffe und Lagerraum'!$AX$113:$AX$155,$CZ33,'Nährstoffe und Lagerraum'!$V$113:$V$155)/12  -$GE33*$HE33/12</f>
        <v>0</v>
      </c>
      <c r="FV33" s="1184">
        <f>FU33+DT33+ET33                 -         SUMIF('Nährstoffe und Lagerraum'!$AX$113:$AX$155,$CZ33,'Nährstoffe und Lagerraum'!$V$113:$V$155)/12  -$GE33*$HE33/12</f>
        <v>0</v>
      </c>
      <c r="FW33" s="1184">
        <f>FV33+DU33+EU33                 -         SUMIF('Nährstoffe und Lagerraum'!$AX$113:$AX$155,$CZ33,'Nährstoffe und Lagerraum'!$V$113:$V$155)/12  -$GE33*$HE33/12</f>
        <v>0</v>
      </c>
      <c r="FX33" s="1184">
        <f>FW33+DV33+EV33                 -         SUMIF('Nährstoffe und Lagerraum'!$AX$113:$AX$155,$CZ33,'Nährstoffe und Lagerraum'!$V$113:$V$155)/12  -$GE33*$HE33/12</f>
        <v>0</v>
      </c>
      <c r="FY33" s="1184">
        <f>FX33+DW33+EW33                 -         SUMIF('Nährstoffe und Lagerraum'!$AX$113:$AX$155,$CZ33,'Nährstoffe und Lagerraum'!$V$113:$V$155)/12  -$GE33*$HE33/12</f>
        <v>0</v>
      </c>
      <c r="FZ33" s="1184">
        <f>FY33+DX33+EX33                 -         SUMIF('Nährstoffe und Lagerraum'!$AX$113:$AX$155,$CZ33,'Nährstoffe und Lagerraum'!$V$113:$V$155)/12  -$GE33*$HE33/12</f>
        <v>0</v>
      </c>
      <c r="GA33" s="1184">
        <f>FZ33+DY33+EY33                 -         SUMIF('Nährstoffe und Lagerraum'!$AX$113:$AX$155,$CZ33,'Nährstoffe und Lagerraum'!$V$113:$V$155)/12  -$GE33*$HE33/12</f>
        <v>0</v>
      </c>
      <c r="GB33" s="1184">
        <f>GA33+DZ33+EZ33                 -         SUMIF('Nährstoffe und Lagerraum'!$AX$113:$AX$155,$CZ33,'Nährstoffe und Lagerraum'!$V$113:$V$155)/12  -$GE33*$HE33/12</f>
        <v>0</v>
      </c>
      <c r="GC33" s="1184"/>
      <c r="GD33" s="1184">
        <f>SUMIFS($CI$14:$CI$68,$BR$14:$BR$68,$CZ33)+SUMIFS($CM$14:$CM$68,$BR$14:$BR$68,$CZ33)+SUMIFS($CR$14:$CR$68,$BR$14:$BR$68,$CZ33)  -         SUMIF('Nährstoffe und Lagerraum'!$AX$113:$AX$155,$CZ33,'Nährstoffe und Lagerraum'!$U$113:$U$155)</f>
        <v>0</v>
      </c>
      <c r="GE33" s="1184">
        <f>SUMIFS($CJ$14:$CJ$68,$BR$14:$BR$68,$CZ33)+SUMIFS($CO$14:$CO$68,$BR$14:$BR$68,$CZ33)+SUMIFS($CT$14:$CT$68,$BR$14:$BR$68,$CZ33)  -         SUMIF('Nährstoffe und Lagerraum'!$AX$113:$AX$155,$CZ33,'Nährstoffe und Lagerraum'!$V$113:$V$155)</f>
        <v>0</v>
      </c>
      <c r="GF33" s="1184"/>
      <c r="GG33" s="1184"/>
      <c r="GH33" s="1184">
        <f>SUMIF('Nährstoffe und Lagerraum'!$AX$113:$AX$155,$CZ33,'Nährstoffe und Lagerraum'!$U$113:$U$155)</f>
        <v>0</v>
      </c>
      <c r="GI33" s="1184">
        <f>SUMIF('Nährstoffe und Lagerraum'!$AX$113:$AX$155,$CZ33,'Nährstoffe und Lagerraum'!$V$113:$V$155)</f>
        <v>0</v>
      </c>
      <c r="GJ33" s="1184">
        <f t="shared" si="53"/>
        <v>0</v>
      </c>
      <c r="GK33" s="1184">
        <f t="shared" si="54"/>
        <v>0</v>
      </c>
      <c r="GL33" s="1184">
        <f t="shared" si="55"/>
        <v>0</v>
      </c>
      <c r="GM33" s="1184">
        <f t="shared" si="56"/>
        <v>0</v>
      </c>
      <c r="GN33" s="1184">
        <f t="shared" si="57"/>
        <v>0</v>
      </c>
      <c r="GO33" s="1184" cm="1">
        <f t="array" ref="GO33">IF(GN33=0,0,(IFERROR(SUMPRODUCT($J$14:$J$68,$CH$14:$CH$68,($BR$14:$BR$68=CZ33)*1)+SUMPRODUCT($L$14:$L$68,$M$14:$M$68,$CK$14:$CK$68,($BR$14:$BR$68=CZ33)*1,($BT$14:$BT$68=FALSE)*1)/10+SUMPRODUCT($R$14:$R$68,$CP$14:$CP$68,($BR$14:$BR$68=CZ33)*1),0))/GN33)</f>
        <v>0</v>
      </c>
      <c r="GP33" s="1184">
        <f t="shared" si="58"/>
        <v>0</v>
      </c>
      <c r="GQ33" s="1184">
        <f>(SUMIF('Nährstoffe und Lagerraum'!$AX$113:$AX$130,'Lagerhaltung (freiwillig)'!CZ33,'Nährstoffe und Lagerraum'!$D$113:$D$130)+SUMIF('Nährstoffe und Lagerraum'!$AX$137:$AX$155,'Lagerhaltung (freiwillig)'!CZ33,'Nährstoffe und Lagerraum'!$E$137:$E$155))</f>
        <v>0</v>
      </c>
      <c r="GR33" s="1184" cm="1">
        <f t="array" ref="GR33">IF(GQ33=0,0,(IFERROR(SUMPRODUCT('Nährstoffe und Lagerraum'!$D$113:$D$130,'Nährstoffe und Lagerraum'!$F$113:$F$130,('Nährstoffe und Lagerraum'!$AX$113:$AX$130='Lagerhaltung (freiwillig)'!CZ33)*1)+SUMPRODUCT('Nährstoffe und Lagerraum'!$E$137:$E$155,'Nährstoffe und Lagerraum'!$F$137:$F$155,('Nährstoffe und Lagerraum'!$AX$137:$AX$155='Lagerhaltung (freiwillig)'!CZ33)*1),0))/GQ33)</f>
        <v>0</v>
      </c>
      <c r="GS33" s="1184">
        <f t="shared" si="59"/>
        <v>0</v>
      </c>
      <c r="GT33" s="1184">
        <f t="shared" si="60"/>
        <v>0</v>
      </c>
      <c r="GU33" s="1184">
        <f t="shared" si="61"/>
        <v>0</v>
      </c>
      <c r="GV33" s="1184">
        <f t="shared" si="62"/>
        <v>0</v>
      </c>
      <c r="GW33" s="1186" t="str">
        <f t="shared" si="41"/>
        <v xml:space="preserve"> </v>
      </c>
      <c r="GX33" s="1186" t="str">
        <f t="shared" si="41"/>
        <v xml:space="preserve"> </v>
      </c>
      <c r="GY33" s="1195">
        <f t="shared" si="63"/>
        <v>0</v>
      </c>
      <c r="GZ33" s="1184">
        <f t="shared" si="64"/>
        <v>0</v>
      </c>
      <c r="HA33" s="1184" t="str">
        <f t="shared" si="44"/>
        <v>a</v>
      </c>
      <c r="HB33" s="1196">
        <f t="shared" si="65"/>
        <v>0</v>
      </c>
      <c r="HC33" s="1196">
        <f t="shared" si="66"/>
        <v>0</v>
      </c>
      <c r="HD33" s="1196"/>
      <c r="HE33" s="1187">
        <f t="shared" si="67"/>
        <v>0</v>
      </c>
      <c r="HF33" s="1196">
        <f t="shared" si="68"/>
        <v>0</v>
      </c>
      <c r="HG33" s="1196">
        <f t="shared" si="69"/>
        <v>0</v>
      </c>
      <c r="HH33" s="1196">
        <f t="shared" si="70"/>
        <v>0</v>
      </c>
      <c r="HI33" s="1328" cm="1">
        <f t="array" ref="HI33">IF(AND(HG33=0,GL33=0),0,IF(HG33=0,1,IF(OR(GL33*1000/HG33/HH33&gt;INDEX(Pflanzen!$W$5:$W$104,CZ33)/INDEX(Pflanzen!$I$5:$I$104,CZ33)*$HI$1,GL33*1000/HG33/HH33&lt;INDEX(Pflanzen!$W$5:$W$104,CZ33)/INDEX(Pflanzen!$I$5:$I$104,CZ33)/$HI$1),1,0)))</f>
        <v>0</v>
      </c>
      <c r="HJ33" s="1328" cm="1">
        <f t="array" ref="HJ33">IF(AND(GM33=0,HG33=0),0,IF(HG33=0,1,IF(OR(GM33*1000/HG33/HH33&gt;INDEX(Pflanzen!$X$5:$X$104,CZ33)/INDEX(Pflanzen!$I$5:$I$104,CZ33)*$HI$1,GM33*1000/HG33/HH33&lt;INDEX(Pflanzen!$X$5:$X$104,CZ33)/INDEX(Pflanzen!$I$5:$I$104,CZ33)/$HI$1),1,0)))</f>
        <v>0</v>
      </c>
      <c r="HK33" s="1184">
        <f t="shared" si="71"/>
        <v>3</v>
      </c>
      <c r="HL33" s="1184"/>
      <c r="HN33" s="1184"/>
      <c r="HO33" s="1193" t="str">
        <f>Tiere!B59</f>
        <v>Jungsauenaufzucht, Standard</v>
      </c>
      <c r="HP33" s="1184">
        <v>30</v>
      </c>
      <c r="HQ33" s="1194">
        <f>SUMIF('Nährstoffe und Lagerraum'!$BM$68:$BM$87,'Lagerhaltung (freiwillig)'!HP33,'Nährstoffe und Lagerraum'!$Z$68:$Z$87)+SUMIF('Nährstoffe und Lagerraum'!$BM$68:$BM$87,'Lagerhaltung (freiwillig)'!HP33,'Nährstoffe und Lagerraum'!$AA$68:$AA$87)</f>
        <v>0</v>
      </c>
      <c r="HR33" s="1184" cm="1">
        <f t="array" ref="HR33">INDEX(Tiere!$C$30:$C$114,'Lagerhaltung (freiwillig)'!HP33)</f>
        <v>2</v>
      </c>
      <c r="HS33" s="1184" cm="1">
        <f t="array" ref="HS33">INDEX(Tiere!$H$30:$H$114,'Lagerhaltung (freiwillig)'!HP33)</f>
        <v>0</v>
      </c>
      <c r="HT33" s="1184">
        <f t="shared" si="12"/>
        <v>0</v>
      </c>
      <c r="HU33" s="1184" cm="1">
        <f t="array" ref="HU33">INDEX(Tiere!$I$30:$I$114,'Lagerhaltung (freiwillig)'!HP33)</f>
        <v>0</v>
      </c>
      <c r="HV33" s="1184">
        <f t="shared" si="13"/>
        <v>0</v>
      </c>
      <c r="HW33" s="1184" cm="1">
        <f t="array" ref="HW33">INDEX(Tiere!$BC$30:$BC$114,'Lagerhaltung (freiwillig)'!HP33)</f>
        <v>6.5408000000000008</v>
      </c>
      <c r="HX33" s="1184">
        <f t="shared" si="14"/>
        <v>0</v>
      </c>
      <c r="HY33" s="1184" cm="1">
        <f t="array" ref="HY33">INDEX(Tiere!$BD$30:$BD$114,'Lagerhaltung (freiwillig)'!HP33)</f>
        <v>2.98935</v>
      </c>
      <c r="HZ33" s="1184">
        <f t="shared" si="15"/>
        <v>0</v>
      </c>
      <c r="IA33" s="1184"/>
      <c r="IB33" s="1184"/>
      <c r="IC33" s="1184"/>
      <c r="ID33" s="1184"/>
      <c r="IE33" s="1184"/>
      <c r="IF33" s="1184"/>
      <c r="IG33" s="1184"/>
      <c r="IH33" s="1184"/>
      <c r="II33" s="1184"/>
      <c r="IJ33" s="1184"/>
      <c r="IK33" s="1184"/>
      <c r="IL33" s="1184"/>
    </row>
    <row r="34" spans="1:247" ht="15.6" customHeight="1" x14ac:dyDescent="0.2">
      <c r="A34" s="725"/>
      <c r="B34" s="726"/>
      <c r="C34" s="726"/>
      <c r="D34" s="726"/>
      <c r="E34" s="726"/>
      <c r="F34" s="1466" cm="1">
        <f t="array" ref="F34">INDEX(Pflanzen!$I$5:$I$104,BR34)</f>
        <v>0</v>
      </c>
      <c r="G34" s="1467" cm="1">
        <f t="array" ref="G34">INDEX(Pflanzen!$W$5:$W$104,BR34)</f>
        <v>0</v>
      </c>
      <c r="H34" s="1468" cm="1">
        <f t="array" ref="H34">INDEX(Pflanzen!$X$5:$X$104,BR34)</f>
        <v>0</v>
      </c>
      <c r="I34" s="1122"/>
      <c r="J34" s="1303"/>
      <c r="K34" s="1122"/>
      <c r="L34" s="1487"/>
      <c r="M34" s="1491"/>
      <c r="N34" s="1487"/>
      <c r="O34" s="1487"/>
      <c r="P34" s="1292"/>
      <c r="Q34" s="2180"/>
      <c r="R34" s="1487"/>
      <c r="S34" s="1491"/>
      <c r="T34" s="1303"/>
      <c r="U34" s="725"/>
      <c r="V34" s="1346" t="str">
        <f t="shared" si="92"/>
        <v/>
      </c>
      <c r="Y34" s="1554" t="str" cm="1">
        <f t="array" ref="Y34">IFERROR(INDEX($CY$4:$CY$165,AY34),"")</f>
        <v/>
      </c>
      <c r="Z34" s="1555"/>
      <c r="AA34" s="1555"/>
      <c r="AB34" s="1555"/>
      <c r="AC34" s="1454" t="str" cm="1">
        <f t="array" ref="AC34">IFERROR(INDEX($GN$4:$GN$165,AY34),"")</f>
        <v/>
      </c>
      <c r="AD34" s="1454" t="str" cm="1">
        <f t="array" ref="AD34">IFERROR(INDEX($GO$4:$GO$165,AY34),"")</f>
        <v/>
      </c>
      <c r="AE34" s="1454" t="str" cm="1">
        <f t="array" ref="AE34">IFERROR(INDEX($GJ$4:$GJ$165,AY34),"")</f>
        <v/>
      </c>
      <c r="AF34" s="1454" t="str" cm="1">
        <f t="array" ref="AF34">IFERROR(INDEX($GK$4:$GK$165,AY34),"")</f>
        <v/>
      </c>
      <c r="AG34" s="1454" t="str" cm="1">
        <f t="array" ref="AG34">IFERROR(INDEX($GQ$4:$GQ$165,AY34),"")</f>
        <v/>
      </c>
      <c r="AH34" s="1454" t="str" cm="1">
        <f t="array" ref="AH34">IFERROR(INDEX($GR$4:$GR$165,AY34),"")</f>
        <v/>
      </c>
      <c r="AI34" s="1454" t="str" cm="1">
        <f t="array" ref="AI34">IFERROR(INDEX($GH$4:$GH$165,AY34),"")</f>
        <v/>
      </c>
      <c r="AJ34" s="1454" t="str" cm="1">
        <f t="array" ref="AJ34">IFERROR(INDEX($GI$4:$GI$165,AY34),"")</f>
        <v/>
      </c>
      <c r="AK34" s="1454" t="str" cm="1">
        <f t="array" ref="AK34">IFERROR(INDEX($GU$4:$GU$165,AY34),"")</f>
        <v/>
      </c>
      <c r="AL34" s="1455" t="str" cm="1">
        <f t="array" ref="AL34">IFERROR(INDEX($GV$4:$GV$165,AY34),"")</f>
        <v/>
      </c>
      <c r="AM34" s="1454" t="str" cm="1">
        <f t="array" ref="AM34">IFERROR(INDEX($GD$4:$GD$165,AY34),"")</f>
        <v/>
      </c>
      <c r="AN34" s="1454" t="str" cm="1">
        <f t="array" ref="AN34">IFERROR(INDEX($GE$4:$GE$165,AY34),"")</f>
        <v/>
      </c>
      <c r="AO34" s="1454" t="str" cm="1">
        <f t="array" ref="AO34">IFERROR(INDEX($GW$4:$GW$165,AY34),"")</f>
        <v/>
      </c>
      <c r="AP34" s="1454" t="str" cm="1">
        <f t="array" ref="AP34">IFERROR(INDEX($GZ$4:$GZ$165,AY34),"")</f>
        <v/>
      </c>
      <c r="AQ34" s="1457"/>
      <c r="AR34" s="1454" t="str" cm="1">
        <f t="array" ref="AR34">IFERROR(INDEX($HF$4:$HF$165,AY34),"")</f>
        <v/>
      </c>
      <c r="AS34" s="1454" t="str" cm="1">
        <f t="array" ref="AS34">IFERROR(INDEX($HG$4:$HG$165,AY34),"")</f>
        <v/>
      </c>
      <c r="AT34" s="1454" t="str" cm="1">
        <f t="array" ref="AT34">IFERROR(INDEX($HH$4:$HH$165,AY34),"")</f>
        <v/>
      </c>
      <c r="AU34" s="1454" t="str" cm="1">
        <f t="array" ref="AU34">IFERROR(INDEX($GL$4:$GL$165,AY34),"")</f>
        <v/>
      </c>
      <c r="AV34" s="1454" t="str" cm="1">
        <f t="array" ref="AV34">IFERROR(INDEX($GM$4:$GM$165,AY34),"")</f>
        <v/>
      </c>
      <c r="AY34" s="1184" t="str" cm="1">
        <f t="array" ref="AY34">IFERROR(SMALL(IF($HK$4:$HK$165=1,ROW($HK$4:$HK$165)-3),ROW(W22)),IFERROR(SMALL(IF($HK$4:$HK$165=2,ROW($HK$4:$HK$165)-3),ROW(W22)-COUNTIF($HK$4:$HK$165,1)),IFERROR(SMALL(IF($HK$4:$HK$165=0,ROW($HK$4:$HK$165)-3),ROW(W22)-COUNTIF($HK$4:$HK$165,1)-COUNTIF($HK$4:$HK$165,2)),"")))</f>
        <v/>
      </c>
      <c r="AZ34" s="1184" t="str">
        <f t="shared" si="72"/>
        <v>a</v>
      </c>
      <c r="BA34" s="1194" t="e">
        <f t="shared" si="73"/>
        <v>#VALUE!</v>
      </c>
      <c r="BB34" s="1194" cm="1">
        <f t="array" ref="BB34">IFERROR(INDEX($HK$4:$HK$165,AY34),0)</f>
        <v>0</v>
      </c>
      <c r="BC34" s="1194">
        <f t="shared" si="74"/>
        <v>0</v>
      </c>
      <c r="BD34" s="1194"/>
      <c r="BE34" s="1343"/>
      <c r="BF34" s="1343"/>
      <c r="BG34" s="1343"/>
      <c r="BH34" s="1343"/>
      <c r="BI34" s="1343"/>
      <c r="BJ34" s="1343"/>
      <c r="BK34" s="1343"/>
      <c r="BL34" s="1343"/>
      <c r="BM34" s="1343"/>
      <c r="BN34" s="1343"/>
      <c r="BO34" s="1343"/>
      <c r="BQ34" s="1184"/>
      <c r="BR34" s="1184">
        <v>1</v>
      </c>
      <c r="BS34" s="1184"/>
      <c r="BT34" s="1184" t="b">
        <v>0</v>
      </c>
      <c r="BU34" s="1199"/>
      <c r="BV34" s="1199"/>
      <c r="BW34" s="1184">
        <f t="shared" si="75"/>
        <v>12</v>
      </c>
      <c r="BX34" s="1184">
        <f t="shared" si="76"/>
        <v>0</v>
      </c>
      <c r="BY34" s="1184">
        <f t="shared" si="77"/>
        <v>12</v>
      </c>
      <c r="BZ34" s="1184" cm="1">
        <f t="array" ref="BZ34">INDEX(Pflanzen!$AB$5:$AB$114,'Lagerhaltung (freiwillig)'!BR34)</f>
        <v>0</v>
      </c>
      <c r="CA34" s="1184" cm="1">
        <f t="array" ref="CA34">IF(BZ34=1,INDEX(Pflanzen!$AC$5:$AC$114,BR34),N34)</f>
        <v>0</v>
      </c>
      <c r="CB34" s="1184" cm="1">
        <f t="array" ref="CB34">IF(BZ34=1,INDEX(Pflanzen!$AD$5:$AD$114,BR34),O34)</f>
        <v>0</v>
      </c>
      <c r="CC34" s="1184">
        <f t="shared" si="78"/>
        <v>12</v>
      </c>
      <c r="CD34" s="1184">
        <f t="shared" si="79"/>
        <v>0</v>
      </c>
      <c r="CE34" s="1184">
        <f t="shared" si="80"/>
        <v>12</v>
      </c>
      <c r="CF34" s="1184" cm="1">
        <f t="array" ref="CF34">INDEX(Pflanzen!$F$5:$F$114,BR34)</f>
        <v>0</v>
      </c>
      <c r="CG34" s="1184" cm="1">
        <f t="array" ref="CG34">INDEX(Pflanzen!$G$5:$G$114,BR34)</f>
        <v>0</v>
      </c>
      <c r="CH34" s="1184">
        <f t="shared" si="81"/>
        <v>0</v>
      </c>
      <c r="CI34" s="1184">
        <f t="shared" si="93"/>
        <v>0</v>
      </c>
      <c r="CJ34" s="1184">
        <f t="shared" si="94"/>
        <v>0</v>
      </c>
      <c r="CK34" s="1184">
        <f t="shared" si="82"/>
        <v>0</v>
      </c>
      <c r="CL34" s="1184">
        <f t="shared" si="83"/>
        <v>0</v>
      </c>
      <c r="CM34" s="1184">
        <f t="shared" si="84"/>
        <v>0</v>
      </c>
      <c r="CN34" s="1184">
        <f t="shared" si="85"/>
        <v>0</v>
      </c>
      <c r="CO34" s="1184">
        <f t="shared" si="86"/>
        <v>0</v>
      </c>
      <c r="CP34" s="1184">
        <f t="shared" si="87"/>
        <v>0</v>
      </c>
      <c r="CQ34" s="1184">
        <f t="shared" si="88"/>
        <v>0</v>
      </c>
      <c r="CR34" s="1184">
        <f t="shared" si="89"/>
        <v>0</v>
      </c>
      <c r="CS34" s="1184">
        <f t="shared" si="90"/>
        <v>0</v>
      </c>
      <c r="CT34" s="1184">
        <f t="shared" si="91"/>
        <v>0</v>
      </c>
      <c r="CU34" s="1184">
        <f t="shared" si="95"/>
        <v>2</v>
      </c>
      <c r="CV34" s="1184">
        <f t="shared" si="96"/>
        <v>0</v>
      </c>
      <c r="CW34" s="1186">
        <f t="shared" si="97"/>
        <v>0</v>
      </c>
      <c r="CX34" s="1184"/>
      <c r="CY34" s="320" t="str">
        <f>Pflanzen!A30</f>
        <v>Winterraps</v>
      </c>
      <c r="CZ34" s="1200">
        <f>IFERROR(MATCH($CY34,Pflanzen!$C$5:$C$114,0),1)</f>
        <v>26</v>
      </c>
      <c r="DA34" s="320" cm="1">
        <f t="array" ref="DA34">INDEX(Pflanzen!$H$5:$H$114,'Lagerhaltung (freiwillig)'!CZ34)</f>
        <v>2</v>
      </c>
      <c r="DB34" s="1200">
        <f t="shared" si="102"/>
        <v>0</v>
      </c>
      <c r="DC34" s="1200">
        <f t="shared" si="102"/>
        <v>0</v>
      </c>
      <c r="DD34" s="1200">
        <f t="shared" si="102"/>
        <v>0</v>
      </c>
      <c r="DE34" s="1200">
        <f t="shared" si="102"/>
        <v>0</v>
      </c>
      <c r="DF34" s="1200">
        <f t="shared" si="102"/>
        <v>0</v>
      </c>
      <c r="DG34" s="1184">
        <f t="shared" si="102"/>
        <v>0</v>
      </c>
      <c r="DH34" s="1184">
        <f t="shared" si="102"/>
        <v>0</v>
      </c>
      <c r="DI34" s="1184">
        <f t="shared" si="102"/>
        <v>0</v>
      </c>
      <c r="DJ34" s="1184">
        <f t="shared" si="102"/>
        <v>0</v>
      </c>
      <c r="DK34" s="1184">
        <f t="shared" si="102"/>
        <v>0</v>
      </c>
      <c r="DL34" s="1184">
        <f t="shared" si="102"/>
        <v>0</v>
      </c>
      <c r="DM34" s="1184">
        <f t="shared" si="102"/>
        <v>0</v>
      </c>
      <c r="DN34" s="1184"/>
      <c r="DO34" s="1184">
        <f t="shared" si="103"/>
        <v>0</v>
      </c>
      <c r="DP34" s="1184">
        <f t="shared" si="103"/>
        <v>0</v>
      </c>
      <c r="DQ34" s="1184">
        <f t="shared" si="103"/>
        <v>0</v>
      </c>
      <c r="DR34" s="1184">
        <f t="shared" si="103"/>
        <v>0</v>
      </c>
      <c r="DS34" s="1184">
        <f t="shared" si="103"/>
        <v>0</v>
      </c>
      <c r="DT34" s="1184">
        <f t="shared" si="103"/>
        <v>0</v>
      </c>
      <c r="DU34" s="1184">
        <f t="shared" si="103"/>
        <v>0</v>
      </c>
      <c r="DV34" s="1184">
        <f t="shared" si="103"/>
        <v>0</v>
      </c>
      <c r="DW34" s="1184">
        <f t="shared" si="103"/>
        <v>0</v>
      </c>
      <c r="DX34" s="1184">
        <f t="shared" si="103"/>
        <v>0</v>
      </c>
      <c r="DY34" s="1184">
        <f t="shared" si="103"/>
        <v>0</v>
      </c>
      <c r="DZ34" s="1184">
        <f t="shared" si="103"/>
        <v>0</v>
      </c>
      <c r="EA34" s="1184"/>
      <c r="EB34" s="1184">
        <f t="shared" si="104"/>
        <v>0</v>
      </c>
      <c r="EC34" s="1184">
        <f t="shared" si="104"/>
        <v>0</v>
      </c>
      <c r="ED34" s="1184">
        <f t="shared" si="104"/>
        <v>0</v>
      </c>
      <c r="EE34" s="1184">
        <f t="shared" si="104"/>
        <v>0</v>
      </c>
      <c r="EF34" s="1184">
        <f t="shared" si="104"/>
        <v>0</v>
      </c>
      <c r="EG34" s="1184">
        <f t="shared" si="104"/>
        <v>0</v>
      </c>
      <c r="EH34" s="1184">
        <f t="shared" si="104"/>
        <v>0</v>
      </c>
      <c r="EI34" s="1184">
        <f t="shared" si="104"/>
        <v>0</v>
      </c>
      <c r="EJ34" s="1184">
        <f t="shared" si="104"/>
        <v>0</v>
      </c>
      <c r="EK34" s="1184">
        <f t="shared" si="104"/>
        <v>0</v>
      </c>
      <c r="EL34" s="1184">
        <f t="shared" si="104"/>
        <v>0</v>
      </c>
      <c r="EM34" s="1184">
        <f t="shared" si="104"/>
        <v>0</v>
      </c>
      <c r="EN34" s="1184"/>
      <c r="EO34" s="1184">
        <f t="shared" si="105"/>
        <v>0</v>
      </c>
      <c r="EP34" s="1184">
        <f t="shared" si="105"/>
        <v>0</v>
      </c>
      <c r="EQ34" s="1184">
        <f t="shared" si="105"/>
        <v>0</v>
      </c>
      <c r="ER34" s="1184">
        <f t="shared" si="105"/>
        <v>0</v>
      </c>
      <c r="ES34" s="1184">
        <f t="shared" si="105"/>
        <v>0</v>
      </c>
      <c r="ET34" s="1184">
        <f t="shared" si="105"/>
        <v>0</v>
      </c>
      <c r="EU34" s="1184">
        <f t="shared" si="105"/>
        <v>0</v>
      </c>
      <c r="EV34" s="1184">
        <f t="shared" si="105"/>
        <v>0</v>
      </c>
      <c r="EW34" s="1184">
        <f t="shared" si="105"/>
        <v>0</v>
      </c>
      <c r="EX34" s="1184">
        <f t="shared" si="105"/>
        <v>0</v>
      </c>
      <c r="EY34" s="1184">
        <f t="shared" si="105"/>
        <v>0</v>
      </c>
      <c r="EZ34" s="1184">
        <f t="shared" si="105"/>
        <v>0</v>
      </c>
      <c r="FA34" s="1184"/>
      <c r="FB34" s="1186">
        <f t="shared" si="51"/>
        <v>0</v>
      </c>
      <c r="FC34" s="1184">
        <f>FB34+DB34+EB34                 -         SUMIF('Nährstoffe und Lagerraum'!$AX$113:$AX$155,$CZ34,'Nährstoffe und Lagerraum'!$U$113:$U$155)/12  -$GD34*$HE34/12</f>
        <v>0</v>
      </c>
      <c r="FD34" s="1184">
        <f>FC34+DC34+EC34                 -         SUMIF('Nährstoffe und Lagerraum'!$AX$113:$AX$155,$CZ34,'Nährstoffe und Lagerraum'!$U$113:$U$155)/12  -$GD34*$HE34/12</f>
        <v>0</v>
      </c>
      <c r="FE34" s="1184">
        <f>FD34+DD34+ED34                 -         SUMIF('Nährstoffe und Lagerraum'!$AX$113:$AX$155,$CZ34,'Nährstoffe und Lagerraum'!$U$113:$U$155)/12  -$GD34*$HE34/12</f>
        <v>0</v>
      </c>
      <c r="FF34" s="1184">
        <f>FE34+DE34+EE34                 -         SUMIF('Nährstoffe und Lagerraum'!$AX$113:$AX$155,$CZ34,'Nährstoffe und Lagerraum'!$U$113:$U$155)/12  -$GD34*$HE34/12</f>
        <v>0</v>
      </c>
      <c r="FG34" s="1184">
        <f>FF34+DF34+EF34                 -         SUMIF('Nährstoffe und Lagerraum'!$AX$113:$AX$155,$CZ34,'Nährstoffe und Lagerraum'!$U$113:$U$155)/12  -$GD34*$HE34/12</f>
        <v>0</v>
      </c>
      <c r="FH34" s="1184">
        <f>FG34+DG34+EG34                 -         SUMIF('Nährstoffe und Lagerraum'!$AX$113:$AX$155,$CZ34,'Nährstoffe und Lagerraum'!$U$113:$U$155)/12  -$GD34*$HE34/12</f>
        <v>0</v>
      </c>
      <c r="FI34" s="1184">
        <f>FH34+DH34+EH34                 -         SUMIF('Nährstoffe und Lagerraum'!$AX$113:$AX$155,$CZ34,'Nährstoffe und Lagerraum'!$U$113:$U$155)/12  -$GD34*$HE34/12</f>
        <v>0</v>
      </c>
      <c r="FJ34" s="1184">
        <f>FI34+DI34+EI34                 -         SUMIF('Nährstoffe und Lagerraum'!$AX$113:$AX$155,$CZ34,'Nährstoffe und Lagerraum'!$U$113:$U$155)/12  -$GD34*$HE34/12</f>
        <v>0</v>
      </c>
      <c r="FK34" s="1184">
        <f>FJ34+DJ34+EJ34                 -         SUMIF('Nährstoffe und Lagerraum'!$AX$113:$AX$155,$CZ34,'Nährstoffe und Lagerraum'!$U$113:$U$155)/12  -$GD34*$HE34/12</f>
        <v>0</v>
      </c>
      <c r="FL34" s="1184">
        <f>FK34+DK34+EK34                 -         SUMIF('Nährstoffe und Lagerraum'!$AX$113:$AX$155,$CZ34,'Nährstoffe und Lagerraum'!$U$113:$U$155)/12  -$GD34*$HE34/12</f>
        <v>0</v>
      </c>
      <c r="FM34" s="1184">
        <f>FL34+DL34+EL34                 -         SUMIF('Nährstoffe und Lagerraum'!$AX$113:$AX$155,$CZ34,'Nährstoffe und Lagerraum'!$U$113:$U$155)/12  -$GD34*$HE34/12</f>
        <v>0</v>
      </c>
      <c r="FN34" s="1184">
        <f>FM34+DM34+EM34                 -         SUMIF('Nährstoffe und Lagerraum'!$AX$113:$AX$155,$CZ34,'Nährstoffe und Lagerraum'!$U$113:$U$155)/12  -$GD34*$HE34/12</f>
        <v>0</v>
      </c>
      <c r="FO34" s="1184"/>
      <c r="FP34" s="1186">
        <f t="shared" si="52"/>
        <v>0</v>
      </c>
      <c r="FQ34" s="1184">
        <f>FP34+DO34+EO34                 -         SUMIF('Nährstoffe und Lagerraum'!$AX$113:$AX$155,$CZ34,'Nährstoffe und Lagerraum'!$V$113:$V$155)/12  -$GE34*$HE34/12</f>
        <v>0</v>
      </c>
      <c r="FR34" s="1184">
        <f>FQ34+DP34+EP34                 -         SUMIF('Nährstoffe und Lagerraum'!$AX$113:$AX$155,$CZ34,'Nährstoffe und Lagerraum'!$V$113:$V$155)/12  -$GE34*$HE34/12</f>
        <v>0</v>
      </c>
      <c r="FS34" s="1184">
        <f>FR34+DQ34+EQ34                 -         SUMIF('Nährstoffe und Lagerraum'!$AX$113:$AX$155,$CZ34,'Nährstoffe und Lagerraum'!$V$113:$V$155)/12  -$GE34*$HE34/12</f>
        <v>0</v>
      </c>
      <c r="FT34" s="1184">
        <f>FS34+DR34+ER34                 -         SUMIF('Nährstoffe und Lagerraum'!$AX$113:$AX$155,$CZ34,'Nährstoffe und Lagerraum'!$V$113:$V$155)/12  -$GE34*$HE34/12</f>
        <v>0</v>
      </c>
      <c r="FU34" s="1184">
        <f>FT34+DS34+ES34                 -         SUMIF('Nährstoffe und Lagerraum'!$AX$113:$AX$155,$CZ34,'Nährstoffe und Lagerraum'!$V$113:$V$155)/12  -$GE34*$HE34/12</f>
        <v>0</v>
      </c>
      <c r="FV34" s="1184">
        <f>FU34+DT34+ET34                 -         SUMIF('Nährstoffe und Lagerraum'!$AX$113:$AX$155,$CZ34,'Nährstoffe und Lagerraum'!$V$113:$V$155)/12  -$GE34*$HE34/12</f>
        <v>0</v>
      </c>
      <c r="FW34" s="1184">
        <f>FV34+DU34+EU34                 -         SUMIF('Nährstoffe und Lagerraum'!$AX$113:$AX$155,$CZ34,'Nährstoffe und Lagerraum'!$V$113:$V$155)/12  -$GE34*$HE34/12</f>
        <v>0</v>
      </c>
      <c r="FX34" s="1184">
        <f>FW34+DV34+EV34                 -         SUMIF('Nährstoffe und Lagerraum'!$AX$113:$AX$155,$CZ34,'Nährstoffe und Lagerraum'!$V$113:$V$155)/12  -$GE34*$HE34/12</f>
        <v>0</v>
      </c>
      <c r="FY34" s="1184">
        <f>FX34+DW34+EW34                 -         SUMIF('Nährstoffe und Lagerraum'!$AX$113:$AX$155,$CZ34,'Nährstoffe und Lagerraum'!$V$113:$V$155)/12  -$GE34*$HE34/12</f>
        <v>0</v>
      </c>
      <c r="FZ34" s="1184">
        <f>FY34+DX34+EX34                 -         SUMIF('Nährstoffe und Lagerraum'!$AX$113:$AX$155,$CZ34,'Nährstoffe und Lagerraum'!$V$113:$V$155)/12  -$GE34*$HE34/12</f>
        <v>0</v>
      </c>
      <c r="GA34" s="1184">
        <f>FZ34+DY34+EY34                 -         SUMIF('Nährstoffe und Lagerraum'!$AX$113:$AX$155,$CZ34,'Nährstoffe und Lagerraum'!$V$113:$V$155)/12  -$GE34*$HE34/12</f>
        <v>0</v>
      </c>
      <c r="GB34" s="1184">
        <f>GA34+DZ34+EZ34                 -         SUMIF('Nährstoffe und Lagerraum'!$AX$113:$AX$155,$CZ34,'Nährstoffe und Lagerraum'!$V$113:$V$155)/12  -$GE34*$HE34/12</f>
        <v>0</v>
      </c>
      <c r="GC34" s="1184"/>
      <c r="GD34" s="1184">
        <f>SUMIFS($CI$14:$CI$68,$BR$14:$BR$68,$CZ34)+SUMIFS($CM$14:$CM$68,$BR$14:$BR$68,$CZ34)+SUMIFS($CR$14:$CR$68,$BR$14:$BR$68,$CZ34)  -         SUMIF('Nährstoffe und Lagerraum'!$AX$113:$AX$155,$CZ34,'Nährstoffe und Lagerraum'!$U$113:$U$155)</f>
        <v>0</v>
      </c>
      <c r="GE34" s="1184">
        <f>SUMIFS($CJ$14:$CJ$68,$BR$14:$BR$68,$CZ34)+SUMIFS($CO$14:$CO$68,$BR$14:$BR$68,$CZ34)+SUMIFS($CT$14:$CT$68,$BR$14:$BR$68,$CZ34)  -         SUMIF('Nährstoffe und Lagerraum'!$AX$113:$AX$155,$CZ34,'Nährstoffe und Lagerraum'!$V$113:$V$155)</f>
        <v>0</v>
      </c>
      <c r="GF34" s="1184"/>
      <c r="GG34" s="1184"/>
      <c r="GH34" s="1184">
        <f>SUMIF('Nährstoffe und Lagerraum'!$AX$113:$AX$155,$CZ34,'Nährstoffe und Lagerraum'!$U$113:$U$155)</f>
        <v>0</v>
      </c>
      <c r="GI34" s="1184">
        <f>SUMIF('Nährstoffe und Lagerraum'!$AX$113:$AX$155,$CZ34,'Nährstoffe und Lagerraum'!$V$113:$V$155)</f>
        <v>0</v>
      </c>
      <c r="GJ34" s="1184">
        <f t="shared" si="53"/>
        <v>0</v>
      </c>
      <c r="GK34" s="1184">
        <f t="shared" si="54"/>
        <v>0</v>
      </c>
      <c r="GL34" s="1184">
        <f t="shared" si="55"/>
        <v>0</v>
      </c>
      <c r="GM34" s="1184">
        <f t="shared" si="56"/>
        <v>0</v>
      </c>
      <c r="GN34" s="1184">
        <f t="shared" si="57"/>
        <v>0</v>
      </c>
      <c r="GO34" s="1184" cm="1">
        <f t="array" ref="GO34">IF(GN34=0,0,(IFERROR(SUMPRODUCT($J$14:$J$68,$CH$14:$CH$68,($BR$14:$BR$68=CZ34)*1)+SUMPRODUCT($L$14:$L$68,$M$14:$M$68,$CK$14:$CK$68,($BR$14:$BR$68=CZ34)*1,($BT$14:$BT$68=FALSE)*1)/10+SUMPRODUCT($R$14:$R$68,$CP$14:$CP$68,($BR$14:$BR$68=CZ34)*1),0))/GN34)</f>
        <v>0</v>
      </c>
      <c r="GP34" s="1184">
        <f t="shared" si="58"/>
        <v>0</v>
      </c>
      <c r="GQ34" s="1184">
        <f>(SUMIF('Nährstoffe und Lagerraum'!$AX$113:$AX$130,'Lagerhaltung (freiwillig)'!CZ34,'Nährstoffe und Lagerraum'!$D$113:$D$130)+SUMIF('Nährstoffe und Lagerraum'!$AX$137:$AX$155,'Lagerhaltung (freiwillig)'!CZ34,'Nährstoffe und Lagerraum'!$E$137:$E$155))</f>
        <v>0</v>
      </c>
      <c r="GR34" s="1184" cm="1">
        <f t="array" ref="GR34">IF(GQ34=0,0,(IFERROR(SUMPRODUCT('Nährstoffe und Lagerraum'!$D$113:$D$130,'Nährstoffe und Lagerraum'!$F$113:$F$130,('Nährstoffe und Lagerraum'!$AX$113:$AX$130='Lagerhaltung (freiwillig)'!CZ34)*1)+SUMPRODUCT('Nährstoffe und Lagerraum'!$E$137:$E$155,'Nährstoffe und Lagerraum'!$F$137:$F$155,('Nährstoffe und Lagerraum'!$AX$137:$AX$155='Lagerhaltung (freiwillig)'!CZ34)*1),0))/GQ34)</f>
        <v>0</v>
      </c>
      <c r="GS34" s="1184">
        <f t="shared" si="59"/>
        <v>0</v>
      </c>
      <c r="GT34" s="1184">
        <f t="shared" si="60"/>
        <v>0</v>
      </c>
      <c r="GU34" s="1184">
        <f t="shared" si="61"/>
        <v>0</v>
      </c>
      <c r="GV34" s="1184">
        <f t="shared" si="62"/>
        <v>0</v>
      </c>
      <c r="GW34" s="1186" t="str">
        <f t="shared" si="41"/>
        <v xml:space="preserve"> </v>
      </c>
      <c r="GX34" s="1186" t="str">
        <f t="shared" si="41"/>
        <v xml:space="preserve"> </v>
      </c>
      <c r="GY34" s="1195">
        <f t="shared" si="63"/>
        <v>0</v>
      </c>
      <c r="GZ34" s="1184">
        <f t="shared" si="64"/>
        <v>0</v>
      </c>
      <c r="HA34" s="1184" t="str">
        <f t="shared" si="44"/>
        <v>a</v>
      </c>
      <c r="HB34" s="1196">
        <f t="shared" si="65"/>
        <v>0</v>
      </c>
      <c r="HC34" s="1196">
        <f t="shared" si="66"/>
        <v>0</v>
      </c>
      <c r="HD34" s="1196"/>
      <c r="HE34" s="1187">
        <f t="shared" si="67"/>
        <v>0</v>
      </c>
      <c r="HF34" s="1196">
        <f t="shared" si="68"/>
        <v>0</v>
      </c>
      <c r="HG34" s="1196">
        <f t="shared" si="69"/>
        <v>0</v>
      </c>
      <c r="HH34" s="1196">
        <f t="shared" si="70"/>
        <v>0</v>
      </c>
      <c r="HI34" s="1328" cm="1">
        <f t="array" ref="HI34">IF(AND(HG34=0,GL34=0),0,IF(HG34=0,1,IF(OR(GL34*1000/HG34/HH34&gt;INDEX(Pflanzen!$W$5:$W$104,CZ34)/INDEX(Pflanzen!$I$5:$I$104,CZ34)*$HI$1,GL34*1000/HG34/HH34&lt;INDEX(Pflanzen!$W$5:$W$104,CZ34)/INDEX(Pflanzen!$I$5:$I$104,CZ34)/$HI$1),1,0)))</f>
        <v>0</v>
      </c>
      <c r="HJ34" s="1328" cm="1">
        <f t="array" ref="HJ34">IF(AND(GM34=0,HG34=0),0,IF(HG34=0,1,IF(OR(GM34*1000/HG34/HH34&gt;INDEX(Pflanzen!$X$5:$X$104,CZ34)/INDEX(Pflanzen!$I$5:$I$104,CZ34)*$HI$1,GM34*1000/HG34/HH34&lt;INDEX(Pflanzen!$X$5:$X$104,CZ34)/INDEX(Pflanzen!$I$5:$I$104,CZ34)/$HI$1),1,0)))</f>
        <v>0</v>
      </c>
      <c r="HK34" s="1184">
        <f t="shared" si="71"/>
        <v>3</v>
      </c>
      <c r="HL34" s="1184"/>
      <c r="HN34" s="1184"/>
      <c r="HO34" s="1193" t="str">
        <f>Tiere!B60</f>
        <v>Jungsauenaufzucht, N-/P-red.</v>
      </c>
      <c r="HP34" s="1184">
        <v>31</v>
      </c>
      <c r="HQ34" s="1194">
        <f>SUMIF('Nährstoffe und Lagerraum'!$BM$68:$BM$87,'Lagerhaltung (freiwillig)'!HP34,'Nährstoffe und Lagerraum'!$Z$68:$Z$87)+SUMIF('Nährstoffe und Lagerraum'!$BM$68:$BM$87,'Lagerhaltung (freiwillig)'!HP34,'Nährstoffe und Lagerraum'!$AA$68:$AA$87)</f>
        <v>0</v>
      </c>
      <c r="HR34" s="1184" cm="1">
        <f t="array" ref="HR34">INDEX(Tiere!$C$30:$C$114,'Lagerhaltung (freiwillig)'!HP34)</f>
        <v>2</v>
      </c>
      <c r="HS34" s="1184" cm="1">
        <f t="array" ref="HS34">INDEX(Tiere!$H$30:$H$114,'Lagerhaltung (freiwillig)'!HP34)</f>
        <v>0</v>
      </c>
      <c r="HT34" s="1184">
        <f t="shared" si="12"/>
        <v>0</v>
      </c>
      <c r="HU34" s="1184" cm="1">
        <f t="array" ref="HU34">INDEX(Tiere!$I$30:$I$114,'Lagerhaltung (freiwillig)'!HP34)</f>
        <v>0</v>
      </c>
      <c r="HV34" s="1184">
        <f t="shared" si="13"/>
        <v>0</v>
      </c>
      <c r="HW34" s="1184" cm="1">
        <f t="array" ref="HW34">INDEX(Tiere!$BC$30:$BC$114,'Lagerhaltung (freiwillig)'!HP34)</f>
        <v>6.5408000000000008</v>
      </c>
      <c r="HX34" s="1184">
        <f t="shared" si="14"/>
        <v>0</v>
      </c>
      <c r="HY34" s="1184" cm="1">
        <f t="array" ref="HY34">INDEX(Tiere!$BD$30:$BD$114,'Lagerhaltung (freiwillig)'!HP34)</f>
        <v>2.98935</v>
      </c>
      <c r="HZ34" s="1184">
        <f t="shared" si="15"/>
        <v>0</v>
      </c>
      <c r="IA34" s="1184"/>
      <c r="IB34" s="1184"/>
      <c r="IC34" s="1184"/>
      <c r="ID34" s="1184"/>
      <c r="IE34" s="1184"/>
      <c r="IF34" s="1184"/>
      <c r="IG34" s="1184"/>
      <c r="IH34" s="1184"/>
      <c r="II34" s="1184"/>
      <c r="IJ34" s="1184"/>
      <c r="IK34" s="1184"/>
      <c r="IL34" s="1184"/>
    </row>
    <row r="35" spans="1:247" ht="15.6" customHeight="1" x14ac:dyDescent="0.2">
      <c r="A35" s="725"/>
      <c r="B35" s="726"/>
      <c r="C35" s="726"/>
      <c r="D35" s="726"/>
      <c r="E35" s="726"/>
      <c r="F35" s="1466" cm="1">
        <f t="array" ref="F35">INDEX(Pflanzen!$I$5:$I$104,BR35)</f>
        <v>0</v>
      </c>
      <c r="G35" s="1467" cm="1">
        <f t="array" ref="G35">INDEX(Pflanzen!$W$5:$W$104,BR35)</f>
        <v>0</v>
      </c>
      <c r="H35" s="1468" cm="1">
        <f t="array" ref="H35">INDEX(Pflanzen!$X$5:$X$104,BR35)</f>
        <v>0</v>
      </c>
      <c r="I35" s="1122"/>
      <c r="J35" s="1303"/>
      <c r="K35" s="1122"/>
      <c r="L35" s="1487"/>
      <c r="M35" s="1491"/>
      <c r="N35" s="1487"/>
      <c r="O35" s="1487"/>
      <c r="P35" s="1292"/>
      <c r="Q35" s="2180"/>
      <c r="R35" s="1487"/>
      <c r="S35" s="1491"/>
      <c r="T35" s="1303"/>
      <c r="U35" s="725"/>
      <c r="V35" s="1346" t="str">
        <f t="shared" si="92"/>
        <v/>
      </c>
      <c r="Y35" s="1554" t="str" cm="1">
        <f t="array" ref="Y35">IFERROR(INDEX($CY$4:$CY$165,AY35),"")</f>
        <v/>
      </c>
      <c r="Z35" s="1555"/>
      <c r="AA35" s="1555"/>
      <c r="AB35" s="1555"/>
      <c r="AC35" s="1454" t="str" cm="1">
        <f t="array" ref="AC35">IFERROR(INDEX($GN$4:$GN$165,AY35),"")</f>
        <v/>
      </c>
      <c r="AD35" s="1454" t="str" cm="1">
        <f t="array" ref="AD35">IFERROR(INDEX($GO$4:$GO$165,AY35),"")</f>
        <v/>
      </c>
      <c r="AE35" s="1454" t="str" cm="1">
        <f t="array" ref="AE35">IFERROR(INDEX($GJ$4:$GJ$165,AY35),"")</f>
        <v/>
      </c>
      <c r="AF35" s="1454" t="str" cm="1">
        <f t="array" ref="AF35">IFERROR(INDEX($GK$4:$GK$165,AY35),"")</f>
        <v/>
      </c>
      <c r="AG35" s="1454" t="str" cm="1">
        <f t="array" ref="AG35">IFERROR(INDEX($GQ$4:$GQ$165,AY35),"")</f>
        <v/>
      </c>
      <c r="AH35" s="1454" t="str" cm="1">
        <f t="array" ref="AH35">IFERROR(INDEX($GR$4:$GR$165,AY35),"")</f>
        <v/>
      </c>
      <c r="AI35" s="1454" t="str" cm="1">
        <f t="array" ref="AI35">IFERROR(INDEX($GH$4:$GH$165,AY35),"")</f>
        <v/>
      </c>
      <c r="AJ35" s="1454" t="str" cm="1">
        <f t="array" ref="AJ35">IFERROR(INDEX($GI$4:$GI$165,AY35),"")</f>
        <v/>
      </c>
      <c r="AK35" s="1454" t="str" cm="1">
        <f t="array" ref="AK35">IFERROR(INDEX($GU$4:$GU$165,AY35),"")</f>
        <v/>
      </c>
      <c r="AL35" s="1455" t="str" cm="1">
        <f t="array" ref="AL35">IFERROR(INDEX($GV$4:$GV$165,AY35),"")</f>
        <v/>
      </c>
      <c r="AM35" s="1454" t="str" cm="1">
        <f t="array" ref="AM35">IFERROR(INDEX($GD$4:$GD$165,AY35),"")</f>
        <v/>
      </c>
      <c r="AN35" s="1454" t="str" cm="1">
        <f t="array" ref="AN35">IFERROR(INDEX($GE$4:$GE$165,AY35),"")</f>
        <v/>
      </c>
      <c r="AO35" s="1454" t="str" cm="1">
        <f t="array" ref="AO35">IFERROR(INDEX($GW$4:$GW$165,AY35),"")</f>
        <v/>
      </c>
      <c r="AP35" s="1454" t="str" cm="1">
        <f t="array" ref="AP35">IFERROR(INDEX($GZ$4:$GZ$165,AY35),"")</f>
        <v/>
      </c>
      <c r="AQ35" s="1457"/>
      <c r="AR35" s="1454" t="str" cm="1">
        <f t="array" ref="AR35">IFERROR(INDEX($HF$4:$HF$165,AY35),"")</f>
        <v/>
      </c>
      <c r="AS35" s="1454" t="str" cm="1">
        <f t="array" ref="AS35">IFERROR(INDEX($HG$4:$HG$165,AY35),"")</f>
        <v/>
      </c>
      <c r="AT35" s="1454" t="str" cm="1">
        <f t="array" ref="AT35">IFERROR(INDEX($HH$4:$HH$165,AY35),"")</f>
        <v/>
      </c>
      <c r="AU35" s="1454" t="str" cm="1">
        <f t="array" ref="AU35">IFERROR(INDEX($GL$4:$GL$165,AY35),"")</f>
        <v/>
      </c>
      <c r="AV35" s="1454" t="str" cm="1">
        <f t="array" ref="AV35">IFERROR(INDEX($GM$4:$GM$165,AY35),"")</f>
        <v/>
      </c>
      <c r="AY35" s="1184" t="str" cm="1">
        <f t="array" ref="AY35">IFERROR(SMALL(IF($HK$4:$HK$165=1,ROW($HK$4:$HK$165)-3),ROW(W23)),IFERROR(SMALL(IF($HK$4:$HK$165=2,ROW($HK$4:$HK$165)-3),ROW(W23)-COUNTIF($HK$4:$HK$165,1)),IFERROR(SMALL(IF($HK$4:$HK$165=0,ROW($HK$4:$HK$165)-3),ROW(W23)-COUNTIF($HK$4:$HK$165,1)-COUNTIF($HK$4:$HK$165,2)),"")))</f>
        <v/>
      </c>
      <c r="AZ35" s="1184" t="str">
        <f t="shared" si="72"/>
        <v>a</v>
      </c>
      <c r="BA35" s="1194" t="e">
        <f t="shared" si="73"/>
        <v>#VALUE!</v>
      </c>
      <c r="BB35" s="1194" cm="1">
        <f t="array" ref="BB35">IFERROR(INDEX($HK$4:$HK$165,AY35),0)</f>
        <v>0</v>
      </c>
      <c r="BC35" s="1194">
        <f t="shared" si="74"/>
        <v>0</v>
      </c>
      <c r="BD35" s="1194"/>
      <c r="BE35" s="1343"/>
      <c r="BF35" s="1343"/>
      <c r="BG35" s="1343"/>
      <c r="BH35" s="1343"/>
      <c r="BI35" s="1343"/>
      <c r="BJ35" s="1343"/>
      <c r="BK35" s="1343"/>
      <c r="BL35" s="1343"/>
      <c r="BM35" s="1343"/>
      <c r="BN35" s="1343"/>
      <c r="BO35" s="1343"/>
      <c r="BQ35" s="1184"/>
      <c r="BR35" s="1184">
        <v>1</v>
      </c>
      <c r="BS35" s="1184"/>
      <c r="BT35" s="1184" t="b">
        <v>0</v>
      </c>
      <c r="BU35" s="1199"/>
      <c r="BV35" s="1199"/>
      <c r="BW35" s="1184">
        <f t="shared" si="75"/>
        <v>12</v>
      </c>
      <c r="BX35" s="1184">
        <f t="shared" si="76"/>
        <v>0</v>
      </c>
      <c r="BY35" s="1184">
        <f t="shared" si="77"/>
        <v>12</v>
      </c>
      <c r="BZ35" s="1184" cm="1">
        <f t="array" ref="BZ35">INDEX(Pflanzen!$AB$5:$AB$114,'Lagerhaltung (freiwillig)'!BR35)</f>
        <v>0</v>
      </c>
      <c r="CA35" s="1184" cm="1">
        <f t="array" ref="CA35">IF(BZ35=1,INDEX(Pflanzen!$AC$5:$AC$114,BR35),N35)</f>
        <v>0</v>
      </c>
      <c r="CB35" s="1184" cm="1">
        <f t="array" ref="CB35">IF(BZ35=1,INDEX(Pflanzen!$AD$5:$AD$114,BR35),O35)</f>
        <v>0</v>
      </c>
      <c r="CC35" s="1184">
        <f t="shared" si="78"/>
        <v>12</v>
      </c>
      <c r="CD35" s="1184">
        <f t="shared" si="79"/>
        <v>0</v>
      </c>
      <c r="CE35" s="1184">
        <f t="shared" si="80"/>
        <v>12</v>
      </c>
      <c r="CF35" s="1184" cm="1">
        <f t="array" ref="CF35">INDEX(Pflanzen!$F$5:$F$114,BR35)</f>
        <v>0</v>
      </c>
      <c r="CG35" s="1184" cm="1">
        <f t="array" ref="CG35">INDEX(Pflanzen!$G$5:$G$114,BR35)</f>
        <v>0</v>
      </c>
      <c r="CH35" s="1184">
        <f t="shared" si="81"/>
        <v>0</v>
      </c>
      <c r="CI35" s="1184">
        <f t="shared" si="93"/>
        <v>0</v>
      </c>
      <c r="CJ35" s="1184">
        <f t="shared" si="94"/>
        <v>0</v>
      </c>
      <c r="CK35" s="1184">
        <f t="shared" si="82"/>
        <v>0</v>
      </c>
      <c r="CL35" s="1184">
        <f t="shared" si="83"/>
        <v>0</v>
      </c>
      <c r="CM35" s="1184">
        <f t="shared" si="84"/>
        <v>0</v>
      </c>
      <c r="CN35" s="1184">
        <f t="shared" si="85"/>
        <v>0</v>
      </c>
      <c r="CO35" s="1184">
        <f t="shared" si="86"/>
        <v>0</v>
      </c>
      <c r="CP35" s="1184">
        <f t="shared" si="87"/>
        <v>0</v>
      </c>
      <c r="CQ35" s="1184">
        <f t="shared" si="88"/>
        <v>0</v>
      </c>
      <c r="CR35" s="1184">
        <f t="shared" si="89"/>
        <v>0</v>
      </c>
      <c r="CS35" s="1184">
        <f t="shared" si="90"/>
        <v>0</v>
      </c>
      <c r="CT35" s="1184">
        <f t="shared" si="91"/>
        <v>0</v>
      </c>
      <c r="CU35" s="1184">
        <f t="shared" si="95"/>
        <v>2</v>
      </c>
      <c r="CV35" s="1184">
        <f t="shared" si="96"/>
        <v>0</v>
      </c>
      <c r="CW35" s="1186">
        <f t="shared" si="97"/>
        <v>0</v>
      </c>
      <c r="CX35" s="1184"/>
      <c r="CY35" s="320" t="str">
        <f>Pflanzen!A31</f>
        <v>Sonnenblumen</v>
      </c>
      <c r="CZ35" s="1200">
        <f>IFERROR(MATCH($CY35,Pflanzen!$C$5:$C$114,0),1)</f>
        <v>27</v>
      </c>
      <c r="DA35" s="320" cm="1">
        <f t="array" ref="DA35">INDEX(Pflanzen!$H$5:$H$114,'Lagerhaltung (freiwillig)'!CZ35)</f>
        <v>2</v>
      </c>
      <c r="DB35" s="1200">
        <f t="shared" si="102"/>
        <v>0</v>
      </c>
      <c r="DC35" s="1200">
        <f t="shared" si="102"/>
        <v>0</v>
      </c>
      <c r="DD35" s="1200">
        <f t="shared" si="102"/>
        <v>0</v>
      </c>
      <c r="DE35" s="1200">
        <f t="shared" si="102"/>
        <v>0</v>
      </c>
      <c r="DF35" s="1200">
        <f t="shared" si="102"/>
        <v>0</v>
      </c>
      <c r="DG35" s="1184">
        <f t="shared" si="102"/>
        <v>0</v>
      </c>
      <c r="DH35" s="1184">
        <f t="shared" si="102"/>
        <v>0</v>
      </c>
      <c r="DI35" s="1184">
        <f t="shared" si="102"/>
        <v>0</v>
      </c>
      <c r="DJ35" s="1184">
        <f t="shared" si="102"/>
        <v>0</v>
      </c>
      <c r="DK35" s="1184">
        <f t="shared" si="102"/>
        <v>0</v>
      </c>
      <c r="DL35" s="1184">
        <f t="shared" si="102"/>
        <v>0</v>
      </c>
      <c r="DM35" s="1184">
        <f t="shared" si="102"/>
        <v>0</v>
      </c>
      <c r="DN35" s="1184"/>
      <c r="DO35" s="1184">
        <f t="shared" si="103"/>
        <v>0</v>
      </c>
      <c r="DP35" s="1184">
        <f t="shared" si="103"/>
        <v>0</v>
      </c>
      <c r="DQ35" s="1184">
        <f t="shared" si="103"/>
        <v>0</v>
      </c>
      <c r="DR35" s="1184">
        <f t="shared" si="103"/>
        <v>0</v>
      </c>
      <c r="DS35" s="1184">
        <f t="shared" si="103"/>
        <v>0</v>
      </c>
      <c r="DT35" s="1184">
        <f t="shared" si="103"/>
        <v>0</v>
      </c>
      <c r="DU35" s="1184">
        <f t="shared" si="103"/>
        <v>0</v>
      </c>
      <c r="DV35" s="1184">
        <f t="shared" si="103"/>
        <v>0</v>
      </c>
      <c r="DW35" s="1184">
        <f t="shared" si="103"/>
        <v>0</v>
      </c>
      <c r="DX35" s="1184">
        <f t="shared" si="103"/>
        <v>0</v>
      </c>
      <c r="DY35" s="1184">
        <f t="shared" si="103"/>
        <v>0</v>
      </c>
      <c r="DZ35" s="1184">
        <f t="shared" si="103"/>
        <v>0</v>
      </c>
      <c r="EA35" s="1184"/>
      <c r="EB35" s="1184">
        <f t="shared" si="104"/>
        <v>0</v>
      </c>
      <c r="EC35" s="1184">
        <f t="shared" si="104"/>
        <v>0</v>
      </c>
      <c r="ED35" s="1184">
        <f t="shared" si="104"/>
        <v>0</v>
      </c>
      <c r="EE35" s="1184">
        <f t="shared" si="104"/>
        <v>0</v>
      </c>
      <c r="EF35" s="1184">
        <f t="shared" si="104"/>
        <v>0</v>
      </c>
      <c r="EG35" s="1184">
        <f t="shared" si="104"/>
        <v>0</v>
      </c>
      <c r="EH35" s="1184">
        <f t="shared" si="104"/>
        <v>0</v>
      </c>
      <c r="EI35" s="1184">
        <f t="shared" si="104"/>
        <v>0</v>
      </c>
      <c r="EJ35" s="1184">
        <f t="shared" si="104"/>
        <v>0</v>
      </c>
      <c r="EK35" s="1184">
        <f t="shared" si="104"/>
        <v>0</v>
      </c>
      <c r="EL35" s="1184">
        <f t="shared" si="104"/>
        <v>0</v>
      </c>
      <c r="EM35" s="1184">
        <f t="shared" si="104"/>
        <v>0</v>
      </c>
      <c r="EN35" s="1184"/>
      <c r="EO35" s="1184">
        <f t="shared" si="105"/>
        <v>0</v>
      </c>
      <c r="EP35" s="1184">
        <f t="shared" si="105"/>
        <v>0</v>
      </c>
      <c r="EQ35" s="1184">
        <f t="shared" si="105"/>
        <v>0</v>
      </c>
      <c r="ER35" s="1184">
        <f t="shared" si="105"/>
        <v>0</v>
      </c>
      <c r="ES35" s="1184">
        <f t="shared" si="105"/>
        <v>0</v>
      </c>
      <c r="ET35" s="1184">
        <f t="shared" si="105"/>
        <v>0</v>
      </c>
      <c r="EU35" s="1184">
        <f t="shared" si="105"/>
        <v>0</v>
      </c>
      <c r="EV35" s="1184">
        <f t="shared" si="105"/>
        <v>0</v>
      </c>
      <c r="EW35" s="1184">
        <f t="shared" si="105"/>
        <v>0</v>
      </c>
      <c r="EX35" s="1184">
        <f t="shared" si="105"/>
        <v>0</v>
      </c>
      <c r="EY35" s="1184">
        <f t="shared" si="105"/>
        <v>0</v>
      </c>
      <c r="EZ35" s="1184">
        <f t="shared" si="105"/>
        <v>0</v>
      </c>
      <c r="FA35" s="1184"/>
      <c r="FB35" s="1186">
        <f t="shared" si="51"/>
        <v>0</v>
      </c>
      <c r="FC35" s="1184">
        <f>FB35+DB35+EB35                 -         SUMIF('Nährstoffe und Lagerraum'!$AX$113:$AX$155,$CZ35,'Nährstoffe und Lagerraum'!$U$113:$U$155)/12  -$GD35*$HE35/12</f>
        <v>0</v>
      </c>
      <c r="FD35" s="1184">
        <f>FC35+DC35+EC35                 -         SUMIF('Nährstoffe und Lagerraum'!$AX$113:$AX$155,$CZ35,'Nährstoffe und Lagerraum'!$U$113:$U$155)/12  -$GD35*$HE35/12</f>
        <v>0</v>
      </c>
      <c r="FE35" s="1184">
        <f>FD35+DD35+ED35                 -         SUMIF('Nährstoffe und Lagerraum'!$AX$113:$AX$155,$CZ35,'Nährstoffe und Lagerraum'!$U$113:$U$155)/12  -$GD35*$HE35/12</f>
        <v>0</v>
      </c>
      <c r="FF35" s="1184">
        <f>FE35+DE35+EE35                 -         SUMIF('Nährstoffe und Lagerraum'!$AX$113:$AX$155,$CZ35,'Nährstoffe und Lagerraum'!$U$113:$U$155)/12  -$GD35*$HE35/12</f>
        <v>0</v>
      </c>
      <c r="FG35" s="1184">
        <f>FF35+DF35+EF35                 -         SUMIF('Nährstoffe und Lagerraum'!$AX$113:$AX$155,$CZ35,'Nährstoffe und Lagerraum'!$U$113:$U$155)/12  -$GD35*$HE35/12</f>
        <v>0</v>
      </c>
      <c r="FH35" s="1184">
        <f>FG35+DG35+EG35                 -         SUMIF('Nährstoffe und Lagerraum'!$AX$113:$AX$155,$CZ35,'Nährstoffe und Lagerraum'!$U$113:$U$155)/12  -$GD35*$HE35/12</f>
        <v>0</v>
      </c>
      <c r="FI35" s="1184">
        <f>FH35+DH35+EH35                 -         SUMIF('Nährstoffe und Lagerraum'!$AX$113:$AX$155,$CZ35,'Nährstoffe und Lagerraum'!$U$113:$U$155)/12  -$GD35*$HE35/12</f>
        <v>0</v>
      </c>
      <c r="FJ35" s="1184">
        <f>FI35+DI35+EI35                 -         SUMIF('Nährstoffe und Lagerraum'!$AX$113:$AX$155,$CZ35,'Nährstoffe und Lagerraum'!$U$113:$U$155)/12  -$GD35*$HE35/12</f>
        <v>0</v>
      </c>
      <c r="FK35" s="1184">
        <f>FJ35+DJ35+EJ35                 -         SUMIF('Nährstoffe und Lagerraum'!$AX$113:$AX$155,$CZ35,'Nährstoffe und Lagerraum'!$U$113:$U$155)/12  -$GD35*$HE35/12</f>
        <v>0</v>
      </c>
      <c r="FL35" s="1184">
        <f>FK35+DK35+EK35                 -         SUMIF('Nährstoffe und Lagerraum'!$AX$113:$AX$155,$CZ35,'Nährstoffe und Lagerraum'!$U$113:$U$155)/12  -$GD35*$HE35/12</f>
        <v>0</v>
      </c>
      <c r="FM35" s="1184">
        <f>FL35+DL35+EL35                 -         SUMIF('Nährstoffe und Lagerraum'!$AX$113:$AX$155,$CZ35,'Nährstoffe und Lagerraum'!$U$113:$U$155)/12  -$GD35*$HE35/12</f>
        <v>0</v>
      </c>
      <c r="FN35" s="1184">
        <f>FM35+DM35+EM35                 -         SUMIF('Nährstoffe und Lagerraum'!$AX$113:$AX$155,$CZ35,'Nährstoffe und Lagerraum'!$U$113:$U$155)/12  -$GD35*$HE35/12</f>
        <v>0</v>
      </c>
      <c r="FO35" s="1184"/>
      <c r="FP35" s="1186">
        <f t="shared" si="52"/>
        <v>0</v>
      </c>
      <c r="FQ35" s="1184">
        <f>FP35+DO35+EO35                 -         SUMIF('Nährstoffe und Lagerraum'!$AX$113:$AX$155,$CZ35,'Nährstoffe und Lagerraum'!$V$113:$V$155)/12  -$GE35*$HE35/12</f>
        <v>0</v>
      </c>
      <c r="FR35" s="1184">
        <f>FQ35+DP35+EP35                 -         SUMIF('Nährstoffe und Lagerraum'!$AX$113:$AX$155,$CZ35,'Nährstoffe und Lagerraum'!$V$113:$V$155)/12  -$GE35*$HE35/12</f>
        <v>0</v>
      </c>
      <c r="FS35" s="1184">
        <f>FR35+DQ35+EQ35                 -         SUMIF('Nährstoffe und Lagerraum'!$AX$113:$AX$155,$CZ35,'Nährstoffe und Lagerraum'!$V$113:$V$155)/12  -$GE35*$HE35/12</f>
        <v>0</v>
      </c>
      <c r="FT35" s="1184">
        <f>FS35+DR35+ER35                 -         SUMIF('Nährstoffe und Lagerraum'!$AX$113:$AX$155,$CZ35,'Nährstoffe und Lagerraum'!$V$113:$V$155)/12  -$GE35*$HE35/12</f>
        <v>0</v>
      </c>
      <c r="FU35" s="1184">
        <f>FT35+DS35+ES35                 -         SUMIF('Nährstoffe und Lagerraum'!$AX$113:$AX$155,$CZ35,'Nährstoffe und Lagerraum'!$V$113:$V$155)/12  -$GE35*$HE35/12</f>
        <v>0</v>
      </c>
      <c r="FV35" s="1184">
        <f>FU35+DT35+ET35                 -         SUMIF('Nährstoffe und Lagerraum'!$AX$113:$AX$155,$CZ35,'Nährstoffe und Lagerraum'!$V$113:$V$155)/12  -$GE35*$HE35/12</f>
        <v>0</v>
      </c>
      <c r="FW35" s="1184">
        <f>FV35+DU35+EU35                 -         SUMIF('Nährstoffe und Lagerraum'!$AX$113:$AX$155,$CZ35,'Nährstoffe und Lagerraum'!$V$113:$V$155)/12  -$GE35*$HE35/12</f>
        <v>0</v>
      </c>
      <c r="FX35" s="1184">
        <f>FW35+DV35+EV35                 -         SUMIF('Nährstoffe und Lagerraum'!$AX$113:$AX$155,$CZ35,'Nährstoffe und Lagerraum'!$V$113:$V$155)/12  -$GE35*$HE35/12</f>
        <v>0</v>
      </c>
      <c r="FY35" s="1184">
        <f>FX35+DW35+EW35                 -         SUMIF('Nährstoffe und Lagerraum'!$AX$113:$AX$155,$CZ35,'Nährstoffe und Lagerraum'!$V$113:$V$155)/12  -$GE35*$HE35/12</f>
        <v>0</v>
      </c>
      <c r="FZ35" s="1184">
        <f>FY35+DX35+EX35                 -         SUMIF('Nährstoffe und Lagerraum'!$AX$113:$AX$155,$CZ35,'Nährstoffe und Lagerraum'!$V$113:$V$155)/12  -$GE35*$HE35/12</f>
        <v>0</v>
      </c>
      <c r="GA35" s="1184">
        <f>FZ35+DY35+EY35                 -         SUMIF('Nährstoffe und Lagerraum'!$AX$113:$AX$155,$CZ35,'Nährstoffe und Lagerraum'!$V$113:$V$155)/12  -$GE35*$HE35/12</f>
        <v>0</v>
      </c>
      <c r="GB35" s="1184">
        <f>GA35+DZ35+EZ35                 -         SUMIF('Nährstoffe und Lagerraum'!$AX$113:$AX$155,$CZ35,'Nährstoffe und Lagerraum'!$V$113:$V$155)/12  -$GE35*$HE35/12</f>
        <v>0</v>
      </c>
      <c r="GC35" s="1184"/>
      <c r="GD35" s="1184">
        <f>SUMIFS($CI$14:$CI$68,$BR$14:$BR$68,$CZ35)+SUMIFS($CM$14:$CM$68,$BR$14:$BR$68,$CZ35)+SUMIFS($CR$14:$CR$68,$BR$14:$BR$68,$CZ35)  -         SUMIF('Nährstoffe und Lagerraum'!$AX$113:$AX$155,$CZ35,'Nährstoffe und Lagerraum'!$U$113:$U$155)</f>
        <v>0</v>
      </c>
      <c r="GE35" s="1184">
        <f>SUMIFS($CJ$14:$CJ$68,$BR$14:$BR$68,$CZ35)+SUMIFS($CO$14:$CO$68,$BR$14:$BR$68,$CZ35)+SUMIFS($CT$14:$CT$68,$BR$14:$BR$68,$CZ35)  -         SUMIF('Nährstoffe und Lagerraum'!$AX$113:$AX$155,$CZ35,'Nährstoffe und Lagerraum'!$V$113:$V$155)</f>
        <v>0</v>
      </c>
      <c r="GF35" s="1184"/>
      <c r="GG35" s="1184"/>
      <c r="GH35" s="1184">
        <f>SUMIF('Nährstoffe und Lagerraum'!$AX$113:$AX$155,$CZ35,'Nährstoffe und Lagerraum'!$U$113:$U$155)</f>
        <v>0</v>
      </c>
      <c r="GI35" s="1184">
        <f>SUMIF('Nährstoffe und Lagerraum'!$AX$113:$AX$155,$CZ35,'Nährstoffe und Lagerraum'!$V$113:$V$155)</f>
        <v>0</v>
      </c>
      <c r="GJ35" s="1184">
        <f t="shared" si="53"/>
        <v>0</v>
      </c>
      <c r="GK35" s="1184">
        <f t="shared" si="54"/>
        <v>0</v>
      </c>
      <c r="GL35" s="1184">
        <f t="shared" si="55"/>
        <v>0</v>
      </c>
      <c r="GM35" s="1184">
        <f t="shared" si="56"/>
        <v>0</v>
      </c>
      <c r="GN35" s="1184">
        <f t="shared" si="57"/>
        <v>0</v>
      </c>
      <c r="GO35" s="1184" cm="1">
        <f t="array" ref="GO35">IF(GN35=0,0,(IFERROR(SUMPRODUCT($J$14:$J$68,$CH$14:$CH$68,($BR$14:$BR$68=CZ35)*1)+SUMPRODUCT($L$14:$L$68,$M$14:$M$68,$CK$14:$CK$68,($BR$14:$BR$68=CZ35)*1,($BT$14:$BT$68=FALSE)*1)/10+SUMPRODUCT($R$14:$R$68,$CP$14:$CP$68,($BR$14:$BR$68=CZ35)*1),0))/GN35)</f>
        <v>0</v>
      </c>
      <c r="GP35" s="1184">
        <f t="shared" si="58"/>
        <v>0</v>
      </c>
      <c r="GQ35" s="1184">
        <f>(SUMIF('Nährstoffe und Lagerraum'!$AX$113:$AX$130,'Lagerhaltung (freiwillig)'!CZ35,'Nährstoffe und Lagerraum'!$D$113:$D$130)+SUMIF('Nährstoffe und Lagerraum'!$AX$137:$AX$155,'Lagerhaltung (freiwillig)'!CZ35,'Nährstoffe und Lagerraum'!$E$137:$E$155))</f>
        <v>0</v>
      </c>
      <c r="GR35" s="1184" cm="1">
        <f t="array" ref="GR35">IF(GQ35=0,0,(IFERROR(SUMPRODUCT('Nährstoffe und Lagerraum'!$D$113:$D$130,'Nährstoffe und Lagerraum'!$F$113:$F$130,('Nährstoffe und Lagerraum'!$AX$113:$AX$130='Lagerhaltung (freiwillig)'!CZ35)*1)+SUMPRODUCT('Nährstoffe und Lagerraum'!$E$137:$E$155,'Nährstoffe und Lagerraum'!$F$137:$F$155,('Nährstoffe und Lagerraum'!$AX$137:$AX$155='Lagerhaltung (freiwillig)'!CZ35)*1),0))/GQ35)</f>
        <v>0</v>
      </c>
      <c r="GS35" s="1184">
        <f t="shared" si="59"/>
        <v>0</v>
      </c>
      <c r="GT35" s="1184">
        <f t="shared" si="60"/>
        <v>0</v>
      </c>
      <c r="GU35" s="1184">
        <f t="shared" si="61"/>
        <v>0</v>
      </c>
      <c r="GV35" s="1184">
        <f t="shared" si="62"/>
        <v>0</v>
      </c>
      <c r="GW35" s="1186" t="str">
        <f t="shared" si="41"/>
        <v xml:space="preserve"> </v>
      </c>
      <c r="GX35" s="1186" t="str">
        <f t="shared" si="41"/>
        <v xml:space="preserve"> </v>
      </c>
      <c r="GY35" s="1195">
        <f t="shared" si="63"/>
        <v>0</v>
      </c>
      <c r="GZ35" s="1184">
        <f t="shared" si="64"/>
        <v>0</v>
      </c>
      <c r="HA35" s="1184" t="str">
        <f t="shared" si="44"/>
        <v>a</v>
      </c>
      <c r="HB35" s="1196">
        <f t="shared" si="65"/>
        <v>0</v>
      </c>
      <c r="HC35" s="1196">
        <f t="shared" si="66"/>
        <v>0</v>
      </c>
      <c r="HD35" s="1196"/>
      <c r="HE35" s="1187">
        <f t="shared" si="67"/>
        <v>0</v>
      </c>
      <c r="HF35" s="1196">
        <f t="shared" si="68"/>
        <v>0</v>
      </c>
      <c r="HG35" s="1196">
        <f t="shared" si="69"/>
        <v>0</v>
      </c>
      <c r="HH35" s="1196">
        <f t="shared" si="70"/>
        <v>0</v>
      </c>
      <c r="HI35" s="1328" cm="1">
        <f t="array" ref="HI35">IF(AND(HG35=0,GL35=0),0,IF(HG35=0,1,IF(OR(GL35*1000/HG35/HH35&gt;INDEX(Pflanzen!$W$5:$W$104,CZ35)/INDEX(Pflanzen!$I$5:$I$104,CZ35)*$HI$1,GL35*1000/HG35/HH35&lt;INDEX(Pflanzen!$W$5:$W$104,CZ35)/INDEX(Pflanzen!$I$5:$I$104,CZ35)/$HI$1),1,0)))</f>
        <v>0</v>
      </c>
      <c r="HJ35" s="1328" cm="1">
        <f t="array" ref="HJ35">IF(AND(GM35=0,HG35=0),0,IF(HG35=0,1,IF(OR(GM35*1000/HG35/HH35&gt;INDEX(Pflanzen!$X$5:$X$104,CZ35)/INDEX(Pflanzen!$I$5:$I$104,CZ35)*$HI$1,GM35*1000/HG35/HH35&lt;INDEX(Pflanzen!$X$5:$X$104,CZ35)/INDEX(Pflanzen!$I$5:$I$104,CZ35)/$HI$1),1,0)))</f>
        <v>0</v>
      </c>
      <c r="HK35" s="1184">
        <f t="shared" si="71"/>
        <v>3</v>
      </c>
      <c r="HL35" s="1184"/>
      <c r="HN35" s="1184"/>
      <c r="HO35" s="1193" t="str">
        <f>Tiere!B61</f>
        <v>Jungsaueneingliederung, Standard</v>
      </c>
      <c r="HP35" s="1184">
        <v>32</v>
      </c>
      <c r="HQ35" s="1194">
        <f>SUMIF('Nährstoffe und Lagerraum'!$BM$68:$BM$87,'Lagerhaltung (freiwillig)'!HP35,'Nährstoffe und Lagerraum'!$Z$68:$Z$87)+SUMIF('Nährstoffe und Lagerraum'!$BM$68:$BM$87,'Lagerhaltung (freiwillig)'!HP35,'Nährstoffe und Lagerraum'!$AA$68:$AA$87)</f>
        <v>0</v>
      </c>
      <c r="HR35" s="1184" cm="1">
        <f t="array" ref="HR35">INDEX(Tiere!$C$30:$C$114,'Lagerhaltung (freiwillig)'!HP35)</f>
        <v>2</v>
      </c>
      <c r="HS35" s="1184" cm="1">
        <f t="array" ref="HS35">INDEX(Tiere!$H$30:$H$114,'Lagerhaltung (freiwillig)'!HP35)</f>
        <v>0</v>
      </c>
      <c r="HT35" s="1184">
        <f t="shared" si="12"/>
        <v>0</v>
      </c>
      <c r="HU35" s="1184" cm="1">
        <f t="array" ref="HU35">INDEX(Tiere!$I$30:$I$114,'Lagerhaltung (freiwillig)'!HP35)</f>
        <v>0</v>
      </c>
      <c r="HV35" s="1184">
        <f t="shared" si="13"/>
        <v>0</v>
      </c>
      <c r="HW35" s="1184" cm="1">
        <f t="array" ref="HW35">INDEX(Tiere!$BC$30:$BC$114,'Lagerhaltung (freiwillig)'!HP35)</f>
        <v>6.5408000000000008</v>
      </c>
      <c r="HX35" s="1184">
        <f t="shared" si="14"/>
        <v>0</v>
      </c>
      <c r="HY35" s="1184" cm="1">
        <f t="array" ref="HY35">INDEX(Tiere!$BD$30:$BD$114,'Lagerhaltung (freiwillig)'!HP35)</f>
        <v>2.98935</v>
      </c>
      <c r="HZ35" s="1184">
        <f t="shared" si="15"/>
        <v>0</v>
      </c>
      <c r="IA35" s="1184"/>
      <c r="IB35" s="1184"/>
      <c r="IC35" s="1184"/>
      <c r="ID35" s="1184"/>
      <c r="IE35" s="1184"/>
      <c r="IF35" s="1184"/>
      <c r="IG35" s="1184"/>
      <c r="IH35" s="1184"/>
      <c r="II35" s="1184"/>
      <c r="IJ35" s="1184"/>
      <c r="IK35" s="1184"/>
      <c r="IL35" s="1184"/>
    </row>
    <row r="36" spans="1:247" ht="15.6" customHeight="1" thickBot="1" x14ac:dyDescent="0.25">
      <c r="A36" s="58"/>
      <c r="B36" s="804"/>
      <c r="C36" s="804"/>
      <c r="D36" s="804"/>
      <c r="E36" s="804"/>
      <c r="F36" s="1472" cm="1">
        <f t="array" ref="F36">INDEX(Pflanzen!$I$5:$I$104,BR36)</f>
        <v>0</v>
      </c>
      <c r="G36" s="1473" cm="1">
        <f t="array" ref="G36">INDEX(Pflanzen!$W$5:$W$104,BR36)</f>
        <v>0</v>
      </c>
      <c r="H36" s="1474" cm="1">
        <f t="array" ref="H36">INDEX(Pflanzen!$X$5:$X$104,BR36)</f>
        <v>0</v>
      </c>
      <c r="I36" s="1495"/>
      <c r="J36" s="1496"/>
      <c r="K36" s="1495"/>
      <c r="L36" s="1488"/>
      <c r="M36" s="1496"/>
      <c r="N36" s="1488"/>
      <c r="O36" s="1488"/>
      <c r="P36" s="1294"/>
      <c r="Q36" s="2182"/>
      <c r="R36" s="1488"/>
      <c r="S36" s="1496"/>
      <c r="T36" s="1304"/>
      <c r="U36" s="725"/>
      <c r="V36" s="1346" t="str">
        <f t="shared" si="92"/>
        <v/>
      </c>
      <c r="Y36" s="1554" t="str" cm="1">
        <f t="array" ref="Y36">IFERROR(INDEX($CY$4:$CY$165,AY36),"")</f>
        <v/>
      </c>
      <c r="Z36" s="1555"/>
      <c r="AA36" s="1555"/>
      <c r="AB36" s="1555"/>
      <c r="AC36" s="1454" t="str" cm="1">
        <f t="array" ref="AC36">IFERROR(INDEX($GN$4:$GN$165,AY36),"")</f>
        <v/>
      </c>
      <c r="AD36" s="1454" t="str" cm="1">
        <f t="array" ref="AD36">IFERROR(INDEX($GO$4:$GO$165,AY36),"")</f>
        <v/>
      </c>
      <c r="AE36" s="1454" t="str" cm="1">
        <f t="array" ref="AE36">IFERROR(INDEX($GJ$4:$GJ$165,AY36),"")</f>
        <v/>
      </c>
      <c r="AF36" s="1454" t="str" cm="1">
        <f t="array" ref="AF36">IFERROR(INDEX($GK$4:$GK$165,AY36),"")</f>
        <v/>
      </c>
      <c r="AG36" s="1454" t="str" cm="1">
        <f t="array" ref="AG36">IFERROR(INDEX($GQ$4:$GQ$165,AY36),"")</f>
        <v/>
      </c>
      <c r="AH36" s="1454" t="str" cm="1">
        <f t="array" ref="AH36">IFERROR(INDEX($GR$4:$GR$165,AY36),"")</f>
        <v/>
      </c>
      <c r="AI36" s="1454" t="str" cm="1">
        <f t="array" ref="AI36">IFERROR(INDEX($GH$4:$GH$165,AY36),"")</f>
        <v/>
      </c>
      <c r="AJ36" s="1454" t="str" cm="1">
        <f t="array" ref="AJ36">IFERROR(INDEX($GI$4:$GI$165,AY36),"")</f>
        <v/>
      </c>
      <c r="AK36" s="1454" t="str" cm="1">
        <f t="array" ref="AK36">IFERROR(INDEX($GU$4:$GU$165,AY36),"")</f>
        <v/>
      </c>
      <c r="AL36" s="1455" t="str" cm="1">
        <f t="array" ref="AL36">IFERROR(INDEX($GV$4:$GV$165,AY36),"")</f>
        <v/>
      </c>
      <c r="AM36" s="1454" t="str" cm="1">
        <f t="array" ref="AM36">IFERROR(INDEX($GD$4:$GD$165,AY36),"")</f>
        <v/>
      </c>
      <c r="AN36" s="1454" t="str" cm="1">
        <f t="array" ref="AN36">IFERROR(INDEX($GE$4:$GE$165,AY36),"")</f>
        <v/>
      </c>
      <c r="AO36" s="1454" t="str" cm="1">
        <f t="array" ref="AO36">IFERROR(INDEX($GW$4:$GW$165,AY36),"")</f>
        <v/>
      </c>
      <c r="AP36" s="1454" t="str" cm="1">
        <f t="array" ref="AP36">IFERROR(INDEX($GZ$4:$GZ$165,AY36),"")</f>
        <v/>
      </c>
      <c r="AQ36" s="1457"/>
      <c r="AR36" s="1454" t="str" cm="1">
        <f t="array" ref="AR36">IFERROR(INDEX($HF$4:$HF$165,AY36),"")</f>
        <v/>
      </c>
      <c r="AS36" s="1454" t="str" cm="1">
        <f t="array" ref="AS36">IFERROR(INDEX($HG$4:$HG$165,AY36),"")</f>
        <v/>
      </c>
      <c r="AT36" s="1454" t="str" cm="1">
        <f t="array" ref="AT36">IFERROR(INDEX($HH$4:$HH$165,AY36),"")</f>
        <v/>
      </c>
      <c r="AU36" s="1454" t="str" cm="1">
        <f t="array" ref="AU36">IFERROR(INDEX($GL$4:$GL$165,AY36),"")</f>
        <v/>
      </c>
      <c r="AV36" s="1454" t="str" cm="1">
        <f t="array" ref="AV36">IFERROR(INDEX($GM$4:$GM$165,AY36),"")</f>
        <v/>
      </c>
      <c r="AY36" s="1184" t="str" cm="1">
        <f t="array" ref="AY36">IFERROR(SMALL(IF($HK$4:$HK$165=1,ROW($HK$4:$HK$165)-3),ROW(W24)),IFERROR(SMALL(IF($HK$4:$HK$165=2,ROW($HK$4:$HK$165)-3),ROW(W24)-COUNTIF($HK$4:$HK$165,1)),IFERROR(SMALL(IF($HK$4:$HK$165=0,ROW($HK$4:$HK$165)-3),ROW(W24)-COUNTIF($HK$4:$HK$165,1)-COUNTIF($HK$4:$HK$165,2)),"")))</f>
        <v/>
      </c>
      <c r="AZ36" s="1184" t="str">
        <f t="shared" si="72"/>
        <v>a</v>
      </c>
      <c r="BA36" s="1194" t="e">
        <f t="shared" si="73"/>
        <v>#VALUE!</v>
      </c>
      <c r="BB36" s="1194" cm="1">
        <f t="array" ref="BB36">IFERROR(INDEX($HK$4:$HK$165,AY36),0)</f>
        <v>0</v>
      </c>
      <c r="BC36" s="1194">
        <f t="shared" si="74"/>
        <v>0</v>
      </c>
      <c r="BD36" s="1194"/>
      <c r="BE36" s="1343"/>
      <c r="BF36" s="1343"/>
      <c r="BG36" s="1343"/>
      <c r="BH36" s="1343"/>
      <c r="BI36" s="1343"/>
      <c r="BJ36" s="1343"/>
      <c r="BK36" s="1343"/>
      <c r="BL36" s="1343"/>
      <c r="BM36" s="1343"/>
      <c r="BN36" s="1343"/>
      <c r="BO36" s="1343"/>
      <c r="BQ36" s="1184"/>
      <c r="BR36" s="1184">
        <v>1</v>
      </c>
      <c r="BS36" s="1184"/>
      <c r="BT36" s="1184" t="b">
        <v>0</v>
      </c>
      <c r="BU36" s="1199"/>
      <c r="BV36" s="1199"/>
      <c r="BW36" s="1184">
        <f t="shared" si="75"/>
        <v>12</v>
      </c>
      <c r="BX36" s="1184">
        <f t="shared" si="76"/>
        <v>0</v>
      </c>
      <c r="BY36" s="1184">
        <f t="shared" si="77"/>
        <v>12</v>
      </c>
      <c r="BZ36" s="1184" cm="1">
        <f t="array" ref="BZ36">INDEX(Pflanzen!$AB$5:$AB$114,'Lagerhaltung (freiwillig)'!BR36)</f>
        <v>0</v>
      </c>
      <c r="CA36" s="1184" cm="1">
        <f t="array" ref="CA36">IF(BZ36=1,INDEX(Pflanzen!$AC$5:$AC$114,BR36),N36)</f>
        <v>0</v>
      </c>
      <c r="CB36" s="1184" cm="1">
        <f t="array" ref="CB36">IF(BZ36=1,INDEX(Pflanzen!$AD$5:$AD$114,BR36),O36)</f>
        <v>0</v>
      </c>
      <c r="CC36" s="1184">
        <f t="shared" si="78"/>
        <v>12</v>
      </c>
      <c r="CD36" s="1184">
        <f t="shared" si="79"/>
        <v>0</v>
      </c>
      <c r="CE36" s="1184">
        <f t="shared" si="80"/>
        <v>12</v>
      </c>
      <c r="CF36" s="1184" cm="1">
        <f t="array" ref="CF36">INDEX(Pflanzen!$F$5:$F$114,BR36)</f>
        <v>0</v>
      </c>
      <c r="CG36" s="1184" cm="1">
        <f t="array" ref="CG36">INDEX(Pflanzen!$G$5:$G$114,BR36)</f>
        <v>0</v>
      </c>
      <c r="CH36" s="1184">
        <f t="shared" si="81"/>
        <v>0</v>
      </c>
      <c r="CI36" s="1184">
        <f t="shared" si="93"/>
        <v>0</v>
      </c>
      <c r="CJ36" s="1184">
        <f t="shared" si="94"/>
        <v>0</v>
      </c>
      <c r="CK36" s="1184">
        <f t="shared" si="82"/>
        <v>0</v>
      </c>
      <c r="CL36" s="1184">
        <f t="shared" si="83"/>
        <v>0</v>
      </c>
      <c r="CM36" s="1184">
        <f t="shared" si="84"/>
        <v>0</v>
      </c>
      <c r="CN36" s="1184">
        <f t="shared" si="85"/>
        <v>0</v>
      </c>
      <c r="CO36" s="1184">
        <f t="shared" si="86"/>
        <v>0</v>
      </c>
      <c r="CP36" s="1184">
        <f t="shared" si="87"/>
        <v>0</v>
      </c>
      <c r="CQ36" s="1184">
        <f t="shared" si="88"/>
        <v>0</v>
      </c>
      <c r="CR36" s="1184">
        <f t="shared" si="89"/>
        <v>0</v>
      </c>
      <c r="CS36" s="1184">
        <f t="shared" si="90"/>
        <v>0</v>
      </c>
      <c r="CT36" s="1184">
        <f t="shared" si="91"/>
        <v>0</v>
      </c>
      <c r="CU36" s="1184">
        <f t="shared" si="95"/>
        <v>2</v>
      </c>
      <c r="CV36" s="1184">
        <f t="shared" si="96"/>
        <v>0</v>
      </c>
      <c r="CW36" s="1186">
        <f t="shared" si="97"/>
        <v>0</v>
      </c>
      <c r="CX36" s="1184"/>
      <c r="CY36" s="320" t="str">
        <f>Pflanzen!A32</f>
        <v>Öllein, Faserflachs</v>
      </c>
      <c r="CZ36" s="1200">
        <f>IFERROR(MATCH($CY36,Pflanzen!$C$5:$C$114,0),1)</f>
        <v>28</v>
      </c>
      <c r="DA36" s="320" cm="1">
        <f t="array" ref="DA36">INDEX(Pflanzen!$H$5:$H$114,'Lagerhaltung (freiwillig)'!CZ36)</f>
        <v>2</v>
      </c>
      <c r="DB36" s="1200">
        <f t="shared" si="102"/>
        <v>0</v>
      </c>
      <c r="DC36" s="1200">
        <f t="shared" si="102"/>
        <v>0</v>
      </c>
      <c r="DD36" s="1200">
        <f t="shared" si="102"/>
        <v>0</v>
      </c>
      <c r="DE36" s="1200">
        <f t="shared" si="102"/>
        <v>0</v>
      </c>
      <c r="DF36" s="1200">
        <f t="shared" si="102"/>
        <v>0</v>
      </c>
      <c r="DG36" s="1184">
        <f t="shared" si="102"/>
        <v>0</v>
      </c>
      <c r="DH36" s="1184">
        <f t="shared" si="102"/>
        <v>0</v>
      </c>
      <c r="DI36" s="1184">
        <f t="shared" si="102"/>
        <v>0</v>
      </c>
      <c r="DJ36" s="1184">
        <f t="shared" si="102"/>
        <v>0</v>
      </c>
      <c r="DK36" s="1184">
        <f t="shared" si="102"/>
        <v>0</v>
      </c>
      <c r="DL36" s="1184">
        <f t="shared" si="102"/>
        <v>0</v>
      </c>
      <c r="DM36" s="1184">
        <f t="shared" si="102"/>
        <v>0</v>
      </c>
      <c r="DN36" s="1184"/>
      <c r="DO36" s="1184">
        <f t="shared" si="103"/>
        <v>0</v>
      </c>
      <c r="DP36" s="1184">
        <f t="shared" si="103"/>
        <v>0</v>
      </c>
      <c r="DQ36" s="1184">
        <f t="shared" si="103"/>
        <v>0</v>
      </c>
      <c r="DR36" s="1184">
        <f t="shared" si="103"/>
        <v>0</v>
      </c>
      <c r="DS36" s="1184">
        <f t="shared" si="103"/>
        <v>0</v>
      </c>
      <c r="DT36" s="1184">
        <f t="shared" si="103"/>
        <v>0</v>
      </c>
      <c r="DU36" s="1184">
        <f t="shared" si="103"/>
        <v>0</v>
      </c>
      <c r="DV36" s="1184">
        <f t="shared" si="103"/>
        <v>0</v>
      </c>
      <c r="DW36" s="1184">
        <f t="shared" si="103"/>
        <v>0</v>
      </c>
      <c r="DX36" s="1184">
        <f t="shared" si="103"/>
        <v>0</v>
      </c>
      <c r="DY36" s="1184">
        <f t="shared" si="103"/>
        <v>0</v>
      </c>
      <c r="DZ36" s="1184">
        <f t="shared" si="103"/>
        <v>0</v>
      </c>
      <c r="EA36" s="1184"/>
      <c r="EB36" s="1184">
        <f t="shared" si="104"/>
        <v>0</v>
      </c>
      <c r="EC36" s="1184">
        <f t="shared" si="104"/>
        <v>0</v>
      </c>
      <c r="ED36" s="1184">
        <f t="shared" si="104"/>
        <v>0</v>
      </c>
      <c r="EE36" s="1184">
        <f t="shared" si="104"/>
        <v>0</v>
      </c>
      <c r="EF36" s="1184">
        <f t="shared" si="104"/>
        <v>0</v>
      </c>
      <c r="EG36" s="1184">
        <f t="shared" si="104"/>
        <v>0</v>
      </c>
      <c r="EH36" s="1184">
        <f t="shared" si="104"/>
        <v>0</v>
      </c>
      <c r="EI36" s="1184">
        <f t="shared" si="104"/>
        <v>0</v>
      </c>
      <c r="EJ36" s="1184">
        <f t="shared" si="104"/>
        <v>0</v>
      </c>
      <c r="EK36" s="1184">
        <f t="shared" si="104"/>
        <v>0</v>
      </c>
      <c r="EL36" s="1184">
        <f t="shared" si="104"/>
        <v>0</v>
      </c>
      <c r="EM36" s="1184">
        <f t="shared" si="104"/>
        <v>0</v>
      </c>
      <c r="EN36" s="1184"/>
      <c r="EO36" s="1184">
        <f t="shared" si="105"/>
        <v>0</v>
      </c>
      <c r="EP36" s="1184">
        <f t="shared" si="105"/>
        <v>0</v>
      </c>
      <c r="EQ36" s="1184">
        <f t="shared" si="105"/>
        <v>0</v>
      </c>
      <c r="ER36" s="1184">
        <f t="shared" si="105"/>
        <v>0</v>
      </c>
      <c r="ES36" s="1184">
        <f t="shared" si="105"/>
        <v>0</v>
      </c>
      <c r="ET36" s="1184">
        <f t="shared" si="105"/>
        <v>0</v>
      </c>
      <c r="EU36" s="1184">
        <f t="shared" si="105"/>
        <v>0</v>
      </c>
      <c r="EV36" s="1184">
        <f t="shared" si="105"/>
        <v>0</v>
      </c>
      <c r="EW36" s="1184">
        <f t="shared" si="105"/>
        <v>0</v>
      </c>
      <c r="EX36" s="1184">
        <f t="shared" si="105"/>
        <v>0</v>
      </c>
      <c r="EY36" s="1184">
        <f t="shared" si="105"/>
        <v>0</v>
      </c>
      <c r="EZ36" s="1184">
        <f t="shared" si="105"/>
        <v>0</v>
      </c>
      <c r="FA36" s="1184"/>
      <c r="FB36" s="1186">
        <f t="shared" si="51"/>
        <v>0</v>
      </c>
      <c r="FC36" s="1184">
        <f>FB36+DB36+EB36                 -         SUMIF('Nährstoffe und Lagerraum'!$AX$113:$AX$155,$CZ36,'Nährstoffe und Lagerraum'!$U$113:$U$155)/12  -$GD36*$HE36/12</f>
        <v>0</v>
      </c>
      <c r="FD36" s="1184">
        <f>FC36+DC36+EC36                 -         SUMIF('Nährstoffe und Lagerraum'!$AX$113:$AX$155,$CZ36,'Nährstoffe und Lagerraum'!$U$113:$U$155)/12  -$GD36*$HE36/12</f>
        <v>0</v>
      </c>
      <c r="FE36" s="1184">
        <f>FD36+DD36+ED36                 -         SUMIF('Nährstoffe und Lagerraum'!$AX$113:$AX$155,$CZ36,'Nährstoffe und Lagerraum'!$U$113:$U$155)/12  -$GD36*$HE36/12</f>
        <v>0</v>
      </c>
      <c r="FF36" s="1184">
        <f>FE36+DE36+EE36                 -         SUMIF('Nährstoffe und Lagerraum'!$AX$113:$AX$155,$CZ36,'Nährstoffe und Lagerraum'!$U$113:$U$155)/12  -$GD36*$HE36/12</f>
        <v>0</v>
      </c>
      <c r="FG36" s="1184">
        <f>FF36+DF36+EF36                 -         SUMIF('Nährstoffe und Lagerraum'!$AX$113:$AX$155,$CZ36,'Nährstoffe und Lagerraum'!$U$113:$U$155)/12  -$GD36*$HE36/12</f>
        <v>0</v>
      </c>
      <c r="FH36" s="1184">
        <f>FG36+DG36+EG36                 -         SUMIF('Nährstoffe und Lagerraum'!$AX$113:$AX$155,$CZ36,'Nährstoffe und Lagerraum'!$U$113:$U$155)/12  -$GD36*$HE36/12</f>
        <v>0</v>
      </c>
      <c r="FI36" s="1184">
        <f>FH36+DH36+EH36                 -         SUMIF('Nährstoffe und Lagerraum'!$AX$113:$AX$155,$CZ36,'Nährstoffe und Lagerraum'!$U$113:$U$155)/12  -$GD36*$HE36/12</f>
        <v>0</v>
      </c>
      <c r="FJ36" s="1184">
        <f>FI36+DI36+EI36                 -         SUMIF('Nährstoffe und Lagerraum'!$AX$113:$AX$155,$CZ36,'Nährstoffe und Lagerraum'!$U$113:$U$155)/12  -$GD36*$HE36/12</f>
        <v>0</v>
      </c>
      <c r="FK36" s="1184">
        <f>FJ36+DJ36+EJ36                 -         SUMIF('Nährstoffe und Lagerraum'!$AX$113:$AX$155,$CZ36,'Nährstoffe und Lagerraum'!$U$113:$U$155)/12  -$GD36*$HE36/12</f>
        <v>0</v>
      </c>
      <c r="FL36" s="1184">
        <f>FK36+DK36+EK36                 -         SUMIF('Nährstoffe und Lagerraum'!$AX$113:$AX$155,$CZ36,'Nährstoffe und Lagerraum'!$U$113:$U$155)/12  -$GD36*$HE36/12</f>
        <v>0</v>
      </c>
      <c r="FM36" s="1184">
        <f>FL36+DL36+EL36                 -         SUMIF('Nährstoffe und Lagerraum'!$AX$113:$AX$155,$CZ36,'Nährstoffe und Lagerraum'!$U$113:$U$155)/12  -$GD36*$HE36/12</f>
        <v>0</v>
      </c>
      <c r="FN36" s="1184">
        <f>FM36+DM36+EM36                 -         SUMIF('Nährstoffe und Lagerraum'!$AX$113:$AX$155,$CZ36,'Nährstoffe und Lagerraum'!$U$113:$U$155)/12  -$GD36*$HE36/12</f>
        <v>0</v>
      </c>
      <c r="FO36" s="1184"/>
      <c r="FP36" s="1186">
        <f t="shared" si="52"/>
        <v>0</v>
      </c>
      <c r="FQ36" s="1184">
        <f>FP36+DO36+EO36                 -         SUMIF('Nährstoffe und Lagerraum'!$AX$113:$AX$155,$CZ36,'Nährstoffe und Lagerraum'!$V$113:$V$155)/12  -$GE36*$HE36/12</f>
        <v>0</v>
      </c>
      <c r="FR36" s="1184">
        <f>FQ36+DP36+EP36                 -         SUMIF('Nährstoffe und Lagerraum'!$AX$113:$AX$155,$CZ36,'Nährstoffe und Lagerraum'!$V$113:$V$155)/12  -$GE36*$HE36/12</f>
        <v>0</v>
      </c>
      <c r="FS36" s="1184">
        <f>FR36+DQ36+EQ36                 -         SUMIF('Nährstoffe und Lagerraum'!$AX$113:$AX$155,$CZ36,'Nährstoffe und Lagerraum'!$V$113:$V$155)/12  -$GE36*$HE36/12</f>
        <v>0</v>
      </c>
      <c r="FT36" s="1184">
        <f>FS36+DR36+ER36                 -         SUMIF('Nährstoffe und Lagerraum'!$AX$113:$AX$155,$CZ36,'Nährstoffe und Lagerraum'!$V$113:$V$155)/12  -$GE36*$HE36/12</f>
        <v>0</v>
      </c>
      <c r="FU36" s="1184">
        <f>FT36+DS36+ES36                 -         SUMIF('Nährstoffe und Lagerraum'!$AX$113:$AX$155,$CZ36,'Nährstoffe und Lagerraum'!$V$113:$V$155)/12  -$GE36*$HE36/12</f>
        <v>0</v>
      </c>
      <c r="FV36" s="1184">
        <f>FU36+DT36+ET36                 -         SUMIF('Nährstoffe und Lagerraum'!$AX$113:$AX$155,$CZ36,'Nährstoffe und Lagerraum'!$V$113:$V$155)/12  -$GE36*$HE36/12</f>
        <v>0</v>
      </c>
      <c r="FW36" s="1184">
        <f>FV36+DU36+EU36                 -         SUMIF('Nährstoffe und Lagerraum'!$AX$113:$AX$155,$CZ36,'Nährstoffe und Lagerraum'!$V$113:$V$155)/12  -$GE36*$HE36/12</f>
        <v>0</v>
      </c>
      <c r="FX36" s="1184">
        <f>FW36+DV36+EV36                 -         SUMIF('Nährstoffe und Lagerraum'!$AX$113:$AX$155,$CZ36,'Nährstoffe und Lagerraum'!$V$113:$V$155)/12  -$GE36*$HE36/12</f>
        <v>0</v>
      </c>
      <c r="FY36" s="1184">
        <f>FX36+DW36+EW36                 -         SUMIF('Nährstoffe und Lagerraum'!$AX$113:$AX$155,$CZ36,'Nährstoffe und Lagerraum'!$V$113:$V$155)/12  -$GE36*$HE36/12</f>
        <v>0</v>
      </c>
      <c r="FZ36" s="1184">
        <f>FY36+DX36+EX36                 -         SUMIF('Nährstoffe und Lagerraum'!$AX$113:$AX$155,$CZ36,'Nährstoffe und Lagerraum'!$V$113:$V$155)/12  -$GE36*$HE36/12</f>
        <v>0</v>
      </c>
      <c r="GA36" s="1184">
        <f>FZ36+DY36+EY36                 -         SUMIF('Nährstoffe und Lagerraum'!$AX$113:$AX$155,$CZ36,'Nährstoffe und Lagerraum'!$V$113:$V$155)/12  -$GE36*$HE36/12</f>
        <v>0</v>
      </c>
      <c r="GB36" s="1184">
        <f>GA36+DZ36+EZ36                 -         SUMIF('Nährstoffe und Lagerraum'!$AX$113:$AX$155,$CZ36,'Nährstoffe und Lagerraum'!$V$113:$V$155)/12  -$GE36*$HE36/12</f>
        <v>0</v>
      </c>
      <c r="GC36" s="1184"/>
      <c r="GD36" s="1184">
        <f>SUMIFS($CI$14:$CI$68,$BR$14:$BR$68,$CZ36)+SUMIFS($CM$14:$CM$68,$BR$14:$BR$68,$CZ36)+SUMIFS($CR$14:$CR$68,$BR$14:$BR$68,$CZ36)  -         SUMIF('Nährstoffe und Lagerraum'!$AX$113:$AX$155,$CZ36,'Nährstoffe und Lagerraum'!$U$113:$U$155)</f>
        <v>0</v>
      </c>
      <c r="GE36" s="1184">
        <f>SUMIFS($CJ$14:$CJ$68,$BR$14:$BR$68,$CZ36)+SUMIFS($CO$14:$CO$68,$BR$14:$BR$68,$CZ36)+SUMIFS($CT$14:$CT$68,$BR$14:$BR$68,$CZ36)  -         SUMIF('Nährstoffe und Lagerraum'!$AX$113:$AX$155,$CZ36,'Nährstoffe und Lagerraum'!$V$113:$V$155)</f>
        <v>0</v>
      </c>
      <c r="GF36" s="1184"/>
      <c r="GG36" s="1184"/>
      <c r="GH36" s="1184">
        <f>SUMIF('Nährstoffe und Lagerraum'!$AX$113:$AX$155,$CZ36,'Nährstoffe und Lagerraum'!$U$113:$U$155)</f>
        <v>0</v>
      </c>
      <c r="GI36" s="1184">
        <f>SUMIF('Nährstoffe und Lagerraum'!$AX$113:$AX$155,$CZ36,'Nährstoffe und Lagerraum'!$V$113:$V$155)</f>
        <v>0</v>
      </c>
      <c r="GJ36" s="1184">
        <f t="shared" si="53"/>
        <v>0</v>
      </c>
      <c r="GK36" s="1184">
        <f t="shared" si="54"/>
        <v>0</v>
      </c>
      <c r="GL36" s="1184">
        <f t="shared" si="55"/>
        <v>0</v>
      </c>
      <c r="GM36" s="1184">
        <f t="shared" si="56"/>
        <v>0</v>
      </c>
      <c r="GN36" s="1184">
        <f t="shared" si="57"/>
        <v>0</v>
      </c>
      <c r="GO36" s="1184" cm="1">
        <f t="array" ref="GO36">IF(GN36=0,0,(IFERROR(SUMPRODUCT($J$14:$J$68,$CH$14:$CH$68,($BR$14:$BR$68=CZ36)*1)+SUMPRODUCT($L$14:$L$68,$M$14:$M$68,$CK$14:$CK$68,($BR$14:$BR$68=CZ36)*1,($BT$14:$BT$68=FALSE)*1)/10+SUMPRODUCT($R$14:$R$68,$CP$14:$CP$68,($BR$14:$BR$68=CZ36)*1),0))/GN36)</f>
        <v>0</v>
      </c>
      <c r="GP36" s="1184">
        <f t="shared" si="58"/>
        <v>0</v>
      </c>
      <c r="GQ36" s="1184">
        <f>(SUMIF('Nährstoffe und Lagerraum'!$AX$113:$AX$130,'Lagerhaltung (freiwillig)'!CZ36,'Nährstoffe und Lagerraum'!$D$113:$D$130)+SUMIF('Nährstoffe und Lagerraum'!$AX$137:$AX$155,'Lagerhaltung (freiwillig)'!CZ36,'Nährstoffe und Lagerraum'!$E$137:$E$155))</f>
        <v>0</v>
      </c>
      <c r="GR36" s="1184" cm="1">
        <f t="array" ref="GR36">IF(GQ36=0,0,(IFERROR(SUMPRODUCT('Nährstoffe und Lagerraum'!$D$113:$D$130,'Nährstoffe und Lagerraum'!$F$113:$F$130,('Nährstoffe und Lagerraum'!$AX$113:$AX$130='Lagerhaltung (freiwillig)'!CZ36)*1)+SUMPRODUCT('Nährstoffe und Lagerraum'!$E$137:$E$155,'Nährstoffe und Lagerraum'!$F$137:$F$155,('Nährstoffe und Lagerraum'!$AX$137:$AX$155='Lagerhaltung (freiwillig)'!CZ36)*1),0))/GQ36)</f>
        <v>0</v>
      </c>
      <c r="GS36" s="1184">
        <f t="shared" si="59"/>
        <v>0</v>
      </c>
      <c r="GT36" s="1184">
        <f t="shared" si="60"/>
        <v>0</v>
      </c>
      <c r="GU36" s="1184">
        <f t="shared" si="61"/>
        <v>0</v>
      </c>
      <c r="GV36" s="1184">
        <f t="shared" si="62"/>
        <v>0</v>
      </c>
      <c r="GW36" s="1186" t="str">
        <f t="shared" si="41"/>
        <v xml:space="preserve"> </v>
      </c>
      <c r="GX36" s="1186" t="str">
        <f t="shared" si="41"/>
        <v xml:space="preserve"> </v>
      </c>
      <c r="GY36" s="1195">
        <f t="shared" si="63"/>
        <v>0</v>
      </c>
      <c r="GZ36" s="1184">
        <f t="shared" si="64"/>
        <v>0</v>
      </c>
      <c r="HA36" s="1184" t="str">
        <f t="shared" si="44"/>
        <v>a</v>
      </c>
      <c r="HB36" s="1196">
        <f t="shared" si="65"/>
        <v>0</v>
      </c>
      <c r="HC36" s="1196">
        <f t="shared" si="66"/>
        <v>0</v>
      </c>
      <c r="HD36" s="1196"/>
      <c r="HE36" s="1187">
        <f t="shared" si="67"/>
        <v>0</v>
      </c>
      <c r="HF36" s="1196">
        <f t="shared" si="68"/>
        <v>0</v>
      </c>
      <c r="HG36" s="1196">
        <f t="shared" si="69"/>
        <v>0</v>
      </c>
      <c r="HH36" s="1196">
        <f t="shared" si="70"/>
        <v>0</v>
      </c>
      <c r="HI36" s="1328" cm="1">
        <f t="array" ref="HI36">IF(AND(HG36=0,GL36=0),0,IF(HG36=0,1,IF(OR(GL36*1000/HG36/HH36&gt;INDEX(Pflanzen!$W$5:$W$104,CZ36)/INDEX(Pflanzen!$I$5:$I$104,CZ36)*$HI$1,GL36*1000/HG36/HH36&lt;INDEX(Pflanzen!$W$5:$W$104,CZ36)/INDEX(Pflanzen!$I$5:$I$104,CZ36)/$HI$1),1,0)))</f>
        <v>0</v>
      </c>
      <c r="HJ36" s="1328" cm="1">
        <f t="array" ref="HJ36">IF(AND(GM36=0,HG36=0),0,IF(HG36=0,1,IF(OR(GM36*1000/HG36/HH36&gt;INDEX(Pflanzen!$X$5:$X$104,CZ36)/INDEX(Pflanzen!$I$5:$I$104,CZ36)*$HI$1,GM36*1000/HG36/HH36&lt;INDEX(Pflanzen!$X$5:$X$104,CZ36)/INDEX(Pflanzen!$I$5:$I$104,CZ36)/$HI$1),1,0)))</f>
        <v>0</v>
      </c>
      <c r="HK36" s="1184">
        <f t="shared" si="71"/>
        <v>3</v>
      </c>
      <c r="HL36" s="1184"/>
      <c r="HN36" s="1184"/>
      <c r="HO36" s="1193" t="str">
        <f>Tiere!B62</f>
        <v>Jungsaueneingliederung, N-/P-reduziert</v>
      </c>
      <c r="HP36" s="1184">
        <v>33</v>
      </c>
      <c r="HQ36" s="1194">
        <f>SUMIF('Nährstoffe und Lagerraum'!$BM$68:$BM$87,'Lagerhaltung (freiwillig)'!HP36,'Nährstoffe und Lagerraum'!$Z$68:$Z$87)+SUMIF('Nährstoffe und Lagerraum'!$BM$68:$BM$87,'Lagerhaltung (freiwillig)'!HP36,'Nährstoffe und Lagerraum'!$AA$68:$AA$87)</f>
        <v>0</v>
      </c>
      <c r="HR36" s="1184" cm="1">
        <f t="array" ref="HR36">INDEX(Tiere!$C$30:$C$114,'Lagerhaltung (freiwillig)'!HP36)</f>
        <v>2</v>
      </c>
      <c r="HS36" s="1184" cm="1">
        <f t="array" ref="HS36">INDEX(Tiere!$H$30:$H$114,'Lagerhaltung (freiwillig)'!HP36)</f>
        <v>0</v>
      </c>
      <c r="HT36" s="1184">
        <f t="shared" si="12"/>
        <v>0</v>
      </c>
      <c r="HU36" s="1184" cm="1">
        <f t="array" ref="HU36">INDEX(Tiere!$I$30:$I$114,'Lagerhaltung (freiwillig)'!HP36)</f>
        <v>0</v>
      </c>
      <c r="HV36" s="1184">
        <f t="shared" si="13"/>
        <v>0</v>
      </c>
      <c r="HW36" s="1184" cm="1">
        <f t="array" ref="HW36">INDEX(Tiere!$BC$30:$BC$114,'Lagerhaltung (freiwillig)'!HP36)</f>
        <v>6.5408000000000008</v>
      </c>
      <c r="HX36" s="1184">
        <f t="shared" si="14"/>
        <v>0</v>
      </c>
      <c r="HY36" s="1184" cm="1">
        <f t="array" ref="HY36">INDEX(Tiere!$BD$30:$BD$114,'Lagerhaltung (freiwillig)'!HP36)</f>
        <v>2.98935</v>
      </c>
      <c r="HZ36" s="1184">
        <f t="shared" si="15"/>
        <v>0</v>
      </c>
      <c r="IA36" s="1184"/>
      <c r="IB36" s="1184"/>
      <c r="IC36" s="1184"/>
      <c r="ID36" s="1184"/>
      <c r="IE36" s="1184"/>
      <c r="IF36" s="1184"/>
      <c r="IG36" s="1184"/>
      <c r="IH36" s="1184"/>
      <c r="II36" s="1184"/>
      <c r="IJ36" s="1184"/>
      <c r="IK36" s="1184"/>
      <c r="IL36" s="1184"/>
    </row>
    <row r="37" spans="1:247" ht="4.5" customHeight="1" x14ac:dyDescent="0.2">
      <c r="A37" s="1177"/>
      <c r="B37" s="1177"/>
      <c r="C37" s="1177"/>
      <c r="D37" s="1177"/>
      <c r="E37" s="1177"/>
      <c r="F37" s="1177"/>
      <c r="G37" s="1177"/>
      <c r="H37" s="1177"/>
      <c r="I37" s="1177"/>
      <c r="J37" s="1177"/>
      <c r="K37" s="1177"/>
      <c r="L37" s="1177"/>
      <c r="M37" s="1177"/>
      <c r="N37" s="1177"/>
      <c r="O37" s="1177"/>
      <c r="P37" s="1177"/>
      <c r="Q37" s="1177"/>
      <c r="R37" s="1177"/>
      <c r="S37" s="1177"/>
      <c r="T37" s="1177"/>
      <c r="U37" s="1177"/>
      <c r="V37" s="1346"/>
      <c r="W37" s="1177"/>
      <c r="X37" s="1177"/>
      <c r="Y37" s="1555"/>
      <c r="Z37" s="1555"/>
      <c r="AA37" s="1555"/>
      <c r="AB37" s="1555"/>
      <c r="AC37" s="1453"/>
      <c r="AD37" s="1453"/>
      <c r="AE37" s="1453"/>
      <c r="AF37" s="1453"/>
      <c r="AG37" s="1453"/>
      <c r="AH37" s="1453"/>
      <c r="AI37" s="1453"/>
      <c r="AJ37" s="1453"/>
      <c r="AK37" s="1453"/>
      <c r="AL37" s="1453"/>
      <c r="AM37" s="1453"/>
      <c r="AN37" s="1453"/>
      <c r="AO37" s="1453"/>
      <c r="AP37" s="1453"/>
      <c r="AQ37" s="1453"/>
      <c r="AR37" s="1453"/>
      <c r="AS37" s="1453"/>
      <c r="AT37" s="1453"/>
      <c r="AU37" s="1458"/>
      <c r="AV37" s="1458"/>
      <c r="AW37" s="1177"/>
      <c r="AX37" s="1177"/>
      <c r="AY37" s="1184"/>
      <c r="AZ37" s="1184"/>
      <c r="BA37" s="1194"/>
      <c r="BB37" s="1194"/>
      <c r="BC37" s="1194"/>
      <c r="BD37" s="1194"/>
      <c r="BE37" s="1343"/>
      <c r="BF37" s="1343"/>
      <c r="BG37" s="1343"/>
      <c r="BH37" s="1343"/>
      <c r="BI37" s="1343"/>
      <c r="BJ37" s="1343"/>
      <c r="BK37" s="1343"/>
      <c r="BL37" s="1343"/>
      <c r="BM37" s="1343"/>
      <c r="BN37" s="1343"/>
      <c r="BO37" s="1343"/>
      <c r="BP37" s="1279"/>
      <c r="BQ37" s="1200"/>
      <c r="BR37" s="1200"/>
      <c r="BS37" s="1200"/>
      <c r="BT37" s="1200"/>
      <c r="BU37" s="1185"/>
      <c r="BV37" s="1185"/>
      <c r="BW37" s="1200"/>
      <c r="BX37" s="1200"/>
      <c r="BY37" s="1200"/>
      <c r="BZ37" s="1200"/>
      <c r="CA37" s="1200"/>
      <c r="CB37" s="1200"/>
      <c r="CC37" s="1200"/>
      <c r="CD37" s="1200"/>
      <c r="CE37" s="1200"/>
      <c r="CF37" s="1200"/>
      <c r="CG37" s="1200"/>
      <c r="CH37" s="1200"/>
      <c r="CI37" s="1200"/>
      <c r="CJ37" s="1200"/>
      <c r="CK37" s="1200"/>
      <c r="CL37" s="1200"/>
      <c r="CM37" s="1200"/>
      <c r="CN37" s="1200"/>
      <c r="CO37" s="1200"/>
      <c r="CP37" s="1200"/>
      <c r="CQ37" s="1200"/>
      <c r="CR37" s="1200"/>
      <c r="CS37" s="1200"/>
      <c r="CT37" s="1200"/>
      <c r="CU37" s="1184"/>
      <c r="CV37" s="1184"/>
      <c r="CW37" s="1184"/>
      <c r="CX37" s="1184"/>
      <c r="CY37" s="320" t="str">
        <f>Pflanzen!A33</f>
        <v xml:space="preserve"> +++Hackfrüchte+++</v>
      </c>
      <c r="CZ37" s="1200">
        <f>IFERROR(MATCH($CY37,Pflanzen!$C$5:$C$114,0),1)</f>
        <v>29</v>
      </c>
      <c r="DA37" s="320" cm="1">
        <f t="array" ref="DA37">INDEX(Pflanzen!$H$5:$H$114,'Lagerhaltung (freiwillig)'!CZ37)</f>
        <v>0</v>
      </c>
      <c r="DB37" s="1200">
        <f t="shared" si="102"/>
        <v>0</v>
      </c>
      <c r="DC37" s="1200">
        <f t="shared" si="102"/>
        <v>0</v>
      </c>
      <c r="DD37" s="1200">
        <f t="shared" si="102"/>
        <v>0</v>
      </c>
      <c r="DE37" s="1200">
        <f t="shared" si="102"/>
        <v>0</v>
      </c>
      <c r="DF37" s="1200">
        <f t="shared" si="102"/>
        <v>0</v>
      </c>
      <c r="DG37" s="1184">
        <f t="shared" si="102"/>
        <v>0</v>
      </c>
      <c r="DH37" s="1184">
        <f t="shared" si="102"/>
        <v>0</v>
      </c>
      <c r="DI37" s="1184">
        <f t="shared" si="102"/>
        <v>0</v>
      </c>
      <c r="DJ37" s="1184">
        <f t="shared" si="102"/>
        <v>0</v>
      </c>
      <c r="DK37" s="1184">
        <f t="shared" si="102"/>
        <v>0</v>
      </c>
      <c r="DL37" s="1184">
        <f t="shared" si="102"/>
        <v>0</v>
      </c>
      <c r="DM37" s="1184">
        <f t="shared" si="102"/>
        <v>0</v>
      </c>
      <c r="DN37" s="1184"/>
      <c r="DO37" s="1184">
        <f t="shared" si="103"/>
        <v>0</v>
      </c>
      <c r="DP37" s="1184">
        <f t="shared" si="103"/>
        <v>0</v>
      </c>
      <c r="DQ37" s="1184">
        <f t="shared" si="103"/>
        <v>0</v>
      </c>
      <c r="DR37" s="1184">
        <f t="shared" si="103"/>
        <v>0</v>
      </c>
      <c r="DS37" s="1184">
        <f t="shared" si="103"/>
        <v>0</v>
      </c>
      <c r="DT37" s="1184">
        <f t="shared" si="103"/>
        <v>0</v>
      </c>
      <c r="DU37" s="1184">
        <f t="shared" si="103"/>
        <v>0</v>
      </c>
      <c r="DV37" s="1184">
        <f t="shared" si="103"/>
        <v>0</v>
      </c>
      <c r="DW37" s="1184">
        <f t="shared" si="103"/>
        <v>0</v>
      </c>
      <c r="DX37" s="1184">
        <f t="shared" si="103"/>
        <v>0</v>
      </c>
      <c r="DY37" s="1184">
        <f t="shared" si="103"/>
        <v>0</v>
      </c>
      <c r="DZ37" s="1184">
        <f t="shared" si="103"/>
        <v>0</v>
      </c>
      <c r="EA37" s="1184"/>
      <c r="EB37" s="1184">
        <f t="shared" si="104"/>
        <v>0</v>
      </c>
      <c r="EC37" s="1184">
        <f t="shared" si="104"/>
        <v>0</v>
      </c>
      <c r="ED37" s="1184">
        <f t="shared" si="104"/>
        <v>0</v>
      </c>
      <c r="EE37" s="1184">
        <f t="shared" si="104"/>
        <v>0</v>
      </c>
      <c r="EF37" s="1184">
        <f t="shared" si="104"/>
        <v>0</v>
      </c>
      <c r="EG37" s="1184">
        <f t="shared" si="104"/>
        <v>0</v>
      </c>
      <c r="EH37" s="1184">
        <f t="shared" si="104"/>
        <v>0</v>
      </c>
      <c r="EI37" s="1184">
        <f t="shared" si="104"/>
        <v>0</v>
      </c>
      <c r="EJ37" s="1184">
        <f t="shared" si="104"/>
        <v>0</v>
      </c>
      <c r="EK37" s="1184">
        <f t="shared" si="104"/>
        <v>0</v>
      </c>
      <c r="EL37" s="1184">
        <f t="shared" si="104"/>
        <v>0</v>
      </c>
      <c r="EM37" s="1184">
        <f t="shared" si="104"/>
        <v>0</v>
      </c>
      <c r="EN37" s="1184"/>
      <c r="EO37" s="1184">
        <f t="shared" si="105"/>
        <v>0</v>
      </c>
      <c r="EP37" s="1184">
        <f t="shared" si="105"/>
        <v>0</v>
      </c>
      <c r="EQ37" s="1184">
        <f t="shared" si="105"/>
        <v>0</v>
      </c>
      <c r="ER37" s="1184">
        <f t="shared" si="105"/>
        <v>0</v>
      </c>
      <c r="ES37" s="1184">
        <f t="shared" si="105"/>
        <v>0</v>
      </c>
      <c r="ET37" s="1184">
        <f t="shared" si="105"/>
        <v>0</v>
      </c>
      <c r="EU37" s="1184">
        <f t="shared" si="105"/>
        <v>0</v>
      </c>
      <c r="EV37" s="1184">
        <f t="shared" si="105"/>
        <v>0</v>
      </c>
      <c r="EW37" s="1184">
        <f t="shared" si="105"/>
        <v>0</v>
      </c>
      <c r="EX37" s="1184">
        <f t="shared" si="105"/>
        <v>0</v>
      </c>
      <c r="EY37" s="1184">
        <f t="shared" si="105"/>
        <v>0</v>
      </c>
      <c r="EZ37" s="1184">
        <f t="shared" si="105"/>
        <v>0</v>
      </c>
      <c r="FA37" s="1184"/>
      <c r="FB37" s="1186">
        <f t="shared" si="51"/>
        <v>0</v>
      </c>
      <c r="FC37" s="1184">
        <f>FB37+DB37+EB37                 -         SUMIF('Nährstoffe und Lagerraum'!$AX$113:$AX$155,$CZ37,'Nährstoffe und Lagerraum'!$U$113:$U$155)/12  -$GD37*$HE37/12</f>
        <v>0</v>
      </c>
      <c r="FD37" s="1184">
        <f>FC37+DC37+EC37                 -         SUMIF('Nährstoffe und Lagerraum'!$AX$113:$AX$155,$CZ37,'Nährstoffe und Lagerraum'!$U$113:$U$155)/12  -$GD37*$HE37/12</f>
        <v>0</v>
      </c>
      <c r="FE37" s="1184">
        <f>FD37+DD37+ED37                 -         SUMIF('Nährstoffe und Lagerraum'!$AX$113:$AX$155,$CZ37,'Nährstoffe und Lagerraum'!$U$113:$U$155)/12  -$GD37*$HE37/12</f>
        <v>0</v>
      </c>
      <c r="FF37" s="1184">
        <f>FE37+DE37+EE37                 -         SUMIF('Nährstoffe und Lagerraum'!$AX$113:$AX$155,$CZ37,'Nährstoffe und Lagerraum'!$U$113:$U$155)/12  -$GD37*$HE37/12</f>
        <v>0</v>
      </c>
      <c r="FG37" s="1184">
        <f>FF37+DF37+EF37                 -         SUMIF('Nährstoffe und Lagerraum'!$AX$113:$AX$155,$CZ37,'Nährstoffe und Lagerraum'!$U$113:$U$155)/12  -$GD37*$HE37/12</f>
        <v>0</v>
      </c>
      <c r="FH37" s="1184">
        <f>FG37+DG37+EG37                 -         SUMIF('Nährstoffe und Lagerraum'!$AX$113:$AX$155,$CZ37,'Nährstoffe und Lagerraum'!$U$113:$U$155)/12  -$GD37*$HE37/12</f>
        <v>0</v>
      </c>
      <c r="FI37" s="1184">
        <f>FH37+DH37+EH37                 -         SUMIF('Nährstoffe und Lagerraum'!$AX$113:$AX$155,$CZ37,'Nährstoffe und Lagerraum'!$U$113:$U$155)/12  -$GD37*$HE37/12</f>
        <v>0</v>
      </c>
      <c r="FJ37" s="1184">
        <f>FI37+DI37+EI37                 -         SUMIF('Nährstoffe und Lagerraum'!$AX$113:$AX$155,$CZ37,'Nährstoffe und Lagerraum'!$U$113:$U$155)/12  -$GD37*$HE37/12</f>
        <v>0</v>
      </c>
      <c r="FK37" s="1184">
        <f>FJ37+DJ37+EJ37                 -         SUMIF('Nährstoffe und Lagerraum'!$AX$113:$AX$155,$CZ37,'Nährstoffe und Lagerraum'!$U$113:$U$155)/12  -$GD37*$HE37/12</f>
        <v>0</v>
      </c>
      <c r="FL37" s="1184">
        <f>FK37+DK37+EK37                 -         SUMIF('Nährstoffe und Lagerraum'!$AX$113:$AX$155,$CZ37,'Nährstoffe und Lagerraum'!$U$113:$U$155)/12  -$GD37*$HE37/12</f>
        <v>0</v>
      </c>
      <c r="FM37" s="1184">
        <f>FL37+DL37+EL37                 -         SUMIF('Nährstoffe und Lagerraum'!$AX$113:$AX$155,$CZ37,'Nährstoffe und Lagerraum'!$U$113:$U$155)/12  -$GD37*$HE37/12</f>
        <v>0</v>
      </c>
      <c r="FN37" s="1184">
        <f>FM37+DM37+EM37                 -         SUMIF('Nährstoffe und Lagerraum'!$AX$113:$AX$155,$CZ37,'Nährstoffe und Lagerraum'!$U$113:$U$155)/12  -$GD37*$HE37/12</f>
        <v>0</v>
      </c>
      <c r="FO37" s="1184"/>
      <c r="FP37" s="1186">
        <f t="shared" si="52"/>
        <v>0</v>
      </c>
      <c r="FQ37" s="1184">
        <f>FP37+DO37+EO37                 -         SUMIF('Nährstoffe und Lagerraum'!$AX$113:$AX$155,$CZ37,'Nährstoffe und Lagerraum'!$V$113:$V$155)/12  -$GE37*$HE37/12</f>
        <v>0</v>
      </c>
      <c r="FR37" s="1184">
        <f>FQ37+DP37+EP37                 -         SUMIF('Nährstoffe und Lagerraum'!$AX$113:$AX$155,$CZ37,'Nährstoffe und Lagerraum'!$V$113:$V$155)/12  -$GE37*$HE37/12</f>
        <v>0</v>
      </c>
      <c r="FS37" s="1184">
        <f>FR37+DQ37+EQ37                 -         SUMIF('Nährstoffe und Lagerraum'!$AX$113:$AX$155,$CZ37,'Nährstoffe und Lagerraum'!$V$113:$V$155)/12  -$GE37*$HE37/12</f>
        <v>0</v>
      </c>
      <c r="FT37" s="1184">
        <f>FS37+DR37+ER37                 -         SUMIF('Nährstoffe und Lagerraum'!$AX$113:$AX$155,$CZ37,'Nährstoffe und Lagerraum'!$V$113:$V$155)/12  -$GE37*$HE37/12</f>
        <v>0</v>
      </c>
      <c r="FU37" s="1184">
        <f>FT37+DS37+ES37                 -         SUMIF('Nährstoffe und Lagerraum'!$AX$113:$AX$155,$CZ37,'Nährstoffe und Lagerraum'!$V$113:$V$155)/12  -$GE37*$HE37/12</f>
        <v>0</v>
      </c>
      <c r="FV37" s="1184">
        <f>FU37+DT37+ET37                 -         SUMIF('Nährstoffe und Lagerraum'!$AX$113:$AX$155,$CZ37,'Nährstoffe und Lagerraum'!$V$113:$V$155)/12  -$GE37*$HE37/12</f>
        <v>0</v>
      </c>
      <c r="FW37" s="1184">
        <f>FV37+DU37+EU37                 -         SUMIF('Nährstoffe und Lagerraum'!$AX$113:$AX$155,$CZ37,'Nährstoffe und Lagerraum'!$V$113:$V$155)/12  -$GE37*$HE37/12</f>
        <v>0</v>
      </c>
      <c r="FX37" s="1184">
        <f>FW37+DV37+EV37                 -         SUMIF('Nährstoffe und Lagerraum'!$AX$113:$AX$155,$CZ37,'Nährstoffe und Lagerraum'!$V$113:$V$155)/12  -$GE37*$HE37/12</f>
        <v>0</v>
      </c>
      <c r="FY37" s="1184">
        <f>FX37+DW37+EW37                 -         SUMIF('Nährstoffe und Lagerraum'!$AX$113:$AX$155,$CZ37,'Nährstoffe und Lagerraum'!$V$113:$V$155)/12  -$GE37*$HE37/12</f>
        <v>0</v>
      </c>
      <c r="FZ37" s="1184">
        <f>FY37+DX37+EX37                 -         SUMIF('Nährstoffe und Lagerraum'!$AX$113:$AX$155,$CZ37,'Nährstoffe und Lagerraum'!$V$113:$V$155)/12  -$GE37*$HE37/12</f>
        <v>0</v>
      </c>
      <c r="GA37" s="1184">
        <f>FZ37+DY37+EY37                 -         SUMIF('Nährstoffe und Lagerraum'!$AX$113:$AX$155,$CZ37,'Nährstoffe und Lagerraum'!$V$113:$V$155)/12  -$GE37*$HE37/12</f>
        <v>0</v>
      </c>
      <c r="GB37" s="1184">
        <f>GA37+DZ37+EZ37                 -         SUMIF('Nährstoffe und Lagerraum'!$AX$113:$AX$155,$CZ37,'Nährstoffe und Lagerraum'!$V$113:$V$155)/12  -$GE37*$HE37/12</f>
        <v>0</v>
      </c>
      <c r="GC37" s="1184"/>
      <c r="GD37" s="1184">
        <f>SUMIFS($CI$14:$CI$68,$BR$14:$BR$68,$CZ37)+SUMIFS($CM$14:$CM$68,$BR$14:$BR$68,$CZ37)+SUMIFS($CR$14:$CR$68,$BR$14:$BR$68,$CZ37)  -         SUMIF('Nährstoffe und Lagerraum'!$AX$113:$AX$155,$CZ37,'Nährstoffe und Lagerraum'!$U$113:$U$155)</f>
        <v>0</v>
      </c>
      <c r="GE37" s="1184">
        <f>SUMIFS($CJ$14:$CJ$68,$BR$14:$BR$68,$CZ37)+SUMIFS($CO$14:$CO$68,$BR$14:$BR$68,$CZ37)+SUMIFS($CT$14:$CT$68,$BR$14:$BR$68,$CZ37)  -         SUMIF('Nährstoffe und Lagerraum'!$AX$113:$AX$155,$CZ37,'Nährstoffe und Lagerraum'!$V$113:$V$155)</f>
        <v>0</v>
      </c>
      <c r="GF37" s="1184"/>
      <c r="GG37" s="1184"/>
      <c r="GH37" s="1184">
        <f>SUMIF('Nährstoffe und Lagerraum'!$AX$113:$AX$155,$CZ37,'Nährstoffe und Lagerraum'!$U$113:$U$155)</f>
        <v>0</v>
      </c>
      <c r="GI37" s="1184">
        <f>SUMIF('Nährstoffe und Lagerraum'!$AX$113:$AX$155,$CZ37,'Nährstoffe und Lagerraum'!$V$113:$V$155)</f>
        <v>0</v>
      </c>
      <c r="GJ37" s="1184">
        <f t="shared" si="53"/>
        <v>0</v>
      </c>
      <c r="GK37" s="1184">
        <f t="shared" si="54"/>
        <v>0</v>
      </c>
      <c r="GL37" s="1184">
        <f t="shared" si="55"/>
        <v>0</v>
      </c>
      <c r="GM37" s="1184">
        <f t="shared" si="56"/>
        <v>0</v>
      </c>
      <c r="GN37" s="1184">
        <f t="shared" si="57"/>
        <v>0</v>
      </c>
      <c r="GO37" s="1184" cm="1">
        <f t="array" ref="GO37">IF(GN37=0,0,(IFERROR(SUMPRODUCT($J$14:$J$68,$CH$14:$CH$68,($BR$14:$BR$68=CZ37)*1)+SUMPRODUCT($L$14:$L$68,$M$14:$M$68,$CK$14:$CK$68,($BR$14:$BR$68=CZ37)*1,($BT$14:$BT$68=FALSE)*1)/10+SUMPRODUCT($R$14:$R$68,$CP$14:$CP$68,($BR$14:$BR$68=CZ37)*1),0))/GN37)</f>
        <v>0</v>
      </c>
      <c r="GP37" s="1184">
        <f t="shared" si="58"/>
        <v>0</v>
      </c>
      <c r="GQ37" s="1184">
        <f>(SUMIF('Nährstoffe und Lagerraum'!$AX$113:$AX$130,'Lagerhaltung (freiwillig)'!CZ37,'Nährstoffe und Lagerraum'!$D$113:$D$130)+SUMIF('Nährstoffe und Lagerraum'!$AX$137:$AX$155,'Lagerhaltung (freiwillig)'!CZ37,'Nährstoffe und Lagerraum'!$E$137:$E$155))</f>
        <v>0</v>
      </c>
      <c r="GR37" s="1184" cm="1">
        <f t="array" ref="GR37">IF(GQ37=0,0,(IFERROR(SUMPRODUCT('Nährstoffe und Lagerraum'!$D$113:$D$130,'Nährstoffe und Lagerraum'!$F$113:$F$130,('Nährstoffe und Lagerraum'!$AX$113:$AX$130='Lagerhaltung (freiwillig)'!CZ37)*1)+SUMPRODUCT('Nährstoffe und Lagerraum'!$E$137:$E$155,'Nährstoffe und Lagerraum'!$F$137:$F$155,('Nährstoffe und Lagerraum'!$AX$137:$AX$155='Lagerhaltung (freiwillig)'!CZ37)*1),0))/GQ37)</f>
        <v>0</v>
      </c>
      <c r="GS37" s="1184">
        <f t="shared" si="59"/>
        <v>0</v>
      </c>
      <c r="GT37" s="1184">
        <f t="shared" si="60"/>
        <v>0</v>
      </c>
      <c r="GU37" s="1184">
        <f t="shared" si="61"/>
        <v>0</v>
      </c>
      <c r="GV37" s="1184">
        <f t="shared" si="62"/>
        <v>0</v>
      </c>
      <c r="GW37" s="1186" t="str">
        <f t="shared" si="41"/>
        <v xml:space="preserve"> </v>
      </c>
      <c r="GX37" s="1186" t="str">
        <f t="shared" si="41"/>
        <v xml:space="preserve"> </v>
      </c>
      <c r="GY37" s="1195">
        <f t="shared" si="63"/>
        <v>0</v>
      </c>
      <c r="GZ37" s="1184">
        <f t="shared" si="64"/>
        <v>0</v>
      </c>
      <c r="HA37" s="1184" t="str">
        <f t="shared" si="44"/>
        <v>a</v>
      </c>
      <c r="HB37" s="1196">
        <f t="shared" si="65"/>
        <v>0</v>
      </c>
      <c r="HC37" s="1196">
        <f t="shared" si="66"/>
        <v>0</v>
      </c>
      <c r="HD37" s="1196"/>
      <c r="HE37" s="1187">
        <f t="shared" si="67"/>
        <v>0</v>
      </c>
      <c r="HF37" s="1196">
        <f t="shared" si="68"/>
        <v>0</v>
      </c>
      <c r="HG37" s="1196">
        <f t="shared" si="69"/>
        <v>0</v>
      </c>
      <c r="HH37" s="1196">
        <f t="shared" si="70"/>
        <v>0</v>
      </c>
      <c r="HI37" s="1328" cm="1">
        <f t="array" ref="HI37">IF(AND(HG37=0,GL37=0),0,IF(HG37=0,1,IF(OR(GL37*1000/HG37/HH37&gt;INDEX(Pflanzen!$W$5:$W$104,CZ37)/INDEX(Pflanzen!$I$5:$I$104,CZ37)*$HI$1,GL37*1000/HG37/HH37&lt;INDEX(Pflanzen!$W$5:$W$104,CZ37)/INDEX(Pflanzen!$I$5:$I$104,CZ37)/$HI$1),1,0)))</f>
        <v>0</v>
      </c>
      <c r="HJ37" s="1328" cm="1">
        <f t="array" ref="HJ37">IF(AND(GM37=0,HG37=0),0,IF(HG37=0,1,IF(OR(GM37*1000/HG37/HH37&gt;INDEX(Pflanzen!$X$5:$X$104,CZ37)/INDEX(Pflanzen!$I$5:$I$104,CZ37)*$HI$1,GM37*1000/HG37/HH37&lt;INDEX(Pflanzen!$X$5:$X$104,CZ37)/INDEX(Pflanzen!$I$5:$I$104,CZ37)/$HI$1),1,0)))</f>
        <v>0</v>
      </c>
      <c r="HK37" s="1184">
        <f t="shared" si="71"/>
        <v>3</v>
      </c>
      <c r="HL37" s="1184"/>
      <c r="HN37" s="1184"/>
      <c r="HO37" s="1193" t="str">
        <f>Tiere!B63</f>
        <v>Mastschweine (750 g TZ), Standard</v>
      </c>
      <c r="HP37" s="1184">
        <v>34</v>
      </c>
      <c r="HQ37" s="1194">
        <f>SUMIF('Nährstoffe und Lagerraum'!$BM$68:$BM$87,'Lagerhaltung (freiwillig)'!HP37,'Nährstoffe und Lagerraum'!$Z$68:$Z$87)+SUMIF('Nährstoffe und Lagerraum'!$BM$68:$BM$87,'Lagerhaltung (freiwillig)'!HP37,'Nährstoffe und Lagerraum'!$AA$68:$AA$87)</f>
        <v>0</v>
      </c>
      <c r="HR37" s="1184" cm="1">
        <f t="array" ref="HR37">INDEX(Tiere!$C$30:$C$114,'Lagerhaltung (freiwillig)'!HP37)</f>
        <v>2</v>
      </c>
      <c r="HS37" s="1184" cm="1">
        <f t="array" ref="HS37">INDEX(Tiere!$H$30:$H$114,'Lagerhaltung (freiwillig)'!HP37)</f>
        <v>0</v>
      </c>
      <c r="HT37" s="1184">
        <f t="shared" si="12"/>
        <v>0</v>
      </c>
      <c r="HU37" s="1184" cm="1">
        <f t="array" ref="HU37">INDEX(Tiere!$I$30:$I$114,'Lagerhaltung (freiwillig)'!HP37)</f>
        <v>0</v>
      </c>
      <c r="HV37" s="1184">
        <f t="shared" si="13"/>
        <v>0</v>
      </c>
      <c r="HW37" s="1184" cm="1">
        <f t="array" ref="HW37">INDEX(Tiere!$BC$30:$BC$114,'Lagerhaltung (freiwillig)'!HP37)</f>
        <v>7.008</v>
      </c>
      <c r="HX37" s="1184">
        <f t="shared" si="14"/>
        <v>0</v>
      </c>
      <c r="HY37" s="1184" cm="1">
        <f t="array" ref="HY37">INDEX(Tiere!$BD$30:$BD$114,'Lagerhaltung (freiwillig)'!HP37)</f>
        <v>3.2028749999999997</v>
      </c>
      <c r="HZ37" s="1184">
        <f t="shared" si="15"/>
        <v>0</v>
      </c>
      <c r="IA37" s="1184"/>
      <c r="IB37" s="1184"/>
      <c r="IC37" s="1184"/>
      <c r="ID37" s="1184"/>
      <c r="IE37" s="1184"/>
      <c r="IF37" s="1184"/>
      <c r="IG37" s="1184"/>
      <c r="IH37" s="1184"/>
      <c r="II37" s="1184"/>
      <c r="IJ37" s="1184"/>
      <c r="IK37" s="1184"/>
      <c r="IL37" s="1184"/>
      <c r="IM37" s="242"/>
    </row>
    <row r="38" spans="1:247" ht="6" customHeight="1" x14ac:dyDescent="0.2">
      <c r="A38" s="1177"/>
      <c r="B38" s="1177"/>
      <c r="C38" s="1178"/>
      <c r="D38" s="1178"/>
      <c r="E38" s="1178"/>
      <c r="F38" s="15"/>
      <c r="G38" s="451"/>
      <c r="H38" s="451"/>
      <c r="I38" s="15"/>
      <c r="J38" s="15"/>
      <c r="K38" s="15"/>
      <c r="L38" s="15"/>
      <c r="M38" s="15"/>
      <c r="N38" s="1179"/>
      <c r="O38" s="1179"/>
      <c r="P38" s="1179"/>
      <c r="Q38" s="15"/>
      <c r="R38" s="15"/>
      <c r="S38" s="1179"/>
      <c r="T38" s="1179"/>
      <c r="U38" s="1178"/>
      <c r="V38" s="1178"/>
      <c r="W38" s="1177"/>
      <c r="X38" s="1177"/>
      <c r="Y38" s="1555"/>
      <c r="Z38" s="1555"/>
      <c r="AA38" s="1555"/>
      <c r="AB38" s="1555"/>
      <c r="AC38" s="1453"/>
      <c r="AD38" s="1453"/>
      <c r="AE38" s="1453"/>
      <c r="AF38" s="1453"/>
      <c r="AG38" s="1453"/>
      <c r="AH38" s="1453"/>
      <c r="AI38" s="1453"/>
      <c r="AJ38" s="1453"/>
      <c r="AK38" s="1453"/>
      <c r="AL38" s="1453"/>
      <c r="AM38" s="1453"/>
      <c r="AN38" s="1453"/>
      <c r="AO38" s="1453"/>
      <c r="AP38" s="1453"/>
      <c r="AQ38" s="1453"/>
      <c r="AR38" s="1453"/>
      <c r="AS38" s="1453"/>
      <c r="AT38" s="1453"/>
      <c r="AU38" s="1458"/>
      <c r="AV38" s="1458"/>
      <c r="AW38" s="1177"/>
      <c r="AX38" s="1177"/>
      <c r="AY38" s="1184"/>
      <c r="AZ38" s="1184"/>
      <c r="BA38" s="1194"/>
      <c r="BB38" s="1194"/>
      <c r="BC38" s="1194"/>
      <c r="BD38" s="1194"/>
      <c r="BE38" s="1343"/>
      <c r="BF38" s="1343"/>
      <c r="BG38" s="1343"/>
      <c r="BH38" s="1343"/>
      <c r="BI38" s="1343"/>
      <c r="BJ38" s="1343"/>
      <c r="BK38" s="1343"/>
      <c r="BL38" s="1343"/>
      <c r="BM38" s="1343"/>
      <c r="BN38" s="1343"/>
      <c r="BO38" s="1343"/>
      <c r="BP38" s="1279"/>
      <c r="BQ38" s="1200"/>
      <c r="BR38" s="1200"/>
      <c r="BS38" s="1200"/>
      <c r="BT38" s="1200"/>
      <c r="BU38" s="1185"/>
      <c r="BV38" s="1185"/>
      <c r="BW38" s="1200"/>
      <c r="BX38" s="1200"/>
      <c r="BY38" s="1200"/>
      <c r="BZ38" s="1200"/>
      <c r="CA38" s="1200"/>
      <c r="CB38" s="1200"/>
      <c r="CC38" s="1200"/>
      <c r="CD38" s="1200"/>
      <c r="CE38" s="1200"/>
      <c r="CF38" s="1200"/>
      <c r="CG38" s="1200"/>
      <c r="CH38" s="1200"/>
      <c r="CI38" s="1200"/>
      <c r="CJ38" s="1200"/>
      <c r="CK38" s="1200"/>
      <c r="CL38" s="1200"/>
      <c r="CM38" s="1200"/>
      <c r="CN38" s="1200"/>
      <c r="CO38" s="1200"/>
      <c r="CP38" s="1200"/>
      <c r="CQ38" s="1200"/>
      <c r="CR38" s="1200"/>
      <c r="CS38" s="1200"/>
      <c r="CT38" s="1200"/>
      <c r="CU38" s="1184"/>
      <c r="CV38" s="1184"/>
      <c r="CW38" s="1184"/>
      <c r="CX38" s="1184"/>
      <c r="CY38" s="320" t="str">
        <f>Pflanzen!A34</f>
        <v>Kartoffel (Speise, Stärke)</v>
      </c>
      <c r="CZ38" s="1200">
        <f>IFERROR(MATCH($CY38,Pflanzen!$C$5:$C$114,0),1)</f>
        <v>30</v>
      </c>
      <c r="DA38" s="320" cm="1">
        <f t="array" ref="DA38">INDEX(Pflanzen!$H$5:$H$114,'Lagerhaltung (freiwillig)'!CZ38)</f>
        <v>2</v>
      </c>
      <c r="DB38" s="1200">
        <f t="shared" si="102"/>
        <v>0</v>
      </c>
      <c r="DC38" s="1200">
        <f t="shared" si="102"/>
        <v>0</v>
      </c>
      <c r="DD38" s="1200">
        <f t="shared" si="102"/>
        <v>0</v>
      </c>
      <c r="DE38" s="1200">
        <f t="shared" si="102"/>
        <v>0</v>
      </c>
      <c r="DF38" s="1200">
        <f t="shared" si="102"/>
        <v>0</v>
      </c>
      <c r="DG38" s="1184">
        <f t="shared" si="102"/>
        <v>0</v>
      </c>
      <c r="DH38" s="1184">
        <f t="shared" si="102"/>
        <v>0</v>
      </c>
      <c r="DI38" s="1184">
        <f t="shared" si="102"/>
        <v>0</v>
      </c>
      <c r="DJ38" s="1184">
        <f t="shared" si="102"/>
        <v>0</v>
      </c>
      <c r="DK38" s="1184">
        <f t="shared" si="102"/>
        <v>0</v>
      </c>
      <c r="DL38" s="1184">
        <f t="shared" si="102"/>
        <v>0</v>
      </c>
      <c r="DM38" s="1184">
        <f t="shared" si="102"/>
        <v>0</v>
      </c>
      <c r="DN38" s="1184"/>
      <c r="DO38" s="1184">
        <f t="shared" si="103"/>
        <v>0</v>
      </c>
      <c r="DP38" s="1184">
        <f t="shared" si="103"/>
        <v>0</v>
      </c>
      <c r="DQ38" s="1184">
        <f t="shared" si="103"/>
        <v>0</v>
      </c>
      <c r="DR38" s="1184">
        <f t="shared" si="103"/>
        <v>0</v>
      </c>
      <c r="DS38" s="1184">
        <f t="shared" si="103"/>
        <v>0</v>
      </c>
      <c r="DT38" s="1184">
        <f t="shared" si="103"/>
        <v>0</v>
      </c>
      <c r="DU38" s="1184">
        <f t="shared" si="103"/>
        <v>0</v>
      </c>
      <c r="DV38" s="1184">
        <f t="shared" si="103"/>
        <v>0</v>
      </c>
      <c r="DW38" s="1184">
        <f t="shared" si="103"/>
        <v>0</v>
      </c>
      <c r="DX38" s="1184">
        <f t="shared" si="103"/>
        <v>0</v>
      </c>
      <c r="DY38" s="1184">
        <f t="shared" si="103"/>
        <v>0</v>
      </c>
      <c r="DZ38" s="1184">
        <f t="shared" si="103"/>
        <v>0</v>
      </c>
      <c r="EA38" s="1184"/>
      <c r="EB38" s="1184">
        <f t="shared" si="104"/>
        <v>0</v>
      </c>
      <c r="EC38" s="1184">
        <f t="shared" si="104"/>
        <v>0</v>
      </c>
      <c r="ED38" s="1184">
        <f t="shared" si="104"/>
        <v>0</v>
      </c>
      <c r="EE38" s="1184">
        <f t="shared" si="104"/>
        <v>0</v>
      </c>
      <c r="EF38" s="1184">
        <f t="shared" si="104"/>
        <v>0</v>
      </c>
      <c r="EG38" s="1184">
        <f t="shared" si="104"/>
        <v>0</v>
      </c>
      <c r="EH38" s="1184">
        <f t="shared" si="104"/>
        <v>0</v>
      </c>
      <c r="EI38" s="1184">
        <f t="shared" si="104"/>
        <v>0</v>
      </c>
      <c r="EJ38" s="1184">
        <f t="shared" si="104"/>
        <v>0</v>
      </c>
      <c r="EK38" s="1184">
        <f t="shared" si="104"/>
        <v>0</v>
      </c>
      <c r="EL38" s="1184">
        <f t="shared" si="104"/>
        <v>0</v>
      </c>
      <c r="EM38" s="1184">
        <f t="shared" si="104"/>
        <v>0</v>
      </c>
      <c r="EN38" s="1184"/>
      <c r="EO38" s="1184">
        <f t="shared" si="105"/>
        <v>0</v>
      </c>
      <c r="EP38" s="1184">
        <f t="shared" si="105"/>
        <v>0</v>
      </c>
      <c r="EQ38" s="1184">
        <f t="shared" si="105"/>
        <v>0</v>
      </c>
      <c r="ER38" s="1184">
        <f t="shared" si="105"/>
        <v>0</v>
      </c>
      <c r="ES38" s="1184">
        <f t="shared" si="105"/>
        <v>0</v>
      </c>
      <c r="ET38" s="1184">
        <f t="shared" si="105"/>
        <v>0</v>
      </c>
      <c r="EU38" s="1184">
        <f t="shared" si="105"/>
        <v>0</v>
      </c>
      <c r="EV38" s="1184">
        <f t="shared" si="105"/>
        <v>0</v>
      </c>
      <c r="EW38" s="1184">
        <f t="shared" si="105"/>
        <v>0</v>
      </c>
      <c r="EX38" s="1184">
        <f t="shared" si="105"/>
        <v>0</v>
      </c>
      <c r="EY38" s="1184">
        <f t="shared" si="105"/>
        <v>0</v>
      </c>
      <c r="EZ38" s="1184">
        <f t="shared" si="105"/>
        <v>0</v>
      </c>
      <c r="FA38" s="1184"/>
      <c r="FB38" s="1186">
        <f t="shared" si="51"/>
        <v>0</v>
      </c>
      <c r="FC38" s="1184">
        <f>FB38+DB38+EB38                 -         SUMIF('Nährstoffe und Lagerraum'!$AX$113:$AX$155,$CZ38,'Nährstoffe und Lagerraum'!$U$113:$U$155)/12  -$GD38*$HE38/12</f>
        <v>0</v>
      </c>
      <c r="FD38" s="1184">
        <f>FC38+DC38+EC38                 -         SUMIF('Nährstoffe und Lagerraum'!$AX$113:$AX$155,$CZ38,'Nährstoffe und Lagerraum'!$U$113:$U$155)/12  -$GD38*$HE38/12</f>
        <v>0</v>
      </c>
      <c r="FE38" s="1184">
        <f>FD38+DD38+ED38                 -         SUMIF('Nährstoffe und Lagerraum'!$AX$113:$AX$155,$CZ38,'Nährstoffe und Lagerraum'!$U$113:$U$155)/12  -$GD38*$HE38/12</f>
        <v>0</v>
      </c>
      <c r="FF38" s="1184">
        <f>FE38+DE38+EE38                 -         SUMIF('Nährstoffe und Lagerraum'!$AX$113:$AX$155,$CZ38,'Nährstoffe und Lagerraum'!$U$113:$U$155)/12  -$GD38*$HE38/12</f>
        <v>0</v>
      </c>
      <c r="FG38" s="1184">
        <f>FF38+DF38+EF38                 -         SUMIF('Nährstoffe und Lagerraum'!$AX$113:$AX$155,$CZ38,'Nährstoffe und Lagerraum'!$U$113:$U$155)/12  -$GD38*$HE38/12</f>
        <v>0</v>
      </c>
      <c r="FH38" s="1184">
        <f>FG38+DG38+EG38                 -         SUMIF('Nährstoffe und Lagerraum'!$AX$113:$AX$155,$CZ38,'Nährstoffe und Lagerraum'!$U$113:$U$155)/12  -$GD38*$HE38/12</f>
        <v>0</v>
      </c>
      <c r="FI38" s="1184">
        <f>FH38+DH38+EH38                 -         SUMIF('Nährstoffe und Lagerraum'!$AX$113:$AX$155,$CZ38,'Nährstoffe und Lagerraum'!$U$113:$U$155)/12  -$GD38*$HE38/12</f>
        <v>0</v>
      </c>
      <c r="FJ38" s="1184">
        <f>FI38+DI38+EI38                 -         SUMIF('Nährstoffe und Lagerraum'!$AX$113:$AX$155,$CZ38,'Nährstoffe und Lagerraum'!$U$113:$U$155)/12  -$GD38*$HE38/12</f>
        <v>0</v>
      </c>
      <c r="FK38" s="1184">
        <f>FJ38+DJ38+EJ38                 -         SUMIF('Nährstoffe und Lagerraum'!$AX$113:$AX$155,$CZ38,'Nährstoffe und Lagerraum'!$U$113:$U$155)/12  -$GD38*$HE38/12</f>
        <v>0</v>
      </c>
      <c r="FL38" s="1184">
        <f>FK38+DK38+EK38                 -         SUMIF('Nährstoffe und Lagerraum'!$AX$113:$AX$155,$CZ38,'Nährstoffe und Lagerraum'!$U$113:$U$155)/12  -$GD38*$HE38/12</f>
        <v>0</v>
      </c>
      <c r="FM38" s="1184">
        <f>FL38+DL38+EL38                 -         SUMIF('Nährstoffe und Lagerraum'!$AX$113:$AX$155,$CZ38,'Nährstoffe und Lagerraum'!$U$113:$U$155)/12  -$GD38*$HE38/12</f>
        <v>0</v>
      </c>
      <c r="FN38" s="1184">
        <f>FM38+DM38+EM38                 -         SUMIF('Nährstoffe und Lagerraum'!$AX$113:$AX$155,$CZ38,'Nährstoffe und Lagerraum'!$U$113:$U$155)/12  -$GD38*$HE38/12</f>
        <v>0</v>
      </c>
      <c r="FO38" s="1184"/>
      <c r="FP38" s="1186">
        <f t="shared" si="52"/>
        <v>0</v>
      </c>
      <c r="FQ38" s="1184">
        <f>FP38+DO38+EO38                 -         SUMIF('Nährstoffe und Lagerraum'!$AX$113:$AX$155,$CZ38,'Nährstoffe und Lagerraum'!$V$113:$V$155)/12  -$GE38*$HE38/12</f>
        <v>0</v>
      </c>
      <c r="FR38" s="1184">
        <f>FQ38+DP38+EP38                 -         SUMIF('Nährstoffe und Lagerraum'!$AX$113:$AX$155,$CZ38,'Nährstoffe und Lagerraum'!$V$113:$V$155)/12  -$GE38*$HE38/12</f>
        <v>0</v>
      </c>
      <c r="FS38" s="1184">
        <f>FR38+DQ38+EQ38                 -         SUMIF('Nährstoffe und Lagerraum'!$AX$113:$AX$155,$CZ38,'Nährstoffe und Lagerraum'!$V$113:$V$155)/12  -$GE38*$HE38/12</f>
        <v>0</v>
      </c>
      <c r="FT38" s="1184">
        <f>FS38+DR38+ER38                 -         SUMIF('Nährstoffe und Lagerraum'!$AX$113:$AX$155,$CZ38,'Nährstoffe und Lagerraum'!$V$113:$V$155)/12  -$GE38*$HE38/12</f>
        <v>0</v>
      </c>
      <c r="FU38" s="1184">
        <f>FT38+DS38+ES38                 -         SUMIF('Nährstoffe und Lagerraum'!$AX$113:$AX$155,$CZ38,'Nährstoffe und Lagerraum'!$V$113:$V$155)/12  -$GE38*$HE38/12</f>
        <v>0</v>
      </c>
      <c r="FV38" s="1184">
        <f>FU38+DT38+ET38                 -         SUMIF('Nährstoffe und Lagerraum'!$AX$113:$AX$155,$CZ38,'Nährstoffe und Lagerraum'!$V$113:$V$155)/12  -$GE38*$HE38/12</f>
        <v>0</v>
      </c>
      <c r="FW38" s="1184">
        <f>FV38+DU38+EU38                 -         SUMIF('Nährstoffe und Lagerraum'!$AX$113:$AX$155,$CZ38,'Nährstoffe und Lagerraum'!$V$113:$V$155)/12  -$GE38*$HE38/12</f>
        <v>0</v>
      </c>
      <c r="FX38" s="1184">
        <f>FW38+DV38+EV38                 -         SUMIF('Nährstoffe und Lagerraum'!$AX$113:$AX$155,$CZ38,'Nährstoffe und Lagerraum'!$V$113:$V$155)/12  -$GE38*$HE38/12</f>
        <v>0</v>
      </c>
      <c r="FY38" s="1184">
        <f>FX38+DW38+EW38                 -         SUMIF('Nährstoffe und Lagerraum'!$AX$113:$AX$155,$CZ38,'Nährstoffe und Lagerraum'!$V$113:$V$155)/12  -$GE38*$HE38/12</f>
        <v>0</v>
      </c>
      <c r="FZ38" s="1184">
        <f>FY38+DX38+EX38                 -         SUMIF('Nährstoffe und Lagerraum'!$AX$113:$AX$155,$CZ38,'Nährstoffe und Lagerraum'!$V$113:$V$155)/12  -$GE38*$HE38/12</f>
        <v>0</v>
      </c>
      <c r="GA38" s="1184">
        <f>FZ38+DY38+EY38                 -         SUMIF('Nährstoffe und Lagerraum'!$AX$113:$AX$155,$CZ38,'Nährstoffe und Lagerraum'!$V$113:$V$155)/12  -$GE38*$HE38/12</f>
        <v>0</v>
      </c>
      <c r="GB38" s="1184">
        <f>GA38+DZ38+EZ38                 -         SUMIF('Nährstoffe und Lagerraum'!$AX$113:$AX$155,$CZ38,'Nährstoffe und Lagerraum'!$V$113:$V$155)/12  -$GE38*$HE38/12</f>
        <v>0</v>
      </c>
      <c r="GC38" s="1184"/>
      <c r="GD38" s="1184">
        <f>SUMIFS($CI$14:$CI$68,$BR$14:$BR$68,$CZ38)+SUMIFS($CM$14:$CM$68,$BR$14:$BR$68,$CZ38)+SUMIFS($CR$14:$CR$68,$BR$14:$BR$68,$CZ38)  -         SUMIF('Nährstoffe und Lagerraum'!$AX$113:$AX$155,$CZ38,'Nährstoffe und Lagerraum'!$U$113:$U$155)</f>
        <v>0</v>
      </c>
      <c r="GE38" s="1184">
        <f>SUMIFS($CJ$14:$CJ$68,$BR$14:$BR$68,$CZ38)+SUMIFS($CO$14:$CO$68,$BR$14:$BR$68,$CZ38)+SUMIFS($CT$14:$CT$68,$BR$14:$BR$68,$CZ38)  -         SUMIF('Nährstoffe und Lagerraum'!$AX$113:$AX$155,$CZ38,'Nährstoffe und Lagerraum'!$V$113:$V$155)</f>
        <v>0</v>
      </c>
      <c r="GF38" s="1184"/>
      <c r="GG38" s="1184"/>
      <c r="GH38" s="1184">
        <f>SUMIF('Nährstoffe und Lagerraum'!$AX$113:$AX$155,$CZ38,'Nährstoffe und Lagerraum'!$U$113:$U$155)</f>
        <v>0</v>
      </c>
      <c r="GI38" s="1184">
        <f>SUMIF('Nährstoffe und Lagerraum'!$AX$113:$AX$155,$CZ38,'Nährstoffe und Lagerraum'!$V$113:$V$155)</f>
        <v>0</v>
      </c>
      <c r="GJ38" s="1184">
        <f t="shared" si="53"/>
        <v>0</v>
      </c>
      <c r="GK38" s="1184">
        <f t="shared" si="54"/>
        <v>0</v>
      </c>
      <c r="GL38" s="1184">
        <f t="shared" si="55"/>
        <v>0</v>
      </c>
      <c r="GM38" s="1184">
        <f t="shared" si="56"/>
        <v>0</v>
      </c>
      <c r="GN38" s="1184">
        <f t="shared" si="57"/>
        <v>0</v>
      </c>
      <c r="GO38" s="1184" cm="1">
        <f t="array" ref="GO38">IF(GN38=0,0,(IFERROR(SUMPRODUCT($J$14:$J$68,$CH$14:$CH$68,($BR$14:$BR$68=CZ38)*1)+SUMPRODUCT($L$14:$L$68,$M$14:$M$68,$CK$14:$CK$68,($BR$14:$BR$68=CZ38)*1,($BT$14:$BT$68=FALSE)*1)/10+SUMPRODUCT($R$14:$R$68,$CP$14:$CP$68,($BR$14:$BR$68=CZ38)*1),0))/GN38)</f>
        <v>0</v>
      </c>
      <c r="GP38" s="1184">
        <f t="shared" si="58"/>
        <v>0</v>
      </c>
      <c r="GQ38" s="1184">
        <f>(SUMIF('Nährstoffe und Lagerraum'!$AX$113:$AX$130,'Lagerhaltung (freiwillig)'!CZ38,'Nährstoffe und Lagerraum'!$D$113:$D$130)+SUMIF('Nährstoffe und Lagerraum'!$AX$137:$AX$155,'Lagerhaltung (freiwillig)'!CZ38,'Nährstoffe und Lagerraum'!$E$137:$E$155))</f>
        <v>0</v>
      </c>
      <c r="GR38" s="1184" cm="1">
        <f t="array" ref="GR38">IF(GQ38=0,0,(IFERROR(SUMPRODUCT('Nährstoffe und Lagerraum'!$D$113:$D$130,'Nährstoffe und Lagerraum'!$F$113:$F$130,('Nährstoffe und Lagerraum'!$AX$113:$AX$130='Lagerhaltung (freiwillig)'!CZ38)*1)+SUMPRODUCT('Nährstoffe und Lagerraum'!$E$137:$E$155,'Nährstoffe und Lagerraum'!$F$137:$F$155,('Nährstoffe und Lagerraum'!$AX$137:$AX$155='Lagerhaltung (freiwillig)'!CZ38)*1),0))/GQ38)</f>
        <v>0</v>
      </c>
      <c r="GS38" s="1184">
        <f t="shared" si="59"/>
        <v>0</v>
      </c>
      <c r="GT38" s="1184">
        <f t="shared" si="60"/>
        <v>0</v>
      </c>
      <c r="GU38" s="1184">
        <f t="shared" si="61"/>
        <v>0</v>
      </c>
      <c r="GV38" s="1184">
        <f t="shared" si="62"/>
        <v>0</v>
      </c>
      <c r="GW38" s="1186" t="str">
        <f t="shared" si="41"/>
        <v xml:space="preserve"> </v>
      </c>
      <c r="GX38" s="1186" t="str">
        <f t="shared" si="41"/>
        <v xml:space="preserve"> </v>
      </c>
      <c r="GY38" s="1195">
        <f t="shared" si="63"/>
        <v>0</v>
      </c>
      <c r="GZ38" s="1184">
        <f t="shared" si="64"/>
        <v>0</v>
      </c>
      <c r="HA38" s="1184" t="str">
        <f t="shared" si="44"/>
        <v>a</v>
      </c>
      <c r="HB38" s="1196">
        <f t="shared" si="65"/>
        <v>0</v>
      </c>
      <c r="HC38" s="1196">
        <f t="shared" si="66"/>
        <v>0</v>
      </c>
      <c r="HD38" s="1196"/>
      <c r="HE38" s="1187">
        <f t="shared" si="67"/>
        <v>0</v>
      </c>
      <c r="HF38" s="1196">
        <f t="shared" si="68"/>
        <v>0</v>
      </c>
      <c r="HG38" s="1196">
        <f t="shared" si="69"/>
        <v>0</v>
      </c>
      <c r="HH38" s="1196">
        <f t="shared" si="70"/>
        <v>0</v>
      </c>
      <c r="HI38" s="1328" cm="1">
        <f t="array" ref="HI38">IF(AND(HG38=0,GL38=0),0,IF(HG38=0,1,IF(OR(GL38*1000/HG38/HH38&gt;INDEX(Pflanzen!$W$5:$W$104,CZ38)/INDEX(Pflanzen!$I$5:$I$104,CZ38)*$HI$1,GL38*1000/HG38/HH38&lt;INDEX(Pflanzen!$W$5:$W$104,CZ38)/INDEX(Pflanzen!$I$5:$I$104,CZ38)/$HI$1),1,0)))</f>
        <v>0</v>
      </c>
      <c r="HJ38" s="1328" cm="1">
        <f t="array" ref="HJ38">IF(AND(GM38=0,HG38=0),0,IF(HG38=0,1,IF(OR(GM38*1000/HG38/HH38&gt;INDEX(Pflanzen!$X$5:$X$104,CZ38)/INDEX(Pflanzen!$I$5:$I$104,CZ38)*$HI$1,GM38*1000/HG38/HH38&lt;INDEX(Pflanzen!$X$5:$X$104,CZ38)/INDEX(Pflanzen!$I$5:$I$104,CZ38)/$HI$1),1,0)))</f>
        <v>0</v>
      </c>
      <c r="HK38" s="1184">
        <f t="shared" si="71"/>
        <v>3</v>
      </c>
      <c r="HL38" s="1184"/>
      <c r="HN38" s="1184"/>
      <c r="HO38" s="1193" t="str">
        <f>Tiere!B64</f>
        <v>Mastschweine (750 g TZ), N-/P-reduziert</v>
      </c>
      <c r="HP38" s="1184">
        <v>35</v>
      </c>
      <c r="HQ38" s="1194">
        <f>SUMIF('Nährstoffe und Lagerraum'!$BM$68:$BM$87,'Lagerhaltung (freiwillig)'!HP38,'Nährstoffe und Lagerraum'!$Z$68:$Z$87)+SUMIF('Nährstoffe und Lagerraum'!$BM$68:$BM$87,'Lagerhaltung (freiwillig)'!HP38,'Nährstoffe und Lagerraum'!$AA$68:$AA$87)</f>
        <v>0</v>
      </c>
      <c r="HR38" s="1184" cm="1">
        <f t="array" ref="HR38">INDEX(Tiere!$C$30:$C$114,'Lagerhaltung (freiwillig)'!HP38)</f>
        <v>2</v>
      </c>
      <c r="HS38" s="1184" cm="1">
        <f t="array" ref="HS38">INDEX(Tiere!$H$30:$H$114,'Lagerhaltung (freiwillig)'!HP38)</f>
        <v>0</v>
      </c>
      <c r="HT38" s="1184">
        <f t="shared" si="12"/>
        <v>0</v>
      </c>
      <c r="HU38" s="1184" cm="1">
        <f t="array" ref="HU38">INDEX(Tiere!$I$30:$I$114,'Lagerhaltung (freiwillig)'!HP38)</f>
        <v>0</v>
      </c>
      <c r="HV38" s="1184">
        <f t="shared" si="13"/>
        <v>0</v>
      </c>
      <c r="HW38" s="1184" cm="1">
        <f t="array" ref="HW38">INDEX(Tiere!$BC$30:$BC$114,'Lagerhaltung (freiwillig)'!HP38)</f>
        <v>7.008</v>
      </c>
      <c r="HX38" s="1184">
        <f t="shared" si="14"/>
        <v>0</v>
      </c>
      <c r="HY38" s="1184" cm="1">
        <f t="array" ref="HY38">INDEX(Tiere!$BD$30:$BD$114,'Lagerhaltung (freiwillig)'!HP38)</f>
        <v>3.2028749999999997</v>
      </c>
      <c r="HZ38" s="1184">
        <f t="shared" si="15"/>
        <v>0</v>
      </c>
      <c r="IA38" s="1184"/>
      <c r="IB38" s="1184"/>
      <c r="IC38" s="1184"/>
      <c r="ID38" s="1184"/>
      <c r="IE38" s="1184"/>
      <c r="IF38" s="1184"/>
      <c r="IG38" s="1184"/>
      <c r="IH38" s="1184"/>
      <c r="II38" s="1184"/>
      <c r="IJ38" s="1184"/>
      <c r="IK38" s="1184"/>
      <c r="IL38" s="1184"/>
      <c r="IM38" s="242"/>
    </row>
    <row r="39" spans="1:247" ht="8.25" customHeight="1" thickBot="1" x14ac:dyDescent="0.25">
      <c r="A39" s="242"/>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1555"/>
      <c r="Z39" s="1555"/>
      <c r="AA39" s="1555"/>
      <c r="AB39" s="1555"/>
      <c r="AC39" s="1453"/>
      <c r="AD39" s="1453"/>
      <c r="AE39" s="1453"/>
      <c r="AF39" s="1453"/>
      <c r="AG39" s="1453"/>
      <c r="AH39" s="1453"/>
      <c r="AI39" s="1453"/>
      <c r="AJ39" s="1453"/>
      <c r="AK39" s="1453"/>
      <c r="AL39" s="1453"/>
      <c r="AM39" s="1453"/>
      <c r="AN39" s="1453"/>
      <c r="AO39" s="1453"/>
      <c r="AP39" s="1453"/>
      <c r="AQ39" s="1453"/>
      <c r="AR39" s="1453"/>
      <c r="AS39" s="1453"/>
      <c r="AT39" s="1453"/>
      <c r="AU39" s="1458"/>
      <c r="AV39" s="1458"/>
      <c r="AW39" s="242"/>
      <c r="AX39" s="242"/>
      <c r="AY39" s="1184"/>
      <c r="AZ39" s="1184"/>
      <c r="BA39" s="1194"/>
      <c r="BB39" s="1194"/>
      <c r="BC39" s="1194"/>
      <c r="BD39" s="1194"/>
      <c r="BE39" s="1343"/>
      <c r="BF39" s="1343"/>
      <c r="BG39" s="1343"/>
      <c r="BH39" s="1343"/>
      <c r="BI39" s="1343"/>
      <c r="BJ39" s="1343"/>
      <c r="BK39" s="1343"/>
      <c r="BL39" s="1343"/>
      <c r="BM39" s="1343"/>
      <c r="BN39" s="1343"/>
      <c r="BO39" s="1343"/>
      <c r="BQ39" s="1184"/>
      <c r="BR39" s="1184"/>
      <c r="BS39" s="1184"/>
      <c r="BT39" s="1184"/>
      <c r="BU39" s="1185"/>
      <c r="BV39" s="1185"/>
      <c r="BW39" s="1184"/>
      <c r="BX39" s="1184"/>
      <c r="BY39" s="1184"/>
      <c r="BZ39" s="1184"/>
      <c r="CA39" s="1184"/>
      <c r="CB39" s="1184"/>
      <c r="CC39" s="1184"/>
      <c r="CD39" s="1184"/>
      <c r="CE39" s="1184"/>
      <c r="CF39" s="1184"/>
      <c r="CG39" s="1184"/>
      <c r="CH39" s="1184"/>
      <c r="CI39" s="1184"/>
      <c r="CJ39" s="1184"/>
      <c r="CK39" s="1184"/>
      <c r="CL39" s="1184"/>
      <c r="CM39" s="1184"/>
      <c r="CN39" s="1184"/>
      <c r="CO39" s="1184"/>
      <c r="CP39" s="1184"/>
      <c r="CQ39" s="1184"/>
      <c r="CR39" s="1184"/>
      <c r="CS39" s="1184"/>
      <c r="CT39" s="1184"/>
      <c r="CU39" s="1184"/>
      <c r="CV39" s="1184"/>
      <c r="CW39" s="1184"/>
      <c r="CX39" s="1184"/>
      <c r="CY39" s="320" t="str">
        <f>Pflanzen!A35</f>
        <v>Kartoffel (Veredelung)</v>
      </c>
      <c r="CZ39" s="1200">
        <f>IFERROR(MATCH($CY39,Pflanzen!$C$5:$C$114,0),1)</f>
        <v>31</v>
      </c>
      <c r="DA39" s="320" cm="1">
        <f t="array" ref="DA39">INDEX(Pflanzen!$H$5:$H$114,'Lagerhaltung (freiwillig)'!CZ39)</f>
        <v>2</v>
      </c>
      <c r="DB39" s="1200">
        <f t="shared" ref="DB39:DM48" si="106">SUMIFS($CQ$14:$CQ$68,$BW$14:$BW$68,1,$BX$14:$BX$68,DB$2,$BR$14:$BR$68,$CZ39)+    SUMIFS($CQ$14:$CQ$68,$BW$14:$BW$68,"&gt;1",$BX$14:$BX$68,"&lt;="&amp;DB$2,$BY$14:$BY$68,"&gt;="&amp;DB$2,$BR$14:$BR$68,$CZ39)</f>
        <v>0</v>
      </c>
      <c r="DC39" s="1200">
        <f t="shared" si="106"/>
        <v>0</v>
      </c>
      <c r="DD39" s="1200">
        <f t="shared" si="106"/>
        <v>0</v>
      </c>
      <c r="DE39" s="1200">
        <f t="shared" si="106"/>
        <v>0</v>
      </c>
      <c r="DF39" s="1200">
        <f t="shared" si="106"/>
        <v>0</v>
      </c>
      <c r="DG39" s="1184">
        <f t="shared" si="106"/>
        <v>0</v>
      </c>
      <c r="DH39" s="1184">
        <f t="shared" si="106"/>
        <v>0</v>
      </c>
      <c r="DI39" s="1184">
        <f t="shared" si="106"/>
        <v>0</v>
      </c>
      <c r="DJ39" s="1184">
        <f t="shared" si="106"/>
        <v>0</v>
      </c>
      <c r="DK39" s="1184">
        <f t="shared" si="106"/>
        <v>0</v>
      </c>
      <c r="DL39" s="1184">
        <f t="shared" si="106"/>
        <v>0</v>
      </c>
      <c r="DM39" s="1184">
        <f t="shared" si="106"/>
        <v>0</v>
      </c>
      <c r="DN39" s="1184"/>
      <c r="DO39" s="1184">
        <f t="shared" ref="DO39:DZ48" si="107">SUMIFS($CS$14:$CS$68,$BW$14:$BW$68,1,$BX$14:$BX$68,DO$2,$BR$14:$BR$68,$CZ39)+    SUMIFS($CS$14:$CS$68,$BW$14:$BW$68,"&gt;1",$BX$14:$BX$68,"&lt;="&amp;DO$2,$BY$14:$BY$68,"&gt;="&amp;DO$2,$BR$14:$BR$68,$CZ39)</f>
        <v>0</v>
      </c>
      <c r="DP39" s="1184">
        <f t="shared" si="107"/>
        <v>0</v>
      </c>
      <c r="DQ39" s="1184">
        <f t="shared" si="107"/>
        <v>0</v>
      </c>
      <c r="DR39" s="1184">
        <f t="shared" si="107"/>
        <v>0</v>
      </c>
      <c r="DS39" s="1184">
        <f t="shared" si="107"/>
        <v>0</v>
      </c>
      <c r="DT39" s="1184">
        <f t="shared" si="107"/>
        <v>0</v>
      </c>
      <c r="DU39" s="1184">
        <f t="shared" si="107"/>
        <v>0</v>
      </c>
      <c r="DV39" s="1184">
        <f t="shared" si="107"/>
        <v>0</v>
      </c>
      <c r="DW39" s="1184">
        <f t="shared" si="107"/>
        <v>0</v>
      </c>
      <c r="DX39" s="1184">
        <f t="shared" si="107"/>
        <v>0</v>
      </c>
      <c r="DY39" s="1184">
        <f t="shared" si="107"/>
        <v>0</v>
      </c>
      <c r="DZ39" s="1184">
        <f t="shared" si="107"/>
        <v>0</v>
      </c>
      <c r="EA39" s="1184"/>
      <c r="EB39" s="1184">
        <f t="shared" ref="EB39:EM48" si="108">SUMIFS($CL$14:$CL$68,$CC$14:$CC$68,1,$CD$14:$CD$68,EB$2,$BR$14:$BR$68,$CZ39)+         SUMIFS($CL$14:$CL$68,$CC$14:$CC$68,"&gt;1",$CD$14:$CD$68,"&lt;="&amp;EB$2,$CE$14:$CE$68,"&gt;="&amp;EB$2,$BR$14:$BR$68,$CZ39)</f>
        <v>0</v>
      </c>
      <c r="EC39" s="1184">
        <f t="shared" si="108"/>
        <v>0</v>
      </c>
      <c r="ED39" s="1184">
        <f t="shared" si="108"/>
        <v>0</v>
      </c>
      <c r="EE39" s="1184">
        <f t="shared" si="108"/>
        <v>0</v>
      </c>
      <c r="EF39" s="1184">
        <f t="shared" si="108"/>
        <v>0</v>
      </c>
      <c r="EG39" s="1184">
        <f t="shared" si="108"/>
        <v>0</v>
      </c>
      <c r="EH39" s="1184">
        <f t="shared" si="108"/>
        <v>0</v>
      </c>
      <c r="EI39" s="1184">
        <f t="shared" si="108"/>
        <v>0</v>
      </c>
      <c r="EJ39" s="1184">
        <f t="shared" si="108"/>
        <v>0</v>
      </c>
      <c r="EK39" s="1184">
        <f t="shared" si="108"/>
        <v>0</v>
      </c>
      <c r="EL39" s="1184">
        <f t="shared" si="108"/>
        <v>0</v>
      </c>
      <c r="EM39" s="1184">
        <f t="shared" si="108"/>
        <v>0</v>
      </c>
      <c r="EN39" s="1184"/>
      <c r="EO39" s="1184">
        <f t="shared" ref="EO39:EZ48" si="109">SUMIFS($CN$14:$CN$68,$CC$14:$CC$68,1,$CD$14:$CD$68,EO$2,$BR$14:$BR$68,$CZ39)+         SUMIFS($CN$14:$CN$68,$CC$14:$CC$68,"&gt;1",$CD$14:$CD$68,"&lt;="&amp;EO$2,$CE$14:$CE$68,"&gt;="&amp;EO$2,$BR$14:$BR$68,$CZ39)</f>
        <v>0</v>
      </c>
      <c r="EP39" s="1184">
        <f t="shared" si="109"/>
        <v>0</v>
      </c>
      <c r="EQ39" s="1184">
        <f t="shared" si="109"/>
        <v>0</v>
      </c>
      <c r="ER39" s="1184">
        <f t="shared" si="109"/>
        <v>0</v>
      </c>
      <c r="ES39" s="1184">
        <f t="shared" si="109"/>
        <v>0</v>
      </c>
      <c r="ET39" s="1184">
        <f t="shared" si="109"/>
        <v>0</v>
      </c>
      <c r="EU39" s="1184">
        <f t="shared" si="109"/>
        <v>0</v>
      </c>
      <c r="EV39" s="1184">
        <f t="shared" si="109"/>
        <v>0</v>
      </c>
      <c r="EW39" s="1184">
        <f t="shared" si="109"/>
        <v>0</v>
      </c>
      <c r="EX39" s="1184">
        <f t="shared" si="109"/>
        <v>0</v>
      </c>
      <c r="EY39" s="1184">
        <f t="shared" si="109"/>
        <v>0</v>
      </c>
      <c r="EZ39" s="1184">
        <f t="shared" si="109"/>
        <v>0</v>
      </c>
      <c r="FA39" s="1184"/>
      <c r="FB39" s="1186">
        <f t="shared" si="51"/>
        <v>0</v>
      </c>
      <c r="FC39" s="1184">
        <f>FB39+DB39+EB39                 -         SUMIF('Nährstoffe und Lagerraum'!$AX$113:$AX$155,$CZ39,'Nährstoffe und Lagerraum'!$U$113:$U$155)/12  -$GD39*$HE39/12</f>
        <v>0</v>
      </c>
      <c r="FD39" s="1184">
        <f>FC39+DC39+EC39                 -         SUMIF('Nährstoffe und Lagerraum'!$AX$113:$AX$155,$CZ39,'Nährstoffe und Lagerraum'!$U$113:$U$155)/12  -$GD39*$HE39/12</f>
        <v>0</v>
      </c>
      <c r="FE39" s="1184">
        <f>FD39+DD39+ED39                 -         SUMIF('Nährstoffe und Lagerraum'!$AX$113:$AX$155,$CZ39,'Nährstoffe und Lagerraum'!$U$113:$U$155)/12  -$GD39*$HE39/12</f>
        <v>0</v>
      </c>
      <c r="FF39" s="1184">
        <f>FE39+DE39+EE39                 -         SUMIF('Nährstoffe und Lagerraum'!$AX$113:$AX$155,$CZ39,'Nährstoffe und Lagerraum'!$U$113:$U$155)/12  -$GD39*$HE39/12</f>
        <v>0</v>
      </c>
      <c r="FG39" s="1184">
        <f>FF39+DF39+EF39                 -         SUMIF('Nährstoffe und Lagerraum'!$AX$113:$AX$155,$CZ39,'Nährstoffe und Lagerraum'!$U$113:$U$155)/12  -$GD39*$HE39/12</f>
        <v>0</v>
      </c>
      <c r="FH39" s="1184">
        <f>FG39+DG39+EG39                 -         SUMIF('Nährstoffe und Lagerraum'!$AX$113:$AX$155,$CZ39,'Nährstoffe und Lagerraum'!$U$113:$U$155)/12  -$GD39*$HE39/12</f>
        <v>0</v>
      </c>
      <c r="FI39" s="1184">
        <f>FH39+DH39+EH39                 -         SUMIF('Nährstoffe und Lagerraum'!$AX$113:$AX$155,$CZ39,'Nährstoffe und Lagerraum'!$U$113:$U$155)/12  -$GD39*$HE39/12</f>
        <v>0</v>
      </c>
      <c r="FJ39" s="1184">
        <f>FI39+DI39+EI39                 -         SUMIF('Nährstoffe und Lagerraum'!$AX$113:$AX$155,$CZ39,'Nährstoffe und Lagerraum'!$U$113:$U$155)/12  -$GD39*$HE39/12</f>
        <v>0</v>
      </c>
      <c r="FK39" s="1184">
        <f>FJ39+DJ39+EJ39                 -         SUMIF('Nährstoffe und Lagerraum'!$AX$113:$AX$155,$CZ39,'Nährstoffe und Lagerraum'!$U$113:$U$155)/12  -$GD39*$HE39/12</f>
        <v>0</v>
      </c>
      <c r="FL39" s="1184">
        <f>FK39+DK39+EK39                 -         SUMIF('Nährstoffe und Lagerraum'!$AX$113:$AX$155,$CZ39,'Nährstoffe und Lagerraum'!$U$113:$U$155)/12  -$GD39*$HE39/12</f>
        <v>0</v>
      </c>
      <c r="FM39" s="1184">
        <f>FL39+DL39+EL39                 -         SUMIF('Nährstoffe und Lagerraum'!$AX$113:$AX$155,$CZ39,'Nährstoffe und Lagerraum'!$U$113:$U$155)/12  -$GD39*$HE39/12</f>
        <v>0</v>
      </c>
      <c r="FN39" s="1184">
        <f>FM39+DM39+EM39                 -         SUMIF('Nährstoffe und Lagerraum'!$AX$113:$AX$155,$CZ39,'Nährstoffe und Lagerraum'!$U$113:$U$155)/12  -$GD39*$HE39/12</f>
        <v>0</v>
      </c>
      <c r="FO39" s="1184"/>
      <c r="FP39" s="1186">
        <f t="shared" si="52"/>
        <v>0</v>
      </c>
      <c r="FQ39" s="1184">
        <f>FP39+DO39+EO39                 -         SUMIF('Nährstoffe und Lagerraum'!$AX$113:$AX$155,$CZ39,'Nährstoffe und Lagerraum'!$V$113:$V$155)/12  -$GE39*$HE39/12</f>
        <v>0</v>
      </c>
      <c r="FR39" s="1184">
        <f>FQ39+DP39+EP39                 -         SUMIF('Nährstoffe und Lagerraum'!$AX$113:$AX$155,$CZ39,'Nährstoffe und Lagerraum'!$V$113:$V$155)/12  -$GE39*$HE39/12</f>
        <v>0</v>
      </c>
      <c r="FS39" s="1184">
        <f>FR39+DQ39+EQ39                 -         SUMIF('Nährstoffe und Lagerraum'!$AX$113:$AX$155,$CZ39,'Nährstoffe und Lagerraum'!$V$113:$V$155)/12  -$GE39*$HE39/12</f>
        <v>0</v>
      </c>
      <c r="FT39" s="1184">
        <f>FS39+DR39+ER39                 -         SUMIF('Nährstoffe und Lagerraum'!$AX$113:$AX$155,$CZ39,'Nährstoffe und Lagerraum'!$V$113:$V$155)/12  -$GE39*$HE39/12</f>
        <v>0</v>
      </c>
      <c r="FU39" s="1184">
        <f>FT39+DS39+ES39                 -         SUMIF('Nährstoffe und Lagerraum'!$AX$113:$AX$155,$CZ39,'Nährstoffe und Lagerraum'!$V$113:$V$155)/12  -$GE39*$HE39/12</f>
        <v>0</v>
      </c>
      <c r="FV39" s="1184">
        <f>FU39+DT39+ET39                 -         SUMIF('Nährstoffe und Lagerraum'!$AX$113:$AX$155,$CZ39,'Nährstoffe und Lagerraum'!$V$113:$V$155)/12  -$GE39*$HE39/12</f>
        <v>0</v>
      </c>
      <c r="FW39" s="1184">
        <f>FV39+DU39+EU39                 -         SUMIF('Nährstoffe und Lagerraum'!$AX$113:$AX$155,$CZ39,'Nährstoffe und Lagerraum'!$V$113:$V$155)/12  -$GE39*$HE39/12</f>
        <v>0</v>
      </c>
      <c r="FX39" s="1184">
        <f>FW39+DV39+EV39                 -         SUMIF('Nährstoffe und Lagerraum'!$AX$113:$AX$155,$CZ39,'Nährstoffe und Lagerraum'!$V$113:$V$155)/12  -$GE39*$HE39/12</f>
        <v>0</v>
      </c>
      <c r="FY39" s="1184">
        <f>FX39+DW39+EW39                 -         SUMIF('Nährstoffe und Lagerraum'!$AX$113:$AX$155,$CZ39,'Nährstoffe und Lagerraum'!$V$113:$V$155)/12  -$GE39*$HE39/12</f>
        <v>0</v>
      </c>
      <c r="FZ39" s="1184">
        <f>FY39+DX39+EX39                 -         SUMIF('Nährstoffe und Lagerraum'!$AX$113:$AX$155,$CZ39,'Nährstoffe und Lagerraum'!$V$113:$V$155)/12  -$GE39*$HE39/12</f>
        <v>0</v>
      </c>
      <c r="GA39" s="1184">
        <f>FZ39+DY39+EY39                 -         SUMIF('Nährstoffe und Lagerraum'!$AX$113:$AX$155,$CZ39,'Nährstoffe und Lagerraum'!$V$113:$V$155)/12  -$GE39*$HE39/12</f>
        <v>0</v>
      </c>
      <c r="GB39" s="1184">
        <f>GA39+DZ39+EZ39                 -         SUMIF('Nährstoffe und Lagerraum'!$AX$113:$AX$155,$CZ39,'Nährstoffe und Lagerraum'!$V$113:$V$155)/12  -$GE39*$HE39/12</f>
        <v>0</v>
      </c>
      <c r="GC39" s="1184"/>
      <c r="GD39" s="1184">
        <f>SUMIFS($CI$14:$CI$68,$BR$14:$BR$68,$CZ39)+SUMIFS($CM$14:$CM$68,$BR$14:$BR$68,$CZ39)+SUMIFS($CR$14:$CR$68,$BR$14:$BR$68,$CZ39)  -         SUMIF('Nährstoffe und Lagerraum'!$AX$113:$AX$155,$CZ39,'Nährstoffe und Lagerraum'!$U$113:$U$155)</f>
        <v>0</v>
      </c>
      <c r="GE39" s="1184">
        <f>SUMIFS($CJ$14:$CJ$68,$BR$14:$BR$68,$CZ39)+SUMIFS($CO$14:$CO$68,$BR$14:$BR$68,$CZ39)+SUMIFS($CT$14:$CT$68,$BR$14:$BR$68,$CZ39)  -         SUMIF('Nährstoffe und Lagerraum'!$AX$113:$AX$155,$CZ39,'Nährstoffe und Lagerraum'!$V$113:$V$155)</f>
        <v>0</v>
      </c>
      <c r="GF39" s="1184"/>
      <c r="GG39" s="1184"/>
      <c r="GH39" s="1184">
        <f>SUMIF('Nährstoffe und Lagerraum'!$AX$113:$AX$155,$CZ39,'Nährstoffe und Lagerraum'!$U$113:$U$155)</f>
        <v>0</v>
      </c>
      <c r="GI39" s="1184">
        <f>SUMIF('Nährstoffe und Lagerraum'!$AX$113:$AX$155,$CZ39,'Nährstoffe und Lagerraum'!$V$113:$V$155)</f>
        <v>0</v>
      </c>
      <c r="GJ39" s="1184">
        <f t="shared" ref="GJ39" si="110">GD39+GH39</f>
        <v>0</v>
      </c>
      <c r="GK39" s="1184">
        <f t="shared" ref="GK39" si="111">GE39+GI39</f>
        <v>0</v>
      </c>
      <c r="GL39" s="1184">
        <f t="shared" ref="GL39" si="112">GD39-GD39*HE39</f>
        <v>0</v>
      </c>
      <c r="GM39" s="1184">
        <f t="shared" ref="GM39" si="113">GE39-GE39*HE39</f>
        <v>0</v>
      </c>
      <c r="GN39" s="1184">
        <f t="shared" ref="GN39" si="114">SUMIF($BR$14:$BR$68,CZ39,$CW$14:$CW$68)</f>
        <v>0</v>
      </c>
      <c r="GO39" s="1184" cm="1">
        <f t="array" ref="GO39">IF(GN39=0,0,(IFERROR(SUMPRODUCT($J$14:$J$68,$CH$14:$CH$68,($BR$14:$BR$68=CZ39)*1)+SUMPRODUCT($L$14:$L$68,$M$14:$M$68,$CK$14:$CK$68,($BR$14:$BR$68=CZ39)*1,($BT$14:$BT$68=FALSE)*1)/10+SUMPRODUCT($R$14:$R$68,$CP$14:$CP$68,($BR$14:$BR$68=CZ39)*1),0))/GN39)</f>
        <v>0</v>
      </c>
      <c r="GP39" s="1184">
        <f t="shared" ref="GP39" si="115">GN39*GO39/100</f>
        <v>0</v>
      </c>
      <c r="GQ39" s="1184">
        <f>(SUMIF('Nährstoffe und Lagerraum'!$AX$113:$AX$130,'Lagerhaltung (freiwillig)'!CZ39,'Nährstoffe und Lagerraum'!$D$113:$D$130)+SUMIF('Nährstoffe und Lagerraum'!$AX$137:$AX$155,'Lagerhaltung (freiwillig)'!CZ39,'Nährstoffe und Lagerraum'!$E$137:$E$155))</f>
        <v>0</v>
      </c>
      <c r="GR39" s="1184" cm="1">
        <f t="array" ref="GR39">IF(GQ39=0,0,(IFERROR(SUMPRODUCT('Nährstoffe und Lagerraum'!$D$113:$D$130,'Nährstoffe und Lagerraum'!$F$113:$F$130,('Nährstoffe und Lagerraum'!$AX$113:$AX$130='Lagerhaltung (freiwillig)'!CZ39)*1)+SUMPRODUCT('Nährstoffe und Lagerraum'!$E$137:$E$155,'Nährstoffe und Lagerraum'!$F$137:$F$155,('Nährstoffe und Lagerraum'!$AX$137:$AX$155='Lagerhaltung (freiwillig)'!CZ39)*1),0))/GQ39)</f>
        <v>0</v>
      </c>
      <c r="GS39" s="1184">
        <f t="shared" ref="GS39" si="116">GQ39*GR39/100</f>
        <v>0</v>
      </c>
      <c r="GT39" s="1184">
        <f t="shared" ref="GT39" si="117">GP39-GS39</f>
        <v>0</v>
      </c>
      <c r="GU39" s="1184">
        <f t="shared" ref="GU39" si="118">IF(AND(GO39=0,GR39=0),0,IF(GO39=0,GT39/(GR39/100),GT39/(GO39/100)))</f>
        <v>0</v>
      </c>
      <c r="GV39" s="1184">
        <f t="shared" ref="GV39" si="119">IF(OR(GO39=0,GR39=0),MAX(GO39,GR39),GO39)</f>
        <v>0</v>
      </c>
      <c r="GW39" s="1186" t="str">
        <f t="shared" si="41"/>
        <v xml:space="preserve"> </v>
      </c>
      <c r="GX39" s="1186" t="str">
        <f t="shared" si="41"/>
        <v xml:space="preserve"> </v>
      </c>
      <c r="GY39" s="1195">
        <f t="shared" ref="GY39" si="120">IF(OR(HK39=3,GU39&lt;=0),0,IF(DA39=$DA$4,$GX$4/$GG$4,IF(DA39=$DA$6,$GX$6/$GG$6,0)))</f>
        <v>0</v>
      </c>
      <c r="GZ39" s="1184">
        <f t="shared" ref="GZ39" si="121">GU39*GY39</f>
        <v>0</v>
      </c>
      <c r="HA39" s="1184" t="str">
        <f t="shared" si="44"/>
        <v>a</v>
      </c>
      <c r="HB39" s="1196">
        <f t="shared" ref="HB39" si="122">IF(HA39="a",0,GD39*HE39)</f>
        <v>0</v>
      </c>
      <c r="HC39" s="1196">
        <f t="shared" ref="HC39" si="123">IF(HA39="a",0,GD39*(1-HE39))</f>
        <v>0</v>
      </c>
      <c r="HD39" s="1196"/>
      <c r="HE39" s="1187">
        <f t="shared" ref="HE39" si="124">IF(OR(HK39=3,GU39&lt;=0),0,IF(HA39&lt;&gt;"a",IF(GU39=0,0,MIN(1,HA39/GU39)),IF(DA39=$DA$4,IF($GG$4-$HC$4-$HB$4=0,0,$HD$4/($GG$4-$HC$4-$HB$4)),IF(DA39=$DA$6,IF($GG$6-$HC$6-$HB$6=0,0,$HD$6/($GG$6-$HC$6-$HB$6)),0))))</f>
        <v>0</v>
      </c>
      <c r="HF39" s="1196">
        <f t="shared" ref="HF39" si="125">MAX(0,GU39*HE39)</f>
        <v>0</v>
      </c>
      <c r="HG39" s="1196">
        <f t="shared" ref="HG39" si="126">GU39-HF39</f>
        <v>0</v>
      </c>
      <c r="HH39" s="1196">
        <f t="shared" ref="HH39" si="127">GO39</f>
        <v>0</v>
      </c>
      <c r="HI39" s="1328" cm="1">
        <f t="array" ref="HI39">IF(AND(HG39=0,GL39=0),0,IF(HG39=0,1,IF(OR(GL39*1000/HG39/HH39&gt;INDEX(Pflanzen!$W$5:$W$104,CZ39)/INDEX(Pflanzen!$I$5:$I$104,CZ39)*$HI$1,GL39*1000/HG39/HH39&lt;INDEX(Pflanzen!$W$5:$W$104,CZ39)/INDEX(Pflanzen!$I$5:$I$104,CZ39)/$HI$1),1,0)))</f>
        <v>0</v>
      </c>
      <c r="HJ39" s="1328" cm="1">
        <f t="array" ref="HJ39">IF(AND(GM39=0,HG39=0),0,IF(HG39=0,1,IF(OR(GM39*1000/HG39/HH39&gt;INDEX(Pflanzen!$X$5:$X$104,CZ39)/INDEX(Pflanzen!$I$5:$I$104,CZ39)*$HI$1,GM39*1000/HG39/HH39&lt;INDEX(Pflanzen!$X$5:$X$104,CZ39)/INDEX(Pflanzen!$I$5:$I$104,CZ39)/$HI$1),1,0)))</f>
        <v>0</v>
      </c>
      <c r="HK39" s="1184">
        <f t="shared" ref="HK39" si="128">IF(AND(GD39=0,GE39=0,GH39=0,GI39=0,GJ39=0,GK39=0),3,DA39)</f>
        <v>3</v>
      </c>
      <c r="HL39" s="1184"/>
      <c r="HN39" s="1184"/>
      <c r="HO39" s="1193" t="str">
        <f>Tiere!B65</f>
        <v>Mastschweine (750 g TZ), stark N-/P-red.*</v>
      </c>
      <c r="HP39" s="1184">
        <v>36</v>
      </c>
      <c r="HQ39" s="1194">
        <f>SUMIF('Nährstoffe und Lagerraum'!$BM$68:$BM$87,'Lagerhaltung (freiwillig)'!HP39,'Nährstoffe und Lagerraum'!$Z$68:$Z$87)+SUMIF('Nährstoffe und Lagerraum'!$BM$68:$BM$87,'Lagerhaltung (freiwillig)'!HP39,'Nährstoffe und Lagerraum'!$AA$68:$AA$87)</f>
        <v>0</v>
      </c>
      <c r="HR39" s="1184" cm="1">
        <f t="array" ref="HR39">INDEX(Tiere!$C$30:$C$114,'Lagerhaltung (freiwillig)'!HP39)</f>
        <v>2</v>
      </c>
      <c r="HS39" s="1184" cm="1">
        <f t="array" ref="HS39">INDEX(Tiere!$H$30:$H$114,'Lagerhaltung (freiwillig)'!HP39)</f>
        <v>0</v>
      </c>
      <c r="HT39" s="1184">
        <f t="shared" si="12"/>
        <v>0</v>
      </c>
      <c r="HU39" s="1184" cm="1">
        <f t="array" ref="HU39">INDEX(Tiere!$I$30:$I$114,'Lagerhaltung (freiwillig)'!HP39)</f>
        <v>0</v>
      </c>
      <c r="HV39" s="1184">
        <f t="shared" si="13"/>
        <v>0</v>
      </c>
      <c r="HW39" s="1184" cm="1">
        <f t="array" ref="HW39">INDEX(Tiere!$BC$30:$BC$114,'Lagerhaltung (freiwillig)'!HP39)</f>
        <v>7.008</v>
      </c>
      <c r="HX39" s="1184">
        <f t="shared" si="14"/>
        <v>0</v>
      </c>
      <c r="HY39" s="1184" cm="1">
        <f t="array" ref="HY39">INDEX(Tiere!$BD$30:$BD$114,'Lagerhaltung (freiwillig)'!HP39)</f>
        <v>3.2028749999999997</v>
      </c>
      <c r="HZ39" s="1184">
        <f t="shared" si="15"/>
        <v>0</v>
      </c>
      <c r="IA39" s="1184"/>
      <c r="IB39" s="1184"/>
      <c r="IC39" s="1184"/>
      <c r="ID39" s="1184"/>
      <c r="IE39" s="1184"/>
      <c r="IF39" s="1184"/>
      <c r="IG39" s="1184"/>
      <c r="IH39" s="1184"/>
      <c r="II39" s="1184"/>
      <c r="IJ39" s="1184"/>
      <c r="IK39" s="1184"/>
      <c r="IL39" s="1184"/>
      <c r="IM39" s="242"/>
    </row>
    <row r="40" spans="1:247" ht="13.5" customHeight="1" x14ac:dyDescent="0.2">
      <c r="A40" s="3037"/>
      <c r="B40" s="3041"/>
      <c r="C40" s="3041"/>
      <c r="D40" s="3041"/>
      <c r="E40" s="3041"/>
      <c r="F40" s="3039"/>
      <c r="G40" s="3039"/>
      <c r="H40" s="3038"/>
      <c r="I40" s="3037" t="s">
        <v>8273</v>
      </c>
      <c r="J40" s="3038"/>
      <c r="K40" s="3037" t="s">
        <v>1016</v>
      </c>
      <c r="L40" s="3039"/>
      <c r="M40" s="3039"/>
      <c r="N40" s="3039"/>
      <c r="O40" s="3039"/>
      <c r="P40" s="3038"/>
      <c r="Q40" s="3040" t="s">
        <v>8263</v>
      </c>
      <c r="R40" s="3041"/>
      <c r="S40" s="3041"/>
      <c r="T40" s="3042"/>
      <c r="U40" s="1298"/>
      <c r="V40" s="1300"/>
      <c r="Y40" s="1554" t="str" cm="1">
        <f t="array" ref="Y40">IFERROR(INDEX($CY$4:$CY$165,AY40),"")</f>
        <v/>
      </c>
      <c r="Z40" s="1555"/>
      <c r="AA40" s="1555"/>
      <c r="AB40" s="1555"/>
      <c r="AC40" s="1454" t="str" cm="1">
        <f t="array" ref="AC40">IFERROR(INDEX($GN$4:$GN$165,AY40),"")</f>
        <v/>
      </c>
      <c r="AD40" s="1454" t="str" cm="1">
        <f t="array" ref="AD40">IFERROR(INDEX($GO$4:$GO$165,AY40),"")</f>
        <v/>
      </c>
      <c r="AE40" s="1454" t="str" cm="1">
        <f t="array" ref="AE40">IFERROR(INDEX($GJ$4:$GJ$165,AY40),"")</f>
        <v/>
      </c>
      <c r="AF40" s="1454" t="str" cm="1">
        <f t="array" ref="AF40">IFERROR(INDEX($GK$4:$GK$165,AY40),"")</f>
        <v/>
      </c>
      <c r="AG40" s="1454" t="str" cm="1">
        <f t="array" ref="AG40">IFERROR(INDEX($GQ$4:$GQ$165,AY40),"")</f>
        <v/>
      </c>
      <c r="AH40" s="1454" t="str" cm="1">
        <f t="array" ref="AH40">IFERROR(INDEX($GR$4:$GR$165,AY40),"")</f>
        <v/>
      </c>
      <c r="AI40" s="1454" t="str" cm="1">
        <f t="array" ref="AI40">IFERROR(INDEX($GH$4:$GH$165,AY40),"")</f>
        <v/>
      </c>
      <c r="AJ40" s="1454" t="str" cm="1">
        <f t="array" ref="AJ40">IFERROR(INDEX($GI$4:$GI$165,AY40),"")</f>
        <v/>
      </c>
      <c r="AK40" s="1454" t="str" cm="1">
        <f t="array" ref="AK40">IFERROR(INDEX($GU$4:$GU$165,AY40),"")</f>
        <v/>
      </c>
      <c r="AL40" s="1455" t="str" cm="1">
        <f t="array" ref="AL40">IFERROR(INDEX($GV$4:$GV$165,AY40),"")</f>
        <v/>
      </c>
      <c r="AM40" s="1454" t="str" cm="1">
        <f t="array" ref="AM40">IFERROR(INDEX($GD$4:$GD$165,AY40),"")</f>
        <v/>
      </c>
      <c r="AN40" s="1454" t="str" cm="1">
        <f t="array" ref="AN40">IFERROR(INDEX($GE$4:$GE$165,AY40),"")</f>
        <v/>
      </c>
      <c r="AO40" s="1454" t="str" cm="1">
        <f t="array" ref="AO40">IFERROR(INDEX($GW$4:$GW$165,AY40),"")</f>
        <v/>
      </c>
      <c r="AP40" s="1454" t="str" cm="1">
        <f t="array" ref="AP40">IFERROR(INDEX($GZ$4:$GZ$165,AY40),"")</f>
        <v/>
      </c>
      <c r="AQ40" s="1457"/>
      <c r="AR40" s="1454" t="str" cm="1">
        <f t="array" ref="AR40">IFERROR(INDEX($HF$4:$HF$165,AY40),"")</f>
        <v/>
      </c>
      <c r="AS40" s="1454" t="str" cm="1">
        <f t="array" ref="AS40">IFERROR(INDEX($HG$4:$HG$165,AY40),"")</f>
        <v/>
      </c>
      <c r="AT40" s="1454" t="str" cm="1">
        <f t="array" ref="AT40">IFERROR(INDEX($HH$4:$HH$165,AY40),"")</f>
        <v/>
      </c>
      <c r="AU40" s="1454" t="str" cm="1">
        <f t="array" ref="AU40">IFERROR(INDEX($GL$4:$GL$165,AY40),"")</f>
        <v/>
      </c>
      <c r="AV40" s="1454" t="str" cm="1">
        <f t="array" ref="AV40">IFERROR(INDEX($GM$4:$GM$165,AY40),"")</f>
        <v/>
      </c>
      <c r="AY40" s="1184" t="str" cm="1">
        <f t="array" ref="AY40">IFERROR(SMALL(IF($HK$4:$HK$165=1,ROW($HK$4:$HK$165)-3),ROW(W25)),IFERROR(SMALL(IF($HK$4:$HK$165=2,ROW($HK$4:$HK$165)-3),ROW(W25)-COUNTIF($HK$4:$HK$165,1)),IFERROR(SMALL(IF($HK$4:$HK$165=0,ROW($HK$4:$HK$165)-3),ROW(W25)-COUNTIF($HK$4:$HK$165,1)-COUNTIF($HK$4:$HK$165,2)),"")))</f>
        <v/>
      </c>
      <c r="AZ40" s="1184" t="str">
        <f t="shared" ref="AZ40:AZ68" si="129">IF(AQ40="","a",AQ40)</f>
        <v>a</v>
      </c>
      <c r="BA40" s="1194" t="e">
        <f t="shared" ref="BA40:BA68" si="130">IF(AK40=" ",0,AK40-AQ40)</f>
        <v>#VALUE!</v>
      </c>
      <c r="BB40" s="1194" cm="1">
        <f t="array" ref="BB40">IFERROR(INDEX($HK$4:$HK$165,AY40),0)</f>
        <v>0</v>
      </c>
      <c r="BC40" s="1194">
        <f t="shared" ref="BC40:BC68" si="131">IFERROR(SUM(INDEX($HI$4:$HI$165,AY40),INDEX($HJ$4:$HJ$165,AY40)),0)</f>
        <v>0</v>
      </c>
      <c r="BD40" s="1194"/>
      <c r="BE40" s="1343"/>
      <c r="BF40" s="1343"/>
      <c r="BG40" s="1343"/>
      <c r="BH40" s="1343"/>
      <c r="BI40" s="1343"/>
      <c r="BJ40" s="1343"/>
      <c r="BK40" s="1343"/>
      <c r="BL40" s="1343"/>
      <c r="BM40" s="1343"/>
      <c r="BN40" s="1343"/>
      <c r="BO40" s="1343"/>
      <c r="BQ40" s="1184"/>
      <c r="BR40" s="1184"/>
      <c r="BS40" s="1184"/>
      <c r="BT40" s="1184"/>
      <c r="BU40" s="1185"/>
      <c r="BV40" s="1185"/>
      <c r="BW40" s="1184"/>
      <c r="BX40" s="1184"/>
      <c r="BY40" s="1184"/>
      <c r="BZ40" s="1184"/>
      <c r="CA40" s="1184"/>
      <c r="CB40" s="1184"/>
      <c r="CC40" s="1184"/>
      <c r="CD40" s="1184"/>
      <c r="CE40" s="1184"/>
      <c r="CF40" s="1184"/>
      <c r="CG40" s="1184"/>
      <c r="CH40" s="1184"/>
      <c r="CI40" s="1184"/>
      <c r="CJ40" s="1184"/>
      <c r="CK40" s="1184"/>
      <c r="CL40" s="1184"/>
      <c r="CM40" s="1184"/>
      <c r="CN40" s="1184"/>
      <c r="CO40" s="1184"/>
      <c r="CP40" s="1184"/>
      <c r="CQ40" s="1184"/>
      <c r="CR40" s="1184"/>
      <c r="CS40" s="1184"/>
      <c r="CT40" s="1184"/>
      <c r="CU40" s="1184"/>
      <c r="CV40" s="1184"/>
      <c r="CW40" s="1184"/>
      <c r="CX40" s="1184"/>
      <c r="CY40" s="320" t="str">
        <f>Pflanzen!A36</f>
        <v>Zuckerrüben</v>
      </c>
      <c r="CZ40" s="1200">
        <f>IFERROR(MATCH($CY40,Pflanzen!$C$5:$C$114,0),1)</f>
        <v>32</v>
      </c>
      <c r="DA40" s="320" cm="1">
        <f t="array" ref="DA40">INDEX(Pflanzen!$H$5:$H$114,'Lagerhaltung (freiwillig)'!CZ40)</f>
        <v>2</v>
      </c>
      <c r="DB40" s="1200">
        <f t="shared" si="106"/>
        <v>0</v>
      </c>
      <c r="DC40" s="1200">
        <f t="shared" si="106"/>
        <v>0</v>
      </c>
      <c r="DD40" s="1200">
        <f t="shared" si="106"/>
        <v>0</v>
      </c>
      <c r="DE40" s="1200">
        <f t="shared" si="106"/>
        <v>0</v>
      </c>
      <c r="DF40" s="1200">
        <f t="shared" si="106"/>
        <v>0</v>
      </c>
      <c r="DG40" s="1184">
        <f t="shared" si="106"/>
        <v>0</v>
      </c>
      <c r="DH40" s="1184">
        <f t="shared" si="106"/>
        <v>0</v>
      </c>
      <c r="DI40" s="1184">
        <f t="shared" si="106"/>
        <v>0</v>
      </c>
      <c r="DJ40" s="1184">
        <f t="shared" si="106"/>
        <v>0</v>
      </c>
      <c r="DK40" s="1184">
        <f t="shared" si="106"/>
        <v>0</v>
      </c>
      <c r="DL40" s="1184">
        <f t="shared" si="106"/>
        <v>0</v>
      </c>
      <c r="DM40" s="1184">
        <f t="shared" si="106"/>
        <v>0</v>
      </c>
      <c r="DN40" s="1184"/>
      <c r="DO40" s="1184">
        <f t="shared" si="107"/>
        <v>0</v>
      </c>
      <c r="DP40" s="1184">
        <f t="shared" si="107"/>
        <v>0</v>
      </c>
      <c r="DQ40" s="1184">
        <f t="shared" si="107"/>
        <v>0</v>
      </c>
      <c r="DR40" s="1184">
        <f t="shared" si="107"/>
        <v>0</v>
      </c>
      <c r="DS40" s="1184">
        <f t="shared" si="107"/>
        <v>0</v>
      </c>
      <c r="DT40" s="1184">
        <f t="shared" si="107"/>
        <v>0</v>
      </c>
      <c r="DU40" s="1184">
        <f t="shared" si="107"/>
        <v>0</v>
      </c>
      <c r="DV40" s="1184">
        <f t="shared" si="107"/>
        <v>0</v>
      </c>
      <c r="DW40" s="1184">
        <f t="shared" si="107"/>
        <v>0</v>
      </c>
      <c r="DX40" s="1184">
        <f t="shared" si="107"/>
        <v>0</v>
      </c>
      <c r="DY40" s="1184">
        <f t="shared" si="107"/>
        <v>0</v>
      </c>
      <c r="DZ40" s="1184">
        <f t="shared" si="107"/>
        <v>0</v>
      </c>
      <c r="EA40" s="1184"/>
      <c r="EB40" s="1184">
        <f t="shared" si="108"/>
        <v>0</v>
      </c>
      <c r="EC40" s="1184">
        <f t="shared" si="108"/>
        <v>0</v>
      </c>
      <c r="ED40" s="1184">
        <f t="shared" si="108"/>
        <v>0</v>
      </c>
      <c r="EE40" s="1184">
        <f t="shared" si="108"/>
        <v>0</v>
      </c>
      <c r="EF40" s="1184">
        <f t="shared" si="108"/>
        <v>0</v>
      </c>
      <c r="EG40" s="1184">
        <f t="shared" si="108"/>
        <v>0</v>
      </c>
      <c r="EH40" s="1184">
        <f t="shared" si="108"/>
        <v>0</v>
      </c>
      <c r="EI40" s="1184">
        <f t="shared" si="108"/>
        <v>0</v>
      </c>
      <c r="EJ40" s="1184">
        <f t="shared" si="108"/>
        <v>0</v>
      </c>
      <c r="EK40" s="1184">
        <f t="shared" si="108"/>
        <v>0</v>
      </c>
      <c r="EL40" s="1184">
        <f t="shared" si="108"/>
        <v>0</v>
      </c>
      <c r="EM40" s="1184">
        <f t="shared" si="108"/>
        <v>0</v>
      </c>
      <c r="EN40" s="1184"/>
      <c r="EO40" s="1184">
        <f t="shared" si="109"/>
        <v>0</v>
      </c>
      <c r="EP40" s="1184">
        <f t="shared" si="109"/>
        <v>0</v>
      </c>
      <c r="EQ40" s="1184">
        <f t="shared" si="109"/>
        <v>0</v>
      </c>
      <c r="ER40" s="1184">
        <f t="shared" si="109"/>
        <v>0</v>
      </c>
      <c r="ES40" s="1184">
        <f t="shared" si="109"/>
        <v>0</v>
      </c>
      <c r="ET40" s="1184">
        <f t="shared" si="109"/>
        <v>0</v>
      </c>
      <c r="EU40" s="1184">
        <f t="shared" si="109"/>
        <v>0</v>
      </c>
      <c r="EV40" s="1184">
        <f t="shared" si="109"/>
        <v>0</v>
      </c>
      <c r="EW40" s="1184">
        <f t="shared" si="109"/>
        <v>0</v>
      </c>
      <c r="EX40" s="1184">
        <f t="shared" si="109"/>
        <v>0</v>
      </c>
      <c r="EY40" s="1184">
        <f t="shared" si="109"/>
        <v>0</v>
      </c>
      <c r="EZ40" s="1184">
        <f t="shared" si="109"/>
        <v>0</v>
      </c>
      <c r="FA40" s="1184"/>
      <c r="FB40" s="1186">
        <f t="shared" si="51"/>
        <v>0</v>
      </c>
      <c r="FC40" s="1184">
        <f>FB40+DB40+EB40                 -         SUMIF('Nährstoffe und Lagerraum'!$AX$113:$AX$155,$CZ40,'Nährstoffe und Lagerraum'!$U$113:$U$155)/12  -$GD40*$HE40/12</f>
        <v>0</v>
      </c>
      <c r="FD40" s="1184">
        <f>FC40+DC40+EC40                 -         SUMIF('Nährstoffe und Lagerraum'!$AX$113:$AX$155,$CZ40,'Nährstoffe und Lagerraum'!$U$113:$U$155)/12  -$GD40*$HE40/12</f>
        <v>0</v>
      </c>
      <c r="FE40" s="1184">
        <f>FD40+DD40+ED40                 -         SUMIF('Nährstoffe und Lagerraum'!$AX$113:$AX$155,$CZ40,'Nährstoffe und Lagerraum'!$U$113:$U$155)/12  -$GD40*$HE40/12</f>
        <v>0</v>
      </c>
      <c r="FF40" s="1184">
        <f>FE40+DE40+EE40                 -         SUMIF('Nährstoffe und Lagerraum'!$AX$113:$AX$155,$CZ40,'Nährstoffe und Lagerraum'!$U$113:$U$155)/12  -$GD40*$HE40/12</f>
        <v>0</v>
      </c>
      <c r="FG40" s="1184">
        <f>FF40+DF40+EF40                 -         SUMIF('Nährstoffe und Lagerraum'!$AX$113:$AX$155,$CZ40,'Nährstoffe und Lagerraum'!$U$113:$U$155)/12  -$GD40*$HE40/12</f>
        <v>0</v>
      </c>
      <c r="FH40" s="1184">
        <f>FG40+DG40+EG40                 -         SUMIF('Nährstoffe und Lagerraum'!$AX$113:$AX$155,$CZ40,'Nährstoffe und Lagerraum'!$U$113:$U$155)/12  -$GD40*$HE40/12</f>
        <v>0</v>
      </c>
      <c r="FI40" s="1184">
        <f>FH40+DH40+EH40                 -         SUMIF('Nährstoffe und Lagerraum'!$AX$113:$AX$155,$CZ40,'Nährstoffe und Lagerraum'!$U$113:$U$155)/12  -$GD40*$HE40/12</f>
        <v>0</v>
      </c>
      <c r="FJ40" s="1184">
        <f>FI40+DI40+EI40                 -         SUMIF('Nährstoffe und Lagerraum'!$AX$113:$AX$155,$CZ40,'Nährstoffe und Lagerraum'!$U$113:$U$155)/12  -$GD40*$HE40/12</f>
        <v>0</v>
      </c>
      <c r="FK40" s="1184">
        <f>FJ40+DJ40+EJ40                 -         SUMIF('Nährstoffe und Lagerraum'!$AX$113:$AX$155,$CZ40,'Nährstoffe und Lagerraum'!$U$113:$U$155)/12  -$GD40*$HE40/12</f>
        <v>0</v>
      </c>
      <c r="FL40" s="1184">
        <f>FK40+DK40+EK40                 -         SUMIF('Nährstoffe und Lagerraum'!$AX$113:$AX$155,$CZ40,'Nährstoffe und Lagerraum'!$U$113:$U$155)/12  -$GD40*$HE40/12</f>
        <v>0</v>
      </c>
      <c r="FM40" s="1184">
        <f>FL40+DL40+EL40                 -         SUMIF('Nährstoffe und Lagerraum'!$AX$113:$AX$155,$CZ40,'Nährstoffe und Lagerraum'!$U$113:$U$155)/12  -$GD40*$HE40/12</f>
        <v>0</v>
      </c>
      <c r="FN40" s="1184">
        <f>FM40+DM40+EM40                 -         SUMIF('Nährstoffe und Lagerraum'!$AX$113:$AX$155,$CZ40,'Nährstoffe und Lagerraum'!$U$113:$U$155)/12  -$GD40*$HE40/12</f>
        <v>0</v>
      </c>
      <c r="FO40" s="1184"/>
      <c r="FP40" s="1186">
        <f t="shared" si="52"/>
        <v>0</v>
      </c>
      <c r="FQ40" s="1184">
        <f>FP40+DO40+EO40                 -         SUMIF('Nährstoffe und Lagerraum'!$AX$113:$AX$155,$CZ40,'Nährstoffe und Lagerraum'!$V$113:$V$155)/12  -$GE40*$HE40/12</f>
        <v>0</v>
      </c>
      <c r="FR40" s="1184">
        <f>FQ40+DP40+EP40                 -         SUMIF('Nährstoffe und Lagerraum'!$AX$113:$AX$155,$CZ40,'Nährstoffe und Lagerraum'!$V$113:$V$155)/12  -$GE40*$HE40/12</f>
        <v>0</v>
      </c>
      <c r="FS40" s="1184">
        <f>FR40+DQ40+EQ40                 -         SUMIF('Nährstoffe und Lagerraum'!$AX$113:$AX$155,$CZ40,'Nährstoffe und Lagerraum'!$V$113:$V$155)/12  -$GE40*$HE40/12</f>
        <v>0</v>
      </c>
      <c r="FT40" s="1184">
        <f>FS40+DR40+ER40                 -         SUMIF('Nährstoffe und Lagerraum'!$AX$113:$AX$155,$CZ40,'Nährstoffe und Lagerraum'!$V$113:$V$155)/12  -$GE40*$HE40/12</f>
        <v>0</v>
      </c>
      <c r="FU40" s="1184">
        <f>FT40+DS40+ES40                 -         SUMIF('Nährstoffe und Lagerraum'!$AX$113:$AX$155,$CZ40,'Nährstoffe und Lagerraum'!$V$113:$V$155)/12  -$GE40*$HE40/12</f>
        <v>0</v>
      </c>
      <c r="FV40" s="1184">
        <f>FU40+DT40+ET40                 -         SUMIF('Nährstoffe und Lagerraum'!$AX$113:$AX$155,$CZ40,'Nährstoffe und Lagerraum'!$V$113:$V$155)/12  -$GE40*$HE40/12</f>
        <v>0</v>
      </c>
      <c r="FW40" s="1184">
        <f>FV40+DU40+EU40                 -         SUMIF('Nährstoffe und Lagerraum'!$AX$113:$AX$155,$CZ40,'Nährstoffe und Lagerraum'!$V$113:$V$155)/12  -$GE40*$HE40/12</f>
        <v>0</v>
      </c>
      <c r="FX40" s="1184">
        <f>FW40+DV40+EV40                 -         SUMIF('Nährstoffe und Lagerraum'!$AX$113:$AX$155,$CZ40,'Nährstoffe und Lagerraum'!$V$113:$V$155)/12  -$GE40*$HE40/12</f>
        <v>0</v>
      </c>
      <c r="FY40" s="1184">
        <f>FX40+DW40+EW40                 -         SUMIF('Nährstoffe und Lagerraum'!$AX$113:$AX$155,$CZ40,'Nährstoffe und Lagerraum'!$V$113:$V$155)/12  -$GE40*$HE40/12</f>
        <v>0</v>
      </c>
      <c r="FZ40" s="1184">
        <f>FY40+DX40+EX40                 -         SUMIF('Nährstoffe und Lagerraum'!$AX$113:$AX$155,$CZ40,'Nährstoffe und Lagerraum'!$V$113:$V$155)/12  -$GE40*$HE40/12</f>
        <v>0</v>
      </c>
      <c r="GA40" s="1184">
        <f>FZ40+DY40+EY40                 -         SUMIF('Nährstoffe und Lagerraum'!$AX$113:$AX$155,$CZ40,'Nährstoffe und Lagerraum'!$V$113:$V$155)/12  -$GE40*$HE40/12</f>
        <v>0</v>
      </c>
      <c r="GB40" s="1184">
        <f>GA40+DZ40+EZ40                 -         SUMIF('Nährstoffe und Lagerraum'!$AX$113:$AX$155,$CZ40,'Nährstoffe und Lagerraum'!$V$113:$V$155)/12  -$GE40*$HE40/12</f>
        <v>0</v>
      </c>
      <c r="GC40" s="1184"/>
      <c r="GD40" s="1184">
        <f>SUMIFS($CI$14:$CI$68,$BR$14:$BR$68,$CZ40)+SUMIFS($CM$14:$CM$68,$BR$14:$BR$68,$CZ40)+SUMIFS($CR$14:$CR$68,$BR$14:$BR$68,$CZ40)  -         SUMIF('Nährstoffe und Lagerraum'!$AX$113:$AX$155,$CZ40,'Nährstoffe und Lagerraum'!$U$113:$U$155)</f>
        <v>0</v>
      </c>
      <c r="GE40" s="1184">
        <f>SUMIFS($CJ$14:$CJ$68,$BR$14:$BR$68,$CZ40)+SUMIFS($CO$14:$CO$68,$BR$14:$BR$68,$CZ40)+SUMIFS($CT$14:$CT$68,$BR$14:$BR$68,$CZ40)  -         SUMIF('Nährstoffe und Lagerraum'!$AX$113:$AX$155,$CZ40,'Nährstoffe und Lagerraum'!$V$113:$V$155)</f>
        <v>0</v>
      </c>
      <c r="GF40" s="1184"/>
      <c r="GG40" s="1184"/>
      <c r="GH40" s="1184">
        <f>SUMIF('Nährstoffe und Lagerraum'!$AX$113:$AX$155,$CZ40,'Nährstoffe und Lagerraum'!$U$113:$U$155)</f>
        <v>0</v>
      </c>
      <c r="GI40" s="1184">
        <f>SUMIF('Nährstoffe und Lagerraum'!$AX$113:$AX$155,$CZ40,'Nährstoffe und Lagerraum'!$V$113:$V$155)</f>
        <v>0</v>
      </c>
      <c r="GJ40" s="1184">
        <f t="shared" si="53"/>
        <v>0</v>
      </c>
      <c r="GK40" s="1184">
        <f t="shared" si="54"/>
        <v>0</v>
      </c>
      <c r="GL40" s="1184">
        <f t="shared" si="55"/>
        <v>0</v>
      </c>
      <c r="GM40" s="1184">
        <f t="shared" si="56"/>
        <v>0</v>
      </c>
      <c r="GN40" s="1184">
        <f t="shared" si="57"/>
        <v>0</v>
      </c>
      <c r="GO40" s="1184" cm="1">
        <f t="array" ref="GO40">IF(GN40=0,0,(IFERROR(SUMPRODUCT($J$14:$J$68,$CH$14:$CH$68,($BR$14:$BR$68=CZ40)*1)+SUMPRODUCT($L$14:$L$68,$M$14:$M$68,$CK$14:$CK$68,($BR$14:$BR$68=CZ40)*1,($BT$14:$BT$68=FALSE)*1)/10+SUMPRODUCT($R$14:$R$68,$CP$14:$CP$68,($BR$14:$BR$68=CZ40)*1),0))/GN40)</f>
        <v>0</v>
      </c>
      <c r="GP40" s="1184">
        <f t="shared" si="58"/>
        <v>0</v>
      </c>
      <c r="GQ40" s="1184">
        <f>(SUMIF('Nährstoffe und Lagerraum'!$AX$113:$AX$130,'Lagerhaltung (freiwillig)'!CZ40,'Nährstoffe und Lagerraum'!$D$113:$D$130)+SUMIF('Nährstoffe und Lagerraum'!$AX$137:$AX$155,'Lagerhaltung (freiwillig)'!CZ40,'Nährstoffe und Lagerraum'!$E$137:$E$155))</f>
        <v>0</v>
      </c>
      <c r="GR40" s="1184" cm="1">
        <f t="array" ref="GR40">IF(GQ40=0,0,(IFERROR(SUMPRODUCT('Nährstoffe und Lagerraum'!$D$113:$D$130,'Nährstoffe und Lagerraum'!$F$113:$F$130,('Nährstoffe und Lagerraum'!$AX$113:$AX$130='Lagerhaltung (freiwillig)'!CZ40)*1)+SUMPRODUCT('Nährstoffe und Lagerraum'!$E$137:$E$155,'Nährstoffe und Lagerraum'!$F$137:$F$155,('Nährstoffe und Lagerraum'!$AX$137:$AX$155='Lagerhaltung (freiwillig)'!CZ40)*1),0))/GQ40)</f>
        <v>0</v>
      </c>
      <c r="GS40" s="1184">
        <f t="shared" si="59"/>
        <v>0</v>
      </c>
      <c r="GT40" s="1184">
        <f t="shared" si="60"/>
        <v>0</v>
      </c>
      <c r="GU40" s="1184">
        <f t="shared" si="61"/>
        <v>0</v>
      </c>
      <c r="GV40" s="1184">
        <f t="shared" si="62"/>
        <v>0</v>
      </c>
      <c r="GW40" s="1186" t="str">
        <f t="shared" si="41"/>
        <v xml:space="preserve"> </v>
      </c>
      <c r="GX40" s="1186" t="str">
        <f t="shared" si="41"/>
        <v xml:space="preserve"> </v>
      </c>
      <c r="GY40" s="1195">
        <f t="shared" si="63"/>
        <v>0</v>
      </c>
      <c r="GZ40" s="1184">
        <f t="shared" si="64"/>
        <v>0</v>
      </c>
      <c r="HA40" s="1184" t="str">
        <f t="shared" si="44"/>
        <v>a</v>
      </c>
      <c r="HB40" s="1196">
        <f t="shared" si="65"/>
        <v>0</v>
      </c>
      <c r="HC40" s="1196">
        <f t="shared" si="66"/>
        <v>0</v>
      </c>
      <c r="HD40" s="1196"/>
      <c r="HE40" s="1187">
        <f t="shared" si="67"/>
        <v>0</v>
      </c>
      <c r="HF40" s="1196">
        <f t="shared" si="68"/>
        <v>0</v>
      </c>
      <c r="HG40" s="1196">
        <f t="shared" si="69"/>
        <v>0</v>
      </c>
      <c r="HH40" s="1196">
        <f t="shared" si="70"/>
        <v>0</v>
      </c>
      <c r="HI40" s="1328" cm="1">
        <f t="array" ref="HI40">IF(AND(HG40=0,GL40=0),0,IF(HG40=0,1,IF(OR(GL40*1000/HG40/HH40&gt;INDEX(Pflanzen!$W$5:$W$104,CZ40)/INDEX(Pflanzen!$I$5:$I$104,CZ40)*$HI$1,GL40*1000/HG40/HH40&lt;INDEX(Pflanzen!$W$5:$W$104,CZ40)/INDEX(Pflanzen!$I$5:$I$104,CZ40)/$HI$1),1,0)))</f>
        <v>0</v>
      </c>
      <c r="HJ40" s="1328" cm="1">
        <f t="array" ref="HJ40">IF(AND(GM40=0,HG40=0),0,IF(HG40=0,1,IF(OR(GM40*1000/HG40/HH40&gt;INDEX(Pflanzen!$X$5:$X$104,CZ40)/INDEX(Pflanzen!$I$5:$I$104,CZ40)*$HI$1,GM40*1000/HG40/HH40&lt;INDEX(Pflanzen!$X$5:$X$104,CZ40)/INDEX(Pflanzen!$I$5:$I$104,CZ40)/$HI$1),1,0)))</f>
        <v>0</v>
      </c>
      <c r="HK40" s="1184">
        <f t="shared" si="71"/>
        <v>3</v>
      </c>
      <c r="HL40" s="1184"/>
      <c r="HN40" s="1184"/>
      <c r="HO40" s="1193" t="str">
        <f>Tiere!B66</f>
        <v>Mastschweine (750 g TZ), sehr stark N-/P-red.*</v>
      </c>
      <c r="HP40" s="1184">
        <v>37</v>
      </c>
      <c r="HQ40" s="1194">
        <f>SUMIF('Nährstoffe und Lagerraum'!$BM$68:$BM$87,'Lagerhaltung (freiwillig)'!HP40,'Nährstoffe und Lagerraum'!$Z$68:$Z$87)+SUMIF('Nährstoffe und Lagerraum'!$BM$68:$BM$87,'Lagerhaltung (freiwillig)'!HP40,'Nährstoffe und Lagerraum'!$AA$68:$AA$87)</f>
        <v>0</v>
      </c>
      <c r="HR40" s="1184" cm="1">
        <f t="array" ref="HR40">INDEX(Tiere!$C$30:$C$114,'Lagerhaltung (freiwillig)'!HP40)</f>
        <v>2</v>
      </c>
      <c r="HS40" s="1184" cm="1">
        <f t="array" ref="HS40">INDEX(Tiere!$H$30:$H$114,'Lagerhaltung (freiwillig)'!HP40)</f>
        <v>0</v>
      </c>
      <c r="HT40" s="1184">
        <f t="shared" si="12"/>
        <v>0</v>
      </c>
      <c r="HU40" s="1184" cm="1">
        <f t="array" ref="HU40">INDEX(Tiere!$I$30:$I$114,'Lagerhaltung (freiwillig)'!HP40)</f>
        <v>0</v>
      </c>
      <c r="HV40" s="1184">
        <f t="shared" si="13"/>
        <v>0</v>
      </c>
      <c r="HW40" s="1184" cm="1">
        <f t="array" ref="HW40">INDEX(Tiere!$BC$30:$BC$114,'Lagerhaltung (freiwillig)'!HP40)</f>
        <v>7.008</v>
      </c>
      <c r="HX40" s="1184">
        <f t="shared" si="14"/>
        <v>0</v>
      </c>
      <c r="HY40" s="1184" cm="1">
        <f t="array" ref="HY40">INDEX(Tiere!$BD$30:$BD$114,'Lagerhaltung (freiwillig)'!HP40)</f>
        <v>3.2028749999999997</v>
      </c>
      <c r="HZ40" s="1184">
        <f t="shared" si="15"/>
        <v>0</v>
      </c>
      <c r="IA40" s="1184"/>
      <c r="IB40" s="1184"/>
      <c r="IC40" s="1184"/>
      <c r="ID40" s="1184"/>
      <c r="IE40" s="1184"/>
      <c r="IF40" s="1184"/>
      <c r="IG40" s="1184"/>
      <c r="IH40" s="1184"/>
      <c r="II40" s="1184"/>
      <c r="IJ40" s="1184"/>
      <c r="IK40" s="1184"/>
      <c r="IL40" s="1184"/>
    </row>
    <row r="41" spans="1:247" ht="16.5" customHeight="1" x14ac:dyDescent="0.2">
      <c r="A41" s="3028" t="s">
        <v>8326</v>
      </c>
      <c r="B41" s="3029"/>
      <c r="C41" s="3029"/>
      <c r="D41" s="3029"/>
      <c r="E41" s="3030"/>
      <c r="F41" s="3017" t="s">
        <v>1014</v>
      </c>
      <c r="G41" s="1157" t="s">
        <v>4</v>
      </c>
      <c r="H41" s="1158" t="s">
        <v>427</v>
      </c>
      <c r="I41" s="3017" t="s">
        <v>1028</v>
      </c>
      <c r="J41" s="3049" t="s">
        <v>1015</v>
      </c>
      <c r="K41" s="3017" t="s">
        <v>1028</v>
      </c>
      <c r="L41" s="3010" t="s">
        <v>1017</v>
      </c>
      <c r="M41" s="3010" t="s">
        <v>1018</v>
      </c>
      <c r="N41" s="3046" t="s">
        <v>8268</v>
      </c>
      <c r="O41" s="3058"/>
      <c r="P41" s="3063" t="s">
        <v>942</v>
      </c>
      <c r="Q41" s="3017" t="s">
        <v>1028</v>
      </c>
      <c r="R41" s="3010" t="s">
        <v>8239</v>
      </c>
      <c r="S41" s="3046" t="s">
        <v>8274</v>
      </c>
      <c r="T41" s="3047"/>
      <c r="U41" s="1299"/>
      <c r="V41" s="1301"/>
      <c r="Y41" s="1554" t="str" cm="1">
        <f t="array" ref="Y41">IFERROR(INDEX($CY$4:$CY$165,AY41),"")</f>
        <v/>
      </c>
      <c r="Z41" s="1555"/>
      <c r="AA41" s="1555"/>
      <c r="AB41" s="1555"/>
      <c r="AC41" s="1454" t="str" cm="1">
        <f t="array" ref="AC41">IFERROR(INDEX($GN$4:$GN$165,AY41),"")</f>
        <v/>
      </c>
      <c r="AD41" s="1454" t="str" cm="1">
        <f t="array" ref="AD41">IFERROR(INDEX($GO$4:$GO$165,AY41),"")</f>
        <v/>
      </c>
      <c r="AE41" s="1454" t="str" cm="1">
        <f t="array" ref="AE41">IFERROR(INDEX($GJ$4:$GJ$165,AY41),"")</f>
        <v/>
      </c>
      <c r="AF41" s="1454" t="str" cm="1">
        <f t="array" ref="AF41">IFERROR(INDEX($GK$4:$GK$165,AY41),"")</f>
        <v/>
      </c>
      <c r="AG41" s="1454" t="str" cm="1">
        <f t="array" ref="AG41">IFERROR(INDEX($GQ$4:$GQ$165,AY41),"")</f>
        <v/>
      </c>
      <c r="AH41" s="1454" t="str" cm="1">
        <f t="array" ref="AH41">IFERROR(INDEX($GR$4:$GR$165,AY41),"")</f>
        <v/>
      </c>
      <c r="AI41" s="1454" t="str" cm="1">
        <f t="array" ref="AI41">IFERROR(INDEX($GH$4:$GH$165,AY41),"")</f>
        <v/>
      </c>
      <c r="AJ41" s="1454" t="str" cm="1">
        <f t="array" ref="AJ41">IFERROR(INDEX($GI$4:$GI$165,AY41),"")</f>
        <v/>
      </c>
      <c r="AK41" s="1454" t="str" cm="1">
        <f t="array" ref="AK41">IFERROR(INDEX($GU$4:$GU$165,AY41),"")</f>
        <v/>
      </c>
      <c r="AL41" s="1455" t="str" cm="1">
        <f t="array" ref="AL41">IFERROR(INDEX($GV$4:$GV$165,AY41),"")</f>
        <v/>
      </c>
      <c r="AM41" s="1454" t="str" cm="1">
        <f t="array" ref="AM41">IFERROR(INDEX($GD$4:$GD$165,AY41),"")</f>
        <v/>
      </c>
      <c r="AN41" s="1454" t="str" cm="1">
        <f t="array" ref="AN41">IFERROR(INDEX($GE$4:$GE$165,AY41),"")</f>
        <v/>
      </c>
      <c r="AO41" s="1454" t="str" cm="1">
        <f t="array" ref="AO41">IFERROR(INDEX($GW$4:$GW$165,AY41),"")</f>
        <v/>
      </c>
      <c r="AP41" s="1454" t="str" cm="1">
        <f t="array" ref="AP41">IFERROR(INDEX($GZ$4:$GZ$165,AY41),"")</f>
        <v/>
      </c>
      <c r="AQ41" s="1457"/>
      <c r="AR41" s="1454" t="str" cm="1">
        <f t="array" ref="AR41">IFERROR(INDEX($HF$4:$HF$165,AY41),"")</f>
        <v/>
      </c>
      <c r="AS41" s="1454" t="str" cm="1">
        <f t="array" ref="AS41">IFERROR(INDEX($HG$4:$HG$165,AY41),"")</f>
        <v/>
      </c>
      <c r="AT41" s="1454" t="str" cm="1">
        <f t="array" ref="AT41">IFERROR(INDEX($HH$4:$HH$165,AY41),"")</f>
        <v/>
      </c>
      <c r="AU41" s="1454" t="str" cm="1">
        <f t="array" ref="AU41">IFERROR(INDEX($GL$4:$GL$165,AY41),"")</f>
        <v/>
      </c>
      <c r="AV41" s="1454" t="str" cm="1">
        <f t="array" ref="AV41">IFERROR(INDEX($GM$4:$GM$165,AY41),"")</f>
        <v/>
      </c>
      <c r="AY41" s="1184" t="str" cm="1">
        <f t="array" ref="AY41">IFERROR(SMALL(IF($HK$4:$HK$165=1,ROW($HK$4:$HK$165)-3),ROW(W26)),IFERROR(SMALL(IF($HK$4:$HK$165=2,ROW($HK$4:$HK$165)-3),ROW(W26)-COUNTIF($HK$4:$HK$165,1)),IFERROR(SMALL(IF($HK$4:$HK$165=0,ROW($HK$4:$HK$165)-3),ROW(W26)-COUNTIF($HK$4:$HK$165,1)-COUNTIF($HK$4:$HK$165,2)),"")))</f>
        <v/>
      </c>
      <c r="AZ41" s="1184" t="str">
        <f t="shared" si="129"/>
        <v>a</v>
      </c>
      <c r="BA41" s="1194" t="e">
        <f t="shared" si="130"/>
        <v>#VALUE!</v>
      </c>
      <c r="BB41" s="1194" cm="1">
        <f t="array" ref="BB41">IFERROR(INDEX($HK$4:$HK$165,AY41),0)</f>
        <v>0</v>
      </c>
      <c r="BC41" s="1194">
        <f t="shared" si="131"/>
        <v>0</v>
      </c>
      <c r="BD41" s="1194"/>
      <c r="BE41" s="1343"/>
      <c r="BF41" s="1343"/>
      <c r="BG41" s="1343"/>
      <c r="BH41" s="1343"/>
      <c r="BI41" s="1343"/>
      <c r="BJ41" s="1343"/>
      <c r="BK41" s="1343"/>
      <c r="BL41" s="1343"/>
      <c r="BM41" s="1343"/>
      <c r="BN41" s="1343"/>
      <c r="BO41" s="1343"/>
      <c r="BQ41" s="1184"/>
      <c r="BR41" s="1184"/>
      <c r="BS41" s="1184"/>
      <c r="BT41" s="1184"/>
      <c r="BU41" s="1185"/>
      <c r="BV41" s="1185"/>
      <c r="BW41" s="1184"/>
      <c r="BX41" s="1184"/>
      <c r="BY41" s="1184"/>
      <c r="BZ41" s="1184"/>
      <c r="CA41" s="1184"/>
      <c r="CB41" s="1184"/>
      <c r="CC41" s="1184"/>
      <c r="CD41" s="1184"/>
      <c r="CE41" s="1184"/>
      <c r="CF41" s="1184"/>
      <c r="CG41" s="1184"/>
      <c r="CH41" s="1184"/>
      <c r="CI41" s="1184"/>
      <c r="CJ41" s="1184"/>
      <c r="CK41" s="1184"/>
      <c r="CL41" s="1184"/>
      <c r="CM41" s="1184"/>
      <c r="CN41" s="1184"/>
      <c r="CO41" s="1184"/>
      <c r="CP41" s="1184"/>
      <c r="CQ41" s="1184"/>
      <c r="CR41" s="1184"/>
      <c r="CS41" s="1184"/>
      <c r="CT41" s="1184"/>
      <c r="CU41" s="1184"/>
      <c r="CV41" s="1184"/>
      <c r="CW41" s="1184"/>
      <c r="CX41" s="1184"/>
      <c r="CY41" s="320" t="str">
        <f>Pflanzen!A37</f>
        <v>Futter-, Runkelrüben</v>
      </c>
      <c r="CZ41" s="1200">
        <f>IFERROR(MATCH($CY41,Pflanzen!$C$5:$C$114,0),1)</f>
        <v>33</v>
      </c>
      <c r="DA41" s="320" cm="1">
        <f t="array" ref="DA41">INDEX(Pflanzen!$H$5:$H$114,'Lagerhaltung (freiwillig)'!CZ41)</f>
        <v>2</v>
      </c>
      <c r="DB41" s="1200">
        <f t="shared" si="106"/>
        <v>0</v>
      </c>
      <c r="DC41" s="1200">
        <f t="shared" si="106"/>
        <v>0</v>
      </c>
      <c r="DD41" s="1200">
        <f t="shared" si="106"/>
        <v>0</v>
      </c>
      <c r="DE41" s="1200">
        <f t="shared" si="106"/>
        <v>0</v>
      </c>
      <c r="DF41" s="1200">
        <f t="shared" si="106"/>
        <v>0</v>
      </c>
      <c r="DG41" s="1184">
        <f t="shared" si="106"/>
        <v>0</v>
      </c>
      <c r="DH41" s="1184">
        <f t="shared" si="106"/>
        <v>0</v>
      </c>
      <c r="DI41" s="1184">
        <f t="shared" si="106"/>
        <v>0</v>
      </c>
      <c r="DJ41" s="1184">
        <f t="shared" si="106"/>
        <v>0</v>
      </c>
      <c r="DK41" s="1184">
        <f t="shared" si="106"/>
        <v>0</v>
      </c>
      <c r="DL41" s="1184">
        <f t="shared" si="106"/>
        <v>0</v>
      </c>
      <c r="DM41" s="1184">
        <f t="shared" si="106"/>
        <v>0</v>
      </c>
      <c r="DN41" s="1184"/>
      <c r="DO41" s="1184">
        <f t="shared" si="107"/>
        <v>0</v>
      </c>
      <c r="DP41" s="1184">
        <f t="shared" si="107"/>
        <v>0</v>
      </c>
      <c r="DQ41" s="1184">
        <f t="shared" si="107"/>
        <v>0</v>
      </c>
      <c r="DR41" s="1184">
        <f t="shared" si="107"/>
        <v>0</v>
      </c>
      <c r="DS41" s="1184">
        <f t="shared" si="107"/>
        <v>0</v>
      </c>
      <c r="DT41" s="1184">
        <f t="shared" si="107"/>
        <v>0</v>
      </c>
      <c r="DU41" s="1184">
        <f t="shared" si="107"/>
        <v>0</v>
      </c>
      <c r="DV41" s="1184">
        <f t="shared" si="107"/>
        <v>0</v>
      </c>
      <c r="DW41" s="1184">
        <f t="shared" si="107"/>
        <v>0</v>
      </c>
      <c r="DX41" s="1184">
        <f t="shared" si="107"/>
        <v>0</v>
      </c>
      <c r="DY41" s="1184">
        <f t="shared" si="107"/>
        <v>0</v>
      </c>
      <c r="DZ41" s="1184">
        <f t="shared" si="107"/>
        <v>0</v>
      </c>
      <c r="EA41" s="1184"/>
      <c r="EB41" s="1184">
        <f t="shared" si="108"/>
        <v>0</v>
      </c>
      <c r="EC41" s="1184">
        <f t="shared" si="108"/>
        <v>0</v>
      </c>
      <c r="ED41" s="1184">
        <f t="shared" si="108"/>
        <v>0</v>
      </c>
      <c r="EE41" s="1184">
        <f t="shared" si="108"/>
        <v>0</v>
      </c>
      <c r="EF41" s="1184">
        <f t="shared" si="108"/>
        <v>0</v>
      </c>
      <c r="EG41" s="1184">
        <f t="shared" si="108"/>
        <v>0</v>
      </c>
      <c r="EH41" s="1184">
        <f t="shared" si="108"/>
        <v>0</v>
      </c>
      <c r="EI41" s="1184">
        <f t="shared" si="108"/>
        <v>0</v>
      </c>
      <c r="EJ41" s="1184">
        <f t="shared" si="108"/>
        <v>0</v>
      </c>
      <c r="EK41" s="1184">
        <f t="shared" si="108"/>
        <v>0</v>
      </c>
      <c r="EL41" s="1184">
        <f t="shared" si="108"/>
        <v>0</v>
      </c>
      <c r="EM41" s="1184">
        <f t="shared" si="108"/>
        <v>0</v>
      </c>
      <c r="EN41" s="1184"/>
      <c r="EO41" s="1184">
        <f t="shared" si="109"/>
        <v>0</v>
      </c>
      <c r="EP41" s="1184">
        <f t="shared" si="109"/>
        <v>0</v>
      </c>
      <c r="EQ41" s="1184">
        <f t="shared" si="109"/>
        <v>0</v>
      </c>
      <c r="ER41" s="1184">
        <f t="shared" si="109"/>
        <v>0</v>
      </c>
      <c r="ES41" s="1184">
        <f t="shared" si="109"/>
        <v>0</v>
      </c>
      <c r="ET41" s="1184">
        <f t="shared" si="109"/>
        <v>0</v>
      </c>
      <c r="EU41" s="1184">
        <f t="shared" si="109"/>
        <v>0</v>
      </c>
      <c r="EV41" s="1184">
        <f t="shared" si="109"/>
        <v>0</v>
      </c>
      <c r="EW41" s="1184">
        <f t="shared" si="109"/>
        <v>0</v>
      </c>
      <c r="EX41" s="1184">
        <f t="shared" si="109"/>
        <v>0</v>
      </c>
      <c r="EY41" s="1184">
        <f t="shared" si="109"/>
        <v>0</v>
      </c>
      <c r="EZ41" s="1184">
        <f t="shared" si="109"/>
        <v>0</v>
      </c>
      <c r="FA41" s="1184"/>
      <c r="FB41" s="1186">
        <f t="shared" si="51"/>
        <v>0</v>
      </c>
      <c r="FC41" s="1184">
        <f>FB41+DB41+EB41                 -         SUMIF('Nährstoffe und Lagerraum'!$AX$113:$AX$155,$CZ41,'Nährstoffe und Lagerraum'!$U$113:$U$155)/12  -$GD41*$HE41/12</f>
        <v>0</v>
      </c>
      <c r="FD41" s="1184">
        <f>FC41+DC41+EC41                 -         SUMIF('Nährstoffe und Lagerraum'!$AX$113:$AX$155,$CZ41,'Nährstoffe und Lagerraum'!$U$113:$U$155)/12  -$GD41*$HE41/12</f>
        <v>0</v>
      </c>
      <c r="FE41" s="1184">
        <f>FD41+DD41+ED41                 -         SUMIF('Nährstoffe und Lagerraum'!$AX$113:$AX$155,$CZ41,'Nährstoffe und Lagerraum'!$U$113:$U$155)/12  -$GD41*$HE41/12</f>
        <v>0</v>
      </c>
      <c r="FF41" s="1184">
        <f>FE41+DE41+EE41                 -         SUMIF('Nährstoffe und Lagerraum'!$AX$113:$AX$155,$CZ41,'Nährstoffe und Lagerraum'!$U$113:$U$155)/12  -$GD41*$HE41/12</f>
        <v>0</v>
      </c>
      <c r="FG41" s="1184">
        <f>FF41+DF41+EF41                 -         SUMIF('Nährstoffe und Lagerraum'!$AX$113:$AX$155,$CZ41,'Nährstoffe und Lagerraum'!$U$113:$U$155)/12  -$GD41*$HE41/12</f>
        <v>0</v>
      </c>
      <c r="FH41" s="1184">
        <f>FG41+DG41+EG41                 -         SUMIF('Nährstoffe und Lagerraum'!$AX$113:$AX$155,$CZ41,'Nährstoffe und Lagerraum'!$U$113:$U$155)/12  -$GD41*$HE41/12</f>
        <v>0</v>
      </c>
      <c r="FI41" s="1184">
        <f>FH41+DH41+EH41                 -         SUMIF('Nährstoffe und Lagerraum'!$AX$113:$AX$155,$CZ41,'Nährstoffe und Lagerraum'!$U$113:$U$155)/12  -$GD41*$HE41/12</f>
        <v>0</v>
      </c>
      <c r="FJ41" s="1184">
        <f>FI41+DI41+EI41                 -         SUMIF('Nährstoffe und Lagerraum'!$AX$113:$AX$155,$CZ41,'Nährstoffe und Lagerraum'!$U$113:$U$155)/12  -$GD41*$HE41/12</f>
        <v>0</v>
      </c>
      <c r="FK41" s="1184">
        <f>FJ41+DJ41+EJ41                 -         SUMIF('Nährstoffe und Lagerraum'!$AX$113:$AX$155,$CZ41,'Nährstoffe und Lagerraum'!$U$113:$U$155)/12  -$GD41*$HE41/12</f>
        <v>0</v>
      </c>
      <c r="FL41" s="1184">
        <f>FK41+DK41+EK41                 -         SUMIF('Nährstoffe und Lagerraum'!$AX$113:$AX$155,$CZ41,'Nährstoffe und Lagerraum'!$U$113:$U$155)/12  -$GD41*$HE41/12</f>
        <v>0</v>
      </c>
      <c r="FM41" s="1184">
        <f>FL41+DL41+EL41                 -         SUMIF('Nährstoffe und Lagerraum'!$AX$113:$AX$155,$CZ41,'Nährstoffe und Lagerraum'!$U$113:$U$155)/12  -$GD41*$HE41/12</f>
        <v>0</v>
      </c>
      <c r="FN41" s="1184">
        <f>FM41+DM41+EM41                 -         SUMIF('Nährstoffe und Lagerraum'!$AX$113:$AX$155,$CZ41,'Nährstoffe und Lagerraum'!$U$113:$U$155)/12  -$GD41*$HE41/12</f>
        <v>0</v>
      </c>
      <c r="FO41" s="1184"/>
      <c r="FP41" s="1186">
        <f t="shared" si="52"/>
        <v>0</v>
      </c>
      <c r="FQ41" s="1184">
        <f>FP41+DO41+EO41                 -         SUMIF('Nährstoffe und Lagerraum'!$AX$113:$AX$155,$CZ41,'Nährstoffe und Lagerraum'!$V$113:$V$155)/12  -$GE41*$HE41/12</f>
        <v>0</v>
      </c>
      <c r="FR41" s="1184">
        <f>FQ41+DP41+EP41                 -         SUMIF('Nährstoffe und Lagerraum'!$AX$113:$AX$155,$CZ41,'Nährstoffe und Lagerraum'!$V$113:$V$155)/12  -$GE41*$HE41/12</f>
        <v>0</v>
      </c>
      <c r="FS41" s="1184">
        <f>FR41+DQ41+EQ41                 -         SUMIF('Nährstoffe und Lagerraum'!$AX$113:$AX$155,$CZ41,'Nährstoffe und Lagerraum'!$V$113:$V$155)/12  -$GE41*$HE41/12</f>
        <v>0</v>
      </c>
      <c r="FT41" s="1184">
        <f>FS41+DR41+ER41                 -         SUMIF('Nährstoffe und Lagerraum'!$AX$113:$AX$155,$CZ41,'Nährstoffe und Lagerraum'!$V$113:$V$155)/12  -$GE41*$HE41/12</f>
        <v>0</v>
      </c>
      <c r="FU41" s="1184">
        <f>FT41+DS41+ES41                 -         SUMIF('Nährstoffe und Lagerraum'!$AX$113:$AX$155,$CZ41,'Nährstoffe und Lagerraum'!$V$113:$V$155)/12  -$GE41*$HE41/12</f>
        <v>0</v>
      </c>
      <c r="FV41" s="1184">
        <f>FU41+DT41+ET41                 -         SUMIF('Nährstoffe und Lagerraum'!$AX$113:$AX$155,$CZ41,'Nährstoffe und Lagerraum'!$V$113:$V$155)/12  -$GE41*$HE41/12</f>
        <v>0</v>
      </c>
      <c r="FW41" s="1184">
        <f>FV41+DU41+EU41                 -         SUMIF('Nährstoffe und Lagerraum'!$AX$113:$AX$155,$CZ41,'Nährstoffe und Lagerraum'!$V$113:$V$155)/12  -$GE41*$HE41/12</f>
        <v>0</v>
      </c>
      <c r="FX41" s="1184">
        <f>FW41+DV41+EV41                 -         SUMIF('Nährstoffe und Lagerraum'!$AX$113:$AX$155,$CZ41,'Nährstoffe und Lagerraum'!$V$113:$V$155)/12  -$GE41*$HE41/12</f>
        <v>0</v>
      </c>
      <c r="FY41" s="1184">
        <f>FX41+DW41+EW41                 -         SUMIF('Nährstoffe und Lagerraum'!$AX$113:$AX$155,$CZ41,'Nährstoffe und Lagerraum'!$V$113:$V$155)/12  -$GE41*$HE41/12</f>
        <v>0</v>
      </c>
      <c r="FZ41" s="1184">
        <f>FY41+DX41+EX41                 -         SUMIF('Nährstoffe und Lagerraum'!$AX$113:$AX$155,$CZ41,'Nährstoffe und Lagerraum'!$V$113:$V$155)/12  -$GE41*$HE41/12</f>
        <v>0</v>
      </c>
      <c r="GA41" s="1184">
        <f>FZ41+DY41+EY41                 -         SUMIF('Nährstoffe und Lagerraum'!$AX$113:$AX$155,$CZ41,'Nährstoffe und Lagerraum'!$V$113:$V$155)/12  -$GE41*$HE41/12</f>
        <v>0</v>
      </c>
      <c r="GB41" s="1184">
        <f>GA41+DZ41+EZ41                 -         SUMIF('Nährstoffe und Lagerraum'!$AX$113:$AX$155,$CZ41,'Nährstoffe und Lagerraum'!$V$113:$V$155)/12  -$GE41*$HE41/12</f>
        <v>0</v>
      </c>
      <c r="GC41" s="1184"/>
      <c r="GD41" s="1184">
        <f>SUMIFS($CI$14:$CI$68,$BR$14:$BR$68,$CZ41)+SUMIFS($CM$14:$CM$68,$BR$14:$BR$68,$CZ41)+SUMIFS($CR$14:$CR$68,$BR$14:$BR$68,$CZ41)  -         SUMIF('Nährstoffe und Lagerraum'!$AX$113:$AX$155,$CZ41,'Nährstoffe und Lagerraum'!$U$113:$U$155)</f>
        <v>0</v>
      </c>
      <c r="GE41" s="1184">
        <f>SUMIFS($CJ$14:$CJ$68,$BR$14:$BR$68,$CZ41)+SUMIFS($CO$14:$CO$68,$BR$14:$BR$68,$CZ41)+SUMIFS($CT$14:$CT$68,$BR$14:$BR$68,$CZ41)  -         SUMIF('Nährstoffe und Lagerraum'!$AX$113:$AX$155,$CZ41,'Nährstoffe und Lagerraum'!$V$113:$V$155)</f>
        <v>0</v>
      </c>
      <c r="GF41" s="1184"/>
      <c r="GG41" s="1184"/>
      <c r="GH41" s="1184">
        <f>SUMIF('Nährstoffe und Lagerraum'!$AX$113:$AX$155,$CZ41,'Nährstoffe und Lagerraum'!$U$113:$U$155)</f>
        <v>0</v>
      </c>
      <c r="GI41" s="1184">
        <f>SUMIF('Nährstoffe und Lagerraum'!$AX$113:$AX$155,$CZ41,'Nährstoffe und Lagerraum'!$V$113:$V$155)</f>
        <v>0</v>
      </c>
      <c r="GJ41" s="1184">
        <f t="shared" si="53"/>
        <v>0</v>
      </c>
      <c r="GK41" s="1184">
        <f t="shared" si="54"/>
        <v>0</v>
      </c>
      <c r="GL41" s="1184">
        <f t="shared" si="55"/>
        <v>0</v>
      </c>
      <c r="GM41" s="1184">
        <f t="shared" si="56"/>
        <v>0</v>
      </c>
      <c r="GN41" s="1184">
        <f t="shared" si="57"/>
        <v>0</v>
      </c>
      <c r="GO41" s="1184" cm="1">
        <f t="array" ref="GO41">IF(GN41=0,0,(IFERROR(SUMPRODUCT($J$14:$J$68,$CH$14:$CH$68,($BR$14:$BR$68=CZ41)*1)+SUMPRODUCT($L$14:$L$68,$M$14:$M$68,$CK$14:$CK$68,($BR$14:$BR$68=CZ41)*1,($BT$14:$BT$68=FALSE)*1)/10+SUMPRODUCT($R$14:$R$68,$CP$14:$CP$68,($BR$14:$BR$68=CZ41)*1),0))/GN41)</f>
        <v>0</v>
      </c>
      <c r="GP41" s="1184">
        <f t="shared" si="58"/>
        <v>0</v>
      </c>
      <c r="GQ41" s="1184">
        <f>(SUMIF('Nährstoffe und Lagerraum'!$AX$113:$AX$130,'Lagerhaltung (freiwillig)'!CZ41,'Nährstoffe und Lagerraum'!$D$113:$D$130)+SUMIF('Nährstoffe und Lagerraum'!$AX$137:$AX$155,'Lagerhaltung (freiwillig)'!CZ41,'Nährstoffe und Lagerraum'!$E$137:$E$155))</f>
        <v>0</v>
      </c>
      <c r="GR41" s="1184" cm="1">
        <f t="array" ref="GR41">IF(GQ41=0,0,(IFERROR(SUMPRODUCT('Nährstoffe und Lagerraum'!$D$113:$D$130,'Nährstoffe und Lagerraum'!$F$113:$F$130,('Nährstoffe und Lagerraum'!$AX$113:$AX$130='Lagerhaltung (freiwillig)'!CZ41)*1)+SUMPRODUCT('Nährstoffe und Lagerraum'!$E$137:$E$155,'Nährstoffe und Lagerraum'!$F$137:$F$155,('Nährstoffe und Lagerraum'!$AX$137:$AX$155='Lagerhaltung (freiwillig)'!CZ41)*1),0))/GQ41)</f>
        <v>0</v>
      </c>
      <c r="GS41" s="1184">
        <f t="shared" si="59"/>
        <v>0</v>
      </c>
      <c r="GT41" s="1184">
        <f t="shared" si="60"/>
        <v>0</v>
      </c>
      <c r="GU41" s="1184">
        <f t="shared" si="61"/>
        <v>0</v>
      </c>
      <c r="GV41" s="1184">
        <f t="shared" si="62"/>
        <v>0</v>
      </c>
      <c r="GW41" s="1186" t="str">
        <f t="shared" si="41"/>
        <v xml:space="preserve"> </v>
      </c>
      <c r="GX41" s="1186" t="str">
        <f t="shared" si="41"/>
        <v xml:space="preserve"> </v>
      </c>
      <c r="GY41" s="1195">
        <f t="shared" si="63"/>
        <v>0</v>
      </c>
      <c r="GZ41" s="1184">
        <f t="shared" si="64"/>
        <v>0</v>
      </c>
      <c r="HA41" s="1184" t="str">
        <f t="shared" ref="HA41:HA72" si="132">IF(HK41=3,"a",VLOOKUP(CY41,$Y$13:$AZ$131,COLUMN($AZ$1)-COLUMN($Y$1)+1,FALSE))</f>
        <v>a</v>
      </c>
      <c r="HB41" s="1196">
        <f t="shared" si="65"/>
        <v>0</v>
      </c>
      <c r="HC41" s="1196">
        <f t="shared" si="66"/>
        <v>0</v>
      </c>
      <c r="HD41" s="1196"/>
      <c r="HE41" s="1187">
        <f t="shared" si="67"/>
        <v>0</v>
      </c>
      <c r="HF41" s="1196">
        <f t="shared" si="68"/>
        <v>0</v>
      </c>
      <c r="HG41" s="1196">
        <f t="shared" si="69"/>
        <v>0</v>
      </c>
      <c r="HH41" s="1196">
        <f t="shared" si="70"/>
        <v>0</v>
      </c>
      <c r="HI41" s="1328" cm="1">
        <f t="array" ref="HI41">IF(AND(HG41=0,GL41=0),0,IF(HG41=0,1,IF(OR(GL41*1000/HG41/HH41&gt;INDEX(Pflanzen!$W$5:$W$104,CZ41)/INDEX(Pflanzen!$I$5:$I$104,CZ41)*$HI$1,GL41*1000/HG41/HH41&lt;INDEX(Pflanzen!$W$5:$W$104,CZ41)/INDEX(Pflanzen!$I$5:$I$104,CZ41)/$HI$1),1,0)))</f>
        <v>0</v>
      </c>
      <c r="HJ41" s="1328" cm="1">
        <f t="array" ref="HJ41">IF(AND(GM41=0,HG41=0),0,IF(HG41=0,1,IF(OR(GM41*1000/HG41/HH41&gt;INDEX(Pflanzen!$X$5:$X$104,CZ41)/INDEX(Pflanzen!$I$5:$I$104,CZ41)*$HI$1,GM41*1000/HG41/HH41&lt;INDEX(Pflanzen!$X$5:$X$104,CZ41)/INDEX(Pflanzen!$I$5:$I$104,CZ41)/$HI$1),1,0)))</f>
        <v>0</v>
      </c>
      <c r="HK41" s="1184">
        <f t="shared" si="71"/>
        <v>3</v>
      </c>
      <c r="HL41" s="1184"/>
      <c r="HN41" s="1184"/>
      <c r="HO41" s="1193" t="str">
        <f>Tiere!B67</f>
        <v>Mastschweine (850 g TZ), Standard</v>
      </c>
      <c r="HP41" s="1184">
        <v>38</v>
      </c>
      <c r="HQ41" s="1194">
        <f>SUMIF('Nährstoffe und Lagerraum'!$BM$68:$BM$87,'Lagerhaltung (freiwillig)'!HP41,'Nährstoffe und Lagerraum'!$Z$68:$Z$87)+SUMIF('Nährstoffe und Lagerraum'!$BM$68:$BM$87,'Lagerhaltung (freiwillig)'!HP41,'Nährstoffe und Lagerraum'!$AA$68:$AA$87)</f>
        <v>0</v>
      </c>
      <c r="HR41" s="1184" cm="1">
        <f t="array" ref="HR41">INDEX(Tiere!$C$30:$C$114,'Lagerhaltung (freiwillig)'!HP41)</f>
        <v>2</v>
      </c>
      <c r="HS41" s="1184" cm="1">
        <f t="array" ref="HS41">INDEX(Tiere!$H$30:$H$114,'Lagerhaltung (freiwillig)'!HP41)</f>
        <v>0</v>
      </c>
      <c r="HT41" s="1184">
        <f t="shared" si="12"/>
        <v>0</v>
      </c>
      <c r="HU41" s="1184" cm="1">
        <f t="array" ref="HU41">INDEX(Tiere!$I$30:$I$114,'Lagerhaltung (freiwillig)'!HP41)</f>
        <v>0</v>
      </c>
      <c r="HV41" s="1184">
        <f t="shared" si="13"/>
        <v>0</v>
      </c>
      <c r="HW41" s="1184" cm="1">
        <f t="array" ref="HW41">INDEX(Tiere!$BC$30:$BC$114,'Lagerhaltung (freiwillig)'!HP41)</f>
        <v>7.9424000000000001</v>
      </c>
      <c r="HX41" s="1184">
        <f t="shared" si="14"/>
        <v>0</v>
      </c>
      <c r="HY41" s="1184" cm="1">
        <f t="array" ref="HY41">INDEX(Tiere!$BD$30:$BD$114,'Lagerhaltung (freiwillig)'!HP41)</f>
        <v>3.6299249999999996</v>
      </c>
      <c r="HZ41" s="1184">
        <f t="shared" si="15"/>
        <v>0</v>
      </c>
      <c r="IA41" s="1184"/>
      <c r="IB41" s="1184"/>
      <c r="IC41" s="1184"/>
      <c r="ID41" s="1184"/>
      <c r="IE41" s="1184"/>
      <c r="IF41" s="1184"/>
      <c r="IG41" s="1184"/>
      <c r="IH41" s="1184"/>
      <c r="II41" s="1184"/>
      <c r="IJ41" s="1184"/>
      <c r="IK41" s="1184"/>
      <c r="IL41" s="1184"/>
    </row>
    <row r="42" spans="1:247" ht="15" customHeight="1" x14ac:dyDescent="0.2">
      <c r="A42" s="2635"/>
      <c r="B42" s="2636"/>
      <c r="C42" s="2636"/>
      <c r="D42" s="2636"/>
      <c r="E42" s="2740"/>
      <c r="F42" s="3018"/>
      <c r="G42" s="3006" t="s">
        <v>1027</v>
      </c>
      <c r="H42" s="3007"/>
      <c r="I42" s="3018"/>
      <c r="J42" s="3050"/>
      <c r="K42" s="3018"/>
      <c r="L42" s="2848"/>
      <c r="M42" s="2848"/>
      <c r="N42" s="3048"/>
      <c r="O42" s="3001"/>
      <c r="P42" s="3064"/>
      <c r="Q42" s="3018"/>
      <c r="R42" s="2848"/>
      <c r="S42" s="3048"/>
      <c r="T42" s="3002"/>
      <c r="U42" s="1299"/>
      <c r="V42" s="1301"/>
      <c r="Y42" s="1554" t="str" cm="1">
        <f t="array" ref="Y42">IFERROR(INDEX($CY$4:$CY$165,AY42),"")</f>
        <v/>
      </c>
      <c r="Z42" s="1555"/>
      <c r="AA42" s="1555"/>
      <c r="AB42" s="1555"/>
      <c r="AC42" s="1454" t="str" cm="1">
        <f t="array" ref="AC42">IFERROR(INDEX($GN$4:$GN$165,AY42),"")</f>
        <v/>
      </c>
      <c r="AD42" s="1454" t="str" cm="1">
        <f t="array" ref="AD42">IFERROR(INDEX($GO$4:$GO$165,AY42),"")</f>
        <v/>
      </c>
      <c r="AE42" s="1454" t="str" cm="1">
        <f t="array" ref="AE42">IFERROR(INDEX($GJ$4:$GJ$165,AY42),"")</f>
        <v/>
      </c>
      <c r="AF42" s="1454" t="str" cm="1">
        <f t="array" ref="AF42">IFERROR(INDEX($GK$4:$GK$165,AY42),"")</f>
        <v/>
      </c>
      <c r="AG42" s="1454" t="str" cm="1">
        <f t="array" ref="AG42">IFERROR(INDEX($GQ$4:$GQ$165,AY42),"")</f>
        <v/>
      </c>
      <c r="AH42" s="1454" t="str" cm="1">
        <f t="array" ref="AH42">IFERROR(INDEX($GR$4:$GR$165,AY42),"")</f>
        <v/>
      </c>
      <c r="AI42" s="1454" t="str" cm="1">
        <f t="array" ref="AI42">IFERROR(INDEX($GH$4:$GH$165,AY42),"")</f>
        <v/>
      </c>
      <c r="AJ42" s="1454" t="str" cm="1">
        <f t="array" ref="AJ42">IFERROR(INDEX($GI$4:$GI$165,AY42),"")</f>
        <v/>
      </c>
      <c r="AK42" s="1454" t="str" cm="1">
        <f t="array" ref="AK42">IFERROR(INDEX($GU$4:$GU$165,AY42),"")</f>
        <v/>
      </c>
      <c r="AL42" s="1455" t="str" cm="1">
        <f t="array" ref="AL42">IFERROR(INDEX($GV$4:$GV$165,AY42),"")</f>
        <v/>
      </c>
      <c r="AM42" s="1454" t="str" cm="1">
        <f t="array" ref="AM42">IFERROR(INDEX($GD$4:$GD$165,AY42),"")</f>
        <v/>
      </c>
      <c r="AN42" s="1454" t="str" cm="1">
        <f t="array" ref="AN42">IFERROR(INDEX($GE$4:$GE$165,AY42),"")</f>
        <v/>
      </c>
      <c r="AO42" s="1454" t="str" cm="1">
        <f t="array" ref="AO42">IFERROR(INDEX($GW$4:$GW$165,AY42),"")</f>
        <v/>
      </c>
      <c r="AP42" s="1454" t="str" cm="1">
        <f t="array" ref="AP42">IFERROR(INDEX($GZ$4:$GZ$165,AY42),"")</f>
        <v/>
      </c>
      <c r="AQ42" s="1457"/>
      <c r="AR42" s="1454" t="str" cm="1">
        <f t="array" ref="AR42">IFERROR(INDEX($HF$4:$HF$165,AY42),"")</f>
        <v/>
      </c>
      <c r="AS42" s="1454" t="str" cm="1">
        <f t="array" ref="AS42">IFERROR(INDEX($HG$4:$HG$165,AY42),"")</f>
        <v/>
      </c>
      <c r="AT42" s="1454" t="str" cm="1">
        <f t="array" ref="AT42">IFERROR(INDEX($HH$4:$HH$165,AY42),"")</f>
        <v/>
      </c>
      <c r="AU42" s="1454" t="str" cm="1">
        <f t="array" ref="AU42">IFERROR(INDEX($GL$4:$GL$165,AY42),"")</f>
        <v/>
      </c>
      <c r="AV42" s="1454" t="str" cm="1">
        <f t="array" ref="AV42">IFERROR(INDEX($GM$4:$GM$165,AY42),"")</f>
        <v/>
      </c>
      <c r="AY42" s="1184" t="str" cm="1">
        <f t="array" ref="AY42">IFERROR(SMALL(IF($HK$4:$HK$165=1,ROW($HK$4:$HK$165)-3),ROW(W27)),IFERROR(SMALL(IF($HK$4:$HK$165=2,ROW($HK$4:$HK$165)-3),ROW(W27)-COUNTIF($HK$4:$HK$165,1)),IFERROR(SMALL(IF($HK$4:$HK$165=0,ROW($HK$4:$HK$165)-3),ROW(W27)-COUNTIF($HK$4:$HK$165,1)-COUNTIF($HK$4:$HK$165,2)),"")))</f>
        <v/>
      </c>
      <c r="AZ42" s="1184" t="str">
        <f t="shared" si="129"/>
        <v>a</v>
      </c>
      <c r="BA42" s="1194" t="e">
        <f t="shared" si="130"/>
        <v>#VALUE!</v>
      </c>
      <c r="BB42" s="1194" cm="1">
        <f t="array" ref="BB42">IFERROR(INDEX($HK$4:$HK$165,AY42),0)</f>
        <v>0</v>
      </c>
      <c r="BC42" s="1194">
        <f t="shared" si="131"/>
        <v>0</v>
      </c>
      <c r="BD42" s="1194"/>
      <c r="BE42" s="1343"/>
      <c r="BF42" s="1343"/>
      <c r="BG42" s="1343"/>
      <c r="BH42" s="1343"/>
      <c r="BI42" s="1343"/>
      <c r="BJ42" s="1343"/>
      <c r="BK42" s="1343"/>
      <c r="BL42" s="1343"/>
      <c r="BM42" s="1343"/>
      <c r="BN42" s="1343"/>
      <c r="BO42" s="1343"/>
      <c r="BQ42" s="1184"/>
      <c r="BR42" s="1184"/>
      <c r="BS42" s="1184"/>
      <c r="BT42" s="1184"/>
      <c r="BU42" s="1185"/>
      <c r="BV42" s="1185"/>
      <c r="BW42" s="1184"/>
      <c r="BX42" s="1184"/>
      <c r="BY42" s="1184"/>
      <c r="BZ42" s="1184"/>
      <c r="CA42" s="1184"/>
      <c r="CB42" s="1184"/>
      <c r="CC42" s="1184"/>
      <c r="CD42" s="1184"/>
      <c r="CE42" s="1184"/>
      <c r="CF42" s="1184"/>
      <c r="CG42" s="1184"/>
      <c r="CH42" s="1184"/>
      <c r="CI42" s="1184"/>
      <c r="CJ42" s="1184"/>
      <c r="CK42" s="1184"/>
      <c r="CL42" s="1184"/>
      <c r="CM42" s="1184"/>
      <c r="CN42" s="1184"/>
      <c r="CO42" s="1184"/>
      <c r="CP42" s="1184"/>
      <c r="CQ42" s="1184"/>
      <c r="CR42" s="1184"/>
      <c r="CS42" s="1184"/>
      <c r="CT42" s="1184"/>
      <c r="CU42" s="1184"/>
      <c r="CV42" s="1184"/>
      <c r="CW42" s="1184"/>
      <c r="CX42" s="1184"/>
      <c r="CY42" s="320" t="str">
        <f>Pflanzen!A38</f>
        <v xml:space="preserve"> +++Mehrschnittiger Feldfutterbau +++</v>
      </c>
      <c r="CZ42" s="1200">
        <f>IFERROR(MATCH($CY42,Pflanzen!$C$5:$C$114,0),1)</f>
        <v>34</v>
      </c>
      <c r="DA42" s="320" cm="1">
        <f t="array" ref="DA42">INDEX(Pflanzen!$H$5:$H$114,'Lagerhaltung (freiwillig)'!CZ42)</f>
        <v>0</v>
      </c>
      <c r="DB42" s="1200">
        <f t="shared" si="106"/>
        <v>0</v>
      </c>
      <c r="DC42" s="1200">
        <f t="shared" si="106"/>
        <v>0</v>
      </c>
      <c r="DD42" s="1200">
        <f t="shared" si="106"/>
        <v>0</v>
      </c>
      <c r="DE42" s="1200">
        <f t="shared" si="106"/>
        <v>0</v>
      </c>
      <c r="DF42" s="1200">
        <f t="shared" si="106"/>
        <v>0</v>
      </c>
      <c r="DG42" s="1184">
        <f t="shared" si="106"/>
        <v>0</v>
      </c>
      <c r="DH42" s="1184">
        <f t="shared" si="106"/>
        <v>0</v>
      </c>
      <c r="DI42" s="1184">
        <f t="shared" si="106"/>
        <v>0</v>
      </c>
      <c r="DJ42" s="1184">
        <f t="shared" si="106"/>
        <v>0</v>
      </c>
      <c r="DK42" s="1184">
        <f t="shared" si="106"/>
        <v>0</v>
      </c>
      <c r="DL42" s="1184">
        <f t="shared" si="106"/>
        <v>0</v>
      </c>
      <c r="DM42" s="1184">
        <f t="shared" si="106"/>
        <v>0</v>
      </c>
      <c r="DN42" s="1184"/>
      <c r="DO42" s="1184">
        <f t="shared" si="107"/>
        <v>0</v>
      </c>
      <c r="DP42" s="1184">
        <f t="shared" si="107"/>
        <v>0</v>
      </c>
      <c r="DQ42" s="1184">
        <f t="shared" si="107"/>
        <v>0</v>
      </c>
      <c r="DR42" s="1184">
        <f t="shared" si="107"/>
        <v>0</v>
      </c>
      <c r="DS42" s="1184">
        <f t="shared" si="107"/>
        <v>0</v>
      </c>
      <c r="DT42" s="1184">
        <f t="shared" si="107"/>
        <v>0</v>
      </c>
      <c r="DU42" s="1184">
        <f t="shared" si="107"/>
        <v>0</v>
      </c>
      <c r="DV42" s="1184">
        <f t="shared" si="107"/>
        <v>0</v>
      </c>
      <c r="DW42" s="1184">
        <f t="shared" si="107"/>
        <v>0</v>
      </c>
      <c r="DX42" s="1184">
        <f t="shared" si="107"/>
        <v>0</v>
      </c>
      <c r="DY42" s="1184">
        <f t="shared" si="107"/>
        <v>0</v>
      </c>
      <c r="DZ42" s="1184">
        <f t="shared" si="107"/>
        <v>0</v>
      </c>
      <c r="EA42" s="1184"/>
      <c r="EB42" s="1184">
        <f t="shared" si="108"/>
        <v>0</v>
      </c>
      <c r="EC42" s="1184">
        <f t="shared" si="108"/>
        <v>0</v>
      </c>
      <c r="ED42" s="1184">
        <f t="shared" si="108"/>
        <v>0</v>
      </c>
      <c r="EE42" s="1184">
        <f t="shared" si="108"/>
        <v>0</v>
      </c>
      <c r="EF42" s="1184">
        <f t="shared" si="108"/>
        <v>0</v>
      </c>
      <c r="EG42" s="1184">
        <f t="shared" si="108"/>
        <v>0</v>
      </c>
      <c r="EH42" s="1184">
        <f t="shared" si="108"/>
        <v>0</v>
      </c>
      <c r="EI42" s="1184">
        <f t="shared" si="108"/>
        <v>0</v>
      </c>
      <c r="EJ42" s="1184">
        <f t="shared" si="108"/>
        <v>0</v>
      </c>
      <c r="EK42" s="1184">
        <f t="shared" si="108"/>
        <v>0</v>
      </c>
      <c r="EL42" s="1184">
        <f t="shared" si="108"/>
        <v>0</v>
      </c>
      <c r="EM42" s="1184">
        <f t="shared" si="108"/>
        <v>0</v>
      </c>
      <c r="EN42" s="1184"/>
      <c r="EO42" s="1184">
        <f t="shared" si="109"/>
        <v>0</v>
      </c>
      <c r="EP42" s="1184">
        <f t="shared" si="109"/>
        <v>0</v>
      </c>
      <c r="EQ42" s="1184">
        <f t="shared" si="109"/>
        <v>0</v>
      </c>
      <c r="ER42" s="1184">
        <f t="shared" si="109"/>
        <v>0</v>
      </c>
      <c r="ES42" s="1184">
        <f t="shared" si="109"/>
        <v>0</v>
      </c>
      <c r="ET42" s="1184">
        <f t="shared" si="109"/>
        <v>0</v>
      </c>
      <c r="EU42" s="1184">
        <f t="shared" si="109"/>
        <v>0</v>
      </c>
      <c r="EV42" s="1184">
        <f t="shared" si="109"/>
        <v>0</v>
      </c>
      <c r="EW42" s="1184">
        <f t="shared" si="109"/>
        <v>0</v>
      </c>
      <c r="EX42" s="1184">
        <f t="shared" si="109"/>
        <v>0</v>
      </c>
      <c r="EY42" s="1184">
        <f t="shared" si="109"/>
        <v>0</v>
      </c>
      <c r="EZ42" s="1184">
        <f t="shared" si="109"/>
        <v>0</v>
      </c>
      <c r="FA42" s="1184"/>
      <c r="FB42" s="1186">
        <f t="shared" si="51"/>
        <v>0</v>
      </c>
      <c r="FC42" s="1184">
        <f>FB42+DB42+EB42                 -         SUMIF('Nährstoffe und Lagerraum'!$AX$113:$AX$155,$CZ42,'Nährstoffe und Lagerraum'!$U$113:$U$155)/12  -$GD42*$HE42/12</f>
        <v>0</v>
      </c>
      <c r="FD42" s="1184">
        <f>FC42+DC42+EC42                 -         SUMIF('Nährstoffe und Lagerraum'!$AX$113:$AX$155,$CZ42,'Nährstoffe und Lagerraum'!$U$113:$U$155)/12  -$GD42*$HE42/12</f>
        <v>0</v>
      </c>
      <c r="FE42" s="1184">
        <f>FD42+DD42+ED42                 -         SUMIF('Nährstoffe und Lagerraum'!$AX$113:$AX$155,$CZ42,'Nährstoffe und Lagerraum'!$U$113:$U$155)/12  -$GD42*$HE42/12</f>
        <v>0</v>
      </c>
      <c r="FF42" s="1184">
        <f>FE42+DE42+EE42                 -         SUMIF('Nährstoffe und Lagerraum'!$AX$113:$AX$155,$CZ42,'Nährstoffe und Lagerraum'!$U$113:$U$155)/12  -$GD42*$HE42/12</f>
        <v>0</v>
      </c>
      <c r="FG42" s="1184">
        <f>FF42+DF42+EF42                 -         SUMIF('Nährstoffe und Lagerraum'!$AX$113:$AX$155,$CZ42,'Nährstoffe und Lagerraum'!$U$113:$U$155)/12  -$GD42*$HE42/12</f>
        <v>0</v>
      </c>
      <c r="FH42" s="1184">
        <f>FG42+DG42+EG42                 -         SUMIF('Nährstoffe und Lagerraum'!$AX$113:$AX$155,$CZ42,'Nährstoffe und Lagerraum'!$U$113:$U$155)/12  -$GD42*$HE42/12</f>
        <v>0</v>
      </c>
      <c r="FI42" s="1184">
        <f>FH42+DH42+EH42                 -         SUMIF('Nährstoffe und Lagerraum'!$AX$113:$AX$155,$CZ42,'Nährstoffe und Lagerraum'!$U$113:$U$155)/12  -$GD42*$HE42/12</f>
        <v>0</v>
      </c>
      <c r="FJ42" s="1184">
        <f>FI42+DI42+EI42                 -         SUMIF('Nährstoffe und Lagerraum'!$AX$113:$AX$155,$CZ42,'Nährstoffe und Lagerraum'!$U$113:$U$155)/12  -$GD42*$HE42/12</f>
        <v>0</v>
      </c>
      <c r="FK42" s="1184">
        <f>FJ42+DJ42+EJ42                 -         SUMIF('Nährstoffe und Lagerraum'!$AX$113:$AX$155,$CZ42,'Nährstoffe und Lagerraum'!$U$113:$U$155)/12  -$GD42*$HE42/12</f>
        <v>0</v>
      </c>
      <c r="FL42" s="1184">
        <f>FK42+DK42+EK42                 -         SUMIF('Nährstoffe und Lagerraum'!$AX$113:$AX$155,$CZ42,'Nährstoffe und Lagerraum'!$U$113:$U$155)/12  -$GD42*$HE42/12</f>
        <v>0</v>
      </c>
      <c r="FM42" s="1184">
        <f>FL42+DL42+EL42                 -         SUMIF('Nährstoffe und Lagerraum'!$AX$113:$AX$155,$CZ42,'Nährstoffe und Lagerraum'!$U$113:$U$155)/12  -$GD42*$HE42/12</f>
        <v>0</v>
      </c>
      <c r="FN42" s="1184">
        <f>FM42+DM42+EM42                 -         SUMIF('Nährstoffe und Lagerraum'!$AX$113:$AX$155,$CZ42,'Nährstoffe und Lagerraum'!$U$113:$U$155)/12  -$GD42*$HE42/12</f>
        <v>0</v>
      </c>
      <c r="FO42" s="1184"/>
      <c r="FP42" s="1186">
        <f t="shared" si="52"/>
        <v>0</v>
      </c>
      <c r="FQ42" s="1184">
        <f>FP42+DO42+EO42                 -         SUMIF('Nährstoffe und Lagerraum'!$AX$113:$AX$155,$CZ42,'Nährstoffe und Lagerraum'!$V$113:$V$155)/12  -$GE42*$HE42/12</f>
        <v>0</v>
      </c>
      <c r="FR42" s="1184">
        <f>FQ42+DP42+EP42                 -         SUMIF('Nährstoffe und Lagerraum'!$AX$113:$AX$155,$CZ42,'Nährstoffe und Lagerraum'!$V$113:$V$155)/12  -$GE42*$HE42/12</f>
        <v>0</v>
      </c>
      <c r="FS42" s="1184">
        <f>FR42+DQ42+EQ42                 -         SUMIF('Nährstoffe und Lagerraum'!$AX$113:$AX$155,$CZ42,'Nährstoffe und Lagerraum'!$V$113:$V$155)/12  -$GE42*$HE42/12</f>
        <v>0</v>
      </c>
      <c r="FT42" s="1184">
        <f>FS42+DR42+ER42                 -         SUMIF('Nährstoffe und Lagerraum'!$AX$113:$AX$155,$CZ42,'Nährstoffe und Lagerraum'!$V$113:$V$155)/12  -$GE42*$HE42/12</f>
        <v>0</v>
      </c>
      <c r="FU42" s="1184">
        <f>FT42+DS42+ES42                 -         SUMIF('Nährstoffe und Lagerraum'!$AX$113:$AX$155,$CZ42,'Nährstoffe und Lagerraum'!$V$113:$V$155)/12  -$GE42*$HE42/12</f>
        <v>0</v>
      </c>
      <c r="FV42" s="1184">
        <f>FU42+DT42+ET42                 -         SUMIF('Nährstoffe und Lagerraum'!$AX$113:$AX$155,$CZ42,'Nährstoffe und Lagerraum'!$V$113:$V$155)/12  -$GE42*$HE42/12</f>
        <v>0</v>
      </c>
      <c r="FW42" s="1184">
        <f>FV42+DU42+EU42                 -         SUMIF('Nährstoffe und Lagerraum'!$AX$113:$AX$155,$CZ42,'Nährstoffe und Lagerraum'!$V$113:$V$155)/12  -$GE42*$HE42/12</f>
        <v>0</v>
      </c>
      <c r="FX42" s="1184">
        <f>FW42+DV42+EV42                 -         SUMIF('Nährstoffe und Lagerraum'!$AX$113:$AX$155,$CZ42,'Nährstoffe und Lagerraum'!$V$113:$V$155)/12  -$GE42*$HE42/12</f>
        <v>0</v>
      </c>
      <c r="FY42" s="1184">
        <f>FX42+DW42+EW42                 -         SUMIF('Nährstoffe und Lagerraum'!$AX$113:$AX$155,$CZ42,'Nährstoffe und Lagerraum'!$V$113:$V$155)/12  -$GE42*$HE42/12</f>
        <v>0</v>
      </c>
      <c r="FZ42" s="1184">
        <f>FY42+DX42+EX42                 -         SUMIF('Nährstoffe und Lagerraum'!$AX$113:$AX$155,$CZ42,'Nährstoffe und Lagerraum'!$V$113:$V$155)/12  -$GE42*$HE42/12</f>
        <v>0</v>
      </c>
      <c r="GA42" s="1184">
        <f>FZ42+DY42+EY42                 -         SUMIF('Nährstoffe und Lagerraum'!$AX$113:$AX$155,$CZ42,'Nährstoffe und Lagerraum'!$V$113:$V$155)/12  -$GE42*$HE42/12</f>
        <v>0</v>
      </c>
      <c r="GB42" s="1184">
        <f>GA42+DZ42+EZ42                 -         SUMIF('Nährstoffe und Lagerraum'!$AX$113:$AX$155,$CZ42,'Nährstoffe und Lagerraum'!$V$113:$V$155)/12  -$GE42*$HE42/12</f>
        <v>0</v>
      </c>
      <c r="GC42" s="1184"/>
      <c r="GD42" s="1184">
        <f>SUMIFS($CI$14:$CI$68,$BR$14:$BR$68,$CZ42)+SUMIFS($CM$14:$CM$68,$BR$14:$BR$68,$CZ42)+SUMIFS($CR$14:$CR$68,$BR$14:$BR$68,$CZ42)  -         SUMIF('Nährstoffe und Lagerraum'!$AX$113:$AX$155,$CZ42,'Nährstoffe und Lagerraum'!$U$113:$U$155)</f>
        <v>0</v>
      </c>
      <c r="GE42" s="1184">
        <f>SUMIFS($CJ$14:$CJ$68,$BR$14:$BR$68,$CZ42)+SUMIFS($CO$14:$CO$68,$BR$14:$BR$68,$CZ42)+SUMIFS($CT$14:$CT$68,$BR$14:$BR$68,$CZ42)  -         SUMIF('Nährstoffe und Lagerraum'!$AX$113:$AX$155,$CZ42,'Nährstoffe und Lagerraum'!$V$113:$V$155)</f>
        <v>0</v>
      </c>
      <c r="GF42" s="1184"/>
      <c r="GG42" s="1184"/>
      <c r="GH42" s="1184">
        <f>SUMIF('Nährstoffe und Lagerraum'!$AX$113:$AX$155,$CZ42,'Nährstoffe und Lagerraum'!$U$113:$U$155)</f>
        <v>0</v>
      </c>
      <c r="GI42" s="1184">
        <f>SUMIF('Nährstoffe und Lagerraum'!$AX$113:$AX$155,$CZ42,'Nährstoffe und Lagerraum'!$V$113:$V$155)</f>
        <v>0</v>
      </c>
      <c r="GJ42" s="1184">
        <f t="shared" si="53"/>
        <v>0</v>
      </c>
      <c r="GK42" s="1184">
        <f t="shared" si="54"/>
        <v>0</v>
      </c>
      <c r="GL42" s="1184">
        <f t="shared" si="55"/>
        <v>0</v>
      </c>
      <c r="GM42" s="1184">
        <f t="shared" si="56"/>
        <v>0</v>
      </c>
      <c r="GN42" s="1184">
        <f t="shared" si="57"/>
        <v>0</v>
      </c>
      <c r="GO42" s="1184" cm="1">
        <f t="array" ref="GO42">IF(GN42=0,0,(IFERROR(SUMPRODUCT($J$14:$J$68,$CH$14:$CH$68,($BR$14:$BR$68=CZ42)*1)+SUMPRODUCT($L$14:$L$68,$M$14:$M$68,$CK$14:$CK$68,($BR$14:$BR$68=CZ42)*1,($BT$14:$BT$68=FALSE)*1)/10+SUMPRODUCT($R$14:$R$68,$CP$14:$CP$68,($BR$14:$BR$68=CZ42)*1),0))/GN42)</f>
        <v>0</v>
      </c>
      <c r="GP42" s="1184">
        <f t="shared" si="58"/>
        <v>0</v>
      </c>
      <c r="GQ42" s="1184">
        <f>(SUMIF('Nährstoffe und Lagerraum'!$AX$113:$AX$130,'Lagerhaltung (freiwillig)'!CZ42,'Nährstoffe und Lagerraum'!$D$113:$D$130)+SUMIF('Nährstoffe und Lagerraum'!$AX$137:$AX$155,'Lagerhaltung (freiwillig)'!CZ42,'Nährstoffe und Lagerraum'!$E$137:$E$155))</f>
        <v>0</v>
      </c>
      <c r="GR42" s="1184" cm="1">
        <f t="array" ref="GR42">IF(GQ42=0,0,(IFERROR(SUMPRODUCT('Nährstoffe und Lagerraum'!$D$113:$D$130,'Nährstoffe und Lagerraum'!$F$113:$F$130,('Nährstoffe und Lagerraum'!$AX$113:$AX$130='Lagerhaltung (freiwillig)'!CZ42)*1)+SUMPRODUCT('Nährstoffe und Lagerraum'!$E$137:$E$155,'Nährstoffe und Lagerraum'!$F$137:$F$155,('Nährstoffe und Lagerraum'!$AX$137:$AX$155='Lagerhaltung (freiwillig)'!CZ42)*1),0))/GQ42)</f>
        <v>0</v>
      </c>
      <c r="GS42" s="1184">
        <f t="shared" si="59"/>
        <v>0</v>
      </c>
      <c r="GT42" s="1184">
        <f t="shared" si="60"/>
        <v>0</v>
      </c>
      <c r="GU42" s="1184">
        <f t="shared" si="61"/>
        <v>0</v>
      </c>
      <c r="GV42" s="1184">
        <f t="shared" si="62"/>
        <v>0</v>
      </c>
      <c r="GW42" s="1186" t="str">
        <f t="shared" si="41"/>
        <v xml:space="preserve"> </v>
      </c>
      <c r="GX42" s="1186" t="str">
        <f t="shared" si="41"/>
        <v xml:space="preserve"> </v>
      </c>
      <c r="GY42" s="1195">
        <f t="shared" si="63"/>
        <v>0</v>
      </c>
      <c r="GZ42" s="1184">
        <f t="shared" si="64"/>
        <v>0</v>
      </c>
      <c r="HA42" s="1184" t="str">
        <f t="shared" si="132"/>
        <v>a</v>
      </c>
      <c r="HB42" s="1196">
        <f t="shared" si="65"/>
        <v>0</v>
      </c>
      <c r="HC42" s="1196">
        <f t="shared" si="66"/>
        <v>0</v>
      </c>
      <c r="HD42" s="1196"/>
      <c r="HE42" s="1187">
        <f t="shared" si="67"/>
        <v>0</v>
      </c>
      <c r="HF42" s="1196">
        <f t="shared" si="68"/>
        <v>0</v>
      </c>
      <c r="HG42" s="1196">
        <f t="shared" si="69"/>
        <v>0</v>
      </c>
      <c r="HH42" s="1196">
        <f t="shared" si="70"/>
        <v>0</v>
      </c>
      <c r="HI42" s="1328" cm="1">
        <f t="array" ref="HI42">IF(AND(HG42=0,GL42=0),0,IF(HG42=0,1,IF(OR(GL42*1000/HG42/HH42&gt;INDEX(Pflanzen!$W$5:$W$104,CZ42)/INDEX(Pflanzen!$I$5:$I$104,CZ42)*$HI$1,GL42*1000/HG42/HH42&lt;INDEX(Pflanzen!$W$5:$W$104,CZ42)/INDEX(Pflanzen!$I$5:$I$104,CZ42)/$HI$1),1,0)))</f>
        <v>0</v>
      </c>
      <c r="HJ42" s="1328" cm="1">
        <f t="array" ref="HJ42">IF(AND(GM42=0,HG42=0),0,IF(HG42=0,1,IF(OR(GM42*1000/HG42/HH42&gt;INDEX(Pflanzen!$X$5:$X$104,CZ42)/INDEX(Pflanzen!$I$5:$I$104,CZ42)*$HI$1,GM42*1000/HG42/HH42&lt;INDEX(Pflanzen!$X$5:$X$104,CZ42)/INDEX(Pflanzen!$I$5:$I$104,CZ42)/$HI$1),1,0)))</f>
        <v>0</v>
      </c>
      <c r="HK42" s="1184">
        <f t="shared" si="71"/>
        <v>3</v>
      </c>
      <c r="HL42" s="1184"/>
      <c r="HN42" s="1184"/>
      <c r="HO42" s="1193" t="str">
        <f>Tiere!B68</f>
        <v>Mastschweine (850 g TZ), N-/P-reduziert</v>
      </c>
      <c r="HP42" s="1184">
        <v>39</v>
      </c>
      <c r="HQ42" s="1194">
        <f>SUMIF('Nährstoffe und Lagerraum'!$BM$68:$BM$87,'Lagerhaltung (freiwillig)'!HP42,'Nährstoffe und Lagerraum'!$Z$68:$Z$87)+SUMIF('Nährstoffe und Lagerraum'!$BM$68:$BM$87,'Lagerhaltung (freiwillig)'!HP42,'Nährstoffe und Lagerraum'!$AA$68:$AA$87)</f>
        <v>0</v>
      </c>
      <c r="HR42" s="1184" cm="1">
        <f t="array" ref="HR42">INDEX(Tiere!$C$30:$C$114,'Lagerhaltung (freiwillig)'!HP42)</f>
        <v>2</v>
      </c>
      <c r="HS42" s="1184" cm="1">
        <f t="array" ref="HS42">INDEX(Tiere!$H$30:$H$114,'Lagerhaltung (freiwillig)'!HP42)</f>
        <v>0</v>
      </c>
      <c r="HT42" s="1184">
        <f t="shared" si="12"/>
        <v>0</v>
      </c>
      <c r="HU42" s="1184" cm="1">
        <f t="array" ref="HU42">INDEX(Tiere!$I$30:$I$114,'Lagerhaltung (freiwillig)'!HP42)</f>
        <v>0</v>
      </c>
      <c r="HV42" s="1184">
        <f t="shared" si="13"/>
        <v>0</v>
      </c>
      <c r="HW42" s="1184" cm="1">
        <f t="array" ref="HW42">INDEX(Tiere!$BC$30:$BC$114,'Lagerhaltung (freiwillig)'!HP42)</f>
        <v>7.9424000000000001</v>
      </c>
      <c r="HX42" s="1184">
        <f t="shared" si="14"/>
        <v>0</v>
      </c>
      <c r="HY42" s="1184" cm="1">
        <f t="array" ref="HY42">INDEX(Tiere!$BD$30:$BD$114,'Lagerhaltung (freiwillig)'!HP42)</f>
        <v>3.6299249999999996</v>
      </c>
      <c r="HZ42" s="1184">
        <f t="shared" si="15"/>
        <v>0</v>
      </c>
      <c r="IA42" s="1184"/>
      <c r="IB42" s="1184"/>
      <c r="IC42" s="1184"/>
      <c r="ID42" s="1184"/>
      <c r="IE42" s="1184"/>
      <c r="IF42" s="1184"/>
      <c r="IG42" s="1184"/>
      <c r="IH42" s="1184"/>
      <c r="II42" s="1184"/>
      <c r="IJ42" s="1184"/>
      <c r="IK42" s="1184"/>
      <c r="IL42" s="1184"/>
    </row>
    <row r="43" spans="1:247" ht="12.75" customHeight="1" thickBot="1" x14ac:dyDescent="0.25">
      <c r="A43" s="3031"/>
      <c r="B43" s="3032"/>
      <c r="C43" s="3032"/>
      <c r="D43" s="3032"/>
      <c r="E43" s="3033"/>
      <c r="F43" s="3019"/>
      <c r="G43" s="3034" t="s">
        <v>437</v>
      </c>
      <c r="H43" s="3035"/>
      <c r="I43" s="3019"/>
      <c r="J43" s="3051"/>
      <c r="K43" s="3019"/>
      <c r="L43" s="2849"/>
      <c r="M43" s="2849"/>
      <c r="N43" s="1160" t="s">
        <v>8269</v>
      </c>
      <c r="O43" s="2187" t="s">
        <v>943</v>
      </c>
      <c r="P43" s="3065"/>
      <c r="Q43" s="3019"/>
      <c r="R43" s="2849"/>
      <c r="S43" s="2179" t="s">
        <v>8269</v>
      </c>
      <c r="T43" s="1284" t="s">
        <v>943</v>
      </c>
      <c r="U43" s="1299"/>
      <c r="V43" s="1301"/>
      <c r="Y43" s="1554" t="str" cm="1">
        <f t="array" ref="Y43">IFERROR(INDEX($CY$4:$CY$165,AY43),"")</f>
        <v/>
      </c>
      <c r="Z43" s="1555"/>
      <c r="AA43" s="1555"/>
      <c r="AB43" s="1555"/>
      <c r="AC43" s="1454" t="str" cm="1">
        <f t="array" ref="AC43">IFERROR(INDEX($GN$4:$GN$165,AY43),"")</f>
        <v/>
      </c>
      <c r="AD43" s="1454" t="str" cm="1">
        <f t="array" ref="AD43">IFERROR(INDEX($GO$4:$GO$165,AY43),"")</f>
        <v/>
      </c>
      <c r="AE43" s="1454" t="str" cm="1">
        <f t="array" ref="AE43">IFERROR(INDEX($GJ$4:$GJ$165,AY43),"")</f>
        <v/>
      </c>
      <c r="AF43" s="1454" t="str" cm="1">
        <f t="array" ref="AF43">IFERROR(INDEX($GK$4:$GK$165,AY43),"")</f>
        <v/>
      </c>
      <c r="AG43" s="1454" t="str" cm="1">
        <f t="array" ref="AG43">IFERROR(INDEX($GQ$4:$GQ$165,AY43),"")</f>
        <v/>
      </c>
      <c r="AH43" s="1454" t="str" cm="1">
        <f t="array" ref="AH43">IFERROR(INDEX($GR$4:$GR$165,AY43),"")</f>
        <v/>
      </c>
      <c r="AI43" s="1454" t="str" cm="1">
        <f t="array" ref="AI43">IFERROR(INDEX($GH$4:$GH$165,AY43),"")</f>
        <v/>
      </c>
      <c r="AJ43" s="1454" t="str" cm="1">
        <f t="array" ref="AJ43">IFERROR(INDEX($GI$4:$GI$165,AY43),"")</f>
        <v/>
      </c>
      <c r="AK43" s="1454" t="str" cm="1">
        <f t="array" ref="AK43">IFERROR(INDEX($GU$4:$GU$165,AY43),"")</f>
        <v/>
      </c>
      <c r="AL43" s="1455" t="str" cm="1">
        <f t="array" ref="AL43">IFERROR(INDEX($GV$4:$GV$165,AY43),"")</f>
        <v/>
      </c>
      <c r="AM43" s="1454" t="str" cm="1">
        <f t="array" ref="AM43">IFERROR(INDEX($GD$4:$GD$165,AY43),"")</f>
        <v/>
      </c>
      <c r="AN43" s="1454" t="str" cm="1">
        <f t="array" ref="AN43">IFERROR(INDEX($GE$4:$GE$165,AY43),"")</f>
        <v/>
      </c>
      <c r="AO43" s="1454" t="str" cm="1">
        <f t="array" ref="AO43">IFERROR(INDEX($GW$4:$GW$165,AY43),"")</f>
        <v/>
      </c>
      <c r="AP43" s="1454" t="str" cm="1">
        <f t="array" ref="AP43">IFERROR(INDEX($GZ$4:$GZ$165,AY43),"")</f>
        <v/>
      </c>
      <c r="AQ43" s="1457"/>
      <c r="AR43" s="1454" t="str" cm="1">
        <f t="array" ref="AR43">IFERROR(INDEX($HF$4:$HF$165,AY43),"")</f>
        <v/>
      </c>
      <c r="AS43" s="1454" t="str" cm="1">
        <f t="array" ref="AS43">IFERROR(INDEX($HG$4:$HG$165,AY43),"")</f>
        <v/>
      </c>
      <c r="AT43" s="1454" t="str" cm="1">
        <f t="array" ref="AT43">IFERROR(INDEX($HH$4:$HH$165,AY43),"")</f>
        <v/>
      </c>
      <c r="AU43" s="1454" t="str" cm="1">
        <f t="array" ref="AU43">IFERROR(INDEX($GL$4:$GL$165,AY43),"")</f>
        <v/>
      </c>
      <c r="AV43" s="1454" t="str" cm="1">
        <f t="array" ref="AV43">IFERROR(INDEX($GM$4:$GM$165,AY43),"")</f>
        <v/>
      </c>
      <c r="AY43" s="1184" t="str" cm="1">
        <f t="array" ref="AY43">IFERROR(SMALL(IF($HK$4:$HK$165=1,ROW($HK$4:$HK$165)-3),ROW(W28)),IFERROR(SMALL(IF($HK$4:$HK$165=2,ROW($HK$4:$HK$165)-3),ROW(W28)-COUNTIF($HK$4:$HK$165,1)),IFERROR(SMALL(IF($HK$4:$HK$165=0,ROW($HK$4:$HK$165)-3),ROW(W28)-COUNTIF($HK$4:$HK$165,1)-COUNTIF($HK$4:$HK$165,2)),"")))</f>
        <v/>
      </c>
      <c r="AZ43" s="1184" t="str">
        <f t="shared" si="129"/>
        <v>a</v>
      </c>
      <c r="BA43" s="1194" t="e">
        <f t="shared" si="130"/>
        <v>#VALUE!</v>
      </c>
      <c r="BB43" s="1194" cm="1">
        <f t="array" ref="BB43">IFERROR(INDEX($HK$4:$HK$165,AY43),0)</f>
        <v>0</v>
      </c>
      <c r="BC43" s="1194">
        <f t="shared" si="131"/>
        <v>0</v>
      </c>
      <c r="BD43" s="1194"/>
      <c r="BE43" s="1343"/>
      <c r="BF43" s="1343"/>
      <c r="BG43" s="1343"/>
      <c r="BH43" s="1343"/>
      <c r="BI43" s="1343"/>
      <c r="BJ43" s="1343"/>
      <c r="BK43" s="1343"/>
      <c r="BL43" s="1343"/>
      <c r="BM43" s="1343"/>
      <c r="BN43" s="1343"/>
      <c r="BO43" s="1343"/>
      <c r="BQ43" s="1184"/>
      <c r="BR43" s="1184"/>
      <c r="BS43" s="1184"/>
      <c r="BT43" s="1200"/>
      <c r="BU43" s="1185"/>
      <c r="BV43" s="1185"/>
      <c r="BW43" s="1184"/>
      <c r="BX43" s="1184"/>
      <c r="BY43" s="1184"/>
      <c r="BZ43" s="1184"/>
      <c r="CA43" s="1184"/>
      <c r="CB43" s="1184"/>
      <c r="CC43" s="1184"/>
      <c r="CD43" s="1184"/>
      <c r="CE43" s="1184"/>
      <c r="CF43" s="1184"/>
      <c r="CG43" s="1184"/>
      <c r="CH43" s="1184"/>
      <c r="CI43" s="1184"/>
      <c r="CJ43" s="1184"/>
      <c r="CK43" s="1184"/>
      <c r="CL43" s="1184"/>
      <c r="CM43" s="1184"/>
      <c r="CN43" s="1184"/>
      <c r="CO43" s="1184"/>
      <c r="CP43" s="1184"/>
      <c r="CQ43" s="1184"/>
      <c r="CR43" s="1184"/>
      <c r="CS43" s="1184"/>
      <c r="CT43" s="1184"/>
      <c r="CU43" s="1184"/>
      <c r="CV43" s="1184"/>
      <c r="CW43" s="1184"/>
      <c r="CX43" s="1184"/>
      <c r="CY43" s="320" t="str">
        <f>Pflanzen!A39</f>
        <v>Ackergras</v>
      </c>
      <c r="CZ43" s="1200">
        <f>IFERROR(MATCH($CY43,Pflanzen!$C$5:$C$114,0),1)</f>
        <v>35</v>
      </c>
      <c r="DA43" s="320" cm="1">
        <f t="array" ref="DA43">INDEX(Pflanzen!$H$5:$H$114,'Lagerhaltung (freiwillig)'!CZ43)</f>
        <v>1</v>
      </c>
      <c r="DB43" s="1200">
        <f t="shared" si="106"/>
        <v>0</v>
      </c>
      <c r="DC43" s="1200">
        <f t="shared" si="106"/>
        <v>0</v>
      </c>
      <c r="DD43" s="1200">
        <f t="shared" si="106"/>
        <v>0</v>
      </c>
      <c r="DE43" s="1200">
        <f t="shared" si="106"/>
        <v>0</v>
      </c>
      <c r="DF43" s="1200">
        <f t="shared" si="106"/>
        <v>0</v>
      </c>
      <c r="DG43" s="1184">
        <f t="shared" si="106"/>
        <v>0</v>
      </c>
      <c r="DH43" s="1184">
        <f t="shared" si="106"/>
        <v>0</v>
      </c>
      <c r="DI43" s="1184">
        <f t="shared" si="106"/>
        <v>0</v>
      </c>
      <c r="DJ43" s="1184">
        <f t="shared" si="106"/>
        <v>0</v>
      </c>
      <c r="DK43" s="1184">
        <f t="shared" si="106"/>
        <v>0</v>
      </c>
      <c r="DL43" s="1184">
        <f t="shared" si="106"/>
        <v>0</v>
      </c>
      <c r="DM43" s="1184">
        <f t="shared" si="106"/>
        <v>0</v>
      </c>
      <c r="DN43" s="1184"/>
      <c r="DO43" s="1184">
        <f t="shared" si="107"/>
        <v>0</v>
      </c>
      <c r="DP43" s="1184">
        <f t="shared" si="107"/>
        <v>0</v>
      </c>
      <c r="DQ43" s="1184">
        <f t="shared" si="107"/>
        <v>0</v>
      </c>
      <c r="DR43" s="1184">
        <f t="shared" si="107"/>
        <v>0</v>
      </c>
      <c r="DS43" s="1184">
        <f t="shared" si="107"/>
        <v>0</v>
      </c>
      <c r="DT43" s="1184">
        <f t="shared" si="107"/>
        <v>0</v>
      </c>
      <c r="DU43" s="1184">
        <f t="shared" si="107"/>
        <v>0</v>
      </c>
      <c r="DV43" s="1184">
        <f t="shared" si="107"/>
        <v>0</v>
      </c>
      <c r="DW43" s="1184">
        <f t="shared" si="107"/>
        <v>0</v>
      </c>
      <c r="DX43" s="1184">
        <f t="shared" si="107"/>
        <v>0</v>
      </c>
      <c r="DY43" s="1184">
        <f t="shared" si="107"/>
        <v>0</v>
      </c>
      <c r="DZ43" s="1184">
        <f t="shared" si="107"/>
        <v>0</v>
      </c>
      <c r="EA43" s="1184"/>
      <c r="EB43" s="1184">
        <f t="shared" si="108"/>
        <v>0</v>
      </c>
      <c r="EC43" s="1184">
        <f t="shared" si="108"/>
        <v>0</v>
      </c>
      <c r="ED43" s="1184">
        <f t="shared" si="108"/>
        <v>0</v>
      </c>
      <c r="EE43" s="1184">
        <f t="shared" si="108"/>
        <v>0</v>
      </c>
      <c r="EF43" s="1184">
        <f t="shared" si="108"/>
        <v>0</v>
      </c>
      <c r="EG43" s="1184">
        <f t="shared" si="108"/>
        <v>0</v>
      </c>
      <c r="EH43" s="1184">
        <f t="shared" si="108"/>
        <v>0</v>
      </c>
      <c r="EI43" s="1184">
        <f t="shared" si="108"/>
        <v>0</v>
      </c>
      <c r="EJ43" s="1184">
        <f t="shared" si="108"/>
        <v>0</v>
      </c>
      <c r="EK43" s="1184">
        <f t="shared" si="108"/>
        <v>0</v>
      </c>
      <c r="EL43" s="1184">
        <f t="shared" si="108"/>
        <v>0</v>
      </c>
      <c r="EM43" s="1184">
        <f t="shared" si="108"/>
        <v>0</v>
      </c>
      <c r="EN43" s="1184"/>
      <c r="EO43" s="1184">
        <f t="shared" si="109"/>
        <v>0</v>
      </c>
      <c r="EP43" s="1184">
        <f t="shared" si="109"/>
        <v>0</v>
      </c>
      <c r="EQ43" s="1184">
        <f t="shared" si="109"/>
        <v>0</v>
      </c>
      <c r="ER43" s="1184">
        <f t="shared" si="109"/>
        <v>0</v>
      </c>
      <c r="ES43" s="1184">
        <f t="shared" si="109"/>
        <v>0</v>
      </c>
      <c r="ET43" s="1184">
        <f t="shared" si="109"/>
        <v>0</v>
      </c>
      <c r="EU43" s="1184">
        <f t="shared" si="109"/>
        <v>0</v>
      </c>
      <c r="EV43" s="1184">
        <f t="shared" si="109"/>
        <v>0</v>
      </c>
      <c r="EW43" s="1184">
        <f t="shared" si="109"/>
        <v>0</v>
      </c>
      <c r="EX43" s="1184">
        <f t="shared" si="109"/>
        <v>0</v>
      </c>
      <c r="EY43" s="1184">
        <f t="shared" si="109"/>
        <v>0</v>
      </c>
      <c r="EZ43" s="1184">
        <f t="shared" si="109"/>
        <v>0</v>
      </c>
      <c r="FA43" s="1184"/>
      <c r="FB43" s="1186">
        <f t="shared" si="51"/>
        <v>0</v>
      </c>
      <c r="FC43" s="1184">
        <f>FB43+DB43+EB43                 -         SUMIF('Nährstoffe und Lagerraum'!$AX$113:$AX$155,$CZ43,'Nährstoffe und Lagerraum'!$U$113:$U$155)/12  -$GD43*$HE43/12</f>
        <v>0</v>
      </c>
      <c r="FD43" s="1184">
        <f>FC43+DC43+EC43                 -         SUMIF('Nährstoffe und Lagerraum'!$AX$113:$AX$155,$CZ43,'Nährstoffe und Lagerraum'!$U$113:$U$155)/12  -$GD43*$HE43/12</f>
        <v>0</v>
      </c>
      <c r="FE43" s="1184">
        <f>FD43+DD43+ED43                 -         SUMIF('Nährstoffe und Lagerraum'!$AX$113:$AX$155,$CZ43,'Nährstoffe und Lagerraum'!$U$113:$U$155)/12  -$GD43*$HE43/12</f>
        <v>0</v>
      </c>
      <c r="FF43" s="1184">
        <f>FE43+DE43+EE43                 -         SUMIF('Nährstoffe und Lagerraum'!$AX$113:$AX$155,$CZ43,'Nährstoffe und Lagerraum'!$U$113:$U$155)/12  -$GD43*$HE43/12</f>
        <v>0</v>
      </c>
      <c r="FG43" s="1184">
        <f>FF43+DF43+EF43                 -         SUMIF('Nährstoffe und Lagerraum'!$AX$113:$AX$155,$CZ43,'Nährstoffe und Lagerraum'!$U$113:$U$155)/12  -$GD43*$HE43/12</f>
        <v>0</v>
      </c>
      <c r="FH43" s="1184">
        <f>FG43+DG43+EG43                 -         SUMIF('Nährstoffe und Lagerraum'!$AX$113:$AX$155,$CZ43,'Nährstoffe und Lagerraum'!$U$113:$U$155)/12  -$GD43*$HE43/12</f>
        <v>0</v>
      </c>
      <c r="FI43" s="1184">
        <f>FH43+DH43+EH43                 -         SUMIF('Nährstoffe und Lagerraum'!$AX$113:$AX$155,$CZ43,'Nährstoffe und Lagerraum'!$U$113:$U$155)/12  -$GD43*$HE43/12</f>
        <v>0</v>
      </c>
      <c r="FJ43" s="1184">
        <f>FI43+DI43+EI43                 -         SUMIF('Nährstoffe und Lagerraum'!$AX$113:$AX$155,$CZ43,'Nährstoffe und Lagerraum'!$U$113:$U$155)/12  -$GD43*$HE43/12</f>
        <v>0</v>
      </c>
      <c r="FK43" s="1184">
        <f>FJ43+DJ43+EJ43                 -         SUMIF('Nährstoffe und Lagerraum'!$AX$113:$AX$155,$CZ43,'Nährstoffe und Lagerraum'!$U$113:$U$155)/12  -$GD43*$HE43/12</f>
        <v>0</v>
      </c>
      <c r="FL43" s="1184">
        <f>FK43+DK43+EK43                 -         SUMIF('Nährstoffe und Lagerraum'!$AX$113:$AX$155,$CZ43,'Nährstoffe und Lagerraum'!$U$113:$U$155)/12  -$GD43*$HE43/12</f>
        <v>0</v>
      </c>
      <c r="FM43" s="1184">
        <f>FL43+DL43+EL43                 -         SUMIF('Nährstoffe und Lagerraum'!$AX$113:$AX$155,$CZ43,'Nährstoffe und Lagerraum'!$U$113:$U$155)/12  -$GD43*$HE43/12</f>
        <v>0</v>
      </c>
      <c r="FN43" s="1184">
        <f>FM43+DM43+EM43                 -         SUMIF('Nährstoffe und Lagerraum'!$AX$113:$AX$155,$CZ43,'Nährstoffe und Lagerraum'!$U$113:$U$155)/12  -$GD43*$HE43/12</f>
        <v>0</v>
      </c>
      <c r="FO43" s="1184"/>
      <c r="FP43" s="1186">
        <f t="shared" si="52"/>
        <v>0</v>
      </c>
      <c r="FQ43" s="1184">
        <f>FP43+DO43+EO43                 -         SUMIF('Nährstoffe und Lagerraum'!$AX$113:$AX$155,$CZ43,'Nährstoffe und Lagerraum'!$V$113:$V$155)/12  -$GE43*$HE43/12</f>
        <v>0</v>
      </c>
      <c r="FR43" s="1184">
        <f>FQ43+DP43+EP43                 -         SUMIF('Nährstoffe und Lagerraum'!$AX$113:$AX$155,$CZ43,'Nährstoffe und Lagerraum'!$V$113:$V$155)/12  -$GE43*$HE43/12</f>
        <v>0</v>
      </c>
      <c r="FS43" s="1184">
        <f>FR43+DQ43+EQ43                 -         SUMIF('Nährstoffe und Lagerraum'!$AX$113:$AX$155,$CZ43,'Nährstoffe und Lagerraum'!$V$113:$V$155)/12  -$GE43*$HE43/12</f>
        <v>0</v>
      </c>
      <c r="FT43" s="1184">
        <f>FS43+DR43+ER43                 -         SUMIF('Nährstoffe und Lagerraum'!$AX$113:$AX$155,$CZ43,'Nährstoffe und Lagerraum'!$V$113:$V$155)/12  -$GE43*$HE43/12</f>
        <v>0</v>
      </c>
      <c r="FU43" s="1184">
        <f>FT43+DS43+ES43                 -         SUMIF('Nährstoffe und Lagerraum'!$AX$113:$AX$155,$CZ43,'Nährstoffe und Lagerraum'!$V$113:$V$155)/12  -$GE43*$HE43/12</f>
        <v>0</v>
      </c>
      <c r="FV43" s="1184">
        <f>FU43+DT43+ET43                 -         SUMIF('Nährstoffe und Lagerraum'!$AX$113:$AX$155,$CZ43,'Nährstoffe und Lagerraum'!$V$113:$V$155)/12  -$GE43*$HE43/12</f>
        <v>0</v>
      </c>
      <c r="FW43" s="1184">
        <f>FV43+DU43+EU43                 -         SUMIF('Nährstoffe und Lagerraum'!$AX$113:$AX$155,$CZ43,'Nährstoffe und Lagerraum'!$V$113:$V$155)/12  -$GE43*$HE43/12</f>
        <v>0</v>
      </c>
      <c r="FX43" s="1184">
        <f>FW43+DV43+EV43                 -         SUMIF('Nährstoffe und Lagerraum'!$AX$113:$AX$155,$CZ43,'Nährstoffe und Lagerraum'!$V$113:$V$155)/12  -$GE43*$HE43/12</f>
        <v>0</v>
      </c>
      <c r="FY43" s="1184">
        <f>FX43+DW43+EW43                 -         SUMIF('Nährstoffe und Lagerraum'!$AX$113:$AX$155,$CZ43,'Nährstoffe und Lagerraum'!$V$113:$V$155)/12  -$GE43*$HE43/12</f>
        <v>0</v>
      </c>
      <c r="FZ43" s="1184">
        <f>FY43+DX43+EX43                 -         SUMIF('Nährstoffe und Lagerraum'!$AX$113:$AX$155,$CZ43,'Nährstoffe und Lagerraum'!$V$113:$V$155)/12  -$GE43*$HE43/12</f>
        <v>0</v>
      </c>
      <c r="GA43" s="1184">
        <f>FZ43+DY43+EY43                 -         SUMIF('Nährstoffe und Lagerraum'!$AX$113:$AX$155,$CZ43,'Nährstoffe und Lagerraum'!$V$113:$V$155)/12  -$GE43*$HE43/12</f>
        <v>0</v>
      </c>
      <c r="GB43" s="1184">
        <f>GA43+DZ43+EZ43                 -         SUMIF('Nährstoffe und Lagerraum'!$AX$113:$AX$155,$CZ43,'Nährstoffe und Lagerraum'!$V$113:$V$155)/12  -$GE43*$HE43/12</f>
        <v>0</v>
      </c>
      <c r="GC43" s="1184"/>
      <c r="GD43" s="1184">
        <f>SUMIFS($CI$14:$CI$68,$BR$14:$BR$68,$CZ43)+SUMIFS($CM$14:$CM$68,$BR$14:$BR$68,$CZ43)+SUMIFS($CR$14:$CR$68,$BR$14:$BR$68,$CZ43)  -         SUMIF('Nährstoffe und Lagerraum'!$AX$113:$AX$155,$CZ43,'Nährstoffe und Lagerraum'!$U$113:$U$155)</f>
        <v>0</v>
      </c>
      <c r="GE43" s="1184">
        <f>SUMIFS($CJ$14:$CJ$68,$BR$14:$BR$68,$CZ43)+SUMIFS($CO$14:$CO$68,$BR$14:$BR$68,$CZ43)+SUMIFS($CT$14:$CT$68,$BR$14:$BR$68,$CZ43)  -         SUMIF('Nährstoffe und Lagerraum'!$AX$113:$AX$155,$CZ43,'Nährstoffe und Lagerraum'!$V$113:$V$155)</f>
        <v>0</v>
      </c>
      <c r="GF43" s="1184"/>
      <c r="GG43" s="1184"/>
      <c r="GH43" s="1184">
        <f>SUMIF('Nährstoffe und Lagerraum'!$AX$113:$AX$155,$CZ43,'Nährstoffe und Lagerraum'!$U$113:$U$155)</f>
        <v>0</v>
      </c>
      <c r="GI43" s="1184">
        <f>SUMIF('Nährstoffe und Lagerraum'!$AX$113:$AX$155,$CZ43,'Nährstoffe und Lagerraum'!$V$113:$V$155)</f>
        <v>0</v>
      </c>
      <c r="GJ43" s="1184">
        <f t="shared" si="53"/>
        <v>0</v>
      </c>
      <c r="GK43" s="1184">
        <f t="shared" si="54"/>
        <v>0</v>
      </c>
      <c r="GL43" s="1184">
        <f t="shared" si="55"/>
        <v>0</v>
      </c>
      <c r="GM43" s="1184">
        <f t="shared" si="56"/>
        <v>0</v>
      </c>
      <c r="GN43" s="1184">
        <f t="shared" si="57"/>
        <v>0</v>
      </c>
      <c r="GO43" s="1184" cm="1">
        <f t="array" ref="GO43">IF(GN43=0,0,(IFERROR(SUMPRODUCT($J$14:$J$68,$CH$14:$CH$68,($BR$14:$BR$68=CZ43)*1)+SUMPRODUCT($L$14:$L$68,$M$14:$M$68,$CK$14:$CK$68,($BR$14:$BR$68=CZ43)*1,($BT$14:$BT$68=FALSE)*1)/10+SUMPRODUCT($R$14:$R$68,$CP$14:$CP$68,($BR$14:$BR$68=CZ43)*1),0))/GN43)</f>
        <v>0</v>
      </c>
      <c r="GP43" s="1184">
        <f t="shared" si="58"/>
        <v>0</v>
      </c>
      <c r="GQ43" s="1184">
        <f>(SUMIF('Nährstoffe und Lagerraum'!$AX$113:$AX$130,'Lagerhaltung (freiwillig)'!CZ43,'Nährstoffe und Lagerraum'!$D$113:$D$130)+SUMIF('Nährstoffe und Lagerraum'!$AX$137:$AX$155,'Lagerhaltung (freiwillig)'!CZ43,'Nährstoffe und Lagerraum'!$E$137:$E$155))</f>
        <v>0</v>
      </c>
      <c r="GR43" s="1184" cm="1">
        <f t="array" ref="GR43">IF(GQ43=0,0,(IFERROR(SUMPRODUCT('Nährstoffe und Lagerraum'!$D$113:$D$130,'Nährstoffe und Lagerraum'!$F$113:$F$130,('Nährstoffe und Lagerraum'!$AX$113:$AX$130='Lagerhaltung (freiwillig)'!CZ43)*1)+SUMPRODUCT('Nährstoffe und Lagerraum'!$E$137:$E$155,'Nährstoffe und Lagerraum'!$F$137:$F$155,('Nährstoffe und Lagerraum'!$AX$137:$AX$155='Lagerhaltung (freiwillig)'!CZ43)*1),0))/GQ43)</f>
        <v>0</v>
      </c>
      <c r="GS43" s="1184">
        <f t="shared" si="59"/>
        <v>0</v>
      </c>
      <c r="GT43" s="1184">
        <f t="shared" si="60"/>
        <v>0</v>
      </c>
      <c r="GU43" s="1184">
        <f t="shared" si="61"/>
        <v>0</v>
      </c>
      <c r="GV43" s="1184">
        <f t="shared" si="62"/>
        <v>0</v>
      </c>
      <c r="GW43" s="1186" t="str">
        <f t="shared" si="41"/>
        <v xml:space="preserve"> </v>
      </c>
      <c r="GX43" s="1186" t="str">
        <f t="shared" si="41"/>
        <v xml:space="preserve"> </v>
      </c>
      <c r="GY43" s="1195">
        <f t="shared" si="63"/>
        <v>0</v>
      </c>
      <c r="GZ43" s="1184">
        <f t="shared" si="64"/>
        <v>0</v>
      </c>
      <c r="HA43" s="1184" t="str">
        <f t="shared" si="132"/>
        <v>a</v>
      </c>
      <c r="HB43" s="1196">
        <f t="shared" si="65"/>
        <v>0</v>
      </c>
      <c r="HC43" s="1196">
        <f t="shared" si="66"/>
        <v>0</v>
      </c>
      <c r="HD43" s="1196"/>
      <c r="HE43" s="1187">
        <f t="shared" si="67"/>
        <v>0</v>
      </c>
      <c r="HF43" s="1196">
        <f t="shared" si="68"/>
        <v>0</v>
      </c>
      <c r="HG43" s="1196">
        <f t="shared" si="69"/>
        <v>0</v>
      </c>
      <c r="HH43" s="1196">
        <f t="shared" si="70"/>
        <v>0</v>
      </c>
      <c r="HI43" s="1328" cm="1">
        <f t="array" ref="HI43">IF(AND(HG43=0,GL43=0),0,IF(HG43=0,1,IF(OR(GL43*1000/HG43/HH43&gt;INDEX(Pflanzen!$W$5:$W$104,CZ43)/INDEX(Pflanzen!$I$5:$I$104,CZ43)*$HI$1,GL43*1000/HG43/HH43&lt;INDEX(Pflanzen!$W$5:$W$104,CZ43)/INDEX(Pflanzen!$I$5:$I$104,CZ43)/$HI$1),1,0)))</f>
        <v>0</v>
      </c>
      <c r="HJ43" s="1328" cm="1">
        <f t="array" ref="HJ43">IF(AND(GM43=0,HG43=0),0,IF(HG43=0,1,IF(OR(GM43*1000/HG43/HH43&gt;INDEX(Pflanzen!$X$5:$X$104,CZ43)/INDEX(Pflanzen!$I$5:$I$104,CZ43)*$HI$1,GM43*1000/HG43/HH43&lt;INDEX(Pflanzen!$X$5:$X$104,CZ43)/INDEX(Pflanzen!$I$5:$I$104,CZ43)/$HI$1),1,0)))</f>
        <v>0</v>
      </c>
      <c r="HK43" s="1184">
        <f t="shared" si="71"/>
        <v>3</v>
      </c>
      <c r="HL43" s="1184"/>
      <c r="HN43" s="1184"/>
      <c r="HO43" s="1193" t="str">
        <f>Tiere!B69</f>
        <v>Mastschweine (850 g TZ), stark N-/P-red.*</v>
      </c>
      <c r="HP43" s="1184">
        <v>40</v>
      </c>
      <c r="HQ43" s="1194">
        <f>SUMIF('Nährstoffe und Lagerraum'!$BM$68:$BM$87,'Lagerhaltung (freiwillig)'!HP43,'Nährstoffe und Lagerraum'!$Z$68:$Z$87)+SUMIF('Nährstoffe und Lagerraum'!$BM$68:$BM$87,'Lagerhaltung (freiwillig)'!HP43,'Nährstoffe und Lagerraum'!$AA$68:$AA$87)</f>
        <v>0</v>
      </c>
      <c r="HR43" s="1184" cm="1">
        <f t="array" ref="HR43">INDEX(Tiere!$C$30:$C$114,'Lagerhaltung (freiwillig)'!HP43)</f>
        <v>2</v>
      </c>
      <c r="HS43" s="1184" cm="1">
        <f t="array" ref="HS43">INDEX(Tiere!$H$30:$H$114,'Lagerhaltung (freiwillig)'!HP43)</f>
        <v>0</v>
      </c>
      <c r="HT43" s="1184">
        <f t="shared" si="12"/>
        <v>0</v>
      </c>
      <c r="HU43" s="1184" cm="1">
        <f t="array" ref="HU43">INDEX(Tiere!$I$30:$I$114,'Lagerhaltung (freiwillig)'!HP43)</f>
        <v>0</v>
      </c>
      <c r="HV43" s="1184">
        <f t="shared" si="13"/>
        <v>0</v>
      </c>
      <c r="HW43" s="1184" cm="1">
        <f t="array" ref="HW43">INDEX(Tiere!$BC$30:$BC$114,'Lagerhaltung (freiwillig)'!HP43)</f>
        <v>7.9424000000000001</v>
      </c>
      <c r="HX43" s="1184">
        <f t="shared" si="14"/>
        <v>0</v>
      </c>
      <c r="HY43" s="1184" cm="1">
        <f t="array" ref="HY43">INDEX(Tiere!$BD$30:$BD$114,'Lagerhaltung (freiwillig)'!HP43)</f>
        <v>3.6299249999999996</v>
      </c>
      <c r="HZ43" s="1184">
        <f t="shared" si="15"/>
        <v>0</v>
      </c>
      <c r="IA43" s="1184"/>
      <c r="IB43" s="1184"/>
      <c r="IC43" s="1184"/>
      <c r="ID43" s="1184"/>
      <c r="IE43" s="1184"/>
      <c r="IF43" s="1184"/>
      <c r="IG43" s="1184"/>
      <c r="IH43" s="1184"/>
      <c r="II43" s="1184"/>
      <c r="IJ43" s="1184"/>
      <c r="IK43" s="1184"/>
      <c r="IL43" s="1184"/>
    </row>
    <row r="44" spans="1:247" ht="15.6" customHeight="1" x14ac:dyDescent="0.2">
      <c r="F44" s="1121"/>
      <c r="G44" s="1497"/>
      <c r="H44" s="1337"/>
      <c r="I44" s="1161" t="str">
        <f t="shared" ref="I44:I68" si="133">IF($F44="","",$F44)</f>
        <v/>
      </c>
      <c r="J44" s="1302"/>
      <c r="K44" s="1161" t="str">
        <f t="shared" ref="K44:K68" si="134">IF($F44="","",$F44)</f>
        <v/>
      </c>
      <c r="L44" s="1486"/>
      <c r="M44" s="1489"/>
      <c r="N44" s="1486"/>
      <c r="O44" s="1486"/>
      <c r="P44" s="1302"/>
      <c r="Q44" s="1161" t="str">
        <f t="shared" ref="Q44:Q68" si="135">IF($F44="","",$F44)</f>
        <v/>
      </c>
      <c r="R44" s="1486"/>
      <c r="S44" s="1489"/>
      <c r="T44" s="1302"/>
      <c r="V44" s="1346" t="str">
        <f>IF(OR(AND(BZ44=3,L44&gt;0),AND(OR(J44&gt;0,M44&gt;0,R44&gt;0),OR(G44="",H44="",F44="")),AND(L44="",M44&gt;0),AND(L44&gt;0,M44="")),"Fehler","")</f>
        <v/>
      </c>
      <c r="Y44" s="1554" t="str" cm="1">
        <f t="array" ref="Y44">IFERROR(INDEX($CY$4:$CY$165,AY44),"")</f>
        <v/>
      </c>
      <c r="Z44" s="1555"/>
      <c r="AA44" s="1555"/>
      <c r="AB44" s="1555"/>
      <c r="AC44" s="1454" t="str" cm="1">
        <f t="array" ref="AC44">IFERROR(INDEX($GN$4:$GN$165,AY44),"")</f>
        <v/>
      </c>
      <c r="AD44" s="1454" t="str" cm="1">
        <f t="array" ref="AD44">IFERROR(INDEX($GO$4:$GO$165,AY44),"")</f>
        <v/>
      </c>
      <c r="AE44" s="1454" t="str" cm="1">
        <f t="array" ref="AE44">IFERROR(INDEX($GJ$4:$GJ$165,AY44),"")</f>
        <v/>
      </c>
      <c r="AF44" s="1454" t="str" cm="1">
        <f t="array" ref="AF44">IFERROR(INDEX($GK$4:$GK$165,AY44),"")</f>
        <v/>
      </c>
      <c r="AG44" s="1454" t="str" cm="1">
        <f t="array" ref="AG44">IFERROR(INDEX($GQ$4:$GQ$165,AY44),"")</f>
        <v/>
      </c>
      <c r="AH44" s="1454" t="str" cm="1">
        <f t="array" ref="AH44">IFERROR(INDEX($GR$4:$GR$165,AY44),"")</f>
        <v/>
      </c>
      <c r="AI44" s="1454" t="str" cm="1">
        <f t="array" ref="AI44">IFERROR(INDEX($GH$4:$GH$165,AY44),"")</f>
        <v/>
      </c>
      <c r="AJ44" s="1454" t="str" cm="1">
        <f t="array" ref="AJ44">IFERROR(INDEX($GI$4:$GI$165,AY44),"")</f>
        <v/>
      </c>
      <c r="AK44" s="1454" t="str" cm="1">
        <f t="array" ref="AK44">IFERROR(INDEX($GU$4:$GU$165,AY44),"")</f>
        <v/>
      </c>
      <c r="AL44" s="1455" t="str" cm="1">
        <f t="array" ref="AL44">IFERROR(INDEX($GV$4:$GV$165,AY44),"")</f>
        <v/>
      </c>
      <c r="AM44" s="1454" t="str" cm="1">
        <f t="array" ref="AM44">IFERROR(INDEX($GD$4:$GD$165,AY44),"")</f>
        <v/>
      </c>
      <c r="AN44" s="1454" t="str" cm="1">
        <f t="array" ref="AN44">IFERROR(INDEX($GE$4:$GE$165,AY44),"")</f>
        <v/>
      </c>
      <c r="AO44" s="1454" t="str" cm="1">
        <f t="array" ref="AO44">IFERROR(INDEX($GW$4:$GW$165,AY44),"")</f>
        <v/>
      </c>
      <c r="AP44" s="1454" t="str" cm="1">
        <f t="array" ref="AP44">IFERROR(INDEX($GZ$4:$GZ$165,AY44),"")</f>
        <v/>
      </c>
      <c r="AQ44" s="1457"/>
      <c r="AR44" s="1454" t="str" cm="1">
        <f t="array" ref="AR44">IFERROR(INDEX($HF$4:$HF$165,AY44),"")</f>
        <v/>
      </c>
      <c r="AS44" s="1454" t="str" cm="1">
        <f t="array" ref="AS44">IFERROR(INDEX($HG$4:$HG$165,AY44),"")</f>
        <v/>
      </c>
      <c r="AT44" s="1454" t="str" cm="1">
        <f t="array" ref="AT44">IFERROR(INDEX($HH$4:$HH$165,AY44),"")</f>
        <v/>
      </c>
      <c r="AU44" s="1454" t="str" cm="1">
        <f t="array" ref="AU44">IFERROR(INDEX($GL$4:$GL$165,AY44),"")</f>
        <v/>
      </c>
      <c r="AV44" s="1454" t="str" cm="1">
        <f t="array" ref="AV44">IFERROR(INDEX($GM$4:$GM$165,AY44),"")</f>
        <v/>
      </c>
      <c r="AY44" s="1184" t="str" cm="1">
        <f t="array" ref="AY44">IFERROR(SMALL(IF($HK$4:$HK$165=1,ROW($HK$4:$HK$165)-3),ROW(W29)),IFERROR(SMALL(IF($HK$4:$HK$165=2,ROW($HK$4:$HK$165)-3),ROW(W29)-COUNTIF($HK$4:$HK$165,1)),IFERROR(SMALL(IF($HK$4:$HK$165=0,ROW($HK$4:$HK$165)-3),ROW(W29)-COUNTIF($HK$4:$HK$165,1)-COUNTIF($HK$4:$HK$165,2)),"")))</f>
        <v/>
      </c>
      <c r="AZ44" s="1184" t="str">
        <f t="shared" si="129"/>
        <v>a</v>
      </c>
      <c r="BA44" s="1194" t="e">
        <f t="shared" si="130"/>
        <v>#VALUE!</v>
      </c>
      <c r="BB44" s="1194" cm="1">
        <f t="array" ref="BB44">IFERROR(INDEX($HK$4:$HK$165,AY44),0)</f>
        <v>0</v>
      </c>
      <c r="BC44" s="1194">
        <f t="shared" si="131"/>
        <v>0</v>
      </c>
      <c r="BD44" s="1194"/>
      <c r="BE44" s="1343"/>
      <c r="BF44" s="1343"/>
      <c r="BG44" s="1343"/>
      <c r="BH44" s="1343"/>
      <c r="BI44" s="1343"/>
      <c r="BJ44" s="1343"/>
      <c r="BK44" s="1343"/>
      <c r="BL44" s="1343"/>
      <c r="BM44" s="1343"/>
      <c r="BN44" s="1343"/>
      <c r="BO44" s="1343"/>
      <c r="BQ44" s="1184">
        <v>1</v>
      </c>
      <c r="BR44" cm="1">
        <f t="array" ref="BR44">INDEX(Pflanzen!$B$5:$B$112,'Lagerhaltung (freiwillig)'!BQ44)</f>
        <v>1</v>
      </c>
      <c r="BS44" s="1184"/>
      <c r="BT44" s="1184" t="b">
        <v>0</v>
      </c>
      <c r="BU44" s="1185"/>
      <c r="BV44" s="1185"/>
      <c r="BW44" s="1184">
        <f t="shared" ref="BW44:BW68" si="136">IF(AND(S44&lt;&gt;T44,T44&gt;S44,S44&gt;0),T44-S44+1,IF(AND(S44=0,T44=0),12,1))</f>
        <v>12</v>
      </c>
      <c r="BX44" s="1184">
        <f t="shared" ref="BX44:BX68" si="137">IF(AND(S44=0,T44&gt;0),T44,S44)</f>
        <v>0</v>
      </c>
      <c r="BY44" s="1184">
        <f t="shared" ref="BY44:BY68" si="138">IF(AND(T44=0,S44&gt;0),S44,IF(AND(S44=0,T44=0),12,T44))</f>
        <v>12</v>
      </c>
      <c r="BZ44" s="1184" cm="1">
        <f t="array" ref="BZ44">INDEX(Pflanzen!$AB$5:$AB$114,'Lagerhaltung (freiwillig)'!BR44)</f>
        <v>0</v>
      </c>
      <c r="CA44" s="1184" cm="1">
        <f t="array" ref="CA44">IF(BZ44=1,INDEX(Pflanzen!$AC$5:$AC$114,BR44),N44)</f>
        <v>0</v>
      </c>
      <c r="CB44" s="1184" cm="1">
        <f t="array" ref="CB44">IF(BZ44=1,INDEX(Pflanzen!$AD$5:$AD$114,BR44),O44)</f>
        <v>0</v>
      </c>
      <c r="CC44" s="1184">
        <f t="shared" ref="CC44:CC68" si="139">IF(AND(CA44&lt;&gt;CB44,CB44&gt;CA44),CB44-CA44+1,IF(AND(CA44=0,CB44=0),12,1))</f>
        <v>12</v>
      </c>
      <c r="CD44" s="1184">
        <f t="shared" ref="CD44:CD68" si="140">IF(AND(CA44=0,CB44&gt;0),CB44,CA44)</f>
        <v>0</v>
      </c>
      <c r="CE44" s="1184">
        <f t="shared" ref="CE44:CE68" si="141">IF(AND(CB44=0,CA44&gt;0),CA44,IF(AND(CA44=0,CB44=0),12,CB44))</f>
        <v>12</v>
      </c>
      <c r="CF44" s="1184" cm="1">
        <f t="array" ref="CF44">INDEX(Pflanzen!$F$5:$F$114,BR44)</f>
        <v>0</v>
      </c>
      <c r="CG44" s="1184" cm="1">
        <f t="array" ref="CG44">INDEX(Pflanzen!$G$5:$G$114,BR44)</f>
        <v>0</v>
      </c>
      <c r="CH44" s="1184">
        <f t="shared" ref="CH44:CH68" si="142">F44</f>
        <v>0</v>
      </c>
      <c r="CI44" s="1184">
        <f t="shared" ref="CI44:CI68" si="143">J44*G44/1000</f>
        <v>0</v>
      </c>
      <c r="CJ44" s="1184">
        <f t="shared" ref="CJ44:CJ68" si="144">IF(BT44=2,0,J44*H44/1000)</f>
        <v>0</v>
      </c>
      <c r="CK44" s="1184">
        <f t="shared" ref="CK44:CK68" si="145">F44</f>
        <v>0</v>
      </c>
      <c r="CL44" s="1184">
        <f t="shared" ref="CL44:CL68" si="146">IF(BT44=TRUE,0,L44*M44/10*G44/CC44/1000)</f>
        <v>0</v>
      </c>
      <c r="CM44" s="1184">
        <f t="shared" ref="CM44:CM68" si="147">IF(BT44=TRUE,0,L44*M44/10*G44/1000)</f>
        <v>0</v>
      </c>
      <c r="CN44" s="1184">
        <f t="shared" ref="CN44:CN68" si="148">IF(BT44=TRUE,0,L44*M44/10*H44/CC44/1000)</f>
        <v>0</v>
      </c>
      <c r="CO44" s="1184">
        <f t="shared" ref="CO44:CO68" si="149">IF(BT44=TRUE,0,L44*M44/10*H44/1000)</f>
        <v>0</v>
      </c>
      <c r="CP44" s="1184">
        <f t="shared" ref="CP44:CP68" si="150">F44</f>
        <v>0</v>
      </c>
      <c r="CQ44" s="1184">
        <f t="shared" ref="CQ44:CQ68" si="151">R44*G44/BW44/1000</f>
        <v>0</v>
      </c>
      <c r="CR44" s="1184">
        <f t="shared" ref="CR44:CR68" si="152">R44*G44/1000</f>
        <v>0</v>
      </c>
      <c r="CS44" s="1184">
        <f t="shared" ref="CS44:CS68" si="153">R44*H44/BW44/1000</f>
        <v>0</v>
      </c>
      <c r="CT44" s="1184">
        <f t="shared" ref="CT44:CT68" si="154">R44*H44/1000</f>
        <v>0</v>
      </c>
      <c r="CU44" s="1184">
        <f>IF(OR(AND(R44&lt;0,OR(AND(CP44&lt;&gt;CK44,CM44&gt;0),AND(CP44&lt;&gt;CH44,CI44&gt;0))),      AND(COUNTIF($BR$14:$BR$68,BR44)&gt;1,COUNTIFS($BR$14:$BR$68,BR44,$R$14:$R$68,"&lt;0")&gt;0)),1,2)</f>
        <v>2</v>
      </c>
      <c r="CV44" s="1186" cm="1">
        <f t="array" ref="CV44">IF(AND(COUNTIF($BR$14:$BR$36,BR44)&gt;0,BR44&lt;ROWS(Pflanzen!$C$5:$C$107)),INDEX(Pflanzen!$I$5:$I$114,BR44),SUMIF($BR$44:$BR$68,BR44,$F$44:$F$69)/COUNTIF($BR$44:$BR$68,BR44))</f>
        <v>0</v>
      </c>
      <c r="CW44" s="1186">
        <f t="shared" ref="CW44:CW68" si="155">IF(CU44=2,IF(BT44=TRUE,SUM(J44,R44),SUM(J44,L44*M44/10,R44)),IF(BT44=TRUE,SUM(J44*CH44,R44*CP44)/CV44,SUM(J44*CH44,L44*M44/10*CK44,R44*CP44)/CV44))</f>
        <v>0</v>
      </c>
      <c r="CX44" s="1184"/>
      <c r="CY44" s="320" t="str">
        <f>Pflanzen!A40</f>
        <v>Kleegras (Kleeanteil 30 %)</v>
      </c>
      <c r="CZ44" s="1200">
        <f>IFERROR(MATCH($CY44,Pflanzen!$C$5:$C$114,0),1)</f>
        <v>36</v>
      </c>
      <c r="DA44" s="320" cm="1">
        <f t="array" ref="DA44">INDEX(Pflanzen!$H$5:$H$114,'Lagerhaltung (freiwillig)'!CZ44)</f>
        <v>1</v>
      </c>
      <c r="DB44" s="1200">
        <f t="shared" si="106"/>
        <v>0</v>
      </c>
      <c r="DC44" s="1200">
        <f t="shared" si="106"/>
        <v>0</v>
      </c>
      <c r="DD44" s="1200">
        <f t="shared" si="106"/>
        <v>0</v>
      </c>
      <c r="DE44" s="1200">
        <f t="shared" si="106"/>
        <v>0</v>
      </c>
      <c r="DF44" s="1200">
        <f t="shared" si="106"/>
        <v>0</v>
      </c>
      <c r="DG44" s="1184">
        <f t="shared" si="106"/>
        <v>0</v>
      </c>
      <c r="DH44" s="1184">
        <f t="shared" si="106"/>
        <v>0</v>
      </c>
      <c r="DI44" s="1184">
        <f t="shared" si="106"/>
        <v>0</v>
      </c>
      <c r="DJ44" s="1184">
        <f t="shared" si="106"/>
        <v>0</v>
      </c>
      <c r="DK44" s="1184">
        <f t="shared" si="106"/>
        <v>0</v>
      </c>
      <c r="DL44" s="1184">
        <f t="shared" si="106"/>
        <v>0</v>
      </c>
      <c r="DM44" s="1184">
        <f t="shared" si="106"/>
        <v>0</v>
      </c>
      <c r="DN44" s="1184"/>
      <c r="DO44" s="1184">
        <f t="shared" si="107"/>
        <v>0</v>
      </c>
      <c r="DP44" s="1184">
        <f t="shared" si="107"/>
        <v>0</v>
      </c>
      <c r="DQ44" s="1184">
        <f t="shared" si="107"/>
        <v>0</v>
      </c>
      <c r="DR44" s="1184">
        <f t="shared" si="107"/>
        <v>0</v>
      </c>
      <c r="DS44" s="1184">
        <f t="shared" si="107"/>
        <v>0</v>
      </c>
      <c r="DT44" s="1184">
        <f t="shared" si="107"/>
        <v>0</v>
      </c>
      <c r="DU44" s="1184">
        <f t="shared" si="107"/>
        <v>0</v>
      </c>
      <c r="DV44" s="1184">
        <f t="shared" si="107"/>
        <v>0</v>
      </c>
      <c r="DW44" s="1184">
        <f t="shared" si="107"/>
        <v>0</v>
      </c>
      <c r="DX44" s="1184">
        <f t="shared" si="107"/>
        <v>0</v>
      </c>
      <c r="DY44" s="1184">
        <f t="shared" si="107"/>
        <v>0</v>
      </c>
      <c r="DZ44" s="1184">
        <f t="shared" si="107"/>
        <v>0</v>
      </c>
      <c r="EA44" s="1184"/>
      <c r="EB44" s="1184">
        <f t="shared" si="108"/>
        <v>0</v>
      </c>
      <c r="EC44" s="1184">
        <f t="shared" si="108"/>
        <v>0</v>
      </c>
      <c r="ED44" s="1184">
        <f t="shared" si="108"/>
        <v>0</v>
      </c>
      <c r="EE44" s="1184">
        <f t="shared" si="108"/>
        <v>0</v>
      </c>
      <c r="EF44" s="1184">
        <f t="shared" si="108"/>
        <v>0</v>
      </c>
      <c r="EG44" s="1184">
        <f t="shared" si="108"/>
        <v>0</v>
      </c>
      <c r="EH44" s="1184">
        <f t="shared" si="108"/>
        <v>0</v>
      </c>
      <c r="EI44" s="1184">
        <f t="shared" si="108"/>
        <v>0</v>
      </c>
      <c r="EJ44" s="1184">
        <f t="shared" si="108"/>
        <v>0</v>
      </c>
      <c r="EK44" s="1184">
        <f t="shared" si="108"/>
        <v>0</v>
      </c>
      <c r="EL44" s="1184">
        <f t="shared" si="108"/>
        <v>0</v>
      </c>
      <c r="EM44" s="1184">
        <f t="shared" si="108"/>
        <v>0</v>
      </c>
      <c r="EN44" s="1184"/>
      <c r="EO44" s="1184">
        <f t="shared" si="109"/>
        <v>0</v>
      </c>
      <c r="EP44" s="1184">
        <f t="shared" si="109"/>
        <v>0</v>
      </c>
      <c r="EQ44" s="1184">
        <f t="shared" si="109"/>
        <v>0</v>
      </c>
      <c r="ER44" s="1184">
        <f t="shared" si="109"/>
        <v>0</v>
      </c>
      <c r="ES44" s="1184">
        <f t="shared" si="109"/>
        <v>0</v>
      </c>
      <c r="ET44" s="1184">
        <f t="shared" si="109"/>
        <v>0</v>
      </c>
      <c r="EU44" s="1184">
        <f t="shared" si="109"/>
        <v>0</v>
      </c>
      <c r="EV44" s="1184">
        <f t="shared" si="109"/>
        <v>0</v>
      </c>
      <c r="EW44" s="1184">
        <f t="shared" si="109"/>
        <v>0</v>
      </c>
      <c r="EX44" s="1184">
        <f t="shared" si="109"/>
        <v>0</v>
      </c>
      <c r="EY44" s="1184">
        <f t="shared" si="109"/>
        <v>0</v>
      </c>
      <c r="EZ44" s="1184">
        <f t="shared" si="109"/>
        <v>0</v>
      </c>
      <c r="FA44" s="1184"/>
      <c r="FB44" s="1186">
        <f t="shared" si="51"/>
        <v>0</v>
      </c>
      <c r="FC44" s="1184">
        <f>FB44+DB44+EB44                 -         SUMIF('Nährstoffe und Lagerraum'!$AX$113:$AX$155,$CZ44,'Nährstoffe und Lagerraum'!$U$113:$U$155)/12  -$GD44*$HE44/12</f>
        <v>0</v>
      </c>
      <c r="FD44" s="1184">
        <f>FC44+DC44+EC44                 -         SUMIF('Nährstoffe und Lagerraum'!$AX$113:$AX$155,$CZ44,'Nährstoffe und Lagerraum'!$U$113:$U$155)/12  -$GD44*$HE44/12</f>
        <v>0</v>
      </c>
      <c r="FE44" s="1184">
        <f>FD44+DD44+ED44                 -         SUMIF('Nährstoffe und Lagerraum'!$AX$113:$AX$155,$CZ44,'Nährstoffe und Lagerraum'!$U$113:$U$155)/12  -$GD44*$HE44/12</f>
        <v>0</v>
      </c>
      <c r="FF44" s="1184">
        <f>FE44+DE44+EE44                 -         SUMIF('Nährstoffe und Lagerraum'!$AX$113:$AX$155,$CZ44,'Nährstoffe und Lagerraum'!$U$113:$U$155)/12  -$GD44*$HE44/12</f>
        <v>0</v>
      </c>
      <c r="FG44" s="1184">
        <f>FF44+DF44+EF44                 -         SUMIF('Nährstoffe und Lagerraum'!$AX$113:$AX$155,$CZ44,'Nährstoffe und Lagerraum'!$U$113:$U$155)/12  -$GD44*$HE44/12</f>
        <v>0</v>
      </c>
      <c r="FH44" s="1184">
        <f>FG44+DG44+EG44                 -         SUMIF('Nährstoffe und Lagerraum'!$AX$113:$AX$155,$CZ44,'Nährstoffe und Lagerraum'!$U$113:$U$155)/12  -$GD44*$HE44/12</f>
        <v>0</v>
      </c>
      <c r="FI44" s="1184">
        <f>FH44+DH44+EH44                 -         SUMIF('Nährstoffe und Lagerraum'!$AX$113:$AX$155,$CZ44,'Nährstoffe und Lagerraum'!$U$113:$U$155)/12  -$GD44*$HE44/12</f>
        <v>0</v>
      </c>
      <c r="FJ44" s="1184">
        <f>FI44+DI44+EI44                 -         SUMIF('Nährstoffe und Lagerraum'!$AX$113:$AX$155,$CZ44,'Nährstoffe und Lagerraum'!$U$113:$U$155)/12  -$GD44*$HE44/12</f>
        <v>0</v>
      </c>
      <c r="FK44" s="1184">
        <f>FJ44+DJ44+EJ44                 -         SUMIF('Nährstoffe und Lagerraum'!$AX$113:$AX$155,$CZ44,'Nährstoffe und Lagerraum'!$U$113:$U$155)/12  -$GD44*$HE44/12</f>
        <v>0</v>
      </c>
      <c r="FL44" s="1184">
        <f>FK44+DK44+EK44                 -         SUMIF('Nährstoffe und Lagerraum'!$AX$113:$AX$155,$CZ44,'Nährstoffe und Lagerraum'!$U$113:$U$155)/12  -$GD44*$HE44/12</f>
        <v>0</v>
      </c>
      <c r="FM44" s="1184">
        <f>FL44+DL44+EL44                 -         SUMIF('Nährstoffe und Lagerraum'!$AX$113:$AX$155,$CZ44,'Nährstoffe und Lagerraum'!$U$113:$U$155)/12  -$GD44*$HE44/12</f>
        <v>0</v>
      </c>
      <c r="FN44" s="1184">
        <f>FM44+DM44+EM44                 -         SUMIF('Nährstoffe und Lagerraum'!$AX$113:$AX$155,$CZ44,'Nährstoffe und Lagerraum'!$U$113:$U$155)/12  -$GD44*$HE44/12</f>
        <v>0</v>
      </c>
      <c r="FO44" s="1184"/>
      <c r="FP44" s="1186">
        <f t="shared" si="52"/>
        <v>0</v>
      </c>
      <c r="FQ44" s="1184">
        <f>FP44+DO44+EO44                 -         SUMIF('Nährstoffe und Lagerraum'!$AX$113:$AX$155,$CZ44,'Nährstoffe und Lagerraum'!$V$113:$V$155)/12  -$GE44*$HE44/12</f>
        <v>0</v>
      </c>
      <c r="FR44" s="1184">
        <f>FQ44+DP44+EP44                 -         SUMIF('Nährstoffe und Lagerraum'!$AX$113:$AX$155,$CZ44,'Nährstoffe und Lagerraum'!$V$113:$V$155)/12  -$GE44*$HE44/12</f>
        <v>0</v>
      </c>
      <c r="FS44" s="1184">
        <f>FR44+DQ44+EQ44                 -         SUMIF('Nährstoffe und Lagerraum'!$AX$113:$AX$155,$CZ44,'Nährstoffe und Lagerraum'!$V$113:$V$155)/12  -$GE44*$HE44/12</f>
        <v>0</v>
      </c>
      <c r="FT44" s="1184">
        <f>FS44+DR44+ER44                 -         SUMIF('Nährstoffe und Lagerraum'!$AX$113:$AX$155,$CZ44,'Nährstoffe und Lagerraum'!$V$113:$V$155)/12  -$GE44*$HE44/12</f>
        <v>0</v>
      </c>
      <c r="FU44" s="1184">
        <f>FT44+DS44+ES44                 -         SUMIF('Nährstoffe und Lagerraum'!$AX$113:$AX$155,$CZ44,'Nährstoffe und Lagerraum'!$V$113:$V$155)/12  -$GE44*$HE44/12</f>
        <v>0</v>
      </c>
      <c r="FV44" s="1184">
        <f>FU44+DT44+ET44                 -         SUMIF('Nährstoffe und Lagerraum'!$AX$113:$AX$155,$CZ44,'Nährstoffe und Lagerraum'!$V$113:$V$155)/12  -$GE44*$HE44/12</f>
        <v>0</v>
      </c>
      <c r="FW44" s="1184">
        <f>FV44+DU44+EU44                 -         SUMIF('Nährstoffe und Lagerraum'!$AX$113:$AX$155,$CZ44,'Nährstoffe und Lagerraum'!$V$113:$V$155)/12  -$GE44*$HE44/12</f>
        <v>0</v>
      </c>
      <c r="FX44" s="1184">
        <f>FW44+DV44+EV44                 -         SUMIF('Nährstoffe und Lagerraum'!$AX$113:$AX$155,$CZ44,'Nährstoffe und Lagerraum'!$V$113:$V$155)/12  -$GE44*$HE44/12</f>
        <v>0</v>
      </c>
      <c r="FY44" s="1184">
        <f>FX44+DW44+EW44                 -         SUMIF('Nährstoffe und Lagerraum'!$AX$113:$AX$155,$CZ44,'Nährstoffe und Lagerraum'!$V$113:$V$155)/12  -$GE44*$HE44/12</f>
        <v>0</v>
      </c>
      <c r="FZ44" s="1184">
        <f>FY44+DX44+EX44                 -         SUMIF('Nährstoffe und Lagerraum'!$AX$113:$AX$155,$CZ44,'Nährstoffe und Lagerraum'!$V$113:$V$155)/12  -$GE44*$HE44/12</f>
        <v>0</v>
      </c>
      <c r="GA44" s="1184">
        <f>FZ44+DY44+EY44                 -         SUMIF('Nährstoffe und Lagerraum'!$AX$113:$AX$155,$CZ44,'Nährstoffe und Lagerraum'!$V$113:$V$155)/12  -$GE44*$HE44/12</f>
        <v>0</v>
      </c>
      <c r="GB44" s="1184">
        <f>GA44+DZ44+EZ44                 -         SUMIF('Nährstoffe und Lagerraum'!$AX$113:$AX$155,$CZ44,'Nährstoffe und Lagerraum'!$V$113:$V$155)/12  -$GE44*$HE44/12</f>
        <v>0</v>
      </c>
      <c r="GC44" s="1184"/>
      <c r="GD44" s="1184">
        <f>SUMIFS($CI$14:$CI$68,$BR$14:$BR$68,$CZ44)+SUMIFS($CM$14:$CM$68,$BR$14:$BR$68,$CZ44)+SUMIFS($CR$14:$CR$68,$BR$14:$BR$68,$CZ44)  -         SUMIF('Nährstoffe und Lagerraum'!$AX$113:$AX$155,$CZ44,'Nährstoffe und Lagerraum'!$U$113:$U$155)</f>
        <v>0</v>
      </c>
      <c r="GE44" s="1184">
        <f>SUMIFS($CJ$14:$CJ$68,$BR$14:$BR$68,$CZ44)+SUMIFS($CO$14:$CO$68,$BR$14:$BR$68,$CZ44)+SUMIFS($CT$14:$CT$68,$BR$14:$BR$68,$CZ44)  -         SUMIF('Nährstoffe und Lagerraum'!$AX$113:$AX$155,$CZ44,'Nährstoffe und Lagerraum'!$V$113:$V$155)</f>
        <v>0</v>
      </c>
      <c r="GF44" s="1184"/>
      <c r="GG44" s="1184"/>
      <c r="GH44" s="1184">
        <f>SUMIF('Nährstoffe und Lagerraum'!$AX$113:$AX$155,$CZ44,'Nährstoffe und Lagerraum'!$U$113:$U$155)</f>
        <v>0</v>
      </c>
      <c r="GI44" s="1184">
        <f>SUMIF('Nährstoffe und Lagerraum'!$AX$113:$AX$155,$CZ44,'Nährstoffe und Lagerraum'!$V$113:$V$155)</f>
        <v>0</v>
      </c>
      <c r="GJ44" s="1184">
        <f t="shared" si="53"/>
        <v>0</v>
      </c>
      <c r="GK44" s="1184">
        <f t="shared" si="54"/>
        <v>0</v>
      </c>
      <c r="GL44" s="1184">
        <f t="shared" si="55"/>
        <v>0</v>
      </c>
      <c r="GM44" s="1184">
        <f t="shared" si="56"/>
        <v>0</v>
      </c>
      <c r="GN44" s="1184">
        <f t="shared" si="57"/>
        <v>0</v>
      </c>
      <c r="GO44" s="1184" cm="1">
        <f t="array" ref="GO44">IF(GN44=0,0,(IFERROR(SUMPRODUCT($J$14:$J$68,$CH$14:$CH$68,($BR$14:$BR$68=CZ44)*1)+SUMPRODUCT($L$14:$L$68,$M$14:$M$68,$CK$14:$CK$68,($BR$14:$BR$68=CZ44)*1,($BT$14:$BT$68=FALSE)*1)/10+SUMPRODUCT($R$14:$R$68,$CP$14:$CP$68,($BR$14:$BR$68=CZ44)*1),0))/GN44)</f>
        <v>0</v>
      </c>
      <c r="GP44" s="1184">
        <f t="shared" si="58"/>
        <v>0</v>
      </c>
      <c r="GQ44" s="1184">
        <f>(SUMIF('Nährstoffe und Lagerraum'!$AX$113:$AX$130,'Lagerhaltung (freiwillig)'!CZ44,'Nährstoffe und Lagerraum'!$D$113:$D$130)+SUMIF('Nährstoffe und Lagerraum'!$AX$137:$AX$155,'Lagerhaltung (freiwillig)'!CZ44,'Nährstoffe und Lagerraum'!$E$137:$E$155))</f>
        <v>0</v>
      </c>
      <c r="GR44" s="1184" cm="1">
        <f t="array" ref="GR44">IF(GQ44=0,0,(IFERROR(SUMPRODUCT('Nährstoffe und Lagerraum'!$D$113:$D$130,'Nährstoffe und Lagerraum'!$F$113:$F$130,('Nährstoffe und Lagerraum'!$AX$113:$AX$130='Lagerhaltung (freiwillig)'!CZ44)*1)+SUMPRODUCT('Nährstoffe und Lagerraum'!$E$137:$E$155,'Nährstoffe und Lagerraum'!$F$137:$F$155,('Nährstoffe und Lagerraum'!$AX$137:$AX$155='Lagerhaltung (freiwillig)'!CZ44)*1),0))/GQ44)</f>
        <v>0</v>
      </c>
      <c r="GS44" s="1184">
        <f t="shared" si="59"/>
        <v>0</v>
      </c>
      <c r="GT44" s="1184">
        <f t="shared" si="60"/>
        <v>0</v>
      </c>
      <c r="GU44" s="1184">
        <f t="shared" si="61"/>
        <v>0</v>
      </c>
      <c r="GV44" s="1184">
        <f t="shared" si="62"/>
        <v>0</v>
      </c>
      <c r="GW44" s="1186" t="str">
        <f t="shared" si="41"/>
        <v xml:space="preserve"> </v>
      </c>
      <c r="GX44" s="1186" t="str">
        <f t="shared" si="41"/>
        <v xml:space="preserve"> </v>
      </c>
      <c r="GY44" s="1195">
        <f t="shared" si="63"/>
        <v>0</v>
      </c>
      <c r="GZ44" s="1184">
        <f t="shared" si="64"/>
        <v>0</v>
      </c>
      <c r="HA44" s="1184" t="str">
        <f t="shared" si="132"/>
        <v>a</v>
      </c>
      <c r="HB44" s="1196">
        <f t="shared" si="65"/>
        <v>0</v>
      </c>
      <c r="HC44" s="1196">
        <f t="shared" si="66"/>
        <v>0</v>
      </c>
      <c r="HD44" s="1196"/>
      <c r="HE44" s="1187">
        <f t="shared" si="67"/>
        <v>0</v>
      </c>
      <c r="HF44" s="1196">
        <f t="shared" si="68"/>
        <v>0</v>
      </c>
      <c r="HG44" s="1196">
        <f t="shared" si="69"/>
        <v>0</v>
      </c>
      <c r="HH44" s="1196">
        <f t="shared" si="70"/>
        <v>0</v>
      </c>
      <c r="HI44" s="1328" cm="1">
        <f t="array" ref="HI44">IF(AND(HG44=0,GL44=0),0,IF(HG44=0,1,IF(OR(GL44*1000/HG44/HH44&gt;INDEX(Pflanzen!$W$5:$W$104,CZ44)/INDEX(Pflanzen!$I$5:$I$104,CZ44)*$HI$1,GL44*1000/HG44/HH44&lt;INDEX(Pflanzen!$W$5:$W$104,CZ44)/INDEX(Pflanzen!$I$5:$I$104,CZ44)/$HI$1),1,0)))</f>
        <v>0</v>
      </c>
      <c r="HJ44" s="1328" cm="1">
        <f t="array" ref="HJ44">IF(AND(GM44=0,HG44=0),0,IF(HG44=0,1,IF(OR(GM44*1000/HG44/HH44&gt;INDEX(Pflanzen!$X$5:$X$104,CZ44)/INDEX(Pflanzen!$I$5:$I$104,CZ44)*$HI$1,GM44*1000/HG44/HH44&lt;INDEX(Pflanzen!$X$5:$X$104,CZ44)/INDEX(Pflanzen!$I$5:$I$104,CZ44)/$HI$1),1,0)))</f>
        <v>0</v>
      </c>
      <c r="HK44" s="1184">
        <f t="shared" si="71"/>
        <v>3</v>
      </c>
      <c r="HL44" s="1184"/>
      <c r="HN44" s="1184"/>
      <c r="HO44" s="1193" t="str">
        <f>Tiere!B70</f>
        <v>Mastschweine (850 g TZ), sehr stark N-/P-red.*</v>
      </c>
      <c r="HP44" s="1184">
        <v>41</v>
      </c>
      <c r="HQ44" s="1194">
        <f>SUMIF('Nährstoffe und Lagerraum'!$BM$68:$BM$87,'Lagerhaltung (freiwillig)'!HP44,'Nährstoffe und Lagerraum'!$Z$68:$Z$87)+SUMIF('Nährstoffe und Lagerraum'!$BM$68:$BM$87,'Lagerhaltung (freiwillig)'!HP44,'Nährstoffe und Lagerraum'!$AA$68:$AA$87)</f>
        <v>0</v>
      </c>
      <c r="HR44" s="1184" cm="1">
        <f t="array" ref="HR44">INDEX(Tiere!$C$30:$C$114,'Lagerhaltung (freiwillig)'!HP44)</f>
        <v>2</v>
      </c>
      <c r="HS44" s="1184" cm="1">
        <f t="array" ref="HS44">INDEX(Tiere!$H$30:$H$114,'Lagerhaltung (freiwillig)'!HP44)</f>
        <v>0</v>
      </c>
      <c r="HT44" s="1184">
        <f t="shared" si="12"/>
        <v>0</v>
      </c>
      <c r="HU44" s="1184" cm="1">
        <f t="array" ref="HU44">INDEX(Tiere!$I$30:$I$114,'Lagerhaltung (freiwillig)'!HP44)</f>
        <v>0</v>
      </c>
      <c r="HV44" s="1184">
        <f t="shared" si="13"/>
        <v>0</v>
      </c>
      <c r="HW44" s="1184" cm="1">
        <f t="array" ref="HW44">INDEX(Tiere!$BC$30:$BC$114,'Lagerhaltung (freiwillig)'!HP44)</f>
        <v>7.9424000000000001</v>
      </c>
      <c r="HX44" s="1184">
        <f t="shared" si="14"/>
        <v>0</v>
      </c>
      <c r="HY44" s="1184" cm="1">
        <f t="array" ref="HY44">INDEX(Tiere!$BD$30:$BD$114,'Lagerhaltung (freiwillig)'!HP44)</f>
        <v>3.6299249999999996</v>
      </c>
      <c r="HZ44" s="1184">
        <f t="shared" si="15"/>
        <v>0</v>
      </c>
      <c r="IA44" s="1184"/>
      <c r="IB44" s="1184"/>
      <c r="IC44" s="1184"/>
      <c r="ID44" s="1184"/>
      <c r="IE44" s="1184"/>
      <c r="IF44" s="1184"/>
      <c r="IG44" s="1184"/>
      <c r="IH44" s="1184"/>
      <c r="II44" s="1184"/>
      <c r="IJ44" s="1184"/>
      <c r="IK44" s="1184"/>
      <c r="IL44" s="1184"/>
    </row>
    <row r="45" spans="1:247" ht="15.6" customHeight="1" x14ac:dyDescent="0.2">
      <c r="F45" s="1122"/>
      <c r="G45" s="1498"/>
      <c r="H45" s="1336"/>
      <c r="I45" s="1162" t="str">
        <f t="shared" si="133"/>
        <v/>
      </c>
      <c r="J45" s="1303"/>
      <c r="K45" s="1162" t="str">
        <f t="shared" si="134"/>
        <v/>
      </c>
      <c r="L45" s="1487"/>
      <c r="M45" s="1491"/>
      <c r="N45" s="1487"/>
      <c r="O45" s="1487"/>
      <c r="P45" s="1303"/>
      <c r="Q45" s="1162" t="str">
        <f t="shared" si="135"/>
        <v/>
      </c>
      <c r="R45" s="1487"/>
      <c r="S45" s="1491"/>
      <c r="T45" s="1303"/>
      <c r="V45" s="1346" t="str">
        <f t="shared" ref="V45:V68" si="156">IF(OR(AND(BZ45=3,L45&gt;0),AND(OR(J45&gt;0,M45&gt;0,R45&gt;0),OR(G45="",H45="",F45="")),AND(L45="",M45&gt;0),AND(L45&gt;0,M45="")),"Fehler","")</f>
        <v/>
      </c>
      <c r="Y45" s="1554" t="str" cm="1">
        <f t="array" ref="Y45">IFERROR(INDEX($CY$4:$CY$165,AY45),"")</f>
        <v/>
      </c>
      <c r="Z45" s="1555"/>
      <c r="AA45" s="1555"/>
      <c r="AB45" s="1555"/>
      <c r="AC45" s="1454" t="str" cm="1">
        <f t="array" ref="AC45">IFERROR(INDEX($GN$4:$GN$165,AY45),"")</f>
        <v/>
      </c>
      <c r="AD45" s="1454" t="str" cm="1">
        <f t="array" ref="AD45">IFERROR(INDEX($GO$4:$GO$165,AY45),"")</f>
        <v/>
      </c>
      <c r="AE45" s="1454" t="str" cm="1">
        <f t="array" ref="AE45">IFERROR(INDEX($GJ$4:$GJ$165,AY45),"")</f>
        <v/>
      </c>
      <c r="AF45" s="1454" t="str" cm="1">
        <f t="array" ref="AF45">IFERROR(INDEX($GK$4:$GK$165,AY45),"")</f>
        <v/>
      </c>
      <c r="AG45" s="1454" t="str" cm="1">
        <f t="array" ref="AG45">IFERROR(INDEX($GQ$4:$GQ$165,AY45),"")</f>
        <v/>
      </c>
      <c r="AH45" s="1454" t="str" cm="1">
        <f t="array" ref="AH45">IFERROR(INDEX($GR$4:$GR$165,AY45),"")</f>
        <v/>
      </c>
      <c r="AI45" s="1454" t="str" cm="1">
        <f t="array" ref="AI45">IFERROR(INDEX($GH$4:$GH$165,AY45),"")</f>
        <v/>
      </c>
      <c r="AJ45" s="1454" t="str" cm="1">
        <f t="array" ref="AJ45">IFERROR(INDEX($GI$4:$GI$165,AY45),"")</f>
        <v/>
      </c>
      <c r="AK45" s="1454" t="str" cm="1">
        <f t="array" ref="AK45">IFERROR(INDEX($GU$4:$GU$165,AY45),"")</f>
        <v/>
      </c>
      <c r="AL45" s="1455" t="str" cm="1">
        <f t="array" ref="AL45">IFERROR(INDEX($GV$4:$GV$165,AY45),"")</f>
        <v/>
      </c>
      <c r="AM45" s="1454" t="str" cm="1">
        <f t="array" ref="AM45">IFERROR(INDEX($GD$4:$GD$165,AY45),"")</f>
        <v/>
      </c>
      <c r="AN45" s="1454" t="str" cm="1">
        <f t="array" ref="AN45">IFERROR(INDEX($GE$4:$GE$165,AY45),"")</f>
        <v/>
      </c>
      <c r="AO45" s="1454" t="str" cm="1">
        <f t="array" ref="AO45">IFERROR(INDEX($GW$4:$GW$165,AY45),"")</f>
        <v/>
      </c>
      <c r="AP45" s="1454" t="str" cm="1">
        <f t="array" ref="AP45">IFERROR(INDEX($GZ$4:$GZ$165,AY45),"")</f>
        <v/>
      </c>
      <c r="AQ45" s="1457"/>
      <c r="AR45" s="1454" t="str" cm="1">
        <f t="array" ref="AR45">IFERROR(INDEX($HF$4:$HF$165,AY45),"")</f>
        <v/>
      </c>
      <c r="AS45" s="1454" t="str" cm="1">
        <f t="array" ref="AS45">IFERROR(INDEX($HG$4:$HG$165,AY45),"")</f>
        <v/>
      </c>
      <c r="AT45" s="1454" t="str" cm="1">
        <f t="array" ref="AT45">IFERROR(INDEX($HH$4:$HH$165,AY45),"")</f>
        <v/>
      </c>
      <c r="AU45" s="1454" t="str" cm="1">
        <f t="array" ref="AU45">IFERROR(INDEX($GL$4:$GL$165,AY45),"")</f>
        <v/>
      </c>
      <c r="AV45" s="1454" t="str" cm="1">
        <f t="array" ref="AV45">IFERROR(INDEX($GM$4:$GM$165,AY45),"")</f>
        <v/>
      </c>
      <c r="AY45" s="1184" t="str" cm="1">
        <f t="array" ref="AY45">IFERROR(SMALL(IF($HK$4:$HK$165=1,ROW($HK$4:$HK$165)-3),ROW(W30)),IFERROR(SMALL(IF($HK$4:$HK$165=2,ROW($HK$4:$HK$165)-3),ROW(W30)-COUNTIF($HK$4:$HK$165,1)),IFERROR(SMALL(IF($HK$4:$HK$165=0,ROW($HK$4:$HK$165)-3),ROW(W30)-COUNTIF($HK$4:$HK$165,1)-COUNTIF($HK$4:$HK$165,2)),"")))</f>
        <v/>
      </c>
      <c r="AZ45" s="1184" t="str">
        <f t="shared" si="129"/>
        <v>a</v>
      </c>
      <c r="BA45" s="1194" t="e">
        <f t="shared" si="130"/>
        <v>#VALUE!</v>
      </c>
      <c r="BB45" s="1194" cm="1">
        <f t="array" ref="BB45">IFERROR(INDEX($HK$4:$HK$165,AY45),0)</f>
        <v>0</v>
      </c>
      <c r="BC45" s="1194">
        <f t="shared" si="131"/>
        <v>0</v>
      </c>
      <c r="BD45" s="1194"/>
      <c r="BE45" s="1343"/>
      <c r="BF45" s="1343"/>
      <c r="BG45" s="1343"/>
      <c r="BH45" s="1343"/>
      <c r="BI45" s="1343"/>
      <c r="BJ45" s="1343"/>
      <c r="BK45" s="1343"/>
      <c r="BL45" s="1343"/>
      <c r="BM45" s="1343"/>
      <c r="BN45" s="1343"/>
      <c r="BO45" s="1343"/>
      <c r="BQ45" s="1184">
        <v>1</v>
      </c>
      <c r="BR45" cm="1">
        <f t="array" ref="BR45">INDEX(Pflanzen!$B$5:$B$112,'Lagerhaltung (freiwillig)'!BQ45)</f>
        <v>1</v>
      </c>
      <c r="BS45" s="1184"/>
      <c r="BT45" s="1184" t="b">
        <v>0</v>
      </c>
      <c r="BU45" s="1185"/>
      <c r="BV45" s="1185"/>
      <c r="BW45" s="1184">
        <f t="shared" si="136"/>
        <v>12</v>
      </c>
      <c r="BX45" s="1184">
        <f t="shared" si="137"/>
        <v>0</v>
      </c>
      <c r="BY45" s="1184">
        <f t="shared" si="138"/>
        <v>12</v>
      </c>
      <c r="BZ45" s="1184" cm="1">
        <f t="array" ref="BZ45">INDEX(Pflanzen!$AB$5:$AB$114,'Lagerhaltung (freiwillig)'!BR45)</f>
        <v>0</v>
      </c>
      <c r="CA45" s="1184" cm="1">
        <f t="array" ref="CA45">IF(BZ45=1,INDEX(Pflanzen!$AC$5:$AC$114,BR45),N45)</f>
        <v>0</v>
      </c>
      <c r="CB45" s="1184" cm="1">
        <f t="array" ref="CB45">IF(BZ45=1,INDEX(Pflanzen!$AD$5:$AD$114,BR45),O45)</f>
        <v>0</v>
      </c>
      <c r="CC45" s="1184">
        <f t="shared" si="139"/>
        <v>12</v>
      </c>
      <c r="CD45" s="1184">
        <f t="shared" si="140"/>
        <v>0</v>
      </c>
      <c r="CE45" s="1184">
        <f t="shared" si="141"/>
        <v>12</v>
      </c>
      <c r="CF45" s="1184" cm="1">
        <f t="array" ref="CF45">INDEX(Pflanzen!$F$5:$F$114,BR45)</f>
        <v>0</v>
      </c>
      <c r="CG45" s="1184" cm="1">
        <f t="array" ref="CG45">INDEX(Pflanzen!$G$5:$G$114,BR45)</f>
        <v>0</v>
      </c>
      <c r="CH45" s="1184">
        <f t="shared" si="142"/>
        <v>0</v>
      </c>
      <c r="CI45" s="1184">
        <f t="shared" si="143"/>
        <v>0</v>
      </c>
      <c r="CJ45" s="1184">
        <f t="shared" si="144"/>
        <v>0</v>
      </c>
      <c r="CK45" s="1184">
        <f t="shared" si="145"/>
        <v>0</v>
      </c>
      <c r="CL45" s="1184">
        <f t="shared" si="146"/>
        <v>0</v>
      </c>
      <c r="CM45" s="1184">
        <f t="shared" si="147"/>
        <v>0</v>
      </c>
      <c r="CN45" s="1184">
        <f t="shared" si="148"/>
        <v>0</v>
      </c>
      <c r="CO45" s="1184">
        <f t="shared" si="149"/>
        <v>0</v>
      </c>
      <c r="CP45" s="1184">
        <f t="shared" si="150"/>
        <v>0</v>
      </c>
      <c r="CQ45" s="1184">
        <f t="shared" si="151"/>
        <v>0</v>
      </c>
      <c r="CR45" s="1184">
        <f t="shared" si="152"/>
        <v>0</v>
      </c>
      <c r="CS45" s="1184">
        <f t="shared" si="153"/>
        <v>0</v>
      </c>
      <c r="CT45" s="1184">
        <f t="shared" si="154"/>
        <v>0</v>
      </c>
      <c r="CU45" s="1184">
        <f t="shared" ref="CU45:CU66" si="157">IF(OR(AND(R45&lt;0,OR(AND(CP45&lt;&gt;CK45,CM45&gt;0),AND(CP45&lt;&gt;CH45,CI45&gt;0))),      AND(COUNTIF($BR$14:$BR$68,BR45)&gt;1,COUNTIFS($BR$14:$BR$68,BR45,$R$14:$R$68,"&lt;0")&gt;0)),1,2)</f>
        <v>2</v>
      </c>
      <c r="CV45" s="1186" cm="1">
        <f t="array" ref="CV45">IF(AND(COUNTIF($BR$14:$BR$36,BR45)&gt;0,BR45&lt;ROWS(Pflanzen!$C$5:$C$107)),INDEX(Pflanzen!$I$5:$I$114,BR45),SUMIF($BR$44:$BR$68,BR45,$F$44:$F$69)/COUNTIF($BR$44:$BR$68,BR45))</f>
        <v>0</v>
      </c>
      <c r="CW45" s="1186">
        <f t="shared" si="155"/>
        <v>0</v>
      </c>
      <c r="CX45" s="1184"/>
      <c r="CY45" s="320" t="str">
        <f>Pflanzen!A41</f>
        <v>Kleegras (Kleeanteil 50 %)</v>
      </c>
      <c r="CZ45" s="1200">
        <f>IFERROR(MATCH($CY45,Pflanzen!$C$5:$C$114,0),1)</f>
        <v>37</v>
      </c>
      <c r="DA45" s="320" cm="1">
        <f t="array" ref="DA45">INDEX(Pflanzen!$H$5:$H$114,'Lagerhaltung (freiwillig)'!CZ45)</f>
        <v>1</v>
      </c>
      <c r="DB45" s="1200">
        <f t="shared" si="106"/>
        <v>0</v>
      </c>
      <c r="DC45" s="1200">
        <f t="shared" si="106"/>
        <v>0</v>
      </c>
      <c r="DD45" s="1200">
        <f t="shared" si="106"/>
        <v>0</v>
      </c>
      <c r="DE45" s="1200">
        <f t="shared" si="106"/>
        <v>0</v>
      </c>
      <c r="DF45" s="1200">
        <f t="shared" si="106"/>
        <v>0</v>
      </c>
      <c r="DG45" s="1184">
        <f t="shared" si="106"/>
        <v>0</v>
      </c>
      <c r="DH45" s="1184">
        <f t="shared" si="106"/>
        <v>0</v>
      </c>
      <c r="DI45" s="1184">
        <f t="shared" si="106"/>
        <v>0</v>
      </c>
      <c r="DJ45" s="1184">
        <f t="shared" si="106"/>
        <v>0</v>
      </c>
      <c r="DK45" s="1184">
        <f t="shared" si="106"/>
        <v>0</v>
      </c>
      <c r="DL45" s="1184">
        <f t="shared" si="106"/>
        <v>0</v>
      </c>
      <c r="DM45" s="1184">
        <f t="shared" si="106"/>
        <v>0</v>
      </c>
      <c r="DN45" s="1184"/>
      <c r="DO45" s="1184">
        <f t="shared" si="107"/>
        <v>0</v>
      </c>
      <c r="DP45" s="1184">
        <f t="shared" si="107"/>
        <v>0</v>
      </c>
      <c r="DQ45" s="1184">
        <f t="shared" si="107"/>
        <v>0</v>
      </c>
      <c r="DR45" s="1184">
        <f t="shared" si="107"/>
        <v>0</v>
      </c>
      <c r="DS45" s="1184">
        <f t="shared" si="107"/>
        <v>0</v>
      </c>
      <c r="DT45" s="1184">
        <f t="shared" si="107"/>
        <v>0</v>
      </c>
      <c r="DU45" s="1184">
        <f t="shared" si="107"/>
        <v>0</v>
      </c>
      <c r="DV45" s="1184">
        <f t="shared" si="107"/>
        <v>0</v>
      </c>
      <c r="DW45" s="1184">
        <f t="shared" si="107"/>
        <v>0</v>
      </c>
      <c r="DX45" s="1184">
        <f t="shared" si="107"/>
        <v>0</v>
      </c>
      <c r="DY45" s="1184">
        <f t="shared" si="107"/>
        <v>0</v>
      </c>
      <c r="DZ45" s="1184">
        <f t="shared" si="107"/>
        <v>0</v>
      </c>
      <c r="EA45" s="1184"/>
      <c r="EB45" s="1184">
        <f t="shared" si="108"/>
        <v>0</v>
      </c>
      <c r="EC45" s="1184">
        <f t="shared" si="108"/>
        <v>0</v>
      </c>
      <c r="ED45" s="1184">
        <f t="shared" si="108"/>
        <v>0</v>
      </c>
      <c r="EE45" s="1184">
        <f t="shared" si="108"/>
        <v>0</v>
      </c>
      <c r="EF45" s="1184">
        <f t="shared" si="108"/>
        <v>0</v>
      </c>
      <c r="EG45" s="1184">
        <f t="shared" si="108"/>
        <v>0</v>
      </c>
      <c r="EH45" s="1184">
        <f t="shared" si="108"/>
        <v>0</v>
      </c>
      <c r="EI45" s="1184">
        <f t="shared" si="108"/>
        <v>0</v>
      </c>
      <c r="EJ45" s="1184">
        <f t="shared" si="108"/>
        <v>0</v>
      </c>
      <c r="EK45" s="1184">
        <f t="shared" si="108"/>
        <v>0</v>
      </c>
      <c r="EL45" s="1184">
        <f t="shared" si="108"/>
        <v>0</v>
      </c>
      <c r="EM45" s="1184">
        <f t="shared" si="108"/>
        <v>0</v>
      </c>
      <c r="EN45" s="1184"/>
      <c r="EO45" s="1184">
        <f t="shared" si="109"/>
        <v>0</v>
      </c>
      <c r="EP45" s="1184">
        <f t="shared" si="109"/>
        <v>0</v>
      </c>
      <c r="EQ45" s="1184">
        <f t="shared" si="109"/>
        <v>0</v>
      </c>
      <c r="ER45" s="1184">
        <f t="shared" si="109"/>
        <v>0</v>
      </c>
      <c r="ES45" s="1184">
        <f t="shared" si="109"/>
        <v>0</v>
      </c>
      <c r="ET45" s="1184">
        <f t="shared" si="109"/>
        <v>0</v>
      </c>
      <c r="EU45" s="1184">
        <f t="shared" si="109"/>
        <v>0</v>
      </c>
      <c r="EV45" s="1184">
        <f t="shared" si="109"/>
        <v>0</v>
      </c>
      <c r="EW45" s="1184">
        <f t="shared" si="109"/>
        <v>0</v>
      </c>
      <c r="EX45" s="1184">
        <f t="shared" si="109"/>
        <v>0</v>
      </c>
      <c r="EY45" s="1184">
        <f t="shared" si="109"/>
        <v>0</v>
      </c>
      <c r="EZ45" s="1184">
        <f t="shared" si="109"/>
        <v>0</v>
      </c>
      <c r="FA45" s="1184"/>
      <c r="FB45" s="1186">
        <f t="shared" si="51"/>
        <v>0</v>
      </c>
      <c r="FC45" s="1184">
        <f>FB45+DB45+EB45                 -         SUMIF('Nährstoffe und Lagerraum'!$AX$113:$AX$155,$CZ45,'Nährstoffe und Lagerraum'!$U$113:$U$155)/12  -$GD45*$HE45/12</f>
        <v>0</v>
      </c>
      <c r="FD45" s="1184">
        <f>FC45+DC45+EC45                 -         SUMIF('Nährstoffe und Lagerraum'!$AX$113:$AX$155,$CZ45,'Nährstoffe und Lagerraum'!$U$113:$U$155)/12  -$GD45*$HE45/12</f>
        <v>0</v>
      </c>
      <c r="FE45" s="1184">
        <f>FD45+DD45+ED45                 -         SUMIF('Nährstoffe und Lagerraum'!$AX$113:$AX$155,$CZ45,'Nährstoffe und Lagerraum'!$U$113:$U$155)/12  -$GD45*$HE45/12</f>
        <v>0</v>
      </c>
      <c r="FF45" s="1184">
        <f>FE45+DE45+EE45                 -         SUMIF('Nährstoffe und Lagerraum'!$AX$113:$AX$155,$CZ45,'Nährstoffe und Lagerraum'!$U$113:$U$155)/12  -$GD45*$HE45/12</f>
        <v>0</v>
      </c>
      <c r="FG45" s="1184">
        <f>FF45+DF45+EF45                 -         SUMIF('Nährstoffe und Lagerraum'!$AX$113:$AX$155,$CZ45,'Nährstoffe und Lagerraum'!$U$113:$U$155)/12  -$GD45*$HE45/12</f>
        <v>0</v>
      </c>
      <c r="FH45" s="1184">
        <f>FG45+DG45+EG45                 -         SUMIF('Nährstoffe und Lagerraum'!$AX$113:$AX$155,$CZ45,'Nährstoffe und Lagerraum'!$U$113:$U$155)/12  -$GD45*$HE45/12</f>
        <v>0</v>
      </c>
      <c r="FI45" s="1184">
        <f>FH45+DH45+EH45                 -         SUMIF('Nährstoffe und Lagerraum'!$AX$113:$AX$155,$CZ45,'Nährstoffe und Lagerraum'!$U$113:$U$155)/12  -$GD45*$HE45/12</f>
        <v>0</v>
      </c>
      <c r="FJ45" s="1184">
        <f>FI45+DI45+EI45                 -         SUMIF('Nährstoffe und Lagerraum'!$AX$113:$AX$155,$CZ45,'Nährstoffe und Lagerraum'!$U$113:$U$155)/12  -$GD45*$HE45/12</f>
        <v>0</v>
      </c>
      <c r="FK45" s="1184">
        <f>FJ45+DJ45+EJ45                 -         SUMIF('Nährstoffe und Lagerraum'!$AX$113:$AX$155,$CZ45,'Nährstoffe und Lagerraum'!$U$113:$U$155)/12  -$GD45*$HE45/12</f>
        <v>0</v>
      </c>
      <c r="FL45" s="1184">
        <f>FK45+DK45+EK45                 -         SUMIF('Nährstoffe und Lagerraum'!$AX$113:$AX$155,$CZ45,'Nährstoffe und Lagerraum'!$U$113:$U$155)/12  -$GD45*$HE45/12</f>
        <v>0</v>
      </c>
      <c r="FM45" s="1184">
        <f>FL45+DL45+EL45                 -         SUMIF('Nährstoffe und Lagerraum'!$AX$113:$AX$155,$CZ45,'Nährstoffe und Lagerraum'!$U$113:$U$155)/12  -$GD45*$HE45/12</f>
        <v>0</v>
      </c>
      <c r="FN45" s="1184">
        <f>FM45+DM45+EM45                 -         SUMIF('Nährstoffe und Lagerraum'!$AX$113:$AX$155,$CZ45,'Nährstoffe und Lagerraum'!$U$113:$U$155)/12  -$GD45*$HE45/12</f>
        <v>0</v>
      </c>
      <c r="FO45" s="1184"/>
      <c r="FP45" s="1186">
        <f t="shared" si="52"/>
        <v>0</v>
      </c>
      <c r="FQ45" s="1184">
        <f>FP45+DO45+EO45                 -         SUMIF('Nährstoffe und Lagerraum'!$AX$113:$AX$155,$CZ45,'Nährstoffe und Lagerraum'!$V$113:$V$155)/12  -$GE45*$HE45/12</f>
        <v>0</v>
      </c>
      <c r="FR45" s="1184">
        <f>FQ45+DP45+EP45                 -         SUMIF('Nährstoffe und Lagerraum'!$AX$113:$AX$155,$CZ45,'Nährstoffe und Lagerraum'!$V$113:$V$155)/12  -$GE45*$HE45/12</f>
        <v>0</v>
      </c>
      <c r="FS45" s="1184">
        <f>FR45+DQ45+EQ45                 -         SUMIF('Nährstoffe und Lagerraum'!$AX$113:$AX$155,$CZ45,'Nährstoffe und Lagerraum'!$V$113:$V$155)/12  -$GE45*$HE45/12</f>
        <v>0</v>
      </c>
      <c r="FT45" s="1184">
        <f>FS45+DR45+ER45                 -         SUMIF('Nährstoffe und Lagerraum'!$AX$113:$AX$155,$CZ45,'Nährstoffe und Lagerraum'!$V$113:$V$155)/12  -$GE45*$HE45/12</f>
        <v>0</v>
      </c>
      <c r="FU45" s="1184">
        <f>FT45+DS45+ES45                 -         SUMIF('Nährstoffe und Lagerraum'!$AX$113:$AX$155,$CZ45,'Nährstoffe und Lagerraum'!$V$113:$V$155)/12  -$GE45*$HE45/12</f>
        <v>0</v>
      </c>
      <c r="FV45" s="1184">
        <f>FU45+DT45+ET45                 -         SUMIF('Nährstoffe und Lagerraum'!$AX$113:$AX$155,$CZ45,'Nährstoffe und Lagerraum'!$V$113:$V$155)/12  -$GE45*$HE45/12</f>
        <v>0</v>
      </c>
      <c r="FW45" s="1184">
        <f>FV45+DU45+EU45                 -         SUMIF('Nährstoffe und Lagerraum'!$AX$113:$AX$155,$CZ45,'Nährstoffe und Lagerraum'!$V$113:$V$155)/12  -$GE45*$HE45/12</f>
        <v>0</v>
      </c>
      <c r="FX45" s="1184">
        <f>FW45+DV45+EV45                 -         SUMIF('Nährstoffe und Lagerraum'!$AX$113:$AX$155,$CZ45,'Nährstoffe und Lagerraum'!$V$113:$V$155)/12  -$GE45*$HE45/12</f>
        <v>0</v>
      </c>
      <c r="FY45" s="1184">
        <f>FX45+DW45+EW45                 -         SUMIF('Nährstoffe und Lagerraum'!$AX$113:$AX$155,$CZ45,'Nährstoffe und Lagerraum'!$V$113:$V$155)/12  -$GE45*$HE45/12</f>
        <v>0</v>
      </c>
      <c r="FZ45" s="1184">
        <f>FY45+DX45+EX45                 -         SUMIF('Nährstoffe und Lagerraum'!$AX$113:$AX$155,$CZ45,'Nährstoffe und Lagerraum'!$V$113:$V$155)/12  -$GE45*$HE45/12</f>
        <v>0</v>
      </c>
      <c r="GA45" s="1184">
        <f>FZ45+DY45+EY45                 -         SUMIF('Nährstoffe und Lagerraum'!$AX$113:$AX$155,$CZ45,'Nährstoffe und Lagerraum'!$V$113:$V$155)/12  -$GE45*$HE45/12</f>
        <v>0</v>
      </c>
      <c r="GB45" s="1184">
        <f>GA45+DZ45+EZ45                 -         SUMIF('Nährstoffe und Lagerraum'!$AX$113:$AX$155,$CZ45,'Nährstoffe und Lagerraum'!$V$113:$V$155)/12  -$GE45*$HE45/12</f>
        <v>0</v>
      </c>
      <c r="GC45" s="1184"/>
      <c r="GD45" s="1184">
        <f>SUMIFS($CI$14:$CI$68,$BR$14:$BR$68,$CZ45)+SUMIFS($CM$14:$CM$68,$BR$14:$BR$68,$CZ45)+SUMIFS($CR$14:$CR$68,$BR$14:$BR$68,$CZ45)  -         SUMIF('Nährstoffe und Lagerraum'!$AX$113:$AX$155,$CZ45,'Nährstoffe und Lagerraum'!$U$113:$U$155)</f>
        <v>0</v>
      </c>
      <c r="GE45" s="1184">
        <f>SUMIFS($CJ$14:$CJ$68,$BR$14:$BR$68,$CZ45)+SUMIFS($CO$14:$CO$68,$BR$14:$BR$68,$CZ45)+SUMIFS($CT$14:$CT$68,$BR$14:$BR$68,$CZ45)  -         SUMIF('Nährstoffe und Lagerraum'!$AX$113:$AX$155,$CZ45,'Nährstoffe und Lagerraum'!$V$113:$V$155)</f>
        <v>0</v>
      </c>
      <c r="GF45" s="1184"/>
      <c r="GG45" s="1184"/>
      <c r="GH45" s="1184">
        <f>SUMIF('Nährstoffe und Lagerraum'!$AX$113:$AX$155,$CZ45,'Nährstoffe und Lagerraum'!$U$113:$U$155)</f>
        <v>0</v>
      </c>
      <c r="GI45" s="1184">
        <f>SUMIF('Nährstoffe und Lagerraum'!$AX$113:$AX$155,$CZ45,'Nährstoffe und Lagerraum'!$V$113:$V$155)</f>
        <v>0</v>
      </c>
      <c r="GJ45" s="1184">
        <f t="shared" si="53"/>
        <v>0</v>
      </c>
      <c r="GK45" s="1184">
        <f t="shared" si="54"/>
        <v>0</v>
      </c>
      <c r="GL45" s="1184">
        <f t="shared" si="55"/>
        <v>0</v>
      </c>
      <c r="GM45" s="1184">
        <f t="shared" si="56"/>
        <v>0</v>
      </c>
      <c r="GN45" s="1184">
        <f t="shared" si="57"/>
        <v>0</v>
      </c>
      <c r="GO45" s="1184" cm="1">
        <f t="array" ref="GO45">IF(GN45=0,0,(IFERROR(SUMPRODUCT($J$14:$J$68,$CH$14:$CH$68,($BR$14:$BR$68=CZ45)*1)+SUMPRODUCT($L$14:$L$68,$M$14:$M$68,$CK$14:$CK$68,($BR$14:$BR$68=CZ45)*1,($BT$14:$BT$68=FALSE)*1)/10+SUMPRODUCT($R$14:$R$68,$CP$14:$CP$68,($BR$14:$BR$68=CZ45)*1),0))/GN45)</f>
        <v>0</v>
      </c>
      <c r="GP45" s="1184">
        <f t="shared" si="58"/>
        <v>0</v>
      </c>
      <c r="GQ45" s="1184">
        <f>(SUMIF('Nährstoffe und Lagerraum'!$AX$113:$AX$130,'Lagerhaltung (freiwillig)'!CZ45,'Nährstoffe und Lagerraum'!$D$113:$D$130)+SUMIF('Nährstoffe und Lagerraum'!$AX$137:$AX$155,'Lagerhaltung (freiwillig)'!CZ45,'Nährstoffe und Lagerraum'!$E$137:$E$155))</f>
        <v>0</v>
      </c>
      <c r="GR45" s="1184" cm="1">
        <f t="array" ref="GR45">IF(GQ45=0,0,(IFERROR(SUMPRODUCT('Nährstoffe und Lagerraum'!$D$113:$D$130,'Nährstoffe und Lagerraum'!$F$113:$F$130,('Nährstoffe und Lagerraum'!$AX$113:$AX$130='Lagerhaltung (freiwillig)'!CZ45)*1)+SUMPRODUCT('Nährstoffe und Lagerraum'!$E$137:$E$155,'Nährstoffe und Lagerraum'!$F$137:$F$155,('Nährstoffe und Lagerraum'!$AX$137:$AX$155='Lagerhaltung (freiwillig)'!CZ45)*1),0))/GQ45)</f>
        <v>0</v>
      </c>
      <c r="GS45" s="1184">
        <f t="shared" si="59"/>
        <v>0</v>
      </c>
      <c r="GT45" s="1184">
        <f t="shared" si="60"/>
        <v>0</v>
      </c>
      <c r="GU45" s="1184">
        <f t="shared" si="61"/>
        <v>0</v>
      </c>
      <c r="GV45" s="1184">
        <f t="shared" si="62"/>
        <v>0</v>
      </c>
      <c r="GW45" s="1186" t="str">
        <f t="shared" si="41"/>
        <v xml:space="preserve"> </v>
      </c>
      <c r="GX45" s="1186" t="str">
        <f t="shared" si="41"/>
        <v xml:space="preserve"> </v>
      </c>
      <c r="GY45" s="1195">
        <f t="shared" si="63"/>
        <v>0</v>
      </c>
      <c r="GZ45" s="1184">
        <f t="shared" si="64"/>
        <v>0</v>
      </c>
      <c r="HA45" s="1184" t="str">
        <f t="shared" si="132"/>
        <v>a</v>
      </c>
      <c r="HB45" s="1196">
        <f t="shared" si="65"/>
        <v>0</v>
      </c>
      <c r="HC45" s="1196">
        <f t="shared" si="66"/>
        <v>0</v>
      </c>
      <c r="HD45" s="1196"/>
      <c r="HE45" s="1187">
        <f t="shared" si="67"/>
        <v>0</v>
      </c>
      <c r="HF45" s="1196">
        <f t="shared" si="68"/>
        <v>0</v>
      </c>
      <c r="HG45" s="1196">
        <f t="shared" si="69"/>
        <v>0</v>
      </c>
      <c r="HH45" s="1196">
        <f t="shared" si="70"/>
        <v>0</v>
      </c>
      <c r="HI45" s="1328" cm="1">
        <f t="array" ref="HI45">IF(AND(HG45=0,GL45=0),0,IF(HG45=0,1,IF(OR(GL45*1000/HG45/HH45&gt;INDEX(Pflanzen!$W$5:$W$104,CZ45)/INDEX(Pflanzen!$I$5:$I$104,CZ45)*$HI$1,GL45*1000/HG45/HH45&lt;INDEX(Pflanzen!$W$5:$W$104,CZ45)/INDEX(Pflanzen!$I$5:$I$104,CZ45)/$HI$1),1,0)))</f>
        <v>0</v>
      </c>
      <c r="HJ45" s="1328" cm="1">
        <f t="array" ref="HJ45">IF(AND(GM45=0,HG45=0),0,IF(HG45=0,1,IF(OR(GM45*1000/HG45/HH45&gt;INDEX(Pflanzen!$X$5:$X$104,CZ45)/INDEX(Pflanzen!$I$5:$I$104,CZ45)*$HI$1,GM45*1000/HG45/HH45&lt;INDEX(Pflanzen!$X$5:$X$104,CZ45)/INDEX(Pflanzen!$I$5:$I$104,CZ45)/$HI$1),1,0)))</f>
        <v>0</v>
      </c>
      <c r="HK45" s="1184">
        <f t="shared" si="71"/>
        <v>3</v>
      </c>
      <c r="HL45" s="1184"/>
      <c r="HN45" s="1184"/>
      <c r="HO45" s="1193" t="str">
        <f>Tiere!B71</f>
        <v>Mastschweine (950 g TZ), Standard</v>
      </c>
      <c r="HP45" s="1184">
        <v>42</v>
      </c>
      <c r="HQ45" s="1194">
        <f>SUMIF('Nährstoffe und Lagerraum'!$BM$68:$BM$87,'Lagerhaltung (freiwillig)'!HP45,'Nährstoffe und Lagerraum'!$Z$68:$Z$87)+SUMIF('Nährstoffe und Lagerraum'!$BM$68:$BM$87,'Lagerhaltung (freiwillig)'!HP45,'Nährstoffe und Lagerraum'!$AA$68:$AA$87)</f>
        <v>0</v>
      </c>
      <c r="HR45" s="1184" cm="1">
        <f t="array" ref="HR45">INDEX(Tiere!$C$30:$C$114,'Lagerhaltung (freiwillig)'!HP45)</f>
        <v>2</v>
      </c>
      <c r="HS45" s="1184" cm="1">
        <f t="array" ref="HS45">INDEX(Tiere!$H$30:$H$114,'Lagerhaltung (freiwillig)'!HP45)</f>
        <v>0</v>
      </c>
      <c r="HT45" s="1184">
        <f t="shared" si="12"/>
        <v>0</v>
      </c>
      <c r="HU45" s="1184" cm="1">
        <f t="array" ref="HU45">INDEX(Tiere!$I$30:$I$114,'Lagerhaltung (freiwillig)'!HP45)</f>
        <v>0</v>
      </c>
      <c r="HV45" s="1184">
        <f t="shared" si="13"/>
        <v>0</v>
      </c>
      <c r="HW45" s="1184" cm="1">
        <f t="array" ref="HW45">INDEX(Tiere!$BC$30:$BC$114,'Lagerhaltung (freiwillig)'!HP45)</f>
        <v>8.8767999999999994</v>
      </c>
      <c r="HX45" s="1184">
        <f t="shared" si="14"/>
        <v>0</v>
      </c>
      <c r="HY45" s="1184" cm="1">
        <f t="array" ref="HY45">INDEX(Tiere!$BD$30:$BD$114,'Lagerhaltung (freiwillig)'!HP45)</f>
        <v>4.0569749999999996</v>
      </c>
      <c r="HZ45" s="1184">
        <f t="shared" si="15"/>
        <v>0</v>
      </c>
      <c r="IA45" s="1184"/>
      <c r="IB45" s="1184"/>
      <c r="IC45" s="1184"/>
      <c r="ID45" s="1184"/>
      <c r="IE45" s="1184"/>
      <c r="IF45" s="1184"/>
      <c r="IG45" s="1184"/>
      <c r="IH45" s="1184"/>
      <c r="II45" s="1184"/>
      <c r="IJ45" s="1184"/>
      <c r="IK45" s="1184"/>
      <c r="IL45" s="1184"/>
    </row>
    <row r="46" spans="1:247" ht="15.6" customHeight="1" x14ac:dyDescent="0.2">
      <c r="F46" s="1122"/>
      <c r="G46" s="1498"/>
      <c r="H46" s="1336"/>
      <c r="I46" s="1162" t="str">
        <f t="shared" si="133"/>
        <v/>
      </c>
      <c r="J46" s="1303"/>
      <c r="K46" s="1162" t="str">
        <f t="shared" si="134"/>
        <v/>
      </c>
      <c r="L46" s="1487"/>
      <c r="M46" s="1491"/>
      <c r="N46" s="1487"/>
      <c r="O46" s="1487"/>
      <c r="P46" s="1303"/>
      <c r="Q46" s="1162" t="str">
        <f t="shared" si="135"/>
        <v/>
      </c>
      <c r="R46" s="1487"/>
      <c r="S46" s="1491"/>
      <c r="T46" s="1303"/>
      <c r="V46" s="1346" t="str">
        <f t="shared" si="156"/>
        <v/>
      </c>
      <c r="Y46" s="1554" t="str" cm="1">
        <f t="array" ref="Y46">IFERROR(INDEX($CY$4:$CY$165,AY46),"")</f>
        <v/>
      </c>
      <c r="Z46" s="1555"/>
      <c r="AA46" s="1555"/>
      <c r="AB46" s="1555"/>
      <c r="AC46" s="1454" t="str" cm="1">
        <f t="array" ref="AC46">IFERROR(INDEX($GN$4:$GN$165,AY46),"")</f>
        <v/>
      </c>
      <c r="AD46" s="1454" t="str" cm="1">
        <f t="array" ref="AD46">IFERROR(INDEX($GO$4:$GO$165,AY46),"")</f>
        <v/>
      </c>
      <c r="AE46" s="1454" t="str" cm="1">
        <f t="array" ref="AE46">IFERROR(INDEX($GJ$4:$GJ$165,AY46),"")</f>
        <v/>
      </c>
      <c r="AF46" s="1454" t="str" cm="1">
        <f t="array" ref="AF46">IFERROR(INDEX($GK$4:$GK$165,AY46),"")</f>
        <v/>
      </c>
      <c r="AG46" s="1454" t="str" cm="1">
        <f t="array" ref="AG46">IFERROR(INDEX($GQ$4:$GQ$165,AY46),"")</f>
        <v/>
      </c>
      <c r="AH46" s="1454" t="str" cm="1">
        <f t="array" ref="AH46">IFERROR(INDEX($GR$4:$GR$165,AY46),"")</f>
        <v/>
      </c>
      <c r="AI46" s="1454" t="str" cm="1">
        <f t="array" ref="AI46">IFERROR(INDEX($GH$4:$GH$165,AY46),"")</f>
        <v/>
      </c>
      <c r="AJ46" s="1454" t="str" cm="1">
        <f t="array" ref="AJ46">IFERROR(INDEX($GI$4:$GI$165,AY46),"")</f>
        <v/>
      </c>
      <c r="AK46" s="1454" t="str" cm="1">
        <f t="array" ref="AK46">IFERROR(INDEX($GU$4:$GU$165,AY46),"")</f>
        <v/>
      </c>
      <c r="AL46" s="1455" t="str" cm="1">
        <f t="array" ref="AL46">IFERROR(INDEX($GV$4:$GV$165,AY46),"")</f>
        <v/>
      </c>
      <c r="AM46" s="1454" t="str" cm="1">
        <f t="array" ref="AM46">IFERROR(INDEX($GD$4:$GD$165,AY46),"")</f>
        <v/>
      </c>
      <c r="AN46" s="1454" t="str" cm="1">
        <f t="array" ref="AN46">IFERROR(INDEX($GE$4:$GE$165,AY46),"")</f>
        <v/>
      </c>
      <c r="AO46" s="1454" t="str" cm="1">
        <f t="array" ref="AO46">IFERROR(INDEX($GW$4:$GW$165,AY46),"")</f>
        <v/>
      </c>
      <c r="AP46" s="1454" t="str" cm="1">
        <f t="array" ref="AP46">IFERROR(INDEX($GZ$4:$GZ$165,AY46),"")</f>
        <v/>
      </c>
      <c r="AQ46" s="1457"/>
      <c r="AR46" s="1454" t="str" cm="1">
        <f t="array" ref="AR46">IFERROR(INDEX($HF$4:$HF$165,AY46),"")</f>
        <v/>
      </c>
      <c r="AS46" s="1454" t="str" cm="1">
        <f t="array" ref="AS46">IFERROR(INDEX($HG$4:$HG$165,AY46),"")</f>
        <v/>
      </c>
      <c r="AT46" s="1454" t="str" cm="1">
        <f t="array" ref="AT46">IFERROR(INDEX($HH$4:$HH$165,AY46),"")</f>
        <v/>
      </c>
      <c r="AU46" s="1454" t="str" cm="1">
        <f t="array" ref="AU46">IFERROR(INDEX($GL$4:$GL$165,AY46),"")</f>
        <v/>
      </c>
      <c r="AV46" s="1454" t="str" cm="1">
        <f t="array" ref="AV46">IFERROR(INDEX($GM$4:$GM$165,AY46),"")</f>
        <v/>
      </c>
      <c r="AY46" s="1184" t="str" cm="1">
        <f t="array" ref="AY46">IFERROR(SMALL(IF($HK$4:$HK$165=1,ROW($HK$4:$HK$165)-3),ROW(W31)),IFERROR(SMALL(IF($HK$4:$HK$165=2,ROW($HK$4:$HK$165)-3),ROW(W31)-COUNTIF($HK$4:$HK$165,1)),IFERROR(SMALL(IF($HK$4:$HK$165=0,ROW($HK$4:$HK$165)-3),ROW(W31)-COUNTIF($HK$4:$HK$165,1)-COUNTIF($HK$4:$HK$165,2)),"")))</f>
        <v/>
      </c>
      <c r="AZ46" s="1184" t="str">
        <f t="shared" si="129"/>
        <v>a</v>
      </c>
      <c r="BA46" s="1194" t="e">
        <f t="shared" si="130"/>
        <v>#VALUE!</v>
      </c>
      <c r="BB46" s="1194" cm="1">
        <f t="array" ref="BB46">IFERROR(INDEX($HK$4:$HK$165,AY46),0)</f>
        <v>0</v>
      </c>
      <c r="BC46" s="1194">
        <f t="shared" si="131"/>
        <v>0</v>
      </c>
      <c r="BD46" s="1194"/>
      <c r="BE46" s="1343"/>
      <c r="BF46" s="1343"/>
      <c r="BG46" s="1343"/>
      <c r="BH46" s="1343"/>
      <c r="BI46" s="1343"/>
      <c r="BJ46" s="1343"/>
      <c r="BK46" s="1343"/>
      <c r="BL46" s="1343"/>
      <c r="BM46" s="1343"/>
      <c r="BN46" s="1343"/>
      <c r="BO46" s="1343"/>
      <c r="BQ46" s="1184">
        <v>1</v>
      </c>
      <c r="BR46" cm="1">
        <f t="array" ref="BR46">INDEX(Pflanzen!$B$5:$B$112,'Lagerhaltung (freiwillig)'!BQ46)</f>
        <v>1</v>
      </c>
      <c r="BS46" s="1184"/>
      <c r="BT46" s="1184" t="b">
        <v>0</v>
      </c>
      <c r="BU46" s="1185"/>
      <c r="BV46" s="1185"/>
      <c r="BW46" s="1184">
        <f t="shared" si="136"/>
        <v>12</v>
      </c>
      <c r="BX46" s="1184">
        <f t="shared" si="137"/>
        <v>0</v>
      </c>
      <c r="BY46" s="1184">
        <f t="shared" si="138"/>
        <v>12</v>
      </c>
      <c r="BZ46" s="1184" cm="1">
        <f t="array" ref="BZ46">INDEX(Pflanzen!$AB$5:$AB$114,'Lagerhaltung (freiwillig)'!BR46)</f>
        <v>0</v>
      </c>
      <c r="CA46" s="1184" cm="1">
        <f t="array" ref="CA46">IF(BZ46=1,INDEX(Pflanzen!$AC$5:$AC$114,BR46),N46)</f>
        <v>0</v>
      </c>
      <c r="CB46" s="1184" cm="1">
        <f t="array" ref="CB46">IF(BZ46=1,INDEX(Pflanzen!$AD$5:$AD$114,BR46),O46)</f>
        <v>0</v>
      </c>
      <c r="CC46" s="1184">
        <f t="shared" si="139"/>
        <v>12</v>
      </c>
      <c r="CD46" s="1184">
        <f t="shared" si="140"/>
        <v>0</v>
      </c>
      <c r="CE46" s="1184">
        <f t="shared" si="141"/>
        <v>12</v>
      </c>
      <c r="CF46" s="1184" cm="1">
        <f t="array" ref="CF46">INDEX(Pflanzen!$F$5:$F$114,BR46)</f>
        <v>0</v>
      </c>
      <c r="CG46" s="1184" cm="1">
        <f t="array" ref="CG46">INDEX(Pflanzen!$G$5:$G$114,BR46)</f>
        <v>0</v>
      </c>
      <c r="CH46" s="1184">
        <f t="shared" si="142"/>
        <v>0</v>
      </c>
      <c r="CI46" s="1184">
        <f t="shared" si="143"/>
        <v>0</v>
      </c>
      <c r="CJ46" s="1184">
        <f t="shared" si="144"/>
        <v>0</v>
      </c>
      <c r="CK46" s="1184">
        <f t="shared" si="145"/>
        <v>0</v>
      </c>
      <c r="CL46" s="1184">
        <f t="shared" si="146"/>
        <v>0</v>
      </c>
      <c r="CM46" s="1184">
        <f t="shared" si="147"/>
        <v>0</v>
      </c>
      <c r="CN46" s="1184">
        <f t="shared" si="148"/>
        <v>0</v>
      </c>
      <c r="CO46" s="1184">
        <f t="shared" si="149"/>
        <v>0</v>
      </c>
      <c r="CP46" s="1184">
        <f t="shared" si="150"/>
        <v>0</v>
      </c>
      <c r="CQ46" s="1184">
        <f t="shared" si="151"/>
        <v>0</v>
      </c>
      <c r="CR46" s="1184">
        <f t="shared" si="152"/>
        <v>0</v>
      </c>
      <c r="CS46" s="1184">
        <f t="shared" si="153"/>
        <v>0</v>
      </c>
      <c r="CT46" s="1184">
        <f t="shared" si="154"/>
        <v>0</v>
      </c>
      <c r="CU46" s="1184">
        <f t="shared" si="157"/>
        <v>2</v>
      </c>
      <c r="CV46" s="1186" cm="1">
        <f t="array" ref="CV46">IF(AND(COUNTIF($BR$14:$BR$36,BR46)&gt;0,BR46&lt;ROWS(Pflanzen!$C$5:$C$107)),INDEX(Pflanzen!$I$5:$I$114,BR46),SUMIF($BR$44:$BR$68,BR46,$F$44:$F$69)/COUNTIF($BR$44:$BR$68,BR46))</f>
        <v>0</v>
      </c>
      <c r="CW46" s="1186">
        <f t="shared" si="155"/>
        <v>0</v>
      </c>
      <c r="CX46" s="1184"/>
      <c r="CY46" s="320" t="str">
        <f>Pflanzen!A42</f>
        <v>Kleegras (Kleeanteil 70 %)</v>
      </c>
      <c r="CZ46" s="1200">
        <f>IFERROR(MATCH($CY46,Pflanzen!$C$5:$C$114,0),1)</f>
        <v>38</v>
      </c>
      <c r="DA46" s="320" cm="1">
        <f t="array" ref="DA46">INDEX(Pflanzen!$H$5:$H$114,'Lagerhaltung (freiwillig)'!CZ46)</f>
        <v>1</v>
      </c>
      <c r="DB46" s="1200">
        <f t="shared" si="106"/>
        <v>0</v>
      </c>
      <c r="DC46" s="1200">
        <f t="shared" si="106"/>
        <v>0</v>
      </c>
      <c r="DD46" s="1200">
        <f t="shared" si="106"/>
        <v>0</v>
      </c>
      <c r="DE46" s="1200">
        <f t="shared" si="106"/>
        <v>0</v>
      </c>
      <c r="DF46" s="1200">
        <f t="shared" si="106"/>
        <v>0</v>
      </c>
      <c r="DG46" s="1184">
        <f t="shared" si="106"/>
        <v>0</v>
      </c>
      <c r="DH46" s="1184">
        <f t="shared" si="106"/>
        <v>0</v>
      </c>
      <c r="DI46" s="1184">
        <f t="shared" si="106"/>
        <v>0</v>
      </c>
      <c r="DJ46" s="1184">
        <f t="shared" si="106"/>
        <v>0</v>
      </c>
      <c r="DK46" s="1184">
        <f t="shared" si="106"/>
        <v>0</v>
      </c>
      <c r="DL46" s="1184">
        <f t="shared" si="106"/>
        <v>0</v>
      </c>
      <c r="DM46" s="1184">
        <f t="shared" si="106"/>
        <v>0</v>
      </c>
      <c r="DN46" s="1184"/>
      <c r="DO46" s="1184">
        <f t="shared" si="107"/>
        <v>0</v>
      </c>
      <c r="DP46" s="1184">
        <f t="shared" si="107"/>
        <v>0</v>
      </c>
      <c r="DQ46" s="1184">
        <f t="shared" si="107"/>
        <v>0</v>
      </c>
      <c r="DR46" s="1184">
        <f t="shared" si="107"/>
        <v>0</v>
      </c>
      <c r="DS46" s="1184">
        <f t="shared" si="107"/>
        <v>0</v>
      </c>
      <c r="DT46" s="1184">
        <f t="shared" si="107"/>
        <v>0</v>
      </c>
      <c r="DU46" s="1184">
        <f t="shared" si="107"/>
        <v>0</v>
      </c>
      <c r="DV46" s="1184">
        <f t="shared" si="107"/>
        <v>0</v>
      </c>
      <c r="DW46" s="1184">
        <f t="shared" si="107"/>
        <v>0</v>
      </c>
      <c r="DX46" s="1184">
        <f t="shared" si="107"/>
        <v>0</v>
      </c>
      <c r="DY46" s="1184">
        <f t="shared" si="107"/>
        <v>0</v>
      </c>
      <c r="DZ46" s="1184">
        <f t="shared" si="107"/>
        <v>0</v>
      </c>
      <c r="EA46" s="1184"/>
      <c r="EB46" s="1184">
        <f t="shared" si="108"/>
        <v>0</v>
      </c>
      <c r="EC46" s="1184">
        <f t="shared" si="108"/>
        <v>0</v>
      </c>
      <c r="ED46" s="1184">
        <f t="shared" si="108"/>
        <v>0</v>
      </c>
      <c r="EE46" s="1184">
        <f t="shared" si="108"/>
        <v>0</v>
      </c>
      <c r="EF46" s="1184">
        <f t="shared" si="108"/>
        <v>0</v>
      </c>
      <c r="EG46" s="1184">
        <f t="shared" si="108"/>
        <v>0</v>
      </c>
      <c r="EH46" s="1184">
        <f t="shared" si="108"/>
        <v>0</v>
      </c>
      <c r="EI46" s="1184">
        <f t="shared" si="108"/>
        <v>0</v>
      </c>
      <c r="EJ46" s="1184">
        <f t="shared" si="108"/>
        <v>0</v>
      </c>
      <c r="EK46" s="1184">
        <f t="shared" si="108"/>
        <v>0</v>
      </c>
      <c r="EL46" s="1184">
        <f t="shared" si="108"/>
        <v>0</v>
      </c>
      <c r="EM46" s="1184">
        <f t="shared" si="108"/>
        <v>0</v>
      </c>
      <c r="EN46" s="1184"/>
      <c r="EO46" s="1184">
        <f t="shared" si="109"/>
        <v>0</v>
      </c>
      <c r="EP46" s="1184">
        <f t="shared" si="109"/>
        <v>0</v>
      </c>
      <c r="EQ46" s="1184">
        <f t="shared" si="109"/>
        <v>0</v>
      </c>
      <c r="ER46" s="1184">
        <f t="shared" si="109"/>
        <v>0</v>
      </c>
      <c r="ES46" s="1184">
        <f t="shared" si="109"/>
        <v>0</v>
      </c>
      <c r="ET46" s="1184">
        <f t="shared" si="109"/>
        <v>0</v>
      </c>
      <c r="EU46" s="1184">
        <f t="shared" si="109"/>
        <v>0</v>
      </c>
      <c r="EV46" s="1184">
        <f t="shared" si="109"/>
        <v>0</v>
      </c>
      <c r="EW46" s="1184">
        <f t="shared" si="109"/>
        <v>0</v>
      </c>
      <c r="EX46" s="1184">
        <f t="shared" si="109"/>
        <v>0</v>
      </c>
      <c r="EY46" s="1184">
        <f t="shared" si="109"/>
        <v>0</v>
      </c>
      <c r="EZ46" s="1184">
        <f t="shared" si="109"/>
        <v>0</v>
      </c>
      <c r="FA46" s="1184"/>
      <c r="FB46" s="1186">
        <f t="shared" si="51"/>
        <v>0</v>
      </c>
      <c r="FC46" s="1184">
        <f>FB46+DB46+EB46                 -         SUMIF('Nährstoffe und Lagerraum'!$AX$113:$AX$155,$CZ46,'Nährstoffe und Lagerraum'!$U$113:$U$155)/12  -$GD46*$HE46/12</f>
        <v>0</v>
      </c>
      <c r="FD46" s="1184">
        <f>FC46+DC46+EC46                 -         SUMIF('Nährstoffe und Lagerraum'!$AX$113:$AX$155,$CZ46,'Nährstoffe und Lagerraum'!$U$113:$U$155)/12  -$GD46*$HE46/12</f>
        <v>0</v>
      </c>
      <c r="FE46" s="1184">
        <f>FD46+DD46+ED46                 -         SUMIF('Nährstoffe und Lagerraum'!$AX$113:$AX$155,$CZ46,'Nährstoffe und Lagerraum'!$U$113:$U$155)/12  -$GD46*$HE46/12</f>
        <v>0</v>
      </c>
      <c r="FF46" s="1184">
        <f>FE46+DE46+EE46                 -         SUMIF('Nährstoffe und Lagerraum'!$AX$113:$AX$155,$CZ46,'Nährstoffe und Lagerraum'!$U$113:$U$155)/12  -$GD46*$HE46/12</f>
        <v>0</v>
      </c>
      <c r="FG46" s="1184">
        <f>FF46+DF46+EF46                 -         SUMIF('Nährstoffe und Lagerraum'!$AX$113:$AX$155,$CZ46,'Nährstoffe und Lagerraum'!$U$113:$U$155)/12  -$GD46*$HE46/12</f>
        <v>0</v>
      </c>
      <c r="FH46" s="1184">
        <f>FG46+DG46+EG46                 -         SUMIF('Nährstoffe und Lagerraum'!$AX$113:$AX$155,$CZ46,'Nährstoffe und Lagerraum'!$U$113:$U$155)/12  -$GD46*$HE46/12</f>
        <v>0</v>
      </c>
      <c r="FI46" s="1184">
        <f>FH46+DH46+EH46                 -         SUMIF('Nährstoffe und Lagerraum'!$AX$113:$AX$155,$CZ46,'Nährstoffe und Lagerraum'!$U$113:$U$155)/12  -$GD46*$HE46/12</f>
        <v>0</v>
      </c>
      <c r="FJ46" s="1184">
        <f>FI46+DI46+EI46                 -         SUMIF('Nährstoffe und Lagerraum'!$AX$113:$AX$155,$CZ46,'Nährstoffe und Lagerraum'!$U$113:$U$155)/12  -$GD46*$HE46/12</f>
        <v>0</v>
      </c>
      <c r="FK46" s="1184">
        <f>FJ46+DJ46+EJ46                 -         SUMIF('Nährstoffe und Lagerraum'!$AX$113:$AX$155,$CZ46,'Nährstoffe und Lagerraum'!$U$113:$U$155)/12  -$GD46*$HE46/12</f>
        <v>0</v>
      </c>
      <c r="FL46" s="1184">
        <f>FK46+DK46+EK46                 -         SUMIF('Nährstoffe und Lagerraum'!$AX$113:$AX$155,$CZ46,'Nährstoffe und Lagerraum'!$U$113:$U$155)/12  -$GD46*$HE46/12</f>
        <v>0</v>
      </c>
      <c r="FM46" s="1184">
        <f>FL46+DL46+EL46                 -         SUMIF('Nährstoffe und Lagerraum'!$AX$113:$AX$155,$CZ46,'Nährstoffe und Lagerraum'!$U$113:$U$155)/12  -$GD46*$HE46/12</f>
        <v>0</v>
      </c>
      <c r="FN46" s="1184">
        <f>FM46+DM46+EM46                 -         SUMIF('Nährstoffe und Lagerraum'!$AX$113:$AX$155,$CZ46,'Nährstoffe und Lagerraum'!$U$113:$U$155)/12  -$GD46*$HE46/12</f>
        <v>0</v>
      </c>
      <c r="FO46" s="1184"/>
      <c r="FP46" s="1186">
        <f t="shared" si="52"/>
        <v>0</v>
      </c>
      <c r="FQ46" s="1184">
        <f>FP46+DO46+EO46                 -         SUMIF('Nährstoffe und Lagerraum'!$AX$113:$AX$155,$CZ46,'Nährstoffe und Lagerraum'!$V$113:$V$155)/12  -$GE46*$HE46/12</f>
        <v>0</v>
      </c>
      <c r="FR46" s="1184">
        <f>FQ46+DP46+EP46                 -         SUMIF('Nährstoffe und Lagerraum'!$AX$113:$AX$155,$CZ46,'Nährstoffe und Lagerraum'!$V$113:$V$155)/12  -$GE46*$HE46/12</f>
        <v>0</v>
      </c>
      <c r="FS46" s="1184">
        <f>FR46+DQ46+EQ46                 -         SUMIF('Nährstoffe und Lagerraum'!$AX$113:$AX$155,$CZ46,'Nährstoffe und Lagerraum'!$V$113:$V$155)/12  -$GE46*$HE46/12</f>
        <v>0</v>
      </c>
      <c r="FT46" s="1184">
        <f>FS46+DR46+ER46                 -         SUMIF('Nährstoffe und Lagerraum'!$AX$113:$AX$155,$CZ46,'Nährstoffe und Lagerraum'!$V$113:$V$155)/12  -$GE46*$HE46/12</f>
        <v>0</v>
      </c>
      <c r="FU46" s="1184">
        <f>FT46+DS46+ES46                 -         SUMIF('Nährstoffe und Lagerraum'!$AX$113:$AX$155,$CZ46,'Nährstoffe und Lagerraum'!$V$113:$V$155)/12  -$GE46*$HE46/12</f>
        <v>0</v>
      </c>
      <c r="FV46" s="1184">
        <f>FU46+DT46+ET46                 -         SUMIF('Nährstoffe und Lagerraum'!$AX$113:$AX$155,$CZ46,'Nährstoffe und Lagerraum'!$V$113:$V$155)/12  -$GE46*$HE46/12</f>
        <v>0</v>
      </c>
      <c r="FW46" s="1184">
        <f>FV46+DU46+EU46                 -         SUMIF('Nährstoffe und Lagerraum'!$AX$113:$AX$155,$CZ46,'Nährstoffe und Lagerraum'!$V$113:$V$155)/12  -$GE46*$HE46/12</f>
        <v>0</v>
      </c>
      <c r="FX46" s="1184">
        <f>FW46+DV46+EV46                 -         SUMIF('Nährstoffe und Lagerraum'!$AX$113:$AX$155,$CZ46,'Nährstoffe und Lagerraum'!$V$113:$V$155)/12  -$GE46*$HE46/12</f>
        <v>0</v>
      </c>
      <c r="FY46" s="1184">
        <f>FX46+DW46+EW46                 -         SUMIF('Nährstoffe und Lagerraum'!$AX$113:$AX$155,$CZ46,'Nährstoffe und Lagerraum'!$V$113:$V$155)/12  -$GE46*$HE46/12</f>
        <v>0</v>
      </c>
      <c r="FZ46" s="1184">
        <f>FY46+DX46+EX46                 -         SUMIF('Nährstoffe und Lagerraum'!$AX$113:$AX$155,$CZ46,'Nährstoffe und Lagerraum'!$V$113:$V$155)/12  -$GE46*$HE46/12</f>
        <v>0</v>
      </c>
      <c r="GA46" s="1184">
        <f>FZ46+DY46+EY46                 -         SUMIF('Nährstoffe und Lagerraum'!$AX$113:$AX$155,$CZ46,'Nährstoffe und Lagerraum'!$V$113:$V$155)/12  -$GE46*$HE46/12</f>
        <v>0</v>
      </c>
      <c r="GB46" s="1184">
        <f>GA46+DZ46+EZ46                 -         SUMIF('Nährstoffe und Lagerraum'!$AX$113:$AX$155,$CZ46,'Nährstoffe und Lagerraum'!$V$113:$V$155)/12  -$GE46*$HE46/12</f>
        <v>0</v>
      </c>
      <c r="GC46" s="1184"/>
      <c r="GD46" s="1184">
        <f>SUMIFS($CI$14:$CI$68,$BR$14:$BR$68,$CZ46)+SUMIFS($CM$14:$CM$68,$BR$14:$BR$68,$CZ46)+SUMIFS($CR$14:$CR$68,$BR$14:$BR$68,$CZ46)  -         SUMIF('Nährstoffe und Lagerraum'!$AX$113:$AX$155,$CZ46,'Nährstoffe und Lagerraum'!$U$113:$U$155)</f>
        <v>0</v>
      </c>
      <c r="GE46" s="1184">
        <f>SUMIFS($CJ$14:$CJ$68,$BR$14:$BR$68,$CZ46)+SUMIFS($CO$14:$CO$68,$BR$14:$BR$68,$CZ46)+SUMIFS($CT$14:$CT$68,$BR$14:$BR$68,$CZ46)  -         SUMIF('Nährstoffe und Lagerraum'!$AX$113:$AX$155,$CZ46,'Nährstoffe und Lagerraum'!$V$113:$V$155)</f>
        <v>0</v>
      </c>
      <c r="GF46" s="1184"/>
      <c r="GG46" s="1184"/>
      <c r="GH46" s="1184">
        <f>SUMIF('Nährstoffe und Lagerraum'!$AX$113:$AX$155,$CZ46,'Nährstoffe und Lagerraum'!$U$113:$U$155)</f>
        <v>0</v>
      </c>
      <c r="GI46" s="1184">
        <f>SUMIF('Nährstoffe und Lagerraum'!$AX$113:$AX$155,$CZ46,'Nährstoffe und Lagerraum'!$V$113:$V$155)</f>
        <v>0</v>
      </c>
      <c r="GJ46" s="1184">
        <f t="shared" si="53"/>
        <v>0</v>
      </c>
      <c r="GK46" s="1184">
        <f t="shared" si="54"/>
        <v>0</v>
      </c>
      <c r="GL46" s="1184">
        <f t="shared" si="55"/>
        <v>0</v>
      </c>
      <c r="GM46" s="1184">
        <f t="shared" si="56"/>
        <v>0</v>
      </c>
      <c r="GN46" s="1184">
        <f t="shared" si="57"/>
        <v>0</v>
      </c>
      <c r="GO46" s="1184" cm="1">
        <f t="array" ref="GO46">IF(GN46=0,0,(IFERROR(SUMPRODUCT($J$14:$J$68,$CH$14:$CH$68,($BR$14:$BR$68=CZ46)*1)+SUMPRODUCT($L$14:$L$68,$M$14:$M$68,$CK$14:$CK$68,($BR$14:$BR$68=CZ46)*1,($BT$14:$BT$68=FALSE)*1)/10+SUMPRODUCT($R$14:$R$68,$CP$14:$CP$68,($BR$14:$BR$68=CZ46)*1),0))/GN46)</f>
        <v>0</v>
      </c>
      <c r="GP46" s="1184">
        <f t="shared" si="58"/>
        <v>0</v>
      </c>
      <c r="GQ46" s="1184">
        <f>(SUMIF('Nährstoffe und Lagerraum'!$AX$113:$AX$130,'Lagerhaltung (freiwillig)'!CZ46,'Nährstoffe und Lagerraum'!$D$113:$D$130)+SUMIF('Nährstoffe und Lagerraum'!$AX$137:$AX$155,'Lagerhaltung (freiwillig)'!CZ46,'Nährstoffe und Lagerraum'!$E$137:$E$155))</f>
        <v>0</v>
      </c>
      <c r="GR46" s="1184" cm="1">
        <f t="array" ref="GR46">IF(GQ46=0,0,(IFERROR(SUMPRODUCT('Nährstoffe und Lagerraum'!$D$113:$D$130,'Nährstoffe und Lagerraum'!$F$113:$F$130,('Nährstoffe und Lagerraum'!$AX$113:$AX$130='Lagerhaltung (freiwillig)'!CZ46)*1)+SUMPRODUCT('Nährstoffe und Lagerraum'!$E$137:$E$155,'Nährstoffe und Lagerraum'!$F$137:$F$155,('Nährstoffe und Lagerraum'!$AX$137:$AX$155='Lagerhaltung (freiwillig)'!CZ46)*1),0))/GQ46)</f>
        <v>0</v>
      </c>
      <c r="GS46" s="1184">
        <f t="shared" si="59"/>
        <v>0</v>
      </c>
      <c r="GT46" s="1184">
        <f t="shared" si="60"/>
        <v>0</v>
      </c>
      <c r="GU46" s="1184">
        <f t="shared" si="61"/>
        <v>0</v>
      </c>
      <c r="GV46" s="1184">
        <f t="shared" si="62"/>
        <v>0</v>
      </c>
      <c r="GW46" s="1186" t="str">
        <f t="shared" si="41"/>
        <v xml:space="preserve"> </v>
      </c>
      <c r="GX46" s="1186" t="str">
        <f t="shared" si="41"/>
        <v xml:space="preserve"> </v>
      </c>
      <c r="GY46" s="1195">
        <f t="shared" si="63"/>
        <v>0</v>
      </c>
      <c r="GZ46" s="1184">
        <f t="shared" si="64"/>
        <v>0</v>
      </c>
      <c r="HA46" s="1184" t="str">
        <f t="shared" si="132"/>
        <v>a</v>
      </c>
      <c r="HB46" s="1196">
        <f t="shared" si="65"/>
        <v>0</v>
      </c>
      <c r="HC46" s="1196">
        <f t="shared" si="66"/>
        <v>0</v>
      </c>
      <c r="HD46" s="1196"/>
      <c r="HE46" s="1187">
        <f t="shared" si="67"/>
        <v>0</v>
      </c>
      <c r="HF46" s="1196">
        <f t="shared" si="68"/>
        <v>0</v>
      </c>
      <c r="HG46" s="1196">
        <f t="shared" si="69"/>
        <v>0</v>
      </c>
      <c r="HH46" s="1196">
        <f t="shared" si="70"/>
        <v>0</v>
      </c>
      <c r="HI46" s="1328" cm="1">
        <f t="array" ref="HI46">IF(AND(HG46=0,GL46=0),0,IF(HG46=0,1,IF(OR(GL46*1000/HG46/HH46&gt;INDEX(Pflanzen!$W$5:$W$104,CZ46)/INDEX(Pflanzen!$I$5:$I$104,CZ46)*$HI$1,GL46*1000/HG46/HH46&lt;INDEX(Pflanzen!$W$5:$W$104,CZ46)/INDEX(Pflanzen!$I$5:$I$104,CZ46)/$HI$1),1,0)))</f>
        <v>0</v>
      </c>
      <c r="HJ46" s="1328" cm="1">
        <f t="array" ref="HJ46">IF(AND(GM46=0,HG46=0),0,IF(HG46=0,1,IF(OR(GM46*1000/HG46/HH46&gt;INDEX(Pflanzen!$X$5:$X$104,CZ46)/INDEX(Pflanzen!$I$5:$I$104,CZ46)*$HI$1,GM46*1000/HG46/HH46&lt;INDEX(Pflanzen!$X$5:$X$104,CZ46)/INDEX(Pflanzen!$I$5:$I$104,CZ46)/$HI$1),1,0)))</f>
        <v>0</v>
      </c>
      <c r="HK46" s="1184">
        <f t="shared" si="71"/>
        <v>3</v>
      </c>
      <c r="HL46" s="1184"/>
      <c r="HN46" s="1184"/>
      <c r="HO46" s="1193" t="str">
        <f>Tiere!B72</f>
        <v>Mastschweine (950 g TZ), N-/P-reduziert</v>
      </c>
      <c r="HP46" s="1184">
        <v>43</v>
      </c>
      <c r="HQ46" s="1194">
        <f>SUMIF('Nährstoffe und Lagerraum'!$BM$68:$BM$87,'Lagerhaltung (freiwillig)'!HP46,'Nährstoffe und Lagerraum'!$Z$68:$Z$87)+SUMIF('Nährstoffe und Lagerraum'!$BM$68:$BM$87,'Lagerhaltung (freiwillig)'!HP46,'Nährstoffe und Lagerraum'!$AA$68:$AA$87)</f>
        <v>0</v>
      </c>
      <c r="HR46" s="1184" cm="1">
        <f t="array" ref="HR46">INDEX(Tiere!$C$30:$C$114,'Lagerhaltung (freiwillig)'!HP46)</f>
        <v>2</v>
      </c>
      <c r="HS46" s="1184" cm="1">
        <f t="array" ref="HS46">INDEX(Tiere!$H$30:$H$114,'Lagerhaltung (freiwillig)'!HP46)</f>
        <v>0</v>
      </c>
      <c r="HT46" s="1184">
        <f t="shared" si="12"/>
        <v>0</v>
      </c>
      <c r="HU46" s="1184" cm="1">
        <f t="array" ref="HU46">INDEX(Tiere!$I$30:$I$114,'Lagerhaltung (freiwillig)'!HP46)</f>
        <v>0</v>
      </c>
      <c r="HV46" s="1184">
        <f t="shared" si="13"/>
        <v>0</v>
      </c>
      <c r="HW46" s="1184" cm="1">
        <f t="array" ref="HW46">INDEX(Tiere!$BC$30:$BC$114,'Lagerhaltung (freiwillig)'!HP46)</f>
        <v>8.8767999999999994</v>
      </c>
      <c r="HX46" s="1184">
        <f t="shared" si="14"/>
        <v>0</v>
      </c>
      <c r="HY46" s="1184" cm="1">
        <f t="array" ref="HY46">INDEX(Tiere!$BD$30:$BD$114,'Lagerhaltung (freiwillig)'!HP46)</f>
        <v>4.0569749999999996</v>
      </c>
      <c r="HZ46" s="1184">
        <f t="shared" si="15"/>
        <v>0</v>
      </c>
      <c r="IA46" s="1184"/>
      <c r="IB46" s="1184"/>
      <c r="IC46" s="1184"/>
      <c r="ID46" s="1184"/>
      <c r="IE46" s="1184"/>
      <c r="IF46" s="1184"/>
      <c r="IG46" s="1184"/>
      <c r="IH46" s="1184"/>
      <c r="II46" s="1184"/>
      <c r="IJ46" s="1184"/>
      <c r="IK46" s="1184"/>
      <c r="IL46" s="1184"/>
    </row>
    <row r="47" spans="1:247" ht="15.6" customHeight="1" x14ac:dyDescent="0.2">
      <c r="F47" s="1122"/>
      <c r="G47" s="1498"/>
      <c r="H47" s="1336"/>
      <c r="I47" s="1162" t="str">
        <f t="shared" si="133"/>
        <v/>
      </c>
      <c r="J47" s="1303"/>
      <c r="K47" s="1162" t="str">
        <f t="shared" si="134"/>
        <v/>
      </c>
      <c r="L47" s="1487"/>
      <c r="M47" s="1491"/>
      <c r="N47" s="1487"/>
      <c r="O47" s="1487"/>
      <c r="P47" s="1303"/>
      <c r="Q47" s="1162" t="str">
        <f t="shared" si="135"/>
        <v/>
      </c>
      <c r="R47" s="1487"/>
      <c r="S47" s="1491"/>
      <c r="T47" s="1303"/>
      <c r="V47" s="1346" t="str">
        <f t="shared" si="156"/>
        <v/>
      </c>
      <c r="Y47" s="1554" t="str" cm="1">
        <f t="array" ref="Y47">IFERROR(INDEX($CY$4:$CY$165,AY47),"")</f>
        <v/>
      </c>
      <c r="Z47" s="1555"/>
      <c r="AA47" s="1555"/>
      <c r="AB47" s="1555"/>
      <c r="AC47" s="1454" t="str" cm="1">
        <f t="array" ref="AC47">IFERROR(INDEX($GN$4:$GN$165,AY47),"")</f>
        <v/>
      </c>
      <c r="AD47" s="1454" t="str" cm="1">
        <f t="array" ref="AD47">IFERROR(INDEX($GO$4:$GO$165,AY47),"")</f>
        <v/>
      </c>
      <c r="AE47" s="1454" t="str" cm="1">
        <f t="array" ref="AE47">IFERROR(INDEX($GJ$4:$GJ$165,AY47),"")</f>
        <v/>
      </c>
      <c r="AF47" s="1454" t="str" cm="1">
        <f t="array" ref="AF47">IFERROR(INDEX($GK$4:$GK$165,AY47),"")</f>
        <v/>
      </c>
      <c r="AG47" s="1454" t="str" cm="1">
        <f t="array" ref="AG47">IFERROR(INDEX($GQ$4:$GQ$165,AY47),"")</f>
        <v/>
      </c>
      <c r="AH47" s="1454" t="str" cm="1">
        <f t="array" ref="AH47">IFERROR(INDEX($GR$4:$GR$165,AY47),"")</f>
        <v/>
      </c>
      <c r="AI47" s="1454" t="str" cm="1">
        <f t="array" ref="AI47">IFERROR(INDEX($GH$4:$GH$165,AY47),"")</f>
        <v/>
      </c>
      <c r="AJ47" s="1454" t="str" cm="1">
        <f t="array" ref="AJ47">IFERROR(INDEX($GI$4:$GI$165,AY47),"")</f>
        <v/>
      </c>
      <c r="AK47" s="1454" t="str" cm="1">
        <f t="array" ref="AK47">IFERROR(INDEX($GU$4:$GU$165,AY47),"")</f>
        <v/>
      </c>
      <c r="AL47" s="1455" t="str" cm="1">
        <f t="array" ref="AL47">IFERROR(INDEX($GV$4:$GV$165,AY47),"")</f>
        <v/>
      </c>
      <c r="AM47" s="1454" t="str" cm="1">
        <f t="array" ref="AM47">IFERROR(INDEX($GD$4:$GD$165,AY47),"")</f>
        <v/>
      </c>
      <c r="AN47" s="1454" t="str" cm="1">
        <f t="array" ref="AN47">IFERROR(INDEX($GE$4:$GE$165,AY47),"")</f>
        <v/>
      </c>
      <c r="AO47" s="1454" t="str" cm="1">
        <f t="array" ref="AO47">IFERROR(INDEX($GW$4:$GW$165,AY47),"")</f>
        <v/>
      </c>
      <c r="AP47" s="1454" t="str" cm="1">
        <f t="array" ref="AP47">IFERROR(INDEX($GZ$4:$GZ$165,AY47),"")</f>
        <v/>
      </c>
      <c r="AQ47" s="1457"/>
      <c r="AR47" s="1454" t="str" cm="1">
        <f t="array" ref="AR47">IFERROR(INDEX($HF$4:$HF$165,AY47),"")</f>
        <v/>
      </c>
      <c r="AS47" s="1454" t="str" cm="1">
        <f t="array" ref="AS47">IFERROR(INDEX($HG$4:$HG$165,AY47),"")</f>
        <v/>
      </c>
      <c r="AT47" s="1454" t="str" cm="1">
        <f t="array" ref="AT47">IFERROR(INDEX($HH$4:$HH$165,AY47),"")</f>
        <v/>
      </c>
      <c r="AU47" s="1454" t="str" cm="1">
        <f t="array" ref="AU47">IFERROR(INDEX($GL$4:$GL$165,AY47),"")</f>
        <v/>
      </c>
      <c r="AV47" s="1454" t="str" cm="1">
        <f t="array" ref="AV47">IFERROR(INDEX($GM$4:$GM$165,AY47),"")</f>
        <v/>
      </c>
      <c r="AY47" s="1184" t="str" cm="1">
        <f t="array" ref="AY47">IFERROR(SMALL(IF($HK$4:$HK$165=1,ROW($HK$4:$HK$165)-3),ROW(W32)),IFERROR(SMALL(IF($HK$4:$HK$165=2,ROW($HK$4:$HK$165)-3),ROW(W32)-COUNTIF($HK$4:$HK$165,1)),IFERROR(SMALL(IF($HK$4:$HK$165=0,ROW($HK$4:$HK$165)-3),ROW(W32)-COUNTIF($HK$4:$HK$165,1)-COUNTIF($HK$4:$HK$165,2)),"")))</f>
        <v/>
      </c>
      <c r="AZ47" s="1184" t="str">
        <f t="shared" si="129"/>
        <v>a</v>
      </c>
      <c r="BA47" s="1194" t="e">
        <f t="shared" si="130"/>
        <v>#VALUE!</v>
      </c>
      <c r="BB47" s="1194" cm="1">
        <f t="array" ref="BB47">IFERROR(INDEX($HK$4:$HK$165,AY47),0)</f>
        <v>0</v>
      </c>
      <c r="BC47" s="1194">
        <f t="shared" si="131"/>
        <v>0</v>
      </c>
      <c r="BD47" s="1194"/>
      <c r="BE47" s="1343"/>
      <c r="BF47" s="1343"/>
      <c r="BG47" s="1343"/>
      <c r="BH47" s="1343"/>
      <c r="BI47" s="1343"/>
      <c r="BJ47" s="1343"/>
      <c r="BK47" s="1343"/>
      <c r="BL47" s="1343"/>
      <c r="BM47" s="1343"/>
      <c r="BN47" s="1343"/>
      <c r="BO47" s="1343"/>
      <c r="BQ47" s="1184">
        <v>1</v>
      </c>
      <c r="BR47" cm="1">
        <f t="array" ref="BR47">INDEX(Pflanzen!$B$5:$B$112,'Lagerhaltung (freiwillig)'!BQ47)</f>
        <v>1</v>
      </c>
      <c r="BS47" s="1184"/>
      <c r="BT47" s="1184" t="b">
        <v>0</v>
      </c>
      <c r="BU47" s="1185"/>
      <c r="BV47" s="1185"/>
      <c r="BW47" s="1184">
        <f t="shared" si="136"/>
        <v>12</v>
      </c>
      <c r="BX47" s="1184">
        <f t="shared" si="137"/>
        <v>0</v>
      </c>
      <c r="BY47" s="1184">
        <f t="shared" si="138"/>
        <v>12</v>
      </c>
      <c r="BZ47" s="1184" cm="1">
        <f t="array" ref="BZ47">INDEX(Pflanzen!$AB$5:$AB$114,'Lagerhaltung (freiwillig)'!BR47)</f>
        <v>0</v>
      </c>
      <c r="CA47" s="1184" cm="1">
        <f t="array" ref="CA47">IF(BZ47=1,INDEX(Pflanzen!$AC$5:$AC$114,BR47),N47)</f>
        <v>0</v>
      </c>
      <c r="CB47" s="1184" cm="1">
        <f t="array" ref="CB47">IF(BZ47=1,INDEX(Pflanzen!$AD$5:$AD$114,BR47),O47)</f>
        <v>0</v>
      </c>
      <c r="CC47" s="1184">
        <f t="shared" si="139"/>
        <v>12</v>
      </c>
      <c r="CD47" s="1184">
        <f t="shared" si="140"/>
        <v>0</v>
      </c>
      <c r="CE47" s="1184">
        <f t="shared" si="141"/>
        <v>12</v>
      </c>
      <c r="CF47" s="1184" cm="1">
        <f t="array" ref="CF47">INDEX(Pflanzen!$F$5:$F$114,BR47)</f>
        <v>0</v>
      </c>
      <c r="CG47" s="1184" cm="1">
        <f t="array" ref="CG47">INDEX(Pflanzen!$G$5:$G$114,BR47)</f>
        <v>0</v>
      </c>
      <c r="CH47" s="1184">
        <f t="shared" si="142"/>
        <v>0</v>
      </c>
      <c r="CI47" s="1184">
        <f t="shared" si="143"/>
        <v>0</v>
      </c>
      <c r="CJ47" s="1184">
        <f t="shared" si="144"/>
        <v>0</v>
      </c>
      <c r="CK47" s="1184">
        <f t="shared" si="145"/>
        <v>0</v>
      </c>
      <c r="CL47" s="1184">
        <f t="shared" si="146"/>
        <v>0</v>
      </c>
      <c r="CM47" s="1184">
        <f t="shared" si="147"/>
        <v>0</v>
      </c>
      <c r="CN47" s="1184">
        <f t="shared" si="148"/>
        <v>0</v>
      </c>
      <c r="CO47" s="1184">
        <f t="shared" si="149"/>
        <v>0</v>
      </c>
      <c r="CP47" s="1184">
        <f t="shared" si="150"/>
        <v>0</v>
      </c>
      <c r="CQ47" s="1184">
        <f t="shared" si="151"/>
        <v>0</v>
      </c>
      <c r="CR47" s="1184">
        <f t="shared" si="152"/>
        <v>0</v>
      </c>
      <c r="CS47" s="1184">
        <f t="shared" si="153"/>
        <v>0</v>
      </c>
      <c r="CT47" s="1184">
        <f t="shared" si="154"/>
        <v>0</v>
      </c>
      <c r="CU47" s="1184">
        <f t="shared" si="157"/>
        <v>2</v>
      </c>
      <c r="CV47" s="1186" cm="1">
        <f t="array" ref="CV47">IF(AND(COUNTIF($BR$14:$BR$36,BR47)&gt;0,BR47&lt;ROWS(Pflanzen!$C$5:$C$107)),INDEX(Pflanzen!$I$5:$I$114,BR47),SUMIF($BR$44:$BR$68,BR47,$F$44:$F$69)/COUNTIF($BR$44:$BR$68,BR47))</f>
        <v>0</v>
      </c>
      <c r="CW47" s="1186">
        <f t="shared" si="155"/>
        <v>0</v>
      </c>
      <c r="CX47" s="1184"/>
      <c r="CY47" s="320" t="str">
        <f>Pflanzen!A43</f>
        <v>Luzernegras (Luz.anteil 30 %)</v>
      </c>
      <c r="CZ47" s="1200">
        <f>IFERROR(MATCH($CY47,Pflanzen!$C$5:$C$114,0),1)</f>
        <v>39</v>
      </c>
      <c r="DA47" s="320" cm="1">
        <f t="array" ref="DA47">INDEX(Pflanzen!$H$5:$H$114,'Lagerhaltung (freiwillig)'!CZ47)</f>
        <v>1</v>
      </c>
      <c r="DB47" s="1200">
        <f t="shared" si="106"/>
        <v>0</v>
      </c>
      <c r="DC47" s="1200">
        <f t="shared" si="106"/>
        <v>0</v>
      </c>
      <c r="DD47" s="1200">
        <f t="shared" si="106"/>
        <v>0</v>
      </c>
      <c r="DE47" s="1200">
        <f t="shared" si="106"/>
        <v>0</v>
      </c>
      <c r="DF47" s="1200">
        <f t="shared" si="106"/>
        <v>0</v>
      </c>
      <c r="DG47" s="1184">
        <f t="shared" si="106"/>
        <v>0</v>
      </c>
      <c r="DH47" s="1184">
        <f t="shared" si="106"/>
        <v>0</v>
      </c>
      <c r="DI47" s="1184">
        <f t="shared" si="106"/>
        <v>0</v>
      </c>
      <c r="DJ47" s="1184">
        <f t="shared" si="106"/>
        <v>0</v>
      </c>
      <c r="DK47" s="1184">
        <f t="shared" si="106"/>
        <v>0</v>
      </c>
      <c r="DL47" s="1184">
        <f t="shared" si="106"/>
        <v>0</v>
      </c>
      <c r="DM47" s="1184">
        <f t="shared" si="106"/>
        <v>0</v>
      </c>
      <c r="DN47" s="1184"/>
      <c r="DO47" s="1184">
        <f t="shared" si="107"/>
        <v>0</v>
      </c>
      <c r="DP47" s="1184">
        <f t="shared" si="107"/>
        <v>0</v>
      </c>
      <c r="DQ47" s="1184">
        <f t="shared" si="107"/>
        <v>0</v>
      </c>
      <c r="DR47" s="1184">
        <f t="shared" si="107"/>
        <v>0</v>
      </c>
      <c r="DS47" s="1184">
        <f t="shared" si="107"/>
        <v>0</v>
      </c>
      <c r="DT47" s="1184">
        <f t="shared" si="107"/>
        <v>0</v>
      </c>
      <c r="DU47" s="1184">
        <f t="shared" si="107"/>
        <v>0</v>
      </c>
      <c r="DV47" s="1184">
        <f t="shared" si="107"/>
        <v>0</v>
      </c>
      <c r="DW47" s="1184">
        <f t="shared" si="107"/>
        <v>0</v>
      </c>
      <c r="DX47" s="1184">
        <f t="shared" si="107"/>
        <v>0</v>
      </c>
      <c r="DY47" s="1184">
        <f t="shared" si="107"/>
        <v>0</v>
      </c>
      <c r="DZ47" s="1184">
        <f t="shared" si="107"/>
        <v>0</v>
      </c>
      <c r="EA47" s="1184"/>
      <c r="EB47" s="1184">
        <f t="shared" si="108"/>
        <v>0</v>
      </c>
      <c r="EC47" s="1184">
        <f t="shared" si="108"/>
        <v>0</v>
      </c>
      <c r="ED47" s="1184">
        <f t="shared" si="108"/>
        <v>0</v>
      </c>
      <c r="EE47" s="1184">
        <f t="shared" si="108"/>
        <v>0</v>
      </c>
      <c r="EF47" s="1184">
        <f t="shared" si="108"/>
        <v>0</v>
      </c>
      <c r="EG47" s="1184">
        <f t="shared" si="108"/>
        <v>0</v>
      </c>
      <c r="EH47" s="1184">
        <f t="shared" si="108"/>
        <v>0</v>
      </c>
      <c r="EI47" s="1184">
        <f t="shared" si="108"/>
        <v>0</v>
      </c>
      <c r="EJ47" s="1184">
        <f t="shared" si="108"/>
        <v>0</v>
      </c>
      <c r="EK47" s="1184">
        <f t="shared" si="108"/>
        <v>0</v>
      </c>
      <c r="EL47" s="1184">
        <f t="shared" si="108"/>
        <v>0</v>
      </c>
      <c r="EM47" s="1184">
        <f t="shared" si="108"/>
        <v>0</v>
      </c>
      <c r="EN47" s="1184"/>
      <c r="EO47" s="1184">
        <f t="shared" si="109"/>
        <v>0</v>
      </c>
      <c r="EP47" s="1184">
        <f t="shared" si="109"/>
        <v>0</v>
      </c>
      <c r="EQ47" s="1184">
        <f t="shared" si="109"/>
        <v>0</v>
      </c>
      <c r="ER47" s="1184">
        <f t="shared" si="109"/>
        <v>0</v>
      </c>
      <c r="ES47" s="1184">
        <f t="shared" si="109"/>
        <v>0</v>
      </c>
      <c r="ET47" s="1184">
        <f t="shared" si="109"/>
        <v>0</v>
      </c>
      <c r="EU47" s="1184">
        <f t="shared" si="109"/>
        <v>0</v>
      </c>
      <c r="EV47" s="1184">
        <f t="shared" si="109"/>
        <v>0</v>
      </c>
      <c r="EW47" s="1184">
        <f t="shared" si="109"/>
        <v>0</v>
      </c>
      <c r="EX47" s="1184">
        <f t="shared" si="109"/>
        <v>0</v>
      </c>
      <c r="EY47" s="1184">
        <f t="shared" si="109"/>
        <v>0</v>
      </c>
      <c r="EZ47" s="1184">
        <f t="shared" si="109"/>
        <v>0</v>
      </c>
      <c r="FA47" s="1184"/>
      <c r="FB47" s="1186">
        <f t="shared" si="51"/>
        <v>0</v>
      </c>
      <c r="FC47" s="1184">
        <f>FB47+DB47+EB47                 -         SUMIF('Nährstoffe und Lagerraum'!$AX$113:$AX$155,$CZ47,'Nährstoffe und Lagerraum'!$U$113:$U$155)/12  -$GD47*$HE47/12</f>
        <v>0</v>
      </c>
      <c r="FD47" s="1184">
        <f>FC47+DC47+EC47                 -         SUMIF('Nährstoffe und Lagerraum'!$AX$113:$AX$155,$CZ47,'Nährstoffe und Lagerraum'!$U$113:$U$155)/12  -$GD47*$HE47/12</f>
        <v>0</v>
      </c>
      <c r="FE47" s="1184">
        <f>FD47+DD47+ED47                 -         SUMIF('Nährstoffe und Lagerraum'!$AX$113:$AX$155,$CZ47,'Nährstoffe und Lagerraum'!$U$113:$U$155)/12  -$GD47*$HE47/12</f>
        <v>0</v>
      </c>
      <c r="FF47" s="1184">
        <f>FE47+DE47+EE47                 -         SUMIF('Nährstoffe und Lagerraum'!$AX$113:$AX$155,$CZ47,'Nährstoffe und Lagerraum'!$U$113:$U$155)/12  -$GD47*$HE47/12</f>
        <v>0</v>
      </c>
      <c r="FG47" s="1184">
        <f>FF47+DF47+EF47                 -         SUMIF('Nährstoffe und Lagerraum'!$AX$113:$AX$155,$CZ47,'Nährstoffe und Lagerraum'!$U$113:$U$155)/12  -$GD47*$HE47/12</f>
        <v>0</v>
      </c>
      <c r="FH47" s="1184">
        <f>FG47+DG47+EG47                 -         SUMIF('Nährstoffe und Lagerraum'!$AX$113:$AX$155,$CZ47,'Nährstoffe und Lagerraum'!$U$113:$U$155)/12  -$GD47*$HE47/12</f>
        <v>0</v>
      </c>
      <c r="FI47" s="1184">
        <f>FH47+DH47+EH47                 -         SUMIF('Nährstoffe und Lagerraum'!$AX$113:$AX$155,$CZ47,'Nährstoffe und Lagerraum'!$U$113:$U$155)/12  -$GD47*$HE47/12</f>
        <v>0</v>
      </c>
      <c r="FJ47" s="1184">
        <f>FI47+DI47+EI47                 -         SUMIF('Nährstoffe und Lagerraum'!$AX$113:$AX$155,$CZ47,'Nährstoffe und Lagerraum'!$U$113:$U$155)/12  -$GD47*$HE47/12</f>
        <v>0</v>
      </c>
      <c r="FK47" s="1184">
        <f>FJ47+DJ47+EJ47                 -         SUMIF('Nährstoffe und Lagerraum'!$AX$113:$AX$155,$CZ47,'Nährstoffe und Lagerraum'!$U$113:$U$155)/12  -$GD47*$HE47/12</f>
        <v>0</v>
      </c>
      <c r="FL47" s="1184">
        <f>FK47+DK47+EK47                 -         SUMIF('Nährstoffe und Lagerraum'!$AX$113:$AX$155,$CZ47,'Nährstoffe und Lagerraum'!$U$113:$U$155)/12  -$GD47*$HE47/12</f>
        <v>0</v>
      </c>
      <c r="FM47" s="1184">
        <f>FL47+DL47+EL47                 -         SUMIF('Nährstoffe und Lagerraum'!$AX$113:$AX$155,$CZ47,'Nährstoffe und Lagerraum'!$U$113:$U$155)/12  -$GD47*$HE47/12</f>
        <v>0</v>
      </c>
      <c r="FN47" s="1184">
        <f>FM47+DM47+EM47                 -         SUMIF('Nährstoffe und Lagerraum'!$AX$113:$AX$155,$CZ47,'Nährstoffe und Lagerraum'!$U$113:$U$155)/12  -$GD47*$HE47/12</f>
        <v>0</v>
      </c>
      <c r="FO47" s="1184"/>
      <c r="FP47" s="1186">
        <f t="shared" si="52"/>
        <v>0</v>
      </c>
      <c r="FQ47" s="1184">
        <f>FP47+DO47+EO47                 -         SUMIF('Nährstoffe und Lagerraum'!$AX$113:$AX$155,$CZ47,'Nährstoffe und Lagerraum'!$V$113:$V$155)/12  -$GE47*$HE47/12</f>
        <v>0</v>
      </c>
      <c r="FR47" s="1184">
        <f>FQ47+DP47+EP47                 -         SUMIF('Nährstoffe und Lagerraum'!$AX$113:$AX$155,$CZ47,'Nährstoffe und Lagerraum'!$V$113:$V$155)/12  -$GE47*$HE47/12</f>
        <v>0</v>
      </c>
      <c r="FS47" s="1184">
        <f>FR47+DQ47+EQ47                 -         SUMIF('Nährstoffe und Lagerraum'!$AX$113:$AX$155,$CZ47,'Nährstoffe und Lagerraum'!$V$113:$V$155)/12  -$GE47*$HE47/12</f>
        <v>0</v>
      </c>
      <c r="FT47" s="1184">
        <f>FS47+DR47+ER47                 -         SUMIF('Nährstoffe und Lagerraum'!$AX$113:$AX$155,$CZ47,'Nährstoffe und Lagerraum'!$V$113:$V$155)/12  -$GE47*$HE47/12</f>
        <v>0</v>
      </c>
      <c r="FU47" s="1184">
        <f>FT47+DS47+ES47                 -         SUMIF('Nährstoffe und Lagerraum'!$AX$113:$AX$155,$CZ47,'Nährstoffe und Lagerraum'!$V$113:$V$155)/12  -$GE47*$HE47/12</f>
        <v>0</v>
      </c>
      <c r="FV47" s="1184">
        <f>FU47+DT47+ET47                 -         SUMIF('Nährstoffe und Lagerraum'!$AX$113:$AX$155,$CZ47,'Nährstoffe und Lagerraum'!$V$113:$V$155)/12  -$GE47*$HE47/12</f>
        <v>0</v>
      </c>
      <c r="FW47" s="1184">
        <f>FV47+DU47+EU47                 -         SUMIF('Nährstoffe und Lagerraum'!$AX$113:$AX$155,$CZ47,'Nährstoffe und Lagerraum'!$V$113:$V$155)/12  -$GE47*$HE47/12</f>
        <v>0</v>
      </c>
      <c r="FX47" s="1184">
        <f>FW47+DV47+EV47                 -         SUMIF('Nährstoffe und Lagerraum'!$AX$113:$AX$155,$CZ47,'Nährstoffe und Lagerraum'!$V$113:$V$155)/12  -$GE47*$HE47/12</f>
        <v>0</v>
      </c>
      <c r="FY47" s="1184">
        <f>FX47+DW47+EW47                 -         SUMIF('Nährstoffe und Lagerraum'!$AX$113:$AX$155,$CZ47,'Nährstoffe und Lagerraum'!$V$113:$V$155)/12  -$GE47*$HE47/12</f>
        <v>0</v>
      </c>
      <c r="FZ47" s="1184">
        <f>FY47+DX47+EX47                 -         SUMIF('Nährstoffe und Lagerraum'!$AX$113:$AX$155,$CZ47,'Nährstoffe und Lagerraum'!$V$113:$V$155)/12  -$GE47*$HE47/12</f>
        <v>0</v>
      </c>
      <c r="GA47" s="1184">
        <f>FZ47+DY47+EY47                 -         SUMIF('Nährstoffe und Lagerraum'!$AX$113:$AX$155,$CZ47,'Nährstoffe und Lagerraum'!$V$113:$V$155)/12  -$GE47*$HE47/12</f>
        <v>0</v>
      </c>
      <c r="GB47" s="1184">
        <f>GA47+DZ47+EZ47                 -         SUMIF('Nährstoffe und Lagerraum'!$AX$113:$AX$155,$CZ47,'Nährstoffe und Lagerraum'!$V$113:$V$155)/12  -$GE47*$HE47/12</f>
        <v>0</v>
      </c>
      <c r="GC47" s="1184"/>
      <c r="GD47" s="1184">
        <f>SUMIFS($CI$14:$CI$68,$BR$14:$BR$68,$CZ47)+SUMIFS($CM$14:$CM$68,$BR$14:$BR$68,$CZ47)+SUMIFS($CR$14:$CR$68,$BR$14:$BR$68,$CZ47)  -         SUMIF('Nährstoffe und Lagerraum'!$AX$113:$AX$155,$CZ47,'Nährstoffe und Lagerraum'!$U$113:$U$155)</f>
        <v>0</v>
      </c>
      <c r="GE47" s="1184">
        <f>SUMIFS($CJ$14:$CJ$68,$BR$14:$BR$68,$CZ47)+SUMIFS($CO$14:$CO$68,$BR$14:$BR$68,$CZ47)+SUMIFS($CT$14:$CT$68,$BR$14:$BR$68,$CZ47)  -         SUMIF('Nährstoffe und Lagerraum'!$AX$113:$AX$155,$CZ47,'Nährstoffe und Lagerraum'!$V$113:$V$155)</f>
        <v>0</v>
      </c>
      <c r="GF47" s="1184"/>
      <c r="GG47" s="1184"/>
      <c r="GH47" s="1184">
        <f>SUMIF('Nährstoffe und Lagerraum'!$AX$113:$AX$155,$CZ47,'Nährstoffe und Lagerraum'!$U$113:$U$155)</f>
        <v>0</v>
      </c>
      <c r="GI47" s="1184">
        <f>SUMIF('Nährstoffe und Lagerraum'!$AX$113:$AX$155,$CZ47,'Nährstoffe und Lagerraum'!$V$113:$V$155)</f>
        <v>0</v>
      </c>
      <c r="GJ47" s="1184">
        <f t="shared" si="53"/>
        <v>0</v>
      </c>
      <c r="GK47" s="1184">
        <f t="shared" si="54"/>
        <v>0</v>
      </c>
      <c r="GL47" s="1184">
        <f t="shared" si="55"/>
        <v>0</v>
      </c>
      <c r="GM47" s="1184">
        <f t="shared" si="56"/>
        <v>0</v>
      </c>
      <c r="GN47" s="1184">
        <f t="shared" si="57"/>
        <v>0</v>
      </c>
      <c r="GO47" s="1184" cm="1">
        <f t="array" ref="GO47">IF(GN47=0,0,(IFERROR(SUMPRODUCT($J$14:$J$68,$CH$14:$CH$68,($BR$14:$BR$68=CZ47)*1)+SUMPRODUCT($L$14:$L$68,$M$14:$M$68,$CK$14:$CK$68,($BR$14:$BR$68=CZ47)*1,($BT$14:$BT$68=FALSE)*1)/10+SUMPRODUCT($R$14:$R$68,$CP$14:$CP$68,($BR$14:$BR$68=CZ47)*1),0))/GN47)</f>
        <v>0</v>
      </c>
      <c r="GP47" s="1184">
        <f t="shared" si="58"/>
        <v>0</v>
      </c>
      <c r="GQ47" s="1184">
        <f>(SUMIF('Nährstoffe und Lagerraum'!$AX$113:$AX$130,'Lagerhaltung (freiwillig)'!CZ47,'Nährstoffe und Lagerraum'!$D$113:$D$130)+SUMIF('Nährstoffe und Lagerraum'!$AX$137:$AX$155,'Lagerhaltung (freiwillig)'!CZ47,'Nährstoffe und Lagerraum'!$E$137:$E$155))</f>
        <v>0</v>
      </c>
      <c r="GR47" s="1184" cm="1">
        <f t="array" ref="GR47">IF(GQ47=0,0,(IFERROR(SUMPRODUCT('Nährstoffe und Lagerraum'!$D$113:$D$130,'Nährstoffe und Lagerraum'!$F$113:$F$130,('Nährstoffe und Lagerraum'!$AX$113:$AX$130='Lagerhaltung (freiwillig)'!CZ47)*1)+SUMPRODUCT('Nährstoffe und Lagerraum'!$E$137:$E$155,'Nährstoffe und Lagerraum'!$F$137:$F$155,('Nährstoffe und Lagerraum'!$AX$137:$AX$155='Lagerhaltung (freiwillig)'!CZ47)*1),0))/GQ47)</f>
        <v>0</v>
      </c>
      <c r="GS47" s="1184">
        <f t="shared" si="59"/>
        <v>0</v>
      </c>
      <c r="GT47" s="1184">
        <f t="shared" si="60"/>
        <v>0</v>
      </c>
      <c r="GU47" s="1184">
        <f t="shared" si="61"/>
        <v>0</v>
      </c>
      <c r="GV47" s="1184">
        <f t="shared" si="62"/>
        <v>0</v>
      </c>
      <c r="GW47" s="1186" t="str">
        <f t="shared" si="41"/>
        <v xml:space="preserve"> </v>
      </c>
      <c r="GX47" s="1186" t="str">
        <f t="shared" si="41"/>
        <v xml:space="preserve"> </v>
      </c>
      <c r="GY47" s="1195">
        <f t="shared" si="63"/>
        <v>0</v>
      </c>
      <c r="GZ47" s="1184">
        <f t="shared" si="64"/>
        <v>0</v>
      </c>
      <c r="HA47" s="1184" t="str">
        <f t="shared" si="132"/>
        <v>a</v>
      </c>
      <c r="HB47" s="1196">
        <f t="shared" si="65"/>
        <v>0</v>
      </c>
      <c r="HC47" s="1196">
        <f t="shared" si="66"/>
        <v>0</v>
      </c>
      <c r="HD47" s="1196"/>
      <c r="HE47" s="1187">
        <f t="shared" si="67"/>
        <v>0</v>
      </c>
      <c r="HF47" s="1196">
        <f t="shared" si="68"/>
        <v>0</v>
      </c>
      <c r="HG47" s="1196">
        <f t="shared" si="69"/>
        <v>0</v>
      </c>
      <c r="HH47" s="1196">
        <f t="shared" si="70"/>
        <v>0</v>
      </c>
      <c r="HI47" s="1328" cm="1">
        <f t="array" ref="HI47">IF(AND(HG47=0,GL47=0),0,IF(HG47=0,1,IF(OR(GL47*1000/HG47/HH47&gt;INDEX(Pflanzen!$W$5:$W$104,CZ47)/INDEX(Pflanzen!$I$5:$I$104,CZ47)*$HI$1,GL47*1000/HG47/HH47&lt;INDEX(Pflanzen!$W$5:$W$104,CZ47)/INDEX(Pflanzen!$I$5:$I$104,CZ47)/$HI$1),1,0)))</f>
        <v>0</v>
      </c>
      <c r="HJ47" s="1328" cm="1">
        <f t="array" ref="HJ47">IF(AND(GM47=0,HG47=0),0,IF(HG47=0,1,IF(OR(GM47*1000/HG47/HH47&gt;INDEX(Pflanzen!$X$5:$X$104,CZ47)/INDEX(Pflanzen!$I$5:$I$104,CZ47)*$HI$1,GM47*1000/HG47/HH47&lt;INDEX(Pflanzen!$X$5:$X$104,CZ47)/INDEX(Pflanzen!$I$5:$I$104,CZ47)/$HI$1),1,0)))</f>
        <v>0</v>
      </c>
      <c r="HK47" s="1184">
        <f t="shared" si="71"/>
        <v>3</v>
      </c>
      <c r="HL47" s="1184"/>
      <c r="HN47" s="1184"/>
      <c r="HO47" s="1193" t="str">
        <f>Tiere!B73</f>
        <v>Mastschweine (950 g TZ), stark N-/P-red.*</v>
      </c>
      <c r="HP47" s="1184">
        <v>44</v>
      </c>
      <c r="HQ47" s="1194">
        <f>SUMIF('Nährstoffe und Lagerraum'!$BM$68:$BM$87,'Lagerhaltung (freiwillig)'!HP47,'Nährstoffe und Lagerraum'!$Z$68:$Z$87)+SUMIF('Nährstoffe und Lagerraum'!$BM$68:$BM$87,'Lagerhaltung (freiwillig)'!HP47,'Nährstoffe und Lagerraum'!$AA$68:$AA$87)</f>
        <v>0</v>
      </c>
      <c r="HR47" s="1184" cm="1">
        <f t="array" ref="HR47">INDEX(Tiere!$C$30:$C$114,'Lagerhaltung (freiwillig)'!HP47)</f>
        <v>2</v>
      </c>
      <c r="HS47" s="1184" cm="1">
        <f t="array" ref="HS47">INDEX(Tiere!$H$30:$H$114,'Lagerhaltung (freiwillig)'!HP47)</f>
        <v>0</v>
      </c>
      <c r="HT47" s="1184">
        <f t="shared" si="12"/>
        <v>0</v>
      </c>
      <c r="HU47" s="1184" cm="1">
        <f t="array" ref="HU47">INDEX(Tiere!$I$30:$I$114,'Lagerhaltung (freiwillig)'!HP47)</f>
        <v>0</v>
      </c>
      <c r="HV47" s="1184">
        <f t="shared" si="13"/>
        <v>0</v>
      </c>
      <c r="HW47" s="1184" cm="1">
        <f t="array" ref="HW47">INDEX(Tiere!$BC$30:$BC$114,'Lagerhaltung (freiwillig)'!HP47)</f>
        <v>8.8767999999999994</v>
      </c>
      <c r="HX47" s="1184">
        <f t="shared" si="14"/>
        <v>0</v>
      </c>
      <c r="HY47" s="1184" cm="1">
        <f t="array" ref="HY47">INDEX(Tiere!$BD$30:$BD$114,'Lagerhaltung (freiwillig)'!HP47)</f>
        <v>4.0569749999999996</v>
      </c>
      <c r="HZ47" s="1184">
        <f t="shared" si="15"/>
        <v>0</v>
      </c>
      <c r="IA47" s="1184"/>
      <c r="IB47" s="1184"/>
      <c r="IC47" s="1184"/>
      <c r="ID47" s="1184"/>
      <c r="IE47" s="1184"/>
      <c r="IF47" s="1184"/>
      <c r="IG47" s="1184"/>
      <c r="IH47" s="1184"/>
      <c r="II47" s="1184"/>
      <c r="IJ47" s="1184"/>
      <c r="IK47" s="1184"/>
      <c r="IL47" s="1184"/>
    </row>
    <row r="48" spans="1:247" ht="15.6" customHeight="1" x14ac:dyDescent="0.2">
      <c r="F48" s="1122"/>
      <c r="G48" s="1498"/>
      <c r="H48" s="1336"/>
      <c r="I48" s="1162" t="str">
        <f t="shared" si="133"/>
        <v/>
      </c>
      <c r="J48" s="1303"/>
      <c r="K48" s="1162" t="str">
        <f t="shared" si="134"/>
        <v/>
      </c>
      <c r="L48" s="1487"/>
      <c r="M48" s="1491"/>
      <c r="N48" s="1487"/>
      <c r="O48" s="1487"/>
      <c r="P48" s="1303"/>
      <c r="Q48" s="1162" t="str">
        <f t="shared" si="135"/>
        <v/>
      </c>
      <c r="R48" s="1487"/>
      <c r="S48" s="1491"/>
      <c r="T48" s="1303"/>
      <c r="V48" s="1346" t="str">
        <f t="shared" si="156"/>
        <v/>
      </c>
      <c r="Y48" s="1554" t="str" cm="1">
        <f t="array" ref="Y48">IFERROR(INDEX($CY$4:$CY$165,AY48),"")</f>
        <v/>
      </c>
      <c r="Z48" s="1555"/>
      <c r="AA48" s="1555"/>
      <c r="AB48" s="1555"/>
      <c r="AC48" s="1454" t="str" cm="1">
        <f t="array" ref="AC48">IFERROR(INDEX($GN$4:$GN$165,AY48),"")</f>
        <v/>
      </c>
      <c r="AD48" s="1454" t="str" cm="1">
        <f t="array" ref="AD48">IFERROR(INDEX($GO$4:$GO$165,AY48),"")</f>
        <v/>
      </c>
      <c r="AE48" s="1454" t="str" cm="1">
        <f t="array" ref="AE48">IFERROR(INDEX($GJ$4:$GJ$165,AY48),"")</f>
        <v/>
      </c>
      <c r="AF48" s="1454" t="str" cm="1">
        <f t="array" ref="AF48">IFERROR(INDEX($GK$4:$GK$165,AY48),"")</f>
        <v/>
      </c>
      <c r="AG48" s="1454" t="str" cm="1">
        <f t="array" ref="AG48">IFERROR(INDEX($GQ$4:$GQ$165,AY48),"")</f>
        <v/>
      </c>
      <c r="AH48" s="1454" t="str" cm="1">
        <f t="array" ref="AH48">IFERROR(INDEX($GR$4:$GR$165,AY48),"")</f>
        <v/>
      </c>
      <c r="AI48" s="1454" t="str" cm="1">
        <f t="array" ref="AI48">IFERROR(INDEX($GH$4:$GH$165,AY48),"")</f>
        <v/>
      </c>
      <c r="AJ48" s="1454" t="str" cm="1">
        <f t="array" ref="AJ48">IFERROR(INDEX($GI$4:$GI$165,AY48),"")</f>
        <v/>
      </c>
      <c r="AK48" s="1454" t="str" cm="1">
        <f t="array" ref="AK48">IFERROR(INDEX($GU$4:$GU$165,AY48),"")</f>
        <v/>
      </c>
      <c r="AL48" s="1455" t="str" cm="1">
        <f t="array" ref="AL48">IFERROR(INDEX($GV$4:$GV$165,AY48),"")</f>
        <v/>
      </c>
      <c r="AM48" s="1454" t="str" cm="1">
        <f t="array" ref="AM48">IFERROR(INDEX($GD$4:$GD$165,AY48),"")</f>
        <v/>
      </c>
      <c r="AN48" s="1454" t="str" cm="1">
        <f t="array" ref="AN48">IFERROR(INDEX($GE$4:$GE$165,AY48),"")</f>
        <v/>
      </c>
      <c r="AO48" s="1454" t="str" cm="1">
        <f t="array" ref="AO48">IFERROR(INDEX($GW$4:$GW$165,AY48),"")</f>
        <v/>
      </c>
      <c r="AP48" s="1454" t="str" cm="1">
        <f t="array" ref="AP48">IFERROR(INDEX($GZ$4:$GZ$165,AY48),"")</f>
        <v/>
      </c>
      <c r="AQ48" s="1457"/>
      <c r="AR48" s="1454" t="str" cm="1">
        <f t="array" ref="AR48">IFERROR(INDEX($HF$4:$HF$165,AY48),"")</f>
        <v/>
      </c>
      <c r="AS48" s="1454" t="str" cm="1">
        <f t="array" ref="AS48">IFERROR(INDEX($HG$4:$HG$165,AY48),"")</f>
        <v/>
      </c>
      <c r="AT48" s="1454" t="str" cm="1">
        <f t="array" ref="AT48">IFERROR(INDEX($HH$4:$HH$165,AY48),"")</f>
        <v/>
      </c>
      <c r="AU48" s="1454" t="str" cm="1">
        <f t="array" ref="AU48">IFERROR(INDEX($GL$4:$GL$165,AY48),"")</f>
        <v/>
      </c>
      <c r="AV48" s="1454" t="str" cm="1">
        <f t="array" ref="AV48">IFERROR(INDEX($GM$4:$GM$165,AY48),"")</f>
        <v/>
      </c>
      <c r="AY48" s="1184" t="str" cm="1">
        <f t="array" ref="AY48">IFERROR(SMALL(IF($HK$4:$HK$165=1,ROW($HK$4:$HK$165)-3),ROW(W33)),IFERROR(SMALL(IF($HK$4:$HK$165=2,ROW($HK$4:$HK$165)-3),ROW(W33)-COUNTIF($HK$4:$HK$165,1)),IFERROR(SMALL(IF($HK$4:$HK$165=0,ROW($HK$4:$HK$165)-3),ROW(W33)-COUNTIF($HK$4:$HK$165,1)-COUNTIF($HK$4:$HK$165,2)),"")))</f>
        <v/>
      </c>
      <c r="AZ48" s="1184" t="str">
        <f t="shared" si="129"/>
        <v>a</v>
      </c>
      <c r="BA48" s="1194" t="e">
        <f t="shared" si="130"/>
        <v>#VALUE!</v>
      </c>
      <c r="BB48" s="1194" cm="1">
        <f t="array" ref="BB48">IFERROR(INDEX($HK$4:$HK$165,AY48),0)</f>
        <v>0</v>
      </c>
      <c r="BC48" s="1194">
        <f t="shared" si="131"/>
        <v>0</v>
      </c>
      <c r="BD48" s="1194"/>
      <c r="BE48" s="1343"/>
      <c r="BF48" s="1343"/>
      <c r="BG48" s="1343"/>
      <c r="BH48" s="1343"/>
      <c r="BI48" s="1343"/>
      <c r="BJ48" s="1343"/>
      <c r="BK48" s="1343"/>
      <c r="BL48" s="1343"/>
      <c r="BM48" s="1343"/>
      <c r="BN48" s="1343"/>
      <c r="BO48" s="1343"/>
      <c r="BQ48" s="1184">
        <v>1</v>
      </c>
      <c r="BR48" cm="1">
        <f t="array" ref="BR48">INDEX(Pflanzen!$B$5:$B$112,'Lagerhaltung (freiwillig)'!BQ48)</f>
        <v>1</v>
      </c>
      <c r="BS48" s="1184"/>
      <c r="BT48" s="1184" t="b">
        <v>0</v>
      </c>
      <c r="BU48" s="1185"/>
      <c r="BV48" s="1185"/>
      <c r="BW48" s="1184">
        <f t="shared" si="136"/>
        <v>12</v>
      </c>
      <c r="BX48" s="1184">
        <f t="shared" si="137"/>
        <v>0</v>
      </c>
      <c r="BY48" s="1184">
        <f t="shared" si="138"/>
        <v>12</v>
      </c>
      <c r="BZ48" s="1184" cm="1">
        <f t="array" ref="BZ48">INDEX(Pflanzen!$AB$5:$AB$114,'Lagerhaltung (freiwillig)'!BR48)</f>
        <v>0</v>
      </c>
      <c r="CA48" s="1184" cm="1">
        <f t="array" ref="CA48">IF(BZ48=1,INDEX(Pflanzen!$AC$5:$AC$114,BR48),N48)</f>
        <v>0</v>
      </c>
      <c r="CB48" s="1184" cm="1">
        <f t="array" ref="CB48">IF(BZ48=1,INDEX(Pflanzen!$AD$5:$AD$114,BR48),O48)</f>
        <v>0</v>
      </c>
      <c r="CC48" s="1184">
        <f t="shared" si="139"/>
        <v>12</v>
      </c>
      <c r="CD48" s="1184">
        <f t="shared" si="140"/>
        <v>0</v>
      </c>
      <c r="CE48" s="1184">
        <f t="shared" si="141"/>
        <v>12</v>
      </c>
      <c r="CF48" s="1184" cm="1">
        <f t="array" ref="CF48">INDEX(Pflanzen!$F$5:$F$114,BR48)</f>
        <v>0</v>
      </c>
      <c r="CG48" s="1184" cm="1">
        <f t="array" ref="CG48">INDEX(Pflanzen!$G$5:$G$114,BR48)</f>
        <v>0</v>
      </c>
      <c r="CH48" s="1184">
        <f t="shared" si="142"/>
        <v>0</v>
      </c>
      <c r="CI48" s="1184">
        <f t="shared" si="143"/>
        <v>0</v>
      </c>
      <c r="CJ48" s="1184">
        <f t="shared" si="144"/>
        <v>0</v>
      </c>
      <c r="CK48" s="1184">
        <f t="shared" si="145"/>
        <v>0</v>
      </c>
      <c r="CL48" s="1184">
        <f t="shared" si="146"/>
        <v>0</v>
      </c>
      <c r="CM48" s="1184">
        <f t="shared" si="147"/>
        <v>0</v>
      </c>
      <c r="CN48" s="1184">
        <f t="shared" si="148"/>
        <v>0</v>
      </c>
      <c r="CO48" s="1184">
        <f t="shared" si="149"/>
        <v>0</v>
      </c>
      <c r="CP48" s="1184">
        <f t="shared" si="150"/>
        <v>0</v>
      </c>
      <c r="CQ48" s="1184">
        <f t="shared" si="151"/>
        <v>0</v>
      </c>
      <c r="CR48" s="1184">
        <f t="shared" si="152"/>
        <v>0</v>
      </c>
      <c r="CS48" s="1184">
        <f t="shared" si="153"/>
        <v>0</v>
      </c>
      <c r="CT48" s="1184">
        <f t="shared" si="154"/>
        <v>0</v>
      </c>
      <c r="CU48" s="1184">
        <f t="shared" si="157"/>
        <v>2</v>
      </c>
      <c r="CV48" s="1186" cm="1">
        <f t="array" ref="CV48">IF(AND(COUNTIF($BR$14:$BR$36,BR48)&gt;0,BR48&lt;ROWS(Pflanzen!$C$5:$C$107)),INDEX(Pflanzen!$I$5:$I$114,BR48),SUMIF($BR$44:$BR$68,BR48,$F$44:$F$69)/COUNTIF($BR$44:$BR$68,BR48))</f>
        <v>0</v>
      </c>
      <c r="CW48" s="1186">
        <f t="shared" si="155"/>
        <v>0</v>
      </c>
      <c r="CX48" s="1184"/>
      <c r="CY48" s="320" t="str">
        <f>Pflanzen!A44</f>
        <v>Luzernegras (Luz.anteil 50 %)</v>
      </c>
      <c r="CZ48" s="1200">
        <f>IFERROR(MATCH($CY48,Pflanzen!$C$5:$C$114,0),1)</f>
        <v>40</v>
      </c>
      <c r="DA48" s="320" cm="1">
        <f t="array" ref="DA48">INDEX(Pflanzen!$H$5:$H$114,'Lagerhaltung (freiwillig)'!CZ48)</f>
        <v>1</v>
      </c>
      <c r="DB48" s="1200">
        <f t="shared" si="106"/>
        <v>0</v>
      </c>
      <c r="DC48" s="1200">
        <f t="shared" si="106"/>
        <v>0</v>
      </c>
      <c r="DD48" s="1200">
        <f t="shared" si="106"/>
        <v>0</v>
      </c>
      <c r="DE48" s="1200">
        <f t="shared" si="106"/>
        <v>0</v>
      </c>
      <c r="DF48" s="1200">
        <f t="shared" si="106"/>
        <v>0</v>
      </c>
      <c r="DG48" s="1184">
        <f t="shared" si="106"/>
        <v>0</v>
      </c>
      <c r="DH48" s="1184">
        <f t="shared" si="106"/>
        <v>0</v>
      </c>
      <c r="DI48" s="1184">
        <f t="shared" si="106"/>
        <v>0</v>
      </c>
      <c r="DJ48" s="1184">
        <f t="shared" si="106"/>
        <v>0</v>
      </c>
      <c r="DK48" s="1184">
        <f t="shared" si="106"/>
        <v>0</v>
      </c>
      <c r="DL48" s="1184">
        <f t="shared" si="106"/>
        <v>0</v>
      </c>
      <c r="DM48" s="1184">
        <f t="shared" si="106"/>
        <v>0</v>
      </c>
      <c r="DN48" s="1184"/>
      <c r="DO48" s="1184">
        <f t="shared" si="107"/>
        <v>0</v>
      </c>
      <c r="DP48" s="1184">
        <f t="shared" si="107"/>
        <v>0</v>
      </c>
      <c r="DQ48" s="1184">
        <f t="shared" si="107"/>
        <v>0</v>
      </c>
      <c r="DR48" s="1184">
        <f t="shared" si="107"/>
        <v>0</v>
      </c>
      <c r="DS48" s="1184">
        <f t="shared" si="107"/>
        <v>0</v>
      </c>
      <c r="DT48" s="1184">
        <f t="shared" si="107"/>
        <v>0</v>
      </c>
      <c r="DU48" s="1184">
        <f t="shared" si="107"/>
        <v>0</v>
      </c>
      <c r="DV48" s="1184">
        <f t="shared" si="107"/>
        <v>0</v>
      </c>
      <c r="DW48" s="1184">
        <f t="shared" si="107"/>
        <v>0</v>
      </c>
      <c r="DX48" s="1184">
        <f t="shared" si="107"/>
        <v>0</v>
      </c>
      <c r="DY48" s="1184">
        <f t="shared" si="107"/>
        <v>0</v>
      </c>
      <c r="DZ48" s="1184">
        <f t="shared" si="107"/>
        <v>0</v>
      </c>
      <c r="EA48" s="1184"/>
      <c r="EB48" s="1184">
        <f t="shared" si="108"/>
        <v>0</v>
      </c>
      <c r="EC48" s="1184">
        <f t="shared" si="108"/>
        <v>0</v>
      </c>
      <c r="ED48" s="1184">
        <f t="shared" si="108"/>
        <v>0</v>
      </c>
      <c r="EE48" s="1184">
        <f t="shared" si="108"/>
        <v>0</v>
      </c>
      <c r="EF48" s="1184">
        <f t="shared" si="108"/>
        <v>0</v>
      </c>
      <c r="EG48" s="1184">
        <f t="shared" si="108"/>
        <v>0</v>
      </c>
      <c r="EH48" s="1184">
        <f t="shared" si="108"/>
        <v>0</v>
      </c>
      <c r="EI48" s="1184">
        <f t="shared" si="108"/>
        <v>0</v>
      </c>
      <c r="EJ48" s="1184">
        <f t="shared" si="108"/>
        <v>0</v>
      </c>
      <c r="EK48" s="1184">
        <f t="shared" si="108"/>
        <v>0</v>
      </c>
      <c r="EL48" s="1184">
        <f t="shared" si="108"/>
        <v>0</v>
      </c>
      <c r="EM48" s="1184">
        <f t="shared" si="108"/>
        <v>0</v>
      </c>
      <c r="EN48" s="1184"/>
      <c r="EO48" s="1184">
        <f t="shared" si="109"/>
        <v>0</v>
      </c>
      <c r="EP48" s="1184">
        <f t="shared" si="109"/>
        <v>0</v>
      </c>
      <c r="EQ48" s="1184">
        <f t="shared" si="109"/>
        <v>0</v>
      </c>
      <c r="ER48" s="1184">
        <f t="shared" si="109"/>
        <v>0</v>
      </c>
      <c r="ES48" s="1184">
        <f t="shared" si="109"/>
        <v>0</v>
      </c>
      <c r="ET48" s="1184">
        <f t="shared" si="109"/>
        <v>0</v>
      </c>
      <c r="EU48" s="1184">
        <f t="shared" si="109"/>
        <v>0</v>
      </c>
      <c r="EV48" s="1184">
        <f t="shared" si="109"/>
        <v>0</v>
      </c>
      <c r="EW48" s="1184">
        <f t="shared" si="109"/>
        <v>0</v>
      </c>
      <c r="EX48" s="1184">
        <f t="shared" si="109"/>
        <v>0</v>
      </c>
      <c r="EY48" s="1184">
        <f t="shared" si="109"/>
        <v>0</v>
      </c>
      <c r="EZ48" s="1184">
        <f t="shared" si="109"/>
        <v>0</v>
      </c>
      <c r="FA48" s="1184"/>
      <c r="FB48" s="1186">
        <f t="shared" si="51"/>
        <v>0</v>
      </c>
      <c r="FC48" s="1184">
        <f>FB48+DB48+EB48                 -         SUMIF('Nährstoffe und Lagerraum'!$AX$113:$AX$155,$CZ48,'Nährstoffe und Lagerraum'!$U$113:$U$155)/12  -$GD48*$HE48/12</f>
        <v>0</v>
      </c>
      <c r="FD48" s="1184">
        <f>FC48+DC48+EC48                 -         SUMIF('Nährstoffe und Lagerraum'!$AX$113:$AX$155,$CZ48,'Nährstoffe und Lagerraum'!$U$113:$U$155)/12  -$GD48*$HE48/12</f>
        <v>0</v>
      </c>
      <c r="FE48" s="1184">
        <f>FD48+DD48+ED48                 -         SUMIF('Nährstoffe und Lagerraum'!$AX$113:$AX$155,$CZ48,'Nährstoffe und Lagerraum'!$U$113:$U$155)/12  -$GD48*$HE48/12</f>
        <v>0</v>
      </c>
      <c r="FF48" s="1184">
        <f>FE48+DE48+EE48                 -         SUMIF('Nährstoffe und Lagerraum'!$AX$113:$AX$155,$CZ48,'Nährstoffe und Lagerraum'!$U$113:$U$155)/12  -$GD48*$HE48/12</f>
        <v>0</v>
      </c>
      <c r="FG48" s="1184">
        <f>FF48+DF48+EF48                 -         SUMIF('Nährstoffe und Lagerraum'!$AX$113:$AX$155,$CZ48,'Nährstoffe und Lagerraum'!$U$113:$U$155)/12  -$GD48*$HE48/12</f>
        <v>0</v>
      </c>
      <c r="FH48" s="1184">
        <f>FG48+DG48+EG48                 -         SUMIF('Nährstoffe und Lagerraum'!$AX$113:$AX$155,$CZ48,'Nährstoffe und Lagerraum'!$U$113:$U$155)/12  -$GD48*$HE48/12</f>
        <v>0</v>
      </c>
      <c r="FI48" s="1184">
        <f>FH48+DH48+EH48                 -         SUMIF('Nährstoffe und Lagerraum'!$AX$113:$AX$155,$CZ48,'Nährstoffe und Lagerraum'!$U$113:$U$155)/12  -$GD48*$HE48/12</f>
        <v>0</v>
      </c>
      <c r="FJ48" s="1184">
        <f>FI48+DI48+EI48                 -         SUMIF('Nährstoffe und Lagerraum'!$AX$113:$AX$155,$CZ48,'Nährstoffe und Lagerraum'!$U$113:$U$155)/12  -$GD48*$HE48/12</f>
        <v>0</v>
      </c>
      <c r="FK48" s="1184">
        <f>FJ48+DJ48+EJ48                 -         SUMIF('Nährstoffe und Lagerraum'!$AX$113:$AX$155,$CZ48,'Nährstoffe und Lagerraum'!$U$113:$U$155)/12  -$GD48*$HE48/12</f>
        <v>0</v>
      </c>
      <c r="FL48" s="1184">
        <f>FK48+DK48+EK48                 -         SUMIF('Nährstoffe und Lagerraum'!$AX$113:$AX$155,$CZ48,'Nährstoffe und Lagerraum'!$U$113:$U$155)/12  -$GD48*$HE48/12</f>
        <v>0</v>
      </c>
      <c r="FM48" s="1184">
        <f>FL48+DL48+EL48                 -         SUMIF('Nährstoffe und Lagerraum'!$AX$113:$AX$155,$CZ48,'Nährstoffe und Lagerraum'!$U$113:$U$155)/12  -$GD48*$HE48/12</f>
        <v>0</v>
      </c>
      <c r="FN48" s="1184">
        <f>FM48+DM48+EM48                 -         SUMIF('Nährstoffe und Lagerraum'!$AX$113:$AX$155,$CZ48,'Nährstoffe und Lagerraum'!$U$113:$U$155)/12  -$GD48*$HE48/12</f>
        <v>0</v>
      </c>
      <c r="FO48" s="1184"/>
      <c r="FP48" s="1186">
        <f t="shared" si="52"/>
        <v>0</v>
      </c>
      <c r="FQ48" s="1184">
        <f>FP48+DO48+EO48                 -         SUMIF('Nährstoffe und Lagerraum'!$AX$113:$AX$155,$CZ48,'Nährstoffe und Lagerraum'!$V$113:$V$155)/12  -$GE48*$HE48/12</f>
        <v>0</v>
      </c>
      <c r="FR48" s="1184">
        <f>FQ48+DP48+EP48                 -         SUMIF('Nährstoffe und Lagerraum'!$AX$113:$AX$155,$CZ48,'Nährstoffe und Lagerraum'!$V$113:$V$155)/12  -$GE48*$HE48/12</f>
        <v>0</v>
      </c>
      <c r="FS48" s="1184">
        <f>FR48+DQ48+EQ48                 -         SUMIF('Nährstoffe und Lagerraum'!$AX$113:$AX$155,$CZ48,'Nährstoffe und Lagerraum'!$V$113:$V$155)/12  -$GE48*$HE48/12</f>
        <v>0</v>
      </c>
      <c r="FT48" s="1184">
        <f>FS48+DR48+ER48                 -         SUMIF('Nährstoffe und Lagerraum'!$AX$113:$AX$155,$CZ48,'Nährstoffe und Lagerraum'!$V$113:$V$155)/12  -$GE48*$HE48/12</f>
        <v>0</v>
      </c>
      <c r="FU48" s="1184">
        <f>FT48+DS48+ES48                 -         SUMIF('Nährstoffe und Lagerraum'!$AX$113:$AX$155,$CZ48,'Nährstoffe und Lagerraum'!$V$113:$V$155)/12  -$GE48*$HE48/12</f>
        <v>0</v>
      </c>
      <c r="FV48" s="1184">
        <f>FU48+DT48+ET48                 -         SUMIF('Nährstoffe und Lagerraum'!$AX$113:$AX$155,$CZ48,'Nährstoffe und Lagerraum'!$V$113:$V$155)/12  -$GE48*$HE48/12</f>
        <v>0</v>
      </c>
      <c r="FW48" s="1184">
        <f>FV48+DU48+EU48                 -         SUMIF('Nährstoffe und Lagerraum'!$AX$113:$AX$155,$CZ48,'Nährstoffe und Lagerraum'!$V$113:$V$155)/12  -$GE48*$HE48/12</f>
        <v>0</v>
      </c>
      <c r="FX48" s="1184">
        <f>FW48+DV48+EV48                 -         SUMIF('Nährstoffe und Lagerraum'!$AX$113:$AX$155,$CZ48,'Nährstoffe und Lagerraum'!$V$113:$V$155)/12  -$GE48*$HE48/12</f>
        <v>0</v>
      </c>
      <c r="FY48" s="1184">
        <f>FX48+DW48+EW48                 -         SUMIF('Nährstoffe und Lagerraum'!$AX$113:$AX$155,$CZ48,'Nährstoffe und Lagerraum'!$V$113:$V$155)/12  -$GE48*$HE48/12</f>
        <v>0</v>
      </c>
      <c r="FZ48" s="1184">
        <f>FY48+DX48+EX48                 -         SUMIF('Nährstoffe und Lagerraum'!$AX$113:$AX$155,$CZ48,'Nährstoffe und Lagerraum'!$V$113:$V$155)/12  -$GE48*$HE48/12</f>
        <v>0</v>
      </c>
      <c r="GA48" s="1184">
        <f>FZ48+DY48+EY48                 -         SUMIF('Nährstoffe und Lagerraum'!$AX$113:$AX$155,$CZ48,'Nährstoffe und Lagerraum'!$V$113:$V$155)/12  -$GE48*$HE48/12</f>
        <v>0</v>
      </c>
      <c r="GB48" s="1184">
        <f>GA48+DZ48+EZ48                 -         SUMIF('Nährstoffe und Lagerraum'!$AX$113:$AX$155,$CZ48,'Nährstoffe und Lagerraum'!$V$113:$V$155)/12  -$GE48*$HE48/12</f>
        <v>0</v>
      </c>
      <c r="GC48" s="1184"/>
      <c r="GD48" s="1184">
        <f>SUMIFS($CI$14:$CI$68,$BR$14:$BR$68,$CZ48)+SUMIFS($CM$14:$CM$68,$BR$14:$BR$68,$CZ48)+SUMIFS($CR$14:$CR$68,$BR$14:$BR$68,$CZ48)  -         SUMIF('Nährstoffe und Lagerraum'!$AX$113:$AX$155,$CZ48,'Nährstoffe und Lagerraum'!$U$113:$U$155)</f>
        <v>0</v>
      </c>
      <c r="GE48" s="1184">
        <f>SUMIFS($CJ$14:$CJ$68,$BR$14:$BR$68,$CZ48)+SUMIFS($CO$14:$CO$68,$BR$14:$BR$68,$CZ48)+SUMIFS($CT$14:$CT$68,$BR$14:$BR$68,$CZ48)  -         SUMIF('Nährstoffe und Lagerraum'!$AX$113:$AX$155,$CZ48,'Nährstoffe und Lagerraum'!$V$113:$V$155)</f>
        <v>0</v>
      </c>
      <c r="GF48" s="1184"/>
      <c r="GG48" s="1184"/>
      <c r="GH48" s="1184">
        <f>SUMIF('Nährstoffe und Lagerraum'!$AX$113:$AX$155,$CZ48,'Nährstoffe und Lagerraum'!$U$113:$U$155)</f>
        <v>0</v>
      </c>
      <c r="GI48" s="1184">
        <f>SUMIF('Nährstoffe und Lagerraum'!$AX$113:$AX$155,$CZ48,'Nährstoffe und Lagerraum'!$V$113:$V$155)</f>
        <v>0</v>
      </c>
      <c r="GJ48" s="1184">
        <f t="shared" si="53"/>
        <v>0</v>
      </c>
      <c r="GK48" s="1184">
        <f t="shared" si="54"/>
        <v>0</v>
      </c>
      <c r="GL48" s="1184">
        <f t="shared" si="55"/>
        <v>0</v>
      </c>
      <c r="GM48" s="1184">
        <f t="shared" si="56"/>
        <v>0</v>
      </c>
      <c r="GN48" s="1184">
        <f t="shared" si="57"/>
        <v>0</v>
      </c>
      <c r="GO48" s="1184" cm="1">
        <f t="array" ref="GO48">IF(GN48=0,0,(IFERROR(SUMPRODUCT($J$14:$J$68,$CH$14:$CH$68,($BR$14:$BR$68=CZ48)*1)+SUMPRODUCT($L$14:$L$68,$M$14:$M$68,$CK$14:$CK$68,($BR$14:$BR$68=CZ48)*1,($BT$14:$BT$68=FALSE)*1)/10+SUMPRODUCT($R$14:$R$68,$CP$14:$CP$68,($BR$14:$BR$68=CZ48)*1),0))/GN48)</f>
        <v>0</v>
      </c>
      <c r="GP48" s="1184">
        <f t="shared" si="58"/>
        <v>0</v>
      </c>
      <c r="GQ48" s="1184">
        <f>(SUMIF('Nährstoffe und Lagerraum'!$AX$113:$AX$130,'Lagerhaltung (freiwillig)'!CZ48,'Nährstoffe und Lagerraum'!$D$113:$D$130)+SUMIF('Nährstoffe und Lagerraum'!$AX$137:$AX$155,'Lagerhaltung (freiwillig)'!CZ48,'Nährstoffe und Lagerraum'!$E$137:$E$155))</f>
        <v>0</v>
      </c>
      <c r="GR48" s="1184" cm="1">
        <f t="array" ref="GR48">IF(GQ48=0,0,(IFERROR(SUMPRODUCT('Nährstoffe und Lagerraum'!$D$113:$D$130,'Nährstoffe und Lagerraum'!$F$113:$F$130,('Nährstoffe und Lagerraum'!$AX$113:$AX$130='Lagerhaltung (freiwillig)'!CZ48)*1)+SUMPRODUCT('Nährstoffe und Lagerraum'!$E$137:$E$155,'Nährstoffe und Lagerraum'!$F$137:$F$155,('Nährstoffe und Lagerraum'!$AX$137:$AX$155='Lagerhaltung (freiwillig)'!CZ48)*1),0))/GQ48)</f>
        <v>0</v>
      </c>
      <c r="GS48" s="1184">
        <f t="shared" si="59"/>
        <v>0</v>
      </c>
      <c r="GT48" s="1184">
        <f t="shared" si="60"/>
        <v>0</v>
      </c>
      <c r="GU48" s="1184">
        <f t="shared" si="61"/>
        <v>0</v>
      </c>
      <c r="GV48" s="1184">
        <f t="shared" si="62"/>
        <v>0</v>
      </c>
      <c r="GW48" s="1186" t="str">
        <f t="shared" si="41"/>
        <v xml:space="preserve"> </v>
      </c>
      <c r="GX48" s="1186" t="str">
        <f t="shared" si="41"/>
        <v xml:space="preserve"> </v>
      </c>
      <c r="GY48" s="1195">
        <f t="shared" si="63"/>
        <v>0</v>
      </c>
      <c r="GZ48" s="1184">
        <f t="shared" si="64"/>
        <v>0</v>
      </c>
      <c r="HA48" s="1184" t="str">
        <f t="shared" si="132"/>
        <v>a</v>
      </c>
      <c r="HB48" s="1196">
        <f t="shared" si="65"/>
        <v>0</v>
      </c>
      <c r="HC48" s="1196">
        <f t="shared" si="66"/>
        <v>0</v>
      </c>
      <c r="HD48" s="1196"/>
      <c r="HE48" s="1187">
        <f t="shared" si="67"/>
        <v>0</v>
      </c>
      <c r="HF48" s="1196">
        <f t="shared" si="68"/>
        <v>0</v>
      </c>
      <c r="HG48" s="1196">
        <f t="shared" si="69"/>
        <v>0</v>
      </c>
      <c r="HH48" s="1196">
        <f t="shared" si="70"/>
        <v>0</v>
      </c>
      <c r="HI48" s="1328" cm="1">
        <f t="array" ref="HI48">IF(AND(HG48=0,GL48=0),0,IF(HG48=0,1,IF(OR(GL48*1000/HG48/HH48&gt;INDEX(Pflanzen!$W$5:$W$104,CZ48)/INDEX(Pflanzen!$I$5:$I$104,CZ48)*$HI$1,GL48*1000/HG48/HH48&lt;INDEX(Pflanzen!$W$5:$W$104,CZ48)/INDEX(Pflanzen!$I$5:$I$104,CZ48)/$HI$1),1,0)))</f>
        <v>0</v>
      </c>
      <c r="HJ48" s="1328" cm="1">
        <f t="array" ref="HJ48">IF(AND(GM48=0,HG48=0),0,IF(HG48=0,1,IF(OR(GM48*1000/HG48/HH48&gt;INDEX(Pflanzen!$X$5:$X$104,CZ48)/INDEX(Pflanzen!$I$5:$I$104,CZ48)*$HI$1,GM48*1000/HG48/HH48&lt;INDEX(Pflanzen!$X$5:$X$104,CZ48)/INDEX(Pflanzen!$I$5:$I$104,CZ48)/$HI$1),1,0)))</f>
        <v>0</v>
      </c>
      <c r="HK48" s="1184">
        <f t="shared" si="71"/>
        <v>3</v>
      </c>
      <c r="HL48" s="1184"/>
      <c r="HN48" s="1184"/>
      <c r="HO48" s="1193" t="str">
        <f>Tiere!B74</f>
        <v>Mastschweine (950 g TZ), sehr stark N-/P-red.*</v>
      </c>
      <c r="HP48" s="1184">
        <v>45</v>
      </c>
      <c r="HQ48" s="1194">
        <f>SUMIF('Nährstoffe und Lagerraum'!$BM$68:$BM$87,'Lagerhaltung (freiwillig)'!HP48,'Nährstoffe und Lagerraum'!$Z$68:$Z$87)+SUMIF('Nährstoffe und Lagerraum'!$BM$68:$BM$87,'Lagerhaltung (freiwillig)'!HP48,'Nährstoffe und Lagerraum'!$AA$68:$AA$87)</f>
        <v>0</v>
      </c>
      <c r="HR48" s="1184" cm="1">
        <f t="array" ref="HR48">INDEX(Tiere!$C$30:$C$114,'Lagerhaltung (freiwillig)'!HP48)</f>
        <v>2</v>
      </c>
      <c r="HS48" s="1184" cm="1">
        <f t="array" ref="HS48">INDEX(Tiere!$H$30:$H$114,'Lagerhaltung (freiwillig)'!HP48)</f>
        <v>0</v>
      </c>
      <c r="HT48" s="1184">
        <f t="shared" si="12"/>
        <v>0</v>
      </c>
      <c r="HU48" s="1184" cm="1">
        <f t="array" ref="HU48">INDEX(Tiere!$I$30:$I$114,'Lagerhaltung (freiwillig)'!HP48)</f>
        <v>0</v>
      </c>
      <c r="HV48" s="1184">
        <f t="shared" si="13"/>
        <v>0</v>
      </c>
      <c r="HW48" s="1184" cm="1">
        <f t="array" ref="HW48">INDEX(Tiere!$BC$30:$BC$114,'Lagerhaltung (freiwillig)'!HP48)</f>
        <v>8.8767999999999994</v>
      </c>
      <c r="HX48" s="1184">
        <f t="shared" si="14"/>
        <v>0</v>
      </c>
      <c r="HY48" s="1184" cm="1">
        <f t="array" ref="HY48">INDEX(Tiere!$BD$30:$BD$114,'Lagerhaltung (freiwillig)'!HP48)</f>
        <v>4.0569749999999996</v>
      </c>
      <c r="HZ48" s="1184">
        <f t="shared" si="15"/>
        <v>0</v>
      </c>
      <c r="IA48" s="1184"/>
      <c r="IB48" s="1184"/>
      <c r="IC48" s="1184"/>
      <c r="ID48" s="1184"/>
      <c r="IE48" s="1184"/>
      <c r="IF48" s="1184"/>
      <c r="IG48" s="1184"/>
      <c r="IH48" s="1184"/>
      <c r="II48" s="1184"/>
      <c r="IJ48" s="1184"/>
      <c r="IK48" s="1184"/>
      <c r="IL48" s="1184"/>
    </row>
    <row r="49" spans="6:246" ht="15.6" customHeight="1" x14ac:dyDescent="0.2">
      <c r="F49" s="1122"/>
      <c r="G49" s="1498"/>
      <c r="H49" s="1336"/>
      <c r="I49" s="1162" t="str">
        <f t="shared" si="133"/>
        <v/>
      </c>
      <c r="J49" s="1303"/>
      <c r="K49" s="1162" t="str">
        <f t="shared" si="134"/>
        <v/>
      </c>
      <c r="L49" s="1487"/>
      <c r="M49" s="1491"/>
      <c r="N49" s="1487"/>
      <c r="O49" s="1487"/>
      <c r="P49" s="1303"/>
      <c r="Q49" s="1162" t="str">
        <f t="shared" si="135"/>
        <v/>
      </c>
      <c r="R49" s="1487"/>
      <c r="S49" s="1491"/>
      <c r="T49" s="1303"/>
      <c r="V49" s="1346" t="str">
        <f t="shared" si="156"/>
        <v/>
      </c>
      <c r="Y49" s="1554" t="str" cm="1">
        <f t="array" ref="Y49">IFERROR(INDEX($CY$4:$CY$165,AY49),"")</f>
        <v/>
      </c>
      <c r="Z49" s="1555"/>
      <c r="AA49" s="1555"/>
      <c r="AB49" s="1555"/>
      <c r="AC49" s="1454" t="str" cm="1">
        <f t="array" ref="AC49">IFERROR(INDEX($GN$4:$GN$165,AY49),"")</f>
        <v/>
      </c>
      <c r="AD49" s="1454" t="str" cm="1">
        <f t="array" ref="AD49">IFERROR(INDEX($GO$4:$GO$165,AY49),"")</f>
        <v/>
      </c>
      <c r="AE49" s="1454" t="str" cm="1">
        <f t="array" ref="AE49">IFERROR(INDEX($GJ$4:$GJ$165,AY49),"")</f>
        <v/>
      </c>
      <c r="AF49" s="1454" t="str" cm="1">
        <f t="array" ref="AF49">IFERROR(INDEX($GK$4:$GK$165,AY49),"")</f>
        <v/>
      </c>
      <c r="AG49" s="1454" t="str" cm="1">
        <f t="array" ref="AG49">IFERROR(INDEX($GQ$4:$GQ$165,AY49),"")</f>
        <v/>
      </c>
      <c r="AH49" s="1454" t="str" cm="1">
        <f t="array" ref="AH49">IFERROR(INDEX($GR$4:$GR$165,AY49),"")</f>
        <v/>
      </c>
      <c r="AI49" s="1454" t="str" cm="1">
        <f t="array" ref="AI49">IFERROR(INDEX($GH$4:$GH$165,AY49),"")</f>
        <v/>
      </c>
      <c r="AJ49" s="1454" t="str" cm="1">
        <f t="array" ref="AJ49">IFERROR(INDEX($GI$4:$GI$165,AY49),"")</f>
        <v/>
      </c>
      <c r="AK49" s="1454" t="str" cm="1">
        <f t="array" ref="AK49">IFERROR(INDEX($GU$4:$GU$165,AY49),"")</f>
        <v/>
      </c>
      <c r="AL49" s="1455" t="str" cm="1">
        <f t="array" ref="AL49">IFERROR(INDEX($GV$4:$GV$165,AY49),"")</f>
        <v/>
      </c>
      <c r="AM49" s="1454" t="str" cm="1">
        <f t="array" ref="AM49">IFERROR(INDEX($GD$4:$GD$165,AY49),"")</f>
        <v/>
      </c>
      <c r="AN49" s="1454" t="str" cm="1">
        <f t="array" ref="AN49">IFERROR(INDEX($GE$4:$GE$165,AY49),"")</f>
        <v/>
      </c>
      <c r="AO49" s="1454" t="str" cm="1">
        <f t="array" ref="AO49">IFERROR(INDEX($GW$4:$GW$165,AY49),"")</f>
        <v/>
      </c>
      <c r="AP49" s="1454" t="str" cm="1">
        <f t="array" ref="AP49">IFERROR(INDEX($GZ$4:$GZ$165,AY49),"")</f>
        <v/>
      </c>
      <c r="AQ49" s="1457"/>
      <c r="AR49" s="1454" t="str" cm="1">
        <f t="array" ref="AR49">IFERROR(INDEX($HF$4:$HF$165,AY49),"")</f>
        <v/>
      </c>
      <c r="AS49" s="1454" t="str" cm="1">
        <f t="array" ref="AS49">IFERROR(INDEX($HG$4:$HG$165,AY49),"")</f>
        <v/>
      </c>
      <c r="AT49" s="1454" t="str" cm="1">
        <f t="array" ref="AT49">IFERROR(INDEX($HH$4:$HH$165,AY49),"")</f>
        <v/>
      </c>
      <c r="AU49" s="1454" t="str" cm="1">
        <f t="array" ref="AU49">IFERROR(INDEX($GL$4:$GL$165,AY49),"")</f>
        <v/>
      </c>
      <c r="AV49" s="1454" t="str" cm="1">
        <f t="array" ref="AV49">IFERROR(INDEX($GM$4:$GM$165,AY49),"")</f>
        <v/>
      </c>
      <c r="AW49" s="1459"/>
      <c r="AX49" s="1459"/>
      <c r="AY49" s="1460" t="str" cm="1">
        <f t="array" ref="AY49">IFERROR(SMALL(IF($HK$4:$HK$165=1,ROW($HK$4:$HK$165)-3),ROW(W34)),IFERROR(SMALL(IF($HK$4:$HK$165=2,ROW($HK$4:$HK$165)-3),ROW(W34)-COUNTIF($HK$4:$HK$165,1)),IFERROR(SMALL(IF($HK$4:$HK$165=0,ROW($HK$4:$HK$165)-3),ROW(W34)-COUNTIF($HK$4:$HK$165,1)-COUNTIF($HK$4:$HK$165,2)),"")))</f>
        <v/>
      </c>
      <c r="AZ49" s="1460" t="str">
        <f t="shared" si="129"/>
        <v>a</v>
      </c>
      <c r="BA49" s="1461" t="e">
        <f t="shared" si="130"/>
        <v>#VALUE!</v>
      </c>
      <c r="BB49" s="1461" cm="1">
        <f t="array" ref="BB49">IFERROR(INDEX($HK$4:$HK$165,AY49),0)</f>
        <v>0</v>
      </c>
      <c r="BC49" s="1461">
        <f t="shared" si="131"/>
        <v>0</v>
      </c>
      <c r="BD49" s="1461"/>
      <c r="BE49" s="1462"/>
      <c r="BF49" s="1343"/>
      <c r="BG49" s="1343"/>
      <c r="BH49" s="1343"/>
      <c r="BI49" s="1343"/>
      <c r="BJ49" s="1343"/>
      <c r="BK49" s="1343"/>
      <c r="BL49" s="1343"/>
      <c r="BM49" s="1343"/>
      <c r="BN49" s="1343"/>
      <c r="BO49" s="1343"/>
      <c r="BQ49" s="1184">
        <v>1</v>
      </c>
      <c r="BR49" cm="1">
        <f t="array" ref="BR49">INDEX(Pflanzen!$B$5:$B$112,'Lagerhaltung (freiwillig)'!BQ49)</f>
        <v>1</v>
      </c>
      <c r="BS49" s="1184"/>
      <c r="BT49" s="1184" t="b">
        <v>0</v>
      </c>
      <c r="BU49" s="1185"/>
      <c r="BV49" s="1185"/>
      <c r="BW49" s="1184">
        <f t="shared" si="136"/>
        <v>12</v>
      </c>
      <c r="BX49" s="1184">
        <f t="shared" si="137"/>
        <v>0</v>
      </c>
      <c r="BY49" s="1184">
        <f t="shared" si="138"/>
        <v>12</v>
      </c>
      <c r="BZ49" s="1184" cm="1">
        <f t="array" ref="BZ49">INDEX(Pflanzen!$AB$5:$AB$114,'Lagerhaltung (freiwillig)'!BR49)</f>
        <v>0</v>
      </c>
      <c r="CA49" s="1184" cm="1">
        <f t="array" ref="CA49">IF(BZ49=1,INDEX(Pflanzen!$AC$5:$AC$114,BR49),N49)</f>
        <v>0</v>
      </c>
      <c r="CB49" s="1184" cm="1">
        <f t="array" ref="CB49">IF(BZ49=1,INDEX(Pflanzen!$AD$5:$AD$114,BR49),O49)</f>
        <v>0</v>
      </c>
      <c r="CC49" s="1184">
        <f t="shared" si="139"/>
        <v>12</v>
      </c>
      <c r="CD49" s="1184">
        <f t="shared" si="140"/>
        <v>0</v>
      </c>
      <c r="CE49" s="1184">
        <f t="shared" si="141"/>
        <v>12</v>
      </c>
      <c r="CF49" s="1184" cm="1">
        <f t="array" ref="CF49">INDEX(Pflanzen!$F$5:$F$114,BR49)</f>
        <v>0</v>
      </c>
      <c r="CG49" s="1184" cm="1">
        <f t="array" ref="CG49">INDEX(Pflanzen!$G$5:$G$114,BR49)</f>
        <v>0</v>
      </c>
      <c r="CH49" s="1184">
        <f t="shared" si="142"/>
        <v>0</v>
      </c>
      <c r="CI49" s="1184">
        <f t="shared" si="143"/>
        <v>0</v>
      </c>
      <c r="CJ49" s="1184">
        <f t="shared" si="144"/>
        <v>0</v>
      </c>
      <c r="CK49" s="1184">
        <f t="shared" si="145"/>
        <v>0</v>
      </c>
      <c r="CL49" s="1184">
        <f t="shared" si="146"/>
        <v>0</v>
      </c>
      <c r="CM49" s="1184">
        <f t="shared" si="147"/>
        <v>0</v>
      </c>
      <c r="CN49" s="1184">
        <f t="shared" si="148"/>
        <v>0</v>
      </c>
      <c r="CO49" s="1184">
        <f t="shared" si="149"/>
        <v>0</v>
      </c>
      <c r="CP49" s="1184">
        <f t="shared" si="150"/>
        <v>0</v>
      </c>
      <c r="CQ49" s="1184">
        <f t="shared" si="151"/>
        <v>0</v>
      </c>
      <c r="CR49" s="1184">
        <f t="shared" si="152"/>
        <v>0</v>
      </c>
      <c r="CS49" s="1184">
        <f t="shared" si="153"/>
        <v>0</v>
      </c>
      <c r="CT49" s="1184">
        <f t="shared" si="154"/>
        <v>0</v>
      </c>
      <c r="CU49" s="1184">
        <f t="shared" si="157"/>
        <v>2</v>
      </c>
      <c r="CV49" s="1186" cm="1">
        <f t="array" ref="CV49">IF(AND(COUNTIF($BR$14:$BR$36,BR49)&gt;0,BR49&lt;ROWS(Pflanzen!$C$5:$C$107)),INDEX(Pflanzen!$I$5:$I$114,BR49),SUMIF($BR$44:$BR$68,BR49,$F$44:$F$69)/COUNTIF($BR$44:$BR$68,BR49))</f>
        <v>0</v>
      </c>
      <c r="CW49" s="1186">
        <f t="shared" si="155"/>
        <v>0</v>
      </c>
      <c r="CX49" s="1184"/>
      <c r="CY49" s="320" t="str">
        <f>Pflanzen!A45</f>
        <v>Luzernegras (Luz.anteil 70 %)</v>
      </c>
      <c r="CZ49" s="1200">
        <f>IFERROR(MATCH($CY49,Pflanzen!$C$5:$C$114,0),1)</f>
        <v>41</v>
      </c>
      <c r="DA49" s="320" cm="1">
        <f t="array" ref="DA49">INDEX(Pflanzen!$H$5:$H$114,'Lagerhaltung (freiwillig)'!CZ49)</f>
        <v>1</v>
      </c>
      <c r="DB49" s="1200">
        <f t="shared" ref="DB49:DM58" si="158">SUMIFS($CQ$14:$CQ$68,$BW$14:$BW$68,1,$BX$14:$BX$68,DB$2,$BR$14:$BR$68,$CZ49)+    SUMIFS($CQ$14:$CQ$68,$BW$14:$BW$68,"&gt;1",$BX$14:$BX$68,"&lt;="&amp;DB$2,$BY$14:$BY$68,"&gt;="&amp;DB$2,$BR$14:$BR$68,$CZ49)</f>
        <v>0</v>
      </c>
      <c r="DC49" s="1200">
        <f t="shared" si="158"/>
        <v>0</v>
      </c>
      <c r="DD49" s="1200">
        <f t="shared" si="158"/>
        <v>0</v>
      </c>
      <c r="DE49" s="1200">
        <f t="shared" si="158"/>
        <v>0</v>
      </c>
      <c r="DF49" s="1200">
        <f t="shared" si="158"/>
        <v>0</v>
      </c>
      <c r="DG49" s="1184">
        <f t="shared" si="158"/>
        <v>0</v>
      </c>
      <c r="DH49" s="1184">
        <f t="shared" si="158"/>
        <v>0</v>
      </c>
      <c r="DI49" s="1184">
        <f t="shared" si="158"/>
        <v>0</v>
      </c>
      <c r="DJ49" s="1184">
        <f t="shared" si="158"/>
        <v>0</v>
      </c>
      <c r="DK49" s="1184">
        <f t="shared" si="158"/>
        <v>0</v>
      </c>
      <c r="DL49" s="1184">
        <f t="shared" si="158"/>
        <v>0</v>
      </c>
      <c r="DM49" s="1184">
        <f t="shared" si="158"/>
        <v>0</v>
      </c>
      <c r="DN49" s="1184"/>
      <c r="DO49" s="1184">
        <f t="shared" ref="DO49:DZ58" si="159">SUMIFS($CS$14:$CS$68,$BW$14:$BW$68,1,$BX$14:$BX$68,DO$2,$BR$14:$BR$68,$CZ49)+    SUMIFS($CS$14:$CS$68,$BW$14:$BW$68,"&gt;1",$BX$14:$BX$68,"&lt;="&amp;DO$2,$BY$14:$BY$68,"&gt;="&amp;DO$2,$BR$14:$BR$68,$CZ49)</f>
        <v>0</v>
      </c>
      <c r="DP49" s="1184">
        <f t="shared" si="159"/>
        <v>0</v>
      </c>
      <c r="DQ49" s="1184">
        <f t="shared" si="159"/>
        <v>0</v>
      </c>
      <c r="DR49" s="1184">
        <f t="shared" si="159"/>
        <v>0</v>
      </c>
      <c r="DS49" s="1184">
        <f t="shared" si="159"/>
        <v>0</v>
      </c>
      <c r="DT49" s="1184">
        <f t="shared" si="159"/>
        <v>0</v>
      </c>
      <c r="DU49" s="1184">
        <f t="shared" si="159"/>
        <v>0</v>
      </c>
      <c r="DV49" s="1184">
        <f t="shared" si="159"/>
        <v>0</v>
      </c>
      <c r="DW49" s="1184">
        <f t="shared" si="159"/>
        <v>0</v>
      </c>
      <c r="DX49" s="1184">
        <f t="shared" si="159"/>
        <v>0</v>
      </c>
      <c r="DY49" s="1184">
        <f t="shared" si="159"/>
        <v>0</v>
      </c>
      <c r="DZ49" s="1184">
        <f t="shared" si="159"/>
        <v>0</v>
      </c>
      <c r="EA49" s="1184"/>
      <c r="EB49" s="1184">
        <f t="shared" ref="EB49:EM58" si="160">SUMIFS($CL$14:$CL$68,$CC$14:$CC$68,1,$CD$14:$CD$68,EB$2,$BR$14:$BR$68,$CZ49)+         SUMIFS($CL$14:$CL$68,$CC$14:$CC$68,"&gt;1",$CD$14:$CD$68,"&lt;="&amp;EB$2,$CE$14:$CE$68,"&gt;="&amp;EB$2,$BR$14:$BR$68,$CZ49)</f>
        <v>0</v>
      </c>
      <c r="EC49" s="1184">
        <f t="shared" si="160"/>
        <v>0</v>
      </c>
      <c r="ED49" s="1184">
        <f t="shared" si="160"/>
        <v>0</v>
      </c>
      <c r="EE49" s="1184">
        <f t="shared" si="160"/>
        <v>0</v>
      </c>
      <c r="EF49" s="1184">
        <f t="shared" si="160"/>
        <v>0</v>
      </c>
      <c r="EG49" s="1184">
        <f t="shared" si="160"/>
        <v>0</v>
      </c>
      <c r="EH49" s="1184">
        <f t="shared" si="160"/>
        <v>0</v>
      </c>
      <c r="EI49" s="1184">
        <f t="shared" si="160"/>
        <v>0</v>
      </c>
      <c r="EJ49" s="1184">
        <f t="shared" si="160"/>
        <v>0</v>
      </c>
      <c r="EK49" s="1184">
        <f t="shared" si="160"/>
        <v>0</v>
      </c>
      <c r="EL49" s="1184">
        <f t="shared" si="160"/>
        <v>0</v>
      </c>
      <c r="EM49" s="1184">
        <f t="shared" si="160"/>
        <v>0</v>
      </c>
      <c r="EN49" s="1184"/>
      <c r="EO49" s="1184">
        <f t="shared" ref="EO49:EZ58" si="161">SUMIFS($CN$14:$CN$68,$CC$14:$CC$68,1,$CD$14:$CD$68,EO$2,$BR$14:$BR$68,$CZ49)+         SUMIFS($CN$14:$CN$68,$CC$14:$CC$68,"&gt;1",$CD$14:$CD$68,"&lt;="&amp;EO$2,$CE$14:$CE$68,"&gt;="&amp;EO$2,$BR$14:$BR$68,$CZ49)</f>
        <v>0</v>
      </c>
      <c r="EP49" s="1184">
        <f t="shared" si="161"/>
        <v>0</v>
      </c>
      <c r="EQ49" s="1184">
        <f t="shared" si="161"/>
        <v>0</v>
      </c>
      <c r="ER49" s="1184">
        <f t="shared" si="161"/>
        <v>0</v>
      </c>
      <c r="ES49" s="1184">
        <f t="shared" si="161"/>
        <v>0</v>
      </c>
      <c r="ET49" s="1184">
        <f t="shared" si="161"/>
        <v>0</v>
      </c>
      <c r="EU49" s="1184">
        <f t="shared" si="161"/>
        <v>0</v>
      </c>
      <c r="EV49" s="1184">
        <f t="shared" si="161"/>
        <v>0</v>
      </c>
      <c r="EW49" s="1184">
        <f t="shared" si="161"/>
        <v>0</v>
      </c>
      <c r="EX49" s="1184">
        <f t="shared" si="161"/>
        <v>0</v>
      </c>
      <c r="EY49" s="1184">
        <f t="shared" si="161"/>
        <v>0</v>
      </c>
      <c r="EZ49" s="1184">
        <f t="shared" si="161"/>
        <v>0</v>
      </c>
      <c r="FA49" s="1184"/>
      <c r="FB49" s="1186">
        <f t="shared" si="51"/>
        <v>0</v>
      </c>
      <c r="FC49" s="1184">
        <f>FB49+DB49+EB49                 -         SUMIF('Nährstoffe und Lagerraum'!$AX$113:$AX$155,$CZ49,'Nährstoffe und Lagerraum'!$U$113:$U$155)/12  -$GD49*$HE49/12</f>
        <v>0</v>
      </c>
      <c r="FD49" s="1184">
        <f>FC49+DC49+EC49                 -         SUMIF('Nährstoffe und Lagerraum'!$AX$113:$AX$155,$CZ49,'Nährstoffe und Lagerraum'!$U$113:$U$155)/12  -$GD49*$HE49/12</f>
        <v>0</v>
      </c>
      <c r="FE49" s="1184">
        <f>FD49+DD49+ED49                 -         SUMIF('Nährstoffe und Lagerraum'!$AX$113:$AX$155,$CZ49,'Nährstoffe und Lagerraum'!$U$113:$U$155)/12  -$GD49*$HE49/12</f>
        <v>0</v>
      </c>
      <c r="FF49" s="1184">
        <f>FE49+DE49+EE49                 -         SUMIF('Nährstoffe und Lagerraum'!$AX$113:$AX$155,$CZ49,'Nährstoffe und Lagerraum'!$U$113:$U$155)/12  -$GD49*$HE49/12</f>
        <v>0</v>
      </c>
      <c r="FG49" s="1184">
        <f>FF49+DF49+EF49                 -         SUMIF('Nährstoffe und Lagerraum'!$AX$113:$AX$155,$CZ49,'Nährstoffe und Lagerraum'!$U$113:$U$155)/12  -$GD49*$HE49/12</f>
        <v>0</v>
      </c>
      <c r="FH49" s="1184">
        <f>FG49+DG49+EG49                 -         SUMIF('Nährstoffe und Lagerraum'!$AX$113:$AX$155,$CZ49,'Nährstoffe und Lagerraum'!$U$113:$U$155)/12  -$GD49*$HE49/12</f>
        <v>0</v>
      </c>
      <c r="FI49" s="1184">
        <f>FH49+DH49+EH49                 -         SUMIF('Nährstoffe und Lagerraum'!$AX$113:$AX$155,$CZ49,'Nährstoffe und Lagerraum'!$U$113:$U$155)/12  -$GD49*$HE49/12</f>
        <v>0</v>
      </c>
      <c r="FJ49" s="1184">
        <f>FI49+DI49+EI49                 -         SUMIF('Nährstoffe und Lagerraum'!$AX$113:$AX$155,$CZ49,'Nährstoffe und Lagerraum'!$U$113:$U$155)/12  -$GD49*$HE49/12</f>
        <v>0</v>
      </c>
      <c r="FK49" s="1184">
        <f>FJ49+DJ49+EJ49                 -         SUMIF('Nährstoffe und Lagerraum'!$AX$113:$AX$155,$CZ49,'Nährstoffe und Lagerraum'!$U$113:$U$155)/12  -$GD49*$HE49/12</f>
        <v>0</v>
      </c>
      <c r="FL49" s="1184">
        <f>FK49+DK49+EK49                 -         SUMIF('Nährstoffe und Lagerraum'!$AX$113:$AX$155,$CZ49,'Nährstoffe und Lagerraum'!$U$113:$U$155)/12  -$GD49*$HE49/12</f>
        <v>0</v>
      </c>
      <c r="FM49" s="1184">
        <f>FL49+DL49+EL49                 -         SUMIF('Nährstoffe und Lagerraum'!$AX$113:$AX$155,$CZ49,'Nährstoffe und Lagerraum'!$U$113:$U$155)/12  -$GD49*$HE49/12</f>
        <v>0</v>
      </c>
      <c r="FN49" s="1184">
        <f>FM49+DM49+EM49                 -         SUMIF('Nährstoffe und Lagerraum'!$AX$113:$AX$155,$CZ49,'Nährstoffe und Lagerraum'!$U$113:$U$155)/12  -$GD49*$HE49/12</f>
        <v>0</v>
      </c>
      <c r="FO49" s="1184"/>
      <c r="FP49" s="1186">
        <f t="shared" si="52"/>
        <v>0</v>
      </c>
      <c r="FQ49" s="1184">
        <f>FP49+DO49+EO49                 -         SUMIF('Nährstoffe und Lagerraum'!$AX$113:$AX$155,$CZ49,'Nährstoffe und Lagerraum'!$V$113:$V$155)/12  -$GE49*$HE49/12</f>
        <v>0</v>
      </c>
      <c r="FR49" s="1184">
        <f>FQ49+DP49+EP49                 -         SUMIF('Nährstoffe und Lagerraum'!$AX$113:$AX$155,$CZ49,'Nährstoffe und Lagerraum'!$V$113:$V$155)/12  -$GE49*$HE49/12</f>
        <v>0</v>
      </c>
      <c r="FS49" s="1184">
        <f>FR49+DQ49+EQ49                 -         SUMIF('Nährstoffe und Lagerraum'!$AX$113:$AX$155,$CZ49,'Nährstoffe und Lagerraum'!$V$113:$V$155)/12  -$GE49*$HE49/12</f>
        <v>0</v>
      </c>
      <c r="FT49" s="1184">
        <f>FS49+DR49+ER49                 -         SUMIF('Nährstoffe und Lagerraum'!$AX$113:$AX$155,$CZ49,'Nährstoffe und Lagerraum'!$V$113:$V$155)/12  -$GE49*$HE49/12</f>
        <v>0</v>
      </c>
      <c r="FU49" s="1184">
        <f>FT49+DS49+ES49                 -         SUMIF('Nährstoffe und Lagerraum'!$AX$113:$AX$155,$CZ49,'Nährstoffe und Lagerraum'!$V$113:$V$155)/12  -$GE49*$HE49/12</f>
        <v>0</v>
      </c>
      <c r="FV49" s="1184">
        <f>FU49+DT49+ET49                 -         SUMIF('Nährstoffe und Lagerraum'!$AX$113:$AX$155,$CZ49,'Nährstoffe und Lagerraum'!$V$113:$V$155)/12  -$GE49*$HE49/12</f>
        <v>0</v>
      </c>
      <c r="FW49" s="1184">
        <f>FV49+DU49+EU49                 -         SUMIF('Nährstoffe und Lagerraum'!$AX$113:$AX$155,$CZ49,'Nährstoffe und Lagerraum'!$V$113:$V$155)/12  -$GE49*$HE49/12</f>
        <v>0</v>
      </c>
      <c r="FX49" s="1184">
        <f>FW49+DV49+EV49                 -         SUMIF('Nährstoffe und Lagerraum'!$AX$113:$AX$155,$CZ49,'Nährstoffe und Lagerraum'!$V$113:$V$155)/12  -$GE49*$HE49/12</f>
        <v>0</v>
      </c>
      <c r="FY49" s="1184">
        <f>FX49+DW49+EW49                 -         SUMIF('Nährstoffe und Lagerraum'!$AX$113:$AX$155,$CZ49,'Nährstoffe und Lagerraum'!$V$113:$V$155)/12  -$GE49*$HE49/12</f>
        <v>0</v>
      </c>
      <c r="FZ49" s="1184">
        <f>FY49+DX49+EX49                 -         SUMIF('Nährstoffe und Lagerraum'!$AX$113:$AX$155,$CZ49,'Nährstoffe und Lagerraum'!$V$113:$V$155)/12  -$GE49*$HE49/12</f>
        <v>0</v>
      </c>
      <c r="GA49" s="1184">
        <f>FZ49+DY49+EY49                 -         SUMIF('Nährstoffe und Lagerraum'!$AX$113:$AX$155,$CZ49,'Nährstoffe und Lagerraum'!$V$113:$V$155)/12  -$GE49*$HE49/12</f>
        <v>0</v>
      </c>
      <c r="GB49" s="1184">
        <f>GA49+DZ49+EZ49                 -         SUMIF('Nährstoffe und Lagerraum'!$AX$113:$AX$155,$CZ49,'Nährstoffe und Lagerraum'!$V$113:$V$155)/12  -$GE49*$HE49/12</f>
        <v>0</v>
      </c>
      <c r="GC49" s="1184"/>
      <c r="GD49" s="1184">
        <f>SUMIFS($CI$14:$CI$68,$BR$14:$BR$68,$CZ49)+SUMIFS($CM$14:$CM$68,$BR$14:$BR$68,$CZ49)+SUMIFS($CR$14:$CR$68,$BR$14:$BR$68,$CZ49)  -         SUMIF('Nährstoffe und Lagerraum'!$AX$113:$AX$155,$CZ49,'Nährstoffe und Lagerraum'!$U$113:$U$155)</f>
        <v>0</v>
      </c>
      <c r="GE49" s="1184">
        <f>SUMIFS($CJ$14:$CJ$68,$BR$14:$BR$68,$CZ49)+SUMIFS($CO$14:$CO$68,$BR$14:$BR$68,$CZ49)+SUMIFS($CT$14:$CT$68,$BR$14:$BR$68,$CZ49)  -         SUMIF('Nährstoffe und Lagerraum'!$AX$113:$AX$155,$CZ49,'Nährstoffe und Lagerraum'!$V$113:$V$155)</f>
        <v>0</v>
      </c>
      <c r="GF49" s="1184"/>
      <c r="GG49" s="1184"/>
      <c r="GH49" s="1184">
        <f>SUMIF('Nährstoffe und Lagerraum'!$AX$113:$AX$155,$CZ49,'Nährstoffe und Lagerraum'!$U$113:$U$155)</f>
        <v>0</v>
      </c>
      <c r="GI49" s="1184">
        <f>SUMIF('Nährstoffe und Lagerraum'!$AX$113:$AX$155,$CZ49,'Nährstoffe und Lagerraum'!$V$113:$V$155)</f>
        <v>0</v>
      </c>
      <c r="GJ49" s="1184">
        <f t="shared" si="53"/>
        <v>0</v>
      </c>
      <c r="GK49" s="1184">
        <f t="shared" si="54"/>
        <v>0</v>
      </c>
      <c r="GL49" s="1184">
        <f t="shared" si="55"/>
        <v>0</v>
      </c>
      <c r="GM49" s="1184">
        <f t="shared" si="56"/>
        <v>0</v>
      </c>
      <c r="GN49" s="1184">
        <f t="shared" si="57"/>
        <v>0</v>
      </c>
      <c r="GO49" s="1184" cm="1">
        <f t="array" ref="GO49">IF(GN49=0,0,(IFERROR(SUMPRODUCT($J$14:$J$68,$CH$14:$CH$68,($BR$14:$BR$68=CZ49)*1)+SUMPRODUCT($L$14:$L$68,$M$14:$M$68,$CK$14:$CK$68,($BR$14:$BR$68=CZ49)*1,($BT$14:$BT$68=FALSE)*1)/10+SUMPRODUCT($R$14:$R$68,$CP$14:$CP$68,($BR$14:$BR$68=CZ49)*1),0))/GN49)</f>
        <v>0</v>
      </c>
      <c r="GP49" s="1184">
        <f t="shared" si="58"/>
        <v>0</v>
      </c>
      <c r="GQ49" s="1184">
        <f>(SUMIF('Nährstoffe und Lagerraum'!$AX$113:$AX$130,'Lagerhaltung (freiwillig)'!CZ49,'Nährstoffe und Lagerraum'!$D$113:$D$130)+SUMIF('Nährstoffe und Lagerraum'!$AX$137:$AX$155,'Lagerhaltung (freiwillig)'!CZ49,'Nährstoffe und Lagerraum'!$E$137:$E$155))</f>
        <v>0</v>
      </c>
      <c r="GR49" s="1184" cm="1">
        <f t="array" ref="GR49">IF(GQ49=0,0,(IFERROR(SUMPRODUCT('Nährstoffe und Lagerraum'!$D$113:$D$130,'Nährstoffe und Lagerraum'!$F$113:$F$130,('Nährstoffe und Lagerraum'!$AX$113:$AX$130='Lagerhaltung (freiwillig)'!CZ49)*1)+SUMPRODUCT('Nährstoffe und Lagerraum'!$E$137:$E$155,'Nährstoffe und Lagerraum'!$F$137:$F$155,('Nährstoffe und Lagerraum'!$AX$137:$AX$155='Lagerhaltung (freiwillig)'!CZ49)*1),0))/GQ49)</f>
        <v>0</v>
      </c>
      <c r="GS49" s="1184">
        <f t="shared" si="59"/>
        <v>0</v>
      </c>
      <c r="GT49" s="1184">
        <f t="shared" si="60"/>
        <v>0</v>
      </c>
      <c r="GU49" s="1184">
        <f t="shared" si="61"/>
        <v>0</v>
      </c>
      <c r="GV49" s="1184">
        <f t="shared" si="62"/>
        <v>0</v>
      </c>
      <c r="GW49" s="1186" t="str">
        <f t="shared" si="41"/>
        <v xml:space="preserve"> </v>
      </c>
      <c r="GX49" s="1186" t="str">
        <f t="shared" si="41"/>
        <v xml:space="preserve"> </v>
      </c>
      <c r="GY49" s="1195">
        <f t="shared" si="63"/>
        <v>0</v>
      </c>
      <c r="GZ49" s="1184">
        <f t="shared" si="64"/>
        <v>0</v>
      </c>
      <c r="HA49" s="1184" t="str">
        <f t="shared" si="132"/>
        <v>a</v>
      </c>
      <c r="HB49" s="1196">
        <f t="shared" si="65"/>
        <v>0</v>
      </c>
      <c r="HC49" s="1196">
        <f t="shared" si="66"/>
        <v>0</v>
      </c>
      <c r="HD49" s="1196"/>
      <c r="HE49" s="1187">
        <f t="shared" si="67"/>
        <v>0</v>
      </c>
      <c r="HF49" s="1196">
        <f t="shared" si="68"/>
        <v>0</v>
      </c>
      <c r="HG49" s="1196">
        <f t="shared" si="69"/>
        <v>0</v>
      </c>
      <c r="HH49" s="1196">
        <f t="shared" si="70"/>
        <v>0</v>
      </c>
      <c r="HI49" s="1328" cm="1">
        <f t="array" ref="HI49">IF(AND(HG49=0,GL49=0),0,IF(HG49=0,1,IF(OR(GL49*1000/HG49/HH49&gt;INDEX(Pflanzen!$W$5:$W$104,CZ49)/INDEX(Pflanzen!$I$5:$I$104,CZ49)*$HI$1,GL49*1000/HG49/HH49&lt;INDEX(Pflanzen!$W$5:$W$104,CZ49)/INDEX(Pflanzen!$I$5:$I$104,CZ49)/$HI$1),1,0)))</f>
        <v>0</v>
      </c>
      <c r="HJ49" s="1328" cm="1">
        <f t="array" ref="HJ49">IF(AND(GM49=0,HG49=0),0,IF(HG49=0,1,IF(OR(GM49*1000/HG49/HH49&gt;INDEX(Pflanzen!$X$5:$X$104,CZ49)/INDEX(Pflanzen!$I$5:$I$104,CZ49)*$HI$1,GM49*1000/HG49/HH49&lt;INDEX(Pflanzen!$X$5:$X$104,CZ49)/INDEX(Pflanzen!$I$5:$I$104,CZ49)/$HI$1),1,0)))</f>
        <v>0</v>
      </c>
      <c r="HK49" s="1184">
        <f t="shared" si="71"/>
        <v>3</v>
      </c>
      <c r="HL49" s="1184"/>
      <c r="HN49" s="1184"/>
      <c r="HO49" s="1193" t="str">
        <f>Tiere!B75</f>
        <v>Zuchteber</v>
      </c>
      <c r="HP49" s="1184">
        <v>46</v>
      </c>
      <c r="HQ49" s="1194">
        <f>SUMIF('Nährstoffe und Lagerraum'!$BM$68:$BM$87,'Lagerhaltung (freiwillig)'!HP49,'Nährstoffe und Lagerraum'!$Z$68:$Z$87)+SUMIF('Nährstoffe und Lagerraum'!$BM$68:$BM$87,'Lagerhaltung (freiwillig)'!HP49,'Nährstoffe und Lagerraum'!$AA$68:$AA$87)</f>
        <v>0</v>
      </c>
      <c r="HR49" s="1184" cm="1">
        <f t="array" ref="HR49">INDEX(Tiere!$C$30:$C$114,'Lagerhaltung (freiwillig)'!HP49)</f>
        <v>2</v>
      </c>
      <c r="HS49" s="1184" cm="1">
        <f t="array" ref="HS49">INDEX(Tiere!$H$30:$H$114,'Lagerhaltung (freiwillig)'!HP49)</f>
        <v>0</v>
      </c>
      <c r="HT49" s="1184">
        <f t="shared" si="12"/>
        <v>0</v>
      </c>
      <c r="HU49" s="1184" cm="1">
        <f t="array" ref="HU49">INDEX(Tiere!$I$30:$I$114,'Lagerhaltung (freiwillig)'!HP49)</f>
        <v>0</v>
      </c>
      <c r="HV49" s="1184">
        <f t="shared" si="13"/>
        <v>0</v>
      </c>
      <c r="HW49" s="1184" cm="1">
        <f t="array" ref="HW49">INDEX(Tiere!$BC$30:$BC$114,'Lagerhaltung (freiwillig)'!HP49)</f>
        <v>0</v>
      </c>
      <c r="HX49" s="1184">
        <f t="shared" si="14"/>
        <v>0</v>
      </c>
      <c r="HY49" s="1184" cm="1">
        <f t="array" ref="HY49">INDEX(Tiere!$BD$30:$BD$114,'Lagerhaltung (freiwillig)'!HP49)</f>
        <v>0</v>
      </c>
      <c r="HZ49" s="1184">
        <f t="shared" si="15"/>
        <v>0</v>
      </c>
      <c r="IA49" s="1184"/>
      <c r="IB49" s="1184"/>
      <c r="IC49" s="1184"/>
      <c r="ID49" s="1184"/>
      <c r="IE49" s="1184"/>
      <c r="IF49" s="1184"/>
      <c r="IG49" s="1184"/>
      <c r="IH49" s="1184"/>
      <c r="II49" s="1184"/>
      <c r="IJ49" s="1184"/>
      <c r="IK49" s="1184"/>
      <c r="IL49" s="1184"/>
    </row>
    <row r="50" spans="6:246" ht="15.6" customHeight="1" x14ac:dyDescent="0.2">
      <c r="F50" s="1122"/>
      <c r="G50" s="1498"/>
      <c r="H50" s="1336"/>
      <c r="I50" s="1162" t="str">
        <f t="shared" si="133"/>
        <v/>
      </c>
      <c r="J50" s="1303"/>
      <c r="K50" s="1162" t="str">
        <f t="shared" si="134"/>
        <v/>
      </c>
      <c r="L50" s="1487"/>
      <c r="M50" s="1491"/>
      <c r="N50" s="1487"/>
      <c r="O50" s="1487"/>
      <c r="P50" s="1303"/>
      <c r="Q50" s="1162" t="str">
        <f t="shared" si="135"/>
        <v/>
      </c>
      <c r="R50" s="1487"/>
      <c r="S50" s="1491"/>
      <c r="T50" s="1303"/>
      <c r="V50" s="1346" t="str">
        <f t="shared" si="156"/>
        <v/>
      </c>
      <c r="Y50" s="1554" t="str" cm="1">
        <f t="array" ref="Y50">IFERROR(INDEX($CY$4:$CY$165,AY50),"")</f>
        <v/>
      </c>
      <c r="Z50" s="1555"/>
      <c r="AA50" s="1555"/>
      <c r="AB50" s="1555"/>
      <c r="AC50" s="1454" t="str" cm="1">
        <f t="array" ref="AC50">IFERROR(INDEX($GN$4:$GN$165,AY50),"")</f>
        <v/>
      </c>
      <c r="AD50" s="1454" t="str" cm="1">
        <f t="array" ref="AD50">IFERROR(INDEX($GO$4:$GO$165,AY50),"")</f>
        <v/>
      </c>
      <c r="AE50" s="1454" t="str" cm="1">
        <f t="array" ref="AE50">IFERROR(INDEX($GJ$4:$GJ$165,AY50),"")</f>
        <v/>
      </c>
      <c r="AF50" s="1454" t="str" cm="1">
        <f t="array" ref="AF50">IFERROR(INDEX($GK$4:$GK$165,AY50),"")</f>
        <v/>
      </c>
      <c r="AG50" s="1454" t="str" cm="1">
        <f t="array" ref="AG50">IFERROR(INDEX($GQ$4:$GQ$165,AY50),"")</f>
        <v/>
      </c>
      <c r="AH50" s="1454" t="str" cm="1">
        <f t="array" ref="AH50">IFERROR(INDEX($GR$4:$GR$165,AY50),"")</f>
        <v/>
      </c>
      <c r="AI50" s="1454" t="str" cm="1">
        <f t="array" ref="AI50">IFERROR(INDEX($GH$4:$GH$165,AY50),"")</f>
        <v/>
      </c>
      <c r="AJ50" s="1454" t="str" cm="1">
        <f t="array" ref="AJ50">IFERROR(INDEX($GI$4:$GI$165,AY50),"")</f>
        <v/>
      </c>
      <c r="AK50" s="1454" t="str" cm="1">
        <f t="array" ref="AK50">IFERROR(INDEX($GU$4:$GU$165,AY50),"")</f>
        <v/>
      </c>
      <c r="AL50" s="1455" t="str" cm="1">
        <f t="array" ref="AL50">IFERROR(INDEX($GV$4:$GV$165,AY50),"")</f>
        <v/>
      </c>
      <c r="AM50" s="1454" t="str" cm="1">
        <f t="array" ref="AM50">IFERROR(INDEX($GD$4:$GD$165,AY50),"")</f>
        <v/>
      </c>
      <c r="AN50" s="1454" t="str" cm="1">
        <f t="array" ref="AN50">IFERROR(INDEX($GE$4:$GE$165,AY50),"")</f>
        <v/>
      </c>
      <c r="AO50" s="1454" t="str" cm="1">
        <f t="array" ref="AO50">IFERROR(INDEX($GW$4:$GW$165,AY50),"")</f>
        <v/>
      </c>
      <c r="AP50" s="1454" t="str" cm="1">
        <f t="array" ref="AP50">IFERROR(INDEX($GZ$4:$GZ$165,AY50),"")</f>
        <v/>
      </c>
      <c r="AQ50" s="1457"/>
      <c r="AR50" s="1454" t="str" cm="1">
        <f t="array" ref="AR50">IFERROR(INDEX($HF$4:$HF$165,AY50),"")</f>
        <v/>
      </c>
      <c r="AS50" s="1454" t="str" cm="1">
        <f t="array" ref="AS50">IFERROR(INDEX($HG$4:$HG$165,AY50),"")</f>
        <v/>
      </c>
      <c r="AT50" s="1454" t="str" cm="1">
        <f t="array" ref="AT50">IFERROR(INDEX($HH$4:$HH$165,AY50),"")</f>
        <v/>
      </c>
      <c r="AU50" s="1454" t="str" cm="1">
        <f t="array" ref="AU50">IFERROR(INDEX($GL$4:$GL$165,AY50),"")</f>
        <v/>
      </c>
      <c r="AV50" s="1454" t="str" cm="1">
        <f t="array" ref="AV50">IFERROR(INDEX($GM$4:$GM$165,AY50),"")</f>
        <v/>
      </c>
      <c r="AW50" s="1459"/>
      <c r="AX50" s="1459"/>
      <c r="AY50" s="1460" t="str" cm="1">
        <f t="array" ref="AY50">IFERROR(SMALL(IF($HK$4:$HK$165=1,ROW($HK$4:$HK$165)-3),ROW(W35)),IFERROR(SMALL(IF($HK$4:$HK$165=2,ROW($HK$4:$HK$165)-3),ROW(W35)-COUNTIF($HK$4:$HK$165,1)),IFERROR(SMALL(IF($HK$4:$HK$165=0,ROW($HK$4:$HK$165)-3),ROW(W35)-COUNTIF($HK$4:$HK$165,1)-COUNTIF($HK$4:$HK$165,2)),"")))</f>
        <v/>
      </c>
      <c r="AZ50" s="1460" t="str">
        <f t="shared" si="129"/>
        <v>a</v>
      </c>
      <c r="BA50" s="1461" t="e">
        <f t="shared" si="130"/>
        <v>#VALUE!</v>
      </c>
      <c r="BB50" s="1461" cm="1">
        <f t="array" ref="BB50">IFERROR(INDEX($HK$4:$HK$165,AY50),0)</f>
        <v>0</v>
      </c>
      <c r="BC50" s="1461">
        <f t="shared" si="131"/>
        <v>0</v>
      </c>
      <c r="BD50" s="1461"/>
      <c r="BE50" s="1462"/>
      <c r="BF50" s="1343"/>
      <c r="BG50" s="1343"/>
      <c r="BH50" s="1343"/>
      <c r="BI50" s="1343"/>
      <c r="BJ50" s="1343"/>
      <c r="BK50" s="1343"/>
      <c r="BL50" s="1343"/>
      <c r="BM50" s="1343"/>
      <c r="BN50" s="1343"/>
      <c r="BO50" s="1343"/>
      <c r="BQ50" s="1184">
        <v>1</v>
      </c>
      <c r="BR50" cm="1">
        <f t="array" ref="BR50">INDEX(Pflanzen!$B$5:$B$112,'Lagerhaltung (freiwillig)'!BQ50)</f>
        <v>1</v>
      </c>
      <c r="BS50" s="1184"/>
      <c r="BT50" s="1184" t="b">
        <v>0</v>
      </c>
      <c r="BU50" s="1185"/>
      <c r="BV50" s="1185"/>
      <c r="BW50" s="1184">
        <f t="shared" si="136"/>
        <v>12</v>
      </c>
      <c r="BX50" s="1184">
        <f t="shared" si="137"/>
        <v>0</v>
      </c>
      <c r="BY50" s="1184">
        <f t="shared" si="138"/>
        <v>12</v>
      </c>
      <c r="BZ50" s="1184" cm="1">
        <f t="array" ref="BZ50">INDEX(Pflanzen!$AB$5:$AB$114,'Lagerhaltung (freiwillig)'!BR50)</f>
        <v>0</v>
      </c>
      <c r="CA50" s="1184" cm="1">
        <f t="array" ref="CA50">IF(BZ50=1,INDEX(Pflanzen!$AC$5:$AC$114,BR50),N50)</f>
        <v>0</v>
      </c>
      <c r="CB50" s="1184" cm="1">
        <f t="array" ref="CB50">IF(BZ50=1,INDEX(Pflanzen!$AD$5:$AD$114,BR50),O50)</f>
        <v>0</v>
      </c>
      <c r="CC50" s="1184">
        <f t="shared" si="139"/>
        <v>12</v>
      </c>
      <c r="CD50" s="1184">
        <f t="shared" si="140"/>
        <v>0</v>
      </c>
      <c r="CE50" s="1184">
        <f t="shared" si="141"/>
        <v>12</v>
      </c>
      <c r="CF50" s="1184" cm="1">
        <f t="array" ref="CF50">INDEX(Pflanzen!$F$5:$F$114,BR50)</f>
        <v>0</v>
      </c>
      <c r="CG50" s="1184" cm="1">
        <f t="array" ref="CG50">INDEX(Pflanzen!$G$5:$G$114,BR50)</f>
        <v>0</v>
      </c>
      <c r="CH50" s="1184">
        <f t="shared" si="142"/>
        <v>0</v>
      </c>
      <c r="CI50" s="1184">
        <f t="shared" si="143"/>
        <v>0</v>
      </c>
      <c r="CJ50" s="1184">
        <f t="shared" si="144"/>
        <v>0</v>
      </c>
      <c r="CK50" s="1184">
        <f t="shared" si="145"/>
        <v>0</v>
      </c>
      <c r="CL50" s="1184">
        <f t="shared" si="146"/>
        <v>0</v>
      </c>
      <c r="CM50" s="1184">
        <f t="shared" si="147"/>
        <v>0</v>
      </c>
      <c r="CN50" s="1184">
        <f t="shared" si="148"/>
        <v>0</v>
      </c>
      <c r="CO50" s="1184">
        <f t="shared" si="149"/>
        <v>0</v>
      </c>
      <c r="CP50" s="1184">
        <f t="shared" si="150"/>
        <v>0</v>
      </c>
      <c r="CQ50" s="1184">
        <f t="shared" si="151"/>
        <v>0</v>
      </c>
      <c r="CR50" s="1184">
        <f t="shared" si="152"/>
        <v>0</v>
      </c>
      <c r="CS50" s="1184">
        <f t="shared" si="153"/>
        <v>0</v>
      </c>
      <c r="CT50" s="1184">
        <f t="shared" si="154"/>
        <v>0</v>
      </c>
      <c r="CU50" s="1184">
        <f t="shared" si="157"/>
        <v>2</v>
      </c>
      <c r="CV50" s="1186" cm="1">
        <f t="array" ref="CV50">IF(AND(COUNTIF($BR$14:$BR$36,BR50)&gt;0,BR50&lt;ROWS(Pflanzen!$C$5:$C$107)),INDEX(Pflanzen!$I$5:$I$114,BR50),SUMIF($BR$44:$BR$68,BR50,$F$44:$F$69)/COUNTIF($BR$44:$BR$68,BR50))</f>
        <v>0</v>
      </c>
      <c r="CW50" s="1186">
        <f t="shared" si="155"/>
        <v>0</v>
      </c>
      <c r="CX50" s="1184"/>
      <c r="CY50" s="320" t="str">
        <f>Pflanzen!A46</f>
        <v>Klee (Reinkultur)</v>
      </c>
      <c r="CZ50" s="1200">
        <f>IFERROR(MATCH($CY50,Pflanzen!$C$5:$C$114,0),1)</f>
        <v>42</v>
      </c>
      <c r="DA50" s="320" cm="1">
        <f t="array" ref="DA50">INDEX(Pflanzen!$H$5:$H$114,'Lagerhaltung (freiwillig)'!CZ50)</f>
        <v>1</v>
      </c>
      <c r="DB50" s="1200">
        <f t="shared" si="158"/>
        <v>0</v>
      </c>
      <c r="DC50" s="1200">
        <f t="shared" si="158"/>
        <v>0</v>
      </c>
      <c r="DD50" s="1200">
        <f t="shared" si="158"/>
        <v>0</v>
      </c>
      <c r="DE50" s="1200">
        <f t="shared" si="158"/>
        <v>0</v>
      </c>
      <c r="DF50" s="1200">
        <f t="shared" si="158"/>
        <v>0</v>
      </c>
      <c r="DG50" s="1184">
        <f t="shared" si="158"/>
        <v>0</v>
      </c>
      <c r="DH50" s="1184">
        <f t="shared" si="158"/>
        <v>0</v>
      </c>
      <c r="DI50" s="1184">
        <f t="shared" si="158"/>
        <v>0</v>
      </c>
      <c r="DJ50" s="1184">
        <f t="shared" si="158"/>
        <v>0</v>
      </c>
      <c r="DK50" s="1184">
        <f t="shared" si="158"/>
        <v>0</v>
      </c>
      <c r="DL50" s="1184">
        <f t="shared" si="158"/>
        <v>0</v>
      </c>
      <c r="DM50" s="1184">
        <f t="shared" si="158"/>
        <v>0</v>
      </c>
      <c r="DN50" s="1184"/>
      <c r="DO50" s="1184">
        <f t="shared" si="159"/>
        <v>0</v>
      </c>
      <c r="DP50" s="1184">
        <f t="shared" si="159"/>
        <v>0</v>
      </c>
      <c r="DQ50" s="1184">
        <f t="shared" si="159"/>
        <v>0</v>
      </c>
      <c r="DR50" s="1184">
        <f t="shared" si="159"/>
        <v>0</v>
      </c>
      <c r="DS50" s="1184">
        <f t="shared" si="159"/>
        <v>0</v>
      </c>
      <c r="DT50" s="1184">
        <f t="shared" si="159"/>
        <v>0</v>
      </c>
      <c r="DU50" s="1184">
        <f t="shared" si="159"/>
        <v>0</v>
      </c>
      <c r="DV50" s="1184">
        <f t="shared" si="159"/>
        <v>0</v>
      </c>
      <c r="DW50" s="1184">
        <f t="shared" si="159"/>
        <v>0</v>
      </c>
      <c r="DX50" s="1184">
        <f t="shared" si="159"/>
        <v>0</v>
      </c>
      <c r="DY50" s="1184">
        <f t="shared" si="159"/>
        <v>0</v>
      </c>
      <c r="DZ50" s="1184">
        <f t="shared" si="159"/>
        <v>0</v>
      </c>
      <c r="EA50" s="1184"/>
      <c r="EB50" s="1184">
        <f t="shared" si="160"/>
        <v>0</v>
      </c>
      <c r="EC50" s="1184">
        <f t="shared" si="160"/>
        <v>0</v>
      </c>
      <c r="ED50" s="1184">
        <f t="shared" si="160"/>
        <v>0</v>
      </c>
      <c r="EE50" s="1184">
        <f t="shared" si="160"/>
        <v>0</v>
      </c>
      <c r="EF50" s="1184">
        <f t="shared" si="160"/>
        <v>0</v>
      </c>
      <c r="EG50" s="1184">
        <f t="shared" si="160"/>
        <v>0</v>
      </c>
      <c r="EH50" s="1184">
        <f t="shared" si="160"/>
        <v>0</v>
      </c>
      <c r="EI50" s="1184">
        <f t="shared" si="160"/>
        <v>0</v>
      </c>
      <c r="EJ50" s="1184">
        <f t="shared" si="160"/>
        <v>0</v>
      </c>
      <c r="EK50" s="1184">
        <f t="shared" si="160"/>
        <v>0</v>
      </c>
      <c r="EL50" s="1184">
        <f t="shared" si="160"/>
        <v>0</v>
      </c>
      <c r="EM50" s="1184">
        <f t="shared" si="160"/>
        <v>0</v>
      </c>
      <c r="EN50" s="1184"/>
      <c r="EO50" s="1184">
        <f t="shared" si="161"/>
        <v>0</v>
      </c>
      <c r="EP50" s="1184">
        <f t="shared" si="161"/>
        <v>0</v>
      </c>
      <c r="EQ50" s="1184">
        <f t="shared" si="161"/>
        <v>0</v>
      </c>
      <c r="ER50" s="1184">
        <f t="shared" si="161"/>
        <v>0</v>
      </c>
      <c r="ES50" s="1184">
        <f t="shared" si="161"/>
        <v>0</v>
      </c>
      <c r="ET50" s="1184">
        <f t="shared" si="161"/>
        <v>0</v>
      </c>
      <c r="EU50" s="1184">
        <f t="shared" si="161"/>
        <v>0</v>
      </c>
      <c r="EV50" s="1184">
        <f t="shared" si="161"/>
        <v>0</v>
      </c>
      <c r="EW50" s="1184">
        <f t="shared" si="161"/>
        <v>0</v>
      </c>
      <c r="EX50" s="1184">
        <f t="shared" si="161"/>
        <v>0</v>
      </c>
      <c r="EY50" s="1184">
        <f t="shared" si="161"/>
        <v>0</v>
      </c>
      <c r="EZ50" s="1184">
        <f t="shared" si="161"/>
        <v>0</v>
      </c>
      <c r="FA50" s="1184"/>
      <c r="FB50" s="1186">
        <f t="shared" si="51"/>
        <v>0</v>
      </c>
      <c r="FC50" s="1184">
        <f>FB50+DB50+EB50                 -         SUMIF('Nährstoffe und Lagerraum'!$AX$113:$AX$155,$CZ50,'Nährstoffe und Lagerraum'!$U$113:$U$155)/12  -$GD50*$HE50/12</f>
        <v>0</v>
      </c>
      <c r="FD50" s="1184">
        <f>FC50+DC50+EC50                 -         SUMIF('Nährstoffe und Lagerraum'!$AX$113:$AX$155,$CZ50,'Nährstoffe und Lagerraum'!$U$113:$U$155)/12  -$GD50*$HE50/12</f>
        <v>0</v>
      </c>
      <c r="FE50" s="1184">
        <f>FD50+DD50+ED50                 -         SUMIF('Nährstoffe und Lagerraum'!$AX$113:$AX$155,$CZ50,'Nährstoffe und Lagerraum'!$U$113:$U$155)/12  -$GD50*$HE50/12</f>
        <v>0</v>
      </c>
      <c r="FF50" s="1184">
        <f>FE50+DE50+EE50                 -         SUMIF('Nährstoffe und Lagerraum'!$AX$113:$AX$155,$CZ50,'Nährstoffe und Lagerraum'!$U$113:$U$155)/12  -$GD50*$HE50/12</f>
        <v>0</v>
      </c>
      <c r="FG50" s="1184">
        <f>FF50+DF50+EF50                 -         SUMIF('Nährstoffe und Lagerraum'!$AX$113:$AX$155,$CZ50,'Nährstoffe und Lagerraum'!$U$113:$U$155)/12  -$GD50*$HE50/12</f>
        <v>0</v>
      </c>
      <c r="FH50" s="1184">
        <f>FG50+DG50+EG50                 -         SUMIF('Nährstoffe und Lagerraum'!$AX$113:$AX$155,$CZ50,'Nährstoffe und Lagerraum'!$U$113:$U$155)/12  -$GD50*$HE50/12</f>
        <v>0</v>
      </c>
      <c r="FI50" s="1184">
        <f>FH50+DH50+EH50                 -         SUMIF('Nährstoffe und Lagerraum'!$AX$113:$AX$155,$CZ50,'Nährstoffe und Lagerraum'!$U$113:$U$155)/12  -$GD50*$HE50/12</f>
        <v>0</v>
      </c>
      <c r="FJ50" s="1184">
        <f>FI50+DI50+EI50                 -         SUMIF('Nährstoffe und Lagerraum'!$AX$113:$AX$155,$CZ50,'Nährstoffe und Lagerraum'!$U$113:$U$155)/12  -$GD50*$HE50/12</f>
        <v>0</v>
      </c>
      <c r="FK50" s="1184">
        <f>FJ50+DJ50+EJ50                 -         SUMIF('Nährstoffe und Lagerraum'!$AX$113:$AX$155,$CZ50,'Nährstoffe und Lagerraum'!$U$113:$U$155)/12  -$GD50*$HE50/12</f>
        <v>0</v>
      </c>
      <c r="FL50" s="1184">
        <f>FK50+DK50+EK50                 -         SUMIF('Nährstoffe und Lagerraum'!$AX$113:$AX$155,$CZ50,'Nährstoffe und Lagerraum'!$U$113:$U$155)/12  -$GD50*$HE50/12</f>
        <v>0</v>
      </c>
      <c r="FM50" s="1184">
        <f>FL50+DL50+EL50                 -         SUMIF('Nährstoffe und Lagerraum'!$AX$113:$AX$155,$CZ50,'Nährstoffe und Lagerraum'!$U$113:$U$155)/12  -$GD50*$HE50/12</f>
        <v>0</v>
      </c>
      <c r="FN50" s="1184">
        <f>FM50+DM50+EM50                 -         SUMIF('Nährstoffe und Lagerraum'!$AX$113:$AX$155,$CZ50,'Nährstoffe und Lagerraum'!$U$113:$U$155)/12  -$GD50*$HE50/12</f>
        <v>0</v>
      </c>
      <c r="FO50" s="1184"/>
      <c r="FP50" s="1186">
        <f t="shared" si="52"/>
        <v>0</v>
      </c>
      <c r="FQ50" s="1184">
        <f>FP50+DO50+EO50                 -         SUMIF('Nährstoffe und Lagerraum'!$AX$113:$AX$155,$CZ50,'Nährstoffe und Lagerraum'!$V$113:$V$155)/12  -$GE50*$HE50/12</f>
        <v>0</v>
      </c>
      <c r="FR50" s="1184">
        <f>FQ50+DP50+EP50                 -         SUMIF('Nährstoffe und Lagerraum'!$AX$113:$AX$155,$CZ50,'Nährstoffe und Lagerraum'!$V$113:$V$155)/12  -$GE50*$HE50/12</f>
        <v>0</v>
      </c>
      <c r="FS50" s="1184">
        <f>FR50+DQ50+EQ50                 -         SUMIF('Nährstoffe und Lagerraum'!$AX$113:$AX$155,$CZ50,'Nährstoffe und Lagerraum'!$V$113:$V$155)/12  -$GE50*$HE50/12</f>
        <v>0</v>
      </c>
      <c r="FT50" s="1184">
        <f>FS50+DR50+ER50                 -         SUMIF('Nährstoffe und Lagerraum'!$AX$113:$AX$155,$CZ50,'Nährstoffe und Lagerraum'!$V$113:$V$155)/12  -$GE50*$HE50/12</f>
        <v>0</v>
      </c>
      <c r="FU50" s="1184">
        <f>FT50+DS50+ES50                 -         SUMIF('Nährstoffe und Lagerraum'!$AX$113:$AX$155,$CZ50,'Nährstoffe und Lagerraum'!$V$113:$V$155)/12  -$GE50*$HE50/12</f>
        <v>0</v>
      </c>
      <c r="FV50" s="1184">
        <f>FU50+DT50+ET50                 -         SUMIF('Nährstoffe und Lagerraum'!$AX$113:$AX$155,$CZ50,'Nährstoffe und Lagerraum'!$V$113:$V$155)/12  -$GE50*$HE50/12</f>
        <v>0</v>
      </c>
      <c r="FW50" s="1184">
        <f>FV50+DU50+EU50                 -         SUMIF('Nährstoffe und Lagerraum'!$AX$113:$AX$155,$CZ50,'Nährstoffe und Lagerraum'!$V$113:$V$155)/12  -$GE50*$HE50/12</f>
        <v>0</v>
      </c>
      <c r="FX50" s="1184">
        <f>FW50+DV50+EV50                 -         SUMIF('Nährstoffe und Lagerraum'!$AX$113:$AX$155,$CZ50,'Nährstoffe und Lagerraum'!$V$113:$V$155)/12  -$GE50*$HE50/12</f>
        <v>0</v>
      </c>
      <c r="FY50" s="1184">
        <f>FX50+DW50+EW50                 -         SUMIF('Nährstoffe und Lagerraum'!$AX$113:$AX$155,$CZ50,'Nährstoffe und Lagerraum'!$V$113:$V$155)/12  -$GE50*$HE50/12</f>
        <v>0</v>
      </c>
      <c r="FZ50" s="1184">
        <f>FY50+DX50+EX50                 -         SUMIF('Nährstoffe und Lagerraum'!$AX$113:$AX$155,$CZ50,'Nährstoffe und Lagerraum'!$V$113:$V$155)/12  -$GE50*$HE50/12</f>
        <v>0</v>
      </c>
      <c r="GA50" s="1184">
        <f>FZ50+DY50+EY50                 -         SUMIF('Nährstoffe und Lagerraum'!$AX$113:$AX$155,$CZ50,'Nährstoffe und Lagerraum'!$V$113:$V$155)/12  -$GE50*$HE50/12</f>
        <v>0</v>
      </c>
      <c r="GB50" s="1184">
        <f>GA50+DZ50+EZ50                 -         SUMIF('Nährstoffe und Lagerraum'!$AX$113:$AX$155,$CZ50,'Nährstoffe und Lagerraum'!$V$113:$V$155)/12  -$GE50*$HE50/12</f>
        <v>0</v>
      </c>
      <c r="GC50" s="1184"/>
      <c r="GD50" s="1184">
        <f>SUMIFS($CI$14:$CI$68,$BR$14:$BR$68,$CZ50)+SUMIFS($CM$14:$CM$68,$BR$14:$BR$68,$CZ50)+SUMIFS($CR$14:$CR$68,$BR$14:$BR$68,$CZ50)  -         SUMIF('Nährstoffe und Lagerraum'!$AX$113:$AX$155,$CZ50,'Nährstoffe und Lagerraum'!$U$113:$U$155)</f>
        <v>0</v>
      </c>
      <c r="GE50" s="1184">
        <f>SUMIFS($CJ$14:$CJ$68,$BR$14:$BR$68,$CZ50)+SUMIFS($CO$14:$CO$68,$BR$14:$BR$68,$CZ50)+SUMIFS($CT$14:$CT$68,$BR$14:$BR$68,$CZ50)  -         SUMIF('Nährstoffe und Lagerraum'!$AX$113:$AX$155,$CZ50,'Nährstoffe und Lagerraum'!$V$113:$V$155)</f>
        <v>0</v>
      </c>
      <c r="GF50" s="1184"/>
      <c r="GG50" s="1184"/>
      <c r="GH50" s="1184">
        <f>SUMIF('Nährstoffe und Lagerraum'!$AX$113:$AX$155,$CZ50,'Nährstoffe und Lagerraum'!$U$113:$U$155)</f>
        <v>0</v>
      </c>
      <c r="GI50" s="1184">
        <f>SUMIF('Nährstoffe und Lagerraum'!$AX$113:$AX$155,$CZ50,'Nährstoffe und Lagerraum'!$V$113:$V$155)</f>
        <v>0</v>
      </c>
      <c r="GJ50" s="1184">
        <f t="shared" si="53"/>
        <v>0</v>
      </c>
      <c r="GK50" s="1184">
        <f t="shared" si="54"/>
        <v>0</v>
      </c>
      <c r="GL50" s="1184">
        <f t="shared" si="55"/>
        <v>0</v>
      </c>
      <c r="GM50" s="1184">
        <f t="shared" si="56"/>
        <v>0</v>
      </c>
      <c r="GN50" s="1184">
        <f t="shared" si="57"/>
        <v>0</v>
      </c>
      <c r="GO50" s="1184" cm="1">
        <f t="array" ref="GO50">IF(GN50=0,0,(IFERROR(SUMPRODUCT($J$14:$J$68,$CH$14:$CH$68,($BR$14:$BR$68=CZ50)*1)+SUMPRODUCT($L$14:$L$68,$M$14:$M$68,$CK$14:$CK$68,($BR$14:$BR$68=CZ50)*1,($BT$14:$BT$68=FALSE)*1)/10+SUMPRODUCT($R$14:$R$68,$CP$14:$CP$68,($BR$14:$BR$68=CZ50)*1),0))/GN50)</f>
        <v>0</v>
      </c>
      <c r="GP50" s="1184">
        <f t="shared" si="58"/>
        <v>0</v>
      </c>
      <c r="GQ50" s="1184">
        <f>(SUMIF('Nährstoffe und Lagerraum'!$AX$113:$AX$130,'Lagerhaltung (freiwillig)'!CZ50,'Nährstoffe und Lagerraum'!$D$113:$D$130)+SUMIF('Nährstoffe und Lagerraum'!$AX$137:$AX$155,'Lagerhaltung (freiwillig)'!CZ50,'Nährstoffe und Lagerraum'!$E$137:$E$155))</f>
        <v>0</v>
      </c>
      <c r="GR50" s="1184" cm="1">
        <f t="array" ref="GR50">IF(GQ50=0,0,(IFERROR(SUMPRODUCT('Nährstoffe und Lagerraum'!$D$113:$D$130,'Nährstoffe und Lagerraum'!$F$113:$F$130,('Nährstoffe und Lagerraum'!$AX$113:$AX$130='Lagerhaltung (freiwillig)'!CZ50)*1)+SUMPRODUCT('Nährstoffe und Lagerraum'!$E$137:$E$155,'Nährstoffe und Lagerraum'!$F$137:$F$155,('Nährstoffe und Lagerraum'!$AX$137:$AX$155='Lagerhaltung (freiwillig)'!CZ50)*1),0))/GQ50)</f>
        <v>0</v>
      </c>
      <c r="GS50" s="1184">
        <f t="shared" si="59"/>
        <v>0</v>
      </c>
      <c r="GT50" s="1184">
        <f t="shared" si="60"/>
        <v>0</v>
      </c>
      <c r="GU50" s="1184">
        <f t="shared" si="61"/>
        <v>0</v>
      </c>
      <c r="GV50" s="1184">
        <f t="shared" si="62"/>
        <v>0</v>
      </c>
      <c r="GW50" s="1186" t="str">
        <f t="shared" si="41"/>
        <v xml:space="preserve"> </v>
      </c>
      <c r="GX50" s="1186" t="str">
        <f t="shared" si="41"/>
        <v xml:space="preserve"> </v>
      </c>
      <c r="GY50" s="1195">
        <f t="shared" si="63"/>
        <v>0</v>
      </c>
      <c r="GZ50" s="1184">
        <f t="shared" si="64"/>
        <v>0</v>
      </c>
      <c r="HA50" s="1184" t="str">
        <f t="shared" si="132"/>
        <v>a</v>
      </c>
      <c r="HB50" s="1196">
        <f t="shared" si="65"/>
        <v>0</v>
      </c>
      <c r="HC50" s="1196">
        <f t="shared" si="66"/>
        <v>0</v>
      </c>
      <c r="HD50" s="1196"/>
      <c r="HE50" s="1187">
        <f t="shared" si="67"/>
        <v>0</v>
      </c>
      <c r="HF50" s="1196">
        <f t="shared" si="68"/>
        <v>0</v>
      </c>
      <c r="HG50" s="1196">
        <f t="shared" si="69"/>
        <v>0</v>
      </c>
      <c r="HH50" s="1196">
        <f t="shared" si="70"/>
        <v>0</v>
      </c>
      <c r="HI50" s="1328" cm="1">
        <f t="array" ref="HI50">IF(AND(HG50=0,GL50=0),0,IF(HG50=0,1,IF(OR(GL50*1000/HG50/HH50&gt;INDEX(Pflanzen!$W$5:$W$104,CZ50)/INDEX(Pflanzen!$I$5:$I$104,CZ50)*$HI$1,GL50*1000/HG50/HH50&lt;INDEX(Pflanzen!$W$5:$W$104,CZ50)/INDEX(Pflanzen!$I$5:$I$104,CZ50)/$HI$1),1,0)))</f>
        <v>0</v>
      </c>
      <c r="HJ50" s="1328" cm="1">
        <f t="array" ref="HJ50">IF(AND(GM50=0,HG50=0),0,IF(HG50=0,1,IF(OR(GM50*1000/HG50/HH50&gt;INDEX(Pflanzen!$X$5:$X$104,CZ50)/INDEX(Pflanzen!$I$5:$I$104,CZ50)*$HI$1,GM50*1000/HG50/HH50&lt;INDEX(Pflanzen!$X$5:$X$104,CZ50)/INDEX(Pflanzen!$I$5:$I$104,CZ50)/$HI$1),1,0)))</f>
        <v>0</v>
      </c>
      <c r="HK50" s="1184">
        <f t="shared" si="71"/>
        <v>3</v>
      </c>
      <c r="HL50" s="1184"/>
      <c r="HN50" s="1184"/>
      <c r="HO50" s="1193" t="str">
        <f>Tiere!B76</f>
        <v>+++Geflügel+++</v>
      </c>
      <c r="HP50" s="1184">
        <v>47</v>
      </c>
      <c r="HQ50" s="1194">
        <f>SUMIF('Nährstoffe und Lagerraum'!$BM$68:$BM$87,'Lagerhaltung (freiwillig)'!HP50,'Nährstoffe und Lagerraum'!$Z$68:$Z$87)+SUMIF('Nährstoffe und Lagerraum'!$BM$68:$BM$87,'Lagerhaltung (freiwillig)'!HP50,'Nährstoffe und Lagerraum'!$AA$68:$AA$87)</f>
        <v>0</v>
      </c>
      <c r="HR50" s="1184" cm="1">
        <f t="array" ref="HR50">INDEX(Tiere!$C$30:$C$114,'Lagerhaltung (freiwillig)'!HP50)</f>
        <v>0</v>
      </c>
      <c r="HS50" s="1184" cm="1">
        <f t="array" ref="HS50">INDEX(Tiere!$H$30:$H$114,'Lagerhaltung (freiwillig)'!HP50)</f>
        <v>0</v>
      </c>
      <c r="HT50" s="1184">
        <f t="shared" si="12"/>
        <v>0</v>
      </c>
      <c r="HU50" s="1184" cm="1">
        <f t="array" ref="HU50">INDEX(Tiere!$I$30:$I$114,'Lagerhaltung (freiwillig)'!HP50)</f>
        <v>0</v>
      </c>
      <c r="HV50" s="1184">
        <f t="shared" si="13"/>
        <v>0</v>
      </c>
      <c r="HW50" s="1184" cm="1">
        <f t="array" ref="HW50">INDEX(Tiere!$BC$30:$BC$114,'Lagerhaltung (freiwillig)'!HP50)</f>
        <v>0</v>
      </c>
      <c r="HX50" s="1184">
        <f t="shared" si="14"/>
        <v>0</v>
      </c>
      <c r="HY50" s="1184" cm="1">
        <f t="array" ref="HY50">INDEX(Tiere!$BD$30:$BD$114,'Lagerhaltung (freiwillig)'!HP50)</f>
        <v>0</v>
      </c>
      <c r="HZ50" s="1184">
        <f t="shared" si="15"/>
        <v>0</v>
      </c>
      <c r="IA50" s="1184"/>
      <c r="IB50" s="1184"/>
      <c r="IC50" s="1184"/>
      <c r="ID50" s="1184"/>
      <c r="IE50" s="1184"/>
      <c r="IF50" s="1184"/>
      <c r="IG50" s="1184"/>
      <c r="IH50" s="1184"/>
      <c r="II50" s="1184"/>
      <c r="IJ50" s="1184"/>
      <c r="IK50" s="1184"/>
      <c r="IL50" s="1184"/>
    </row>
    <row r="51" spans="6:246" ht="15.6" customHeight="1" x14ac:dyDescent="0.2">
      <c r="F51" s="1122"/>
      <c r="G51" s="1498"/>
      <c r="H51" s="1336"/>
      <c r="I51" s="1162" t="str">
        <f t="shared" si="133"/>
        <v/>
      </c>
      <c r="J51" s="1303"/>
      <c r="K51" s="1162" t="str">
        <f t="shared" si="134"/>
        <v/>
      </c>
      <c r="L51" s="1487"/>
      <c r="M51" s="1491"/>
      <c r="N51" s="1487"/>
      <c r="O51" s="1487"/>
      <c r="P51" s="1303"/>
      <c r="Q51" s="1162" t="str">
        <f t="shared" si="135"/>
        <v/>
      </c>
      <c r="R51" s="1487"/>
      <c r="S51" s="1491"/>
      <c r="T51" s="1303"/>
      <c r="V51" s="1346" t="str">
        <f t="shared" si="156"/>
        <v/>
      </c>
      <c r="Y51" s="1554" t="str" cm="1">
        <f t="array" ref="Y51">IFERROR(INDEX($CY$4:$CY$165,AY51),"")</f>
        <v/>
      </c>
      <c r="Z51" s="1555"/>
      <c r="AA51" s="1555"/>
      <c r="AB51" s="1555"/>
      <c r="AC51" s="1454" t="str" cm="1">
        <f t="array" ref="AC51">IFERROR(INDEX($GN$4:$GN$165,AY51),"")</f>
        <v/>
      </c>
      <c r="AD51" s="1454" t="str" cm="1">
        <f t="array" ref="AD51">IFERROR(INDEX($GO$4:$GO$165,AY51),"")</f>
        <v/>
      </c>
      <c r="AE51" s="1454" t="str" cm="1">
        <f t="array" ref="AE51">IFERROR(INDEX($GJ$4:$GJ$165,AY51),"")</f>
        <v/>
      </c>
      <c r="AF51" s="1454" t="str" cm="1">
        <f t="array" ref="AF51">IFERROR(INDEX($GK$4:$GK$165,AY51),"")</f>
        <v/>
      </c>
      <c r="AG51" s="1454" t="str" cm="1">
        <f t="array" ref="AG51">IFERROR(INDEX($GQ$4:$GQ$165,AY51),"")</f>
        <v/>
      </c>
      <c r="AH51" s="1454" t="str" cm="1">
        <f t="array" ref="AH51">IFERROR(INDEX($GR$4:$GR$165,AY51),"")</f>
        <v/>
      </c>
      <c r="AI51" s="1454" t="str" cm="1">
        <f t="array" ref="AI51">IFERROR(INDEX($GH$4:$GH$165,AY51),"")</f>
        <v/>
      </c>
      <c r="AJ51" s="1454" t="str" cm="1">
        <f t="array" ref="AJ51">IFERROR(INDEX($GI$4:$GI$165,AY51),"")</f>
        <v/>
      </c>
      <c r="AK51" s="1454" t="str" cm="1">
        <f t="array" ref="AK51">IFERROR(INDEX($GU$4:$GU$165,AY51),"")</f>
        <v/>
      </c>
      <c r="AL51" s="1455" t="str" cm="1">
        <f t="array" ref="AL51">IFERROR(INDEX($GV$4:$GV$165,AY51),"")</f>
        <v/>
      </c>
      <c r="AM51" s="1454" t="str" cm="1">
        <f t="array" ref="AM51">IFERROR(INDEX($GD$4:$GD$165,AY51),"")</f>
        <v/>
      </c>
      <c r="AN51" s="1454" t="str" cm="1">
        <f t="array" ref="AN51">IFERROR(INDEX($GE$4:$GE$165,AY51),"")</f>
        <v/>
      </c>
      <c r="AO51" s="1454" t="str" cm="1">
        <f t="array" ref="AO51">IFERROR(INDEX($GW$4:$GW$165,AY51),"")</f>
        <v/>
      </c>
      <c r="AP51" s="1454" t="str" cm="1">
        <f t="array" ref="AP51">IFERROR(INDEX($GZ$4:$GZ$165,AY51),"")</f>
        <v/>
      </c>
      <c r="AQ51" s="1457"/>
      <c r="AR51" s="1454" t="str" cm="1">
        <f t="array" ref="AR51">IFERROR(INDEX($HF$4:$HF$165,AY51),"")</f>
        <v/>
      </c>
      <c r="AS51" s="1454" t="str" cm="1">
        <f t="array" ref="AS51">IFERROR(INDEX($HG$4:$HG$165,AY51),"")</f>
        <v/>
      </c>
      <c r="AT51" s="1454" t="str" cm="1">
        <f t="array" ref="AT51">IFERROR(INDEX($HH$4:$HH$165,AY51),"")</f>
        <v/>
      </c>
      <c r="AU51" s="1454" t="str" cm="1">
        <f t="array" ref="AU51">IFERROR(INDEX($GL$4:$GL$165,AY51),"")</f>
        <v/>
      </c>
      <c r="AV51" s="1454" t="str" cm="1">
        <f t="array" ref="AV51">IFERROR(INDEX($GM$4:$GM$165,AY51),"")</f>
        <v/>
      </c>
      <c r="AW51" s="1459"/>
      <c r="AX51" s="1459"/>
      <c r="AY51" s="1460" t="str" cm="1">
        <f t="array" ref="AY51">IFERROR(SMALL(IF($HK$4:$HK$165=1,ROW($HK$4:$HK$165)-3),ROW(W36)),IFERROR(SMALL(IF($HK$4:$HK$165=2,ROW($HK$4:$HK$165)-3),ROW(W36)-COUNTIF($HK$4:$HK$165,1)),IFERROR(SMALL(IF($HK$4:$HK$165=0,ROW($HK$4:$HK$165)-3),ROW(W36)-COUNTIF($HK$4:$HK$165,1)-COUNTIF($HK$4:$HK$165,2)),"")))</f>
        <v/>
      </c>
      <c r="AZ51" s="1460" t="str">
        <f t="shared" si="129"/>
        <v>a</v>
      </c>
      <c r="BA51" s="1461" t="e">
        <f t="shared" si="130"/>
        <v>#VALUE!</v>
      </c>
      <c r="BB51" s="1461" cm="1">
        <f t="array" ref="BB51">IFERROR(INDEX($HK$4:$HK$165,AY51),0)</f>
        <v>0</v>
      </c>
      <c r="BC51" s="1461">
        <f t="shared" si="131"/>
        <v>0</v>
      </c>
      <c r="BD51" s="1461"/>
      <c r="BE51" s="1462"/>
      <c r="BF51" s="1343"/>
      <c r="BG51" s="1343"/>
      <c r="BH51" s="1343"/>
      <c r="BI51" s="1343"/>
      <c r="BJ51" s="1343"/>
      <c r="BK51" s="1343"/>
      <c r="BL51" s="1343"/>
      <c r="BM51" s="1343"/>
      <c r="BN51" s="1343"/>
      <c r="BO51" s="1343"/>
      <c r="BQ51" s="1184">
        <v>1</v>
      </c>
      <c r="BR51" cm="1">
        <f t="array" ref="BR51">INDEX(Pflanzen!$B$5:$B$112,'Lagerhaltung (freiwillig)'!BQ51)</f>
        <v>1</v>
      </c>
      <c r="BS51" s="1184"/>
      <c r="BT51" s="1184" t="b">
        <v>0</v>
      </c>
      <c r="BU51" s="1185"/>
      <c r="BV51" s="1185"/>
      <c r="BW51" s="1184">
        <f t="shared" si="136"/>
        <v>12</v>
      </c>
      <c r="BX51" s="1184">
        <f t="shared" si="137"/>
        <v>0</v>
      </c>
      <c r="BY51" s="1184">
        <f t="shared" si="138"/>
        <v>12</v>
      </c>
      <c r="BZ51" s="1184" cm="1">
        <f t="array" ref="BZ51">INDEX(Pflanzen!$AB$5:$AB$114,'Lagerhaltung (freiwillig)'!BR51)</f>
        <v>0</v>
      </c>
      <c r="CA51" s="1184" cm="1">
        <f t="array" ref="CA51">IF(BZ51=1,INDEX(Pflanzen!$AC$5:$AC$114,BR51),N51)</f>
        <v>0</v>
      </c>
      <c r="CB51" s="1184" cm="1">
        <f t="array" ref="CB51">IF(BZ51=1,INDEX(Pflanzen!$AD$5:$AD$114,BR51),O51)</f>
        <v>0</v>
      </c>
      <c r="CC51" s="1184">
        <f t="shared" si="139"/>
        <v>12</v>
      </c>
      <c r="CD51" s="1184">
        <f t="shared" si="140"/>
        <v>0</v>
      </c>
      <c r="CE51" s="1184">
        <f t="shared" si="141"/>
        <v>12</v>
      </c>
      <c r="CF51" s="1184" cm="1">
        <f t="array" ref="CF51">INDEX(Pflanzen!$F$5:$F$114,BR51)</f>
        <v>0</v>
      </c>
      <c r="CG51" s="1184" cm="1">
        <f t="array" ref="CG51">INDEX(Pflanzen!$G$5:$G$114,BR51)</f>
        <v>0</v>
      </c>
      <c r="CH51" s="1184">
        <f t="shared" si="142"/>
        <v>0</v>
      </c>
      <c r="CI51" s="1184">
        <f t="shared" si="143"/>
        <v>0</v>
      </c>
      <c r="CJ51" s="1184">
        <f t="shared" si="144"/>
        <v>0</v>
      </c>
      <c r="CK51" s="1184">
        <f t="shared" si="145"/>
        <v>0</v>
      </c>
      <c r="CL51" s="1184">
        <f t="shared" si="146"/>
        <v>0</v>
      </c>
      <c r="CM51" s="1184">
        <f t="shared" si="147"/>
        <v>0</v>
      </c>
      <c r="CN51" s="1184">
        <f t="shared" si="148"/>
        <v>0</v>
      </c>
      <c r="CO51" s="1184">
        <f t="shared" si="149"/>
        <v>0</v>
      </c>
      <c r="CP51" s="1184">
        <f t="shared" si="150"/>
        <v>0</v>
      </c>
      <c r="CQ51" s="1184">
        <f t="shared" si="151"/>
        <v>0</v>
      </c>
      <c r="CR51" s="1184">
        <f t="shared" si="152"/>
        <v>0</v>
      </c>
      <c r="CS51" s="1184">
        <f t="shared" si="153"/>
        <v>0</v>
      </c>
      <c r="CT51" s="1184">
        <f t="shared" si="154"/>
        <v>0</v>
      </c>
      <c r="CU51" s="1184">
        <f t="shared" si="157"/>
        <v>2</v>
      </c>
      <c r="CV51" s="1186" cm="1">
        <f t="array" ref="CV51">IF(AND(COUNTIF($BR$14:$BR$36,BR51)&gt;0,BR51&lt;ROWS(Pflanzen!$C$5:$C$107)),INDEX(Pflanzen!$I$5:$I$114,BR51),SUMIF($BR$44:$BR$68,BR51,$F$44:$F$69)/COUNTIF($BR$44:$BR$68,BR51))</f>
        <v>0</v>
      </c>
      <c r="CW51" s="1186">
        <f t="shared" si="155"/>
        <v>0</v>
      </c>
      <c r="CX51" s="1184"/>
      <c r="CY51" s="320" t="str">
        <f>Pflanzen!A47</f>
        <v>Luzerne (Reinkultur)</v>
      </c>
      <c r="CZ51" s="1200">
        <f>IFERROR(MATCH($CY51,Pflanzen!$C$5:$C$114,0),1)</f>
        <v>43</v>
      </c>
      <c r="DA51" s="320" cm="1">
        <f t="array" ref="DA51">INDEX(Pflanzen!$H$5:$H$114,'Lagerhaltung (freiwillig)'!CZ51)</f>
        <v>1</v>
      </c>
      <c r="DB51" s="1200">
        <f t="shared" si="158"/>
        <v>0</v>
      </c>
      <c r="DC51" s="1200">
        <f t="shared" si="158"/>
        <v>0</v>
      </c>
      <c r="DD51" s="1200">
        <f t="shared" si="158"/>
        <v>0</v>
      </c>
      <c r="DE51" s="1200">
        <f t="shared" si="158"/>
        <v>0</v>
      </c>
      <c r="DF51" s="1200">
        <f t="shared" si="158"/>
        <v>0</v>
      </c>
      <c r="DG51" s="1184">
        <f t="shared" si="158"/>
        <v>0</v>
      </c>
      <c r="DH51" s="1184">
        <f t="shared" si="158"/>
        <v>0</v>
      </c>
      <c r="DI51" s="1184">
        <f t="shared" si="158"/>
        <v>0</v>
      </c>
      <c r="DJ51" s="1184">
        <f t="shared" si="158"/>
        <v>0</v>
      </c>
      <c r="DK51" s="1184">
        <f t="shared" si="158"/>
        <v>0</v>
      </c>
      <c r="DL51" s="1184">
        <f t="shared" si="158"/>
        <v>0</v>
      </c>
      <c r="DM51" s="1184">
        <f t="shared" si="158"/>
        <v>0</v>
      </c>
      <c r="DN51" s="1184"/>
      <c r="DO51" s="1184">
        <f t="shared" si="159"/>
        <v>0</v>
      </c>
      <c r="DP51" s="1184">
        <f t="shared" si="159"/>
        <v>0</v>
      </c>
      <c r="DQ51" s="1184">
        <f t="shared" si="159"/>
        <v>0</v>
      </c>
      <c r="DR51" s="1184">
        <f t="shared" si="159"/>
        <v>0</v>
      </c>
      <c r="DS51" s="1184">
        <f t="shared" si="159"/>
        <v>0</v>
      </c>
      <c r="DT51" s="1184">
        <f t="shared" si="159"/>
        <v>0</v>
      </c>
      <c r="DU51" s="1184">
        <f t="shared" si="159"/>
        <v>0</v>
      </c>
      <c r="DV51" s="1184">
        <f t="shared" si="159"/>
        <v>0</v>
      </c>
      <c r="DW51" s="1184">
        <f t="shared" si="159"/>
        <v>0</v>
      </c>
      <c r="DX51" s="1184">
        <f t="shared" si="159"/>
        <v>0</v>
      </c>
      <c r="DY51" s="1184">
        <f t="shared" si="159"/>
        <v>0</v>
      </c>
      <c r="DZ51" s="1184">
        <f t="shared" si="159"/>
        <v>0</v>
      </c>
      <c r="EA51" s="1184"/>
      <c r="EB51" s="1184">
        <f t="shared" si="160"/>
        <v>0</v>
      </c>
      <c r="EC51" s="1184">
        <f t="shared" si="160"/>
        <v>0</v>
      </c>
      <c r="ED51" s="1184">
        <f t="shared" si="160"/>
        <v>0</v>
      </c>
      <c r="EE51" s="1184">
        <f t="shared" si="160"/>
        <v>0</v>
      </c>
      <c r="EF51" s="1184">
        <f t="shared" si="160"/>
        <v>0</v>
      </c>
      <c r="EG51" s="1184">
        <f t="shared" si="160"/>
        <v>0</v>
      </c>
      <c r="EH51" s="1184">
        <f t="shared" si="160"/>
        <v>0</v>
      </c>
      <c r="EI51" s="1184">
        <f t="shared" si="160"/>
        <v>0</v>
      </c>
      <c r="EJ51" s="1184">
        <f t="shared" si="160"/>
        <v>0</v>
      </c>
      <c r="EK51" s="1184">
        <f t="shared" si="160"/>
        <v>0</v>
      </c>
      <c r="EL51" s="1184">
        <f t="shared" si="160"/>
        <v>0</v>
      </c>
      <c r="EM51" s="1184">
        <f t="shared" si="160"/>
        <v>0</v>
      </c>
      <c r="EN51" s="1184"/>
      <c r="EO51" s="1184">
        <f t="shared" si="161"/>
        <v>0</v>
      </c>
      <c r="EP51" s="1184">
        <f t="shared" si="161"/>
        <v>0</v>
      </c>
      <c r="EQ51" s="1184">
        <f t="shared" si="161"/>
        <v>0</v>
      </c>
      <c r="ER51" s="1184">
        <f t="shared" si="161"/>
        <v>0</v>
      </c>
      <c r="ES51" s="1184">
        <f t="shared" si="161"/>
        <v>0</v>
      </c>
      <c r="ET51" s="1184">
        <f t="shared" si="161"/>
        <v>0</v>
      </c>
      <c r="EU51" s="1184">
        <f t="shared" si="161"/>
        <v>0</v>
      </c>
      <c r="EV51" s="1184">
        <f t="shared" si="161"/>
        <v>0</v>
      </c>
      <c r="EW51" s="1184">
        <f t="shared" si="161"/>
        <v>0</v>
      </c>
      <c r="EX51" s="1184">
        <f t="shared" si="161"/>
        <v>0</v>
      </c>
      <c r="EY51" s="1184">
        <f t="shared" si="161"/>
        <v>0</v>
      </c>
      <c r="EZ51" s="1184">
        <f t="shared" si="161"/>
        <v>0</v>
      </c>
      <c r="FA51" s="1184"/>
      <c r="FB51" s="1186">
        <f t="shared" si="51"/>
        <v>0</v>
      </c>
      <c r="FC51" s="1184">
        <f>FB51+DB51+EB51                 -         SUMIF('Nährstoffe und Lagerraum'!$AX$113:$AX$155,$CZ51,'Nährstoffe und Lagerraum'!$U$113:$U$155)/12  -$GD51*$HE51/12</f>
        <v>0</v>
      </c>
      <c r="FD51" s="1184">
        <f>FC51+DC51+EC51                 -         SUMIF('Nährstoffe und Lagerraum'!$AX$113:$AX$155,$CZ51,'Nährstoffe und Lagerraum'!$U$113:$U$155)/12  -$GD51*$HE51/12</f>
        <v>0</v>
      </c>
      <c r="FE51" s="1184">
        <f>FD51+DD51+ED51                 -         SUMIF('Nährstoffe und Lagerraum'!$AX$113:$AX$155,$CZ51,'Nährstoffe und Lagerraum'!$U$113:$U$155)/12  -$GD51*$HE51/12</f>
        <v>0</v>
      </c>
      <c r="FF51" s="1184">
        <f>FE51+DE51+EE51                 -         SUMIF('Nährstoffe und Lagerraum'!$AX$113:$AX$155,$CZ51,'Nährstoffe und Lagerraum'!$U$113:$U$155)/12  -$GD51*$HE51/12</f>
        <v>0</v>
      </c>
      <c r="FG51" s="1184">
        <f>FF51+DF51+EF51                 -         SUMIF('Nährstoffe und Lagerraum'!$AX$113:$AX$155,$CZ51,'Nährstoffe und Lagerraum'!$U$113:$U$155)/12  -$GD51*$HE51/12</f>
        <v>0</v>
      </c>
      <c r="FH51" s="1184">
        <f>FG51+DG51+EG51                 -         SUMIF('Nährstoffe und Lagerraum'!$AX$113:$AX$155,$CZ51,'Nährstoffe und Lagerraum'!$U$113:$U$155)/12  -$GD51*$HE51/12</f>
        <v>0</v>
      </c>
      <c r="FI51" s="1184">
        <f>FH51+DH51+EH51                 -         SUMIF('Nährstoffe und Lagerraum'!$AX$113:$AX$155,$CZ51,'Nährstoffe und Lagerraum'!$U$113:$U$155)/12  -$GD51*$HE51/12</f>
        <v>0</v>
      </c>
      <c r="FJ51" s="1184">
        <f>FI51+DI51+EI51                 -         SUMIF('Nährstoffe und Lagerraum'!$AX$113:$AX$155,$CZ51,'Nährstoffe und Lagerraum'!$U$113:$U$155)/12  -$GD51*$HE51/12</f>
        <v>0</v>
      </c>
      <c r="FK51" s="1184">
        <f>FJ51+DJ51+EJ51                 -         SUMIF('Nährstoffe und Lagerraum'!$AX$113:$AX$155,$CZ51,'Nährstoffe und Lagerraum'!$U$113:$U$155)/12  -$GD51*$HE51/12</f>
        <v>0</v>
      </c>
      <c r="FL51" s="1184">
        <f>FK51+DK51+EK51                 -         SUMIF('Nährstoffe und Lagerraum'!$AX$113:$AX$155,$CZ51,'Nährstoffe und Lagerraum'!$U$113:$U$155)/12  -$GD51*$HE51/12</f>
        <v>0</v>
      </c>
      <c r="FM51" s="1184">
        <f>FL51+DL51+EL51                 -         SUMIF('Nährstoffe und Lagerraum'!$AX$113:$AX$155,$CZ51,'Nährstoffe und Lagerraum'!$U$113:$U$155)/12  -$GD51*$HE51/12</f>
        <v>0</v>
      </c>
      <c r="FN51" s="1184">
        <f>FM51+DM51+EM51                 -         SUMIF('Nährstoffe und Lagerraum'!$AX$113:$AX$155,$CZ51,'Nährstoffe und Lagerraum'!$U$113:$U$155)/12  -$GD51*$HE51/12</f>
        <v>0</v>
      </c>
      <c r="FO51" s="1184"/>
      <c r="FP51" s="1186">
        <f t="shared" si="52"/>
        <v>0</v>
      </c>
      <c r="FQ51" s="1184">
        <f>FP51+DO51+EO51                 -         SUMIF('Nährstoffe und Lagerraum'!$AX$113:$AX$155,$CZ51,'Nährstoffe und Lagerraum'!$V$113:$V$155)/12  -$GE51*$HE51/12</f>
        <v>0</v>
      </c>
      <c r="FR51" s="1184">
        <f>FQ51+DP51+EP51                 -         SUMIF('Nährstoffe und Lagerraum'!$AX$113:$AX$155,$CZ51,'Nährstoffe und Lagerraum'!$V$113:$V$155)/12  -$GE51*$HE51/12</f>
        <v>0</v>
      </c>
      <c r="FS51" s="1184">
        <f>FR51+DQ51+EQ51                 -         SUMIF('Nährstoffe und Lagerraum'!$AX$113:$AX$155,$CZ51,'Nährstoffe und Lagerraum'!$V$113:$V$155)/12  -$GE51*$HE51/12</f>
        <v>0</v>
      </c>
      <c r="FT51" s="1184">
        <f>FS51+DR51+ER51                 -         SUMIF('Nährstoffe und Lagerraum'!$AX$113:$AX$155,$CZ51,'Nährstoffe und Lagerraum'!$V$113:$V$155)/12  -$GE51*$HE51/12</f>
        <v>0</v>
      </c>
      <c r="FU51" s="1184">
        <f>FT51+DS51+ES51                 -         SUMIF('Nährstoffe und Lagerraum'!$AX$113:$AX$155,$CZ51,'Nährstoffe und Lagerraum'!$V$113:$V$155)/12  -$GE51*$HE51/12</f>
        <v>0</v>
      </c>
      <c r="FV51" s="1184">
        <f>FU51+DT51+ET51                 -         SUMIF('Nährstoffe und Lagerraum'!$AX$113:$AX$155,$CZ51,'Nährstoffe und Lagerraum'!$V$113:$V$155)/12  -$GE51*$HE51/12</f>
        <v>0</v>
      </c>
      <c r="FW51" s="1184">
        <f>FV51+DU51+EU51                 -         SUMIF('Nährstoffe und Lagerraum'!$AX$113:$AX$155,$CZ51,'Nährstoffe und Lagerraum'!$V$113:$V$155)/12  -$GE51*$HE51/12</f>
        <v>0</v>
      </c>
      <c r="FX51" s="1184">
        <f>FW51+DV51+EV51                 -         SUMIF('Nährstoffe und Lagerraum'!$AX$113:$AX$155,$CZ51,'Nährstoffe und Lagerraum'!$V$113:$V$155)/12  -$GE51*$HE51/12</f>
        <v>0</v>
      </c>
      <c r="FY51" s="1184">
        <f>FX51+DW51+EW51                 -         SUMIF('Nährstoffe und Lagerraum'!$AX$113:$AX$155,$CZ51,'Nährstoffe und Lagerraum'!$V$113:$V$155)/12  -$GE51*$HE51/12</f>
        <v>0</v>
      </c>
      <c r="FZ51" s="1184">
        <f>FY51+DX51+EX51                 -         SUMIF('Nährstoffe und Lagerraum'!$AX$113:$AX$155,$CZ51,'Nährstoffe und Lagerraum'!$V$113:$V$155)/12  -$GE51*$HE51/12</f>
        <v>0</v>
      </c>
      <c r="GA51" s="1184">
        <f>FZ51+DY51+EY51                 -         SUMIF('Nährstoffe und Lagerraum'!$AX$113:$AX$155,$CZ51,'Nährstoffe und Lagerraum'!$V$113:$V$155)/12  -$GE51*$HE51/12</f>
        <v>0</v>
      </c>
      <c r="GB51" s="1184">
        <f>GA51+DZ51+EZ51                 -         SUMIF('Nährstoffe und Lagerraum'!$AX$113:$AX$155,$CZ51,'Nährstoffe und Lagerraum'!$V$113:$V$155)/12  -$GE51*$HE51/12</f>
        <v>0</v>
      </c>
      <c r="GC51" s="1184"/>
      <c r="GD51" s="1184">
        <f>SUMIFS($CI$14:$CI$68,$BR$14:$BR$68,$CZ51)+SUMIFS($CM$14:$CM$68,$BR$14:$BR$68,$CZ51)+SUMIFS($CR$14:$CR$68,$BR$14:$BR$68,$CZ51)  -         SUMIF('Nährstoffe und Lagerraum'!$AX$113:$AX$155,$CZ51,'Nährstoffe und Lagerraum'!$U$113:$U$155)</f>
        <v>0</v>
      </c>
      <c r="GE51" s="1184">
        <f>SUMIFS($CJ$14:$CJ$68,$BR$14:$BR$68,$CZ51)+SUMIFS($CO$14:$CO$68,$BR$14:$BR$68,$CZ51)+SUMIFS($CT$14:$CT$68,$BR$14:$BR$68,$CZ51)  -         SUMIF('Nährstoffe und Lagerraum'!$AX$113:$AX$155,$CZ51,'Nährstoffe und Lagerraum'!$V$113:$V$155)</f>
        <v>0</v>
      </c>
      <c r="GF51" s="1184"/>
      <c r="GG51" s="1184"/>
      <c r="GH51" s="1184">
        <f>SUMIF('Nährstoffe und Lagerraum'!$AX$113:$AX$155,$CZ51,'Nährstoffe und Lagerraum'!$U$113:$U$155)</f>
        <v>0</v>
      </c>
      <c r="GI51" s="1184">
        <f>SUMIF('Nährstoffe und Lagerraum'!$AX$113:$AX$155,$CZ51,'Nährstoffe und Lagerraum'!$V$113:$V$155)</f>
        <v>0</v>
      </c>
      <c r="GJ51" s="1184">
        <f t="shared" si="53"/>
        <v>0</v>
      </c>
      <c r="GK51" s="1184">
        <f t="shared" si="54"/>
        <v>0</v>
      </c>
      <c r="GL51" s="1184">
        <f t="shared" si="55"/>
        <v>0</v>
      </c>
      <c r="GM51" s="1184">
        <f t="shared" si="56"/>
        <v>0</v>
      </c>
      <c r="GN51" s="1184">
        <f t="shared" si="57"/>
        <v>0</v>
      </c>
      <c r="GO51" s="1184" cm="1">
        <f t="array" ref="GO51">IF(GN51=0,0,(IFERROR(SUMPRODUCT($J$14:$J$68,$CH$14:$CH$68,($BR$14:$BR$68=CZ51)*1)+SUMPRODUCT($L$14:$L$68,$M$14:$M$68,$CK$14:$CK$68,($BR$14:$BR$68=CZ51)*1,($BT$14:$BT$68=FALSE)*1)/10+SUMPRODUCT($R$14:$R$68,$CP$14:$CP$68,($BR$14:$BR$68=CZ51)*1),0))/GN51)</f>
        <v>0</v>
      </c>
      <c r="GP51" s="1184">
        <f t="shared" si="58"/>
        <v>0</v>
      </c>
      <c r="GQ51" s="1184">
        <f>(SUMIF('Nährstoffe und Lagerraum'!$AX$113:$AX$130,'Lagerhaltung (freiwillig)'!CZ51,'Nährstoffe und Lagerraum'!$D$113:$D$130)+SUMIF('Nährstoffe und Lagerraum'!$AX$137:$AX$155,'Lagerhaltung (freiwillig)'!CZ51,'Nährstoffe und Lagerraum'!$E$137:$E$155))</f>
        <v>0</v>
      </c>
      <c r="GR51" s="1184" cm="1">
        <f t="array" ref="GR51">IF(GQ51=0,0,(IFERROR(SUMPRODUCT('Nährstoffe und Lagerraum'!$D$113:$D$130,'Nährstoffe und Lagerraum'!$F$113:$F$130,('Nährstoffe und Lagerraum'!$AX$113:$AX$130='Lagerhaltung (freiwillig)'!CZ51)*1)+SUMPRODUCT('Nährstoffe und Lagerraum'!$E$137:$E$155,'Nährstoffe und Lagerraum'!$F$137:$F$155,('Nährstoffe und Lagerraum'!$AX$137:$AX$155='Lagerhaltung (freiwillig)'!CZ51)*1),0))/GQ51)</f>
        <v>0</v>
      </c>
      <c r="GS51" s="1184">
        <f t="shared" si="59"/>
        <v>0</v>
      </c>
      <c r="GT51" s="1184">
        <f t="shared" si="60"/>
        <v>0</v>
      </c>
      <c r="GU51" s="1184">
        <f t="shared" si="61"/>
        <v>0</v>
      </c>
      <c r="GV51" s="1184">
        <f t="shared" si="62"/>
        <v>0</v>
      </c>
      <c r="GW51" s="1186" t="str">
        <f t="shared" si="41"/>
        <v xml:space="preserve"> </v>
      </c>
      <c r="GX51" s="1186" t="str">
        <f t="shared" si="41"/>
        <v xml:space="preserve"> </v>
      </c>
      <c r="GY51" s="1195">
        <f t="shared" si="63"/>
        <v>0</v>
      </c>
      <c r="GZ51" s="1184">
        <f t="shared" si="64"/>
        <v>0</v>
      </c>
      <c r="HA51" s="1184" t="str">
        <f t="shared" si="132"/>
        <v>a</v>
      </c>
      <c r="HB51" s="1196">
        <f t="shared" si="65"/>
        <v>0</v>
      </c>
      <c r="HC51" s="1196">
        <f t="shared" si="66"/>
        <v>0</v>
      </c>
      <c r="HD51" s="1196"/>
      <c r="HE51" s="1187">
        <f t="shared" si="67"/>
        <v>0</v>
      </c>
      <c r="HF51" s="1196">
        <f t="shared" si="68"/>
        <v>0</v>
      </c>
      <c r="HG51" s="1196">
        <f t="shared" si="69"/>
        <v>0</v>
      </c>
      <c r="HH51" s="1196">
        <f t="shared" si="70"/>
        <v>0</v>
      </c>
      <c r="HI51" s="1328" cm="1">
        <f t="array" ref="HI51">IF(AND(HG51=0,GL51=0),0,IF(HG51=0,1,IF(OR(GL51*1000/HG51/HH51&gt;INDEX(Pflanzen!$W$5:$W$104,CZ51)/INDEX(Pflanzen!$I$5:$I$104,CZ51)*$HI$1,GL51*1000/HG51/HH51&lt;INDEX(Pflanzen!$W$5:$W$104,CZ51)/INDEX(Pflanzen!$I$5:$I$104,CZ51)/$HI$1),1,0)))</f>
        <v>0</v>
      </c>
      <c r="HJ51" s="1328" cm="1">
        <f t="array" ref="HJ51">IF(AND(GM51=0,HG51=0),0,IF(HG51=0,1,IF(OR(GM51*1000/HG51/HH51&gt;INDEX(Pflanzen!$X$5:$X$104,CZ51)/INDEX(Pflanzen!$I$5:$I$104,CZ51)*$HI$1,GM51*1000/HG51/HH51&lt;INDEX(Pflanzen!$X$5:$X$104,CZ51)/INDEX(Pflanzen!$I$5:$I$104,CZ51)/$HI$1),1,0)))</f>
        <v>0</v>
      </c>
      <c r="HK51" s="1184">
        <f t="shared" si="71"/>
        <v>3</v>
      </c>
      <c r="HL51" s="1184"/>
      <c r="HN51" s="1184"/>
      <c r="HO51" s="1193" t="str">
        <f>Tiere!B77</f>
        <v>Legehennen über 16 Wochen, Standard</v>
      </c>
      <c r="HP51" s="1184">
        <v>48</v>
      </c>
      <c r="HQ51" s="1194">
        <f>SUMIF('Nährstoffe und Lagerraum'!$BM$68:$BM$87,'Lagerhaltung (freiwillig)'!HP51,'Nährstoffe und Lagerraum'!$Z$68:$Z$87)+SUMIF('Nährstoffe und Lagerraum'!$BM$68:$BM$87,'Lagerhaltung (freiwillig)'!HP51,'Nährstoffe und Lagerraum'!$AA$68:$AA$87)</f>
        <v>0</v>
      </c>
      <c r="HR51" s="1184" cm="1">
        <f t="array" ref="HR51">INDEX(Tiere!$C$30:$C$114,'Lagerhaltung (freiwillig)'!HP51)</f>
        <v>3</v>
      </c>
      <c r="HS51" s="1184" cm="1">
        <f t="array" ref="HS51">INDEX(Tiere!$H$30:$H$114,'Lagerhaltung (freiwillig)'!HP51)</f>
        <v>0</v>
      </c>
      <c r="HT51" s="1184">
        <f t="shared" si="12"/>
        <v>0</v>
      </c>
      <c r="HU51" s="1184" cm="1">
        <f t="array" ref="HU51">INDEX(Tiere!$I$30:$I$114,'Lagerhaltung (freiwillig)'!HP51)</f>
        <v>0</v>
      </c>
      <c r="HV51" s="1184">
        <f t="shared" si="13"/>
        <v>0</v>
      </c>
      <c r="HW51" s="1184" cm="1">
        <f t="array" ref="HW51">INDEX(Tiere!$BC$30:$BC$114,'Lagerhaltung (freiwillig)'!HP51)</f>
        <v>0</v>
      </c>
      <c r="HX51" s="1184">
        <f t="shared" si="14"/>
        <v>0</v>
      </c>
      <c r="HY51" s="1184" cm="1">
        <f t="array" ref="HY51">INDEX(Tiere!$BD$30:$BD$114,'Lagerhaltung (freiwillig)'!HP51)</f>
        <v>0</v>
      </c>
      <c r="HZ51" s="1184">
        <f t="shared" si="15"/>
        <v>0</v>
      </c>
      <c r="IA51" s="1184"/>
      <c r="IB51" s="1184"/>
      <c r="IC51" s="1184"/>
      <c r="ID51" s="1184"/>
      <c r="IE51" s="1184"/>
      <c r="IF51" s="1184"/>
      <c r="IG51" s="1184"/>
      <c r="IH51" s="1184"/>
      <c r="II51" s="1184"/>
      <c r="IJ51" s="1184"/>
      <c r="IK51" s="1184"/>
      <c r="IL51" s="1184"/>
    </row>
    <row r="52" spans="6:246" ht="15.6" customHeight="1" x14ac:dyDescent="0.2">
      <c r="F52" s="1122"/>
      <c r="G52" s="1498"/>
      <c r="H52" s="1336"/>
      <c r="I52" s="1162" t="str">
        <f t="shared" si="133"/>
        <v/>
      </c>
      <c r="J52" s="1303"/>
      <c r="K52" s="1162" t="str">
        <f t="shared" si="134"/>
        <v/>
      </c>
      <c r="L52" s="1487"/>
      <c r="M52" s="1491"/>
      <c r="N52" s="1487"/>
      <c r="O52" s="1487"/>
      <c r="P52" s="1303"/>
      <c r="Q52" s="1162" t="str">
        <f t="shared" si="135"/>
        <v/>
      </c>
      <c r="R52" s="1487"/>
      <c r="S52" s="1491"/>
      <c r="T52" s="1303"/>
      <c r="V52" s="1346" t="str">
        <f t="shared" si="156"/>
        <v/>
      </c>
      <c r="Y52" s="1554" t="str" cm="1">
        <f t="array" ref="Y52">IFERROR(INDEX($CY$4:$CY$165,AY52),"")</f>
        <v/>
      </c>
      <c r="Z52" s="1555"/>
      <c r="AA52" s="1555"/>
      <c r="AB52" s="1555"/>
      <c r="AC52" s="1454" t="str" cm="1">
        <f t="array" ref="AC52">IFERROR(INDEX($GN$4:$GN$165,AY52),"")</f>
        <v/>
      </c>
      <c r="AD52" s="1454" t="str" cm="1">
        <f t="array" ref="AD52">IFERROR(INDEX($GO$4:$GO$165,AY52),"")</f>
        <v/>
      </c>
      <c r="AE52" s="1454" t="str" cm="1">
        <f t="array" ref="AE52">IFERROR(INDEX($GJ$4:$GJ$165,AY52),"")</f>
        <v/>
      </c>
      <c r="AF52" s="1454" t="str" cm="1">
        <f t="array" ref="AF52">IFERROR(INDEX($GK$4:$GK$165,AY52),"")</f>
        <v/>
      </c>
      <c r="AG52" s="1454" t="str" cm="1">
        <f t="array" ref="AG52">IFERROR(INDEX($GQ$4:$GQ$165,AY52),"")</f>
        <v/>
      </c>
      <c r="AH52" s="1454" t="str" cm="1">
        <f t="array" ref="AH52">IFERROR(INDEX($GR$4:$GR$165,AY52),"")</f>
        <v/>
      </c>
      <c r="AI52" s="1454" t="str" cm="1">
        <f t="array" ref="AI52">IFERROR(INDEX($GH$4:$GH$165,AY52),"")</f>
        <v/>
      </c>
      <c r="AJ52" s="1454" t="str" cm="1">
        <f t="array" ref="AJ52">IFERROR(INDEX($GI$4:$GI$165,AY52),"")</f>
        <v/>
      </c>
      <c r="AK52" s="1454" t="str" cm="1">
        <f t="array" ref="AK52">IFERROR(INDEX($GU$4:$GU$165,AY52),"")</f>
        <v/>
      </c>
      <c r="AL52" s="1455" t="str" cm="1">
        <f t="array" ref="AL52">IFERROR(INDEX($GV$4:$GV$165,AY52),"")</f>
        <v/>
      </c>
      <c r="AM52" s="1454" t="str" cm="1">
        <f t="array" ref="AM52">IFERROR(INDEX($GD$4:$GD$165,AY52),"")</f>
        <v/>
      </c>
      <c r="AN52" s="1454" t="str" cm="1">
        <f t="array" ref="AN52">IFERROR(INDEX($GE$4:$GE$165,AY52),"")</f>
        <v/>
      </c>
      <c r="AO52" s="1454" t="str" cm="1">
        <f t="array" ref="AO52">IFERROR(INDEX($GW$4:$GW$165,AY52),"")</f>
        <v/>
      </c>
      <c r="AP52" s="1454" t="str" cm="1">
        <f t="array" ref="AP52">IFERROR(INDEX($GZ$4:$GZ$165,AY52),"")</f>
        <v/>
      </c>
      <c r="AQ52" s="1457"/>
      <c r="AR52" s="1454" t="str" cm="1">
        <f t="array" ref="AR52">IFERROR(INDEX($HF$4:$HF$165,AY52),"")</f>
        <v/>
      </c>
      <c r="AS52" s="1454" t="str" cm="1">
        <f t="array" ref="AS52">IFERROR(INDEX($HG$4:$HG$165,AY52),"")</f>
        <v/>
      </c>
      <c r="AT52" s="1454" t="str" cm="1">
        <f t="array" ref="AT52">IFERROR(INDEX($HH$4:$HH$165,AY52),"")</f>
        <v/>
      </c>
      <c r="AU52" s="1454" t="str" cm="1">
        <f t="array" ref="AU52">IFERROR(INDEX($GL$4:$GL$165,AY52),"")</f>
        <v/>
      </c>
      <c r="AV52" s="1454" t="str" cm="1">
        <f t="array" ref="AV52">IFERROR(INDEX($GM$4:$GM$165,AY52),"")</f>
        <v/>
      </c>
      <c r="AW52" s="1459"/>
      <c r="AX52" s="1459"/>
      <c r="AY52" s="1460" t="str" cm="1">
        <f t="array" ref="AY52">IFERROR(SMALL(IF($HK$4:$HK$165=1,ROW($HK$4:$HK$165)-3),ROW(W37)),IFERROR(SMALL(IF($HK$4:$HK$165=2,ROW($HK$4:$HK$165)-3),ROW(W37)-COUNTIF($HK$4:$HK$165,1)),IFERROR(SMALL(IF($HK$4:$HK$165=0,ROW($HK$4:$HK$165)-3),ROW(W37)-COUNTIF($HK$4:$HK$165,1)-COUNTIF($HK$4:$HK$165,2)),"")))</f>
        <v/>
      </c>
      <c r="AZ52" s="1460" t="str">
        <f t="shared" si="129"/>
        <v>a</v>
      </c>
      <c r="BA52" s="1461" t="e">
        <f t="shared" si="130"/>
        <v>#VALUE!</v>
      </c>
      <c r="BB52" s="1461" cm="1">
        <f t="array" ref="BB52">IFERROR(INDEX($HK$4:$HK$165,AY52),0)</f>
        <v>0</v>
      </c>
      <c r="BC52" s="1461">
        <f t="shared" si="131"/>
        <v>0</v>
      </c>
      <c r="BD52" s="1461"/>
      <c r="BE52" s="1462"/>
      <c r="BF52" s="1343"/>
      <c r="BG52" s="1343"/>
      <c r="BH52" s="1343"/>
      <c r="BI52" s="1343"/>
      <c r="BJ52" s="1343"/>
      <c r="BK52" s="1343"/>
      <c r="BL52" s="1343"/>
      <c r="BM52" s="1343"/>
      <c r="BN52" s="1343"/>
      <c r="BO52" s="1343"/>
      <c r="BQ52" s="1184">
        <v>1</v>
      </c>
      <c r="BR52" cm="1">
        <f t="array" ref="BR52">INDEX(Pflanzen!$B$5:$B$112,'Lagerhaltung (freiwillig)'!BQ52)</f>
        <v>1</v>
      </c>
      <c r="BS52" s="1184"/>
      <c r="BT52" s="1184" t="b">
        <v>0</v>
      </c>
      <c r="BU52" s="1185"/>
      <c r="BV52" s="1185"/>
      <c r="BW52" s="1184">
        <f t="shared" si="136"/>
        <v>12</v>
      </c>
      <c r="BX52" s="1184">
        <f t="shared" si="137"/>
        <v>0</v>
      </c>
      <c r="BY52" s="1184">
        <f t="shared" si="138"/>
        <v>12</v>
      </c>
      <c r="BZ52" s="1184" cm="1">
        <f t="array" ref="BZ52">INDEX(Pflanzen!$AB$5:$AB$114,'Lagerhaltung (freiwillig)'!BR52)</f>
        <v>0</v>
      </c>
      <c r="CA52" s="1184" cm="1">
        <f t="array" ref="CA52">IF(BZ52=1,INDEX(Pflanzen!$AC$5:$AC$114,BR52),N52)</f>
        <v>0</v>
      </c>
      <c r="CB52" s="1184" cm="1">
        <f t="array" ref="CB52">IF(BZ52=1,INDEX(Pflanzen!$AD$5:$AD$114,BR52),O52)</f>
        <v>0</v>
      </c>
      <c r="CC52" s="1184">
        <f t="shared" si="139"/>
        <v>12</v>
      </c>
      <c r="CD52" s="1184">
        <f t="shared" si="140"/>
        <v>0</v>
      </c>
      <c r="CE52" s="1184">
        <f t="shared" si="141"/>
        <v>12</v>
      </c>
      <c r="CF52" s="1184" cm="1">
        <f t="array" ref="CF52">INDEX(Pflanzen!$F$5:$F$114,BR52)</f>
        <v>0</v>
      </c>
      <c r="CG52" s="1184" cm="1">
        <f t="array" ref="CG52">INDEX(Pflanzen!$G$5:$G$114,BR52)</f>
        <v>0</v>
      </c>
      <c r="CH52" s="1184">
        <f t="shared" si="142"/>
        <v>0</v>
      </c>
      <c r="CI52" s="1184">
        <f t="shared" si="143"/>
        <v>0</v>
      </c>
      <c r="CJ52" s="1184">
        <f t="shared" si="144"/>
        <v>0</v>
      </c>
      <c r="CK52" s="1184">
        <f t="shared" si="145"/>
        <v>0</v>
      </c>
      <c r="CL52" s="1184">
        <f t="shared" si="146"/>
        <v>0</v>
      </c>
      <c r="CM52" s="1184">
        <f t="shared" si="147"/>
        <v>0</v>
      </c>
      <c r="CN52" s="1184">
        <f t="shared" si="148"/>
        <v>0</v>
      </c>
      <c r="CO52" s="1184">
        <f t="shared" si="149"/>
        <v>0</v>
      </c>
      <c r="CP52" s="1184">
        <f t="shared" si="150"/>
        <v>0</v>
      </c>
      <c r="CQ52" s="1184">
        <f t="shared" si="151"/>
        <v>0</v>
      </c>
      <c r="CR52" s="1184">
        <f t="shared" si="152"/>
        <v>0</v>
      </c>
      <c r="CS52" s="1184">
        <f t="shared" si="153"/>
        <v>0</v>
      </c>
      <c r="CT52" s="1184">
        <f t="shared" si="154"/>
        <v>0</v>
      </c>
      <c r="CU52" s="1184">
        <f t="shared" si="157"/>
        <v>2</v>
      </c>
      <c r="CV52" s="1186" cm="1">
        <f t="array" ref="CV52">IF(AND(COUNTIF($BR$14:$BR$36,BR52)&gt;0,BR52&lt;ROWS(Pflanzen!$C$5:$C$107)),INDEX(Pflanzen!$I$5:$I$114,BR52),SUMIF($BR$44:$BR$68,BR52,$F$44:$F$69)/COUNTIF($BR$44:$BR$68,BR52))</f>
        <v>0</v>
      </c>
      <c r="CW52" s="1186">
        <f t="shared" si="155"/>
        <v>0</v>
      </c>
      <c r="CX52" s="1184"/>
      <c r="CY52" s="320" t="str">
        <f>Pflanzen!A48</f>
        <v xml:space="preserve"> +++Futterpflanzen+++</v>
      </c>
      <c r="CZ52" s="1200">
        <f>IFERROR(MATCH($CY52,Pflanzen!$C$5:$C$114,0),1)</f>
        <v>44</v>
      </c>
      <c r="DA52" s="320" cm="1">
        <f t="array" ref="DA52">INDEX(Pflanzen!$H$5:$H$114,'Lagerhaltung (freiwillig)'!CZ52)</f>
        <v>0</v>
      </c>
      <c r="DB52" s="1200">
        <f t="shared" si="158"/>
        <v>0</v>
      </c>
      <c r="DC52" s="1200">
        <f t="shared" si="158"/>
        <v>0</v>
      </c>
      <c r="DD52" s="1200">
        <f t="shared" si="158"/>
        <v>0</v>
      </c>
      <c r="DE52" s="1200">
        <f t="shared" si="158"/>
        <v>0</v>
      </c>
      <c r="DF52" s="1200">
        <f t="shared" si="158"/>
        <v>0</v>
      </c>
      <c r="DG52" s="1184">
        <f t="shared" si="158"/>
        <v>0</v>
      </c>
      <c r="DH52" s="1184">
        <f t="shared" si="158"/>
        <v>0</v>
      </c>
      <c r="DI52" s="1184">
        <f t="shared" si="158"/>
        <v>0</v>
      </c>
      <c r="DJ52" s="1184">
        <f t="shared" si="158"/>
        <v>0</v>
      </c>
      <c r="DK52" s="1184">
        <f t="shared" si="158"/>
        <v>0</v>
      </c>
      <c r="DL52" s="1184">
        <f t="shared" si="158"/>
        <v>0</v>
      </c>
      <c r="DM52" s="1184">
        <f t="shared" si="158"/>
        <v>0</v>
      </c>
      <c r="DN52" s="1184"/>
      <c r="DO52" s="1184">
        <f t="shared" si="159"/>
        <v>0</v>
      </c>
      <c r="DP52" s="1184">
        <f t="shared" si="159"/>
        <v>0</v>
      </c>
      <c r="DQ52" s="1184">
        <f t="shared" si="159"/>
        <v>0</v>
      </c>
      <c r="DR52" s="1184">
        <f t="shared" si="159"/>
        <v>0</v>
      </c>
      <c r="DS52" s="1184">
        <f t="shared" si="159"/>
        <v>0</v>
      </c>
      <c r="DT52" s="1184">
        <f t="shared" si="159"/>
        <v>0</v>
      </c>
      <c r="DU52" s="1184">
        <f t="shared" si="159"/>
        <v>0</v>
      </c>
      <c r="DV52" s="1184">
        <f t="shared" si="159"/>
        <v>0</v>
      </c>
      <c r="DW52" s="1184">
        <f t="shared" si="159"/>
        <v>0</v>
      </c>
      <c r="DX52" s="1184">
        <f t="shared" si="159"/>
        <v>0</v>
      </c>
      <c r="DY52" s="1184">
        <f t="shared" si="159"/>
        <v>0</v>
      </c>
      <c r="DZ52" s="1184">
        <f t="shared" si="159"/>
        <v>0</v>
      </c>
      <c r="EA52" s="1184"/>
      <c r="EB52" s="1184">
        <f t="shared" si="160"/>
        <v>0</v>
      </c>
      <c r="EC52" s="1184">
        <f t="shared" si="160"/>
        <v>0</v>
      </c>
      <c r="ED52" s="1184">
        <f t="shared" si="160"/>
        <v>0</v>
      </c>
      <c r="EE52" s="1184">
        <f t="shared" si="160"/>
        <v>0</v>
      </c>
      <c r="EF52" s="1184">
        <f t="shared" si="160"/>
        <v>0</v>
      </c>
      <c r="EG52" s="1184">
        <f t="shared" si="160"/>
        <v>0</v>
      </c>
      <c r="EH52" s="1184">
        <f t="shared" si="160"/>
        <v>0</v>
      </c>
      <c r="EI52" s="1184">
        <f t="shared" si="160"/>
        <v>0</v>
      </c>
      <c r="EJ52" s="1184">
        <f t="shared" si="160"/>
        <v>0</v>
      </c>
      <c r="EK52" s="1184">
        <f t="shared" si="160"/>
        <v>0</v>
      </c>
      <c r="EL52" s="1184">
        <f t="shared" si="160"/>
        <v>0</v>
      </c>
      <c r="EM52" s="1184">
        <f t="shared" si="160"/>
        <v>0</v>
      </c>
      <c r="EN52" s="1184"/>
      <c r="EO52" s="1184">
        <f t="shared" si="161"/>
        <v>0</v>
      </c>
      <c r="EP52" s="1184">
        <f t="shared" si="161"/>
        <v>0</v>
      </c>
      <c r="EQ52" s="1184">
        <f t="shared" si="161"/>
        <v>0</v>
      </c>
      <c r="ER52" s="1184">
        <f t="shared" si="161"/>
        <v>0</v>
      </c>
      <c r="ES52" s="1184">
        <f t="shared" si="161"/>
        <v>0</v>
      </c>
      <c r="ET52" s="1184">
        <f t="shared" si="161"/>
        <v>0</v>
      </c>
      <c r="EU52" s="1184">
        <f t="shared" si="161"/>
        <v>0</v>
      </c>
      <c r="EV52" s="1184">
        <f t="shared" si="161"/>
        <v>0</v>
      </c>
      <c r="EW52" s="1184">
        <f t="shared" si="161"/>
        <v>0</v>
      </c>
      <c r="EX52" s="1184">
        <f t="shared" si="161"/>
        <v>0</v>
      </c>
      <c r="EY52" s="1184">
        <f t="shared" si="161"/>
        <v>0</v>
      </c>
      <c r="EZ52" s="1184">
        <f t="shared" si="161"/>
        <v>0</v>
      </c>
      <c r="FA52" s="1184"/>
      <c r="FB52" s="1186">
        <f t="shared" si="51"/>
        <v>0</v>
      </c>
      <c r="FC52" s="1184">
        <f>FB52+DB52+EB52                 -         SUMIF('Nährstoffe und Lagerraum'!$AX$113:$AX$155,$CZ52,'Nährstoffe und Lagerraum'!$U$113:$U$155)/12  -$GD52*$HE52/12</f>
        <v>0</v>
      </c>
      <c r="FD52" s="1184">
        <f>FC52+DC52+EC52                 -         SUMIF('Nährstoffe und Lagerraum'!$AX$113:$AX$155,$CZ52,'Nährstoffe und Lagerraum'!$U$113:$U$155)/12  -$GD52*$HE52/12</f>
        <v>0</v>
      </c>
      <c r="FE52" s="1184">
        <f>FD52+DD52+ED52                 -         SUMIF('Nährstoffe und Lagerraum'!$AX$113:$AX$155,$CZ52,'Nährstoffe und Lagerraum'!$U$113:$U$155)/12  -$GD52*$HE52/12</f>
        <v>0</v>
      </c>
      <c r="FF52" s="1184">
        <f>FE52+DE52+EE52                 -         SUMIF('Nährstoffe und Lagerraum'!$AX$113:$AX$155,$CZ52,'Nährstoffe und Lagerraum'!$U$113:$U$155)/12  -$GD52*$HE52/12</f>
        <v>0</v>
      </c>
      <c r="FG52" s="1184">
        <f>FF52+DF52+EF52                 -         SUMIF('Nährstoffe und Lagerraum'!$AX$113:$AX$155,$CZ52,'Nährstoffe und Lagerraum'!$U$113:$U$155)/12  -$GD52*$HE52/12</f>
        <v>0</v>
      </c>
      <c r="FH52" s="1184">
        <f>FG52+DG52+EG52                 -         SUMIF('Nährstoffe und Lagerraum'!$AX$113:$AX$155,$CZ52,'Nährstoffe und Lagerraum'!$U$113:$U$155)/12  -$GD52*$HE52/12</f>
        <v>0</v>
      </c>
      <c r="FI52" s="1184">
        <f>FH52+DH52+EH52                 -         SUMIF('Nährstoffe und Lagerraum'!$AX$113:$AX$155,$CZ52,'Nährstoffe und Lagerraum'!$U$113:$U$155)/12  -$GD52*$HE52/12</f>
        <v>0</v>
      </c>
      <c r="FJ52" s="1184">
        <f>FI52+DI52+EI52                 -         SUMIF('Nährstoffe und Lagerraum'!$AX$113:$AX$155,$CZ52,'Nährstoffe und Lagerraum'!$U$113:$U$155)/12  -$GD52*$HE52/12</f>
        <v>0</v>
      </c>
      <c r="FK52" s="1184">
        <f>FJ52+DJ52+EJ52                 -         SUMIF('Nährstoffe und Lagerraum'!$AX$113:$AX$155,$CZ52,'Nährstoffe und Lagerraum'!$U$113:$U$155)/12  -$GD52*$HE52/12</f>
        <v>0</v>
      </c>
      <c r="FL52" s="1184">
        <f>FK52+DK52+EK52                 -         SUMIF('Nährstoffe und Lagerraum'!$AX$113:$AX$155,$CZ52,'Nährstoffe und Lagerraum'!$U$113:$U$155)/12  -$GD52*$HE52/12</f>
        <v>0</v>
      </c>
      <c r="FM52" s="1184">
        <f>FL52+DL52+EL52                 -         SUMIF('Nährstoffe und Lagerraum'!$AX$113:$AX$155,$CZ52,'Nährstoffe und Lagerraum'!$U$113:$U$155)/12  -$GD52*$HE52/12</f>
        <v>0</v>
      </c>
      <c r="FN52" s="1184">
        <f>FM52+DM52+EM52                 -         SUMIF('Nährstoffe und Lagerraum'!$AX$113:$AX$155,$CZ52,'Nährstoffe und Lagerraum'!$U$113:$U$155)/12  -$GD52*$HE52/12</f>
        <v>0</v>
      </c>
      <c r="FO52" s="1184"/>
      <c r="FP52" s="1186">
        <f t="shared" si="52"/>
        <v>0</v>
      </c>
      <c r="FQ52" s="1184">
        <f>FP52+DO52+EO52                 -         SUMIF('Nährstoffe und Lagerraum'!$AX$113:$AX$155,$CZ52,'Nährstoffe und Lagerraum'!$V$113:$V$155)/12  -$GE52*$HE52/12</f>
        <v>0</v>
      </c>
      <c r="FR52" s="1184">
        <f>FQ52+DP52+EP52                 -         SUMIF('Nährstoffe und Lagerraum'!$AX$113:$AX$155,$CZ52,'Nährstoffe und Lagerraum'!$V$113:$V$155)/12  -$GE52*$HE52/12</f>
        <v>0</v>
      </c>
      <c r="FS52" s="1184">
        <f>FR52+DQ52+EQ52                 -         SUMIF('Nährstoffe und Lagerraum'!$AX$113:$AX$155,$CZ52,'Nährstoffe und Lagerraum'!$V$113:$V$155)/12  -$GE52*$HE52/12</f>
        <v>0</v>
      </c>
      <c r="FT52" s="1184">
        <f>FS52+DR52+ER52                 -         SUMIF('Nährstoffe und Lagerraum'!$AX$113:$AX$155,$CZ52,'Nährstoffe und Lagerraum'!$V$113:$V$155)/12  -$GE52*$HE52/12</f>
        <v>0</v>
      </c>
      <c r="FU52" s="1184">
        <f>FT52+DS52+ES52                 -         SUMIF('Nährstoffe und Lagerraum'!$AX$113:$AX$155,$CZ52,'Nährstoffe und Lagerraum'!$V$113:$V$155)/12  -$GE52*$HE52/12</f>
        <v>0</v>
      </c>
      <c r="FV52" s="1184">
        <f>FU52+DT52+ET52                 -         SUMIF('Nährstoffe und Lagerraum'!$AX$113:$AX$155,$CZ52,'Nährstoffe und Lagerraum'!$V$113:$V$155)/12  -$GE52*$HE52/12</f>
        <v>0</v>
      </c>
      <c r="FW52" s="1184">
        <f>FV52+DU52+EU52                 -         SUMIF('Nährstoffe und Lagerraum'!$AX$113:$AX$155,$CZ52,'Nährstoffe und Lagerraum'!$V$113:$V$155)/12  -$GE52*$HE52/12</f>
        <v>0</v>
      </c>
      <c r="FX52" s="1184">
        <f>FW52+DV52+EV52                 -         SUMIF('Nährstoffe und Lagerraum'!$AX$113:$AX$155,$CZ52,'Nährstoffe und Lagerraum'!$V$113:$V$155)/12  -$GE52*$HE52/12</f>
        <v>0</v>
      </c>
      <c r="FY52" s="1184">
        <f>FX52+DW52+EW52                 -         SUMIF('Nährstoffe und Lagerraum'!$AX$113:$AX$155,$CZ52,'Nährstoffe und Lagerraum'!$V$113:$V$155)/12  -$GE52*$HE52/12</f>
        <v>0</v>
      </c>
      <c r="FZ52" s="1184">
        <f>FY52+DX52+EX52                 -         SUMIF('Nährstoffe und Lagerraum'!$AX$113:$AX$155,$CZ52,'Nährstoffe und Lagerraum'!$V$113:$V$155)/12  -$GE52*$HE52/12</f>
        <v>0</v>
      </c>
      <c r="GA52" s="1184">
        <f>FZ52+DY52+EY52                 -         SUMIF('Nährstoffe und Lagerraum'!$AX$113:$AX$155,$CZ52,'Nährstoffe und Lagerraum'!$V$113:$V$155)/12  -$GE52*$HE52/12</f>
        <v>0</v>
      </c>
      <c r="GB52" s="1184">
        <f>GA52+DZ52+EZ52                 -         SUMIF('Nährstoffe und Lagerraum'!$AX$113:$AX$155,$CZ52,'Nährstoffe und Lagerraum'!$V$113:$V$155)/12  -$GE52*$HE52/12</f>
        <v>0</v>
      </c>
      <c r="GC52" s="1184"/>
      <c r="GD52" s="1184">
        <f>SUMIFS($CI$14:$CI$68,$BR$14:$BR$68,$CZ52)+SUMIFS($CM$14:$CM$68,$BR$14:$BR$68,$CZ52)+SUMIFS($CR$14:$CR$68,$BR$14:$BR$68,$CZ52)  -         SUMIF('Nährstoffe und Lagerraum'!$AX$113:$AX$155,$CZ52,'Nährstoffe und Lagerraum'!$U$113:$U$155)</f>
        <v>0</v>
      </c>
      <c r="GE52" s="1184">
        <f>SUMIFS($CJ$14:$CJ$68,$BR$14:$BR$68,$CZ52)+SUMIFS($CO$14:$CO$68,$BR$14:$BR$68,$CZ52)+SUMIFS($CT$14:$CT$68,$BR$14:$BR$68,$CZ52)  -         SUMIF('Nährstoffe und Lagerraum'!$AX$113:$AX$155,$CZ52,'Nährstoffe und Lagerraum'!$V$113:$V$155)</f>
        <v>0</v>
      </c>
      <c r="GF52" s="1184"/>
      <c r="GG52" s="1184"/>
      <c r="GH52" s="1184">
        <f>SUMIF('Nährstoffe und Lagerraum'!$AX$113:$AX$155,$CZ52,'Nährstoffe und Lagerraum'!$U$113:$U$155)</f>
        <v>0</v>
      </c>
      <c r="GI52" s="1184">
        <f>SUMIF('Nährstoffe und Lagerraum'!$AX$113:$AX$155,$CZ52,'Nährstoffe und Lagerraum'!$V$113:$V$155)</f>
        <v>0</v>
      </c>
      <c r="GJ52" s="1184">
        <f t="shared" si="53"/>
        <v>0</v>
      </c>
      <c r="GK52" s="1184">
        <f t="shared" si="54"/>
        <v>0</v>
      </c>
      <c r="GL52" s="1184">
        <f t="shared" si="55"/>
        <v>0</v>
      </c>
      <c r="GM52" s="1184">
        <f t="shared" si="56"/>
        <v>0</v>
      </c>
      <c r="GN52" s="1184">
        <f t="shared" si="57"/>
        <v>0</v>
      </c>
      <c r="GO52" s="1184" cm="1">
        <f t="array" ref="GO52">IF(GN52=0,0,(IFERROR(SUMPRODUCT($J$14:$J$68,$CH$14:$CH$68,($BR$14:$BR$68=CZ52)*1)+SUMPRODUCT($L$14:$L$68,$M$14:$M$68,$CK$14:$CK$68,($BR$14:$BR$68=CZ52)*1,($BT$14:$BT$68=FALSE)*1)/10+SUMPRODUCT($R$14:$R$68,$CP$14:$CP$68,($BR$14:$BR$68=CZ52)*1),0))/GN52)</f>
        <v>0</v>
      </c>
      <c r="GP52" s="1184">
        <f t="shared" si="58"/>
        <v>0</v>
      </c>
      <c r="GQ52" s="1184">
        <f>(SUMIF('Nährstoffe und Lagerraum'!$AX$113:$AX$130,'Lagerhaltung (freiwillig)'!CZ52,'Nährstoffe und Lagerraum'!$D$113:$D$130)+SUMIF('Nährstoffe und Lagerraum'!$AX$137:$AX$155,'Lagerhaltung (freiwillig)'!CZ52,'Nährstoffe und Lagerraum'!$E$137:$E$155))</f>
        <v>0</v>
      </c>
      <c r="GR52" s="1184" cm="1">
        <f t="array" ref="GR52">IF(GQ52=0,0,(IFERROR(SUMPRODUCT('Nährstoffe und Lagerraum'!$D$113:$D$130,'Nährstoffe und Lagerraum'!$F$113:$F$130,('Nährstoffe und Lagerraum'!$AX$113:$AX$130='Lagerhaltung (freiwillig)'!CZ52)*1)+SUMPRODUCT('Nährstoffe und Lagerraum'!$E$137:$E$155,'Nährstoffe und Lagerraum'!$F$137:$F$155,('Nährstoffe und Lagerraum'!$AX$137:$AX$155='Lagerhaltung (freiwillig)'!CZ52)*1),0))/GQ52)</f>
        <v>0</v>
      </c>
      <c r="GS52" s="1184">
        <f t="shared" si="59"/>
        <v>0</v>
      </c>
      <c r="GT52" s="1184">
        <f t="shared" si="60"/>
        <v>0</v>
      </c>
      <c r="GU52" s="1184">
        <f t="shared" si="61"/>
        <v>0</v>
      </c>
      <c r="GV52" s="1184">
        <f t="shared" si="62"/>
        <v>0</v>
      </c>
      <c r="GW52" s="1186" t="str">
        <f t="shared" si="41"/>
        <v xml:space="preserve"> </v>
      </c>
      <c r="GX52" s="1186" t="str">
        <f t="shared" si="41"/>
        <v xml:space="preserve"> </v>
      </c>
      <c r="GY52" s="1195">
        <f t="shared" si="63"/>
        <v>0</v>
      </c>
      <c r="GZ52" s="1184">
        <f t="shared" si="64"/>
        <v>0</v>
      </c>
      <c r="HA52" s="1184" t="str">
        <f t="shared" si="132"/>
        <v>a</v>
      </c>
      <c r="HB52" s="1196">
        <f t="shared" si="65"/>
        <v>0</v>
      </c>
      <c r="HC52" s="1196">
        <f t="shared" si="66"/>
        <v>0</v>
      </c>
      <c r="HD52" s="1196"/>
      <c r="HE52" s="1187">
        <f t="shared" si="67"/>
        <v>0</v>
      </c>
      <c r="HF52" s="1196">
        <f t="shared" si="68"/>
        <v>0</v>
      </c>
      <c r="HG52" s="1196">
        <f t="shared" si="69"/>
        <v>0</v>
      </c>
      <c r="HH52" s="1196">
        <f t="shared" si="70"/>
        <v>0</v>
      </c>
      <c r="HI52" s="1328" cm="1">
        <f t="array" ref="HI52">IF(AND(HG52=0,GL52=0),0,IF(HG52=0,1,IF(OR(GL52*1000/HG52/HH52&gt;INDEX(Pflanzen!$W$5:$W$104,CZ52)/INDEX(Pflanzen!$I$5:$I$104,CZ52)*$HI$1,GL52*1000/HG52/HH52&lt;INDEX(Pflanzen!$W$5:$W$104,CZ52)/INDEX(Pflanzen!$I$5:$I$104,CZ52)/$HI$1),1,0)))</f>
        <v>0</v>
      </c>
      <c r="HJ52" s="1328" cm="1">
        <f t="array" ref="HJ52">IF(AND(GM52=0,HG52=0),0,IF(HG52=0,1,IF(OR(GM52*1000/HG52/HH52&gt;INDEX(Pflanzen!$X$5:$X$104,CZ52)/INDEX(Pflanzen!$I$5:$I$104,CZ52)*$HI$1,GM52*1000/HG52/HH52&lt;INDEX(Pflanzen!$X$5:$X$104,CZ52)/INDEX(Pflanzen!$I$5:$I$104,CZ52)/$HI$1),1,0)))</f>
        <v>0</v>
      </c>
      <c r="HK52" s="1184">
        <f t="shared" si="71"/>
        <v>3</v>
      </c>
      <c r="HL52" s="1184"/>
      <c r="HN52" s="1184"/>
      <c r="HO52" s="1193" t="str">
        <f>Tiere!B78</f>
        <v>Legehennen über 16 Wochen, N-/P-reduziert</v>
      </c>
      <c r="HP52" s="1184">
        <v>49</v>
      </c>
      <c r="HQ52" s="1194">
        <f>SUMIF('Nährstoffe und Lagerraum'!$BM$68:$BM$87,'Lagerhaltung (freiwillig)'!HP52,'Nährstoffe und Lagerraum'!$Z$68:$Z$87)+SUMIF('Nährstoffe und Lagerraum'!$BM$68:$BM$87,'Lagerhaltung (freiwillig)'!HP52,'Nährstoffe und Lagerraum'!$AA$68:$AA$87)</f>
        <v>0</v>
      </c>
      <c r="HR52" s="1184" cm="1">
        <f t="array" ref="HR52">INDEX(Tiere!$C$30:$C$114,'Lagerhaltung (freiwillig)'!HP52)</f>
        <v>3</v>
      </c>
      <c r="HS52" s="1184" cm="1">
        <f t="array" ref="HS52">INDEX(Tiere!$H$30:$H$114,'Lagerhaltung (freiwillig)'!HP52)</f>
        <v>0</v>
      </c>
      <c r="HT52" s="1184">
        <f t="shared" si="12"/>
        <v>0</v>
      </c>
      <c r="HU52" s="1184" cm="1">
        <f t="array" ref="HU52">INDEX(Tiere!$I$30:$I$114,'Lagerhaltung (freiwillig)'!HP52)</f>
        <v>0</v>
      </c>
      <c r="HV52" s="1184">
        <f t="shared" si="13"/>
        <v>0</v>
      </c>
      <c r="HW52" s="1184" cm="1">
        <f t="array" ref="HW52">INDEX(Tiere!$BC$30:$BC$114,'Lagerhaltung (freiwillig)'!HP52)</f>
        <v>0</v>
      </c>
      <c r="HX52" s="1184">
        <f t="shared" si="14"/>
        <v>0</v>
      </c>
      <c r="HY52" s="1184" cm="1">
        <f t="array" ref="HY52">INDEX(Tiere!$BD$30:$BD$114,'Lagerhaltung (freiwillig)'!HP52)</f>
        <v>0</v>
      </c>
      <c r="HZ52" s="1184">
        <f t="shared" si="15"/>
        <v>0</v>
      </c>
      <c r="IA52" s="1184"/>
      <c r="IB52" s="1184"/>
      <c r="IC52" s="1184"/>
      <c r="ID52" s="1184"/>
      <c r="IE52" s="1184"/>
      <c r="IF52" s="1184"/>
      <c r="IG52" s="1184"/>
      <c r="IH52" s="1184"/>
      <c r="II52" s="1184"/>
      <c r="IJ52" s="1184"/>
      <c r="IK52" s="1184"/>
      <c r="IL52" s="1184"/>
    </row>
    <row r="53" spans="6:246" ht="15.6" customHeight="1" x14ac:dyDescent="0.2">
      <c r="F53" s="1122"/>
      <c r="G53" s="1498"/>
      <c r="H53" s="1336"/>
      <c r="I53" s="1162" t="str">
        <f t="shared" si="133"/>
        <v/>
      </c>
      <c r="J53" s="1303"/>
      <c r="K53" s="1162" t="str">
        <f t="shared" si="134"/>
        <v/>
      </c>
      <c r="L53" s="1487"/>
      <c r="M53" s="1491"/>
      <c r="N53" s="1487"/>
      <c r="O53" s="1487"/>
      <c r="P53" s="1303"/>
      <c r="Q53" s="1162" t="str">
        <f t="shared" si="135"/>
        <v/>
      </c>
      <c r="R53" s="1487"/>
      <c r="S53" s="1491"/>
      <c r="T53" s="1303"/>
      <c r="V53" s="1346" t="str">
        <f t="shared" si="156"/>
        <v/>
      </c>
      <c r="Y53" s="1554" t="str" cm="1">
        <f t="array" ref="Y53">IFERROR(INDEX($CY$4:$CY$165,AY53),"")</f>
        <v/>
      </c>
      <c r="Z53" s="1555"/>
      <c r="AA53" s="1555"/>
      <c r="AB53" s="1555"/>
      <c r="AC53" s="1454" t="str" cm="1">
        <f t="array" ref="AC53">IFERROR(INDEX($GN$4:$GN$165,AY53),"")</f>
        <v/>
      </c>
      <c r="AD53" s="1454" t="str" cm="1">
        <f t="array" ref="AD53">IFERROR(INDEX($GO$4:$GO$165,AY53),"")</f>
        <v/>
      </c>
      <c r="AE53" s="1454" t="str" cm="1">
        <f t="array" ref="AE53">IFERROR(INDEX($GJ$4:$GJ$165,AY53),"")</f>
        <v/>
      </c>
      <c r="AF53" s="1454" t="str" cm="1">
        <f t="array" ref="AF53">IFERROR(INDEX($GK$4:$GK$165,AY53),"")</f>
        <v/>
      </c>
      <c r="AG53" s="1454" t="str" cm="1">
        <f t="array" ref="AG53">IFERROR(INDEX($GQ$4:$GQ$165,AY53),"")</f>
        <v/>
      </c>
      <c r="AH53" s="1454" t="str" cm="1">
        <f t="array" ref="AH53">IFERROR(INDEX($GR$4:$GR$165,AY53),"")</f>
        <v/>
      </c>
      <c r="AI53" s="1454" t="str" cm="1">
        <f t="array" ref="AI53">IFERROR(INDEX($GH$4:$GH$165,AY53),"")</f>
        <v/>
      </c>
      <c r="AJ53" s="1454" t="str" cm="1">
        <f t="array" ref="AJ53">IFERROR(INDEX($GI$4:$GI$165,AY53),"")</f>
        <v/>
      </c>
      <c r="AK53" s="1454" t="str" cm="1">
        <f t="array" ref="AK53">IFERROR(INDEX($GU$4:$GU$165,AY53),"")</f>
        <v/>
      </c>
      <c r="AL53" s="1455" t="str" cm="1">
        <f t="array" ref="AL53">IFERROR(INDEX($GV$4:$GV$165,AY53),"")</f>
        <v/>
      </c>
      <c r="AM53" s="1454" t="str" cm="1">
        <f t="array" ref="AM53">IFERROR(INDEX($GD$4:$GD$165,AY53),"")</f>
        <v/>
      </c>
      <c r="AN53" s="1454" t="str" cm="1">
        <f t="array" ref="AN53">IFERROR(INDEX($GE$4:$GE$165,AY53),"")</f>
        <v/>
      </c>
      <c r="AO53" s="1454" t="str" cm="1">
        <f t="array" ref="AO53">IFERROR(INDEX($GW$4:$GW$165,AY53),"")</f>
        <v/>
      </c>
      <c r="AP53" s="1454" t="str" cm="1">
        <f t="array" ref="AP53">IFERROR(INDEX($GZ$4:$GZ$165,AY53),"")</f>
        <v/>
      </c>
      <c r="AQ53" s="1457"/>
      <c r="AR53" s="1454" t="str" cm="1">
        <f t="array" ref="AR53">IFERROR(INDEX($HF$4:$HF$165,AY53),"")</f>
        <v/>
      </c>
      <c r="AS53" s="1454" t="str" cm="1">
        <f t="array" ref="AS53">IFERROR(INDEX($HG$4:$HG$165,AY53),"")</f>
        <v/>
      </c>
      <c r="AT53" s="1454" t="str" cm="1">
        <f t="array" ref="AT53">IFERROR(INDEX($HH$4:$HH$165,AY53),"")</f>
        <v/>
      </c>
      <c r="AU53" s="1454" t="str" cm="1">
        <f t="array" ref="AU53">IFERROR(INDEX($GL$4:$GL$165,AY53),"")</f>
        <v/>
      </c>
      <c r="AV53" s="1454" t="str" cm="1">
        <f t="array" ref="AV53">IFERROR(INDEX($GM$4:$GM$165,AY53),"")</f>
        <v/>
      </c>
      <c r="AW53" s="1459"/>
      <c r="AX53" s="1459"/>
      <c r="AY53" s="1460" t="str" cm="1">
        <f t="array" ref="AY53">IFERROR(SMALL(IF($HK$4:$HK$165=1,ROW($HK$4:$HK$165)-3),ROW(W38)),IFERROR(SMALL(IF($HK$4:$HK$165=2,ROW($HK$4:$HK$165)-3),ROW(W38)-COUNTIF($HK$4:$HK$165,1)),IFERROR(SMALL(IF($HK$4:$HK$165=0,ROW($HK$4:$HK$165)-3),ROW(W38)-COUNTIF($HK$4:$HK$165,1)-COUNTIF($HK$4:$HK$165,2)),"")))</f>
        <v/>
      </c>
      <c r="AZ53" s="1460" t="str">
        <f t="shared" si="129"/>
        <v>a</v>
      </c>
      <c r="BA53" s="1461" t="e">
        <f t="shared" si="130"/>
        <v>#VALUE!</v>
      </c>
      <c r="BB53" s="1461" cm="1">
        <f t="array" ref="BB53">IFERROR(INDEX($HK$4:$HK$165,AY53),0)</f>
        <v>0</v>
      </c>
      <c r="BC53" s="1461">
        <f t="shared" si="131"/>
        <v>0</v>
      </c>
      <c r="BD53" s="1461"/>
      <c r="BE53" s="1462"/>
      <c r="BF53" s="1343"/>
      <c r="BG53" s="1343"/>
      <c r="BH53" s="1343"/>
      <c r="BI53" s="1343"/>
      <c r="BJ53" s="1343"/>
      <c r="BK53" s="1343"/>
      <c r="BL53" s="1343"/>
      <c r="BM53" s="1343"/>
      <c r="BN53" s="1343"/>
      <c r="BO53" s="1343"/>
      <c r="BQ53" s="1184">
        <v>1</v>
      </c>
      <c r="BR53" cm="1">
        <f t="array" ref="BR53">INDEX(Pflanzen!$B$5:$B$112,'Lagerhaltung (freiwillig)'!BQ53)</f>
        <v>1</v>
      </c>
      <c r="BS53" s="1184"/>
      <c r="BT53" s="1184" t="b">
        <v>0</v>
      </c>
      <c r="BU53" s="1185"/>
      <c r="BV53" s="1185"/>
      <c r="BW53" s="1184">
        <f t="shared" si="136"/>
        <v>12</v>
      </c>
      <c r="BX53" s="1184">
        <f t="shared" si="137"/>
        <v>0</v>
      </c>
      <c r="BY53" s="1184">
        <f t="shared" si="138"/>
        <v>12</v>
      </c>
      <c r="BZ53" s="1184" cm="1">
        <f t="array" ref="BZ53">INDEX(Pflanzen!$AB$5:$AB$114,'Lagerhaltung (freiwillig)'!BR53)</f>
        <v>0</v>
      </c>
      <c r="CA53" s="1184" cm="1">
        <f t="array" ref="CA53">IF(BZ53=1,INDEX(Pflanzen!$AC$5:$AC$114,BR53),N53)</f>
        <v>0</v>
      </c>
      <c r="CB53" s="1184" cm="1">
        <f t="array" ref="CB53">IF(BZ53=1,INDEX(Pflanzen!$AD$5:$AD$114,BR53),O53)</f>
        <v>0</v>
      </c>
      <c r="CC53" s="1184">
        <f t="shared" si="139"/>
        <v>12</v>
      </c>
      <c r="CD53" s="1184">
        <f t="shared" si="140"/>
        <v>0</v>
      </c>
      <c r="CE53" s="1184">
        <f t="shared" si="141"/>
        <v>12</v>
      </c>
      <c r="CF53" s="1184" cm="1">
        <f t="array" ref="CF53">INDEX(Pflanzen!$F$5:$F$114,BR53)</f>
        <v>0</v>
      </c>
      <c r="CG53" s="1184" cm="1">
        <f t="array" ref="CG53">INDEX(Pflanzen!$G$5:$G$114,BR53)</f>
        <v>0</v>
      </c>
      <c r="CH53" s="1184">
        <f t="shared" si="142"/>
        <v>0</v>
      </c>
      <c r="CI53" s="1184">
        <f t="shared" si="143"/>
        <v>0</v>
      </c>
      <c r="CJ53" s="1184">
        <f t="shared" si="144"/>
        <v>0</v>
      </c>
      <c r="CK53" s="1184">
        <f t="shared" si="145"/>
        <v>0</v>
      </c>
      <c r="CL53" s="1184">
        <f t="shared" si="146"/>
        <v>0</v>
      </c>
      <c r="CM53" s="1184">
        <f t="shared" si="147"/>
        <v>0</v>
      </c>
      <c r="CN53" s="1184">
        <f t="shared" si="148"/>
        <v>0</v>
      </c>
      <c r="CO53" s="1184">
        <f t="shared" si="149"/>
        <v>0</v>
      </c>
      <c r="CP53" s="1184">
        <f t="shared" si="150"/>
        <v>0</v>
      </c>
      <c r="CQ53" s="1184">
        <f t="shared" si="151"/>
        <v>0</v>
      </c>
      <c r="CR53" s="1184">
        <f t="shared" si="152"/>
        <v>0</v>
      </c>
      <c r="CS53" s="1184">
        <f t="shared" si="153"/>
        <v>0</v>
      </c>
      <c r="CT53" s="1184">
        <f t="shared" si="154"/>
        <v>0</v>
      </c>
      <c r="CU53" s="1184">
        <f t="shared" si="157"/>
        <v>2</v>
      </c>
      <c r="CV53" s="1186" cm="1">
        <f t="array" ref="CV53">IF(AND(COUNTIF($BR$14:$BR$36,BR53)&gt;0,BR53&lt;ROWS(Pflanzen!$C$5:$C$107)),INDEX(Pflanzen!$I$5:$I$114,BR53),SUMIF($BR$44:$BR$68,BR53,$F$44:$F$69)/COUNTIF($BR$44:$BR$68,BR53))</f>
        <v>0</v>
      </c>
      <c r="CW53" s="1186">
        <f t="shared" si="155"/>
        <v>0</v>
      </c>
      <c r="CX53" s="1184"/>
      <c r="CY53" s="320" t="str">
        <f>Pflanzen!A49</f>
        <v>Silomais (32 % TM)</v>
      </c>
      <c r="CZ53" s="1200">
        <f>IFERROR(MATCH($CY53,Pflanzen!$C$5:$C$114,0),1)</f>
        <v>45</v>
      </c>
      <c r="DA53" s="320" cm="1">
        <f t="array" ref="DA53">INDEX(Pflanzen!$H$5:$H$114,'Lagerhaltung (freiwillig)'!CZ53)</f>
        <v>1</v>
      </c>
      <c r="DB53" s="1200">
        <f t="shared" si="158"/>
        <v>0</v>
      </c>
      <c r="DC53" s="1200">
        <f t="shared" si="158"/>
        <v>0</v>
      </c>
      <c r="DD53" s="1200">
        <f t="shared" si="158"/>
        <v>0</v>
      </c>
      <c r="DE53" s="1200">
        <f t="shared" si="158"/>
        <v>0</v>
      </c>
      <c r="DF53" s="1200">
        <f t="shared" si="158"/>
        <v>0</v>
      </c>
      <c r="DG53" s="1184">
        <f t="shared" si="158"/>
        <v>0</v>
      </c>
      <c r="DH53" s="1184">
        <f t="shared" si="158"/>
        <v>0</v>
      </c>
      <c r="DI53" s="1184">
        <f t="shared" si="158"/>
        <v>0</v>
      </c>
      <c r="DJ53" s="1184">
        <f t="shared" si="158"/>
        <v>0</v>
      </c>
      <c r="DK53" s="1184">
        <f t="shared" si="158"/>
        <v>0</v>
      </c>
      <c r="DL53" s="1184">
        <f t="shared" si="158"/>
        <v>0</v>
      </c>
      <c r="DM53" s="1184">
        <f t="shared" si="158"/>
        <v>0</v>
      </c>
      <c r="DN53" s="1184"/>
      <c r="DO53" s="1184">
        <f t="shared" si="159"/>
        <v>0</v>
      </c>
      <c r="DP53" s="1184">
        <f t="shared" si="159"/>
        <v>0</v>
      </c>
      <c r="DQ53" s="1184">
        <f t="shared" si="159"/>
        <v>0</v>
      </c>
      <c r="DR53" s="1184">
        <f t="shared" si="159"/>
        <v>0</v>
      </c>
      <c r="DS53" s="1184">
        <f t="shared" si="159"/>
        <v>0</v>
      </c>
      <c r="DT53" s="1184">
        <f t="shared" si="159"/>
        <v>0</v>
      </c>
      <c r="DU53" s="1184">
        <f t="shared" si="159"/>
        <v>0</v>
      </c>
      <c r="DV53" s="1184">
        <f t="shared" si="159"/>
        <v>0</v>
      </c>
      <c r="DW53" s="1184">
        <f t="shared" si="159"/>
        <v>0</v>
      </c>
      <c r="DX53" s="1184">
        <f t="shared" si="159"/>
        <v>0</v>
      </c>
      <c r="DY53" s="1184">
        <f t="shared" si="159"/>
        <v>0</v>
      </c>
      <c r="DZ53" s="1184">
        <f t="shared" si="159"/>
        <v>0</v>
      </c>
      <c r="EA53" s="1184"/>
      <c r="EB53" s="1184">
        <f t="shared" si="160"/>
        <v>0</v>
      </c>
      <c r="EC53" s="1184">
        <f t="shared" si="160"/>
        <v>0</v>
      </c>
      <c r="ED53" s="1184">
        <f t="shared" si="160"/>
        <v>0</v>
      </c>
      <c r="EE53" s="1184">
        <f t="shared" si="160"/>
        <v>0</v>
      </c>
      <c r="EF53" s="1184">
        <f t="shared" si="160"/>
        <v>0</v>
      </c>
      <c r="EG53" s="1184">
        <f t="shared" si="160"/>
        <v>0</v>
      </c>
      <c r="EH53" s="1184">
        <f t="shared" si="160"/>
        <v>0</v>
      </c>
      <c r="EI53" s="1184">
        <f t="shared" si="160"/>
        <v>0</v>
      </c>
      <c r="EJ53" s="1184">
        <f t="shared" si="160"/>
        <v>0</v>
      </c>
      <c r="EK53" s="1184">
        <f t="shared" si="160"/>
        <v>0</v>
      </c>
      <c r="EL53" s="1184">
        <f t="shared" si="160"/>
        <v>0</v>
      </c>
      <c r="EM53" s="1184">
        <f t="shared" si="160"/>
        <v>0</v>
      </c>
      <c r="EN53" s="1184"/>
      <c r="EO53" s="1184">
        <f t="shared" si="161"/>
        <v>0</v>
      </c>
      <c r="EP53" s="1184">
        <f t="shared" si="161"/>
        <v>0</v>
      </c>
      <c r="EQ53" s="1184">
        <f t="shared" si="161"/>
        <v>0</v>
      </c>
      <c r="ER53" s="1184">
        <f t="shared" si="161"/>
        <v>0</v>
      </c>
      <c r="ES53" s="1184">
        <f t="shared" si="161"/>
        <v>0</v>
      </c>
      <c r="ET53" s="1184">
        <f t="shared" si="161"/>
        <v>0</v>
      </c>
      <c r="EU53" s="1184">
        <f t="shared" si="161"/>
        <v>0</v>
      </c>
      <c r="EV53" s="1184">
        <f t="shared" si="161"/>
        <v>0</v>
      </c>
      <c r="EW53" s="1184">
        <f t="shared" si="161"/>
        <v>0</v>
      </c>
      <c r="EX53" s="1184">
        <f t="shared" si="161"/>
        <v>0</v>
      </c>
      <c r="EY53" s="1184">
        <f t="shared" si="161"/>
        <v>0</v>
      </c>
      <c r="EZ53" s="1184">
        <f t="shared" si="161"/>
        <v>0</v>
      </c>
      <c r="FA53" s="1184"/>
      <c r="FB53" s="1186">
        <f t="shared" si="51"/>
        <v>0</v>
      </c>
      <c r="FC53" s="1184">
        <f>FB53+DB53+EB53                 -         SUMIF('Nährstoffe und Lagerraum'!$AX$113:$AX$155,$CZ53,'Nährstoffe und Lagerraum'!$U$113:$U$155)/12  -$GD53*$HE53/12</f>
        <v>0</v>
      </c>
      <c r="FD53" s="1184">
        <f>FC53+DC53+EC53                 -         SUMIF('Nährstoffe und Lagerraum'!$AX$113:$AX$155,$CZ53,'Nährstoffe und Lagerraum'!$U$113:$U$155)/12  -$GD53*$HE53/12</f>
        <v>0</v>
      </c>
      <c r="FE53" s="1184">
        <f>FD53+DD53+ED53                 -         SUMIF('Nährstoffe und Lagerraum'!$AX$113:$AX$155,$CZ53,'Nährstoffe und Lagerraum'!$U$113:$U$155)/12  -$GD53*$HE53/12</f>
        <v>0</v>
      </c>
      <c r="FF53" s="1184">
        <f>FE53+DE53+EE53                 -         SUMIF('Nährstoffe und Lagerraum'!$AX$113:$AX$155,$CZ53,'Nährstoffe und Lagerraum'!$U$113:$U$155)/12  -$GD53*$HE53/12</f>
        <v>0</v>
      </c>
      <c r="FG53" s="1184">
        <f>FF53+DF53+EF53                 -         SUMIF('Nährstoffe und Lagerraum'!$AX$113:$AX$155,$CZ53,'Nährstoffe und Lagerraum'!$U$113:$U$155)/12  -$GD53*$HE53/12</f>
        <v>0</v>
      </c>
      <c r="FH53" s="1184">
        <f>FG53+DG53+EG53                 -         SUMIF('Nährstoffe und Lagerraum'!$AX$113:$AX$155,$CZ53,'Nährstoffe und Lagerraum'!$U$113:$U$155)/12  -$GD53*$HE53/12</f>
        <v>0</v>
      </c>
      <c r="FI53" s="1184">
        <f>FH53+DH53+EH53                 -         SUMIF('Nährstoffe und Lagerraum'!$AX$113:$AX$155,$CZ53,'Nährstoffe und Lagerraum'!$U$113:$U$155)/12  -$GD53*$HE53/12</f>
        <v>0</v>
      </c>
      <c r="FJ53" s="1184">
        <f>FI53+DI53+EI53                 -         SUMIF('Nährstoffe und Lagerraum'!$AX$113:$AX$155,$CZ53,'Nährstoffe und Lagerraum'!$U$113:$U$155)/12  -$GD53*$HE53/12</f>
        <v>0</v>
      </c>
      <c r="FK53" s="1184">
        <f>FJ53+DJ53+EJ53                 -         SUMIF('Nährstoffe und Lagerraum'!$AX$113:$AX$155,$CZ53,'Nährstoffe und Lagerraum'!$U$113:$U$155)/12  -$GD53*$HE53/12</f>
        <v>0</v>
      </c>
      <c r="FL53" s="1184">
        <f>FK53+DK53+EK53                 -         SUMIF('Nährstoffe und Lagerraum'!$AX$113:$AX$155,$CZ53,'Nährstoffe und Lagerraum'!$U$113:$U$155)/12  -$GD53*$HE53/12</f>
        <v>0</v>
      </c>
      <c r="FM53" s="1184">
        <f>FL53+DL53+EL53                 -         SUMIF('Nährstoffe und Lagerraum'!$AX$113:$AX$155,$CZ53,'Nährstoffe und Lagerraum'!$U$113:$U$155)/12  -$GD53*$HE53/12</f>
        <v>0</v>
      </c>
      <c r="FN53" s="1184">
        <f>FM53+DM53+EM53                 -         SUMIF('Nährstoffe und Lagerraum'!$AX$113:$AX$155,$CZ53,'Nährstoffe und Lagerraum'!$U$113:$U$155)/12  -$GD53*$HE53/12</f>
        <v>0</v>
      </c>
      <c r="FO53" s="1184"/>
      <c r="FP53" s="1186">
        <f t="shared" si="52"/>
        <v>0</v>
      </c>
      <c r="FQ53" s="1184">
        <f>FP53+DO53+EO53                 -         SUMIF('Nährstoffe und Lagerraum'!$AX$113:$AX$155,$CZ53,'Nährstoffe und Lagerraum'!$V$113:$V$155)/12  -$GE53*$HE53/12</f>
        <v>0</v>
      </c>
      <c r="FR53" s="1184">
        <f>FQ53+DP53+EP53                 -         SUMIF('Nährstoffe und Lagerraum'!$AX$113:$AX$155,$CZ53,'Nährstoffe und Lagerraum'!$V$113:$V$155)/12  -$GE53*$HE53/12</f>
        <v>0</v>
      </c>
      <c r="FS53" s="1184">
        <f>FR53+DQ53+EQ53                 -         SUMIF('Nährstoffe und Lagerraum'!$AX$113:$AX$155,$CZ53,'Nährstoffe und Lagerraum'!$V$113:$V$155)/12  -$GE53*$HE53/12</f>
        <v>0</v>
      </c>
      <c r="FT53" s="1184">
        <f>FS53+DR53+ER53                 -         SUMIF('Nährstoffe und Lagerraum'!$AX$113:$AX$155,$CZ53,'Nährstoffe und Lagerraum'!$V$113:$V$155)/12  -$GE53*$HE53/12</f>
        <v>0</v>
      </c>
      <c r="FU53" s="1184">
        <f>FT53+DS53+ES53                 -         SUMIF('Nährstoffe und Lagerraum'!$AX$113:$AX$155,$CZ53,'Nährstoffe und Lagerraum'!$V$113:$V$155)/12  -$GE53*$HE53/12</f>
        <v>0</v>
      </c>
      <c r="FV53" s="1184">
        <f>FU53+DT53+ET53                 -         SUMIF('Nährstoffe und Lagerraum'!$AX$113:$AX$155,$CZ53,'Nährstoffe und Lagerraum'!$V$113:$V$155)/12  -$GE53*$HE53/12</f>
        <v>0</v>
      </c>
      <c r="FW53" s="1184">
        <f>FV53+DU53+EU53                 -         SUMIF('Nährstoffe und Lagerraum'!$AX$113:$AX$155,$CZ53,'Nährstoffe und Lagerraum'!$V$113:$V$155)/12  -$GE53*$HE53/12</f>
        <v>0</v>
      </c>
      <c r="FX53" s="1184">
        <f>FW53+DV53+EV53                 -         SUMIF('Nährstoffe und Lagerraum'!$AX$113:$AX$155,$CZ53,'Nährstoffe und Lagerraum'!$V$113:$V$155)/12  -$GE53*$HE53/12</f>
        <v>0</v>
      </c>
      <c r="FY53" s="1184">
        <f>FX53+DW53+EW53                 -         SUMIF('Nährstoffe und Lagerraum'!$AX$113:$AX$155,$CZ53,'Nährstoffe und Lagerraum'!$V$113:$V$155)/12  -$GE53*$HE53/12</f>
        <v>0</v>
      </c>
      <c r="FZ53" s="1184">
        <f>FY53+DX53+EX53                 -         SUMIF('Nährstoffe und Lagerraum'!$AX$113:$AX$155,$CZ53,'Nährstoffe und Lagerraum'!$V$113:$V$155)/12  -$GE53*$HE53/12</f>
        <v>0</v>
      </c>
      <c r="GA53" s="1184">
        <f>FZ53+DY53+EY53                 -         SUMIF('Nährstoffe und Lagerraum'!$AX$113:$AX$155,$CZ53,'Nährstoffe und Lagerraum'!$V$113:$V$155)/12  -$GE53*$HE53/12</f>
        <v>0</v>
      </c>
      <c r="GB53" s="1184">
        <f>GA53+DZ53+EZ53                 -         SUMIF('Nährstoffe und Lagerraum'!$AX$113:$AX$155,$CZ53,'Nährstoffe und Lagerraum'!$V$113:$V$155)/12  -$GE53*$HE53/12</f>
        <v>0</v>
      </c>
      <c r="GC53" s="1184"/>
      <c r="GD53" s="1184">
        <f>SUMIFS($CI$14:$CI$68,$BR$14:$BR$68,$CZ53)+SUMIFS($CM$14:$CM$68,$BR$14:$BR$68,$CZ53)+SUMIFS($CR$14:$CR$68,$BR$14:$BR$68,$CZ53)  -         SUMIF('Nährstoffe und Lagerraum'!$AX$113:$AX$155,$CZ53,'Nährstoffe und Lagerraum'!$U$113:$U$155)</f>
        <v>0</v>
      </c>
      <c r="GE53" s="1184">
        <f>SUMIFS($CJ$14:$CJ$68,$BR$14:$BR$68,$CZ53)+SUMIFS($CO$14:$CO$68,$BR$14:$BR$68,$CZ53)+SUMIFS($CT$14:$CT$68,$BR$14:$BR$68,$CZ53)  -         SUMIF('Nährstoffe und Lagerraum'!$AX$113:$AX$155,$CZ53,'Nährstoffe und Lagerraum'!$V$113:$V$155)</f>
        <v>0</v>
      </c>
      <c r="GF53" s="1184"/>
      <c r="GG53" s="1184"/>
      <c r="GH53" s="1184">
        <f>SUMIF('Nährstoffe und Lagerraum'!$AX$113:$AX$155,$CZ53,'Nährstoffe und Lagerraum'!$U$113:$U$155)</f>
        <v>0</v>
      </c>
      <c r="GI53" s="1184">
        <f>SUMIF('Nährstoffe und Lagerraum'!$AX$113:$AX$155,$CZ53,'Nährstoffe und Lagerraum'!$V$113:$V$155)</f>
        <v>0</v>
      </c>
      <c r="GJ53" s="1184">
        <f t="shared" si="53"/>
        <v>0</v>
      </c>
      <c r="GK53" s="1184">
        <f t="shared" si="54"/>
        <v>0</v>
      </c>
      <c r="GL53" s="1184">
        <f t="shared" si="55"/>
        <v>0</v>
      </c>
      <c r="GM53" s="1184">
        <f t="shared" si="56"/>
        <v>0</v>
      </c>
      <c r="GN53" s="1184">
        <f t="shared" si="57"/>
        <v>0</v>
      </c>
      <c r="GO53" s="1184" cm="1">
        <f t="array" ref="GO53">IF(GN53=0,0,(IFERROR(SUMPRODUCT($J$14:$J$68,$CH$14:$CH$68,($BR$14:$BR$68=CZ53)*1)+SUMPRODUCT($L$14:$L$68,$M$14:$M$68,$CK$14:$CK$68,($BR$14:$BR$68=CZ53)*1,($BT$14:$BT$68=FALSE)*1)/10+SUMPRODUCT($R$14:$R$68,$CP$14:$CP$68,($BR$14:$BR$68=CZ53)*1),0))/GN53)</f>
        <v>0</v>
      </c>
      <c r="GP53" s="1184">
        <f t="shared" si="58"/>
        <v>0</v>
      </c>
      <c r="GQ53" s="1184">
        <f>(SUMIF('Nährstoffe und Lagerraum'!$AX$113:$AX$130,'Lagerhaltung (freiwillig)'!CZ53,'Nährstoffe und Lagerraum'!$D$113:$D$130)+SUMIF('Nährstoffe und Lagerraum'!$AX$137:$AX$155,'Lagerhaltung (freiwillig)'!CZ53,'Nährstoffe und Lagerraum'!$E$137:$E$155))</f>
        <v>0</v>
      </c>
      <c r="GR53" s="1184" cm="1">
        <f t="array" ref="GR53">IF(GQ53=0,0,(IFERROR(SUMPRODUCT('Nährstoffe und Lagerraum'!$D$113:$D$130,'Nährstoffe und Lagerraum'!$F$113:$F$130,('Nährstoffe und Lagerraum'!$AX$113:$AX$130='Lagerhaltung (freiwillig)'!CZ53)*1)+SUMPRODUCT('Nährstoffe und Lagerraum'!$E$137:$E$155,'Nährstoffe und Lagerraum'!$F$137:$F$155,('Nährstoffe und Lagerraum'!$AX$137:$AX$155='Lagerhaltung (freiwillig)'!CZ53)*1),0))/GQ53)</f>
        <v>0</v>
      </c>
      <c r="GS53" s="1184">
        <f t="shared" si="59"/>
        <v>0</v>
      </c>
      <c r="GT53" s="1184">
        <f t="shared" si="60"/>
        <v>0</v>
      </c>
      <c r="GU53" s="1184">
        <f t="shared" si="61"/>
        <v>0</v>
      </c>
      <c r="GV53" s="1184">
        <f t="shared" si="62"/>
        <v>0</v>
      </c>
      <c r="GW53" s="1186" t="str">
        <f t="shared" si="41"/>
        <v xml:space="preserve"> </v>
      </c>
      <c r="GX53" s="1186" t="str">
        <f t="shared" si="41"/>
        <v xml:space="preserve"> </v>
      </c>
      <c r="GY53" s="1195">
        <f t="shared" si="63"/>
        <v>0</v>
      </c>
      <c r="GZ53" s="1184">
        <f t="shared" si="64"/>
        <v>0</v>
      </c>
      <c r="HA53" s="1184" t="str">
        <f t="shared" si="132"/>
        <v>a</v>
      </c>
      <c r="HB53" s="1196">
        <f t="shared" si="65"/>
        <v>0</v>
      </c>
      <c r="HC53" s="1196">
        <f t="shared" si="66"/>
        <v>0</v>
      </c>
      <c r="HD53" s="1196"/>
      <c r="HE53" s="1187">
        <f t="shared" si="67"/>
        <v>0</v>
      </c>
      <c r="HF53" s="1196">
        <f t="shared" si="68"/>
        <v>0</v>
      </c>
      <c r="HG53" s="1196">
        <f t="shared" si="69"/>
        <v>0</v>
      </c>
      <c r="HH53" s="1196">
        <f t="shared" si="70"/>
        <v>0</v>
      </c>
      <c r="HI53" s="1328" cm="1">
        <f t="array" ref="HI53">IF(AND(HG53=0,GL53=0),0,IF(HG53=0,1,IF(OR(GL53*1000/HG53/HH53&gt;INDEX(Pflanzen!$W$5:$W$104,CZ53)/INDEX(Pflanzen!$I$5:$I$104,CZ53)*$HI$1,GL53*1000/HG53/HH53&lt;INDEX(Pflanzen!$W$5:$W$104,CZ53)/INDEX(Pflanzen!$I$5:$I$104,CZ53)/$HI$1),1,0)))</f>
        <v>0</v>
      </c>
      <c r="HJ53" s="1328" cm="1">
        <f t="array" ref="HJ53">IF(AND(GM53=0,HG53=0),0,IF(HG53=0,1,IF(OR(GM53*1000/HG53/HH53&gt;INDEX(Pflanzen!$X$5:$X$104,CZ53)/INDEX(Pflanzen!$I$5:$I$104,CZ53)*$HI$1,GM53*1000/HG53/HH53&lt;INDEX(Pflanzen!$X$5:$X$104,CZ53)/INDEX(Pflanzen!$I$5:$I$104,CZ53)/$HI$1),1,0)))</f>
        <v>0</v>
      </c>
      <c r="HK53" s="1184">
        <f t="shared" si="71"/>
        <v>3</v>
      </c>
      <c r="HL53" s="1184"/>
      <c r="HN53" s="1184"/>
      <c r="HO53" s="1193" t="str">
        <f>Tiere!B79</f>
        <v>Junghennen bis 16 Wochen, Standard</v>
      </c>
      <c r="HP53" s="1184">
        <v>50</v>
      </c>
      <c r="HQ53" s="1194">
        <f>SUMIF('Nährstoffe und Lagerraum'!$BM$68:$BM$87,'Lagerhaltung (freiwillig)'!HP53,'Nährstoffe und Lagerraum'!$Z$68:$Z$87)+SUMIF('Nährstoffe und Lagerraum'!$BM$68:$BM$87,'Lagerhaltung (freiwillig)'!HP53,'Nährstoffe und Lagerraum'!$AA$68:$AA$87)</f>
        <v>0</v>
      </c>
      <c r="HR53" s="1184" cm="1">
        <f t="array" ref="HR53">INDEX(Tiere!$C$30:$C$114,'Lagerhaltung (freiwillig)'!HP53)</f>
        <v>3</v>
      </c>
      <c r="HS53" s="1184" cm="1">
        <f t="array" ref="HS53">INDEX(Tiere!$H$30:$H$114,'Lagerhaltung (freiwillig)'!HP53)</f>
        <v>0</v>
      </c>
      <c r="HT53" s="1184">
        <f t="shared" si="12"/>
        <v>0</v>
      </c>
      <c r="HU53" s="1184" cm="1">
        <f t="array" ref="HU53">INDEX(Tiere!$I$30:$I$114,'Lagerhaltung (freiwillig)'!HP53)</f>
        <v>0</v>
      </c>
      <c r="HV53" s="1184">
        <f t="shared" si="13"/>
        <v>0</v>
      </c>
      <c r="HW53" s="1184" cm="1">
        <f t="array" ref="HW53">INDEX(Tiere!$BC$30:$BC$114,'Lagerhaltung (freiwillig)'!HP53)</f>
        <v>0.39830000000000004</v>
      </c>
      <c r="HX53" s="1184">
        <f t="shared" si="14"/>
        <v>0</v>
      </c>
      <c r="HY53" s="1184" cm="1">
        <f t="array" ref="HY53">INDEX(Tiere!$BD$30:$BD$114,'Lagerhaltung (freiwillig)'!HP53)</f>
        <v>0.14566400000000002</v>
      </c>
      <c r="HZ53" s="1184">
        <f t="shared" si="15"/>
        <v>0</v>
      </c>
      <c r="IA53" s="1184"/>
      <c r="IB53" s="1184"/>
      <c r="IC53" s="1184"/>
      <c r="ID53" s="1184"/>
      <c r="IE53" s="1184"/>
      <c r="IF53" s="1184"/>
      <c r="IG53" s="1184"/>
      <c r="IH53" s="1184"/>
      <c r="II53" s="1184"/>
      <c r="IJ53" s="1184"/>
      <c r="IK53" s="1184"/>
      <c r="IL53" s="1184"/>
    </row>
    <row r="54" spans="6:246" ht="15.6" customHeight="1" x14ac:dyDescent="0.2">
      <c r="F54" s="1122"/>
      <c r="G54" s="1498"/>
      <c r="H54" s="1336"/>
      <c r="I54" s="1162" t="str">
        <f t="shared" si="133"/>
        <v/>
      </c>
      <c r="J54" s="1303"/>
      <c r="K54" s="1162" t="str">
        <f t="shared" si="134"/>
        <v/>
      </c>
      <c r="L54" s="1487"/>
      <c r="M54" s="1491"/>
      <c r="N54" s="1487"/>
      <c r="O54" s="1487"/>
      <c r="P54" s="1303"/>
      <c r="Q54" s="1162" t="str">
        <f t="shared" si="135"/>
        <v/>
      </c>
      <c r="R54" s="1487"/>
      <c r="S54" s="1491"/>
      <c r="T54" s="1303"/>
      <c r="V54" s="1346" t="str">
        <f t="shared" si="156"/>
        <v/>
      </c>
      <c r="Y54" s="1554" t="str" cm="1">
        <f t="array" ref="Y54">IFERROR(INDEX($CY$4:$CY$165,AY54),"")</f>
        <v/>
      </c>
      <c r="Z54" s="1555"/>
      <c r="AA54" s="1555"/>
      <c r="AB54" s="1555"/>
      <c r="AC54" s="1454" t="str" cm="1">
        <f t="array" ref="AC54">IFERROR(INDEX($GN$4:$GN$165,AY54),"")</f>
        <v/>
      </c>
      <c r="AD54" s="1454" t="str" cm="1">
        <f t="array" ref="AD54">IFERROR(INDEX($GO$4:$GO$165,AY54),"")</f>
        <v/>
      </c>
      <c r="AE54" s="1454" t="str" cm="1">
        <f t="array" ref="AE54">IFERROR(INDEX($GJ$4:$GJ$165,AY54),"")</f>
        <v/>
      </c>
      <c r="AF54" s="1454" t="str" cm="1">
        <f t="array" ref="AF54">IFERROR(INDEX($GK$4:$GK$165,AY54),"")</f>
        <v/>
      </c>
      <c r="AG54" s="1454" t="str" cm="1">
        <f t="array" ref="AG54">IFERROR(INDEX($GQ$4:$GQ$165,AY54),"")</f>
        <v/>
      </c>
      <c r="AH54" s="1454" t="str" cm="1">
        <f t="array" ref="AH54">IFERROR(INDEX($GR$4:$GR$165,AY54),"")</f>
        <v/>
      </c>
      <c r="AI54" s="1454" t="str" cm="1">
        <f t="array" ref="AI54">IFERROR(INDEX($GH$4:$GH$165,AY54),"")</f>
        <v/>
      </c>
      <c r="AJ54" s="1454" t="str" cm="1">
        <f t="array" ref="AJ54">IFERROR(INDEX($GI$4:$GI$165,AY54),"")</f>
        <v/>
      </c>
      <c r="AK54" s="1454" t="str" cm="1">
        <f t="array" ref="AK54">IFERROR(INDEX($GU$4:$GU$165,AY54),"")</f>
        <v/>
      </c>
      <c r="AL54" s="1455" t="str" cm="1">
        <f t="array" ref="AL54">IFERROR(INDEX($GV$4:$GV$165,AY54),"")</f>
        <v/>
      </c>
      <c r="AM54" s="1454" t="str" cm="1">
        <f t="array" ref="AM54">IFERROR(INDEX($GD$4:$GD$165,AY54),"")</f>
        <v/>
      </c>
      <c r="AN54" s="1454" t="str" cm="1">
        <f t="array" ref="AN54">IFERROR(INDEX($GE$4:$GE$165,AY54),"")</f>
        <v/>
      </c>
      <c r="AO54" s="1454" t="str" cm="1">
        <f t="array" ref="AO54">IFERROR(INDEX($GW$4:$GW$165,AY54),"")</f>
        <v/>
      </c>
      <c r="AP54" s="1454" t="str" cm="1">
        <f t="array" ref="AP54">IFERROR(INDEX($GZ$4:$GZ$165,AY54),"")</f>
        <v/>
      </c>
      <c r="AQ54" s="1457"/>
      <c r="AR54" s="1454" t="str" cm="1">
        <f t="array" ref="AR54">IFERROR(INDEX($HF$4:$HF$165,AY54),"")</f>
        <v/>
      </c>
      <c r="AS54" s="1454" t="str" cm="1">
        <f t="array" ref="AS54">IFERROR(INDEX($HG$4:$HG$165,AY54),"")</f>
        <v/>
      </c>
      <c r="AT54" s="1454" t="str" cm="1">
        <f t="array" ref="AT54">IFERROR(INDEX($HH$4:$HH$165,AY54),"")</f>
        <v/>
      </c>
      <c r="AU54" s="1454" t="str" cm="1">
        <f t="array" ref="AU54">IFERROR(INDEX($GL$4:$GL$165,AY54),"")</f>
        <v/>
      </c>
      <c r="AV54" s="1454" t="str" cm="1">
        <f t="array" ref="AV54">IFERROR(INDEX($GM$4:$GM$165,AY54),"")</f>
        <v/>
      </c>
      <c r="AW54" s="1459"/>
      <c r="AX54" s="1459"/>
      <c r="AY54" s="1460" t="str" cm="1">
        <f t="array" ref="AY54">IFERROR(SMALL(IF($HK$4:$HK$165=1,ROW($HK$4:$HK$165)-3),ROW(W39)),IFERROR(SMALL(IF($HK$4:$HK$165=2,ROW($HK$4:$HK$165)-3),ROW(W39)-COUNTIF($HK$4:$HK$165,1)),IFERROR(SMALL(IF($HK$4:$HK$165=0,ROW($HK$4:$HK$165)-3),ROW(W39)-COUNTIF($HK$4:$HK$165,1)-COUNTIF($HK$4:$HK$165,2)),"")))</f>
        <v/>
      </c>
      <c r="AZ54" s="1460" t="str">
        <f t="shared" si="129"/>
        <v>a</v>
      </c>
      <c r="BA54" s="1461" t="e">
        <f t="shared" si="130"/>
        <v>#VALUE!</v>
      </c>
      <c r="BB54" s="1461" cm="1">
        <f t="array" ref="BB54">IFERROR(INDEX($HK$4:$HK$165,AY54),0)</f>
        <v>0</v>
      </c>
      <c r="BC54" s="1461">
        <f t="shared" si="131"/>
        <v>0</v>
      </c>
      <c r="BD54" s="1461"/>
      <c r="BE54" s="1462"/>
      <c r="BF54" s="1343"/>
      <c r="BG54" s="1343"/>
      <c r="BH54" s="1343"/>
      <c r="BI54" s="1343"/>
      <c r="BJ54" s="1343"/>
      <c r="BK54" s="1343"/>
      <c r="BL54" s="1343"/>
      <c r="BM54" s="1343"/>
      <c r="BN54" s="1343"/>
      <c r="BO54" s="1343"/>
      <c r="BQ54" s="1184">
        <v>1</v>
      </c>
      <c r="BR54" cm="1">
        <f t="array" ref="BR54">INDEX(Pflanzen!$B$5:$B$112,'Lagerhaltung (freiwillig)'!BQ54)</f>
        <v>1</v>
      </c>
      <c r="BS54" s="1184"/>
      <c r="BT54" s="1184" t="b">
        <v>0</v>
      </c>
      <c r="BU54" s="1185"/>
      <c r="BV54" s="1185"/>
      <c r="BW54" s="1184">
        <f t="shared" si="136"/>
        <v>12</v>
      </c>
      <c r="BX54" s="1184">
        <f t="shared" si="137"/>
        <v>0</v>
      </c>
      <c r="BY54" s="1184">
        <f t="shared" si="138"/>
        <v>12</v>
      </c>
      <c r="BZ54" s="1184" cm="1">
        <f t="array" ref="BZ54">INDEX(Pflanzen!$AB$5:$AB$114,'Lagerhaltung (freiwillig)'!BR54)</f>
        <v>0</v>
      </c>
      <c r="CA54" s="1184" cm="1">
        <f t="array" ref="CA54">IF(BZ54=1,INDEX(Pflanzen!$AC$5:$AC$114,BR54),N54)</f>
        <v>0</v>
      </c>
      <c r="CB54" s="1184" cm="1">
        <f t="array" ref="CB54">IF(BZ54=1,INDEX(Pflanzen!$AD$5:$AD$114,BR54),O54)</f>
        <v>0</v>
      </c>
      <c r="CC54" s="1184">
        <f t="shared" si="139"/>
        <v>12</v>
      </c>
      <c r="CD54" s="1184">
        <f t="shared" si="140"/>
        <v>0</v>
      </c>
      <c r="CE54" s="1184">
        <f t="shared" si="141"/>
        <v>12</v>
      </c>
      <c r="CF54" s="1184" cm="1">
        <f t="array" ref="CF54">INDEX(Pflanzen!$F$5:$F$114,BR54)</f>
        <v>0</v>
      </c>
      <c r="CG54" s="1184" cm="1">
        <f t="array" ref="CG54">INDEX(Pflanzen!$G$5:$G$114,BR54)</f>
        <v>0</v>
      </c>
      <c r="CH54" s="1184">
        <f t="shared" si="142"/>
        <v>0</v>
      </c>
      <c r="CI54" s="1184">
        <f t="shared" si="143"/>
        <v>0</v>
      </c>
      <c r="CJ54" s="1184">
        <f t="shared" si="144"/>
        <v>0</v>
      </c>
      <c r="CK54" s="1184">
        <f t="shared" si="145"/>
        <v>0</v>
      </c>
      <c r="CL54" s="1184">
        <f t="shared" si="146"/>
        <v>0</v>
      </c>
      <c r="CM54" s="1184">
        <f t="shared" si="147"/>
        <v>0</v>
      </c>
      <c r="CN54" s="1184">
        <f t="shared" si="148"/>
        <v>0</v>
      </c>
      <c r="CO54" s="1184">
        <f t="shared" si="149"/>
        <v>0</v>
      </c>
      <c r="CP54" s="1184">
        <f t="shared" si="150"/>
        <v>0</v>
      </c>
      <c r="CQ54" s="1184">
        <f t="shared" si="151"/>
        <v>0</v>
      </c>
      <c r="CR54" s="1184">
        <f t="shared" si="152"/>
        <v>0</v>
      </c>
      <c r="CS54" s="1184">
        <f t="shared" si="153"/>
        <v>0</v>
      </c>
      <c r="CT54" s="1184">
        <f t="shared" si="154"/>
        <v>0</v>
      </c>
      <c r="CU54" s="1184">
        <f t="shared" si="157"/>
        <v>2</v>
      </c>
      <c r="CV54" s="1186" cm="1">
        <f t="array" ref="CV54">IF(AND(COUNTIF($BR$14:$BR$36,BR54)&gt;0,BR54&lt;ROWS(Pflanzen!$C$5:$C$107)),INDEX(Pflanzen!$I$5:$I$114,BR54),SUMIF($BR$44:$BR$68,BR54,$F$44:$F$69)/COUNTIF($BR$44:$BR$68,BR54))</f>
        <v>0</v>
      </c>
      <c r="CW54" s="1186">
        <f t="shared" si="155"/>
        <v>0</v>
      </c>
      <c r="CX54" s="1184"/>
      <c r="CY54" s="320" t="str">
        <f>Pflanzen!A50</f>
        <v>Corn-Cop-Mix (CCM)</v>
      </c>
      <c r="CZ54" s="1200">
        <f>IFERROR(MATCH($CY54,Pflanzen!$C$5:$C$114,0),1)</f>
        <v>46</v>
      </c>
      <c r="DA54" s="320" cm="1">
        <f t="array" ref="DA54">INDEX(Pflanzen!$H$5:$H$114,'Lagerhaltung (freiwillig)'!CZ54)</f>
        <v>2</v>
      </c>
      <c r="DB54" s="1200">
        <f t="shared" si="158"/>
        <v>0</v>
      </c>
      <c r="DC54" s="1200">
        <f t="shared" si="158"/>
        <v>0</v>
      </c>
      <c r="DD54" s="1200">
        <f t="shared" si="158"/>
        <v>0</v>
      </c>
      <c r="DE54" s="1200">
        <f t="shared" si="158"/>
        <v>0</v>
      </c>
      <c r="DF54" s="1200">
        <f t="shared" si="158"/>
        <v>0</v>
      </c>
      <c r="DG54" s="1184">
        <f t="shared" si="158"/>
        <v>0</v>
      </c>
      <c r="DH54" s="1184">
        <f t="shared" si="158"/>
        <v>0</v>
      </c>
      <c r="DI54" s="1184">
        <f t="shared" si="158"/>
        <v>0</v>
      </c>
      <c r="DJ54" s="1184">
        <f t="shared" si="158"/>
        <v>0</v>
      </c>
      <c r="DK54" s="1184">
        <f t="shared" si="158"/>
        <v>0</v>
      </c>
      <c r="DL54" s="1184">
        <f t="shared" si="158"/>
        <v>0</v>
      </c>
      <c r="DM54" s="1184">
        <f t="shared" si="158"/>
        <v>0</v>
      </c>
      <c r="DN54" s="1184"/>
      <c r="DO54" s="1184">
        <f t="shared" si="159"/>
        <v>0</v>
      </c>
      <c r="DP54" s="1184">
        <f t="shared" si="159"/>
        <v>0</v>
      </c>
      <c r="DQ54" s="1184">
        <f t="shared" si="159"/>
        <v>0</v>
      </c>
      <c r="DR54" s="1184">
        <f t="shared" si="159"/>
        <v>0</v>
      </c>
      <c r="DS54" s="1184">
        <f t="shared" si="159"/>
        <v>0</v>
      </c>
      <c r="DT54" s="1184">
        <f t="shared" si="159"/>
        <v>0</v>
      </c>
      <c r="DU54" s="1184">
        <f t="shared" si="159"/>
        <v>0</v>
      </c>
      <c r="DV54" s="1184">
        <f t="shared" si="159"/>
        <v>0</v>
      </c>
      <c r="DW54" s="1184">
        <f t="shared" si="159"/>
        <v>0</v>
      </c>
      <c r="DX54" s="1184">
        <f t="shared" si="159"/>
        <v>0</v>
      </c>
      <c r="DY54" s="1184">
        <f t="shared" si="159"/>
        <v>0</v>
      </c>
      <c r="DZ54" s="1184">
        <f t="shared" si="159"/>
        <v>0</v>
      </c>
      <c r="EA54" s="1184"/>
      <c r="EB54" s="1184">
        <f t="shared" si="160"/>
        <v>0</v>
      </c>
      <c r="EC54" s="1184">
        <f t="shared" si="160"/>
        <v>0</v>
      </c>
      <c r="ED54" s="1184">
        <f t="shared" si="160"/>
        <v>0</v>
      </c>
      <c r="EE54" s="1184">
        <f t="shared" si="160"/>
        <v>0</v>
      </c>
      <c r="EF54" s="1184">
        <f t="shared" si="160"/>
        <v>0</v>
      </c>
      <c r="EG54" s="1184">
        <f t="shared" si="160"/>
        <v>0</v>
      </c>
      <c r="EH54" s="1184">
        <f t="shared" si="160"/>
        <v>0</v>
      </c>
      <c r="EI54" s="1184">
        <f t="shared" si="160"/>
        <v>0</v>
      </c>
      <c r="EJ54" s="1184">
        <f t="shared" si="160"/>
        <v>0</v>
      </c>
      <c r="EK54" s="1184">
        <f t="shared" si="160"/>
        <v>0</v>
      </c>
      <c r="EL54" s="1184">
        <f t="shared" si="160"/>
        <v>0</v>
      </c>
      <c r="EM54" s="1184">
        <f t="shared" si="160"/>
        <v>0</v>
      </c>
      <c r="EN54" s="1184"/>
      <c r="EO54" s="1184">
        <f t="shared" si="161"/>
        <v>0</v>
      </c>
      <c r="EP54" s="1184">
        <f t="shared" si="161"/>
        <v>0</v>
      </c>
      <c r="EQ54" s="1184">
        <f t="shared" si="161"/>
        <v>0</v>
      </c>
      <c r="ER54" s="1184">
        <f t="shared" si="161"/>
        <v>0</v>
      </c>
      <c r="ES54" s="1184">
        <f t="shared" si="161"/>
        <v>0</v>
      </c>
      <c r="ET54" s="1184">
        <f t="shared" si="161"/>
        <v>0</v>
      </c>
      <c r="EU54" s="1184">
        <f t="shared" si="161"/>
        <v>0</v>
      </c>
      <c r="EV54" s="1184">
        <f t="shared" si="161"/>
        <v>0</v>
      </c>
      <c r="EW54" s="1184">
        <f t="shared" si="161"/>
        <v>0</v>
      </c>
      <c r="EX54" s="1184">
        <f t="shared" si="161"/>
        <v>0</v>
      </c>
      <c r="EY54" s="1184">
        <f t="shared" si="161"/>
        <v>0</v>
      </c>
      <c r="EZ54" s="1184">
        <f t="shared" si="161"/>
        <v>0</v>
      </c>
      <c r="FA54" s="1184"/>
      <c r="FB54" s="1186">
        <f t="shared" si="51"/>
        <v>0</v>
      </c>
      <c r="FC54" s="1184">
        <f>FB54+DB54+EB54                 -         SUMIF('Nährstoffe und Lagerraum'!$AX$113:$AX$155,$CZ54,'Nährstoffe und Lagerraum'!$U$113:$U$155)/12  -$GD54*$HE54/12</f>
        <v>0</v>
      </c>
      <c r="FD54" s="1184">
        <f>FC54+DC54+EC54                 -         SUMIF('Nährstoffe und Lagerraum'!$AX$113:$AX$155,$CZ54,'Nährstoffe und Lagerraum'!$U$113:$U$155)/12  -$GD54*$HE54/12</f>
        <v>0</v>
      </c>
      <c r="FE54" s="1184">
        <f>FD54+DD54+ED54                 -         SUMIF('Nährstoffe und Lagerraum'!$AX$113:$AX$155,$CZ54,'Nährstoffe und Lagerraum'!$U$113:$U$155)/12  -$GD54*$HE54/12</f>
        <v>0</v>
      </c>
      <c r="FF54" s="1184">
        <f>FE54+DE54+EE54                 -         SUMIF('Nährstoffe und Lagerraum'!$AX$113:$AX$155,$CZ54,'Nährstoffe und Lagerraum'!$U$113:$U$155)/12  -$GD54*$HE54/12</f>
        <v>0</v>
      </c>
      <c r="FG54" s="1184">
        <f>FF54+DF54+EF54                 -         SUMIF('Nährstoffe und Lagerraum'!$AX$113:$AX$155,$CZ54,'Nährstoffe und Lagerraum'!$U$113:$U$155)/12  -$GD54*$HE54/12</f>
        <v>0</v>
      </c>
      <c r="FH54" s="1184">
        <f>FG54+DG54+EG54                 -         SUMIF('Nährstoffe und Lagerraum'!$AX$113:$AX$155,$CZ54,'Nährstoffe und Lagerraum'!$U$113:$U$155)/12  -$GD54*$HE54/12</f>
        <v>0</v>
      </c>
      <c r="FI54" s="1184">
        <f>FH54+DH54+EH54                 -         SUMIF('Nährstoffe und Lagerraum'!$AX$113:$AX$155,$CZ54,'Nährstoffe und Lagerraum'!$U$113:$U$155)/12  -$GD54*$HE54/12</f>
        <v>0</v>
      </c>
      <c r="FJ54" s="1184">
        <f>FI54+DI54+EI54                 -         SUMIF('Nährstoffe und Lagerraum'!$AX$113:$AX$155,$CZ54,'Nährstoffe und Lagerraum'!$U$113:$U$155)/12  -$GD54*$HE54/12</f>
        <v>0</v>
      </c>
      <c r="FK54" s="1184">
        <f>FJ54+DJ54+EJ54                 -         SUMIF('Nährstoffe und Lagerraum'!$AX$113:$AX$155,$CZ54,'Nährstoffe und Lagerraum'!$U$113:$U$155)/12  -$GD54*$HE54/12</f>
        <v>0</v>
      </c>
      <c r="FL54" s="1184">
        <f>FK54+DK54+EK54                 -         SUMIF('Nährstoffe und Lagerraum'!$AX$113:$AX$155,$CZ54,'Nährstoffe und Lagerraum'!$U$113:$U$155)/12  -$GD54*$HE54/12</f>
        <v>0</v>
      </c>
      <c r="FM54" s="1184">
        <f>FL54+DL54+EL54                 -         SUMIF('Nährstoffe und Lagerraum'!$AX$113:$AX$155,$CZ54,'Nährstoffe und Lagerraum'!$U$113:$U$155)/12  -$GD54*$HE54/12</f>
        <v>0</v>
      </c>
      <c r="FN54" s="1184">
        <f>FM54+DM54+EM54                 -         SUMIF('Nährstoffe und Lagerraum'!$AX$113:$AX$155,$CZ54,'Nährstoffe und Lagerraum'!$U$113:$U$155)/12  -$GD54*$HE54/12</f>
        <v>0</v>
      </c>
      <c r="FO54" s="1184"/>
      <c r="FP54" s="1186">
        <f t="shared" si="52"/>
        <v>0</v>
      </c>
      <c r="FQ54" s="1184">
        <f>FP54+DO54+EO54                 -         SUMIF('Nährstoffe und Lagerraum'!$AX$113:$AX$155,$CZ54,'Nährstoffe und Lagerraum'!$V$113:$V$155)/12  -$GE54*$HE54/12</f>
        <v>0</v>
      </c>
      <c r="FR54" s="1184">
        <f>FQ54+DP54+EP54                 -         SUMIF('Nährstoffe und Lagerraum'!$AX$113:$AX$155,$CZ54,'Nährstoffe und Lagerraum'!$V$113:$V$155)/12  -$GE54*$HE54/12</f>
        <v>0</v>
      </c>
      <c r="FS54" s="1184">
        <f>FR54+DQ54+EQ54                 -         SUMIF('Nährstoffe und Lagerraum'!$AX$113:$AX$155,$CZ54,'Nährstoffe und Lagerraum'!$V$113:$V$155)/12  -$GE54*$HE54/12</f>
        <v>0</v>
      </c>
      <c r="FT54" s="1184">
        <f>FS54+DR54+ER54                 -         SUMIF('Nährstoffe und Lagerraum'!$AX$113:$AX$155,$CZ54,'Nährstoffe und Lagerraum'!$V$113:$V$155)/12  -$GE54*$HE54/12</f>
        <v>0</v>
      </c>
      <c r="FU54" s="1184">
        <f>FT54+DS54+ES54                 -         SUMIF('Nährstoffe und Lagerraum'!$AX$113:$AX$155,$CZ54,'Nährstoffe und Lagerraum'!$V$113:$V$155)/12  -$GE54*$HE54/12</f>
        <v>0</v>
      </c>
      <c r="FV54" s="1184">
        <f>FU54+DT54+ET54                 -         SUMIF('Nährstoffe und Lagerraum'!$AX$113:$AX$155,$CZ54,'Nährstoffe und Lagerraum'!$V$113:$V$155)/12  -$GE54*$HE54/12</f>
        <v>0</v>
      </c>
      <c r="FW54" s="1184">
        <f>FV54+DU54+EU54                 -         SUMIF('Nährstoffe und Lagerraum'!$AX$113:$AX$155,$CZ54,'Nährstoffe und Lagerraum'!$V$113:$V$155)/12  -$GE54*$HE54/12</f>
        <v>0</v>
      </c>
      <c r="FX54" s="1184">
        <f>FW54+DV54+EV54                 -         SUMIF('Nährstoffe und Lagerraum'!$AX$113:$AX$155,$CZ54,'Nährstoffe und Lagerraum'!$V$113:$V$155)/12  -$GE54*$HE54/12</f>
        <v>0</v>
      </c>
      <c r="FY54" s="1184">
        <f>FX54+DW54+EW54                 -         SUMIF('Nährstoffe und Lagerraum'!$AX$113:$AX$155,$CZ54,'Nährstoffe und Lagerraum'!$V$113:$V$155)/12  -$GE54*$HE54/12</f>
        <v>0</v>
      </c>
      <c r="FZ54" s="1184">
        <f>FY54+DX54+EX54                 -         SUMIF('Nährstoffe und Lagerraum'!$AX$113:$AX$155,$CZ54,'Nährstoffe und Lagerraum'!$V$113:$V$155)/12  -$GE54*$HE54/12</f>
        <v>0</v>
      </c>
      <c r="GA54" s="1184">
        <f>FZ54+DY54+EY54                 -         SUMIF('Nährstoffe und Lagerraum'!$AX$113:$AX$155,$CZ54,'Nährstoffe und Lagerraum'!$V$113:$V$155)/12  -$GE54*$HE54/12</f>
        <v>0</v>
      </c>
      <c r="GB54" s="1184">
        <f>GA54+DZ54+EZ54                 -         SUMIF('Nährstoffe und Lagerraum'!$AX$113:$AX$155,$CZ54,'Nährstoffe und Lagerraum'!$V$113:$V$155)/12  -$GE54*$HE54/12</f>
        <v>0</v>
      </c>
      <c r="GC54" s="1184"/>
      <c r="GD54" s="1184">
        <f>SUMIFS($CI$14:$CI$68,$BR$14:$BR$68,$CZ54)+SUMIFS($CM$14:$CM$68,$BR$14:$BR$68,$CZ54)+SUMIFS($CR$14:$CR$68,$BR$14:$BR$68,$CZ54)  -         SUMIF('Nährstoffe und Lagerraum'!$AX$113:$AX$155,$CZ54,'Nährstoffe und Lagerraum'!$U$113:$U$155)</f>
        <v>0</v>
      </c>
      <c r="GE54" s="1184">
        <f>SUMIFS($CJ$14:$CJ$68,$BR$14:$BR$68,$CZ54)+SUMIFS($CO$14:$CO$68,$BR$14:$BR$68,$CZ54)+SUMIFS($CT$14:$CT$68,$BR$14:$BR$68,$CZ54)  -         SUMIF('Nährstoffe und Lagerraum'!$AX$113:$AX$155,$CZ54,'Nährstoffe und Lagerraum'!$V$113:$V$155)</f>
        <v>0</v>
      </c>
      <c r="GF54" s="1184"/>
      <c r="GG54" s="1184"/>
      <c r="GH54" s="1184">
        <f>SUMIF('Nährstoffe und Lagerraum'!$AX$113:$AX$155,$CZ54,'Nährstoffe und Lagerraum'!$U$113:$U$155)</f>
        <v>0</v>
      </c>
      <c r="GI54" s="1184">
        <f>SUMIF('Nährstoffe und Lagerraum'!$AX$113:$AX$155,$CZ54,'Nährstoffe und Lagerraum'!$V$113:$V$155)</f>
        <v>0</v>
      </c>
      <c r="GJ54" s="1184">
        <f t="shared" si="53"/>
        <v>0</v>
      </c>
      <c r="GK54" s="1184">
        <f t="shared" si="54"/>
        <v>0</v>
      </c>
      <c r="GL54" s="1184">
        <f t="shared" si="55"/>
        <v>0</v>
      </c>
      <c r="GM54" s="1184">
        <f t="shared" si="56"/>
        <v>0</v>
      </c>
      <c r="GN54" s="1184">
        <f t="shared" si="57"/>
        <v>0</v>
      </c>
      <c r="GO54" s="1184" cm="1">
        <f t="array" ref="GO54">IF(GN54=0,0,(IFERROR(SUMPRODUCT($J$14:$J$68,$CH$14:$CH$68,($BR$14:$BR$68=CZ54)*1)+SUMPRODUCT($L$14:$L$68,$M$14:$M$68,$CK$14:$CK$68,($BR$14:$BR$68=CZ54)*1,($BT$14:$BT$68=FALSE)*1)/10+SUMPRODUCT($R$14:$R$68,$CP$14:$CP$68,($BR$14:$BR$68=CZ54)*1),0))/GN54)</f>
        <v>0</v>
      </c>
      <c r="GP54" s="1184">
        <f t="shared" si="58"/>
        <v>0</v>
      </c>
      <c r="GQ54" s="1184">
        <f>(SUMIF('Nährstoffe und Lagerraum'!$AX$113:$AX$130,'Lagerhaltung (freiwillig)'!CZ54,'Nährstoffe und Lagerraum'!$D$113:$D$130)+SUMIF('Nährstoffe und Lagerraum'!$AX$137:$AX$155,'Lagerhaltung (freiwillig)'!CZ54,'Nährstoffe und Lagerraum'!$E$137:$E$155))</f>
        <v>0</v>
      </c>
      <c r="GR54" s="1184" cm="1">
        <f t="array" ref="GR54">IF(GQ54=0,0,(IFERROR(SUMPRODUCT('Nährstoffe und Lagerraum'!$D$113:$D$130,'Nährstoffe und Lagerraum'!$F$113:$F$130,('Nährstoffe und Lagerraum'!$AX$113:$AX$130='Lagerhaltung (freiwillig)'!CZ54)*1)+SUMPRODUCT('Nährstoffe und Lagerraum'!$E$137:$E$155,'Nährstoffe und Lagerraum'!$F$137:$F$155,('Nährstoffe und Lagerraum'!$AX$137:$AX$155='Lagerhaltung (freiwillig)'!CZ54)*1),0))/GQ54)</f>
        <v>0</v>
      </c>
      <c r="GS54" s="1184">
        <f t="shared" si="59"/>
        <v>0</v>
      </c>
      <c r="GT54" s="1184">
        <f t="shared" si="60"/>
        <v>0</v>
      </c>
      <c r="GU54" s="1184">
        <f t="shared" si="61"/>
        <v>0</v>
      </c>
      <c r="GV54" s="1184">
        <f t="shared" si="62"/>
        <v>0</v>
      </c>
      <c r="GW54" s="1186" t="str">
        <f t="shared" si="41"/>
        <v xml:space="preserve"> </v>
      </c>
      <c r="GX54" s="1186" t="str">
        <f t="shared" si="41"/>
        <v xml:space="preserve"> </v>
      </c>
      <c r="GY54" s="1195">
        <f t="shared" si="63"/>
        <v>0</v>
      </c>
      <c r="GZ54" s="1184">
        <f t="shared" si="64"/>
        <v>0</v>
      </c>
      <c r="HA54" s="1184" t="str">
        <f t="shared" si="132"/>
        <v>a</v>
      </c>
      <c r="HB54" s="1196">
        <f t="shared" si="65"/>
        <v>0</v>
      </c>
      <c r="HC54" s="1196">
        <f t="shared" si="66"/>
        <v>0</v>
      </c>
      <c r="HD54" s="1196"/>
      <c r="HE54" s="1187">
        <f t="shared" si="67"/>
        <v>0</v>
      </c>
      <c r="HF54" s="1196">
        <f t="shared" si="68"/>
        <v>0</v>
      </c>
      <c r="HG54" s="1196">
        <f t="shared" si="69"/>
        <v>0</v>
      </c>
      <c r="HH54" s="1196">
        <f t="shared" si="70"/>
        <v>0</v>
      </c>
      <c r="HI54" s="1328" cm="1">
        <f t="array" ref="HI54">IF(AND(HG54=0,GL54=0),0,IF(HG54=0,1,IF(OR(GL54*1000/HG54/HH54&gt;INDEX(Pflanzen!$W$5:$W$104,CZ54)/INDEX(Pflanzen!$I$5:$I$104,CZ54)*$HI$1,GL54*1000/HG54/HH54&lt;INDEX(Pflanzen!$W$5:$W$104,CZ54)/INDEX(Pflanzen!$I$5:$I$104,CZ54)/$HI$1),1,0)))</f>
        <v>0</v>
      </c>
      <c r="HJ54" s="1328" cm="1">
        <f t="array" ref="HJ54">IF(AND(GM54=0,HG54=0),0,IF(HG54=0,1,IF(OR(GM54*1000/HG54/HH54&gt;INDEX(Pflanzen!$X$5:$X$104,CZ54)/INDEX(Pflanzen!$I$5:$I$104,CZ54)*$HI$1,GM54*1000/HG54/HH54&lt;INDEX(Pflanzen!$X$5:$X$104,CZ54)/INDEX(Pflanzen!$I$5:$I$104,CZ54)/$HI$1),1,0)))</f>
        <v>0</v>
      </c>
      <c r="HK54" s="1184">
        <f t="shared" si="71"/>
        <v>3</v>
      </c>
      <c r="HL54" s="1184"/>
      <c r="HN54" s="1184"/>
      <c r="HO54" s="1193" t="str">
        <f>Tiere!B80</f>
        <v>Junghennen bis 16 Wochen, N-/P-reduziert</v>
      </c>
      <c r="HP54" s="1184">
        <v>51</v>
      </c>
      <c r="HQ54" s="1194">
        <f>SUMIF('Nährstoffe und Lagerraum'!$BM$68:$BM$87,'Lagerhaltung (freiwillig)'!HP54,'Nährstoffe und Lagerraum'!$Z$68:$Z$87)+SUMIF('Nährstoffe und Lagerraum'!$BM$68:$BM$87,'Lagerhaltung (freiwillig)'!HP54,'Nährstoffe und Lagerraum'!$AA$68:$AA$87)</f>
        <v>0</v>
      </c>
      <c r="HR54" s="1184" cm="1">
        <f t="array" ref="HR54">INDEX(Tiere!$C$30:$C$114,'Lagerhaltung (freiwillig)'!HP54)</f>
        <v>3</v>
      </c>
      <c r="HS54" s="1184" cm="1">
        <f t="array" ref="HS54">INDEX(Tiere!$H$30:$H$114,'Lagerhaltung (freiwillig)'!HP54)</f>
        <v>0</v>
      </c>
      <c r="HT54" s="1184">
        <f t="shared" si="12"/>
        <v>0</v>
      </c>
      <c r="HU54" s="1184" cm="1">
        <f t="array" ref="HU54">INDEX(Tiere!$I$30:$I$114,'Lagerhaltung (freiwillig)'!HP54)</f>
        <v>0</v>
      </c>
      <c r="HV54" s="1184">
        <f t="shared" si="13"/>
        <v>0</v>
      </c>
      <c r="HW54" s="1184" cm="1">
        <f t="array" ref="HW54">INDEX(Tiere!$BC$30:$BC$114,'Lagerhaltung (freiwillig)'!HP54)</f>
        <v>0.39830000000000004</v>
      </c>
      <c r="HX54" s="1184">
        <f t="shared" si="14"/>
        <v>0</v>
      </c>
      <c r="HY54" s="1184" cm="1">
        <f t="array" ref="HY54">INDEX(Tiere!$BD$30:$BD$114,'Lagerhaltung (freiwillig)'!HP54)</f>
        <v>0.14566400000000002</v>
      </c>
      <c r="HZ54" s="1184">
        <f t="shared" si="15"/>
        <v>0</v>
      </c>
      <c r="IA54" s="1184"/>
      <c r="IB54" s="1184"/>
      <c r="IC54" s="1184"/>
      <c r="ID54" s="1184"/>
      <c r="IE54" s="1184"/>
      <c r="IF54" s="1184"/>
      <c r="IG54" s="1184"/>
      <c r="IH54" s="1184"/>
      <c r="II54" s="1184"/>
      <c r="IJ54" s="1184"/>
      <c r="IK54" s="1184"/>
      <c r="IL54" s="1184"/>
    </row>
    <row r="55" spans="6:246" ht="15.6" customHeight="1" x14ac:dyDescent="0.2">
      <c r="F55" s="1122"/>
      <c r="G55" s="1498"/>
      <c r="H55" s="1336"/>
      <c r="I55" s="1162" t="str">
        <f t="shared" si="133"/>
        <v/>
      </c>
      <c r="J55" s="1303"/>
      <c r="K55" s="1162" t="str">
        <f t="shared" si="134"/>
        <v/>
      </c>
      <c r="L55" s="1487"/>
      <c r="M55" s="1491"/>
      <c r="N55" s="1487"/>
      <c r="O55" s="1487"/>
      <c r="P55" s="1303"/>
      <c r="Q55" s="1162" t="str">
        <f t="shared" si="135"/>
        <v/>
      </c>
      <c r="R55" s="1487"/>
      <c r="S55" s="1491"/>
      <c r="T55" s="1303"/>
      <c r="V55" s="1346" t="str">
        <f t="shared" si="156"/>
        <v/>
      </c>
      <c r="Y55" s="1554" t="str" cm="1">
        <f t="array" ref="Y55">IFERROR(INDEX($CY$4:$CY$165,AY55),"")</f>
        <v/>
      </c>
      <c r="Z55" s="1555"/>
      <c r="AA55" s="1555"/>
      <c r="AB55" s="1555"/>
      <c r="AC55" s="1454" t="str" cm="1">
        <f t="array" ref="AC55">IFERROR(INDEX($GN$4:$GN$165,AY55),"")</f>
        <v/>
      </c>
      <c r="AD55" s="1454" t="str" cm="1">
        <f t="array" ref="AD55">IFERROR(INDEX($GO$4:$GO$165,AY55),"")</f>
        <v/>
      </c>
      <c r="AE55" s="1454" t="str" cm="1">
        <f t="array" ref="AE55">IFERROR(INDEX($GJ$4:$GJ$165,AY55),"")</f>
        <v/>
      </c>
      <c r="AF55" s="1454" t="str" cm="1">
        <f t="array" ref="AF55">IFERROR(INDEX($GK$4:$GK$165,AY55),"")</f>
        <v/>
      </c>
      <c r="AG55" s="1454" t="str" cm="1">
        <f t="array" ref="AG55">IFERROR(INDEX($GQ$4:$GQ$165,AY55),"")</f>
        <v/>
      </c>
      <c r="AH55" s="1454" t="str" cm="1">
        <f t="array" ref="AH55">IFERROR(INDEX($GR$4:$GR$165,AY55),"")</f>
        <v/>
      </c>
      <c r="AI55" s="1454" t="str" cm="1">
        <f t="array" ref="AI55">IFERROR(INDEX($GH$4:$GH$165,AY55),"")</f>
        <v/>
      </c>
      <c r="AJ55" s="1454" t="str" cm="1">
        <f t="array" ref="AJ55">IFERROR(INDEX($GI$4:$GI$165,AY55),"")</f>
        <v/>
      </c>
      <c r="AK55" s="1454" t="str" cm="1">
        <f t="array" ref="AK55">IFERROR(INDEX($GU$4:$GU$165,AY55),"")</f>
        <v/>
      </c>
      <c r="AL55" s="1455" t="str" cm="1">
        <f t="array" ref="AL55">IFERROR(INDEX($GV$4:$GV$165,AY55),"")</f>
        <v/>
      </c>
      <c r="AM55" s="1454" t="str" cm="1">
        <f t="array" ref="AM55">IFERROR(INDEX($GD$4:$GD$165,AY55),"")</f>
        <v/>
      </c>
      <c r="AN55" s="1454" t="str" cm="1">
        <f t="array" ref="AN55">IFERROR(INDEX($GE$4:$GE$165,AY55),"")</f>
        <v/>
      </c>
      <c r="AO55" s="1454" t="str" cm="1">
        <f t="array" ref="AO55">IFERROR(INDEX($GW$4:$GW$165,AY55),"")</f>
        <v/>
      </c>
      <c r="AP55" s="1454" t="str" cm="1">
        <f t="array" ref="AP55">IFERROR(INDEX($GZ$4:$GZ$165,AY55),"")</f>
        <v/>
      </c>
      <c r="AQ55" s="1457"/>
      <c r="AR55" s="1454" t="str" cm="1">
        <f t="array" ref="AR55">IFERROR(INDEX($HF$4:$HF$165,AY55),"")</f>
        <v/>
      </c>
      <c r="AS55" s="1454" t="str" cm="1">
        <f t="array" ref="AS55">IFERROR(INDEX($HG$4:$HG$165,AY55),"")</f>
        <v/>
      </c>
      <c r="AT55" s="1454" t="str" cm="1">
        <f t="array" ref="AT55">IFERROR(INDEX($HH$4:$HH$165,AY55),"")</f>
        <v/>
      </c>
      <c r="AU55" s="1454" t="str" cm="1">
        <f t="array" ref="AU55">IFERROR(INDEX($GL$4:$GL$165,AY55),"")</f>
        <v/>
      </c>
      <c r="AV55" s="1454" t="str" cm="1">
        <f t="array" ref="AV55">IFERROR(INDEX($GM$4:$GM$165,AY55),"")</f>
        <v/>
      </c>
      <c r="AW55" s="1459"/>
      <c r="AX55" s="1459"/>
      <c r="AY55" s="1460" t="str" cm="1">
        <f t="array" ref="AY55">IFERROR(SMALL(IF($HK$4:$HK$165=1,ROW($HK$4:$HK$165)-3),ROW(W40)),IFERROR(SMALL(IF($HK$4:$HK$165=2,ROW($HK$4:$HK$165)-3),ROW(W40)-COUNTIF($HK$4:$HK$165,1)),IFERROR(SMALL(IF($HK$4:$HK$165=0,ROW($HK$4:$HK$165)-3),ROW(W40)-COUNTIF($HK$4:$HK$165,1)-COUNTIF($HK$4:$HK$165,2)),"")))</f>
        <v/>
      </c>
      <c r="AZ55" s="1460" t="str">
        <f t="shared" si="129"/>
        <v>a</v>
      </c>
      <c r="BA55" s="1461" t="e">
        <f t="shared" si="130"/>
        <v>#VALUE!</v>
      </c>
      <c r="BB55" s="1461" cm="1">
        <f t="array" ref="BB55">IFERROR(INDEX($HK$4:$HK$165,AY55),0)</f>
        <v>0</v>
      </c>
      <c r="BC55" s="1461">
        <f t="shared" si="131"/>
        <v>0</v>
      </c>
      <c r="BD55" s="1461"/>
      <c r="BE55" s="1462"/>
      <c r="BF55" s="1343"/>
      <c r="BG55" s="1343"/>
      <c r="BH55" s="1343"/>
      <c r="BI55" s="1343"/>
      <c r="BJ55" s="1343"/>
      <c r="BK55" s="1343"/>
      <c r="BL55" s="1343"/>
      <c r="BM55" s="1343"/>
      <c r="BN55" s="1343"/>
      <c r="BO55" s="1343"/>
      <c r="BQ55" s="1184">
        <v>1</v>
      </c>
      <c r="BR55" cm="1">
        <f t="array" ref="BR55">INDEX(Pflanzen!$B$5:$B$112,'Lagerhaltung (freiwillig)'!BQ55)</f>
        <v>1</v>
      </c>
      <c r="BS55" s="1184"/>
      <c r="BT55" s="1184" t="b">
        <v>0</v>
      </c>
      <c r="BU55" s="1185"/>
      <c r="BV55" s="1185"/>
      <c r="BW55" s="1184">
        <f t="shared" si="136"/>
        <v>12</v>
      </c>
      <c r="BX55" s="1184">
        <f t="shared" si="137"/>
        <v>0</v>
      </c>
      <c r="BY55" s="1184">
        <f t="shared" si="138"/>
        <v>12</v>
      </c>
      <c r="BZ55" s="1184" cm="1">
        <f t="array" ref="BZ55">INDEX(Pflanzen!$AB$5:$AB$114,'Lagerhaltung (freiwillig)'!BR55)</f>
        <v>0</v>
      </c>
      <c r="CA55" s="1184" cm="1">
        <f t="array" ref="CA55">IF(BZ55=1,INDEX(Pflanzen!$AC$5:$AC$114,BR55),N55)</f>
        <v>0</v>
      </c>
      <c r="CB55" s="1184" cm="1">
        <f t="array" ref="CB55">IF(BZ55=1,INDEX(Pflanzen!$AD$5:$AD$114,BR55),O55)</f>
        <v>0</v>
      </c>
      <c r="CC55" s="1184">
        <f t="shared" si="139"/>
        <v>12</v>
      </c>
      <c r="CD55" s="1184">
        <f t="shared" si="140"/>
        <v>0</v>
      </c>
      <c r="CE55" s="1184">
        <f t="shared" si="141"/>
        <v>12</v>
      </c>
      <c r="CF55" s="1184" cm="1">
        <f t="array" ref="CF55">INDEX(Pflanzen!$F$5:$F$114,BR55)</f>
        <v>0</v>
      </c>
      <c r="CG55" s="1184" cm="1">
        <f t="array" ref="CG55">INDEX(Pflanzen!$G$5:$G$114,BR55)</f>
        <v>0</v>
      </c>
      <c r="CH55" s="1184">
        <f t="shared" si="142"/>
        <v>0</v>
      </c>
      <c r="CI55" s="1184">
        <f t="shared" si="143"/>
        <v>0</v>
      </c>
      <c r="CJ55" s="1184">
        <f t="shared" si="144"/>
        <v>0</v>
      </c>
      <c r="CK55" s="1184">
        <f t="shared" si="145"/>
        <v>0</v>
      </c>
      <c r="CL55" s="1184">
        <f t="shared" si="146"/>
        <v>0</v>
      </c>
      <c r="CM55" s="1184">
        <f t="shared" si="147"/>
        <v>0</v>
      </c>
      <c r="CN55" s="1184">
        <f t="shared" si="148"/>
        <v>0</v>
      </c>
      <c r="CO55" s="1184">
        <f t="shared" si="149"/>
        <v>0</v>
      </c>
      <c r="CP55" s="1184">
        <f t="shared" si="150"/>
        <v>0</v>
      </c>
      <c r="CQ55" s="1184">
        <f t="shared" si="151"/>
        <v>0</v>
      </c>
      <c r="CR55" s="1184">
        <f t="shared" si="152"/>
        <v>0</v>
      </c>
      <c r="CS55" s="1184">
        <f t="shared" si="153"/>
        <v>0</v>
      </c>
      <c r="CT55" s="1184">
        <f t="shared" si="154"/>
        <v>0</v>
      </c>
      <c r="CU55" s="1184">
        <f t="shared" si="157"/>
        <v>2</v>
      </c>
      <c r="CV55" s="1186" cm="1">
        <f t="array" ref="CV55">IF(AND(COUNTIF($BR$14:$BR$36,BR55)&gt;0,BR55&lt;ROWS(Pflanzen!$C$5:$C$107)),INDEX(Pflanzen!$I$5:$I$114,BR55),SUMIF($BR$44:$BR$68,BR55,$F$44:$F$69)/COUNTIF($BR$44:$BR$68,BR55))</f>
        <v>0</v>
      </c>
      <c r="CW55" s="1186">
        <f t="shared" si="155"/>
        <v>0</v>
      </c>
      <c r="CX55" s="1184"/>
      <c r="CY55" s="320" t="str">
        <f>Pflanzen!A51</f>
        <v>Lieschkolbensilage</v>
      </c>
      <c r="CZ55" s="1200">
        <f>IFERROR(MATCH($CY55,Pflanzen!$C$5:$C$114,0),1)</f>
        <v>47</v>
      </c>
      <c r="DA55" s="320" cm="1">
        <f t="array" ref="DA55">INDEX(Pflanzen!$H$5:$H$114,'Lagerhaltung (freiwillig)'!CZ55)</f>
        <v>2</v>
      </c>
      <c r="DB55" s="1200">
        <f t="shared" si="158"/>
        <v>0</v>
      </c>
      <c r="DC55" s="1200">
        <f t="shared" si="158"/>
        <v>0</v>
      </c>
      <c r="DD55" s="1200">
        <f t="shared" si="158"/>
        <v>0</v>
      </c>
      <c r="DE55" s="1200">
        <f t="shared" si="158"/>
        <v>0</v>
      </c>
      <c r="DF55" s="1200">
        <f t="shared" si="158"/>
        <v>0</v>
      </c>
      <c r="DG55" s="1184">
        <f t="shared" si="158"/>
        <v>0</v>
      </c>
      <c r="DH55" s="1184">
        <f t="shared" si="158"/>
        <v>0</v>
      </c>
      <c r="DI55" s="1184">
        <f t="shared" si="158"/>
        <v>0</v>
      </c>
      <c r="DJ55" s="1184">
        <f t="shared" si="158"/>
        <v>0</v>
      </c>
      <c r="DK55" s="1184">
        <f t="shared" si="158"/>
        <v>0</v>
      </c>
      <c r="DL55" s="1184">
        <f t="shared" si="158"/>
        <v>0</v>
      </c>
      <c r="DM55" s="1184">
        <f t="shared" si="158"/>
        <v>0</v>
      </c>
      <c r="DN55" s="1184"/>
      <c r="DO55" s="1184">
        <f t="shared" si="159"/>
        <v>0</v>
      </c>
      <c r="DP55" s="1184">
        <f t="shared" si="159"/>
        <v>0</v>
      </c>
      <c r="DQ55" s="1184">
        <f t="shared" si="159"/>
        <v>0</v>
      </c>
      <c r="DR55" s="1184">
        <f t="shared" si="159"/>
        <v>0</v>
      </c>
      <c r="DS55" s="1184">
        <f t="shared" si="159"/>
        <v>0</v>
      </c>
      <c r="DT55" s="1184">
        <f t="shared" si="159"/>
        <v>0</v>
      </c>
      <c r="DU55" s="1184">
        <f t="shared" si="159"/>
        <v>0</v>
      </c>
      <c r="DV55" s="1184">
        <f t="shared" si="159"/>
        <v>0</v>
      </c>
      <c r="DW55" s="1184">
        <f t="shared" si="159"/>
        <v>0</v>
      </c>
      <c r="DX55" s="1184">
        <f t="shared" si="159"/>
        <v>0</v>
      </c>
      <c r="DY55" s="1184">
        <f t="shared" si="159"/>
        <v>0</v>
      </c>
      <c r="DZ55" s="1184">
        <f t="shared" si="159"/>
        <v>0</v>
      </c>
      <c r="EA55" s="1184"/>
      <c r="EB55" s="1184">
        <f t="shared" si="160"/>
        <v>0</v>
      </c>
      <c r="EC55" s="1184">
        <f t="shared" si="160"/>
        <v>0</v>
      </c>
      <c r="ED55" s="1184">
        <f t="shared" si="160"/>
        <v>0</v>
      </c>
      <c r="EE55" s="1184">
        <f t="shared" si="160"/>
        <v>0</v>
      </c>
      <c r="EF55" s="1184">
        <f t="shared" si="160"/>
        <v>0</v>
      </c>
      <c r="EG55" s="1184">
        <f t="shared" si="160"/>
        <v>0</v>
      </c>
      <c r="EH55" s="1184">
        <f t="shared" si="160"/>
        <v>0</v>
      </c>
      <c r="EI55" s="1184">
        <f t="shared" si="160"/>
        <v>0</v>
      </c>
      <c r="EJ55" s="1184">
        <f t="shared" si="160"/>
        <v>0</v>
      </c>
      <c r="EK55" s="1184">
        <f t="shared" si="160"/>
        <v>0</v>
      </c>
      <c r="EL55" s="1184">
        <f t="shared" si="160"/>
        <v>0</v>
      </c>
      <c r="EM55" s="1184">
        <f t="shared" si="160"/>
        <v>0</v>
      </c>
      <c r="EN55" s="1184"/>
      <c r="EO55" s="1184">
        <f t="shared" si="161"/>
        <v>0</v>
      </c>
      <c r="EP55" s="1184">
        <f t="shared" si="161"/>
        <v>0</v>
      </c>
      <c r="EQ55" s="1184">
        <f t="shared" si="161"/>
        <v>0</v>
      </c>
      <c r="ER55" s="1184">
        <f t="shared" si="161"/>
        <v>0</v>
      </c>
      <c r="ES55" s="1184">
        <f t="shared" si="161"/>
        <v>0</v>
      </c>
      <c r="ET55" s="1184">
        <f t="shared" si="161"/>
        <v>0</v>
      </c>
      <c r="EU55" s="1184">
        <f t="shared" si="161"/>
        <v>0</v>
      </c>
      <c r="EV55" s="1184">
        <f t="shared" si="161"/>
        <v>0</v>
      </c>
      <c r="EW55" s="1184">
        <f t="shared" si="161"/>
        <v>0</v>
      </c>
      <c r="EX55" s="1184">
        <f t="shared" si="161"/>
        <v>0</v>
      </c>
      <c r="EY55" s="1184">
        <f t="shared" si="161"/>
        <v>0</v>
      </c>
      <c r="EZ55" s="1184">
        <f t="shared" si="161"/>
        <v>0</v>
      </c>
      <c r="FA55" s="1184"/>
      <c r="FB55" s="1186">
        <f t="shared" si="51"/>
        <v>0</v>
      </c>
      <c r="FC55" s="1184">
        <f>FB55+DB55+EB55                 -         SUMIF('Nährstoffe und Lagerraum'!$AX$113:$AX$155,$CZ55,'Nährstoffe und Lagerraum'!$U$113:$U$155)/12  -$GD55*$HE55/12</f>
        <v>0</v>
      </c>
      <c r="FD55" s="1184">
        <f>FC55+DC55+EC55                 -         SUMIF('Nährstoffe und Lagerraum'!$AX$113:$AX$155,$CZ55,'Nährstoffe und Lagerraum'!$U$113:$U$155)/12  -$GD55*$HE55/12</f>
        <v>0</v>
      </c>
      <c r="FE55" s="1184">
        <f>FD55+DD55+ED55                 -         SUMIF('Nährstoffe und Lagerraum'!$AX$113:$AX$155,$CZ55,'Nährstoffe und Lagerraum'!$U$113:$U$155)/12  -$GD55*$HE55/12</f>
        <v>0</v>
      </c>
      <c r="FF55" s="1184">
        <f>FE55+DE55+EE55                 -         SUMIF('Nährstoffe und Lagerraum'!$AX$113:$AX$155,$CZ55,'Nährstoffe und Lagerraum'!$U$113:$U$155)/12  -$GD55*$HE55/12</f>
        <v>0</v>
      </c>
      <c r="FG55" s="1184">
        <f>FF55+DF55+EF55                 -         SUMIF('Nährstoffe und Lagerraum'!$AX$113:$AX$155,$CZ55,'Nährstoffe und Lagerraum'!$U$113:$U$155)/12  -$GD55*$HE55/12</f>
        <v>0</v>
      </c>
      <c r="FH55" s="1184">
        <f>FG55+DG55+EG55                 -         SUMIF('Nährstoffe und Lagerraum'!$AX$113:$AX$155,$CZ55,'Nährstoffe und Lagerraum'!$U$113:$U$155)/12  -$GD55*$HE55/12</f>
        <v>0</v>
      </c>
      <c r="FI55" s="1184">
        <f>FH55+DH55+EH55                 -         SUMIF('Nährstoffe und Lagerraum'!$AX$113:$AX$155,$CZ55,'Nährstoffe und Lagerraum'!$U$113:$U$155)/12  -$GD55*$HE55/12</f>
        <v>0</v>
      </c>
      <c r="FJ55" s="1184">
        <f>FI55+DI55+EI55                 -         SUMIF('Nährstoffe und Lagerraum'!$AX$113:$AX$155,$CZ55,'Nährstoffe und Lagerraum'!$U$113:$U$155)/12  -$GD55*$HE55/12</f>
        <v>0</v>
      </c>
      <c r="FK55" s="1184">
        <f>FJ55+DJ55+EJ55                 -         SUMIF('Nährstoffe und Lagerraum'!$AX$113:$AX$155,$CZ55,'Nährstoffe und Lagerraum'!$U$113:$U$155)/12  -$GD55*$HE55/12</f>
        <v>0</v>
      </c>
      <c r="FL55" s="1184">
        <f>FK55+DK55+EK55                 -         SUMIF('Nährstoffe und Lagerraum'!$AX$113:$AX$155,$CZ55,'Nährstoffe und Lagerraum'!$U$113:$U$155)/12  -$GD55*$HE55/12</f>
        <v>0</v>
      </c>
      <c r="FM55" s="1184">
        <f>FL55+DL55+EL55                 -         SUMIF('Nährstoffe und Lagerraum'!$AX$113:$AX$155,$CZ55,'Nährstoffe und Lagerraum'!$U$113:$U$155)/12  -$GD55*$HE55/12</f>
        <v>0</v>
      </c>
      <c r="FN55" s="1184">
        <f>FM55+DM55+EM55                 -         SUMIF('Nährstoffe und Lagerraum'!$AX$113:$AX$155,$CZ55,'Nährstoffe und Lagerraum'!$U$113:$U$155)/12  -$GD55*$HE55/12</f>
        <v>0</v>
      </c>
      <c r="FO55" s="1184"/>
      <c r="FP55" s="1186">
        <f t="shared" si="52"/>
        <v>0</v>
      </c>
      <c r="FQ55" s="1184">
        <f>FP55+DO55+EO55                 -         SUMIF('Nährstoffe und Lagerraum'!$AX$113:$AX$155,$CZ55,'Nährstoffe und Lagerraum'!$V$113:$V$155)/12  -$GE55*$HE55/12</f>
        <v>0</v>
      </c>
      <c r="FR55" s="1184">
        <f>FQ55+DP55+EP55                 -         SUMIF('Nährstoffe und Lagerraum'!$AX$113:$AX$155,$CZ55,'Nährstoffe und Lagerraum'!$V$113:$V$155)/12  -$GE55*$HE55/12</f>
        <v>0</v>
      </c>
      <c r="FS55" s="1184">
        <f>FR55+DQ55+EQ55                 -         SUMIF('Nährstoffe und Lagerraum'!$AX$113:$AX$155,$CZ55,'Nährstoffe und Lagerraum'!$V$113:$V$155)/12  -$GE55*$HE55/12</f>
        <v>0</v>
      </c>
      <c r="FT55" s="1184">
        <f>FS55+DR55+ER55                 -         SUMIF('Nährstoffe und Lagerraum'!$AX$113:$AX$155,$CZ55,'Nährstoffe und Lagerraum'!$V$113:$V$155)/12  -$GE55*$HE55/12</f>
        <v>0</v>
      </c>
      <c r="FU55" s="1184">
        <f>FT55+DS55+ES55                 -         SUMIF('Nährstoffe und Lagerraum'!$AX$113:$AX$155,$CZ55,'Nährstoffe und Lagerraum'!$V$113:$V$155)/12  -$GE55*$HE55/12</f>
        <v>0</v>
      </c>
      <c r="FV55" s="1184">
        <f>FU55+DT55+ET55                 -         SUMIF('Nährstoffe und Lagerraum'!$AX$113:$AX$155,$CZ55,'Nährstoffe und Lagerraum'!$V$113:$V$155)/12  -$GE55*$HE55/12</f>
        <v>0</v>
      </c>
      <c r="FW55" s="1184">
        <f>FV55+DU55+EU55                 -         SUMIF('Nährstoffe und Lagerraum'!$AX$113:$AX$155,$CZ55,'Nährstoffe und Lagerraum'!$V$113:$V$155)/12  -$GE55*$HE55/12</f>
        <v>0</v>
      </c>
      <c r="FX55" s="1184">
        <f>FW55+DV55+EV55                 -         SUMIF('Nährstoffe und Lagerraum'!$AX$113:$AX$155,$CZ55,'Nährstoffe und Lagerraum'!$V$113:$V$155)/12  -$GE55*$HE55/12</f>
        <v>0</v>
      </c>
      <c r="FY55" s="1184">
        <f>FX55+DW55+EW55                 -         SUMIF('Nährstoffe und Lagerraum'!$AX$113:$AX$155,$CZ55,'Nährstoffe und Lagerraum'!$V$113:$V$155)/12  -$GE55*$HE55/12</f>
        <v>0</v>
      </c>
      <c r="FZ55" s="1184">
        <f>FY55+DX55+EX55                 -         SUMIF('Nährstoffe und Lagerraum'!$AX$113:$AX$155,$CZ55,'Nährstoffe und Lagerraum'!$V$113:$V$155)/12  -$GE55*$HE55/12</f>
        <v>0</v>
      </c>
      <c r="GA55" s="1184">
        <f>FZ55+DY55+EY55                 -         SUMIF('Nährstoffe und Lagerraum'!$AX$113:$AX$155,$CZ55,'Nährstoffe und Lagerraum'!$V$113:$V$155)/12  -$GE55*$HE55/12</f>
        <v>0</v>
      </c>
      <c r="GB55" s="1184">
        <f>GA55+DZ55+EZ55                 -         SUMIF('Nährstoffe und Lagerraum'!$AX$113:$AX$155,$CZ55,'Nährstoffe und Lagerraum'!$V$113:$V$155)/12  -$GE55*$HE55/12</f>
        <v>0</v>
      </c>
      <c r="GC55" s="1184"/>
      <c r="GD55" s="1184">
        <f>SUMIFS($CI$14:$CI$68,$BR$14:$BR$68,$CZ55)+SUMIFS($CM$14:$CM$68,$BR$14:$BR$68,$CZ55)+SUMIFS($CR$14:$CR$68,$BR$14:$BR$68,$CZ55)  -         SUMIF('Nährstoffe und Lagerraum'!$AX$113:$AX$155,$CZ55,'Nährstoffe und Lagerraum'!$U$113:$U$155)</f>
        <v>0</v>
      </c>
      <c r="GE55" s="1184">
        <f>SUMIFS($CJ$14:$CJ$68,$BR$14:$BR$68,$CZ55)+SUMIFS($CO$14:$CO$68,$BR$14:$BR$68,$CZ55)+SUMIFS($CT$14:$CT$68,$BR$14:$BR$68,$CZ55)  -         SUMIF('Nährstoffe und Lagerraum'!$AX$113:$AX$155,$CZ55,'Nährstoffe und Lagerraum'!$V$113:$V$155)</f>
        <v>0</v>
      </c>
      <c r="GF55" s="1184"/>
      <c r="GG55" s="1184"/>
      <c r="GH55" s="1184">
        <f>SUMIF('Nährstoffe und Lagerraum'!$AX$113:$AX$155,$CZ55,'Nährstoffe und Lagerraum'!$U$113:$U$155)</f>
        <v>0</v>
      </c>
      <c r="GI55" s="1184">
        <f>SUMIF('Nährstoffe und Lagerraum'!$AX$113:$AX$155,$CZ55,'Nährstoffe und Lagerraum'!$V$113:$V$155)</f>
        <v>0</v>
      </c>
      <c r="GJ55" s="1184">
        <f t="shared" si="53"/>
        <v>0</v>
      </c>
      <c r="GK55" s="1184">
        <f t="shared" si="54"/>
        <v>0</v>
      </c>
      <c r="GL55" s="1184">
        <f t="shared" si="55"/>
        <v>0</v>
      </c>
      <c r="GM55" s="1184">
        <f t="shared" si="56"/>
        <v>0</v>
      </c>
      <c r="GN55" s="1184">
        <f t="shared" si="57"/>
        <v>0</v>
      </c>
      <c r="GO55" s="1184" cm="1">
        <f t="array" ref="GO55">IF(GN55=0,0,(IFERROR(SUMPRODUCT($J$14:$J$68,$CH$14:$CH$68,($BR$14:$BR$68=CZ55)*1)+SUMPRODUCT($L$14:$L$68,$M$14:$M$68,$CK$14:$CK$68,($BR$14:$BR$68=CZ55)*1,($BT$14:$BT$68=FALSE)*1)/10+SUMPRODUCT($R$14:$R$68,$CP$14:$CP$68,($BR$14:$BR$68=CZ55)*1),0))/GN55)</f>
        <v>0</v>
      </c>
      <c r="GP55" s="1184">
        <f t="shared" si="58"/>
        <v>0</v>
      </c>
      <c r="GQ55" s="1184">
        <f>(SUMIF('Nährstoffe und Lagerraum'!$AX$113:$AX$130,'Lagerhaltung (freiwillig)'!CZ55,'Nährstoffe und Lagerraum'!$D$113:$D$130)+SUMIF('Nährstoffe und Lagerraum'!$AX$137:$AX$155,'Lagerhaltung (freiwillig)'!CZ55,'Nährstoffe und Lagerraum'!$E$137:$E$155))</f>
        <v>0</v>
      </c>
      <c r="GR55" s="1184" cm="1">
        <f t="array" ref="GR55">IF(GQ55=0,0,(IFERROR(SUMPRODUCT('Nährstoffe und Lagerraum'!$D$113:$D$130,'Nährstoffe und Lagerraum'!$F$113:$F$130,('Nährstoffe und Lagerraum'!$AX$113:$AX$130='Lagerhaltung (freiwillig)'!CZ55)*1)+SUMPRODUCT('Nährstoffe und Lagerraum'!$E$137:$E$155,'Nährstoffe und Lagerraum'!$F$137:$F$155,('Nährstoffe und Lagerraum'!$AX$137:$AX$155='Lagerhaltung (freiwillig)'!CZ55)*1),0))/GQ55)</f>
        <v>0</v>
      </c>
      <c r="GS55" s="1184">
        <f t="shared" si="59"/>
        <v>0</v>
      </c>
      <c r="GT55" s="1184">
        <f t="shared" si="60"/>
        <v>0</v>
      </c>
      <c r="GU55" s="1184">
        <f t="shared" si="61"/>
        <v>0</v>
      </c>
      <c r="GV55" s="1184">
        <f t="shared" si="62"/>
        <v>0</v>
      </c>
      <c r="GW55" s="1186" t="str">
        <f t="shared" si="41"/>
        <v xml:space="preserve"> </v>
      </c>
      <c r="GX55" s="1186" t="str">
        <f t="shared" si="41"/>
        <v xml:space="preserve"> </v>
      </c>
      <c r="GY55" s="1195">
        <f t="shared" si="63"/>
        <v>0</v>
      </c>
      <c r="GZ55" s="1184">
        <f t="shared" si="64"/>
        <v>0</v>
      </c>
      <c r="HA55" s="1184" t="str">
        <f t="shared" si="132"/>
        <v>a</v>
      </c>
      <c r="HB55" s="1196">
        <f t="shared" si="65"/>
        <v>0</v>
      </c>
      <c r="HC55" s="1196">
        <f t="shared" si="66"/>
        <v>0</v>
      </c>
      <c r="HD55" s="1196"/>
      <c r="HE55" s="1187">
        <f t="shared" si="67"/>
        <v>0</v>
      </c>
      <c r="HF55" s="1196">
        <f t="shared" si="68"/>
        <v>0</v>
      </c>
      <c r="HG55" s="1196">
        <f t="shared" si="69"/>
        <v>0</v>
      </c>
      <c r="HH55" s="1196">
        <f t="shared" si="70"/>
        <v>0</v>
      </c>
      <c r="HI55" s="1328" cm="1">
        <f t="array" ref="HI55">IF(AND(HG55=0,GL55=0),0,IF(HG55=0,1,IF(OR(GL55*1000/HG55/HH55&gt;INDEX(Pflanzen!$W$5:$W$104,CZ55)/INDEX(Pflanzen!$I$5:$I$104,CZ55)*$HI$1,GL55*1000/HG55/HH55&lt;INDEX(Pflanzen!$W$5:$W$104,CZ55)/INDEX(Pflanzen!$I$5:$I$104,CZ55)/$HI$1),1,0)))</f>
        <v>0</v>
      </c>
      <c r="HJ55" s="1328" cm="1">
        <f t="array" ref="HJ55">IF(AND(GM55=0,HG55=0),0,IF(HG55=0,1,IF(OR(GM55*1000/HG55/HH55&gt;INDEX(Pflanzen!$X$5:$X$104,CZ55)/INDEX(Pflanzen!$I$5:$I$104,CZ55)*$HI$1,GM55*1000/HG55/HH55&lt;INDEX(Pflanzen!$X$5:$X$104,CZ55)/INDEX(Pflanzen!$I$5:$I$104,CZ55)/$HI$1),1,0)))</f>
        <v>0</v>
      </c>
      <c r="HK55" s="1184">
        <f t="shared" si="71"/>
        <v>3</v>
      </c>
      <c r="HL55" s="1184"/>
      <c r="HN55" s="1184"/>
      <c r="HO55" s="1193" t="str">
        <f>Tiere!B81</f>
        <v>Masthähnchen, Standard</v>
      </c>
      <c r="HP55" s="1184">
        <v>52</v>
      </c>
      <c r="HQ55" s="1194">
        <f>SUMIF('Nährstoffe und Lagerraum'!$BM$68:$BM$87,'Lagerhaltung (freiwillig)'!HP55,'Nährstoffe und Lagerraum'!$Z$68:$Z$87)+SUMIF('Nährstoffe und Lagerraum'!$BM$68:$BM$87,'Lagerhaltung (freiwillig)'!HP55,'Nährstoffe und Lagerraum'!$AA$68:$AA$87)</f>
        <v>0</v>
      </c>
      <c r="HR55" s="1184" cm="1">
        <f t="array" ref="HR55">INDEX(Tiere!$C$30:$C$114,'Lagerhaltung (freiwillig)'!HP55)</f>
        <v>3</v>
      </c>
      <c r="HS55" s="1184" cm="1">
        <f t="array" ref="HS55">INDEX(Tiere!$H$30:$H$114,'Lagerhaltung (freiwillig)'!HP55)</f>
        <v>0</v>
      </c>
      <c r="HT55" s="1184">
        <f t="shared" si="12"/>
        <v>0</v>
      </c>
      <c r="HU55" s="1184" cm="1">
        <f t="array" ref="HU55">INDEX(Tiere!$I$30:$I$114,'Lagerhaltung (freiwillig)'!HP55)</f>
        <v>0</v>
      </c>
      <c r="HV55" s="1184">
        <f t="shared" si="13"/>
        <v>0</v>
      </c>
      <c r="HW55" s="1184" cm="1">
        <f t="array" ref="HW55">INDEX(Tiere!$BC$30:$BC$114,'Lagerhaltung (freiwillig)'!HP55)</f>
        <v>0.6996</v>
      </c>
      <c r="HX55" s="1184">
        <f t="shared" si="14"/>
        <v>0</v>
      </c>
      <c r="HY55" s="1184" cm="1">
        <f t="array" ref="HY55">INDEX(Tiere!$BD$30:$BD$114,'Lagerhaltung (freiwillig)'!HP55)</f>
        <v>0.21454400000000001</v>
      </c>
      <c r="HZ55" s="1184">
        <f t="shared" si="15"/>
        <v>0</v>
      </c>
      <c r="IA55" s="1184"/>
      <c r="IB55" s="1184"/>
      <c r="IC55" s="1184"/>
      <c r="ID55" s="1184"/>
      <c r="IE55" s="1184"/>
      <c r="IF55" s="1184"/>
      <c r="IG55" s="1184"/>
      <c r="IH55" s="1184"/>
      <c r="II55" s="1184"/>
      <c r="IJ55" s="1184"/>
      <c r="IK55" s="1184"/>
      <c r="IL55" s="1184"/>
    </row>
    <row r="56" spans="6:246" ht="15.6" customHeight="1" x14ac:dyDescent="0.2">
      <c r="F56" s="1122"/>
      <c r="G56" s="1498"/>
      <c r="H56" s="1336"/>
      <c r="I56" s="1162" t="str">
        <f t="shared" si="133"/>
        <v/>
      </c>
      <c r="J56" s="1303"/>
      <c r="K56" s="1162" t="str">
        <f t="shared" si="134"/>
        <v/>
      </c>
      <c r="L56" s="1487"/>
      <c r="M56" s="1491"/>
      <c r="N56" s="1487"/>
      <c r="O56" s="1487"/>
      <c r="P56" s="1303"/>
      <c r="Q56" s="1162" t="str">
        <f t="shared" si="135"/>
        <v/>
      </c>
      <c r="R56" s="1487"/>
      <c r="S56" s="1491"/>
      <c r="T56" s="1303"/>
      <c r="V56" s="1346" t="str">
        <f t="shared" si="156"/>
        <v/>
      </c>
      <c r="Y56" s="1554" t="str" cm="1">
        <f t="array" ref="Y56">IFERROR(INDEX($CY$4:$CY$165,AY56),"")</f>
        <v/>
      </c>
      <c r="Z56" s="1555"/>
      <c r="AA56" s="1555"/>
      <c r="AB56" s="1555"/>
      <c r="AC56" s="1454" t="str" cm="1">
        <f t="array" ref="AC56">IFERROR(INDEX($GN$4:$GN$165,AY56),"")</f>
        <v/>
      </c>
      <c r="AD56" s="1454" t="str" cm="1">
        <f t="array" ref="AD56">IFERROR(INDEX($GO$4:$GO$165,AY56),"")</f>
        <v/>
      </c>
      <c r="AE56" s="1454" t="str" cm="1">
        <f t="array" ref="AE56">IFERROR(INDEX($GJ$4:$GJ$165,AY56),"")</f>
        <v/>
      </c>
      <c r="AF56" s="1454" t="str" cm="1">
        <f t="array" ref="AF56">IFERROR(INDEX($GK$4:$GK$165,AY56),"")</f>
        <v/>
      </c>
      <c r="AG56" s="1454" t="str" cm="1">
        <f t="array" ref="AG56">IFERROR(INDEX($GQ$4:$GQ$165,AY56),"")</f>
        <v/>
      </c>
      <c r="AH56" s="1454" t="str" cm="1">
        <f t="array" ref="AH56">IFERROR(INDEX($GR$4:$GR$165,AY56),"")</f>
        <v/>
      </c>
      <c r="AI56" s="1454" t="str" cm="1">
        <f t="array" ref="AI56">IFERROR(INDEX($GH$4:$GH$165,AY56),"")</f>
        <v/>
      </c>
      <c r="AJ56" s="1454" t="str" cm="1">
        <f t="array" ref="AJ56">IFERROR(INDEX($GI$4:$GI$165,AY56),"")</f>
        <v/>
      </c>
      <c r="AK56" s="1454" t="str" cm="1">
        <f t="array" ref="AK56">IFERROR(INDEX($GU$4:$GU$165,AY56),"")</f>
        <v/>
      </c>
      <c r="AL56" s="1455" t="str" cm="1">
        <f t="array" ref="AL56">IFERROR(INDEX($GV$4:$GV$165,AY56),"")</f>
        <v/>
      </c>
      <c r="AM56" s="1454" t="str" cm="1">
        <f t="array" ref="AM56">IFERROR(INDEX($GD$4:$GD$165,AY56),"")</f>
        <v/>
      </c>
      <c r="AN56" s="1454" t="str" cm="1">
        <f t="array" ref="AN56">IFERROR(INDEX($GE$4:$GE$165,AY56),"")</f>
        <v/>
      </c>
      <c r="AO56" s="1454" t="str" cm="1">
        <f t="array" ref="AO56">IFERROR(INDEX($GW$4:$GW$165,AY56),"")</f>
        <v/>
      </c>
      <c r="AP56" s="1454" t="str" cm="1">
        <f t="array" ref="AP56">IFERROR(INDEX($GZ$4:$GZ$165,AY56),"")</f>
        <v/>
      </c>
      <c r="AQ56" s="1457"/>
      <c r="AR56" s="1454" t="str" cm="1">
        <f t="array" ref="AR56">IFERROR(INDEX($HF$4:$HF$165,AY56),"")</f>
        <v/>
      </c>
      <c r="AS56" s="1454" t="str" cm="1">
        <f t="array" ref="AS56">IFERROR(INDEX($HG$4:$HG$165,AY56),"")</f>
        <v/>
      </c>
      <c r="AT56" s="1454" t="str" cm="1">
        <f t="array" ref="AT56">IFERROR(INDEX($HH$4:$HH$165,AY56),"")</f>
        <v/>
      </c>
      <c r="AU56" s="1454" t="str" cm="1">
        <f t="array" ref="AU56">IFERROR(INDEX($GL$4:$GL$165,AY56),"")</f>
        <v/>
      </c>
      <c r="AV56" s="1454" t="str" cm="1">
        <f t="array" ref="AV56">IFERROR(INDEX($GM$4:$GM$165,AY56),"")</f>
        <v/>
      </c>
      <c r="AW56" s="1459"/>
      <c r="AX56" s="1459"/>
      <c r="AY56" s="1460" t="str" cm="1">
        <f t="array" ref="AY56">IFERROR(SMALL(IF($HK$4:$HK$165=1,ROW($HK$4:$HK$165)-3),ROW(W41)),IFERROR(SMALL(IF($HK$4:$HK$165=2,ROW($HK$4:$HK$165)-3),ROW(W41)-COUNTIF($HK$4:$HK$165,1)),IFERROR(SMALL(IF($HK$4:$HK$165=0,ROW($HK$4:$HK$165)-3),ROW(W41)-COUNTIF($HK$4:$HK$165,1)-COUNTIF($HK$4:$HK$165,2)),"")))</f>
        <v/>
      </c>
      <c r="AZ56" s="1460" t="str">
        <f t="shared" si="129"/>
        <v>a</v>
      </c>
      <c r="BA56" s="1461" t="e">
        <f t="shared" si="130"/>
        <v>#VALUE!</v>
      </c>
      <c r="BB56" s="1461" cm="1">
        <f t="array" ref="BB56">IFERROR(INDEX($HK$4:$HK$165,AY56),0)</f>
        <v>0</v>
      </c>
      <c r="BC56" s="1461">
        <f t="shared" si="131"/>
        <v>0</v>
      </c>
      <c r="BD56" s="1461"/>
      <c r="BE56" s="1462"/>
      <c r="BF56" s="1343"/>
      <c r="BG56" s="1343"/>
      <c r="BH56" s="1343"/>
      <c r="BI56" s="1343"/>
      <c r="BJ56" s="1343"/>
      <c r="BK56" s="1343"/>
      <c r="BL56" s="1343"/>
      <c r="BM56" s="1343"/>
      <c r="BN56" s="1343"/>
      <c r="BO56" s="1343"/>
      <c r="BQ56" s="1184">
        <v>1</v>
      </c>
      <c r="BR56" cm="1">
        <f t="array" ref="BR56">INDEX(Pflanzen!$B$5:$B$112,'Lagerhaltung (freiwillig)'!BQ56)</f>
        <v>1</v>
      </c>
      <c r="BS56" s="1184"/>
      <c r="BT56" s="1184" t="b">
        <v>0</v>
      </c>
      <c r="BU56" s="1185"/>
      <c r="BV56" s="1185"/>
      <c r="BW56" s="1184">
        <f t="shared" si="136"/>
        <v>12</v>
      </c>
      <c r="BX56" s="1184">
        <f t="shared" si="137"/>
        <v>0</v>
      </c>
      <c r="BY56" s="1184">
        <f t="shared" si="138"/>
        <v>12</v>
      </c>
      <c r="BZ56" s="1184" cm="1">
        <f t="array" ref="BZ56">INDEX(Pflanzen!$AB$5:$AB$114,'Lagerhaltung (freiwillig)'!BR56)</f>
        <v>0</v>
      </c>
      <c r="CA56" s="1184" cm="1">
        <f t="array" ref="CA56">IF(BZ56=1,INDEX(Pflanzen!$AC$5:$AC$114,BR56),N56)</f>
        <v>0</v>
      </c>
      <c r="CB56" s="1184" cm="1">
        <f t="array" ref="CB56">IF(BZ56=1,INDEX(Pflanzen!$AD$5:$AD$114,BR56),O56)</f>
        <v>0</v>
      </c>
      <c r="CC56" s="1184">
        <f t="shared" si="139"/>
        <v>12</v>
      </c>
      <c r="CD56" s="1184">
        <f t="shared" si="140"/>
        <v>0</v>
      </c>
      <c r="CE56" s="1184">
        <f t="shared" si="141"/>
        <v>12</v>
      </c>
      <c r="CF56" s="1184" cm="1">
        <f t="array" ref="CF56">INDEX(Pflanzen!$F$5:$F$114,BR56)</f>
        <v>0</v>
      </c>
      <c r="CG56" s="1184" cm="1">
        <f t="array" ref="CG56">INDEX(Pflanzen!$G$5:$G$114,BR56)</f>
        <v>0</v>
      </c>
      <c r="CH56" s="1184">
        <f t="shared" si="142"/>
        <v>0</v>
      </c>
      <c r="CI56" s="1184">
        <f t="shared" si="143"/>
        <v>0</v>
      </c>
      <c r="CJ56" s="1184">
        <f t="shared" si="144"/>
        <v>0</v>
      </c>
      <c r="CK56" s="1184">
        <f t="shared" si="145"/>
        <v>0</v>
      </c>
      <c r="CL56" s="1184">
        <f t="shared" si="146"/>
        <v>0</v>
      </c>
      <c r="CM56" s="1184">
        <f t="shared" si="147"/>
        <v>0</v>
      </c>
      <c r="CN56" s="1184">
        <f t="shared" si="148"/>
        <v>0</v>
      </c>
      <c r="CO56" s="1184">
        <f t="shared" si="149"/>
        <v>0</v>
      </c>
      <c r="CP56" s="1184">
        <f t="shared" si="150"/>
        <v>0</v>
      </c>
      <c r="CQ56" s="1184">
        <f t="shared" si="151"/>
        <v>0</v>
      </c>
      <c r="CR56" s="1184">
        <f t="shared" si="152"/>
        <v>0</v>
      </c>
      <c r="CS56" s="1184">
        <f t="shared" si="153"/>
        <v>0</v>
      </c>
      <c r="CT56" s="1184">
        <f t="shared" si="154"/>
        <v>0</v>
      </c>
      <c r="CU56" s="1184">
        <f t="shared" si="157"/>
        <v>2</v>
      </c>
      <c r="CV56" s="1186" cm="1">
        <f t="array" ref="CV56">IF(AND(COUNTIF($BR$14:$BR$36,BR56)&gt;0,BR56&lt;ROWS(Pflanzen!$C$5:$C$107)),INDEX(Pflanzen!$I$5:$I$114,BR56),SUMIF($BR$44:$BR$68,BR56,$F$44:$F$69)/COUNTIF($BR$44:$BR$68,BR56))</f>
        <v>0</v>
      </c>
      <c r="CW56" s="1186">
        <f t="shared" si="155"/>
        <v>0</v>
      </c>
      <c r="CX56" s="1184"/>
      <c r="CY56" s="320" t="str">
        <f>Pflanzen!A52</f>
        <v>GPS Weizen</v>
      </c>
      <c r="CZ56" s="1200">
        <f>IFERROR(MATCH($CY56,Pflanzen!$C$5:$C$114,0),1)</f>
        <v>48</v>
      </c>
      <c r="DA56" s="320" cm="1">
        <f t="array" ref="DA56">INDEX(Pflanzen!$H$5:$H$114,'Lagerhaltung (freiwillig)'!CZ56)</f>
        <v>1</v>
      </c>
      <c r="DB56" s="1200">
        <f t="shared" si="158"/>
        <v>0</v>
      </c>
      <c r="DC56" s="1200">
        <f t="shared" si="158"/>
        <v>0</v>
      </c>
      <c r="DD56" s="1200">
        <f t="shared" si="158"/>
        <v>0</v>
      </c>
      <c r="DE56" s="1200">
        <f t="shared" si="158"/>
        <v>0</v>
      </c>
      <c r="DF56" s="1200">
        <f t="shared" si="158"/>
        <v>0</v>
      </c>
      <c r="DG56" s="1184">
        <f t="shared" si="158"/>
        <v>0</v>
      </c>
      <c r="DH56" s="1184">
        <f t="shared" si="158"/>
        <v>0</v>
      </c>
      <c r="DI56" s="1184">
        <f t="shared" si="158"/>
        <v>0</v>
      </c>
      <c r="DJ56" s="1184">
        <f t="shared" si="158"/>
        <v>0</v>
      </c>
      <c r="DK56" s="1184">
        <f t="shared" si="158"/>
        <v>0</v>
      </c>
      <c r="DL56" s="1184">
        <f t="shared" si="158"/>
        <v>0</v>
      </c>
      <c r="DM56" s="1184">
        <f t="shared" si="158"/>
        <v>0</v>
      </c>
      <c r="DN56" s="1184"/>
      <c r="DO56" s="1184">
        <f t="shared" si="159"/>
        <v>0</v>
      </c>
      <c r="DP56" s="1184">
        <f t="shared" si="159"/>
        <v>0</v>
      </c>
      <c r="DQ56" s="1184">
        <f t="shared" si="159"/>
        <v>0</v>
      </c>
      <c r="DR56" s="1184">
        <f t="shared" si="159"/>
        <v>0</v>
      </c>
      <c r="DS56" s="1184">
        <f t="shared" si="159"/>
        <v>0</v>
      </c>
      <c r="DT56" s="1184">
        <f t="shared" si="159"/>
        <v>0</v>
      </c>
      <c r="DU56" s="1184">
        <f t="shared" si="159"/>
        <v>0</v>
      </c>
      <c r="DV56" s="1184">
        <f t="shared" si="159"/>
        <v>0</v>
      </c>
      <c r="DW56" s="1184">
        <f t="shared" si="159"/>
        <v>0</v>
      </c>
      <c r="DX56" s="1184">
        <f t="shared" si="159"/>
        <v>0</v>
      </c>
      <c r="DY56" s="1184">
        <f t="shared" si="159"/>
        <v>0</v>
      </c>
      <c r="DZ56" s="1184">
        <f t="shared" si="159"/>
        <v>0</v>
      </c>
      <c r="EA56" s="1184"/>
      <c r="EB56" s="1184">
        <f t="shared" si="160"/>
        <v>0</v>
      </c>
      <c r="EC56" s="1184">
        <f t="shared" si="160"/>
        <v>0</v>
      </c>
      <c r="ED56" s="1184">
        <f t="shared" si="160"/>
        <v>0</v>
      </c>
      <c r="EE56" s="1184">
        <f t="shared" si="160"/>
        <v>0</v>
      </c>
      <c r="EF56" s="1184">
        <f t="shared" si="160"/>
        <v>0</v>
      </c>
      <c r="EG56" s="1184">
        <f t="shared" si="160"/>
        <v>0</v>
      </c>
      <c r="EH56" s="1184">
        <f t="shared" si="160"/>
        <v>0</v>
      </c>
      <c r="EI56" s="1184">
        <f t="shared" si="160"/>
        <v>0</v>
      </c>
      <c r="EJ56" s="1184">
        <f t="shared" si="160"/>
        <v>0</v>
      </c>
      <c r="EK56" s="1184">
        <f t="shared" si="160"/>
        <v>0</v>
      </c>
      <c r="EL56" s="1184">
        <f t="shared" si="160"/>
        <v>0</v>
      </c>
      <c r="EM56" s="1184">
        <f t="shared" si="160"/>
        <v>0</v>
      </c>
      <c r="EN56" s="1184"/>
      <c r="EO56" s="1184">
        <f t="shared" si="161"/>
        <v>0</v>
      </c>
      <c r="EP56" s="1184">
        <f t="shared" si="161"/>
        <v>0</v>
      </c>
      <c r="EQ56" s="1184">
        <f t="shared" si="161"/>
        <v>0</v>
      </c>
      <c r="ER56" s="1184">
        <f t="shared" si="161"/>
        <v>0</v>
      </c>
      <c r="ES56" s="1184">
        <f t="shared" si="161"/>
        <v>0</v>
      </c>
      <c r="ET56" s="1184">
        <f t="shared" si="161"/>
        <v>0</v>
      </c>
      <c r="EU56" s="1184">
        <f t="shared" si="161"/>
        <v>0</v>
      </c>
      <c r="EV56" s="1184">
        <f t="shared" si="161"/>
        <v>0</v>
      </c>
      <c r="EW56" s="1184">
        <f t="shared" si="161"/>
        <v>0</v>
      </c>
      <c r="EX56" s="1184">
        <f t="shared" si="161"/>
        <v>0</v>
      </c>
      <c r="EY56" s="1184">
        <f t="shared" si="161"/>
        <v>0</v>
      </c>
      <c r="EZ56" s="1184">
        <f t="shared" si="161"/>
        <v>0</v>
      </c>
      <c r="FA56" s="1184"/>
      <c r="FB56" s="1186">
        <f t="shared" si="51"/>
        <v>0</v>
      </c>
      <c r="FC56" s="1184">
        <f>FB56+DB56+EB56                 -         SUMIF('Nährstoffe und Lagerraum'!$AX$113:$AX$155,$CZ56,'Nährstoffe und Lagerraum'!$U$113:$U$155)/12  -$GD56*$HE56/12</f>
        <v>0</v>
      </c>
      <c r="FD56" s="1184">
        <f>FC56+DC56+EC56                 -         SUMIF('Nährstoffe und Lagerraum'!$AX$113:$AX$155,$CZ56,'Nährstoffe und Lagerraum'!$U$113:$U$155)/12  -$GD56*$HE56/12</f>
        <v>0</v>
      </c>
      <c r="FE56" s="1184">
        <f>FD56+DD56+ED56                 -         SUMIF('Nährstoffe und Lagerraum'!$AX$113:$AX$155,$CZ56,'Nährstoffe und Lagerraum'!$U$113:$U$155)/12  -$GD56*$HE56/12</f>
        <v>0</v>
      </c>
      <c r="FF56" s="1184">
        <f>FE56+DE56+EE56                 -         SUMIF('Nährstoffe und Lagerraum'!$AX$113:$AX$155,$CZ56,'Nährstoffe und Lagerraum'!$U$113:$U$155)/12  -$GD56*$HE56/12</f>
        <v>0</v>
      </c>
      <c r="FG56" s="1184">
        <f>FF56+DF56+EF56                 -         SUMIF('Nährstoffe und Lagerraum'!$AX$113:$AX$155,$CZ56,'Nährstoffe und Lagerraum'!$U$113:$U$155)/12  -$GD56*$HE56/12</f>
        <v>0</v>
      </c>
      <c r="FH56" s="1184">
        <f>FG56+DG56+EG56                 -         SUMIF('Nährstoffe und Lagerraum'!$AX$113:$AX$155,$CZ56,'Nährstoffe und Lagerraum'!$U$113:$U$155)/12  -$GD56*$HE56/12</f>
        <v>0</v>
      </c>
      <c r="FI56" s="1184">
        <f>FH56+DH56+EH56                 -         SUMIF('Nährstoffe und Lagerraum'!$AX$113:$AX$155,$CZ56,'Nährstoffe und Lagerraum'!$U$113:$U$155)/12  -$GD56*$HE56/12</f>
        <v>0</v>
      </c>
      <c r="FJ56" s="1184">
        <f>FI56+DI56+EI56                 -         SUMIF('Nährstoffe und Lagerraum'!$AX$113:$AX$155,$CZ56,'Nährstoffe und Lagerraum'!$U$113:$U$155)/12  -$GD56*$HE56/12</f>
        <v>0</v>
      </c>
      <c r="FK56" s="1184">
        <f>FJ56+DJ56+EJ56                 -         SUMIF('Nährstoffe und Lagerraum'!$AX$113:$AX$155,$CZ56,'Nährstoffe und Lagerraum'!$U$113:$U$155)/12  -$GD56*$HE56/12</f>
        <v>0</v>
      </c>
      <c r="FL56" s="1184">
        <f>FK56+DK56+EK56                 -         SUMIF('Nährstoffe und Lagerraum'!$AX$113:$AX$155,$CZ56,'Nährstoffe und Lagerraum'!$U$113:$U$155)/12  -$GD56*$HE56/12</f>
        <v>0</v>
      </c>
      <c r="FM56" s="1184">
        <f>FL56+DL56+EL56                 -         SUMIF('Nährstoffe und Lagerraum'!$AX$113:$AX$155,$CZ56,'Nährstoffe und Lagerraum'!$U$113:$U$155)/12  -$GD56*$HE56/12</f>
        <v>0</v>
      </c>
      <c r="FN56" s="1184">
        <f>FM56+DM56+EM56                 -         SUMIF('Nährstoffe und Lagerraum'!$AX$113:$AX$155,$CZ56,'Nährstoffe und Lagerraum'!$U$113:$U$155)/12  -$GD56*$HE56/12</f>
        <v>0</v>
      </c>
      <c r="FO56" s="1184"/>
      <c r="FP56" s="1186">
        <f t="shared" si="52"/>
        <v>0</v>
      </c>
      <c r="FQ56" s="1184">
        <f>FP56+DO56+EO56                 -         SUMIF('Nährstoffe und Lagerraum'!$AX$113:$AX$155,$CZ56,'Nährstoffe und Lagerraum'!$V$113:$V$155)/12  -$GE56*$HE56/12</f>
        <v>0</v>
      </c>
      <c r="FR56" s="1184">
        <f>FQ56+DP56+EP56                 -         SUMIF('Nährstoffe und Lagerraum'!$AX$113:$AX$155,$CZ56,'Nährstoffe und Lagerraum'!$V$113:$V$155)/12  -$GE56*$HE56/12</f>
        <v>0</v>
      </c>
      <c r="FS56" s="1184">
        <f>FR56+DQ56+EQ56                 -         SUMIF('Nährstoffe und Lagerraum'!$AX$113:$AX$155,$CZ56,'Nährstoffe und Lagerraum'!$V$113:$V$155)/12  -$GE56*$HE56/12</f>
        <v>0</v>
      </c>
      <c r="FT56" s="1184">
        <f>FS56+DR56+ER56                 -         SUMIF('Nährstoffe und Lagerraum'!$AX$113:$AX$155,$CZ56,'Nährstoffe und Lagerraum'!$V$113:$V$155)/12  -$GE56*$HE56/12</f>
        <v>0</v>
      </c>
      <c r="FU56" s="1184">
        <f>FT56+DS56+ES56                 -         SUMIF('Nährstoffe und Lagerraum'!$AX$113:$AX$155,$CZ56,'Nährstoffe und Lagerraum'!$V$113:$V$155)/12  -$GE56*$HE56/12</f>
        <v>0</v>
      </c>
      <c r="FV56" s="1184">
        <f>FU56+DT56+ET56                 -         SUMIF('Nährstoffe und Lagerraum'!$AX$113:$AX$155,$CZ56,'Nährstoffe und Lagerraum'!$V$113:$V$155)/12  -$GE56*$HE56/12</f>
        <v>0</v>
      </c>
      <c r="FW56" s="1184">
        <f>FV56+DU56+EU56                 -         SUMIF('Nährstoffe und Lagerraum'!$AX$113:$AX$155,$CZ56,'Nährstoffe und Lagerraum'!$V$113:$V$155)/12  -$GE56*$HE56/12</f>
        <v>0</v>
      </c>
      <c r="FX56" s="1184">
        <f>FW56+DV56+EV56                 -         SUMIF('Nährstoffe und Lagerraum'!$AX$113:$AX$155,$CZ56,'Nährstoffe und Lagerraum'!$V$113:$V$155)/12  -$GE56*$HE56/12</f>
        <v>0</v>
      </c>
      <c r="FY56" s="1184">
        <f>FX56+DW56+EW56                 -         SUMIF('Nährstoffe und Lagerraum'!$AX$113:$AX$155,$CZ56,'Nährstoffe und Lagerraum'!$V$113:$V$155)/12  -$GE56*$HE56/12</f>
        <v>0</v>
      </c>
      <c r="FZ56" s="1184">
        <f>FY56+DX56+EX56                 -         SUMIF('Nährstoffe und Lagerraum'!$AX$113:$AX$155,$CZ56,'Nährstoffe und Lagerraum'!$V$113:$V$155)/12  -$GE56*$HE56/12</f>
        <v>0</v>
      </c>
      <c r="GA56" s="1184">
        <f>FZ56+DY56+EY56                 -         SUMIF('Nährstoffe und Lagerraum'!$AX$113:$AX$155,$CZ56,'Nährstoffe und Lagerraum'!$V$113:$V$155)/12  -$GE56*$HE56/12</f>
        <v>0</v>
      </c>
      <c r="GB56" s="1184">
        <f>GA56+DZ56+EZ56                 -         SUMIF('Nährstoffe und Lagerraum'!$AX$113:$AX$155,$CZ56,'Nährstoffe und Lagerraum'!$V$113:$V$155)/12  -$GE56*$HE56/12</f>
        <v>0</v>
      </c>
      <c r="GC56" s="1184"/>
      <c r="GD56" s="1184">
        <f>SUMIFS($CI$14:$CI$68,$BR$14:$BR$68,$CZ56)+SUMIFS($CM$14:$CM$68,$BR$14:$BR$68,$CZ56)+SUMIFS($CR$14:$CR$68,$BR$14:$BR$68,$CZ56)  -         SUMIF('Nährstoffe und Lagerraum'!$AX$113:$AX$155,$CZ56,'Nährstoffe und Lagerraum'!$U$113:$U$155)</f>
        <v>0</v>
      </c>
      <c r="GE56" s="1184">
        <f>SUMIFS($CJ$14:$CJ$68,$BR$14:$BR$68,$CZ56)+SUMIFS($CO$14:$CO$68,$BR$14:$BR$68,$CZ56)+SUMIFS($CT$14:$CT$68,$BR$14:$BR$68,$CZ56)  -         SUMIF('Nährstoffe und Lagerraum'!$AX$113:$AX$155,$CZ56,'Nährstoffe und Lagerraum'!$V$113:$V$155)</f>
        <v>0</v>
      </c>
      <c r="GF56" s="1184"/>
      <c r="GG56" s="1184"/>
      <c r="GH56" s="1184">
        <f>SUMIF('Nährstoffe und Lagerraum'!$AX$113:$AX$155,$CZ56,'Nährstoffe und Lagerraum'!$U$113:$U$155)</f>
        <v>0</v>
      </c>
      <c r="GI56" s="1184">
        <f>SUMIF('Nährstoffe und Lagerraum'!$AX$113:$AX$155,$CZ56,'Nährstoffe und Lagerraum'!$V$113:$V$155)</f>
        <v>0</v>
      </c>
      <c r="GJ56" s="1184">
        <f t="shared" si="53"/>
        <v>0</v>
      </c>
      <c r="GK56" s="1184">
        <f t="shared" si="54"/>
        <v>0</v>
      </c>
      <c r="GL56" s="1184">
        <f t="shared" si="55"/>
        <v>0</v>
      </c>
      <c r="GM56" s="1184">
        <f t="shared" si="56"/>
        <v>0</v>
      </c>
      <c r="GN56" s="1184">
        <f t="shared" si="57"/>
        <v>0</v>
      </c>
      <c r="GO56" s="1184" cm="1">
        <f t="array" ref="GO56">IF(GN56=0,0,(IFERROR(SUMPRODUCT($J$14:$J$68,$CH$14:$CH$68,($BR$14:$BR$68=CZ56)*1)+SUMPRODUCT($L$14:$L$68,$M$14:$M$68,$CK$14:$CK$68,($BR$14:$BR$68=CZ56)*1,($BT$14:$BT$68=FALSE)*1)/10+SUMPRODUCT($R$14:$R$68,$CP$14:$CP$68,($BR$14:$BR$68=CZ56)*1),0))/GN56)</f>
        <v>0</v>
      </c>
      <c r="GP56" s="1184">
        <f t="shared" si="58"/>
        <v>0</v>
      </c>
      <c r="GQ56" s="1184">
        <f>(SUMIF('Nährstoffe und Lagerraum'!$AX$113:$AX$130,'Lagerhaltung (freiwillig)'!CZ56,'Nährstoffe und Lagerraum'!$D$113:$D$130)+SUMIF('Nährstoffe und Lagerraum'!$AX$137:$AX$155,'Lagerhaltung (freiwillig)'!CZ56,'Nährstoffe und Lagerraum'!$E$137:$E$155))</f>
        <v>0</v>
      </c>
      <c r="GR56" s="1184" cm="1">
        <f t="array" ref="GR56">IF(GQ56=0,0,(IFERROR(SUMPRODUCT('Nährstoffe und Lagerraum'!$D$113:$D$130,'Nährstoffe und Lagerraum'!$F$113:$F$130,('Nährstoffe und Lagerraum'!$AX$113:$AX$130='Lagerhaltung (freiwillig)'!CZ56)*1)+SUMPRODUCT('Nährstoffe und Lagerraum'!$E$137:$E$155,'Nährstoffe und Lagerraum'!$F$137:$F$155,('Nährstoffe und Lagerraum'!$AX$137:$AX$155='Lagerhaltung (freiwillig)'!CZ56)*1),0))/GQ56)</f>
        <v>0</v>
      </c>
      <c r="GS56" s="1184">
        <f t="shared" si="59"/>
        <v>0</v>
      </c>
      <c r="GT56" s="1184">
        <f t="shared" si="60"/>
        <v>0</v>
      </c>
      <c r="GU56" s="1184">
        <f t="shared" si="61"/>
        <v>0</v>
      </c>
      <c r="GV56" s="1184">
        <f t="shared" si="62"/>
        <v>0</v>
      </c>
      <c r="GW56" s="1186" t="str">
        <f t="shared" si="41"/>
        <v xml:space="preserve"> </v>
      </c>
      <c r="GX56" s="1186" t="str">
        <f t="shared" si="41"/>
        <v xml:space="preserve"> </v>
      </c>
      <c r="GY56" s="1195">
        <f t="shared" si="63"/>
        <v>0</v>
      </c>
      <c r="GZ56" s="1184">
        <f t="shared" si="64"/>
        <v>0</v>
      </c>
      <c r="HA56" s="1184" t="str">
        <f t="shared" si="132"/>
        <v>a</v>
      </c>
      <c r="HB56" s="1196">
        <f t="shared" si="65"/>
        <v>0</v>
      </c>
      <c r="HC56" s="1196">
        <f t="shared" si="66"/>
        <v>0</v>
      </c>
      <c r="HD56" s="1196"/>
      <c r="HE56" s="1187">
        <f t="shared" si="67"/>
        <v>0</v>
      </c>
      <c r="HF56" s="1196">
        <f t="shared" si="68"/>
        <v>0</v>
      </c>
      <c r="HG56" s="1196">
        <f t="shared" si="69"/>
        <v>0</v>
      </c>
      <c r="HH56" s="1196">
        <f t="shared" si="70"/>
        <v>0</v>
      </c>
      <c r="HI56" s="1328" cm="1">
        <f t="array" ref="HI56">IF(AND(HG56=0,GL56=0),0,IF(HG56=0,1,IF(OR(GL56*1000/HG56/HH56&gt;INDEX(Pflanzen!$W$5:$W$104,CZ56)/INDEX(Pflanzen!$I$5:$I$104,CZ56)*$HI$1,GL56*1000/HG56/HH56&lt;INDEX(Pflanzen!$W$5:$W$104,CZ56)/INDEX(Pflanzen!$I$5:$I$104,CZ56)/$HI$1),1,0)))</f>
        <v>0</v>
      </c>
      <c r="HJ56" s="1328" cm="1">
        <f t="array" ref="HJ56">IF(AND(GM56=0,HG56=0),0,IF(HG56=0,1,IF(OR(GM56*1000/HG56/HH56&gt;INDEX(Pflanzen!$X$5:$X$104,CZ56)/INDEX(Pflanzen!$I$5:$I$104,CZ56)*$HI$1,GM56*1000/HG56/HH56&lt;INDEX(Pflanzen!$X$5:$X$104,CZ56)/INDEX(Pflanzen!$I$5:$I$104,CZ56)/$HI$1),1,0)))</f>
        <v>0</v>
      </c>
      <c r="HK56" s="1184">
        <f t="shared" si="71"/>
        <v>3</v>
      </c>
      <c r="HL56" s="1184"/>
      <c r="HN56" s="1184"/>
      <c r="HO56" s="1193" t="str">
        <f>Tiere!B82</f>
        <v>Masthähnchen, N-/P-reduziert</v>
      </c>
      <c r="HP56" s="1184">
        <v>53</v>
      </c>
      <c r="HQ56" s="1194">
        <f>SUMIF('Nährstoffe und Lagerraum'!$BM$68:$BM$87,'Lagerhaltung (freiwillig)'!HP56,'Nährstoffe und Lagerraum'!$Z$68:$Z$87)+SUMIF('Nährstoffe und Lagerraum'!$BM$68:$BM$87,'Lagerhaltung (freiwillig)'!HP56,'Nährstoffe und Lagerraum'!$AA$68:$AA$87)</f>
        <v>0</v>
      </c>
      <c r="HR56" s="1184" cm="1">
        <f t="array" ref="HR56">INDEX(Tiere!$C$30:$C$114,'Lagerhaltung (freiwillig)'!HP56)</f>
        <v>3</v>
      </c>
      <c r="HS56" s="1184" cm="1">
        <f t="array" ref="HS56">INDEX(Tiere!$H$30:$H$114,'Lagerhaltung (freiwillig)'!HP56)</f>
        <v>0</v>
      </c>
      <c r="HT56" s="1184">
        <f t="shared" si="12"/>
        <v>0</v>
      </c>
      <c r="HU56" s="1184" cm="1">
        <f t="array" ref="HU56">INDEX(Tiere!$I$30:$I$114,'Lagerhaltung (freiwillig)'!HP56)</f>
        <v>0</v>
      </c>
      <c r="HV56" s="1184">
        <f t="shared" si="13"/>
        <v>0</v>
      </c>
      <c r="HW56" s="1184" cm="1">
        <f t="array" ref="HW56">INDEX(Tiere!$BC$30:$BC$114,'Lagerhaltung (freiwillig)'!HP56)</f>
        <v>0.6996</v>
      </c>
      <c r="HX56" s="1184">
        <f t="shared" si="14"/>
        <v>0</v>
      </c>
      <c r="HY56" s="1184" cm="1">
        <f t="array" ref="HY56">INDEX(Tiere!$BD$30:$BD$114,'Lagerhaltung (freiwillig)'!HP56)</f>
        <v>0.21454400000000001</v>
      </c>
      <c r="HZ56" s="1184">
        <f t="shared" si="15"/>
        <v>0</v>
      </c>
      <c r="IA56" s="1184"/>
      <c r="IB56" s="1184"/>
      <c r="IC56" s="1184"/>
      <c r="ID56" s="1184"/>
      <c r="IE56" s="1184"/>
      <c r="IF56" s="1184"/>
      <c r="IG56" s="1184"/>
      <c r="IH56" s="1184"/>
      <c r="II56" s="1184"/>
      <c r="IJ56" s="1184"/>
      <c r="IK56" s="1184"/>
      <c r="IL56" s="1184"/>
    </row>
    <row r="57" spans="6:246" ht="15.6" customHeight="1" x14ac:dyDescent="0.2">
      <c r="F57" s="1122"/>
      <c r="G57" s="1498"/>
      <c r="H57" s="1336"/>
      <c r="I57" s="1162" t="str">
        <f t="shared" si="133"/>
        <v/>
      </c>
      <c r="J57" s="1303"/>
      <c r="K57" s="1162" t="str">
        <f t="shared" si="134"/>
        <v/>
      </c>
      <c r="L57" s="1487"/>
      <c r="M57" s="1491"/>
      <c r="N57" s="1487"/>
      <c r="O57" s="1487"/>
      <c r="P57" s="1303"/>
      <c r="Q57" s="1162" t="str">
        <f t="shared" si="135"/>
        <v/>
      </c>
      <c r="R57" s="1487"/>
      <c r="S57" s="1491"/>
      <c r="T57" s="1303"/>
      <c r="V57" s="1346" t="str">
        <f t="shared" si="156"/>
        <v/>
      </c>
      <c r="Y57" s="1554" t="str" cm="1">
        <f t="array" ref="Y57">IFERROR(INDEX($CY$4:$CY$165,AY57),"")</f>
        <v/>
      </c>
      <c r="Z57" s="1555"/>
      <c r="AA57" s="1555"/>
      <c r="AB57" s="1555"/>
      <c r="AC57" s="1454" t="str" cm="1">
        <f t="array" ref="AC57">IFERROR(INDEX($GN$4:$GN$165,AY57),"")</f>
        <v/>
      </c>
      <c r="AD57" s="1454" t="str" cm="1">
        <f t="array" ref="AD57">IFERROR(INDEX($GO$4:$GO$165,AY57),"")</f>
        <v/>
      </c>
      <c r="AE57" s="1454" t="str" cm="1">
        <f t="array" ref="AE57">IFERROR(INDEX($GJ$4:$GJ$165,AY57),"")</f>
        <v/>
      </c>
      <c r="AF57" s="1454" t="str" cm="1">
        <f t="array" ref="AF57">IFERROR(INDEX($GK$4:$GK$165,AY57),"")</f>
        <v/>
      </c>
      <c r="AG57" s="1454" t="str" cm="1">
        <f t="array" ref="AG57">IFERROR(INDEX($GQ$4:$GQ$165,AY57),"")</f>
        <v/>
      </c>
      <c r="AH57" s="1454" t="str" cm="1">
        <f t="array" ref="AH57">IFERROR(INDEX($GR$4:$GR$165,AY57),"")</f>
        <v/>
      </c>
      <c r="AI57" s="1454" t="str" cm="1">
        <f t="array" ref="AI57">IFERROR(INDEX($GH$4:$GH$165,AY57),"")</f>
        <v/>
      </c>
      <c r="AJ57" s="1454" t="str" cm="1">
        <f t="array" ref="AJ57">IFERROR(INDEX($GI$4:$GI$165,AY57),"")</f>
        <v/>
      </c>
      <c r="AK57" s="1454" t="str" cm="1">
        <f t="array" ref="AK57">IFERROR(INDEX($GU$4:$GU$165,AY57),"")</f>
        <v/>
      </c>
      <c r="AL57" s="1455" t="str" cm="1">
        <f t="array" ref="AL57">IFERROR(INDEX($GV$4:$GV$165,AY57),"")</f>
        <v/>
      </c>
      <c r="AM57" s="1454" t="str" cm="1">
        <f t="array" ref="AM57">IFERROR(INDEX($GD$4:$GD$165,AY57),"")</f>
        <v/>
      </c>
      <c r="AN57" s="1454" t="str" cm="1">
        <f t="array" ref="AN57">IFERROR(INDEX($GE$4:$GE$165,AY57),"")</f>
        <v/>
      </c>
      <c r="AO57" s="1454" t="str" cm="1">
        <f t="array" ref="AO57">IFERROR(INDEX($GW$4:$GW$165,AY57),"")</f>
        <v/>
      </c>
      <c r="AP57" s="1454" t="str" cm="1">
        <f t="array" ref="AP57">IFERROR(INDEX($GZ$4:$GZ$165,AY57),"")</f>
        <v/>
      </c>
      <c r="AQ57" s="1457"/>
      <c r="AR57" s="1454" t="str" cm="1">
        <f t="array" ref="AR57">IFERROR(INDEX($HF$4:$HF$165,AY57),"")</f>
        <v/>
      </c>
      <c r="AS57" s="1454" t="str" cm="1">
        <f t="array" ref="AS57">IFERROR(INDEX($HG$4:$HG$165,AY57),"")</f>
        <v/>
      </c>
      <c r="AT57" s="1454" t="str" cm="1">
        <f t="array" ref="AT57">IFERROR(INDEX($HH$4:$HH$165,AY57),"")</f>
        <v/>
      </c>
      <c r="AU57" s="1454" t="str" cm="1">
        <f t="array" ref="AU57">IFERROR(INDEX($GL$4:$GL$165,AY57),"")</f>
        <v/>
      </c>
      <c r="AV57" s="1454" t="str" cm="1">
        <f t="array" ref="AV57">IFERROR(INDEX($GM$4:$GM$165,AY57),"")</f>
        <v/>
      </c>
      <c r="AW57" s="1459"/>
      <c r="AX57" s="1459"/>
      <c r="AY57" s="1460" t="str" cm="1">
        <f t="array" ref="AY57">IFERROR(SMALL(IF($HK$4:$HK$165=1,ROW($HK$4:$HK$165)-3),ROW(W42)),IFERROR(SMALL(IF($HK$4:$HK$165=2,ROW($HK$4:$HK$165)-3),ROW(W42)-COUNTIF($HK$4:$HK$165,1)),IFERROR(SMALL(IF($HK$4:$HK$165=0,ROW($HK$4:$HK$165)-3),ROW(W42)-COUNTIF($HK$4:$HK$165,1)-COUNTIF($HK$4:$HK$165,2)),"")))</f>
        <v/>
      </c>
      <c r="AZ57" s="1460" t="str">
        <f t="shared" si="129"/>
        <v>a</v>
      </c>
      <c r="BA57" s="1461" t="e">
        <f t="shared" si="130"/>
        <v>#VALUE!</v>
      </c>
      <c r="BB57" s="1461" cm="1">
        <f t="array" ref="BB57">IFERROR(INDEX($HK$4:$HK$165,AY57),0)</f>
        <v>0</v>
      </c>
      <c r="BC57" s="1461">
        <f t="shared" si="131"/>
        <v>0</v>
      </c>
      <c r="BD57" s="1461"/>
      <c r="BE57" s="1462"/>
      <c r="BF57" s="1343"/>
      <c r="BG57" s="1343"/>
      <c r="BH57" s="1343"/>
      <c r="BI57" s="1343"/>
      <c r="BJ57" s="1343"/>
      <c r="BK57" s="1343"/>
      <c r="BL57" s="1343"/>
      <c r="BM57" s="1343"/>
      <c r="BN57" s="1343"/>
      <c r="BO57" s="1343"/>
      <c r="BQ57" s="1184">
        <v>1</v>
      </c>
      <c r="BR57" cm="1">
        <f t="array" ref="BR57">INDEX(Pflanzen!$B$5:$B$112,'Lagerhaltung (freiwillig)'!BQ57)</f>
        <v>1</v>
      </c>
      <c r="BS57" s="1184"/>
      <c r="BT57" s="1184" t="b">
        <v>0</v>
      </c>
      <c r="BU57" s="1185"/>
      <c r="BV57" s="1185"/>
      <c r="BW57" s="1184">
        <f t="shared" si="136"/>
        <v>12</v>
      </c>
      <c r="BX57" s="1184">
        <f t="shared" si="137"/>
        <v>0</v>
      </c>
      <c r="BY57" s="1184">
        <f t="shared" si="138"/>
        <v>12</v>
      </c>
      <c r="BZ57" s="1184" cm="1">
        <f t="array" ref="BZ57">INDEX(Pflanzen!$AB$5:$AB$114,'Lagerhaltung (freiwillig)'!BR57)</f>
        <v>0</v>
      </c>
      <c r="CA57" s="1184" cm="1">
        <f t="array" ref="CA57">IF(BZ57=1,INDEX(Pflanzen!$AC$5:$AC$114,BR57),N57)</f>
        <v>0</v>
      </c>
      <c r="CB57" s="1184" cm="1">
        <f t="array" ref="CB57">IF(BZ57=1,INDEX(Pflanzen!$AD$5:$AD$114,BR57),O57)</f>
        <v>0</v>
      </c>
      <c r="CC57" s="1184">
        <f t="shared" si="139"/>
        <v>12</v>
      </c>
      <c r="CD57" s="1184">
        <f t="shared" si="140"/>
        <v>0</v>
      </c>
      <c r="CE57" s="1184">
        <f t="shared" si="141"/>
        <v>12</v>
      </c>
      <c r="CF57" s="1184" cm="1">
        <f t="array" ref="CF57">INDEX(Pflanzen!$F$5:$F$114,BR57)</f>
        <v>0</v>
      </c>
      <c r="CG57" s="1184" cm="1">
        <f t="array" ref="CG57">INDEX(Pflanzen!$G$5:$G$114,BR57)</f>
        <v>0</v>
      </c>
      <c r="CH57" s="1184">
        <f t="shared" si="142"/>
        <v>0</v>
      </c>
      <c r="CI57" s="1184">
        <f t="shared" si="143"/>
        <v>0</v>
      </c>
      <c r="CJ57" s="1184">
        <f t="shared" si="144"/>
        <v>0</v>
      </c>
      <c r="CK57" s="1184">
        <f t="shared" si="145"/>
        <v>0</v>
      </c>
      <c r="CL57" s="1184">
        <f t="shared" si="146"/>
        <v>0</v>
      </c>
      <c r="CM57" s="1184">
        <f t="shared" si="147"/>
        <v>0</v>
      </c>
      <c r="CN57" s="1184">
        <f t="shared" si="148"/>
        <v>0</v>
      </c>
      <c r="CO57" s="1184">
        <f t="shared" si="149"/>
        <v>0</v>
      </c>
      <c r="CP57" s="1184">
        <f t="shared" si="150"/>
        <v>0</v>
      </c>
      <c r="CQ57" s="1184">
        <f t="shared" si="151"/>
        <v>0</v>
      </c>
      <c r="CR57" s="1184">
        <f t="shared" si="152"/>
        <v>0</v>
      </c>
      <c r="CS57" s="1184">
        <f t="shared" si="153"/>
        <v>0</v>
      </c>
      <c r="CT57" s="1184">
        <f t="shared" si="154"/>
        <v>0</v>
      </c>
      <c r="CU57" s="1184">
        <f t="shared" si="157"/>
        <v>2</v>
      </c>
      <c r="CV57" s="1186" cm="1">
        <f t="array" ref="CV57">IF(AND(COUNTIF($BR$14:$BR$36,BR57)&gt;0,BR57&lt;ROWS(Pflanzen!$C$5:$C$107)),INDEX(Pflanzen!$I$5:$I$114,BR57),SUMIF($BR$44:$BR$68,BR57,$F$44:$F$69)/COUNTIF($BR$44:$BR$68,BR57))</f>
        <v>0</v>
      </c>
      <c r="CW57" s="1186">
        <f t="shared" si="155"/>
        <v>0</v>
      </c>
      <c r="CX57" s="1184"/>
      <c r="CY57" s="320" t="str">
        <f>Pflanzen!A53</f>
        <v>GPS Wintergerste</v>
      </c>
      <c r="CZ57" s="1200">
        <f>IFERROR(MATCH($CY57,Pflanzen!$C$5:$C$114,0),1)</f>
        <v>49</v>
      </c>
      <c r="DA57" s="320" cm="1">
        <f t="array" ref="DA57">INDEX(Pflanzen!$H$5:$H$114,'Lagerhaltung (freiwillig)'!CZ57)</f>
        <v>1</v>
      </c>
      <c r="DB57" s="1200">
        <f t="shared" si="158"/>
        <v>0</v>
      </c>
      <c r="DC57" s="1200">
        <f t="shared" si="158"/>
        <v>0</v>
      </c>
      <c r="DD57" s="1200">
        <f t="shared" si="158"/>
        <v>0</v>
      </c>
      <c r="DE57" s="1200">
        <f t="shared" si="158"/>
        <v>0</v>
      </c>
      <c r="DF57" s="1200">
        <f t="shared" si="158"/>
        <v>0</v>
      </c>
      <c r="DG57" s="1184">
        <f t="shared" si="158"/>
        <v>0</v>
      </c>
      <c r="DH57" s="1184">
        <f t="shared" si="158"/>
        <v>0</v>
      </c>
      <c r="DI57" s="1184">
        <f t="shared" si="158"/>
        <v>0</v>
      </c>
      <c r="DJ57" s="1184">
        <f t="shared" si="158"/>
        <v>0</v>
      </c>
      <c r="DK57" s="1184">
        <f t="shared" si="158"/>
        <v>0</v>
      </c>
      <c r="DL57" s="1184">
        <f t="shared" si="158"/>
        <v>0</v>
      </c>
      <c r="DM57" s="1184">
        <f t="shared" si="158"/>
        <v>0</v>
      </c>
      <c r="DN57" s="1184"/>
      <c r="DO57" s="1184">
        <f t="shared" si="159"/>
        <v>0</v>
      </c>
      <c r="DP57" s="1184">
        <f t="shared" si="159"/>
        <v>0</v>
      </c>
      <c r="DQ57" s="1184">
        <f t="shared" si="159"/>
        <v>0</v>
      </c>
      <c r="DR57" s="1184">
        <f t="shared" si="159"/>
        <v>0</v>
      </c>
      <c r="DS57" s="1184">
        <f t="shared" si="159"/>
        <v>0</v>
      </c>
      <c r="DT57" s="1184">
        <f t="shared" si="159"/>
        <v>0</v>
      </c>
      <c r="DU57" s="1184">
        <f t="shared" si="159"/>
        <v>0</v>
      </c>
      <c r="DV57" s="1184">
        <f t="shared" si="159"/>
        <v>0</v>
      </c>
      <c r="DW57" s="1184">
        <f t="shared" si="159"/>
        <v>0</v>
      </c>
      <c r="DX57" s="1184">
        <f t="shared" si="159"/>
        <v>0</v>
      </c>
      <c r="DY57" s="1184">
        <f t="shared" si="159"/>
        <v>0</v>
      </c>
      <c r="DZ57" s="1184">
        <f t="shared" si="159"/>
        <v>0</v>
      </c>
      <c r="EA57" s="1184"/>
      <c r="EB57" s="1184">
        <f t="shared" si="160"/>
        <v>0</v>
      </c>
      <c r="EC57" s="1184">
        <f t="shared" si="160"/>
        <v>0</v>
      </c>
      <c r="ED57" s="1184">
        <f t="shared" si="160"/>
        <v>0</v>
      </c>
      <c r="EE57" s="1184">
        <f t="shared" si="160"/>
        <v>0</v>
      </c>
      <c r="EF57" s="1184">
        <f t="shared" si="160"/>
        <v>0</v>
      </c>
      <c r="EG57" s="1184">
        <f t="shared" si="160"/>
        <v>0</v>
      </c>
      <c r="EH57" s="1184">
        <f t="shared" si="160"/>
        <v>0</v>
      </c>
      <c r="EI57" s="1184">
        <f t="shared" si="160"/>
        <v>0</v>
      </c>
      <c r="EJ57" s="1184">
        <f t="shared" si="160"/>
        <v>0</v>
      </c>
      <c r="EK57" s="1184">
        <f t="shared" si="160"/>
        <v>0</v>
      </c>
      <c r="EL57" s="1184">
        <f t="shared" si="160"/>
        <v>0</v>
      </c>
      <c r="EM57" s="1184">
        <f t="shared" si="160"/>
        <v>0</v>
      </c>
      <c r="EN57" s="1184"/>
      <c r="EO57" s="1184">
        <f t="shared" si="161"/>
        <v>0</v>
      </c>
      <c r="EP57" s="1184">
        <f t="shared" si="161"/>
        <v>0</v>
      </c>
      <c r="EQ57" s="1184">
        <f t="shared" si="161"/>
        <v>0</v>
      </c>
      <c r="ER57" s="1184">
        <f t="shared" si="161"/>
        <v>0</v>
      </c>
      <c r="ES57" s="1184">
        <f t="shared" si="161"/>
        <v>0</v>
      </c>
      <c r="ET57" s="1184">
        <f t="shared" si="161"/>
        <v>0</v>
      </c>
      <c r="EU57" s="1184">
        <f t="shared" si="161"/>
        <v>0</v>
      </c>
      <c r="EV57" s="1184">
        <f t="shared" si="161"/>
        <v>0</v>
      </c>
      <c r="EW57" s="1184">
        <f t="shared" si="161"/>
        <v>0</v>
      </c>
      <c r="EX57" s="1184">
        <f t="shared" si="161"/>
        <v>0</v>
      </c>
      <c r="EY57" s="1184">
        <f t="shared" si="161"/>
        <v>0</v>
      </c>
      <c r="EZ57" s="1184">
        <f t="shared" si="161"/>
        <v>0</v>
      </c>
      <c r="FA57" s="1184"/>
      <c r="FB57" s="1186">
        <f t="shared" si="51"/>
        <v>0</v>
      </c>
      <c r="FC57" s="1184">
        <f>FB57+DB57+EB57                 -         SUMIF('Nährstoffe und Lagerraum'!$AX$113:$AX$155,$CZ57,'Nährstoffe und Lagerraum'!$U$113:$U$155)/12  -$GD57*$HE57/12</f>
        <v>0</v>
      </c>
      <c r="FD57" s="1184">
        <f>FC57+DC57+EC57                 -         SUMIF('Nährstoffe und Lagerraum'!$AX$113:$AX$155,$CZ57,'Nährstoffe und Lagerraum'!$U$113:$U$155)/12  -$GD57*$HE57/12</f>
        <v>0</v>
      </c>
      <c r="FE57" s="1184">
        <f>FD57+DD57+ED57                 -         SUMIF('Nährstoffe und Lagerraum'!$AX$113:$AX$155,$CZ57,'Nährstoffe und Lagerraum'!$U$113:$U$155)/12  -$GD57*$HE57/12</f>
        <v>0</v>
      </c>
      <c r="FF57" s="1184">
        <f>FE57+DE57+EE57                 -         SUMIF('Nährstoffe und Lagerraum'!$AX$113:$AX$155,$CZ57,'Nährstoffe und Lagerraum'!$U$113:$U$155)/12  -$GD57*$HE57/12</f>
        <v>0</v>
      </c>
      <c r="FG57" s="1184">
        <f>FF57+DF57+EF57                 -         SUMIF('Nährstoffe und Lagerraum'!$AX$113:$AX$155,$CZ57,'Nährstoffe und Lagerraum'!$U$113:$U$155)/12  -$GD57*$HE57/12</f>
        <v>0</v>
      </c>
      <c r="FH57" s="1184">
        <f>FG57+DG57+EG57                 -         SUMIF('Nährstoffe und Lagerraum'!$AX$113:$AX$155,$CZ57,'Nährstoffe und Lagerraum'!$U$113:$U$155)/12  -$GD57*$HE57/12</f>
        <v>0</v>
      </c>
      <c r="FI57" s="1184">
        <f>FH57+DH57+EH57                 -         SUMIF('Nährstoffe und Lagerraum'!$AX$113:$AX$155,$CZ57,'Nährstoffe und Lagerraum'!$U$113:$U$155)/12  -$GD57*$HE57/12</f>
        <v>0</v>
      </c>
      <c r="FJ57" s="1184">
        <f>FI57+DI57+EI57                 -         SUMIF('Nährstoffe und Lagerraum'!$AX$113:$AX$155,$CZ57,'Nährstoffe und Lagerraum'!$U$113:$U$155)/12  -$GD57*$HE57/12</f>
        <v>0</v>
      </c>
      <c r="FK57" s="1184">
        <f>FJ57+DJ57+EJ57                 -         SUMIF('Nährstoffe und Lagerraum'!$AX$113:$AX$155,$CZ57,'Nährstoffe und Lagerraum'!$U$113:$U$155)/12  -$GD57*$HE57/12</f>
        <v>0</v>
      </c>
      <c r="FL57" s="1184">
        <f>FK57+DK57+EK57                 -         SUMIF('Nährstoffe und Lagerraum'!$AX$113:$AX$155,$CZ57,'Nährstoffe und Lagerraum'!$U$113:$U$155)/12  -$GD57*$HE57/12</f>
        <v>0</v>
      </c>
      <c r="FM57" s="1184">
        <f>FL57+DL57+EL57                 -         SUMIF('Nährstoffe und Lagerraum'!$AX$113:$AX$155,$CZ57,'Nährstoffe und Lagerraum'!$U$113:$U$155)/12  -$GD57*$HE57/12</f>
        <v>0</v>
      </c>
      <c r="FN57" s="1184">
        <f>FM57+DM57+EM57                 -         SUMIF('Nährstoffe und Lagerraum'!$AX$113:$AX$155,$CZ57,'Nährstoffe und Lagerraum'!$U$113:$U$155)/12  -$GD57*$HE57/12</f>
        <v>0</v>
      </c>
      <c r="FO57" s="1184"/>
      <c r="FP57" s="1186">
        <f t="shared" si="52"/>
        <v>0</v>
      </c>
      <c r="FQ57" s="1184">
        <f>FP57+DO57+EO57                 -         SUMIF('Nährstoffe und Lagerraum'!$AX$113:$AX$155,$CZ57,'Nährstoffe und Lagerraum'!$V$113:$V$155)/12  -$GE57*$HE57/12</f>
        <v>0</v>
      </c>
      <c r="FR57" s="1184">
        <f>FQ57+DP57+EP57                 -         SUMIF('Nährstoffe und Lagerraum'!$AX$113:$AX$155,$CZ57,'Nährstoffe und Lagerraum'!$V$113:$V$155)/12  -$GE57*$HE57/12</f>
        <v>0</v>
      </c>
      <c r="FS57" s="1184">
        <f>FR57+DQ57+EQ57                 -         SUMIF('Nährstoffe und Lagerraum'!$AX$113:$AX$155,$CZ57,'Nährstoffe und Lagerraum'!$V$113:$V$155)/12  -$GE57*$HE57/12</f>
        <v>0</v>
      </c>
      <c r="FT57" s="1184">
        <f>FS57+DR57+ER57                 -         SUMIF('Nährstoffe und Lagerraum'!$AX$113:$AX$155,$CZ57,'Nährstoffe und Lagerraum'!$V$113:$V$155)/12  -$GE57*$HE57/12</f>
        <v>0</v>
      </c>
      <c r="FU57" s="1184">
        <f>FT57+DS57+ES57                 -         SUMIF('Nährstoffe und Lagerraum'!$AX$113:$AX$155,$CZ57,'Nährstoffe und Lagerraum'!$V$113:$V$155)/12  -$GE57*$HE57/12</f>
        <v>0</v>
      </c>
      <c r="FV57" s="1184">
        <f>FU57+DT57+ET57                 -         SUMIF('Nährstoffe und Lagerraum'!$AX$113:$AX$155,$CZ57,'Nährstoffe und Lagerraum'!$V$113:$V$155)/12  -$GE57*$HE57/12</f>
        <v>0</v>
      </c>
      <c r="FW57" s="1184">
        <f>FV57+DU57+EU57                 -         SUMIF('Nährstoffe und Lagerraum'!$AX$113:$AX$155,$CZ57,'Nährstoffe und Lagerraum'!$V$113:$V$155)/12  -$GE57*$HE57/12</f>
        <v>0</v>
      </c>
      <c r="FX57" s="1184">
        <f>FW57+DV57+EV57                 -         SUMIF('Nährstoffe und Lagerraum'!$AX$113:$AX$155,$CZ57,'Nährstoffe und Lagerraum'!$V$113:$V$155)/12  -$GE57*$HE57/12</f>
        <v>0</v>
      </c>
      <c r="FY57" s="1184">
        <f>FX57+DW57+EW57                 -         SUMIF('Nährstoffe und Lagerraum'!$AX$113:$AX$155,$CZ57,'Nährstoffe und Lagerraum'!$V$113:$V$155)/12  -$GE57*$HE57/12</f>
        <v>0</v>
      </c>
      <c r="FZ57" s="1184">
        <f>FY57+DX57+EX57                 -         SUMIF('Nährstoffe und Lagerraum'!$AX$113:$AX$155,$CZ57,'Nährstoffe und Lagerraum'!$V$113:$V$155)/12  -$GE57*$HE57/12</f>
        <v>0</v>
      </c>
      <c r="GA57" s="1184">
        <f>FZ57+DY57+EY57                 -         SUMIF('Nährstoffe und Lagerraum'!$AX$113:$AX$155,$CZ57,'Nährstoffe und Lagerraum'!$V$113:$V$155)/12  -$GE57*$HE57/12</f>
        <v>0</v>
      </c>
      <c r="GB57" s="1184">
        <f>GA57+DZ57+EZ57                 -         SUMIF('Nährstoffe und Lagerraum'!$AX$113:$AX$155,$CZ57,'Nährstoffe und Lagerraum'!$V$113:$V$155)/12  -$GE57*$HE57/12</f>
        <v>0</v>
      </c>
      <c r="GC57" s="1184"/>
      <c r="GD57" s="1184">
        <f>SUMIFS($CI$14:$CI$68,$BR$14:$BR$68,$CZ57)+SUMIFS($CM$14:$CM$68,$BR$14:$BR$68,$CZ57)+SUMIFS($CR$14:$CR$68,$BR$14:$BR$68,$CZ57)  -         SUMIF('Nährstoffe und Lagerraum'!$AX$113:$AX$155,$CZ57,'Nährstoffe und Lagerraum'!$U$113:$U$155)</f>
        <v>0</v>
      </c>
      <c r="GE57" s="1184">
        <f>SUMIFS($CJ$14:$CJ$68,$BR$14:$BR$68,$CZ57)+SUMIFS($CO$14:$CO$68,$BR$14:$BR$68,$CZ57)+SUMIFS($CT$14:$CT$68,$BR$14:$BR$68,$CZ57)  -         SUMIF('Nährstoffe und Lagerraum'!$AX$113:$AX$155,$CZ57,'Nährstoffe und Lagerraum'!$V$113:$V$155)</f>
        <v>0</v>
      </c>
      <c r="GF57" s="1184"/>
      <c r="GG57" s="1184"/>
      <c r="GH57" s="1184">
        <f>SUMIF('Nährstoffe und Lagerraum'!$AX$113:$AX$155,$CZ57,'Nährstoffe und Lagerraum'!$U$113:$U$155)</f>
        <v>0</v>
      </c>
      <c r="GI57" s="1184">
        <f>SUMIF('Nährstoffe und Lagerraum'!$AX$113:$AX$155,$CZ57,'Nährstoffe und Lagerraum'!$V$113:$V$155)</f>
        <v>0</v>
      </c>
      <c r="GJ57" s="1184">
        <f t="shared" si="53"/>
        <v>0</v>
      </c>
      <c r="GK57" s="1184">
        <f t="shared" si="54"/>
        <v>0</v>
      </c>
      <c r="GL57" s="1184">
        <f t="shared" si="55"/>
        <v>0</v>
      </c>
      <c r="GM57" s="1184">
        <f t="shared" si="56"/>
        <v>0</v>
      </c>
      <c r="GN57" s="1184">
        <f t="shared" si="57"/>
        <v>0</v>
      </c>
      <c r="GO57" s="1184" cm="1">
        <f t="array" ref="GO57">IF(GN57=0,0,(IFERROR(SUMPRODUCT($J$14:$J$68,$CH$14:$CH$68,($BR$14:$BR$68=CZ57)*1)+SUMPRODUCT($L$14:$L$68,$M$14:$M$68,$CK$14:$CK$68,($BR$14:$BR$68=CZ57)*1,($BT$14:$BT$68=FALSE)*1)/10+SUMPRODUCT($R$14:$R$68,$CP$14:$CP$68,($BR$14:$BR$68=CZ57)*1),0))/GN57)</f>
        <v>0</v>
      </c>
      <c r="GP57" s="1184">
        <f t="shared" si="58"/>
        <v>0</v>
      </c>
      <c r="GQ57" s="1184">
        <f>(SUMIF('Nährstoffe und Lagerraum'!$AX$113:$AX$130,'Lagerhaltung (freiwillig)'!CZ57,'Nährstoffe und Lagerraum'!$D$113:$D$130)+SUMIF('Nährstoffe und Lagerraum'!$AX$137:$AX$155,'Lagerhaltung (freiwillig)'!CZ57,'Nährstoffe und Lagerraum'!$E$137:$E$155))</f>
        <v>0</v>
      </c>
      <c r="GR57" s="1184" cm="1">
        <f t="array" ref="GR57">IF(GQ57=0,0,(IFERROR(SUMPRODUCT('Nährstoffe und Lagerraum'!$D$113:$D$130,'Nährstoffe und Lagerraum'!$F$113:$F$130,('Nährstoffe und Lagerraum'!$AX$113:$AX$130='Lagerhaltung (freiwillig)'!CZ57)*1)+SUMPRODUCT('Nährstoffe und Lagerraum'!$E$137:$E$155,'Nährstoffe und Lagerraum'!$F$137:$F$155,('Nährstoffe und Lagerraum'!$AX$137:$AX$155='Lagerhaltung (freiwillig)'!CZ57)*1),0))/GQ57)</f>
        <v>0</v>
      </c>
      <c r="GS57" s="1184">
        <f t="shared" si="59"/>
        <v>0</v>
      </c>
      <c r="GT57" s="1184">
        <f t="shared" si="60"/>
        <v>0</v>
      </c>
      <c r="GU57" s="1184">
        <f t="shared" si="61"/>
        <v>0</v>
      </c>
      <c r="GV57" s="1184">
        <f t="shared" si="62"/>
        <v>0</v>
      </c>
      <c r="GW57" s="1186" t="str">
        <f t="shared" si="41"/>
        <v xml:space="preserve"> </v>
      </c>
      <c r="GX57" s="1186" t="str">
        <f t="shared" si="41"/>
        <v xml:space="preserve"> </v>
      </c>
      <c r="GY57" s="1195">
        <f t="shared" si="63"/>
        <v>0</v>
      </c>
      <c r="GZ57" s="1184">
        <f t="shared" si="64"/>
        <v>0</v>
      </c>
      <c r="HA57" s="1184" t="str">
        <f t="shared" si="132"/>
        <v>a</v>
      </c>
      <c r="HB57" s="1196">
        <f t="shared" si="65"/>
        <v>0</v>
      </c>
      <c r="HC57" s="1196">
        <f t="shared" si="66"/>
        <v>0</v>
      </c>
      <c r="HD57" s="1196"/>
      <c r="HE57" s="1187">
        <f t="shared" si="67"/>
        <v>0</v>
      </c>
      <c r="HF57" s="1196">
        <f t="shared" si="68"/>
        <v>0</v>
      </c>
      <c r="HG57" s="1196">
        <f t="shared" si="69"/>
        <v>0</v>
      </c>
      <c r="HH57" s="1196">
        <f t="shared" si="70"/>
        <v>0</v>
      </c>
      <c r="HI57" s="1328" cm="1">
        <f t="array" ref="HI57">IF(AND(HG57=0,GL57=0),0,IF(HG57=0,1,IF(OR(GL57*1000/HG57/HH57&gt;INDEX(Pflanzen!$W$5:$W$104,CZ57)/INDEX(Pflanzen!$I$5:$I$104,CZ57)*$HI$1,GL57*1000/HG57/HH57&lt;INDEX(Pflanzen!$W$5:$W$104,CZ57)/INDEX(Pflanzen!$I$5:$I$104,CZ57)/$HI$1),1,0)))</f>
        <v>0</v>
      </c>
      <c r="HJ57" s="1328" cm="1">
        <f t="array" ref="HJ57">IF(AND(GM57=0,HG57=0),0,IF(HG57=0,1,IF(OR(GM57*1000/HG57/HH57&gt;INDEX(Pflanzen!$X$5:$X$104,CZ57)/INDEX(Pflanzen!$I$5:$I$104,CZ57)*$HI$1,GM57*1000/HG57/HH57&lt;INDEX(Pflanzen!$X$5:$X$104,CZ57)/INDEX(Pflanzen!$I$5:$I$104,CZ57)/$HI$1),1,0)))</f>
        <v>0</v>
      </c>
      <c r="HK57" s="1184">
        <f t="shared" si="71"/>
        <v>3</v>
      </c>
      <c r="HL57" s="1184"/>
      <c r="HN57" s="1184"/>
      <c r="HO57" s="1193" t="str">
        <f>Tiere!B83</f>
        <v>Putenhähne bis 21 Wochen Mast, Standard</v>
      </c>
      <c r="HP57" s="1184">
        <v>54</v>
      </c>
      <c r="HQ57" s="1194">
        <f>SUMIF('Nährstoffe und Lagerraum'!$BM$68:$BM$87,'Lagerhaltung (freiwillig)'!HP57,'Nährstoffe und Lagerraum'!$Z$68:$Z$87)+SUMIF('Nährstoffe und Lagerraum'!$BM$68:$BM$87,'Lagerhaltung (freiwillig)'!HP57,'Nährstoffe und Lagerraum'!$AA$68:$AA$87)</f>
        <v>0</v>
      </c>
      <c r="HR57" s="1184" cm="1">
        <f t="array" ref="HR57">INDEX(Tiere!$C$30:$C$114,'Lagerhaltung (freiwillig)'!HP57)</f>
        <v>3</v>
      </c>
      <c r="HS57" s="1184" cm="1">
        <f t="array" ref="HS57">INDEX(Tiere!$H$30:$H$114,'Lagerhaltung (freiwillig)'!HP57)</f>
        <v>0</v>
      </c>
      <c r="HT57" s="1184">
        <f t="shared" si="12"/>
        <v>0</v>
      </c>
      <c r="HU57" s="1184" cm="1">
        <f t="array" ref="HU57">INDEX(Tiere!$I$30:$I$114,'Lagerhaltung (freiwillig)'!HP57)</f>
        <v>0</v>
      </c>
      <c r="HV57" s="1184">
        <f t="shared" si="13"/>
        <v>0</v>
      </c>
      <c r="HW57" s="1184" cm="1">
        <f t="array" ref="HW57">INDEX(Tiere!$BC$30:$BC$114,'Lagerhaltung (freiwillig)'!HP57)</f>
        <v>1.80576</v>
      </c>
      <c r="HX57" s="1184">
        <f t="shared" si="14"/>
        <v>0</v>
      </c>
      <c r="HY57" s="1184" cm="1">
        <f t="array" ref="HY57">INDEX(Tiere!$BD$30:$BD$114,'Lagerhaltung (freiwillig)'!HP57)</f>
        <v>0.64022400000000002</v>
      </c>
      <c r="HZ57" s="1184">
        <f t="shared" si="15"/>
        <v>0</v>
      </c>
      <c r="IA57" s="1184"/>
      <c r="IB57" s="1184"/>
      <c r="IC57" s="1184"/>
      <c r="ID57" s="1184"/>
      <c r="IE57" s="1184"/>
      <c r="IF57" s="1184"/>
      <c r="IG57" s="1184"/>
      <c r="IH57" s="1184"/>
      <c r="II57" s="1184"/>
      <c r="IJ57" s="1184"/>
      <c r="IK57" s="1184"/>
      <c r="IL57" s="1184"/>
    </row>
    <row r="58" spans="6:246" ht="15.6" customHeight="1" x14ac:dyDescent="0.2">
      <c r="F58" s="1122"/>
      <c r="G58" s="1498"/>
      <c r="H58" s="1336"/>
      <c r="I58" s="1162" t="str">
        <f t="shared" si="133"/>
        <v/>
      </c>
      <c r="J58" s="1303"/>
      <c r="K58" s="1162" t="str">
        <f t="shared" si="134"/>
        <v/>
      </c>
      <c r="L58" s="1487"/>
      <c r="M58" s="1491"/>
      <c r="N58" s="1487"/>
      <c r="O58" s="1487"/>
      <c r="P58" s="1303"/>
      <c r="Q58" s="1162" t="str">
        <f t="shared" si="135"/>
        <v/>
      </c>
      <c r="R58" s="1487"/>
      <c r="S58" s="1491"/>
      <c r="T58" s="1303"/>
      <c r="V58" s="1346" t="str">
        <f t="shared" si="156"/>
        <v/>
      </c>
      <c r="Y58" s="1554" t="str" cm="1">
        <f t="array" ref="Y58">IFERROR(INDEX($CY$4:$CY$165,AY58),"")</f>
        <v/>
      </c>
      <c r="Z58" s="1555"/>
      <c r="AA58" s="1555"/>
      <c r="AB58" s="1555"/>
      <c r="AC58" s="1454" t="str" cm="1">
        <f t="array" ref="AC58">IFERROR(INDEX($GN$4:$GN$165,AY58),"")</f>
        <v/>
      </c>
      <c r="AD58" s="1454" t="str" cm="1">
        <f t="array" ref="AD58">IFERROR(INDEX($GO$4:$GO$165,AY58),"")</f>
        <v/>
      </c>
      <c r="AE58" s="1454" t="str" cm="1">
        <f t="array" ref="AE58">IFERROR(INDEX($GJ$4:$GJ$165,AY58),"")</f>
        <v/>
      </c>
      <c r="AF58" s="1454" t="str" cm="1">
        <f t="array" ref="AF58">IFERROR(INDEX($GK$4:$GK$165,AY58),"")</f>
        <v/>
      </c>
      <c r="AG58" s="1454" t="str" cm="1">
        <f t="array" ref="AG58">IFERROR(INDEX($GQ$4:$GQ$165,AY58),"")</f>
        <v/>
      </c>
      <c r="AH58" s="1454" t="str" cm="1">
        <f t="array" ref="AH58">IFERROR(INDEX($GR$4:$GR$165,AY58),"")</f>
        <v/>
      </c>
      <c r="AI58" s="1454" t="str" cm="1">
        <f t="array" ref="AI58">IFERROR(INDEX($GH$4:$GH$165,AY58),"")</f>
        <v/>
      </c>
      <c r="AJ58" s="1454" t="str" cm="1">
        <f t="array" ref="AJ58">IFERROR(INDEX($GI$4:$GI$165,AY58),"")</f>
        <v/>
      </c>
      <c r="AK58" s="1454" t="str" cm="1">
        <f t="array" ref="AK58">IFERROR(INDEX($GU$4:$GU$165,AY58),"")</f>
        <v/>
      </c>
      <c r="AL58" s="1455" t="str" cm="1">
        <f t="array" ref="AL58">IFERROR(INDEX($GV$4:$GV$165,AY58),"")</f>
        <v/>
      </c>
      <c r="AM58" s="1454" t="str" cm="1">
        <f t="array" ref="AM58">IFERROR(INDEX($GD$4:$GD$165,AY58),"")</f>
        <v/>
      </c>
      <c r="AN58" s="1454" t="str" cm="1">
        <f t="array" ref="AN58">IFERROR(INDEX($GE$4:$GE$165,AY58),"")</f>
        <v/>
      </c>
      <c r="AO58" s="1454" t="str" cm="1">
        <f t="array" ref="AO58">IFERROR(INDEX($GW$4:$GW$165,AY58),"")</f>
        <v/>
      </c>
      <c r="AP58" s="1454" t="str" cm="1">
        <f t="array" ref="AP58">IFERROR(INDEX($GZ$4:$GZ$165,AY58),"")</f>
        <v/>
      </c>
      <c r="AQ58" s="1457"/>
      <c r="AR58" s="1454" t="str" cm="1">
        <f t="array" ref="AR58">IFERROR(INDEX($HF$4:$HF$165,AY58),"")</f>
        <v/>
      </c>
      <c r="AS58" s="1454" t="str" cm="1">
        <f t="array" ref="AS58">IFERROR(INDEX($HG$4:$HG$165,AY58),"")</f>
        <v/>
      </c>
      <c r="AT58" s="1454" t="str" cm="1">
        <f t="array" ref="AT58">IFERROR(INDEX($HH$4:$HH$165,AY58),"")</f>
        <v/>
      </c>
      <c r="AU58" s="1454" t="str" cm="1">
        <f t="array" ref="AU58">IFERROR(INDEX($GL$4:$GL$165,AY58),"")</f>
        <v/>
      </c>
      <c r="AV58" s="1454" t="str" cm="1">
        <f t="array" ref="AV58">IFERROR(INDEX($GM$4:$GM$165,AY58),"")</f>
        <v/>
      </c>
      <c r="AW58" s="1459"/>
      <c r="AX58" s="1459"/>
      <c r="AY58" s="1460" t="str" cm="1">
        <f t="array" ref="AY58">IFERROR(SMALL(IF($HK$4:$HK$165=1,ROW($HK$4:$HK$165)-3),ROW(W43)),IFERROR(SMALL(IF($HK$4:$HK$165=2,ROW($HK$4:$HK$165)-3),ROW(W43)-COUNTIF($HK$4:$HK$165,1)),IFERROR(SMALL(IF($HK$4:$HK$165=0,ROW($HK$4:$HK$165)-3),ROW(W43)-COUNTIF($HK$4:$HK$165,1)-COUNTIF($HK$4:$HK$165,2)),"")))</f>
        <v/>
      </c>
      <c r="AZ58" s="1460" t="str">
        <f t="shared" si="129"/>
        <v>a</v>
      </c>
      <c r="BA58" s="1461" t="e">
        <f t="shared" si="130"/>
        <v>#VALUE!</v>
      </c>
      <c r="BB58" s="1461" cm="1">
        <f t="array" ref="BB58">IFERROR(INDEX($HK$4:$HK$165,AY58),0)</f>
        <v>0</v>
      </c>
      <c r="BC58" s="1461">
        <f t="shared" si="131"/>
        <v>0</v>
      </c>
      <c r="BD58" s="1461"/>
      <c r="BE58" s="1462"/>
      <c r="BF58" s="1343"/>
      <c r="BG58" s="1343"/>
      <c r="BH58" s="1343"/>
      <c r="BI58" s="1343"/>
      <c r="BJ58" s="1343"/>
      <c r="BK58" s="1343"/>
      <c r="BL58" s="1343"/>
      <c r="BM58" s="1343"/>
      <c r="BN58" s="1343"/>
      <c r="BO58" s="1343"/>
      <c r="BQ58" s="1184">
        <v>1</v>
      </c>
      <c r="BR58" cm="1">
        <f t="array" ref="BR58">INDEX(Pflanzen!$B$5:$B$112,'Lagerhaltung (freiwillig)'!BQ58)</f>
        <v>1</v>
      </c>
      <c r="BS58" s="1184"/>
      <c r="BT58" s="1184" t="b">
        <v>0</v>
      </c>
      <c r="BU58" s="1185"/>
      <c r="BV58" s="1185"/>
      <c r="BW58" s="1184">
        <f t="shared" si="136"/>
        <v>12</v>
      </c>
      <c r="BX58" s="1184">
        <f t="shared" si="137"/>
        <v>0</v>
      </c>
      <c r="BY58" s="1184">
        <f t="shared" si="138"/>
        <v>12</v>
      </c>
      <c r="BZ58" s="1184" cm="1">
        <f t="array" ref="BZ58">INDEX(Pflanzen!$AB$5:$AB$114,'Lagerhaltung (freiwillig)'!BR58)</f>
        <v>0</v>
      </c>
      <c r="CA58" s="1184" cm="1">
        <f t="array" ref="CA58">IF(BZ58=1,INDEX(Pflanzen!$AC$5:$AC$114,BR58),N58)</f>
        <v>0</v>
      </c>
      <c r="CB58" s="1184" cm="1">
        <f t="array" ref="CB58">IF(BZ58=1,INDEX(Pflanzen!$AD$5:$AD$114,BR58),O58)</f>
        <v>0</v>
      </c>
      <c r="CC58" s="1184">
        <f t="shared" si="139"/>
        <v>12</v>
      </c>
      <c r="CD58" s="1184">
        <f t="shared" si="140"/>
        <v>0</v>
      </c>
      <c r="CE58" s="1184">
        <f t="shared" si="141"/>
        <v>12</v>
      </c>
      <c r="CF58" s="1184" cm="1">
        <f t="array" ref="CF58">INDEX(Pflanzen!$F$5:$F$114,BR58)</f>
        <v>0</v>
      </c>
      <c r="CG58" s="1184" cm="1">
        <f t="array" ref="CG58">INDEX(Pflanzen!$G$5:$G$114,BR58)</f>
        <v>0</v>
      </c>
      <c r="CH58" s="1184">
        <f t="shared" si="142"/>
        <v>0</v>
      </c>
      <c r="CI58" s="1184">
        <f t="shared" si="143"/>
        <v>0</v>
      </c>
      <c r="CJ58" s="1184">
        <f t="shared" si="144"/>
        <v>0</v>
      </c>
      <c r="CK58" s="1184">
        <f t="shared" si="145"/>
        <v>0</v>
      </c>
      <c r="CL58" s="1184">
        <f t="shared" si="146"/>
        <v>0</v>
      </c>
      <c r="CM58" s="1184">
        <f t="shared" si="147"/>
        <v>0</v>
      </c>
      <c r="CN58" s="1184">
        <f t="shared" si="148"/>
        <v>0</v>
      </c>
      <c r="CO58" s="1184">
        <f t="shared" si="149"/>
        <v>0</v>
      </c>
      <c r="CP58" s="1184">
        <f t="shared" si="150"/>
        <v>0</v>
      </c>
      <c r="CQ58" s="1184">
        <f t="shared" si="151"/>
        <v>0</v>
      </c>
      <c r="CR58" s="1184">
        <f t="shared" si="152"/>
        <v>0</v>
      </c>
      <c r="CS58" s="1184">
        <f t="shared" si="153"/>
        <v>0</v>
      </c>
      <c r="CT58" s="1184">
        <f t="shared" si="154"/>
        <v>0</v>
      </c>
      <c r="CU58" s="1184">
        <f t="shared" si="157"/>
        <v>2</v>
      </c>
      <c r="CV58" s="1186" cm="1">
        <f t="array" ref="CV58">IF(AND(COUNTIF($BR$14:$BR$36,BR58)&gt;0,BR58&lt;ROWS(Pflanzen!$C$5:$C$107)),INDEX(Pflanzen!$I$5:$I$114,BR58),SUMIF($BR$44:$BR$68,BR58,$F$44:$F$69)/COUNTIF($BR$44:$BR$68,BR58))</f>
        <v>0</v>
      </c>
      <c r="CW58" s="1186">
        <f t="shared" si="155"/>
        <v>0</v>
      </c>
      <c r="CX58" s="1184"/>
      <c r="CY58" s="320" t="str">
        <f>Pflanzen!A54</f>
        <v>GPS Sommergerste</v>
      </c>
      <c r="CZ58" s="1200">
        <f>IFERROR(MATCH($CY58,Pflanzen!$C$5:$C$114,0),1)</f>
        <v>50</v>
      </c>
      <c r="DA58" s="320" cm="1">
        <f t="array" ref="DA58">INDEX(Pflanzen!$H$5:$H$114,'Lagerhaltung (freiwillig)'!CZ58)</f>
        <v>1</v>
      </c>
      <c r="DB58" s="1200">
        <f t="shared" si="158"/>
        <v>0</v>
      </c>
      <c r="DC58" s="1200">
        <f t="shared" si="158"/>
        <v>0</v>
      </c>
      <c r="DD58" s="1200">
        <f t="shared" si="158"/>
        <v>0</v>
      </c>
      <c r="DE58" s="1200">
        <f t="shared" si="158"/>
        <v>0</v>
      </c>
      <c r="DF58" s="1200">
        <f t="shared" si="158"/>
        <v>0</v>
      </c>
      <c r="DG58" s="1184">
        <f t="shared" si="158"/>
        <v>0</v>
      </c>
      <c r="DH58" s="1184">
        <f t="shared" si="158"/>
        <v>0</v>
      </c>
      <c r="DI58" s="1184">
        <f t="shared" si="158"/>
        <v>0</v>
      </c>
      <c r="DJ58" s="1184">
        <f t="shared" si="158"/>
        <v>0</v>
      </c>
      <c r="DK58" s="1184">
        <f t="shared" si="158"/>
        <v>0</v>
      </c>
      <c r="DL58" s="1184">
        <f t="shared" si="158"/>
        <v>0</v>
      </c>
      <c r="DM58" s="1184">
        <f t="shared" si="158"/>
        <v>0</v>
      </c>
      <c r="DN58" s="1184"/>
      <c r="DO58" s="1184">
        <f t="shared" si="159"/>
        <v>0</v>
      </c>
      <c r="DP58" s="1184">
        <f t="shared" si="159"/>
        <v>0</v>
      </c>
      <c r="DQ58" s="1184">
        <f t="shared" si="159"/>
        <v>0</v>
      </c>
      <c r="DR58" s="1184">
        <f t="shared" si="159"/>
        <v>0</v>
      </c>
      <c r="DS58" s="1184">
        <f t="shared" si="159"/>
        <v>0</v>
      </c>
      <c r="DT58" s="1184">
        <f t="shared" si="159"/>
        <v>0</v>
      </c>
      <c r="DU58" s="1184">
        <f t="shared" si="159"/>
        <v>0</v>
      </c>
      <c r="DV58" s="1184">
        <f t="shared" si="159"/>
        <v>0</v>
      </c>
      <c r="DW58" s="1184">
        <f t="shared" si="159"/>
        <v>0</v>
      </c>
      <c r="DX58" s="1184">
        <f t="shared" si="159"/>
        <v>0</v>
      </c>
      <c r="DY58" s="1184">
        <f t="shared" si="159"/>
        <v>0</v>
      </c>
      <c r="DZ58" s="1184">
        <f t="shared" si="159"/>
        <v>0</v>
      </c>
      <c r="EA58" s="1184"/>
      <c r="EB58" s="1184">
        <f t="shared" si="160"/>
        <v>0</v>
      </c>
      <c r="EC58" s="1184">
        <f t="shared" si="160"/>
        <v>0</v>
      </c>
      <c r="ED58" s="1184">
        <f t="shared" si="160"/>
        <v>0</v>
      </c>
      <c r="EE58" s="1184">
        <f t="shared" si="160"/>
        <v>0</v>
      </c>
      <c r="EF58" s="1184">
        <f t="shared" si="160"/>
        <v>0</v>
      </c>
      <c r="EG58" s="1184">
        <f t="shared" si="160"/>
        <v>0</v>
      </c>
      <c r="EH58" s="1184">
        <f t="shared" si="160"/>
        <v>0</v>
      </c>
      <c r="EI58" s="1184">
        <f t="shared" si="160"/>
        <v>0</v>
      </c>
      <c r="EJ58" s="1184">
        <f t="shared" si="160"/>
        <v>0</v>
      </c>
      <c r="EK58" s="1184">
        <f t="shared" si="160"/>
        <v>0</v>
      </c>
      <c r="EL58" s="1184">
        <f t="shared" si="160"/>
        <v>0</v>
      </c>
      <c r="EM58" s="1184">
        <f t="shared" si="160"/>
        <v>0</v>
      </c>
      <c r="EN58" s="1184"/>
      <c r="EO58" s="1184">
        <f t="shared" si="161"/>
        <v>0</v>
      </c>
      <c r="EP58" s="1184">
        <f t="shared" si="161"/>
        <v>0</v>
      </c>
      <c r="EQ58" s="1184">
        <f t="shared" si="161"/>
        <v>0</v>
      </c>
      <c r="ER58" s="1184">
        <f t="shared" si="161"/>
        <v>0</v>
      </c>
      <c r="ES58" s="1184">
        <f t="shared" si="161"/>
        <v>0</v>
      </c>
      <c r="ET58" s="1184">
        <f t="shared" si="161"/>
        <v>0</v>
      </c>
      <c r="EU58" s="1184">
        <f t="shared" si="161"/>
        <v>0</v>
      </c>
      <c r="EV58" s="1184">
        <f t="shared" si="161"/>
        <v>0</v>
      </c>
      <c r="EW58" s="1184">
        <f t="shared" si="161"/>
        <v>0</v>
      </c>
      <c r="EX58" s="1184">
        <f t="shared" si="161"/>
        <v>0</v>
      </c>
      <c r="EY58" s="1184">
        <f t="shared" si="161"/>
        <v>0</v>
      </c>
      <c r="EZ58" s="1184">
        <f t="shared" si="161"/>
        <v>0</v>
      </c>
      <c r="FA58" s="1184"/>
      <c r="FB58" s="1186">
        <f t="shared" si="51"/>
        <v>0</v>
      </c>
      <c r="FC58" s="1184">
        <f>FB58+DB58+EB58                 -         SUMIF('Nährstoffe und Lagerraum'!$AX$113:$AX$155,$CZ58,'Nährstoffe und Lagerraum'!$U$113:$U$155)/12  -$GD58*$HE58/12</f>
        <v>0</v>
      </c>
      <c r="FD58" s="1184">
        <f>FC58+DC58+EC58                 -         SUMIF('Nährstoffe und Lagerraum'!$AX$113:$AX$155,$CZ58,'Nährstoffe und Lagerraum'!$U$113:$U$155)/12  -$GD58*$HE58/12</f>
        <v>0</v>
      </c>
      <c r="FE58" s="1184">
        <f>FD58+DD58+ED58                 -         SUMIF('Nährstoffe und Lagerraum'!$AX$113:$AX$155,$CZ58,'Nährstoffe und Lagerraum'!$U$113:$U$155)/12  -$GD58*$HE58/12</f>
        <v>0</v>
      </c>
      <c r="FF58" s="1184">
        <f>FE58+DE58+EE58                 -         SUMIF('Nährstoffe und Lagerraum'!$AX$113:$AX$155,$CZ58,'Nährstoffe und Lagerraum'!$U$113:$U$155)/12  -$GD58*$HE58/12</f>
        <v>0</v>
      </c>
      <c r="FG58" s="1184">
        <f>FF58+DF58+EF58                 -         SUMIF('Nährstoffe und Lagerraum'!$AX$113:$AX$155,$CZ58,'Nährstoffe und Lagerraum'!$U$113:$U$155)/12  -$GD58*$HE58/12</f>
        <v>0</v>
      </c>
      <c r="FH58" s="1184">
        <f>FG58+DG58+EG58                 -         SUMIF('Nährstoffe und Lagerraum'!$AX$113:$AX$155,$CZ58,'Nährstoffe und Lagerraum'!$U$113:$U$155)/12  -$GD58*$HE58/12</f>
        <v>0</v>
      </c>
      <c r="FI58" s="1184">
        <f>FH58+DH58+EH58                 -         SUMIF('Nährstoffe und Lagerraum'!$AX$113:$AX$155,$CZ58,'Nährstoffe und Lagerraum'!$U$113:$U$155)/12  -$GD58*$HE58/12</f>
        <v>0</v>
      </c>
      <c r="FJ58" s="1184">
        <f>FI58+DI58+EI58                 -         SUMIF('Nährstoffe und Lagerraum'!$AX$113:$AX$155,$CZ58,'Nährstoffe und Lagerraum'!$U$113:$U$155)/12  -$GD58*$HE58/12</f>
        <v>0</v>
      </c>
      <c r="FK58" s="1184">
        <f>FJ58+DJ58+EJ58                 -         SUMIF('Nährstoffe und Lagerraum'!$AX$113:$AX$155,$CZ58,'Nährstoffe und Lagerraum'!$U$113:$U$155)/12  -$GD58*$HE58/12</f>
        <v>0</v>
      </c>
      <c r="FL58" s="1184">
        <f>FK58+DK58+EK58                 -         SUMIF('Nährstoffe und Lagerraum'!$AX$113:$AX$155,$CZ58,'Nährstoffe und Lagerraum'!$U$113:$U$155)/12  -$GD58*$HE58/12</f>
        <v>0</v>
      </c>
      <c r="FM58" s="1184">
        <f>FL58+DL58+EL58                 -         SUMIF('Nährstoffe und Lagerraum'!$AX$113:$AX$155,$CZ58,'Nährstoffe und Lagerraum'!$U$113:$U$155)/12  -$GD58*$HE58/12</f>
        <v>0</v>
      </c>
      <c r="FN58" s="1184">
        <f>FM58+DM58+EM58                 -         SUMIF('Nährstoffe und Lagerraum'!$AX$113:$AX$155,$CZ58,'Nährstoffe und Lagerraum'!$U$113:$U$155)/12  -$GD58*$HE58/12</f>
        <v>0</v>
      </c>
      <c r="FO58" s="1184"/>
      <c r="FP58" s="1186">
        <f t="shared" si="52"/>
        <v>0</v>
      </c>
      <c r="FQ58" s="1184">
        <f>FP58+DO58+EO58                 -         SUMIF('Nährstoffe und Lagerraum'!$AX$113:$AX$155,$CZ58,'Nährstoffe und Lagerraum'!$V$113:$V$155)/12  -$GE58*$HE58/12</f>
        <v>0</v>
      </c>
      <c r="FR58" s="1184">
        <f>FQ58+DP58+EP58                 -         SUMIF('Nährstoffe und Lagerraum'!$AX$113:$AX$155,$CZ58,'Nährstoffe und Lagerraum'!$V$113:$V$155)/12  -$GE58*$HE58/12</f>
        <v>0</v>
      </c>
      <c r="FS58" s="1184">
        <f>FR58+DQ58+EQ58                 -         SUMIF('Nährstoffe und Lagerraum'!$AX$113:$AX$155,$CZ58,'Nährstoffe und Lagerraum'!$V$113:$V$155)/12  -$GE58*$HE58/12</f>
        <v>0</v>
      </c>
      <c r="FT58" s="1184">
        <f>FS58+DR58+ER58                 -         SUMIF('Nährstoffe und Lagerraum'!$AX$113:$AX$155,$CZ58,'Nährstoffe und Lagerraum'!$V$113:$V$155)/12  -$GE58*$HE58/12</f>
        <v>0</v>
      </c>
      <c r="FU58" s="1184">
        <f>FT58+DS58+ES58                 -         SUMIF('Nährstoffe und Lagerraum'!$AX$113:$AX$155,$CZ58,'Nährstoffe und Lagerraum'!$V$113:$V$155)/12  -$GE58*$HE58/12</f>
        <v>0</v>
      </c>
      <c r="FV58" s="1184">
        <f>FU58+DT58+ET58                 -         SUMIF('Nährstoffe und Lagerraum'!$AX$113:$AX$155,$CZ58,'Nährstoffe und Lagerraum'!$V$113:$V$155)/12  -$GE58*$HE58/12</f>
        <v>0</v>
      </c>
      <c r="FW58" s="1184">
        <f>FV58+DU58+EU58                 -         SUMIF('Nährstoffe und Lagerraum'!$AX$113:$AX$155,$CZ58,'Nährstoffe und Lagerraum'!$V$113:$V$155)/12  -$GE58*$HE58/12</f>
        <v>0</v>
      </c>
      <c r="FX58" s="1184">
        <f>FW58+DV58+EV58                 -         SUMIF('Nährstoffe und Lagerraum'!$AX$113:$AX$155,$CZ58,'Nährstoffe und Lagerraum'!$V$113:$V$155)/12  -$GE58*$HE58/12</f>
        <v>0</v>
      </c>
      <c r="FY58" s="1184">
        <f>FX58+DW58+EW58                 -         SUMIF('Nährstoffe und Lagerraum'!$AX$113:$AX$155,$CZ58,'Nährstoffe und Lagerraum'!$V$113:$V$155)/12  -$GE58*$HE58/12</f>
        <v>0</v>
      </c>
      <c r="FZ58" s="1184">
        <f>FY58+DX58+EX58                 -         SUMIF('Nährstoffe und Lagerraum'!$AX$113:$AX$155,$CZ58,'Nährstoffe und Lagerraum'!$V$113:$V$155)/12  -$GE58*$HE58/12</f>
        <v>0</v>
      </c>
      <c r="GA58" s="1184">
        <f>FZ58+DY58+EY58                 -         SUMIF('Nährstoffe und Lagerraum'!$AX$113:$AX$155,$CZ58,'Nährstoffe und Lagerraum'!$V$113:$V$155)/12  -$GE58*$HE58/12</f>
        <v>0</v>
      </c>
      <c r="GB58" s="1184">
        <f>GA58+DZ58+EZ58                 -         SUMIF('Nährstoffe und Lagerraum'!$AX$113:$AX$155,$CZ58,'Nährstoffe und Lagerraum'!$V$113:$V$155)/12  -$GE58*$HE58/12</f>
        <v>0</v>
      </c>
      <c r="GC58" s="1184"/>
      <c r="GD58" s="1184">
        <f>SUMIFS($CI$14:$CI$68,$BR$14:$BR$68,$CZ58)+SUMIFS($CM$14:$CM$68,$BR$14:$BR$68,$CZ58)+SUMIFS($CR$14:$CR$68,$BR$14:$BR$68,$CZ58)  -         SUMIF('Nährstoffe und Lagerraum'!$AX$113:$AX$155,$CZ58,'Nährstoffe und Lagerraum'!$U$113:$U$155)</f>
        <v>0</v>
      </c>
      <c r="GE58" s="1184">
        <f>SUMIFS($CJ$14:$CJ$68,$BR$14:$BR$68,$CZ58)+SUMIFS($CO$14:$CO$68,$BR$14:$BR$68,$CZ58)+SUMIFS($CT$14:$CT$68,$BR$14:$BR$68,$CZ58)  -         SUMIF('Nährstoffe und Lagerraum'!$AX$113:$AX$155,$CZ58,'Nährstoffe und Lagerraum'!$V$113:$V$155)</f>
        <v>0</v>
      </c>
      <c r="GF58" s="1184"/>
      <c r="GG58" s="1184"/>
      <c r="GH58" s="1184">
        <f>SUMIF('Nährstoffe und Lagerraum'!$AX$113:$AX$155,$CZ58,'Nährstoffe und Lagerraum'!$U$113:$U$155)</f>
        <v>0</v>
      </c>
      <c r="GI58" s="1184">
        <f>SUMIF('Nährstoffe und Lagerraum'!$AX$113:$AX$155,$CZ58,'Nährstoffe und Lagerraum'!$V$113:$V$155)</f>
        <v>0</v>
      </c>
      <c r="GJ58" s="1184">
        <f t="shared" si="53"/>
        <v>0</v>
      </c>
      <c r="GK58" s="1184">
        <f t="shared" si="54"/>
        <v>0</v>
      </c>
      <c r="GL58" s="1184">
        <f t="shared" si="55"/>
        <v>0</v>
      </c>
      <c r="GM58" s="1184">
        <f t="shared" si="56"/>
        <v>0</v>
      </c>
      <c r="GN58" s="1184">
        <f t="shared" si="57"/>
        <v>0</v>
      </c>
      <c r="GO58" s="1184" cm="1">
        <f t="array" ref="GO58">IF(GN58=0,0,(IFERROR(SUMPRODUCT($J$14:$J$68,$CH$14:$CH$68,($BR$14:$BR$68=CZ58)*1)+SUMPRODUCT($L$14:$L$68,$M$14:$M$68,$CK$14:$CK$68,($BR$14:$BR$68=CZ58)*1,($BT$14:$BT$68=FALSE)*1)/10+SUMPRODUCT($R$14:$R$68,$CP$14:$CP$68,($BR$14:$BR$68=CZ58)*1),0))/GN58)</f>
        <v>0</v>
      </c>
      <c r="GP58" s="1184">
        <f t="shared" si="58"/>
        <v>0</v>
      </c>
      <c r="GQ58" s="1184">
        <f>(SUMIF('Nährstoffe und Lagerraum'!$AX$113:$AX$130,'Lagerhaltung (freiwillig)'!CZ58,'Nährstoffe und Lagerraum'!$D$113:$D$130)+SUMIF('Nährstoffe und Lagerraum'!$AX$137:$AX$155,'Lagerhaltung (freiwillig)'!CZ58,'Nährstoffe und Lagerraum'!$E$137:$E$155))</f>
        <v>0</v>
      </c>
      <c r="GR58" s="1184" cm="1">
        <f t="array" ref="GR58">IF(GQ58=0,0,(IFERROR(SUMPRODUCT('Nährstoffe und Lagerraum'!$D$113:$D$130,'Nährstoffe und Lagerraum'!$F$113:$F$130,('Nährstoffe und Lagerraum'!$AX$113:$AX$130='Lagerhaltung (freiwillig)'!CZ58)*1)+SUMPRODUCT('Nährstoffe und Lagerraum'!$E$137:$E$155,'Nährstoffe und Lagerraum'!$F$137:$F$155,('Nährstoffe und Lagerraum'!$AX$137:$AX$155='Lagerhaltung (freiwillig)'!CZ58)*1),0))/GQ58)</f>
        <v>0</v>
      </c>
      <c r="GS58" s="1184">
        <f t="shared" si="59"/>
        <v>0</v>
      </c>
      <c r="GT58" s="1184">
        <f t="shared" si="60"/>
        <v>0</v>
      </c>
      <c r="GU58" s="1184">
        <f t="shared" si="61"/>
        <v>0</v>
      </c>
      <c r="GV58" s="1184">
        <f t="shared" si="62"/>
        <v>0</v>
      </c>
      <c r="GW58" s="1186" t="str">
        <f t="shared" si="41"/>
        <v xml:space="preserve"> </v>
      </c>
      <c r="GX58" s="1186" t="str">
        <f t="shared" si="41"/>
        <v xml:space="preserve"> </v>
      </c>
      <c r="GY58" s="1195">
        <f t="shared" si="63"/>
        <v>0</v>
      </c>
      <c r="GZ58" s="1184">
        <f t="shared" si="64"/>
        <v>0</v>
      </c>
      <c r="HA58" s="1184" t="str">
        <f t="shared" si="132"/>
        <v>a</v>
      </c>
      <c r="HB58" s="1196">
        <f t="shared" si="65"/>
        <v>0</v>
      </c>
      <c r="HC58" s="1196">
        <f t="shared" si="66"/>
        <v>0</v>
      </c>
      <c r="HD58" s="1196"/>
      <c r="HE58" s="1187">
        <f t="shared" si="67"/>
        <v>0</v>
      </c>
      <c r="HF58" s="1196">
        <f t="shared" si="68"/>
        <v>0</v>
      </c>
      <c r="HG58" s="1196">
        <f t="shared" si="69"/>
        <v>0</v>
      </c>
      <c r="HH58" s="1196">
        <f t="shared" si="70"/>
        <v>0</v>
      </c>
      <c r="HI58" s="1328" cm="1">
        <f t="array" ref="HI58">IF(AND(HG58=0,GL58=0),0,IF(HG58=0,1,IF(OR(GL58*1000/HG58/HH58&gt;INDEX(Pflanzen!$W$5:$W$104,CZ58)/INDEX(Pflanzen!$I$5:$I$104,CZ58)*$HI$1,GL58*1000/HG58/HH58&lt;INDEX(Pflanzen!$W$5:$W$104,CZ58)/INDEX(Pflanzen!$I$5:$I$104,CZ58)/$HI$1),1,0)))</f>
        <v>0</v>
      </c>
      <c r="HJ58" s="1328" cm="1">
        <f t="array" ref="HJ58">IF(AND(GM58=0,HG58=0),0,IF(HG58=0,1,IF(OR(GM58*1000/HG58/HH58&gt;INDEX(Pflanzen!$X$5:$X$104,CZ58)/INDEX(Pflanzen!$I$5:$I$104,CZ58)*$HI$1,GM58*1000/HG58/HH58&lt;INDEX(Pflanzen!$X$5:$X$104,CZ58)/INDEX(Pflanzen!$I$5:$I$104,CZ58)/$HI$1),1,0)))</f>
        <v>0</v>
      </c>
      <c r="HK58" s="1184">
        <f t="shared" si="71"/>
        <v>3</v>
      </c>
      <c r="HL58" s="1184"/>
      <c r="HN58" s="1184"/>
      <c r="HO58" s="1193" t="str">
        <f>Tiere!B84</f>
        <v>Putenhähne bis 21 Wochen Mast, N-/P-reduziert</v>
      </c>
      <c r="HP58" s="1184">
        <v>55</v>
      </c>
      <c r="HQ58" s="1194">
        <f>SUMIF('Nährstoffe und Lagerraum'!$BM$68:$BM$87,'Lagerhaltung (freiwillig)'!HP58,'Nährstoffe und Lagerraum'!$Z$68:$Z$87)+SUMIF('Nährstoffe und Lagerraum'!$BM$68:$BM$87,'Lagerhaltung (freiwillig)'!HP58,'Nährstoffe und Lagerraum'!$AA$68:$AA$87)</f>
        <v>0</v>
      </c>
      <c r="HR58" s="1184" cm="1">
        <f t="array" ref="HR58">INDEX(Tiere!$C$30:$C$114,'Lagerhaltung (freiwillig)'!HP58)</f>
        <v>3</v>
      </c>
      <c r="HS58" s="1184" cm="1">
        <f t="array" ref="HS58">INDEX(Tiere!$H$30:$H$114,'Lagerhaltung (freiwillig)'!HP58)</f>
        <v>0</v>
      </c>
      <c r="HT58" s="1184">
        <f t="shared" si="12"/>
        <v>0</v>
      </c>
      <c r="HU58" s="1184" cm="1">
        <f t="array" ref="HU58">INDEX(Tiere!$I$30:$I$114,'Lagerhaltung (freiwillig)'!HP58)</f>
        <v>0</v>
      </c>
      <c r="HV58" s="1184">
        <f t="shared" si="13"/>
        <v>0</v>
      </c>
      <c r="HW58" s="1184" cm="1">
        <f t="array" ref="HW58">INDEX(Tiere!$BC$30:$BC$114,'Lagerhaltung (freiwillig)'!HP58)</f>
        <v>1.80576</v>
      </c>
      <c r="HX58" s="1184">
        <f t="shared" si="14"/>
        <v>0</v>
      </c>
      <c r="HY58" s="1184" cm="1">
        <f t="array" ref="HY58">INDEX(Tiere!$BD$30:$BD$114,'Lagerhaltung (freiwillig)'!HP58)</f>
        <v>0.64022400000000002</v>
      </c>
      <c r="HZ58" s="1184">
        <f t="shared" si="15"/>
        <v>0</v>
      </c>
      <c r="IA58" s="1184"/>
      <c r="IB58" s="1184"/>
      <c r="IC58" s="1184"/>
      <c r="ID58" s="1184"/>
      <c r="IE58" s="1184"/>
      <c r="IF58" s="1184"/>
      <c r="IG58" s="1184"/>
      <c r="IH58" s="1184"/>
      <c r="II58" s="1184"/>
      <c r="IJ58" s="1184"/>
      <c r="IK58" s="1184"/>
      <c r="IL58" s="1184"/>
    </row>
    <row r="59" spans="6:246" ht="15.6" customHeight="1" x14ac:dyDescent="0.2">
      <c r="F59" s="1122"/>
      <c r="G59" s="1498"/>
      <c r="H59" s="1336"/>
      <c r="I59" s="1162" t="str">
        <f t="shared" si="133"/>
        <v/>
      </c>
      <c r="J59" s="1303"/>
      <c r="K59" s="1162" t="str">
        <f t="shared" si="134"/>
        <v/>
      </c>
      <c r="L59" s="1487"/>
      <c r="M59" s="1491"/>
      <c r="N59" s="1487"/>
      <c r="O59" s="1487"/>
      <c r="P59" s="1303"/>
      <c r="Q59" s="1162" t="str">
        <f t="shared" si="135"/>
        <v/>
      </c>
      <c r="R59" s="1487"/>
      <c r="S59" s="1491"/>
      <c r="T59" s="1303"/>
      <c r="V59" s="1346" t="str">
        <f t="shared" si="156"/>
        <v/>
      </c>
      <c r="Y59" s="1554" t="str" cm="1">
        <f t="array" ref="Y59">IFERROR(INDEX($CY$4:$CY$165,AY59),"")</f>
        <v/>
      </c>
      <c r="Z59" s="1555"/>
      <c r="AA59" s="1555"/>
      <c r="AB59" s="1555"/>
      <c r="AC59" s="1454" t="str" cm="1">
        <f t="array" ref="AC59">IFERROR(INDEX($GN$4:$GN$165,AY59),"")</f>
        <v/>
      </c>
      <c r="AD59" s="1454" t="str" cm="1">
        <f t="array" ref="AD59">IFERROR(INDEX($GO$4:$GO$165,AY59),"")</f>
        <v/>
      </c>
      <c r="AE59" s="1454" t="str" cm="1">
        <f t="array" ref="AE59">IFERROR(INDEX($GJ$4:$GJ$165,AY59),"")</f>
        <v/>
      </c>
      <c r="AF59" s="1454" t="str" cm="1">
        <f t="array" ref="AF59">IFERROR(INDEX($GK$4:$GK$165,AY59),"")</f>
        <v/>
      </c>
      <c r="AG59" s="1454" t="str" cm="1">
        <f t="array" ref="AG59">IFERROR(INDEX($GQ$4:$GQ$165,AY59),"")</f>
        <v/>
      </c>
      <c r="AH59" s="1454" t="str" cm="1">
        <f t="array" ref="AH59">IFERROR(INDEX($GR$4:$GR$165,AY59),"")</f>
        <v/>
      </c>
      <c r="AI59" s="1454" t="str" cm="1">
        <f t="array" ref="AI59">IFERROR(INDEX($GH$4:$GH$165,AY59),"")</f>
        <v/>
      </c>
      <c r="AJ59" s="1454" t="str" cm="1">
        <f t="array" ref="AJ59">IFERROR(INDEX($GI$4:$GI$165,AY59),"")</f>
        <v/>
      </c>
      <c r="AK59" s="1454" t="str" cm="1">
        <f t="array" ref="AK59">IFERROR(INDEX($GU$4:$GU$165,AY59),"")</f>
        <v/>
      </c>
      <c r="AL59" s="1455" t="str" cm="1">
        <f t="array" ref="AL59">IFERROR(INDEX($GV$4:$GV$165,AY59),"")</f>
        <v/>
      </c>
      <c r="AM59" s="1454" t="str" cm="1">
        <f t="array" ref="AM59">IFERROR(INDEX($GD$4:$GD$165,AY59),"")</f>
        <v/>
      </c>
      <c r="AN59" s="1454" t="str" cm="1">
        <f t="array" ref="AN59">IFERROR(INDEX($GE$4:$GE$165,AY59),"")</f>
        <v/>
      </c>
      <c r="AO59" s="1454" t="str" cm="1">
        <f t="array" ref="AO59">IFERROR(INDEX($GW$4:$GW$165,AY59),"")</f>
        <v/>
      </c>
      <c r="AP59" s="1454" t="str" cm="1">
        <f t="array" ref="AP59">IFERROR(INDEX($GZ$4:$GZ$165,AY59),"")</f>
        <v/>
      </c>
      <c r="AQ59" s="1457"/>
      <c r="AR59" s="1454" t="str" cm="1">
        <f t="array" ref="AR59">IFERROR(INDEX($HF$4:$HF$165,AY59),"")</f>
        <v/>
      </c>
      <c r="AS59" s="1454" t="str" cm="1">
        <f t="array" ref="AS59">IFERROR(INDEX($HG$4:$HG$165,AY59),"")</f>
        <v/>
      </c>
      <c r="AT59" s="1454" t="str" cm="1">
        <f t="array" ref="AT59">IFERROR(INDEX($HH$4:$HH$165,AY59),"")</f>
        <v/>
      </c>
      <c r="AU59" s="1454" t="str" cm="1">
        <f t="array" ref="AU59">IFERROR(INDEX($GL$4:$GL$165,AY59),"")</f>
        <v/>
      </c>
      <c r="AV59" s="1454" t="str" cm="1">
        <f t="array" ref="AV59">IFERROR(INDEX($GM$4:$GM$165,AY59),"")</f>
        <v/>
      </c>
      <c r="AW59" s="1459"/>
      <c r="AX59" s="1459"/>
      <c r="AY59" s="1460" t="str" cm="1">
        <f t="array" ref="AY59">IFERROR(SMALL(IF($HK$4:$HK$165=1,ROW($HK$4:$HK$165)-3),ROW(W44)),IFERROR(SMALL(IF($HK$4:$HK$165=2,ROW($HK$4:$HK$165)-3),ROW(W44)-COUNTIF($HK$4:$HK$165,1)),IFERROR(SMALL(IF($HK$4:$HK$165=0,ROW($HK$4:$HK$165)-3),ROW(W44)-COUNTIF($HK$4:$HK$165,1)-COUNTIF($HK$4:$HK$165,2)),"")))</f>
        <v/>
      </c>
      <c r="AZ59" s="1460" t="str">
        <f t="shared" si="129"/>
        <v>a</v>
      </c>
      <c r="BA59" s="1461" t="e">
        <f t="shared" si="130"/>
        <v>#VALUE!</v>
      </c>
      <c r="BB59" s="1461" cm="1">
        <f t="array" ref="BB59">IFERROR(INDEX($HK$4:$HK$165,AY59),0)</f>
        <v>0</v>
      </c>
      <c r="BC59" s="1461">
        <f t="shared" si="131"/>
        <v>0</v>
      </c>
      <c r="BD59" s="1461"/>
      <c r="BE59" s="1462"/>
      <c r="BF59" s="1343"/>
      <c r="BG59" s="1343"/>
      <c r="BH59" s="1343"/>
      <c r="BI59" s="1343"/>
      <c r="BJ59" s="1343"/>
      <c r="BK59" s="1343"/>
      <c r="BL59" s="1343"/>
      <c r="BM59" s="1343"/>
      <c r="BN59" s="1343"/>
      <c r="BO59" s="1343"/>
      <c r="BQ59" s="1184">
        <v>1</v>
      </c>
      <c r="BR59" cm="1">
        <f t="array" ref="BR59">INDEX(Pflanzen!$B$5:$B$112,'Lagerhaltung (freiwillig)'!BQ59)</f>
        <v>1</v>
      </c>
      <c r="BS59" s="1184"/>
      <c r="BT59" s="1184" t="b">
        <v>0</v>
      </c>
      <c r="BU59" s="1185"/>
      <c r="BV59" s="1185"/>
      <c r="BW59" s="1184">
        <f t="shared" si="136"/>
        <v>12</v>
      </c>
      <c r="BX59" s="1184">
        <f t="shared" si="137"/>
        <v>0</v>
      </c>
      <c r="BY59" s="1184">
        <f t="shared" si="138"/>
        <v>12</v>
      </c>
      <c r="BZ59" s="1184" cm="1">
        <f t="array" ref="BZ59">INDEX(Pflanzen!$AB$5:$AB$114,'Lagerhaltung (freiwillig)'!BR59)</f>
        <v>0</v>
      </c>
      <c r="CA59" s="1184" cm="1">
        <f t="array" ref="CA59">IF(BZ59=1,INDEX(Pflanzen!$AC$5:$AC$114,BR59),N59)</f>
        <v>0</v>
      </c>
      <c r="CB59" s="1184" cm="1">
        <f t="array" ref="CB59">IF(BZ59=1,INDEX(Pflanzen!$AD$5:$AD$114,BR59),O59)</f>
        <v>0</v>
      </c>
      <c r="CC59" s="1184">
        <f t="shared" si="139"/>
        <v>12</v>
      </c>
      <c r="CD59" s="1184">
        <f t="shared" si="140"/>
        <v>0</v>
      </c>
      <c r="CE59" s="1184">
        <f t="shared" si="141"/>
        <v>12</v>
      </c>
      <c r="CF59" s="1184" cm="1">
        <f t="array" ref="CF59">INDEX(Pflanzen!$F$5:$F$114,BR59)</f>
        <v>0</v>
      </c>
      <c r="CG59" s="1184" cm="1">
        <f t="array" ref="CG59">INDEX(Pflanzen!$G$5:$G$114,BR59)</f>
        <v>0</v>
      </c>
      <c r="CH59" s="1184">
        <f t="shared" si="142"/>
        <v>0</v>
      </c>
      <c r="CI59" s="1184">
        <f t="shared" si="143"/>
        <v>0</v>
      </c>
      <c r="CJ59" s="1184">
        <f t="shared" si="144"/>
        <v>0</v>
      </c>
      <c r="CK59" s="1184">
        <f t="shared" si="145"/>
        <v>0</v>
      </c>
      <c r="CL59" s="1184">
        <f t="shared" si="146"/>
        <v>0</v>
      </c>
      <c r="CM59" s="1184">
        <f t="shared" si="147"/>
        <v>0</v>
      </c>
      <c r="CN59" s="1184">
        <f t="shared" si="148"/>
        <v>0</v>
      </c>
      <c r="CO59" s="1184">
        <f t="shared" si="149"/>
        <v>0</v>
      </c>
      <c r="CP59" s="1184">
        <f t="shared" si="150"/>
        <v>0</v>
      </c>
      <c r="CQ59" s="1184">
        <f t="shared" si="151"/>
        <v>0</v>
      </c>
      <c r="CR59" s="1184">
        <f t="shared" si="152"/>
        <v>0</v>
      </c>
      <c r="CS59" s="1184">
        <f t="shared" si="153"/>
        <v>0</v>
      </c>
      <c r="CT59" s="1184">
        <f t="shared" si="154"/>
        <v>0</v>
      </c>
      <c r="CU59" s="1184">
        <f t="shared" si="157"/>
        <v>2</v>
      </c>
      <c r="CV59" s="1186" cm="1">
        <f t="array" ref="CV59">IF(AND(COUNTIF($BR$14:$BR$36,BR59)&gt;0,BR59&lt;ROWS(Pflanzen!$C$5:$C$107)),INDEX(Pflanzen!$I$5:$I$114,BR59),SUMIF($BR$44:$BR$68,BR59,$F$44:$F$69)/COUNTIF($BR$44:$BR$68,BR59))</f>
        <v>0</v>
      </c>
      <c r="CW59" s="1186">
        <f t="shared" si="155"/>
        <v>0</v>
      </c>
      <c r="CX59" s="1184"/>
      <c r="CY59" s="320" t="str">
        <f>Pflanzen!A55</f>
        <v>GPS Triticale</v>
      </c>
      <c r="CZ59" s="1200">
        <f>IFERROR(MATCH($CY59,Pflanzen!$C$5:$C$114,0),1)</f>
        <v>51</v>
      </c>
      <c r="DA59" s="320" cm="1">
        <f t="array" ref="DA59">INDEX(Pflanzen!$H$5:$H$114,'Lagerhaltung (freiwillig)'!CZ59)</f>
        <v>1</v>
      </c>
      <c r="DB59" s="1200">
        <f t="shared" ref="DB59:DM68" si="162">SUMIFS($CQ$14:$CQ$68,$BW$14:$BW$68,1,$BX$14:$BX$68,DB$2,$BR$14:$BR$68,$CZ59)+    SUMIFS($CQ$14:$CQ$68,$BW$14:$BW$68,"&gt;1",$BX$14:$BX$68,"&lt;="&amp;DB$2,$BY$14:$BY$68,"&gt;="&amp;DB$2,$BR$14:$BR$68,$CZ59)</f>
        <v>0</v>
      </c>
      <c r="DC59" s="1200">
        <f t="shared" si="162"/>
        <v>0</v>
      </c>
      <c r="DD59" s="1200">
        <f t="shared" si="162"/>
        <v>0</v>
      </c>
      <c r="DE59" s="1200">
        <f t="shared" si="162"/>
        <v>0</v>
      </c>
      <c r="DF59" s="1200">
        <f t="shared" si="162"/>
        <v>0</v>
      </c>
      <c r="DG59" s="1184">
        <f t="shared" si="162"/>
        <v>0</v>
      </c>
      <c r="DH59" s="1184">
        <f t="shared" si="162"/>
        <v>0</v>
      </c>
      <c r="DI59" s="1184">
        <f t="shared" si="162"/>
        <v>0</v>
      </c>
      <c r="DJ59" s="1184">
        <f t="shared" si="162"/>
        <v>0</v>
      </c>
      <c r="DK59" s="1184">
        <f t="shared" si="162"/>
        <v>0</v>
      </c>
      <c r="DL59" s="1184">
        <f t="shared" si="162"/>
        <v>0</v>
      </c>
      <c r="DM59" s="1184">
        <f t="shared" si="162"/>
        <v>0</v>
      </c>
      <c r="DN59" s="1184"/>
      <c r="DO59" s="1184">
        <f t="shared" ref="DO59:DZ68" si="163">SUMIFS($CS$14:$CS$68,$BW$14:$BW$68,1,$BX$14:$BX$68,DO$2,$BR$14:$BR$68,$CZ59)+    SUMIFS($CS$14:$CS$68,$BW$14:$BW$68,"&gt;1",$BX$14:$BX$68,"&lt;="&amp;DO$2,$BY$14:$BY$68,"&gt;="&amp;DO$2,$BR$14:$BR$68,$CZ59)</f>
        <v>0</v>
      </c>
      <c r="DP59" s="1184">
        <f t="shared" si="163"/>
        <v>0</v>
      </c>
      <c r="DQ59" s="1184">
        <f t="shared" si="163"/>
        <v>0</v>
      </c>
      <c r="DR59" s="1184">
        <f t="shared" si="163"/>
        <v>0</v>
      </c>
      <c r="DS59" s="1184">
        <f t="shared" si="163"/>
        <v>0</v>
      </c>
      <c r="DT59" s="1184">
        <f t="shared" si="163"/>
        <v>0</v>
      </c>
      <c r="DU59" s="1184">
        <f t="shared" si="163"/>
        <v>0</v>
      </c>
      <c r="DV59" s="1184">
        <f t="shared" si="163"/>
        <v>0</v>
      </c>
      <c r="DW59" s="1184">
        <f t="shared" si="163"/>
        <v>0</v>
      </c>
      <c r="DX59" s="1184">
        <f t="shared" si="163"/>
        <v>0</v>
      </c>
      <c r="DY59" s="1184">
        <f t="shared" si="163"/>
        <v>0</v>
      </c>
      <c r="DZ59" s="1184">
        <f t="shared" si="163"/>
        <v>0</v>
      </c>
      <c r="EA59" s="1184"/>
      <c r="EB59" s="1184">
        <f t="shared" ref="EB59:EM68" si="164">SUMIFS($CL$14:$CL$68,$CC$14:$CC$68,1,$CD$14:$CD$68,EB$2,$BR$14:$BR$68,$CZ59)+         SUMIFS($CL$14:$CL$68,$CC$14:$CC$68,"&gt;1",$CD$14:$CD$68,"&lt;="&amp;EB$2,$CE$14:$CE$68,"&gt;="&amp;EB$2,$BR$14:$BR$68,$CZ59)</f>
        <v>0</v>
      </c>
      <c r="EC59" s="1184">
        <f t="shared" si="164"/>
        <v>0</v>
      </c>
      <c r="ED59" s="1184">
        <f t="shared" si="164"/>
        <v>0</v>
      </c>
      <c r="EE59" s="1184">
        <f t="shared" si="164"/>
        <v>0</v>
      </c>
      <c r="EF59" s="1184">
        <f t="shared" si="164"/>
        <v>0</v>
      </c>
      <c r="EG59" s="1184">
        <f t="shared" si="164"/>
        <v>0</v>
      </c>
      <c r="EH59" s="1184">
        <f t="shared" si="164"/>
        <v>0</v>
      </c>
      <c r="EI59" s="1184">
        <f t="shared" si="164"/>
        <v>0</v>
      </c>
      <c r="EJ59" s="1184">
        <f t="shared" si="164"/>
        <v>0</v>
      </c>
      <c r="EK59" s="1184">
        <f t="shared" si="164"/>
        <v>0</v>
      </c>
      <c r="EL59" s="1184">
        <f t="shared" si="164"/>
        <v>0</v>
      </c>
      <c r="EM59" s="1184">
        <f t="shared" si="164"/>
        <v>0</v>
      </c>
      <c r="EN59" s="1184"/>
      <c r="EO59" s="1184">
        <f t="shared" ref="EO59:EZ68" si="165">SUMIFS($CN$14:$CN$68,$CC$14:$CC$68,1,$CD$14:$CD$68,EO$2,$BR$14:$BR$68,$CZ59)+         SUMIFS($CN$14:$CN$68,$CC$14:$CC$68,"&gt;1",$CD$14:$CD$68,"&lt;="&amp;EO$2,$CE$14:$CE$68,"&gt;="&amp;EO$2,$BR$14:$BR$68,$CZ59)</f>
        <v>0</v>
      </c>
      <c r="EP59" s="1184">
        <f t="shared" si="165"/>
        <v>0</v>
      </c>
      <c r="EQ59" s="1184">
        <f t="shared" si="165"/>
        <v>0</v>
      </c>
      <c r="ER59" s="1184">
        <f t="shared" si="165"/>
        <v>0</v>
      </c>
      <c r="ES59" s="1184">
        <f t="shared" si="165"/>
        <v>0</v>
      </c>
      <c r="ET59" s="1184">
        <f t="shared" si="165"/>
        <v>0</v>
      </c>
      <c r="EU59" s="1184">
        <f t="shared" si="165"/>
        <v>0</v>
      </c>
      <c r="EV59" s="1184">
        <f t="shared" si="165"/>
        <v>0</v>
      </c>
      <c r="EW59" s="1184">
        <f t="shared" si="165"/>
        <v>0</v>
      </c>
      <c r="EX59" s="1184">
        <f t="shared" si="165"/>
        <v>0</v>
      </c>
      <c r="EY59" s="1184">
        <f t="shared" si="165"/>
        <v>0</v>
      </c>
      <c r="EZ59" s="1184">
        <f t="shared" si="165"/>
        <v>0</v>
      </c>
      <c r="FA59" s="1184"/>
      <c r="FB59" s="1186">
        <f t="shared" si="51"/>
        <v>0</v>
      </c>
      <c r="FC59" s="1184">
        <f>FB59+DB59+EB59                 -         SUMIF('Nährstoffe und Lagerraum'!$AX$113:$AX$155,$CZ59,'Nährstoffe und Lagerraum'!$U$113:$U$155)/12  -$GD59*$HE59/12</f>
        <v>0</v>
      </c>
      <c r="FD59" s="1184">
        <f>FC59+DC59+EC59                 -         SUMIF('Nährstoffe und Lagerraum'!$AX$113:$AX$155,$CZ59,'Nährstoffe und Lagerraum'!$U$113:$U$155)/12  -$GD59*$HE59/12</f>
        <v>0</v>
      </c>
      <c r="FE59" s="1184">
        <f>FD59+DD59+ED59                 -         SUMIF('Nährstoffe und Lagerraum'!$AX$113:$AX$155,$CZ59,'Nährstoffe und Lagerraum'!$U$113:$U$155)/12  -$GD59*$HE59/12</f>
        <v>0</v>
      </c>
      <c r="FF59" s="1184">
        <f>FE59+DE59+EE59                 -         SUMIF('Nährstoffe und Lagerraum'!$AX$113:$AX$155,$CZ59,'Nährstoffe und Lagerraum'!$U$113:$U$155)/12  -$GD59*$HE59/12</f>
        <v>0</v>
      </c>
      <c r="FG59" s="1184">
        <f>FF59+DF59+EF59                 -         SUMIF('Nährstoffe und Lagerraum'!$AX$113:$AX$155,$CZ59,'Nährstoffe und Lagerraum'!$U$113:$U$155)/12  -$GD59*$HE59/12</f>
        <v>0</v>
      </c>
      <c r="FH59" s="1184">
        <f>FG59+DG59+EG59                 -         SUMIF('Nährstoffe und Lagerraum'!$AX$113:$AX$155,$CZ59,'Nährstoffe und Lagerraum'!$U$113:$U$155)/12  -$GD59*$HE59/12</f>
        <v>0</v>
      </c>
      <c r="FI59" s="1184">
        <f>FH59+DH59+EH59                 -         SUMIF('Nährstoffe und Lagerraum'!$AX$113:$AX$155,$CZ59,'Nährstoffe und Lagerraum'!$U$113:$U$155)/12  -$GD59*$HE59/12</f>
        <v>0</v>
      </c>
      <c r="FJ59" s="1184">
        <f>FI59+DI59+EI59                 -         SUMIF('Nährstoffe und Lagerraum'!$AX$113:$AX$155,$CZ59,'Nährstoffe und Lagerraum'!$U$113:$U$155)/12  -$GD59*$HE59/12</f>
        <v>0</v>
      </c>
      <c r="FK59" s="1184">
        <f>FJ59+DJ59+EJ59                 -         SUMIF('Nährstoffe und Lagerraum'!$AX$113:$AX$155,$CZ59,'Nährstoffe und Lagerraum'!$U$113:$U$155)/12  -$GD59*$HE59/12</f>
        <v>0</v>
      </c>
      <c r="FL59" s="1184">
        <f>FK59+DK59+EK59                 -         SUMIF('Nährstoffe und Lagerraum'!$AX$113:$AX$155,$CZ59,'Nährstoffe und Lagerraum'!$U$113:$U$155)/12  -$GD59*$HE59/12</f>
        <v>0</v>
      </c>
      <c r="FM59" s="1184">
        <f>FL59+DL59+EL59                 -         SUMIF('Nährstoffe und Lagerraum'!$AX$113:$AX$155,$CZ59,'Nährstoffe und Lagerraum'!$U$113:$U$155)/12  -$GD59*$HE59/12</f>
        <v>0</v>
      </c>
      <c r="FN59" s="1184">
        <f>FM59+DM59+EM59                 -         SUMIF('Nährstoffe und Lagerraum'!$AX$113:$AX$155,$CZ59,'Nährstoffe und Lagerraum'!$U$113:$U$155)/12  -$GD59*$HE59/12</f>
        <v>0</v>
      </c>
      <c r="FO59" s="1184"/>
      <c r="FP59" s="1186">
        <f t="shared" si="52"/>
        <v>0</v>
      </c>
      <c r="FQ59" s="1184">
        <f>FP59+DO59+EO59                 -         SUMIF('Nährstoffe und Lagerraum'!$AX$113:$AX$155,$CZ59,'Nährstoffe und Lagerraum'!$V$113:$V$155)/12  -$GE59*$HE59/12</f>
        <v>0</v>
      </c>
      <c r="FR59" s="1184">
        <f>FQ59+DP59+EP59                 -         SUMIF('Nährstoffe und Lagerraum'!$AX$113:$AX$155,$CZ59,'Nährstoffe und Lagerraum'!$V$113:$V$155)/12  -$GE59*$HE59/12</f>
        <v>0</v>
      </c>
      <c r="FS59" s="1184">
        <f>FR59+DQ59+EQ59                 -         SUMIF('Nährstoffe und Lagerraum'!$AX$113:$AX$155,$CZ59,'Nährstoffe und Lagerraum'!$V$113:$V$155)/12  -$GE59*$HE59/12</f>
        <v>0</v>
      </c>
      <c r="FT59" s="1184">
        <f>FS59+DR59+ER59                 -         SUMIF('Nährstoffe und Lagerraum'!$AX$113:$AX$155,$CZ59,'Nährstoffe und Lagerraum'!$V$113:$V$155)/12  -$GE59*$HE59/12</f>
        <v>0</v>
      </c>
      <c r="FU59" s="1184">
        <f>FT59+DS59+ES59                 -         SUMIF('Nährstoffe und Lagerraum'!$AX$113:$AX$155,$CZ59,'Nährstoffe und Lagerraum'!$V$113:$V$155)/12  -$GE59*$HE59/12</f>
        <v>0</v>
      </c>
      <c r="FV59" s="1184">
        <f>FU59+DT59+ET59                 -         SUMIF('Nährstoffe und Lagerraum'!$AX$113:$AX$155,$CZ59,'Nährstoffe und Lagerraum'!$V$113:$V$155)/12  -$GE59*$HE59/12</f>
        <v>0</v>
      </c>
      <c r="FW59" s="1184">
        <f>FV59+DU59+EU59                 -         SUMIF('Nährstoffe und Lagerraum'!$AX$113:$AX$155,$CZ59,'Nährstoffe und Lagerraum'!$V$113:$V$155)/12  -$GE59*$HE59/12</f>
        <v>0</v>
      </c>
      <c r="FX59" s="1184">
        <f>FW59+DV59+EV59                 -         SUMIF('Nährstoffe und Lagerraum'!$AX$113:$AX$155,$CZ59,'Nährstoffe und Lagerraum'!$V$113:$V$155)/12  -$GE59*$HE59/12</f>
        <v>0</v>
      </c>
      <c r="FY59" s="1184">
        <f>FX59+DW59+EW59                 -         SUMIF('Nährstoffe und Lagerraum'!$AX$113:$AX$155,$CZ59,'Nährstoffe und Lagerraum'!$V$113:$V$155)/12  -$GE59*$HE59/12</f>
        <v>0</v>
      </c>
      <c r="FZ59" s="1184">
        <f>FY59+DX59+EX59                 -         SUMIF('Nährstoffe und Lagerraum'!$AX$113:$AX$155,$CZ59,'Nährstoffe und Lagerraum'!$V$113:$V$155)/12  -$GE59*$HE59/12</f>
        <v>0</v>
      </c>
      <c r="GA59" s="1184">
        <f>FZ59+DY59+EY59                 -         SUMIF('Nährstoffe und Lagerraum'!$AX$113:$AX$155,$CZ59,'Nährstoffe und Lagerraum'!$V$113:$V$155)/12  -$GE59*$HE59/12</f>
        <v>0</v>
      </c>
      <c r="GB59" s="1184">
        <f>GA59+DZ59+EZ59                 -         SUMIF('Nährstoffe und Lagerraum'!$AX$113:$AX$155,$CZ59,'Nährstoffe und Lagerraum'!$V$113:$V$155)/12  -$GE59*$HE59/12</f>
        <v>0</v>
      </c>
      <c r="GC59" s="1184"/>
      <c r="GD59" s="1184">
        <f>SUMIFS($CI$14:$CI$68,$BR$14:$BR$68,$CZ59)+SUMIFS($CM$14:$CM$68,$BR$14:$BR$68,$CZ59)+SUMIFS($CR$14:$CR$68,$BR$14:$BR$68,$CZ59)  -         SUMIF('Nährstoffe und Lagerraum'!$AX$113:$AX$155,$CZ59,'Nährstoffe und Lagerraum'!$U$113:$U$155)</f>
        <v>0</v>
      </c>
      <c r="GE59" s="1184">
        <f>SUMIFS($CJ$14:$CJ$68,$BR$14:$BR$68,$CZ59)+SUMIFS($CO$14:$CO$68,$BR$14:$BR$68,$CZ59)+SUMIFS($CT$14:$CT$68,$BR$14:$BR$68,$CZ59)  -         SUMIF('Nährstoffe und Lagerraum'!$AX$113:$AX$155,$CZ59,'Nährstoffe und Lagerraum'!$V$113:$V$155)</f>
        <v>0</v>
      </c>
      <c r="GF59" s="1184"/>
      <c r="GG59" s="1184"/>
      <c r="GH59" s="1184">
        <f>SUMIF('Nährstoffe und Lagerraum'!$AX$113:$AX$155,$CZ59,'Nährstoffe und Lagerraum'!$U$113:$U$155)</f>
        <v>0</v>
      </c>
      <c r="GI59" s="1184">
        <f>SUMIF('Nährstoffe und Lagerraum'!$AX$113:$AX$155,$CZ59,'Nährstoffe und Lagerraum'!$V$113:$V$155)</f>
        <v>0</v>
      </c>
      <c r="GJ59" s="1184">
        <f t="shared" si="53"/>
        <v>0</v>
      </c>
      <c r="GK59" s="1184">
        <f t="shared" si="54"/>
        <v>0</v>
      </c>
      <c r="GL59" s="1184">
        <f t="shared" si="55"/>
        <v>0</v>
      </c>
      <c r="GM59" s="1184">
        <f t="shared" si="56"/>
        <v>0</v>
      </c>
      <c r="GN59" s="1184">
        <f t="shared" si="57"/>
        <v>0</v>
      </c>
      <c r="GO59" s="1184" cm="1">
        <f t="array" ref="GO59">IF(GN59=0,0,(IFERROR(SUMPRODUCT($J$14:$J$68,$CH$14:$CH$68,($BR$14:$BR$68=CZ59)*1)+SUMPRODUCT($L$14:$L$68,$M$14:$M$68,$CK$14:$CK$68,($BR$14:$BR$68=CZ59)*1,($BT$14:$BT$68=FALSE)*1)/10+SUMPRODUCT($R$14:$R$68,$CP$14:$CP$68,($BR$14:$BR$68=CZ59)*1),0))/GN59)</f>
        <v>0</v>
      </c>
      <c r="GP59" s="1184">
        <f t="shared" si="58"/>
        <v>0</v>
      </c>
      <c r="GQ59" s="1184">
        <f>(SUMIF('Nährstoffe und Lagerraum'!$AX$113:$AX$130,'Lagerhaltung (freiwillig)'!CZ59,'Nährstoffe und Lagerraum'!$D$113:$D$130)+SUMIF('Nährstoffe und Lagerraum'!$AX$137:$AX$155,'Lagerhaltung (freiwillig)'!CZ59,'Nährstoffe und Lagerraum'!$E$137:$E$155))</f>
        <v>0</v>
      </c>
      <c r="GR59" s="1184" cm="1">
        <f t="array" ref="GR59">IF(GQ59=0,0,(IFERROR(SUMPRODUCT('Nährstoffe und Lagerraum'!$D$113:$D$130,'Nährstoffe und Lagerraum'!$F$113:$F$130,('Nährstoffe und Lagerraum'!$AX$113:$AX$130='Lagerhaltung (freiwillig)'!CZ59)*1)+SUMPRODUCT('Nährstoffe und Lagerraum'!$E$137:$E$155,'Nährstoffe und Lagerraum'!$F$137:$F$155,('Nährstoffe und Lagerraum'!$AX$137:$AX$155='Lagerhaltung (freiwillig)'!CZ59)*1),0))/GQ59)</f>
        <v>0</v>
      </c>
      <c r="GS59" s="1184">
        <f t="shared" si="59"/>
        <v>0</v>
      </c>
      <c r="GT59" s="1184">
        <f t="shared" si="60"/>
        <v>0</v>
      </c>
      <c r="GU59" s="1184">
        <f t="shared" si="61"/>
        <v>0</v>
      </c>
      <c r="GV59" s="1184">
        <f t="shared" si="62"/>
        <v>0</v>
      </c>
      <c r="GW59" s="1186" t="str">
        <f t="shared" si="41"/>
        <v xml:space="preserve"> </v>
      </c>
      <c r="GX59" s="1186" t="str">
        <f t="shared" si="41"/>
        <v xml:space="preserve"> </v>
      </c>
      <c r="GY59" s="1195">
        <f t="shared" si="63"/>
        <v>0</v>
      </c>
      <c r="GZ59" s="1184">
        <f t="shared" si="64"/>
        <v>0</v>
      </c>
      <c r="HA59" s="1184" t="str">
        <f t="shared" si="132"/>
        <v>a</v>
      </c>
      <c r="HB59" s="1196">
        <f t="shared" si="65"/>
        <v>0</v>
      </c>
      <c r="HC59" s="1196">
        <f t="shared" si="66"/>
        <v>0</v>
      </c>
      <c r="HD59" s="1196"/>
      <c r="HE59" s="1187">
        <f t="shared" si="67"/>
        <v>0</v>
      </c>
      <c r="HF59" s="1196">
        <f t="shared" si="68"/>
        <v>0</v>
      </c>
      <c r="HG59" s="1196">
        <f t="shared" si="69"/>
        <v>0</v>
      </c>
      <c r="HH59" s="1196">
        <f t="shared" si="70"/>
        <v>0</v>
      </c>
      <c r="HI59" s="1328" cm="1">
        <f t="array" ref="HI59">IF(AND(HG59=0,GL59=0),0,IF(HG59=0,1,IF(OR(GL59*1000/HG59/HH59&gt;INDEX(Pflanzen!$W$5:$W$104,CZ59)/INDEX(Pflanzen!$I$5:$I$104,CZ59)*$HI$1,GL59*1000/HG59/HH59&lt;INDEX(Pflanzen!$W$5:$W$104,CZ59)/INDEX(Pflanzen!$I$5:$I$104,CZ59)/$HI$1),1,0)))</f>
        <v>0</v>
      </c>
      <c r="HJ59" s="1328" cm="1">
        <f t="array" ref="HJ59">IF(AND(GM59=0,HG59=0),0,IF(HG59=0,1,IF(OR(GM59*1000/HG59/HH59&gt;INDEX(Pflanzen!$X$5:$X$104,CZ59)/INDEX(Pflanzen!$I$5:$I$104,CZ59)*$HI$1,GM59*1000/HG59/HH59&lt;INDEX(Pflanzen!$X$5:$X$104,CZ59)/INDEX(Pflanzen!$I$5:$I$104,CZ59)/$HI$1),1,0)))</f>
        <v>0</v>
      </c>
      <c r="HK59" s="1184">
        <f t="shared" si="71"/>
        <v>3</v>
      </c>
      <c r="HL59" s="1184"/>
      <c r="HN59" s="1184"/>
      <c r="HO59" s="1193" t="str">
        <f>Tiere!B85</f>
        <v>Putenhennen bis 16 Wochen Mast, Standard</v>
      </c>
      <c r="HP59" s="1184">
        <v>56</v>
      </c>
      <c r="HQ59" s="1194">
        <f>SUMIF('Nährstoffe und Lagerraum'!$BM$68:$BM$87,'Lagerhaltung (freiwillig)'!HP59,'Nährstoffe und Lagerraum'!$Z$68:$Z$87)+SUMIF('Nährstoffe und Lagerraum'!$BM$68:$BM$87,'Lagerhaltung (freiwillig)'!HP59,'Nährstoffe und Lagerraum'!$AA$68:$AA$87)</f>
        <v>0</v>
      </c>
      <c r="HR59" s="1184" cm="1">
        <f t="array" ref="HR59">INDEX(Tiere!$C$30:$C$114,'Lagerhaltung (freiwillig)'!HP59)</f>
        <v>3</v>
      </c>
      <c r="HS59" s="1184" cm="1">
        <f t="array" ref="HS59">INDEX(Tiere!$H$30:$H$114,'Lagerhaltung (freiwillig)'!HP59)</f>
        <v>0</v>
      </c>
      <c r="HT59" s="1184">
        <f t="shared" si="12"/>
        <v>0</v>
      </c>
      <c r="HU59" s="1184" cm="1">
        <f t="array" ref="HU59">INDEX(Tiere!$I$30:$I$114,'Lagerhaltung (freiwillig)'!HP59)</f>
        <v>0</v>
      </c>
      <c r="HV59" s="1184">
        <f t="shared" si="13"/>
        <v>0</v>
      </c>
      <c r="HW59" s="1184" cm="1">
        <f t="array" ref="HW59">INDEX(Tiere!$BC$30:$BC$114,'Lagerhaltung (freiwillig)'!HP59)</f>
        <v>1.16919</v>
      </c>
      <c r="HX59" s="1184">
        <f t="shared" si="14"/>
        <v>0</v>
      </c>
      <c r="HY59" s="1184" cm="1">
        <f t="array" ref="HY59">INDEX(Tiere!$BD$30:$BD$114,'Lagerhaltung (freiwillig)'!HP59)</f>
        <v>0.41453099999999998</v>
      </c>
      <c r="HZ59" s="1184">
        <f t="shared" si="15"/>
        <v>0</v>
      </c>
      <c r="IA59" s="1184"/>
      <c r="IB59" s="1184"/>
      <c r="IC59" s="1184"/>
      <c r="ID59" s="1184"/>
      <c r="IE59" s="1184"/>
      <c r="IF59" s="1184"/>
      <c r="IG59" s="1184"/>
      <c r="IH59" s="1184"/>
      <c r="II59" s="1184"/>
      <c r="IJ59" s="1184"/>
      <c r="IK59" s="1184"/>
      <c r="IL59" s="1184"/>
    </row>
    <row r="60" spans="6:246" ht="15.6" customHeight="1" x14ac:dyDescent="0.2">
      <c r="F60" s="1122"/>
      <c r="G60" s="1498"/>
      <c r="H60" s="1336"/>
      <c r="I60" s="1162" t="str">
        <f t="shared" si="133"/>
        <v/>
      </c>
      <c r="J60" s="1303"/>
      <c r="K60" s="1162" t="str">
        <f t="shared" si="134"/>
        <v/>
      </c>
      <c r="L60" s="1487"/>
      <c r="M60" s="1491"/>
      <c r="N60" s="1487"/>
      <c r="O60" s="1487"/>
      <c r="P60" s="1303"/>
      <c r="Q60" s="1162" t="str">
        <f t="shared" si="135"/>
        <v/>
      </c>
      <c r="R60" s="1487"/>
      <c r="S60" s="1491"/>
      <c r="T60" s="1303"/>
      <c r="V60" s="1346" t="str">
        <f t="shared" si="156"/>
        <v/>
      </c>
      <c r="Y60" s="1554" t="str" cm="1">
        <f t="array" ref="Y60">IFERROR(INDEX($CY$4:$CY$165,AY60),"")</f>
        <v/>
      </c>
      <c r="Z60" s="1555"/>
      <c r="AA60" s="1555"/>
      <c r="AB60" s="1555"/>
      <c r="AC60" s="1454" t="str" cm="1">
        <f t="array" ref="AC60">IFERROR(INDEX($GN$4:$GN$165,AY60),"")</f>
        <v/>
      </c>
      <c r="AD60" s="1454" t="str" cm="1">
        <f t="array" ref="AD60">IFERROR(INDEX($GO$4:$GO$165,AY60),"")</f>
        <v/>
      </c>
      <c r="AE60" s="1454" t="str" cm="1">
        <f t="array" ref="AE60">IFERROR(INDEX($GJ$4:$GJ$165,AY60),"")</f>
        <v/>
      </c>
      <c r="AF60" s="1454" t="str" cm="1">
        <f t="array" ref="AF60">IFERROR(INDEX($GK$4:$GK$165,AY60),"")</f>
        <v/>
      </c>
      <c r="AG60" s="1454" t="str" cm="1">
        <f t="array" ref="AG60">IFERROR(INDEX($GQ$4:$GQ$165,AY60),"")</f>
        <v/>
      </c>
      <c r="AH60" s="1454" t="str" cm="1">
        <f t="array" ref="AH60">IFERROR(INDEX($GR$4:$GR$165,AY60),"")</f>
        <v/>
      </c>
      <c r="AI60" s="1454" t="str" cm="1">
        <f t="array" ref="AI60">IFERROR(INDEX($GH$4:$GH$165,AY60),"")</f>
        <v/>
      </c>
      <c r="AJ60" s="1454" t="str" cm="1">
        <f t="array" ref="AJ60">IFERROR(INDEX($GI$4:$GI$165,AY60),"")</f>
        <v/>
      </c>
      <c r="AK60" s="1454" t="str" cm="1">
        <f t="array" ref="AK60">IFERROR(INDEX($GU$4:$GU$165,AY60),"")</f>
        <v/>
      </c>
      <c r="AL60" s="1455" t="str" cm="1">
        <f t="array" ref="AL60">IFERROR(INDEX($GV$4:$GV$165,AY60),"")</f>
        <v/>
      </c>
      <c r="AM60" s="1454" t="str" cm="1">
        <f t="array" ref="AM60">IFERROR(INDEX($GD$4:$GD$165,AY60),"")</f>
        <v/>
      </c>
      <c r="AN60" s="1454" t="str" cm="1">
        <f t="array" ref="AN60">IFERROR(INDEX($GE$4:$GE$165,AY60),"")</f>
        <v/>
      </c>
      <c r="AO60" s="1454" t="str" cm="1">
        <f t="array" ref="AO60">IFERROR(INDEX($GW$4:$GW$165,AY60),"")</f>
        <v/>
      </c>
      <c r="AP60" s="1454" t="str" cm="1">
        <f t="array" ref="AP60">IFERROR(INDEX($GZ$4:$GZ$165,AY60),"")</f>
        <v/>
      </c>
      <c r="AQ60" s="1457"/>
      <c r="AR60" s="1454" t="str" cm="1">
        <f t="array" ref="AR60">IFERROR(INDEX($HF$4:$HF$165,AY60),"")</f>
        <v/>
      </c>
      <c r="AS60" s="1454" t="str" cm="1">
        <f t="array" ref="AS60">IFERROR(INDEX($HG$4:$HG$165,AY60),"")</f>
        <v/>
      </c>
      <c r="AT60" s="1454" t="str" cm="1">
        <f t="array" ref="AT60">IFERROR(INDEX($HH$4:$HH$165,AY60),"")</f>
        <v/>
      </c>
      <c r="AU60" s="1454" t="str" cm="1">
        <f t="array" ref="AU60">IFERROR(INDEX($GL$4:$GL$165,AY60),"")</f>
        <v/>
      </c>
      <c r="AV60" s="1454" t="str" cm="1">
        <f t="array" ref="AV60">IFERROR(INDEX($GM$4:$GM$165,AY60),"")</f>
        <v/>
      </c>
      <c r="AW60" s="1459"/>
      <c r="AX60" s="1459"/>
      <c r="AY60" s="1460" t="str" cm="1">
        <f t="array" ref="AY60">IFERROR(SMALL(IF($HK$4:$HK$165=1,ROW($HK$4:$HK$165)-3),ROW(W45)),IFERROR(SMALL(IF($HK$4:$HK$165=2,ROW($HK$4:$HK$165)-3),ROW(W45)-COUNTIF($HK$4:$HK$165,1)),IFERROR(SMALL(IF($HK$4:$HK$165=0,ROW($HK$4:$HK$165)-3),ROW(W45)-COUNTIF($HK$4:$HK$165,1)-COUNTIF($HK$4:$HK$165,2)),"")))</f>
        <v/>
      </c>
      <c r="AZ60" s="1460" t="str">
        <f t="shared" si="129"/>
        <v>a</v>
      </c>
      <c r="BA60" s="1461" t="e">
        <f t="shared" si="130"/>
        <v>#VALUE!</v>
      </c>
      <c r="BB60" s="1461" cm="1">
        <f t="array" ref="BB60">IFERROR(INDEX($HK$4:$HK$165,AY60),0)</f>
        <v>0</v>
      </c>
      <c r="BC60" s="1461">
        <f t="shared" si="131"/>
        <v>0</v>
      </c>
      <c r="BD60" s="1461"/>
      <c r="BE60" s="1462"/>
      <c r="BF60" s="1343"/>
      <c r="BG60" s="1343"/>
      <c r="BH60" s="1343"/>
      <c r="BI60" s="1343"/>
      <c r="BJ60" s="1343"/>
      <c r="BK60" s="1343"/>
      <c r="BL60" s="1343"/>
      <c r="BM60" s="1343"/>
      <c r="BN60" s="1343"/>
      <c r="BO60" s="1343"/>
      <c r="BQ60" s="1184">
        <v>1</v>
      </c>
      <c r="BR60" cm="1">
        <f t="array" ref="BR60">INDEX(Pflanzen!$B$5:$B$112,'Lagerhaltung (freiwillig)'!BQ60)</f>
        <v>1</v>
      </c>
      <c r="BS60" s="1184"/>
      <c r="BT60" s="1184" t="b">
        <v>0</v>
      </c>
      <c r="BU60" s="1185"/>
      <c r="BV60" s="1185"/>
      <c r="BW60" s="1184">
        <f t="shared" si="136"/>
        <v>12</v>
      </c>
      <c r="BX60" s="1184">
        <f t="shared" si="137"/>
        <v>0</v>
      </c>
      <c r="BY60" s="1184">
        <f t="shared" si="138"/>
        <v>12</v>
      </c>
      <c r="BZ60" s="1184" cm="1">
        <f t="array" ref="BZ60">INDEX(Pflanzen!$AB$5:$AB$114,'Lagerhaltung (freiwillig)'!BR60)</f>
        <v>0</v>
      </c>
      <c r="CA60" s="1184" cm="1">
        <f t="array" ref="CA60">IF(BZ60=1,INDEX(Pflanzen!$AC$5:$AC$114,BR60),N60)</f>
        <v>0</v>
      </c>
      <c r="CB60" s="1184" cm="1">
        <f t="array" ref="CB60">IF(BZ60=1,INDEX(Pflanzen!$AD$5:$AD$114,BR60),O60)</f>
        <v>0</v>
      </c>
      <c r="CC60" s="1184">
        <f t="shared" si="139"/>
        <v>12</v>
      </c>
      <c r="CD60" s="1184">
        <f t="shared" si="140"/>
        <v>0</v>
      </c>
      <c r="CE60" s="1184">
        <f t="shared" si="141"/>
        <v>12</v>
      </c>
      <c r="CF60" s="1184" cm="1">
        <f t="array" ref="CF60">INDEX(Pflanzen!$F$5:$F$114,BR60)</f>
        <v>0</v>
      </c>
      <c r="CG60" s="1184" cm="1">
        <f t="array" ref="CG60">INDEX(Pflanzen!$G$5:$G$114,BR60)</f>
        <v>0</v>
      </c>
      <c r="CH60" s="1184">
        <f t="shared" si="142"/>
        <v>0</v>
      </c>
      <c r="CI60" s="1184">
        <f t="shared" si="143"/>
        <v>0</v>
      </c>
      <c r="CJ60" s="1184">
        <f t="shared" si="144"/>
        <v>0</v>
      </c>
      <c r="CK60" s="1184">
        <f t="shared" si="145"/>
        <v>0</v>
      </c>
      <c r="CL60" s="1184">
        <f t="shared" si="146"/>
        <v>0</v>
      </c>
      <c r="CM60" s="1184">
        <f t="shared" si="147"/>
        <v>0</v>
      </c>
      <c r="CN60" s="1184">
        <f t="shared" si="148"/>
        <v>0</v>
      </c>
      <c r="CO60" s="1184">
        <f t="shared" si="149"/>
        <v>0</v>
      </c>
      <c r="CP60" s="1184">
        <f t="shared" si="150"/>
        <v>0</v>
      </c>
      <c r="CQ60" s="1184">
        <f t="shared" si="151"/>
        <v>0</v>
      </c>
      <c r="CR60" s="1184">
        <f t="shared" si="152"/>
        <v>0</v>
      </c>
      <c r="CS60" s="1184">
        <f t="shared" si="153"/>
        <v>0</v>
      </c>
      <c r="CT60" s="1184">
        <f t="shared" si="154"/>
        <v>0</v>
      </c>
      <c r="CU60" s="1184">
        <f t="shared" si="157"/>
        <v>2</v>
      </c>
      <c r="CV60" s="1186" cm="1">
        <f t="array" ref="CV60">IF(AND(COUNTIF($BR$14:$BR$36,BR60)&gt;0,BR60&lt;ROWS(Pflanzen!$C$5:$C$107)),INDEX(Pflanzen!$I$5:$I$114,BR60),SUMIF($BR$44:$BR$68,BR60,$F$44:$F$69)/COUNTIF($BR$44:$BR$68,BR60))</f>
        <v>0</v>
      </c>
      <c r="CW60" s="1186">
        <f t="shared" si="155"/>
        <v>0</v>
      </c>
      <c r="CX60" s="1184"/>
      <c r="CY60" s="320" t="str">
        <f>Pflanzen!A56</f>
        <v>GPS Roggen</v>
      </c>
      <c r="CZ60" s="1200">
        <f>IFERROR(MATCH($CY60,Pflanzen!$C$5:$C$114,0),1)</f>
        <v>52</v>
      </c>
      <c r="DA60" s="320" cm="1">
        <f t="array" ref="DA60">INDEX(Pflanzen!$H$5:$H$114,'Lagerhaltung (freiwillig)'!CZ60)</f>
        <v>1</v>
      </c>
      <c r="DB60" s="1200">
        <f t="shared" si="162"/>
        <v>0</v>
      </c>
      <c r="DC60" s="1200">
        <f t="shared" si="162"/>
        <v>0</v>
      </c>
      <c r="DD60" s="1200">
        <f t="shared" si="162"/>
        <v>0</v>
      </c>
      <c r="DE60" s="1200">
        <f t="shared" si="162"/>
        <v>0</v>
      </c>
      <c r="DF60" s="1200">
        <f t="shared" si="162"/>
        <v>0</v>
      </c>
      <c r="DG60" s="1184">
        <f t="shared" si="162"/>
        <v>0</v>
      </c>
      <c r="DH60" s="1184">
        <f t="shared" si="162"/>
        <v>0</v>
      </c>
      <c r="DI60" s="1184">
        <f t="shared" si="162"/>
        <v>0</v>
      </c>
      <c r="DJ60" s="1184">
        <f t="shared" si="162"/>
        <v>0</v>
      </c>
      <c r="DK60" s="1184">
        <f t="shared" si="162"/>
        <v>0</v>
      </c>
      <c r="DL60" s="1184">
        <f t="shared" si="162"/>
        <v>0</v>
      </c>
      <c r="DM60" s="1184">
        <f t="shared" si="162"/>
        <v>0</v>
      </c>
      <c r="DN60" s="1184"/>
      <c r="DO60" s="1184">
        <f t="shared" si="163"/>
        <v>0</v>
      </c>
      <c r="DP60" s="1184">
        <f t="shared" si="163"/>
        <v>0</v>
      </c>
      <c r="DQ60" s="1184">
        <f t="shared" si="163"/>
        <v>0</v>
      </c>
      <c r="DR60" s="1184">
        <f t="shared" si="163"/>
        <v>0</v>
      </c>
      <c r="DS60" s="1184">
        <f t="shared" si="163"/>
        <v>0</v>
      </c>
      <c r="DT60" s="1184">
        <f t="shared" si="163"/>
        <v>0</v>
      </c>
      <c r="DU60" s="1184">
        <f t="shared" si="163"/>
        <v>0</v>
      </c>
      <c r="DV60" s="1184">
        <f t="shared" si="163"/>
        <v>0</v>
      </c>
      <c r="DW60" s="1184">
        <f t="shared" si="163"/>
        <v>0</v>
      </c>
      <c r="DX60" s="1184">
        <f t="shared" si="163"/>
        <v>0</v>
      </c>
      <c r="DY60" s="1184">
        <f t="shared" si="163"/>
        <v>0</v>
      </c>
      <c r="DZ60" s="1184">
        <f t="shared" si="163"/>
        <v>0</v>
      </c>
      <c r="EA60" s="1184"/>
      <c r="EB60" s="1184">
        <f t="shared" si="164"/>
        <v>0</v>
      </c>
      <c r="EC60" s="1184">
        <f t="shared" si="164"/>
        <v>0</v>
      </c>
      <c r="ED60" s="1184">
        <f t="shared" si="164"/>
        <v>0</v>
      </c>
      <c r="EE60" s="1184">
        <f t="shared" si="164"/>
        <v>0</v>
      </c>
      <c r="EF60" s="1184">
        <f t="shared" si="164"/>
        <v>0</v>
      </c>
      <c r="EG60" s="1184">
        <f t="shared" si="164"/>
        <v>0</v>
      </c>
      <c r="EH60" s="1184">
        <f t="shared" si="164"/>
        <v>0</v>
      </c>
      <c r="EI60" s="1184">
        <f t="shared" si="164"/>
        <v>0</v>
      </c>
      <c r="EJ60" s="1184">
        <f t="shared" si="164"/>
        <v>0</v>
      </c>
      <c r="EK60" s="1184">
        <f t="shared" si="164"/>
        <v>0</v>
      </c>
      <c r="EL60" s="1184">
        <f t="shared" si="164"/>
        <v>0</v>
      </c>
      <c r="EM60" s="1184">
        <f t="shared" si="164"/>
        <v>0</v>
      </c>
      <c r="EN60" s="1184"/>
      <c r="EO60" s="1184">
        <f t="shared" si="165"/>
        <v>0</v>
      </c>
      <c r="EP60" s="1184">
        <f t="shared" si="165"/>
        <v>0</v>
      </c>
      <c r="EQ60" s="1184">
        <f t="shared" si="165"/>
        <v>0</v>
      </c>
      <c r="ER60" s="1184">
        <f t="shared" si="165"/>
        <v>0</v>
      </c>
      <c r="ES60" s="1184">
        <f t="shared" si="165"/>
        <v>0</v>
      </c>
      <c r="ET60" s="1184">
        <f t="shared" si="165"/>
        <v>0</v>
      </c>
      <c r="EU60" s="1184">
        <f t="shared" si="165"/>
        <v>0</v>
      </c>
      <c r="EV60" s="1184">
        <f t="shared" si="165"/>
        <v>0</v>
      </c>
      <c r="EW60" s="1184">
        <f t="shared" si="165"/>
        <v>0</v>
      </c>
      <c r="EX60" s="1184">
        <f t="shared" si="165"/>
        <v>0</v>
      </c>
      <c r="EY60" s="1184">
        <f t="shared" si="165"/>
        <v>0</v>
      </c>
      <c r="EZ60" s="1184">
        <f t="shared" si="165"/>
        <v>0</v>
      </c>
      <c r="FA60" s="1184"/>
      <c r="FB60" s="1186">
        <f t="shared" si="51"/>
        <v>0</v>
      </c>
      <c r="FC60" s="1184">
        <f>FB60+DB60+EB60                 -         SUMIF('Nährstoffe und Lagerraum'!$AX$113:$AX$155,$CZ60,'Nährstoffe und Lagerraum'!$U$113:$U$155)/12  -$GD60*$HE60/12</f>
        <v>0</v>
      </c>
      <c r="FD60" s="1184">
        <f>FC60+DC60+EC60                 -         SUMIF('Nährstoffe und Lagerraum'!$AX$113:$AX$155,$CZ60,'Nährstoffe und Lagerraum'!$U$113:$U$155)/12  -$GD60*$HE60/12</f>
        <v>0</v>
      </c>
      <c r="FE60" s="1184">
        <f>FD60+DD60+ED60                 -         SUMIF('Nährstoffe und Lagerraum'!$AX$113:$AX$155,$CZ60,'Nährstoffe und Lagerraum'!$U$113:$U$155)/12  -$GD60*$HE60/12</f>
        <v>0</v>
      </c>
      <c r="FF60" s="1184">
        <f>FE60+DE60+EE60                 -         SUMIF('Nährstoffe und Lagerraum'!$AX$113:$AX$155,$CZ60,'Nährstoffe und Lagerraum'!$U$113:$U$155)/12  -$GD60*$HE60/12</f>
        <v>0</v>
      </c>
      <c r="FG60" s="1184">
        <f>FF60+DF60+EF60                 -         SUMIF('Nährstoffe und Lagerraum'!$AX$113:$AX$155,$CZ60,'Nährstoffe und Lagerraum'!$U$113:$U$155)/12  -$GD60*$HE60/12</f>
        <v>0</v>
      </c>
      <c r="FH60" s="1184">
        <f>FG60+DG60+EG60                 -         SUMIF('Nährstoffe und Lagerraum'!$AX$113:$AX$155,$CZ60,'Nährstoffe und Lagerraum'!$U$113:$U$155)/12  -$GD60*$HE60/12</f>
        <v>0</v>
      </c>
      <c r="FI60" s="1184">
        <f>FH60+DH60+EH60                 -         SUMIF('Nährstoffe und Lagerraum'!$AX$113:$AX$155,$CZ60,'Nährstoffe und Lagerraum'!$U$113:$U$155)/12  -$GD60*$HE60/12</f>
        <v>0</v>
      </c>
      <c r="FJ60" s="1184">
        <f>FI60+DI60+EI60                 -         SUMIF('Nährstoffe und Lagerraum'!$AX$113:$AX$155,$CZ60,'Nährstoffe und Lagerraum'!$U$113:$U$155)/12  -$GD60*$HE60/12</f>
        <v>0</v>
      </c>
      <c r="FK60" s="1184">
        <f>FJ60+DJ60+EJ60                 -         SUMIF('Nährstoffe und Lagerraum'!$AX$113:$AX$155,$CZ60,'Nährstoffe und Lagerraum'!$U$113:$U$155)/12  -$GD60*$HE60/12</f>
        <v>0</v>
      </c>
      <c r="FL60" s="1184">
        <f>FK60+DK60+EK60                 -         SUMIF('Nährstoffe und Lagerraum'!$AX$113:$AX$155,$CZ60,'Nährstoffe und Lagerraum'!$U$113:$U$155)/12  -$GD60*$HE60/12</f>
        <v>0</v>
      </c>
      <c r="FM60" s="1184">
        <f>FL60+DL60+EL60                 -         SUMIF('Nährstoffe und Lagerraum'!$AX$113:$AX$155,$CZ60,'Nährstoffe und Lagerraum'!$U$113:$U$155)/12  -$GD60*$HE60/12</f>
        <v>0</v>
      </c>
      <c r="FN60" s="1184">
        <f>FM60+DM60+EM60                 -         SUMIF('Nährstoffe und Lagerraum'!$AX$113:$AX$155,$CZ60,'Nährstoffe und Lagerraum'!$U$113:$U$155)/12  -$GD60*$HE60/12</f>
        <v>0</v>
      </c>
      <c r="FO60" s="1184"/>
      <c r="FP60" s="1186">
        <f t="shared" si="52"/>
        <v>0</v>
      </c>
      <c r="FQ60" s="1184">
        <f>FP60+DO60+EO60                 -         SUMIF('Nährstoffe und Lagerraum'!$AX$113:$AX$155,$CZ60,'Nährstoffe und Lagerraum'!$V$113:$V$155)/12  -$GE60*$HE60/12</f>
        <v>0</v>
      </c>
      <c r="FR60" s="1184">
        <f>FQ60+DP60+EP60                 -         SUMIF('Nährstoffe und Lagerraum'!$AX$113:$AX$155,$CZ60,'Nährstoffe und Lagerraum'!$V$113:$V$155)/12  -$GE60*$HE60/12</f>
        <v>0</v>
      </c>
      <c r="FS60" s="1184">
        <f>FR60+DQ60+EQ60                 -         SUMIF('Nährstoffe und Lagerraum'!$AX$113:$AX$155,$CZ60,'Nährstoffe und Lagerraum'!$V$113:$V$155)/12  -$GE60*$HE60/12</f>
        <v>0</v>
      </c>
      <c r="FT60" s="1184">
        <f>FS60+DR60+ER60                 -         SUMIF('Nährstoffe und Lagerraum'!$AX$113:$AX$155,$CZ60,'Nährstoffe und Lagerraum'!$V$113:$V$155)/12  -$GE60*$HE60/12</f>
        <v>0</v>
      </c>
      <c r="FU60" s="1184">
        <f>FT60+DS60+ES60                 -         SUMIF('Nährstoffe und Lagerraum'!$AX$113:$AX$155,$CZ60,'Nährstoffe und Lagerraum'!$V$113:$V$155)/12  -$GE60*$HE60/12</f>
        <v>0</v>
      </c>
      <c r="FV60" s="1184">
        <f>FU60+DT60+ET60                 -         SUMIF('Nährstoffe und Lagerraum'!$AX$113:$AX$155,$CZ60,'Nährstoffe und Lagerraum'!$V$113:$V$155)/12  -$GE60*$HE60/12</f>
        <v>0</v>
      </c>
      <c r="FW60" s="1184">
        <f>FV60+DU60+EU60                 -         SUMIF('Nährstoffe und Lagerraum'!$AX$113:$AX$155,$CZ60,'Nährstoffe und Lagerraum'!$V$113:$V$155)/12  -$GE60*$HE60/12</f>
        <v>0</v>
      </c>
      <c r="FX60" s="1184">
        <f>FW60+DV60+EV60                 -         SUMIF('Nährstoffe und Lagerraum'!$AX$113:$AX$155,$CZ60,'Nährstoffe und Lagerraum'!$V$113:$V$155)/12  -$GE60*$HE60/12</f>
        <v>0</v>
      </c>
      <c r="FY60" s="1184">
        <f>FX60+DW60+EW60                 -         SUMIF('Nährstoffe und Lagerraum'!$AX$113:$AX$155,$CZ60,'Nährstoffe und Lagerraum'!$V$113:$V$155)/12  -$GE60*$HE60/12</f>
        <v>0</v>
      </c>
      <c r="FZ60" s="1184">
        <f>FY60+DX60+EX60                 -         SUMIF('Nährstoffe und Lagerraum'!$AX$113:$AX$155,$CZ60,'Nährstoffe und Lagerraum'!$V$113:$V$155)/12  -$GE60*$HE60/12</f>
        <v>0</v>
      </c>
      <c r="GA60" s="1184">
        <f>FZ60+DY60+EY60                 -         SUMIF('Nährstoffe und Lagerraum'!$AX$113:$AX$155,$CZ60,'Nährstoffe und Lagerraum'!$V$113:$V$155)/12  -$GE60*$HE60/12</f>
        <v>0</v>
      </c>
      <c r="GB60" s="1184">
        <f>GA60+DZ60+EZ60                 -         SUMIF('Nährstoffe und Lagerraum'!$AX$113:$AX$155,$CZ60,'Nährstoffe und Lagerraum'!$V$113:$V$155)/12  -$GE60*$HE60/12</f>
        <v>0</v>
      </c>
      <c r="GC60" s="1184"/>
      <c r="GD60" s="1184">
        <f>SUMIFS($CI$14:$CI$68,$BR$14:$BR$68,$CZ60)+SUMIFS($CM$14:$CM$68,$BR$14:$BR$68,$CZ60)+SUMIFS($CR$14:$CR$68,$BR$14:$BR$68,$CZ60)  -         SUMIF('Nährstoffe und Lagerraum'!$AX$113:$AX$155,$CZ60,'Nährstoffe und Lagerraum'!$U$113:$U$155)</f>
        <v>0</v>
      </c>
      <c r="GE60" s="1184">
        <f>SUMIFS($CJ$14:$CJ$68,$BR$14:$BR$68,$CZ60)+SUMIFS($CO$14:$CO$68,$BR$14:$BR$68,$CZ60)+SUMIFS($CT$14:$CT$68,$BR$14:$BR$68,$CZ60)  -         SUMIF('Nährstoffe und Lagerraum'!$AX$113:$AX$155,$CZ60,'Nährstoffe und Lagerraum'!$V$113:$V$155)</f>
        <v>0</v>
      </c>
      <c r="GF60" s="1184"/>
      <c r="GG60" s="1184"/>
      <c r="GH60" s="1184">
        <f>SUMIF('Nährstoffe und Lagerraum'!$AX$113:$AX$155,$CZ60,'Nährstoffe und Lagerraum'!$U$113:$U$155)</f>
        <v>0</v>
      </c>
      <c r="GI60" s="1184">
        <f>SUMIF('Nährstoffe und Lagerraum'!$AX$113:$AX$155,$CZ60,'Nährstoffe und Lagerraum'!$V$113:$V$155)</f>
        <v>0</v>
      </c>
      <c r="GJ60" s="1184">
        <f t="shared" si="53"/>
        <v>0</v>
      </c>
      <c r="GK60" s="1184">
        <f t="shared" si="54"/>
        <v>0</v>
      </c>
      <c r="GL60" s="1184">
        <f t="shared" si="55"/>
        <v>0</v>
      </c>
      <c r="GM60" s="1184">
        <f t="shared" si="56"/>
        <v>0</v>
      </c>
      <c r="GN60" s="1184">
        <f t="shared" si="57"/>
        <v>0</v>
      </c>
      <c r="GO60" s="1184" cm="1">
        <f t="array" ref="GO60">IF(GN60=0,0,(IFERROR(SUMPRODUCT($J$14:$J$68,$CH$14:$CH$68,($BR$14:$BR$68=CZ60)*1)+SUMPRODUCT($L$14:$L$68,$M$14:$M$68,$CK$14:$CK$68,($BR$14:$BR$68=CZ60)*1,($BT$14:$BT$68=FALSE)*1)/10+SUMPRODUCT($R$14:$R$68,$CP$14:$CP$68,($BR$14:$BR$68=CZ60)*1),0))/GN60)</f>
        <v>0</v>
      </c>
      <c r="GP60" s="1184">
        <f t="shared" si="58"/>
        <v>0</v>
      </c>
      <c r="GQ60" s="1184">
        <f>(SUMIF('Nährstoffe und Lagerraum'!$AX$113:$AX$130,'Lagerhaltung (freiwillig)'!CZ60,'Nährstoffe und Lagerraum'!$D$113:$D$130)+SUMIF('Nährstoffe und Lagerraum'!$AX$137:$AX$155,'Lagerhaltung (freiwillig)'!CZ60,'Nährstoffe und Lagerraum'!$E$137:$E$155))</f>
        <v>0</v>
      </c>
      <c r="GR60" s="1184" cm="1">
        <f t="array" ref="GR60">IF(GQ60=0,0,(IFERROR(SUMPRODUCT('Nährstoffe und Lagerraum'!$D$113:$D$130,'Nährstoffe und Lagerraum'!$F$113:$F$130,('Nährstoffe und Lagerraum'!$AX$113:$AX$130='Lagerhaltung (freiwillig)'!CZ60)*1)+SUMPRODUCT('Nährstoffe und Lagerraum'!$E$137:$E$155,'Nährstoffe und Lagerraum'!$F$137:$F$155,('Nährstoffe und Lagerraum'!$AX$137:$AX$155='Lagerhaltung (freiwillig)'!CZ60)*1),0))/GQ60)</f>
        <v>0</v>
      </c>
      <c r="GS60" s="1184">
        <f t="shared" si="59"/>
        <v>0</v>
      </c>
      <c r="GT60" s="1184">
        <f t="shared" si="60"/>
        <v>0</v>
      </c>
      <c r="GU60" s="1184">
        <f t="shared" si="61"/>
        <v>0</v>
      </c>
      <c r="GV60" s="1184">
        <f t="shared" si="62"/>
        <v>0</v>
      </c>
      <c r="GW60" s="1186" t="str">
        <f t="shared" si="41"/>
        <v xml:space="preserve"> </v>
      </c>
      <c r="GX60" s="1186" t="str">
        <f t="shared" si="41"/>
        <v xml:space="preserve"> </v>
      </c>
      <c r="GY60" s="1195">
        <f t="shared" si="63"/>
        <v>0</v>
      </c>
      <c r="GZ60" s="1184">
        <f t="shared" si="64"/>
        <v>0</v>
      </c>
      <c r="HA60" s="1184" t="str">
        <f t="shared" si="132"/>
        <v>a</v>
      </c>
      <c r="HB60" s="1196">
        <f t="shared" si="65"/>
        <v>0</v>
      </c>
      <c r="HC60" s="1196">
        <f t="shared" si="66"/>
        <v>0</v>
      </c>
      <c r="HD60" s="1196"/>
      <c r="HE60" s="1187">
        <f t="shared" si="67"/>
        <v>0</v>
      </c>
      <c r="HF60" s="1196">
        <f t="shared" si="68"/>
        <v>0</v>
      </c>
      <c r="HG60" s="1196">
        <f t="shared" si="69"/>
        <v>0</v>
      </c>
      <c r="HH60" s="1196">
        <f t="shared" si="70"/>
        <v>0</v>
      </c>
      <c r="HI60" s="1328" cm="1">
        <f t="array" ref="HI60">IF(AND(HG60=0,GL60=0),0,IF(HG60=0,1,IF(OR(GL60*1000/HG60/HH60&gt;INDEX(Pflanzen!$W$5:$W$104,CZ60)/INDEX(Pflanzen!$I$5:$I$104,CZ60)*$HI$1,GL60*1000/HG60/HH60&lt;INDEX(Pflanzen!$W$5:$W$104,CZ60)/INDEX(Pflanzen!$I$5:$I$104,CZ60)/$HI$1),1,0)))</f>
        <v>0</v>
      </c>
      <c r="HJ60" s="1328" cm="1">
        <f t="array" ref="HJ60">IF(AND(GM60=0,HG60=0),0,IF(HG60=0,1,IF(OR(GM60*1000/HG60/HH60&gt;INDEX(Pflanzen!$X$5:$X$104,CZ60)/INDEX(Pflanzen!$I$5:$I$104,CZ60)*$HI$1,GM60*1000/HG60/HH60&lt;INDEX(Pflanzen!$X$5:$X$104,CZ60)/INDEX(Pflanzen!$I$5:$I$104,CZ60)/$HI$1),1,0)))</f>
        <v>0</v>
      </c>
      <c r="HK60" s="1184">
        <f t="shared" si="71"/>
        <v>3</v>
      </c>
      <c r="HL60" s="1184"/>
      <c r="HN60" s="1184"/>
      <c r="HO60" s="1193" t="str">
        <f>Tiere!B86</f>
        <v>Putenhennen bis 16 Wochen Mast, N-/P-reduziert</v>
      </c>
      <c r="HP60" s="1184">
        <v>57</v>
      </c>
      <c r="HQ60" s="1194">
        <f>SUMIF('Nährstoffe und Lagerraum'!$BM$68:$BM$87,'Lagerhaltung (freiwillig)'!HP60,'Nährstoffe und Lagerraum'!$Z$68:$Z$87)+SUMIF('Nährstoffe und Lagerraum'!$BM$68:$BM$87,'Lagerhaltung (freiwillig)'!HP60,'Nährstoffe und Lagerraum'!$AA$68:$AA$87)</f>
        <v>0</v>
      </c>
      <c r="HR60" s="1184" cm="1">
        <f t="array" ref="HR60">INDEX(Tiere!$C$30:$C$114,'Lagerhaltung (freiwillig)'!HP60)</f>
        <v>3</v>
      </c>
      <c r="HS60" s="1184" cm="1">
        <f t="array" ref="HS60">INDEX(Tiere!$H$30:$H$114,'Lagerhaltung (freiwillig)'!HP60)</f>
        <v>0</v>
      </c>
      <c r="HT60" s="1184">
        <f t="shared" si="12"/>
        <v>0</v>
      </c>
      <c r="HU60" s="1184" cm="1">
        <f t="array" ref="HU60">INDEX(Tiere!$I$30:$I$114,'Lagerhaltung (freiwillig)'!HP60)</f>
        <v>0</v>
      </c>
      <c r="HV60" s="1184">
        <f t="shared" si="13"/>
        <v>0</v>
      </c>
      <c r="HW60" s="1184" cm="1">
        <f t="array" ref="HW60">INDEX(Tiere!$BC$30:$BC$114,'Lagerhaltung (freiwillig)'!HP60)</f>
        <v>1.16919</v>
      </c>
      <c r="HX60" s="1184">
        <f t="shared" si="14"/>
        <v>0</v>
      </c>
      <c r="HY60" s="1184" cm="1">
        <f t="array" ref="HY60">INDEX(Tiere!$BD$30:$BD$114,'Lagerhaltung (freiwillig)'!HP60)</f>
        <v>0.41453099999999998</v>
      </c>
      <c r="HZ60" s="1184">
        <f t="shared" si="15"/>
        <v>0</v>
      </c>
      <c r="IA60" s="1184"/>
      <c r="IB60" s="1184"/>
      <c r="IC60" s="1184"/>
      <c r="ID60" s="1184"/>
      <c r="IE60" s="1184"/>
      <c r="IF60" s="1184"/>
      <c r="IG60" s="1184"/>
      <c r="IH60" s="1184"/>
      <c r="II60" s="1184"/>
      <c r="IJ60" s="1184"/>
      <c r="IK60" s="1184"/>
      <c r="IL60" s="1184"/>
    </row>
    <row r="61" spans="6:246" ht="15.6" customHeight="1" x14ac:dyDescent="0.2">
      <c r="F61" s="1499"/>
      <c r="G61" s="1498"/>
      <c r="H61" s="1338"/>
      <c r="I61" s="1165" t="str">
        <f t="shared" si="133"/>
        <v/>
      </c>
      <c r="J61" s="1303"/>
      <c r="K61" s="1165" t="str">
        <f t="shared" si="134"/>
        <v/>
      </c>
      <c r="L61" s="1487"/>
      <c r="M61" s="1491"/>
      <c r="N61" s="1487"/>
      <c r="O61" s="1487"/>
      <c r="P61" s="1303"/>
      <c r="Q61" s="1162" t="str">
        <f t="shared" si="135"/>
        <v/>
      </c>
      <c r="R61" s="1487"/>
      <c r="S61" s="1491"/>
      <c r="T61" s="1303"/>
      <c r="V61" s="1346" t="str">
        <f t="shared" si="156"/>
        <v/>
      </c>
      <c r="Y61" s="1554" t="str" cm="1">
        <f t="array" ref="Y61">IFERROR(INDEX($CY$4:$CY$165,AY61),"")</f>
        <v/>
      </c>
      <c r="Z61" s="1555"/>
      <c r="AA61" s="1555"/>
      <c r="AB61" s="1555"/>
      <c r="AC61" s="1454" t="str" cm="1">
        <f t="array" ref="AC61">IFERROR(INDEX($GN$4:$GN$165,AY61),"")</f>
        <v/>
      </c>
      <c r="AD61" s="1454" t="str" cm="1">
        <f t="array" ref="AD61">IFERROR(INDEX($GO$4:$GO$165,AY61),"")</f>
        <v/>
      </c>
      <c r="AE61" s="1454" t="str" cm="1">
        <f t="array" ref="AE61">IFERROR(INDEX($GJ$4:$GJ$165,AY61),"")</f>
        <v/>
      </c>
      <c r="AF61" s="1454" t="str" cm="1">
        <f t="array" ref="AF61">IFERROR(INDEX($GK$4:$GK$165,AY61),"")</f>
        <v/>
      </c>
      <c r="AG61" s="1454" t="str" cm="1">
        <f t="array" ref="AG61">IFERROR(INDEX($GQ$4:$GQ$165,AY61),"")</f>
        <v/>
      </c>
      <c r="AH61" s="1454" t="str" cm="1">
        <f t="array" ref="AH61">IFERROR(INDEX($GR$4:$GR$165,AY61),"")</f>
        <v/>
      </c>
      <c r="AI61" s="1454" t="str" cm="1">
        <f t="array" ref="AI61">IFERROR(INDEX($GH$4:$GH$165,AY61),"")</f>
        <v/>
      </c>
      <c r="AJ61" s="1454" t="str" cm="1">
        <f t="array" ref="AJ61">IFERROR(INDEX($GI$4:$GI$165,AY61),"")</f>
        <v/>
      </c>
      <c r="AK61" s="1454" t="str" cm="1">
        <f t="array" ref="AK61">IFERROR(INDEX($GU$4:$GU$165,AY61),"")</f>
        <v/>
      </c>
      <c r="AL61" s="1455" t="str" cm="1">
        <f t="array" ref="AL61">IFERROR(INDEX($GV$4:$GV$165,AY61),"")</f>
        <v/>
      </c>
      <c r="AM61" s="1454" t="str" cm="1">
        <f t="array" ref="AM61">IFERROR(INDEX($GD$4:$GD$165,AY61),"")</f>
        <v/>
      </c>
      <c r="AN61" s="1454" t="str" cm="1">
        <f t="array" ref="AN61">IFERROR(INDEX($GE$4:$GE$165,AY61),"")</f>
        <v/>
      </c>
      <c r="AO61" s="1454" t="str" cm="1">
        <f t="array" ref="AO61">IFERROR(INDEX($GW$4:$GW$165,AY61),"")</f>
        <v/>
      </c>
      <c r="AP61" s="1454" t="str" cm="1">
        <f t="array" ref="AP61">IFERROR(INDEX($GZ$4:$GZ$165,AY61),"")</f>
        <v/>
      </c>
      <c r="AQ61" s="1457"/>
      <c r="AR61" s="1454" t="str" cm="1">
        <f t="array" ref="AR61">IFERROR(INDEX($HF$4:$HF$165,AY61),"")</f>
        <v/>
      </c>
      <c r="AS61" s="1454" t="str" cm="1">
        <f t="array" ref="AS61">IFERROR(INDEX($HG$4:$HG$165,AY61),"")</f>
        <v/>
      </c>
      <c r="AT61" s="1454" t="str" cm="1">
        <f t="array" ref="AT61">IFERROR(INDEX($HH$4:$HH$165,AY61),"")</f>
        <v/>
      </c>
      <c r="AU61" s="1454" t="str" cm="1">
        <f t="array" ref="AU61">IFERROR(INDEX($GL$4:$GL$165,AY61),"")</f>
        <v/>
      </c>
      <c r="AV61" s="1454" t="str" cm="1">
        <f t="array" ref="AV61">IFERROR(INDEX($GM$4:$GM$165,AY61),"")</f>
        <v/>
      </c>
      <c r="AW61" s="1459"/>
      <c r="AX61" s="1459"/>
      <c r="AY61" s="1460" t="str" cm="1">
        <f t="array" ref="AY61">IFERROR(SMALL(IF($HK$4:$HK$165=1,ROW($HK$4:$HK$165)-3),ROW(W46)),IFERROR(SMALL(IF($HK$4:$HK$165=2,ROW($HK$4:$HK$165)-3),ROW(W46)-COUNTIF($HK$4:$HK$165,1)),IFERROR(SMALL(IF($HK$4:$HK$165=0,ROW($HK$4:$HK$165)-3),ROW(W46)-COUNTIF($HK$4:$HK$165,1)-COUNTIF($HK$4:$HK$165,2)),"")))</f>
        <v/>
      </c>
      <c r="AZ61" s="1460" t="str">
        <f t="shared" si="129"/>
        <v>a</v>
      </c>
      <c r="BA61" s="1461" t="e">
        <f t="shared" si="130"/>
        <v>#VALUE!</v>
      </c>
      <c r="BB61" s="1461" cm="1">
        <f t="array" ref="BB61">IFERROR(INDEX($HK$4:$HK$165,AY61),0)</f>
        <v>0</v>
      </c>
      <c r="BC61" s="1461">
        <f t="shared" si="131"/>
        <v>0</v>
      </c>
      <c r="BD61" s="1461"/>
      <c r="BE61" s="1462"/>
      <c r="BF61" s="1343"/>
      <c r="BG61" s="1343"/>
      <c r="BH61" s="1343"/>
      <c r="BI61" s="1343"/>
      <c r="BJ61" s="1343"/>
      <c r="BK61" s="1343"/>
      <c r="BL61" s="1343"/>
      <c r="BM61" s="1343"/>
      <c r="BN61" s="1343"/>
      <c r="BO61" s="1343"/>
      <c r="BQ61" s="1184">
        <v>1</v>
      </c>
      <c r="BR61" cm="1">
        <f t="array" ref="BR61">INDEX(Pflanzen!$B$5:$B$112,'Lagerhaltung (freiwillig)'!BQ61)</f>
        <v>1</v>
      </c>
      <c r="BS61" s="1184"/>
      <c r="BT61" s="1184" t="b">
        <v>0</v>
      </c>
      <c r="BU61" s="1185"/>
      <c r="BV61" s="1185"/>
      <c r="BW61" s="1184">
        <f t="shared" si="136"/>
        <v>12</v>
      </c>
      <c r="BX61" s="1184">
        <f t="shared" si="137"/>
        <v>0</v>
      </c>
      <c r="BY61" s="1184">
        <f t="shared" si="138"/>
        <v>12</v>
      </c>
      <c r="BZ61" s="1184" cm="1">
        <f t="array" ref="BZ61">INDEX(Pflanzen!$AB$5:$AB$114,'Lagerhaltung (freiwillig)'!BR61)</f>
        <v>0</v>
      </c>
      <c r="CA61" s="1184" cm="1">
        <f t="array" ref="CA61">IF(BZ61=1,INDEX(Pflanzen!$AC$5:$AC$114,BR61),N61)</f>
        <v>0</v>
      </c>
      <c r="CB61" s="1184" cm="1">
        <f t="array" ref="CB61">IF(BZ61=1,INDEX(Pflanzen!$AD$5:$AD$114,BR61),O61)</f>
        <v>0</v>
      </c>
      <c r="CC61" s="1184">
        <f t="shared" si="139"/>
        <v>12</v>
      </c>
      <c r="CD61" s="1184">
        <f t="shared" si="140"/>
        <v>0</v>
      </c>
      <c r="CE61" s="1184">
        <f t="shared" si="141"/>
        <v>12</v>
      </c>
      <c r="CF61" s="1184" cm="1">
        <f t="array" ref="CF61">INDEX(Pflanzen!$F$5:$F$114,BR61)</f>
        <v>0</v>
      </c>
      <c r="CG61" s="1184" cm="1">
        <f t="array" ref="CG61">INDEX(Pflanzen!$G$5:$G$114,BR61)</f>
        <v>0</v>
      </c>
      <c r="CH61" s="1184">
        <f t="shared" si="142"/>
        <v>0</v>
      </c>
      <c r="CI61" s="1184">
        <f t="shared" si="143"/>
        <v>0</v>
      </c>
      <c r="CJ61" s="1184">
        <f t="shared" si="144"/>
        <v>0</v>
      </c>
      <c r="CK61" s="1184">
        <f t="shared" si="145"/>
        <v>0</v>
      </c>
      <c r="CL61" s="1184">
        <f t="shared" si="146"/>
        <v>0</v>
      </c>
      <c r="CM61" s="1184">
        <f t="shared" si="147"/>
        <v>0</v>
      </c>
      <c r="CN61" s="1184">
        <f t="shared" si="148"/>
        <v>0</v>
      </c>
      <c r="CO61" s="1184">
        <f t="shared" si="149"/>
        <v>0</v>
      </c>
      <c r="CP61" s="1184">
        <f t="shared" si="150"/>
        <v>0</v>
      </c>
      <c r="CQ61" s="1184">
        <f t="shared" si="151"/>
        <v>0</v>
      </c>
      <c r="CR61" s="1184">
        <f t="shared" si="152"/>
        <v>0</v>
      </c>
      <c r="CS61" s="1184">
        <f t="shared" si="153"/>
        <v>0</v>
      </c>
      <c r="CT61" s="1184">
        <f t="shared" si="154"/>
        <v>0</v>
      </c>
      <c r="CU61" s="1184">
        <f t="shared" si="157"/>
        <v>2</v>
      </c>
      <c r="CV61" s="1186" cm="1">
        <f t="array" ref="CV61">IF(AND(COUNTIF($BR$14:$BR$36,BR61)&gt;0,BR61&lt;ROWS(Pflanzen!$C$5:$C$107)),INDEX(Pflanzen!$I$5:$I$114,BR61),SUMIF($BR$44:$BR$68,BR61,$F$44:$F$69)/COUNTIF($BR$44:$BR$68,BR61))</f>
        <v>0</v>
      </c>
      <c r="CW61" s="1186">
        <f t="shared" si="155"/>
        <v>0</v>
      </c>
      <c r="CX61" s="1184"/>
      <c r="CY61" s="320" t="str">
        <f>Pflanzen!A57</f>
        <v>GPS Hafer</v>
      </c>
      <c r="CZ61" s="1200">
        <f>IFERROR(MATCH($CY61,Pflanzen!$C$5:$C$114,0),1)</f>
        <v>53</v>
      </c>
      <c r="DA61" s="320" cm="1">
        <f t="array" ref="DA61">INDEX(Pflanzen!$H$5:$H$114,'Lagerhaltung (freiwillig)'!CZ61)</f>
        <v>1</v>
      </c>
      <c r="DB61" s="1200">
        <f t="shared" si="162"/>
        <v>0</v>
      </c>
      <c r="DC61" s="1200">
        <f t="shared" si="162"/>
        <v>0</v>
      </c>
      <c r="DD61" s="1200">
        <f t="shared" si="162"/>
        <v>0</v>
      </c>
      <c r="DE61" s="1200">
        <f t="shared" si="162"/>
        <v>0</v>
      </c>
      <c r="DF61" s="1200">
        <f t="shared" si="162"/>
        <v>0</v>
      </c>
      <c r="DG61" s="1184">
        <f t="shared" si="162"/>
        <v>0</v>
      </c>
      <c r="DH61" s="1184">
        <f t="shared" si="162"/>
        <v>0</v>
      </c>
      <c r="DI61" s="1184">
        <f t="shared" si="162"/>
        <v>0</v>
      </c>
      <c r="DJ61" s="1184">
        <f t="shared" si="162"/>
        <v>0</v>
      </c>
      <c r="DK61" s="1184">
        <f t="shared" si="162"/>
        <v>0</v>
      </c>
      <c r="DL61" s="1184">
        <f t="shared" si="162"/>
        <v>0</v>
      </c>
      <c r="DM61" s="1184">
        <f t="shared" si="162"/>
        <v>0</v>
      </c>
      <c r="DN61" s="1184"/>
      <c r="DO61" s="1184">
        <f t="shared" si="163"/>
        <v>0</v>
      </c>
      <c r="DP61" s="1184">
        <f t="shared" si="163"/>
        <v>0</v>
      </c>
      <c r="DQ61" s="1184">
        <f t="shared" si="163"/>
        <v>0</v>
      </c>
      <c r="DR61" s="1184">
        <f t="shared" si="163"/>
        <v>0</v>
      </c>
      <c r="DS61" s="1184">
        <f t="shared" si="163"/>
        <v>0</v>
      </c>
      <c r="DT61" s="1184">
        <f t="shared" si="163"/>
        <v>0</v>
      </c>
      <c r="DU61" s="1184">
        <f t="shared" si="163"/>
        <v>0</v>
      </c>
      <c r="DV61" s="1184">
        <f t="shared" si="163"/>
        <v>0</v>
      </c>
      <c r="DW61" s="1184">
        <f t="shared" si="163"/>
        <v>0</v>
      </c>
      <c r="DX61" s="1184">
        <f t="shared" si="163"/>
        <v>0</v>
      </c>
      <c r="DY61" s="1184">
        <f t="shared" si="163"/>
        <v>0</v>
      </c>
      <c r="DZ61" s="1184">
        <f t="shared" si="163"/>
        <v>0</v>
      </c>
      <c r="EA61" s="1184"/>
      <c r="EB61" s="1184">
        <f t="shared" si="164"/>
        <v>0</v>
      </c>
      <c r="EC61" s="1184">
        <f t="shared" si="164"/>
        <v>0</v>
      </c>
      <c r="ED61" s="1184">
        <f t="shared" si="164"/>
        <v>0</v>
      </c>
      <c r="EE61" s="1184">
        <f t="shared" si="164"/>
        <v>0</v>
      </c>
      <c r="EF61" s="1184">
        <f t="shared" si="164"/>
        <v>0</v>
      </c>
      <c r="EG61" s="1184">
        <f t="shared" si="164"/>
        <v>0</v>
      </c>
      <c r="EH61" s="1184">
        <f t="shared" si="164"/>
        <v>0</v>
      </c>
      <c r="EI61" s="1184">
        <f t="shared" si="164"/>
        <v>0</v>
      </c>
      <c r="EJ61" s="1184">
        <f t="shared" si="164"/>
        <v>0</v>
      </c>
      <c r="EK61" s="1184">
        <f t="shared" si="164"/>
        <v>0</v>
      </c>
      <c r="EL61" s="1184">
        <f t="shared" si="164"/>
        <v>0</v>
      </c>
      <c r="EM61" s="1184">
        <f t="shared" si="164"/>
        <v>0</v>
      </c>
      <c r="EN61" s="1184"/>
      <c r="EO61" s="1184">
        <f t="shared" si="165"/>
        <v>0</v>
      </c>
      <c r="EP61" s="1184">
        <f t="shared" si="165"/>
        <v>0</v>
      </c>
      <c r="EQ61" s="1184">
        <f t="shared" si="165"/>
        <v>0</v>
      </c>
      <c r="ER61" s="1184">
        <f t="shared" si="165"/>
        <v>0</v>
      </c>
      <c r="ES61" s="1184">
        <f t="shared" si="165"/>
        <v>0</v>
      </c>
      <c r="ET61" s="1184">
        <f t="shared" si="165"/>
        <v>0</v>
      </c>
      <c r="EU61" s="1184">
        <f t="shared" si="165"/>
        <v>0</v>
      </c>
      <c r="EV61" s="1184">
        <f t="shared" si="165"/>
        <v>0</v>
      </c>
      <c r="EW61" s="1184">
        <f t="shared" si="165"/>
        <v>0</v>
      </c>
      <c r="EX61" s="1184">
        <f t="shared" si="165"/>
        <v>0</v>
      </c>
      <c r="EY61" s="1184">
        <f t="shared" si="165"/>
        <v>0</v>
      </c>
      <c r="EZ61" s="1184">
        <f t="shared" si="165"/>
        <v>0</v>
      </c>
      <c r="FA61" s="1184"/>
      <c r="FB61" s="1186">
        <f t="shared" si="51"/>
        <v>0</v>
      </c>
      <c r="FC61" s="1184">
        <f>FB61+DB61+EB61                 -         SUMIF('Nährstoffe und Lagerraum'!$AX$113:$AX$155,$CZ61,'Nährstoffe und Lagerraum'!$U$113:$U$155)/12  -$GD61*$HE61/12</f>
        <v>0</v>
      </c>
      <c r="FD61" s="1184">
        <f>FC61+DC61+EC61                 -         SUMIF('Nährstoffe und Lagerraum'!$AX$113:$AX$155,$CZ61,'Nährstoffe und Lagerraum'!$U$113:$U$155)/12  -$GD61*$HE61/12</f>
        <v>0</v>
      </c>
      <c r="FE61" s="1184">
        <f>FD61+DD61+ED61                 -         SUMIF('Nährstoffe und Lagerraum'!$AX$113:$AX$155,$CZ61,'Nährstoffe und Lagerraum'!$U$113:$U$155)/12  -$GD61*$HE61/12</f>
        <v>0</v>
      </c>
      <c r="FF61" s="1184">
        <f>FE61+DE61+EE61                 -         SUMIF('Nährstoffe und Lagerraum'!$AX$113:$AX$155,$CZ61,'Nährstoffe und Lagerraum'!$U$113:$U$155)/12  -$GD61*$HE61/12</f>
        <v>0</v>
      </c>
      <c r="FG61" s="1184">
        <f>FF61+DF61+EF61                 -         SUMIF('Nährstoffe und Lagerraum'!$AX$113:$AX$155,$CZ61,'Nährstoffe und Lagerraum'!$U$113:$U$155)/12  -$GD61*$HE61/12</f>
        <v>0</v>
      </c>
      <c r="FH61" s="1184">
        <f>FG61+DG61+EG61                 -         SUMIF('Nährstoffe und Lagerraum'!$AX$113:$AX$155,$CZ61,'Nährstoffe und Lagerraum'!$U$113:$U$155)/12  -$GD61*$HE61/12</f>
        <v>0</v>
      </c>
      <c r="FI61" s="1184">
        <f>FH61+DH61+EH61                 -         SUMIF('Nährstoffe und Lagerraum'!$AX$113:$AX$155,$CZ61,'Nährstoffe und Lagerraum'!$U$113:$U$155)/12  -$GD61*$HE61/12</f>
        <v>0</v>
      </c>
      <c r="FJ61" s="1184">
        <f>FI61+DI61+EI61                 -         SUMIF('Nährstoffe und Lagerraum'!$AX$113:$AX$155,$CZ61,'Nährstoffe und Lagerraum'!$U$113:$U$155)/12  -$GD61*$HE61/12</f>
        <v>0</v>
      </c>
      <c r="FK61" s="1184">
        <f>FJ61+DJ61+EJ61                 -         SUMIF('Nährstoffe und Lagerraum'!$AX$113:$AX$155,$CZ61,'Nährstoffe und Lagerraum'!$U$113:$U$155)/12  -$GD61*$HE61/12</f>
        <v>0</v>
      </c>
      <c r="FL61" s="1184">
        <f>FK61+DK61+EK61                 -         SUMIF('Nährstoffe und Lagerraum'!$AX$113:$AX$155,$CZ61,'Nährstoffe und Lagerraum'!$U$113:$U$155)/12  -$GD61*$HE61/12</f>
        <v>0</v>
      </c>
      <c r="FM61" s="1184">
        <f>FL61+DL61+EL61                 -         SUMIF('Nährstoffe und Lagerraum'!$AX$113:$AX$155,$CZ61,'Nährstoffe und Lagerraum'!$U$113:$U$155)/12  -$GD61*$HE61/12</f>
        <v>0</v>
      </c>
      <c r="FN61" s="1184">
        <f>FM61+DM61+EM61                 -         SUMIF('Nährstoffe und Lagerraum'!$AX$113:$AX$155,$CZ61,'Nährstoffe und Lagerraum'!$U$113:$U$155)/12  -$GD61*$HE61/12</f>
        <v>0</v>
      </c>
      <c r="FO61" s="1184"/>
      <c r="FP61" s="1186">
        <f t="shared" si="52"/>
        <v>0</v>
      </c>
      <c r="FQ61" s="1184">
        <f>FP61+DO61+EO61                 -         SUMIF('Nährstoffe und Lagerraum'!$AX$113:$AX$155,$CZ61,'Nährstoffe und Lagerraum'!$V$113:$V$155)/12  -$GE61*$HE61/12</f>
        <v>0</v>
      </c>
      <c r="FR61" s="1184">
        <f>FQ61+DP61+EP61                 -         SUMIF('Nährstoffe und Lagerraum'!$AX$113:$AX$155,$CZ61,'Nährstoffe und Lagerraum'!$V$113:$V$155)/12  -$GE61*$HE61/12</f>
        <v>0</v>
      </c>
      <c r="FS61" s="1184">
        <f>FR61+DQ61+EQ61                 -         SUMIF('Nährstoffe und Lagerraum'!$AX$113:$AX$155,$CZ61,'Nährstoffe und Lagerraum'!$V$113:$V$155)/12  -$GE61*$HE61/12</f>
        <v>0</v>
      </c>
      <c r="FT61" s="1184">
        <f>FS61+DR61+ER61                 -         SUMIF('Nährstoffe und Lagerraum'!$AX$113:$AX$155,$CZ61,'Nährstoffe und Lagerraum'!$V$113:$V$155)/12  -$GE61*$HE61/12</f>
        <v>0</v>
      </c>
      <c r="FU61" s="1184">
        <f>FT61+DS61+ES61                 -         SUMIF('Nährstoffe und Lagerraum'!$AX$113:$AX$155,$CZ61,'Nährstoffe und Lagerraum'!$V$113:$V$155)/12  -$GE61*$HE61/12</f>
        <v>0</v>
      </c>
      <c r="FV61" s="1184">
        <f>FU61+DT61+ET61                 -         SUMIF('Nährstoffe und Lagerraum'!$AX$113:$AX$155,$CZ61,'Nährstoffe und Lagerraum'!$V$113:$V$155)/12  -$GE61*$HE61/12</f>
        <v>0</v>
      </c>
      <c r="FW61" s="1184">
        <f>FV61+DU61+EU61                 -         SUMIF('Nährstoffe und Lagerraum'!$AX$113:$AX$155,$CZ61,'Nährstoffe und Lagerraum'!$V$113:$V$155)/12  -$GE61*$HE61/12</f>
        <v>0</v>
      </c>
      <c r="FX61" s="1184">
        <f>FW61+DV61+EV61                 -         SUMIF('Nährstoffe und Lagerraum'!$AX$113:$AX$155,$CZ61,'Nährstoffe und Lagerraum'!$V$113:$V$155)/12  -$GE61*$HE61/12</f>
        <v>0</v>
      </c>
      <c r="FY61" s="1184">
        <f>FX61+DW61+EW61                 -         SUMIF('Nährstoffe und Lagerraum'!$AX$113:$AX$155,$CZ61,'Nährstoffe und Lagerraum'!$V$113:$V$155)/12  -$GE61*$HE61/12</f>
        <v>0</v>
      </c>
      <c r="FZ61" s="1184">
        <f>FY61+DX61+EX61                 -         SUMIF('Nährstoffe und Lagerraum'!$AX$113:$AX$155,$CZ61,'Nährstoffe und Lagerraum'!$V$113:$V$155)/12  -$GE61*$HE61/12</f>
        <v>0</v>
      </c>
      <c r="GA61" s="1184">
        <f>FZ61+DY61+EY61                 -         SUMIF('Nährstoffe und Lagerraum'!$AX$113:$AX$155,$CZ61,'Nährstoffe und Lagerraum'!$V$113:$V$155)/12  -$GE61*$HE61/12</f>
        <v>0</v>
      </c>
      <c r="GB61" s="1184">
        <f>GA61+DZ61+EZ61                 -         SUMIF('Nährstoffe und Lagerraum'!$AX$113:$AX$155,$CZ61,'Nährstoffe und Lagerraum'!$V$113:$V$155)/12  -$GE61*$HE61/12</f>
        <v>0</v>
      </c>
      <c r="GC61" s="1184"/>
      <c r="GD61" s="1184">
        <f>SUMIFS($CI$14:$CI$68,$BR$14:$BR$68,$CZ61)+SUMIFS($CM$14:$CM$68,$BR$14:$BR$68,$CZ61)+SUMIFS($CR$14:$CR$68,$BR$14:$BR$68,$CZ61)  -         SUMIF('Nährstoffe und Lagerraum'!$AX$113:$AX$155,$CZ61,'Nährstoffe und Lagerraum'!$U$113:$U$155)</f>
        <v>0</v>
      </c>
      <c r="GE61" s="1184">
        <f>SUMIFS($CJ$14:$CJ$68,$BR$14:$BR$68,$CZ61)+SUMIFS($CO$14:$CO$68,$BR$14:$BR$68,$CZ61)+SUMIFS($CT$14:$CT$68,$BR$14:$BR$68,$CZ61)  -         SUMIF('Nährstoffe und Lagerraum'!$AX$113:$AX$155,$CZ61,'Nährstoffe und Lagerraum'!$V$113:$V$155)</f>
        <v>0</v>
      </c>
      <c r="GF61" s="1184"/>
      <c r="GG61" s="1184"/>
      <c r="GH61" s="1184">
        <f>SUMIF('Nährstoffe und Lagerraum'!$AX$113:$AX$155,$CZ61,'Nährstoffe und Lagerraum'!$U$113:$U$155)</f>
        <v>0</v>
      </c>
      <c r="GI61" s="1184">
        <f>SUMIF('Nährstoffe und Lagerraum'!$AX$113:$AX$155,$CZ61,'Nährstoffe und Lagerraum'!$V$113:$V$155)</f>
        <v>0</v>
      </c>
      <c r="GJ61" s="1184">
        <f t="shared" si="53"/>
        <v>0</v>
      </c>
      <c r="GK61" s="1184">
        <f t="shared" si="54"/>
        <v>0</v>
      </c>
      <c r="GL61" s="1184">
        <f t="shared" si="55"/>
        <v>0</v>
      </c>
      <c r="GM61" s="1184">
        <f t="shared" si="56"/>
        <v>0</v>
      </c>
      <c r="GN61" s="1184">
        <f t="shared" si="57"/>
        <v>0</v>
      </c>
      <c r="GO61" s="1184" cm="1">
        <f t="array" ref="GO61">IF(GN61=0,0,(IFERROR(SUMPRODUCT($J$14:$J$68,$CH$14:$CH$68,($BR$14:$BR$68=CZ61)*1)+SUMPRODUCT($L$14:$L$68,$M$14:$M$68,$CK$14:$CK$68,($BR$14:$BR$68=CZ61)*1,($BT$14:$BT$68=FALSE)*1)/10+SUMPRODUCT($R$14:$R$68,$CP$14:$CP$68,($BR$14:$BR$68=CZ61)*1),0))/GN61)</f>
        <v>0</v>
      </c>
      <c r="GP61" s="1184">
        <f t="shared" si="58"/>
        <v>0</v>
      </c>
      <c r="GQ61" s="1184">
        <f>(SUMIF('Nährstoffe und Lagerraum'!$AX$113:$AX$130,'Lagerhaltung (freiwillig)'!CZ61,'Nährstoffe und Lagerraum'!$D$113:$D$130)+SUMIF('Nährstoffe und Lagerraum'!$AX$137:$AX$155,'Lagerhaltung (freiwillig)'!CZ61,'Nährstoffe und Lagerraum'!$E$137:$E$155))</f>
        <v>0</v>
      </c>
      <c r="GR61" s="1184" cm="1">
        <f t="array" ref="GR61">IF(GQ61=0,0,(IFERROR(SUMPRODUCT('Nährstoffe und Lagerraum'!$D$113:$D$130,'Nährstoffe und Lagerraum'!$F$113:$F$130,('Nährstoffe und Lagerraum'!$AX$113:$AX$130='Lagerhaltung (freiwillig)'!CZ61)*1)+SUMPRODUCT('Nährstoffe und Lagerraum'!$E$137:$E$155,'Nährstoffe und Lagerraum'!$F$137:$F$155,('Nährstoffe und Lagerraum'!$AX$137:$AX$155='Lagerhaltung (freiwillig)'!CZ61)*1),0))/GQ61)</f>
        <v>0</v>
      </c>
      <c r="GS61" s="1184">
        <f t="shared" si="59"/>
        <v>0</v>
      </c>
      <c r="GT61" s="1184">
        <f t="shared" si="60"/>
        <v>0</v>
      </c>
      <c r="GU61" s="1184">
        <f t="shared" si="61"/>
        <v>0</v>
      </c>
      <c r="GV61" s="1184">
        <f t="shared" si="62"/>
        <v>0</v>
      </c>
      <c r="GW61" s="1186" t="str">
        <f t="shared" si="41"/>
        <v xml:space="preserve"> </v>
      </c>
      <c r="GX61" s="1186" t="str">
        <f t="shared" si="41"/>
        <v xml:space="preserve"> </v>
      </c>
      <c r="GY61" s="1195">
        <f t="shared" si="63"/>
        <v>0</v>
      </c>
      <c r="GZ61" s="1184">
        <f t="shared" si="64"/>
        <v>0</v>
      </c>
      <c r="HA61" s="1184" t="str">
        <f t="shared" si="132"/>
        <v>a</v>
      </c>
      <c r="HB61" s="1196">
        <f t="shared" si="65"/>
        <v>0</v>
      </c>
      <c r="HC61" s="1196">
        <f t="shared" si="66"/>
        <v>0</v>
      </c>
      <c r="HD61" s="1196"/>
      <c r="HE61" s="1187">
        <f t="shared" si="67"/>
        <v>0</v>
      </c>
      <c r="HF61" s="1196">
        <f t="shared" si="68"/>
        <v>0</v>
      </c>
      <c r="HG61" s="1196">
        <f t="shared" si="69"/>
        <v>0</v>
      </c>
      <c r="HH61" s="1196">
        <f t="shared" si="70"/>
        <v>0</v>
      </c>
      <c r="HI61" s="1328" cm="1">
        <f t="array" ref="HI61">IF(AND(HG61=0,GL61=0),0,IF(HG61=0,1,IF(OR(GL61*1000/HG61/HH61&gt;INDEX(Pflanzen!$W$5:$W$104,CZ61)/INDEX(Pflanzen!$I$5:$I$104,CZ61)*$HI$1,GL61*1000/HG61/HH61&lt;INDEX(Pflanzen!$W$5:$W$104,CZ61)/INDEX(Pflanzen!$I$5:$I$104,CZ61)/$HI$1),1,0)))</f>
        <v>0</v>
      </c>
      <c r="HJ61" s="1328" cm="1">
        <f t="array" ref="HJ61">IF(AND(GM61=0,HG61=0),0,IF(HG61=0,1,IF(OR(GM61*1000/HG61/HH61&gt;INDEX(Pflanzen!$X$5:$X$104,CZ61)/INDEX(Pflanzen!$I$5:$I$104,CZ61)*$HI$1,GM61*1000/HG61/HH61&lt;INDEX(Pflanzen!$X$5:$X$104,CZ61)/INDEX(Pflanzen!$I$5:$I$104,CZ61)/$HI$1),1,0)))</f>
        <v>0</v>
      </c>
      <c r="HK61" s="1184">
        <f t="shared" si="71"/>
        <v>3</v>
      </c>
      <c r="HL61" s="1184"/>
      <c r="HN61" s="1184"/>
      <c r="HO61" s="1193" t="str">
        <f>Tiere!B87</f>
        <v>Gänse Spätmast/Weidemast</v>
      </c>
      <c r="HP61" s="1184">
        <v>58</v>
      </c>
      <c r="HQ61" s="1194">
        <f>SUMIF('Nährstoffe und Lagerraum'!$BM$68:$BM$87,'Lagerhaltung (freiwillig)'!HP61,'Nährstoffe und Lagerraum'!$Z$68:$Z$87)+SUMIF('Nährstoffe und Lagerraum'!$BM$68:$BM$87,'Lagerhaltung (freiwillig)'!HP61,'Nährstoffe und Lagerraum'!$AA$68:$AA$87)</f>
        <v>0</v>
      </c>
      <c r="HR61" s="1184" cm="1">
        <f t="array" ref="HR61">INDEX(Tiere!$C$30:$C$114,'Lagerhaltung (freiwillig)'!HP61)</f>
        <v>3</v>
      </c>
      <c r="HS61" s="1184" cm="1">
        <f t="array" ref="HS61">INDEX(Tiere!$H$30:$H$114,'Lagerhaltung (freiwillig)'!HP61)</f>
        <v>1.24</v>
      </c>
      <c r="HT61" s="1184">
        <f t="shared" si="12"/>
        <v>0</v>
      </c>
      <c r="HU61" s="1184" cm="1">
        <f t="array" ref="HU61">INDEX(Tiere!$I$30:$I$114,'Lagerhaltung (freiwillig)'!HP61)</f>
        <v>0.35</v>
      </c>
      <c r="HV61" s="1184">
        <f t="shared" si="13"/>
        <v>0</v>
      </c>
      <c r="HW61" s="1184" cm="1">
        <f t="array" ref="HW61">INDEX(Tiere!$BC$30:$BC$114,'Lagerhaltung (freiwillig)'!HP61)</f>
        <v>0.40559999999999996</v>
      </c>
      <c r="HX61" s="1184">
        <f t="shared" si="14"/>
        <v>0</v>
      </c>
      <c r="HY61" s="1184" cm="1">
        <f t="array" ref="HY61">INDEX(Tiere!$BD$30:$BD$114,'Lagerhaltung (freiwillig)'!HP61)</f>
        <v>0.16359199999999999</v>
      </c>
      <c r="HZ61" s="1184">
        <f t="shared" si="15"/>
        <v>0</v>
      </c>
      <c r="IA61" s="1184"/>
      <c r="IB61" s="1184"/>
      <c r="IC61" s="1184"/>
      <c r="ID61" s="1184"/>
      <c r="IE61" s="1184"/>
      <c r="IF61" s="1184"/>
      <c r="IG61" s="1184"/>
      <c r="IH61" s="1184"/>
      <c r="II61" s="1184"/>
      <c r="IJ61" s="1184"/>
      <c r="IK61" s="1184"/>
      <c r="IL61" s="1184"/>
    </row>
    <row r="62" spans="6:246" ht="15.6" customHeight="1" x14ac:dyDescent="0.2">
      <c r="F62" s="1499"/>
      <c r="G62" s="1498"/>
      <c r="H62" s="1336"/>
      <c r="I62" s="1165" t="str">
        <f t="shared" si="133"/>
        <v/>
      </c>
      <c r="J62" s="1303"/>
      <c r="K62" s="1165" t="str">
        <f t="shared" si="134"/>
        <v/>
      </c>
      <c r="L62" s="1487"/>
      <c r="M62" s="1491"/>
      <c r="N62" s="1487"/>
      <c r="O62" s="1487"/>
      <c r="P62" s="1303"/>
      <c r="Q62" s="1162" t="str">
        <f t="shared" si="135"/>
        <v/>
      </c>
      <c r="R62" s="1487"/>
      <c r="S62" s="1491"/>
      <c r="T62" s="1303"/>
      <c r="V62" s="1346" t="str">
        <f t="shared" si="156"/>
        <v/>
      </c>
      <c r="Y62" s="1554" t="str" cm="1">
        <f t="array" ref="Y62">IFERROR(INDEX($CY$4:$CY$165,AY62),"")</f>
        <v/>
      </c>
      <c r="Z62" s="1555"/>
      <c r="AA62" s="1555"/>
      <c r="AB62" s="1555"/>
      <c r="AC62" s="1454" t="str" cm="1">
        <f t="array" ref="AC62">IFERROR(INDEX($GN$4:$GN$165,AY62),"")</f>
        <v/>
      </c>
      <c r="AD62" s="1454" t="str" cm="1">
        <f t="array" ref="AD62">IFERROR(INDEX($GO$4:$GO$165,AY62),"")</f>
        <v/>
      </c>
      <c r="AE62" s="1454" t="str" cm="1">
        <f t="array" ref="AE62">IFERROR(INDEX($GJ$4:$GJ$165,AY62),"")</f>
        <v/>
      </c>
      <c r="AF62" s="1454" t="str" cm="1">
        <f t="array" ref="AF62">IFERROR(INDEX($GK$4:$GK$165,AY62),"")</f>
        <v/>
      </c>
      <c r="AG62" s="1454" t="str" cm="1">
        <f t="array" ref="AG62">IFERROR(INDEX($GQ$4:$GQ$165,AY62),"")</f>
        <v/>
      </c>
      <c r="AH62" s="1454" t="str" cm="1">
        <f t="array" ref="AH62">IFERROR(INDEX($GR$4:$GR$165,AY62),"")</f>
        <v/>
      </c>
      <c r="AI62" s="1454" t="str" cm="1">
        <f t="array" ref="AI62">IFERROR(INDEX($GH$4:$GH$165,AY62),"")</f>
        <v/>
      </c>
      <c r="AJ62" s="1454" t="str" cm="1">
        <f t="array" ref="AJ62">IFERROR(INDEX($GI$4:$GI$165,AY62),"")</f>
        <v/>
      </c>
      <c r="AK62" s="1454" t="str" cm="1">
        <f t="array" ref="AK62">IFERROR(INDEX($GU$4:$GU$165,AY62),"")</f>
        <v/>
      </c>
      <c r="AL62" s="1455" t="str" cm="1">
        <f t="array" ref="AL62">IFERROR(INDEX($GV$4:$GV$165,AY62),"")</f>
        <v/>
      </c>
      <c r="AM62" s="1454" t="str" cm="1">
        <f t="array" ref="AM62">IFERROR(INDEX($GD$4:$GD$165,AY62),"")</f>
        <v/>
      </c>
      <c r="AN62" s="1454" t="str" cm="1">
        <f t="array" ref="AN62">IFERROR(INDEX($GE$4:$GE$165,AY62),"")</f>
        <v/>
      </c>
      <c r="AO62" s="1454" t="str" cm="1">
        <f t="array" ref="AO62">IFERROR(INDEX($GW$4:$GW$165,AY62),"")</f>
        <v/>
      </c>
      <c r="AP62" s="1454" t="str" cm="1">
        <f t="array" ref="AP62">IFERROR(INDEX($GZ$4:$GZ$165,AY62),"")</f>
        <v/>
      </c>
      <c r="AQ62" s="1457"/>
      <c r="AR62" s="1454" t="str" cm="1">
        <f t="array" ref="AR62">IFERROR(INDEX($HF$4:$HF$165,AY62),"")</f>
        <v/>
      </c>
      <c r="AS62" s="1454" t="str" cm="1">
        <f t="array" ref="AS62">IFERROR(INDEX($HG$4:$HG$165,AY62),"")</f>
        <v/>
      </c>
      <c r="AT62" s="1454" t="str" cm="1">
        <f t="array" ref="AT62">IFERROR(INDEX($HH$4:$HH$165,AY62),"")</f>
        <v/>
      </c>
      <c r="AU62" s="1454" t="str" cm="1">
        <f t="array" ref="AU62">IFERROR(INDEX($GL$4:$GL$165,AY62),"")</f>
        <v/>
      </c>
      <c r="AV62" s="1454" t="str" cm="1">
        <f t="array" ref="AV62">IFERROR(INDEX($GM$4:$GM$165,AY62),"")</f>
        <v/>
      </c>
      <c r="AW62" s="1459"/>
      <c r="AX62" s="1459"/>
      <c r="AY62" s="1460" t="str" cm="1">
        <f t="array" ref="AY62">IFERROR(SMALL(IF($HK$4:$HK$165=1,ROW($HK$4:$HK$165)-3),ROW(W47)),IFERROR(SMALL(IF($HK$4:$HK$165=2,ROW($HK$4:$HK$165)-3),ROW(W47)-COUNTIF($HK$4:$HK$165,1)),IFERROR(SMALL(IF($HK$4:$HK$165=0,ROW($HK$4:$HK$165)-3),ROW(W47)-COUNTIF($HK$4:$HK$165,1)-COUNTIF($HK$4:$HK$165,2)),"")))</f>
        <v/>
      </c>
      <c r="AZ62" s="1460" t="str">
        <f t="shared" si="129"/>
        <v>a</v>
      </c>
      <c r="BA62" s="1461" t="e">
        <f t="shared" si="130"/>
        <v>#VALUE!</v>
      </c>
      <c r="BB62" s="1461" cm="1">
        <f t="array" ref="BB62">IFERROR(INDEX($HK$4:$HK$165,AY62),0)</f>
        <v>0</v>
      </c>
      <c r="BC62" s="1461">
        <f t="shared" si="131"/>
        <v>0</v>
      </c>
      <c r="BD62" s="1461"/>
      <c r="BE62" s="1462"/>
      <c r="BF62" s="1343"/>
      <c r="BG62" s="1343"/>
      <c r="BH62" s="1343"/>
      <c r="BI62" s="1343"/>
      <c r="BJ62" s="1343"/>
      <c r="BK62" s="1343"/>
      <c r="BL62" s="1343"/>
      <c r="BM62" s="1343"/>
      <c r="BN62" s="1343"/>
      <c r="BO62" s="1343"/>
      <c r="BQ62" s="1184">
        <v>1</v>
      </c>
      <c r="BR62" cm="1">
        <f t="array" ref="BR62">INDEX(Pflanzen!$B$5:$B$112,'Lagerhaltung (freiwillig)'!BQ62)</f>
        <v>1</v>
      </c>
      <c r="BS62" s="1184"/>
      <c r="BT62" s="1184" t="b">
        <v>0</v>
      </c>
      <c r="BU62" s="1185"/>
      <c r="BV62" s="1185"/>
      <c r="BW62" s="1184">
        <f t="shared" si="136"/>
        <v>12</v>
      </c>
      <c r="BX62" s="1184">
        <f t="shared" si="137"/>
        <v>0</v>
      </c>
      <c r="BY62" s="1184">
        <f t="shared" si="138"/>
        <v>12</v>
      </c>
      <c r="BZ62" s="1184" cm="1">
        <f t="array" ref="BZ62">INDEX(Pflanzen!$AB$5:$AB$114,'Lagerhaltung (freiwillig)'!BR62)</f>
        <v>0</v>
      </c>
      <c r="CA62" s="1184" cm="1">
        <f t="array" ref="CA62">IF(BZ62=1,INDEX(Pflanzen!$AC$5:$AC$114,BR62),N62)</f>
        <v>0</v>
      </c>
      <c r="CB62" s="1184" cm="1">
        <f t="array" ref="CB62">IF(BZ62=1,INDEX(Pflanzen!$AD$5:$AD$114,BR62),O62)</f>
        <v>0</v>
      </c>
      <c r="CC62" s="1184">
        <f t="shared" si="139"/>
        <v>12</v>
      </c>
      <c r="CD62" s="1184">
        <f t="shared" si="140"/>
        <v>0</v>
      </c>
      <c r="CE62" s="1184">
        <f t="shared" si="141"/>
        <v>12</v>
      </c>
      <c r="CF62" s="1184" cm="1">
        <f t="array" ref="CF62">INDEX(Pflanzen!$F$5:$F$114,BR62)</f>
        <v>0</v>
      </c>
      <c r="CG62" s="1184" cm="1">
        <f t="array" ref="CG62">INDEX(Pflanzen!$G$5:$G$114,BR62)</f>
        <v>0</v>
      </c>
      <c r="CH62" s="1184">
        <f t="shared" si="142"/>
        <v>0</v>
      </c>
      <c r="CI62" s="1184">
        <f t="shared" si="143"/>
        <v>0</v>
      </c>
      <c r="CJ62" s="1184">
        <f t="shared" si="144"/>
        <v>0</v>
      </c>
      <c r="CK62" s="1184">
        <f t="shared" si="145"/>
        <v>0</v>
      </c>
      <c r="CL62" s="1184">
        <f t="shared" si="146"/>
        <v>0</v>
      </c>
      <c r="CM62" s="1184">
        <f t="shared" si="147"/>
        <v>0</v>
      </c>
      <c r="CN62" s="1184">
        <f t="shared" si="148"/>
        <v>0</v>
      </c>
      <c r="CO62" s="1184">
        <f t="shared" si="149"/>
        <v>0</v>
      </c>
      <c r="CP62" s="1184">
        <f t="shared" si="150"/>
        <v>0</v>
      </c>
      <c r="CQ62" s="1184">
        <f t="shared" si="151"/>
        <v>0</v>
      </c>
      <c r="CR62" s="1184">
        <f t="shared" si="152"/>
        <v>0</v>
      </c>
      <c r="CS62" s="1184">
        <f t="shared" si="153"/>
        <v>0</v>
      </c>
      <c r="CT62" s="1184">
        <f t="shared" si="154"/>
        <v>0</v>
      </c>
      <c r="CU62" s="1184">
        <f t="shared" si="157"/>
        <v>2</v>
      </c>
      <c r="CV62" s="1186" cm="1">
        <f t="array" ref="CV62">IF(AND(COUNTIF($BR$14:$BR$36,BR62)&gt;0,BR62&lt;ROWS(Pflanzen!$C$5:$C$107)),INDEX(Pflanzen!$I$5:$I$114,BR62),SUMIF($BR$44:$BR$68,BR62,$F$44:$F$69)/COUNTIF($BR$44:$BR$68,BR62))</f>
        <v>0</v>
      </c>
      <c r="CW62" s="1186">
        <f t="shared" si="155"/>
        <v>0</v>
      </c>
      <c r="CX62" s="1184"/>
      <c r="CY62" s="320" t="str">
        <f>Pflanzen!A58</f>
        <v xml:space="preserve"> +++Energiepflanzen+++</v>
      </c>
      <c r="CZ62" s="1200">
        <f>IFERROR(MATCH($CY62,Pflanzen!$C$5:$C$114,0),1)</f>
        <v>54</v>
      </c>
      <c r="DA62" s="320" cm="1">
        <f t="array" ref="DA62">INDEX(Pflanzen!$H$5:$H$114,'Lagerhaltung (freiwillig)'!CZ62)</f>
        <v>0</v>
      </c>
      <c r="DB62" s="1200">
        <f t="shared" si="162"/>
        <v>0</v>
      </c>
      <c r="DC62" s="1200">
        <f t="shared" si="162"/>
        <v>0</v>
      </c>
      <c r="DD62" s="1200">
        <f t="shared" si="162"/>
        <v>0</v>
      </c>
      <c r="DE62" s="1200">
        <f t="shared" si="162"/>
        <v>0</v>
      </c>
      <c r="DF62" s="1200">
        <f t="shared" si="162"/>
        <v>0</v>
      </c>
      <c r="DG62" s="1184">
        <f t="shared" si="162"/>
        <v>0</v>
      </c>
      <c r="DH62" s="1184">
        <f t="shared" si="162"/>
        <v>0</v>
      </c>
      <c r="DI62" s="1184">
        <f t="shared" si="162"/>
        <v>0</v>
      </c>
      <c r="DJ62" s="1184">
        <f t="shared" si="162"/>
        <v>0</v>
      </c>
      <c r="DK62" s="1184">
        <f t="shared" si="162"/>
        <v>0</v>
      </c>
      <c r="DL62" s="1184">
        <f t="shared" si="162"/>
        <v>0</v>
      </c>
      <c r="DM62" s="1184">
        <f t="shared" si="162"/>
        <v>0</v>
      </c>
      <c r="DN62" s="1184"/>
      <c r="DO62" s="1184">
        <f t="shared" si="163"/>
        <v>0</v>
      </c>
      <c r="DP62" s="1184">
        <f t="shared" si="163"/>
        <v>0</v>
      </c>
      <c r="DQ62" s="1184">
        <f t="shared" si="163"/>
        <v>0</v>
      </c>
      <c r="DR62" s="1184">
        <f t="shared" si="163"/>
        <v>0</v>
      </c>
      <c r="DS62" s="1184">
        <f t="shared" si="163"/>
        <v>0</v>
      </c>
      <c r="DT62" s="1184">
        <f t="shared" si="163"/>
        <v>0</v>
      </c>
      <c r="DU62" s="1184">
        <f t="shared" si="163"/>
        <v>0</v>
      </c>
      <c r="DV62" s="1184">
        <f t="shared" si="163"/>
        <v>0</v>
      </c>
      <c r="DW62" s="1184">
        <f t="shared" si="163"/>
        <v>0</v>
      </c>
      <c r="DX62" s="1184">
        <f t="shared" si="163"/>
        <v>0</v>
      </c>
      <c r="DY62" s="1184">
        <f t="shared" si="163"/>
        <v>0</v>
      </c>
      <c r="DZ62" s="1184">
        <f t="shared" si="163"/>
        <v>0</v>
      </c>
      <c r="EA62" s="1184"/>
      <c r="EB62" s="1184">
        <f t="shared" si="164"/>
        <v>0</v>
      </c>
      <c r="EC62" s="1184">
        <f t="shared" si="164"/>
        <v>0</v>
      </c>
      <c r="ED62" s="1184">
        <f t="shared" si="164"/>
        <v>0</v>
      </c>
      <c r="EE62" s="1184">
        <f t="shared" si="164"/>
        <v>0</v>
      </c>
      <c r="EF62" s="1184">
        <f t="shared" si="164"/>
        <v>0</v>
      </c>
      <c r="EG62" s="1184">
        <f t="shared" si="164"/>
        <v>0</v>
      </c>
      <c r="EH62" s="1184">
        <f t="shared" si="164"/>
        <v>0</v>
      </c>
      <c r="EI62" s="1184">
        <f t="shared" si="164"/>
        <v>0</v>
      </c>
      <c r="EJ62" s="1184">
        <f t="shared" si="164"/>
        <v>0</v>
      </c>
      <c r="EK62" s="1184">
        <f t="shared" si="164"/>
        <v>0</v>
      </c>
      <c r="EL62" s="1184">
        <f t="shared" si="164"/>
        <v>0</v>
      </c>
      <c r="EM62" s="1184">
        <f t="shared" si="164"/>
        <v>0</v>
      </c>
      <c r="EN62" s="1184"/>
      <c r="EO62" s="1184">
        <f t="shared" si="165"/>
        <v>0</v>
      </c>
      <c r="EP62" s="1184">
        <f t="shared" si="165"/>
        <v>0</v>
      </c>
      <c r="EQ62" s="1184">
        <f t="shared" si="165"/>
        <v>0</v>
      </c>
      <c r="ER62" s="1184">
        <f t="shared" si="165"/>
        <v>0</v>
      </c>
      <c r="ES62" s="1184">
        <f t="shared" si="165"/>
        <v>0</v>
      </c>
      <c r="ET62" s="1184">
        <f t="shared" si="165"/>
        <v>0</v>
      </c>
      <c r="EU62" s="1184">
        <f t="shared" si="165"/>
        <v>0</v>
      </c>
      <c r="EV62" s="1184">
        <f t="shared" si="165"/>
        <v>0</v>
      </c>
      <c r="EW62" s="1184">
        <f t="shared" si="165"/>
        <v>0</v>
      </c>
      <c r="EX62" s="1184">
        <f t="shared" si="165"/>
        <v>0</v>
      </c>
      <c r="EY62" s="1184">
        <f t="shared" si="165"/>
        <v>0</v>
      </c>
      <c r="EZ62" s="1184">
        <f t="shared" si="165"/>
        <v>0</v>
      </c>
      <c r="FA62" s="1184"/>
      <c r="FB62" s="1186">
        <f t="shared" si="51"/>
        <v>0</v>
      </c>
      <c r="FC62" s="1184">
        <f>FB62+DB62+EB62                 -         SUMIF('Nährstoffe und Lagerraum'!$AX$113:$AX$155,$CZ62,'Nährstoffe und Lagerraum'!$U$113:$U$155)/12  -$GD62*$HE62/12</f>
        <v>0</v>
      </c>
      <c r="FD62" s="1184">
        <f>FC62+DC62+EC62                 -         SUMIF('Nährstoffe und Lagerraum'!$AX$113:$AX$155,$CZ62,'Nährstoffe und Lagerraum'!$U$113:$U$155)/12  -$GD62*$HE62/12</f>
        <v>0</v>
      </c>
      <c r="FE62" s="1184">
        <f>FD62+DD62+ED62                 -         SUMIF('Nährstoffe und Lagerraum'!$AX$113:$AX$155,$CZ62,'Nährstoffe und Lagerraum'!$U$113:$U$155)/12  -$GD62*$HE62/12</f>
        <v>0</v>
      </c>
      <c r="FF62" s="1184">
        <f>FE62+DE62+EE62                 -         SUMIF('Nährstoffe und Lagerraum'!$AX$113:$AX$155,$CZ62,'Nährstoffe und Lagerraum'!$U$113:$U$155)/12  -$GD62*$HE62/12</f>
        <v>0</v>
      </c>
      <c r="FG62" s="1184">
        <f>FF62+DF62+EF62                 -         SUMIF('Nährstoffe und Lagerraum'!$AX$113:$AX$155,$CZ62,'Nährstoffe und Lagerraum'!$U$113:$U$155)/12  -$GD62*$HE62/12</f>
        <v>0</v>
      </c>
      <c r="FH62" s="1184">
        <f>FG62+DG62+EG62                 -         SUMIF('Nährstoffe und Lagerraum'!$AX$113:$AX$155,$CZ62,'Nährstoffe und Lagerraum'!$U$113:$U$155)/12  -$GD62*$HE62/12</f>
        <v>0</v>
      </c>
      <c r="FI62" s="1184">
        <f>FH62+DH62+EH62                 -         SUMIF('Nährstoffe und Lagerraum'!$AX$113:$AX$155,$CZ62,'Nährstoffe und Lagerraum'!$U$113:$U$155)/12  -$GD62*$HE62/12</f>
        <v>0</v>
      </c>
      <c r="FJ62" s="1184">
        <f>FI62+DI62+EI62                 -         SUMIF('Nährstoffe und Lagerraum'!$AX$113:$AX$155,$CZ62,'Nährstoffe und Lagerraum'!$U$113:$U$155)/12  -$GD62*$HE62/12</f>
        <v>0</v>
      </c>
      <c r="FK62" s="1184">
        <f>FJ62+DJ62+EJ62                 -         SUMIF('Nährstoffe und Lagerraum'!$AX$113:$AX$155,$CZ62,'Nährstoffe und Lagerraum'!$U$113:$U$155)/12  -$GD62*$HE62/12</f>
        <v>0</v>
      </c>
      <c r="FL62" s="1184">
        <f>FK62+DK62+EK62                 -         SUMIF('Nährstoffe und Lagerraum'!$AX$113:$AX$155,$CZ62,'Nährstoffe und Lagerraum'!$U$113:$U$155)/12  -$GD62*$HE62/12</f>
        <v>0</v>
      </c>
      <c r="FM62" s="1184">
        <f>FL62+DL62+EL62                 -         SUMIF('Nährstoffe und Lagerraum'!$AX$113:$AX$155,$CZ62,'Nährstoffe und Lagerraum'!$U$113:$U$155)/12  -$GD62*$HE62/12</f>
        <v>0</v>
      </c>
      <c r="FN62" s="1184">
        <f>FM62+DM62+EM62                 -         SUMIF('Nährstoffe und Lagerraum'!$AX$113:$AX$155,$CZ62,'Nährstoffe und Lagerraum'!$U$113:$U$155)/12  -$GD62*$HE62/12</f>
        <v>0</v>
      </c>
      <c r="FO62" s="1184"/>
      <c r="FP62" s="1186">
        <f t="shared" si="52"/>
        <v>0</v>
      </c>
      <c r="FQ62" s="1184">
        <f>FP62+DO62+EO62                 -         SUMIF('Nährstoffe und Lagerraum'!$AX$113:$AX$155,$CZ62,'Nährstoffe und Lagerraum'!$V$113:$V$155)/12  -$GE62*$HE62/12</f>
        <v>0</v>
      </c>
      <c r="FR62" s="1184">
        <f>FQ62+DP62+EP62                 -         SUMIF('Nährstoffe und Lagerraum'!$AX$113:$AX$155,$CZ62,'Nährstoffe und Lagerraum'!$V$113:$V$155)/12  -$GE62*$HE62/12</f>
        <v>0</v>
      </c>
      <c r="FS62" s="1184">
        <f>FR62+DQ62+EQ62                 -         SUMIF('Nährstoffe und Lagerraum'!$AX$113:$AX$155,$CZ62,'Nährstoffe und Lagerraum'!$V$113:$V$155)/12  -$GE62*$HE62/12</f>
        <v>0</v>
      </c>
      <c r="FT62" s="1184">
        <f>FS62+DR62+ER62                 -         SUMIF('Nährstoffe und Lagerraum'!$AX$113:$AX$155,$CZ62,'Nährstoffe und Lagerraum'!$V$113:$V$155)/12  -$GE62*$HE62/12</f>
        <v>0</v>
      </c>
      <c r="FU62" s="1184">
        <f>FT62+DS62+ES62                 -         SUMIF('Nährstoffe und Lagerraum'!$AX$113:$AX$155,$CZ62,'Nährstoffe und Lagerraum'!$V$113:$V$155)/12  -$GE62*$HE62/12</f>
        <v>0</v>
      </c>
      <c r="FV62" s="1184">
        <f>FU62+DT62+ET62                 -         SUMIF('Nährstoffe und Lagerraum'!$AX$113:$AX$155,$CZ62,'Nährstoffe und Lagerraum'!$V$113:$V$155)/12  -$GE62*$HE62/12</f>
        <v>0</v>
      </c>
      <c r="FW62" s="1184">
        <f>FV62+DU62+EU62                 -         SUMIF('Nährstoffe und Lagerraum'!$AX$113:$AX$155,$CZ62,'Nährstoffe und Lagerraum'!$V$113:$V$155)/12  -$GE62*$HE62/12</f>
        <v>0</v>
      </c>
      <c r="FX62" s="1184">
        <f>FW62+DV62+EV62                 -         SUMIF('Nährstoffe und Lagerraum'!$AX$113:$AX$155,$CZ62,'Nährstoffe und Lagerraum'!$V$113:$V$155)/12  -$GE62*$HE62/12</f>
        <v>0</v>
      </c>
      <c r="FY62" s="1184">
        <f>FX62+DW62+EW62                 -         SUMIF('Nährstoffe und Lagerraum'!$AX$113:$AX$155,$CZ62,'Nährstoffe und Lagerraum'!$V$113:$V$155)/12  -$GE62*$HE62/12</f>
        <v>0</v>
      </c>
      <c r="FZ62" s="1184">
        <f>FY62+DX62+EX62                 -         SUMIF('Nährstoffe und Lagerraum'!$AX$113:$AX$155,$CZ62,'Nährstoffe und Lagerraum'!$V$113:$V$155)/12  -$GE62*$HE62/12</f>
        <v>0</v>
      </c>
      <c r="GA62" s="1184">
        <f>FZ62+DY62+EY62                 -         SUMIF('Nährstoffe und Lagerraum'!$AX$113:$AX$155,$CZ62,'Nährstoffe und Lagerraum'!$V$113:$V$155)/12  -$GE62*$HE62/12</f>
        <v>0</v>
      </c>
      <c r="GB62" s="1184">
        <f>GA62+DZ62+EZ62                 -         SUMIF('Nährstoffe und Lagerraum'!$AX$113:$AX$155,$CZ62,'Nährstoffe und Lagerraum'!$V$113:$V$155)/12  -$GE62*$HE62/12</f>
        <v>0</v>
      </c>
      <c r="GC62" s="1184"/>
      <c r="GD62" s="1184">
        <f>SUMIFS($CI$14:$CI$68,$BR$14:$BR$68,$CZ62)+SUMIFS($CM$14:$CM$68,$BR$14:$BR$68,$CZ62)+SUMIFS($CR$14:$CR$68,$BR$14:$BR$68,$CZ62)  -         SUMIF('Nährstoffe und Lagerraum'!$AX$113:$AX$155,$CZ62,'Nährstoffe und Lagerraum'!$U$113:$U$155)</f>
        <v>0</v>
      </c>
      <c r="GE62" s="1184">
        <f>SUMIFS($CJ$14:$CJ$68,$BR$14:$BR$68,$CZ62)+SUMIFS($CO$14:$CO$68,$BR$14:$BR$68,$CZ62)+SUMIFS($CT$14:$CT$68,$BR$14:$BR$68,$CZ62)  -         SUMIF('Nährstoffe und Lagerraum'!$AX$113:$AX$155,$CZ62,'Nährstoffe und Lagerraum'!$V$113:$V$155)</f>
        <v>0</v>
      </c>
      <c r="GF62" s="1184"/>
      <c r="GG62" s="1184"/>
      <c r="GH62" s="1184">
        <f>SUMIF('Nährstoffe und Lagerraum'!$AX$113:$AX$155,$CZ62,'Nährstoffe und Lagerraum'!$U$113:$U$155)</f>
        <v>0</v>
      </c>
      <c r="GI62" s="1184">
        <f>SUMIF('Nährstoffe und Lagerraum'!$AX$113:$AX$155,$CZ62,'Nährstoffe und Lagerraum'!$V$113:$V$155)</f>
        <v>0</v>
      </c>
      <c r="GJ62" s="1184">
        <f t="shared" si="53"/>
        <v>0</v>
      </c>
      <c r="GK62" s="1184">
        <f t="shared" si="54"/>
        <v>0</v>
      </c>
      <c r="GL62" s="1184">
        <f t="shared" si="55"/>
        <v>0</v>
      </c>
      <c r="GM62" s="1184">
        <f t="shared" si="56"/>
        <v>0</v>
      </c>
      <c r="GN62" s="1184">
        <f t="shared" si="57"/>
        <v>0</v>
      </c>
      <c r="GO62" s="1184" cm="1">
        <f t="array" ref="GO62">IF(GN62=0,0,(IFERROR(SUMPRODUCT($J$14:$J$68,$CH$14:$CH$68,($BR$14:$BR$68=CZ62)*1)+SUMPRODUCT($L$14:$L$68,$M$14:$M$68,$CK$14:$CK$68,($BR$14:$BR$68=CZ62)*1,($BT$14:$BT$68=FALSE)*1)/10+SUMPRODUCT($R$14:$R$68,$CP$14:$CP$68,($BR$14:$BR$68=CZ62)*1),0))/GN62)</f>
        <v>0</v>
      </c>
      <c r="GP62" s="1184">
        <f t="shared" si="58"/>
        <v>0</v>
      </c>
      <c r="GQ62" s="1184">
        <f>(SUMIF('Nährstoffe und Lagerraum'!$AX$113:$AX$130,'Lagerhaltung (freiwillig)'!CZ62,'Nährstoffe und Lagerraum'!$D$113:$D$130)+SUMIF('Nährstoffe und Lagerraum'!$AX$137:$AX$155,'Lagerhaltung (freiwillig)'!CZ62,'Nährstoffe und Lagerraum'!$E$137:$E$155))</f>
        <v>0</v>
      </c>
      <c r="GR62" s="1184" cm="1">
        <f t="array" ref="GR62">IF(GQ62=0,0,(IFERROR(SUMPRODUCT('Nährstoffe und Lagerraum'!$D$113:$D$130,'Nährstoffe und Lagerraum'!$F$113:$F$130,('Nährstoffe und Lagerraum'!$AX$113:$AX$130='Lagerhaltung (freiwillig)'!CZ62)*1)+SUMPRODUCT('Nährstoffe und Lagerraum'!$E$137:$E$155,'Nährstoffe und Lagerraum'!$F$137:$F$155,('Nährstoffe und Lagerraum'!$AX$137:$AX$155='Lagerhaltung (freiwillig)'!CZ62)*1),0))/GQ62)</f>
        <v>0</v>
      </c>
      <c r="GS62" s="1184">
        <f t="shared" si="59"/>
        <v>0</v>
      </c>
      <c r="GT62" s="1184">
        <f t="shared" si="60"/>
        <v>0</v>
      </c>
      <c r="GU62" s="1184">
        <f t="shared" si="61"/>
        <v>0</v>
      </c>
      <c r="GV62" s="1184">
        <f t="shared" si="62"/>
        <v>0</v>
      </c>
      <c r="GW62" s="1186" t="str">
        <f t="shared" si="41"/>
        <v xml:space="preserve"> </v>
      </c>
      <c r="GX62" s="1186" t="str">
        <f t="shared" si="41"/>
        <v xml:space="preserve"> </v>
      </c>
      <c r="GY62" s="1195">
        <f t="shared" si="63"/>
        <v>0</v>
      </c>
      <c r="GZ62" s="1184">
        <f t="shared" si="64"/>
        <v>0</v>
      </c>
      <c r="HA62" s="1184" t="str">
        <f t="shared" si="132"/>
        <v>a</v>
      </c>
      <c r="HB62" s="1196">
        <f t="shared" si="65"/>
        <v>0</v>
      </c>
      <c r="HC62" s="1196">
        <f t="shared" si="66"/>
        <v>0</v>
      </c>
      <c r="HD62" s="1196"/>
      <c r="HE62" s="1187">
        <f t="shared" si="67"/>
        <v>0</v>
      </c>
      <c r="HF62" s="1196">
        <f t="shared" si="68"/>
        <v>0</v>
      </c>
      <c r="HG62" s="1196">
        <f t="shared" si="69"/>
        <v>0</v>
      </c>
      <c r="HH62" s="1196">
        <f t="shared" si="70"/>
        <v>0</v>
      </c>
      <c r="HI62" s="1328" cm="1">
        <f t="array" ref="HI62">IF(AND(HG62=0,GL62=0),0,IF(HG62=0,1,IF(OR(GL62*1000/HG62/HH62&gt;INDEX(Pflanzen!$W$5:$W$104,CZ62)/INDEX(Pflanzen!$I$5:$I$104,CZ62)*$HI$1,GL62*1000/HG62/HH62&lt;INDEX(Pflanzen!$W$5:$W$104,CZ62)/INDEX(Pflanzen!$I$5:$I$104,CZ62)/$HI$1),1,0)))</f>
        <v>0</v>
      </c>
      <c r="HJ62" s="1328" cm="1">
        <f t="array" ref="HJ62">IF(AND(GM62=0,HG62=0),0,IF(HG62=0,1,IF(OR(GM62*1000/HG62/HH62&gt;INDEX(Pflanzen!$X$5:$X$104,CZ62)/INDEX(Pflanzen!$I$5:$I$104,CZ62)*$HI$1,GM62*1000/HG62/HH62&lt;INDEX(Pflanzen!$X$5:$X$104,CZ62)/INDEX(Pflanzen!$I$5:$I$104,CZ62)/$HI$1),1,0)))</f>
        <v>0</v>
      </c>
      <c r="HK62" s="1184">
        <f t="shared" si="71"/>
        <v>3</v>
      </c>
      <c r="HL62" s="1184"/>
      <c r="HN62" s="1184"/>
      <c r="HO62" s="1193" t="str">
        <f>Tiere!B88</f>
        <v>Pekingenten</v>
      </c>
      <c r="HP62" s="1184">
        <v>59</v>
      </c>
      <c r="HQ62" s="1194">
        <f>SUMIF('Nährstoffe und Lagerraum'!$BM$68:$BM$87,'Lagerhaltung (freiwillig)'!HP62,'Nährstoffe und Lagerraum'!$Z$68:$Z$87)+SUMIF('Nährstoffe und Lagerraum'!$BM$68:$BM$87,'Lagerhaltung (freiwillig)'!HP62,'Nährstoffe und Lagerraum'!$AA$68:$AA$87)</f>
        <v>0</v>
      </c>
      <c r="HR62" s="1184" cm="1">
        <f t="array" ref="HR62">INDEX(Tiere!$C$30:$C$114,'Lagerhaltung (freiwillig)'!HP62)</f>
        <v>3</v>
      </c>
      <c r="HS62" s="1184" cm="1">
        <f t="array" ref="HS62">INDEX(Tiere!$H$30:$H$114,'Lagerhaltung (freiwillig)'!HP62)</f>
        <v>0</v>
      </c>
      <c r="HT62" s="1184">
        <f t="shared" si="12"/>
        <v>0</v>
      </c>
      <c r="HU62" s="1184" cm="1">
        <f t="array" ref="HU62">INDEX(Tiere!$I$30:$I$114,'Lagerhaltung (freiwillig)'!HP62)</f>
        <v>0</v>
      </c>
      <c r="HV62" s="1184">
        <f t="shared" si="13"/>
        <v>0</v>
      </c>
      <c r="HW62" s="1184" cm="1">
        <f t="array" ref="HW62">INDEX(Tiere!$BC$30:$BC$114,'Lagerhaltung (freiwillig)'!HP62)</f>
        <v>0.58499999999999996</v>
      </c>
      <c r="HX62" s="1184">
        <f t="shared" si="14"/>
        <v>0</v>
      </c>
      <c r="HY62" s="1184" cm="1">
        <f t="array" ref="HY62">INDEX(Tiere!$BD$30:$BD$114,'Lagerhaltung (freiwillig)'!HP62)</f>
        <v>0.22424999999999998</v>
      </c>
      <c r="HZ62" s="1184">
        <f t="shared" si="15"/>
        <v>0</v>
      </c>
      <c r="IA62" s="1184"/>
      <c r="IB62" s="1184"/>
      <c r="IC62" s="1184"/>
      <c r="ID62" s="1184"/>
      <c r="IE62" s="1184"/>
      <c r="IF62" s="1184"/>
      <c r="IG62" s="1184"/>
      <c r="IH62" s="1184"/>
      <c r="II62" s="1184"/>
      <c r="IJ62" s="1184"/>
      <c r="IK62" s="1184"/>
      <c r="IL62" s="1184"/>
    </row>
    <row r="63" spans="6:246" ht="15.6" customHeight="1" x14ac:dyDescent="0.2">
      <c r="F63" s="1499"/>
      <c r="G63" s="1498"/>
      <c r="H63" s="1339"/>
      <c r="I63" s="1165" t="str">
        <f t="shared" si="133"/>
        <v/>
      </c>
      <c r="J63" s="1303"/>
      <c r="K63" s="1165" t="str">
        <f t="shared" si="134"/>
        <v/>
      </c>
      <c r="L63" s="1487"/>
      <c r="M63" s="1491"/>
      <c r="N63" s="1487"/>
      <c r="O63" s="1487"/>
      <c r="P63" s="1303"/>
      <c r="Q63" s="1162" t="str">
        <f t="shared" si="135"/>
        <v/>
      </c>
      <c r="R63" s="1487"/>
      <c r="S63" s="1491"/>
      <c r="T63" s="1303"/>
      <c r="V63" s="1346" t="str">
        <f t="shared" si="156"/>
        <v/>
      </c>
      <c r="Y63" s="1554" t="str" cm="1">
        <f t="array" ref="Y63">IFERROR(INDEX($CY$4:$CY$165,AY63),"")</f>
        <v/>
      </c>
      <c r="Z63" s="1555"/>
      <c r="AA63" s="1555"/>
      <c r="AB63" s="1555"/>
      <c r="AC63" s="1454" t="str" cm="1">
        <f t="array" ref="AC63">IFERROR(INDEX($GN$4:$GN$165,AY63),"")</f>
        <v/>
      </c>
      <c r="AD63" s="1454" t="str" cm="1">
        <f t="array" ref="AD63">IFERROR(INDEX($GO$4:$GO$165,AY63),"")</f>
        <v/>
      </c>
      <c r="AE63" s="1454" t="str" cm="1">
        <f t="array" ref="AE63">IFERROR(INDEX($GJ$4:$GJ$165,AY63),"")</f>
        <v/>
      </c>
      <c r="AF63" s="1454" t="str" cm="1">
        <f t="array" ref="AF63">IFERROR(INDEX($GK$4:$GK$165,AY63),"")</f>
        <v/>
      </c>
      <c r="AG63" s="1454" t="str" cm="1">
        <f t="array" ref="AG63">IFERROR(INDEX($GQ$4:$GQ$165,AY63),"")</f>
        <v/>
      </c>
      <c r="AH63" s="1454" t="str" cm="1">
        <f t="array" ref="AH63">IFERROR(INDEX($GR$4:$GR$165,AY63),"")</f>
        <v/>
      </c>
      <c r="AI63" s="1454" t="str" cm="1">
        <f t="array" ref="AI63">IFERROR(INDEX($GH$4:$GH$165,AY63),"")</f>
        <v/>
      </c>
      <c r="AJ63" s="1454" t="str" cm="1">
        <f t="array" ref="AJ63">IFERROR(INDEX($GI$4:$GI$165,AY63),"")</f>
        <v/>
      </c>
      <c r="AK63" s="1454" t="str" cm="1">
        <f t="array" ref="AK63">IFERROR(INDEX($GU$4:$GU$165,AY63),"")</f>
        <v/>
      </c>
      <c r="AL63" s="1455" t="str" cm="1">
        <f t="array" ref="AL63">IFERROR(INDEX($GV$4:$GV$165,AY63),"")</f>
        <v/>
      </c>
      <c r="AM63" s="1454" t="str" cm="1">
        <f t="array" ref="AM63">IFERROR(INDEX($GD$4:$GD$165,AY63),"")</f>
        <v/>
      </c>
      <c r="AN63" s="1454" t="str" cm="1">
        <f t="array" ref="AN63">IFERROR(INDEX($GE$4:$GE$165,AY63),"")</f>
        <v/>
      </c>
      <c r="AO63" s="1454" t="str" cm="1">
        <f t="array" ref="AO63">IFERROR(INDEX($GW$4:$GW$165,AY63),"")</f>
        <v/>
      </c>
      <c r="AP63" s="1454" t="str" cm="1">
        <f t="array" ref="AP63">IFERROR(INDEX($GZ$4:$GZ$165,AY63),"")</f>
        <v/>
      </c>
      <c r="AQ63" s="1457"/>
      <c r="AR63" s="1454" t="str" cm="1">
        <f t="array" ref="AR63">IFERROR(INDEX($HF$4:$HF$165,AY63),"")</f>
        <v/>
      </c>
      <c r="AS63" s="1454" t="str" cm="1">
        <f t="array" ref="AS63">IFERROR(INDEX($HG$4:$HG$165,AY63),"")</f>
        <v/>
      </c>
      <c r="AT63" s="1454" t="str" cm="1">
        <f t="array" ref="AT63">IFERROR(INDEX($HH$4:$HH$165,AY63),"")</f>
        <v/>
      </c>
      <c r="AU63" s="1454" t="str" cm="1">
        <f t="array" ref="AU63">IFERROR(INDEX($GL$4:$GL$165,AY63),"")</f>
        <v/>
      </c>
      <c r="AV63" s="1454" t="str" cm="1">
        <f t="array" ref="AV63">IFERROR(INDEX($GM$4:$GM$165,AY63),"")</f>
        <v/>
      </c>
      <c r="AW63" s="1459"/>
      <c r="AX63" s="1459"/>
      <c r="AY63" s="1460" t="str" cm="1">
        <f t="array" ref="AY63">IFERROR(SMALL(IF($HK$4:$HK$165=1,ROW($HK$4:$HK$165)-3),ROW(W48)),IFERROR(SMALL(IF($HK$4:$HK$165=2,ROW($HK$4:$HK$165)-3),ROW(W48)-COUNTIF($HK$4:$HK$165,1)),IFERROR(SMALL(IF($HK$4:$HK$165=0,ROW($HK$4:$HK$165)-3),ROW(W48)-COUNTIF($HK$4:$HK$165,1)-COUNTIF($HK$4:$HK$165,2)),"")))</f>
        <v/>
      </c>
      <c r="AZ63" s="1460" t="str">
        <f t="shared" si="129"/>
        <v>a</v>
      </c>
      <c r="BA63" s="1461" t="e">
        <f t="shared" si="130"/>
        <v>#VALUE!</v>
      </c>
      <c r="BB63" s="1461" cm="1">
        <f t="array" ref="BB63">IFERROR(INDEX($HK$4:$HK$165,AY63),0)</f>
        <v>0</v>
      </c>
      <c r="BC63" s="1461">
        <f t="shared" si="131"/>
        <v>0</v>
      </c>
      <c r="BD63" s="1461"/>
      <c r="BE63" s="1462"/>
      <c r="BF63" s="1343"/>
      <c r="BG63" s="1343"/>
      <c r="BH63" s="1343"/>
      <c r="BI63" s="1343"/>
      <c r="BJ63" s="1343"/>
      <c r="BK63" s="1343"/>
      <c r="BL63" s="1343"/>
      <c r="BM63" s="1343"/>
      <c r="BN63" s="1343"/>
      <c r="BO63" s="1343"/>
      <c r="BQ63" s="1184">
        <v>1</v>
      </c>
      <c r="BR63" cm="1">
        <f t="array" ref="BR63">INDEX(Pflanzen!$B$5:$B$112,'Lagerhaltung (freiwillig)'!BQ63)</f>
        <v>1</v>
      </c>
      <c r="BS63" s="1184"/>
      <c r="BT63" s="1184" t="b">
        <v>0</v>
      </c>
      <c r="BU63" s="1185"/>
      <c r="BV63" s="1185"/>
      <c r="BW63" s="1184">
        <f t="shared" si="136"/>
        <v>12</v>
      </c>
      <c r="BX63" s="1184">
        <f t="shared" si="137"/>
        <v>0</v>
      </c>
      <c r="BY63" s="1184">
        <f t="shared" si="138"/>
        <v>12</v>
      </c>
      <c r="BZ63" s="1184" cm="1">
        <f t="array" ref="BZ63">INDEX(Pflanzen!$AB$5:$AB$114,'Lagerhaltung (freiwillig)'!BR63)</f>
        <v>0</v>
      </c>
      <c r="CA63" s="1184" cm="1">
        <f t="array" ref="CA63">IF(BZ63=1,INDEX(Pflanzen!$AC$5:$AC$114,BR63),N63)</f>
        <v>0</v>
      </c>
      <c r="CB63" s="1184" cm="1">
        <f t="array" ref="CB63">IF(BZ63=1,INDEX(Pflanzen!$AD$5:$AD$114,BR63),O63)</f>
        <v>0</v>
      </c>
      <c r="CC63" s="1184">
        <f t="shared" si="139"/>
        <v>12</v>
      </c>
      <c r="CD63" s="1184">
        <f t="shared" si="140"/>
        <v>0</v>
      </c>
      <c r="CE63" s="1184">
        <f t="shared" si="141"/>
        <v>12</v>
      </c>
      <c r="CF63" s="1184" cm="1">
        <f t="array" ref="CF63">INDEX(Pflanzen!$F$5:$F$114,BR63)</f>
        <v>0</v>
      </c>
      <c r="CG63" s="1184" cm="1">
        <f t="array" ref="CG63">INDEX(Pflanzen!$G$5:$G$114,BR63)</f>
        <v>0</v>
      </c>
      <c r="CH63" s="1184">
        <f t="shared" si="142"/>
        <v>0</v>
      </c>
      <c r="CI63" s="1184">
        <f t="shared" si="143"/>
        <v>0</v>
      </c>
      <c r="CJ63" s="1184">
        <f t="shared" si="144"/>
        <v>0</v>
      </c>
      <c r="CK63" s="1184">
        <f t="shared" si="145"/>
        <v>0</v>
      </c>
      <c r="CL63" s="1184">
        <f t="shared" si="146"/>
        <v>0</v>
      </c>
      <c r="CM63" s="1184">
        <f t="shared" si="147"/>
        <v>0</v>
      </c>
      <c r="CN63" s="1184">
        <f t="shared" si="148"/>
        <v>0</v>
      </c>
      <c r="CO63" s="1184">
        <f t="shared" si="149"/>
        <v>0</v>
      </c>
      <c r="CP63" s="1184">
        <f t="shared" si="150"/>
        <v>0</v>
      </c>
      <c r="CQ63" s="1184">
        <f t="shared" si="151"/>
        <v>0</v>
      </c>
      <c r="CR63" s="1184">
        <f t="shared" si="152"/>
        <v>0</v>
      </c>
      <c r="CS63" s="1184">
        <f t="shared" si="153"/>
        <v>0</v>
      </c>
      <c r="CT63" s="1184">
        <f t="shared" si="154"/>
        <v>0</v>
      </c>
      <c r="CU63" s="1184">
        <f t="shared" si="157"/>
        <v>2</v>
      </c>
      <c r="CV63" s="1186" cm="1">
        <f t="array" ref="CV63">IF(AND(COUNTIF($BR$14:$BR$36,BR63)&gt;0,BR63&lt;ROWS(Pflanzen!$C$5:$C$107)),INDEX(Pflanzen!$I$5:$I$114,BR63),SUMIF($BR$44:$BR$68,BR63,$F$44:$F$69)/COUNTIF($BR$44:$BR$68,BR63))</f>
        <v>0</v>
      </c>
      <c r="CW63" s="1186">
        <f t="shared" si="155"/>
        <v>0</v>
      </c>
      <c r="CX63" s="1184"/>
      <c r="CY63" s="320" t="str">
        <f>Pflanzen!A59</f>
        <v>Silphie (ab 2. Standjahr)</v>
      </c>
      <c r="CZ63" s="1200">
        <f>IFERROR(MATCH($CY63,Pflanzen!$C$5:$C$114,0),1)</f>
        <v>55</v>
      </c>
      <c r="DA63" s="320" cm="1">
        <f t="array" ref="DA63">INDEX(Pflanzen!$H$5:$H$114,'Lagerhaltung (freiwillig)'!CZ63)</f>
        <v>1</v>
      </c>
      <c r="DB63" s="1200">
        <f t="shared" si="162"/>
        <v>0</v>
      </c>
      <c r="DC63" s="1200">
        <f t="shared" si="162"/>
        <v>0</v>
      </c>
      <c r="DD63" s="1200">
        <f t="shared" si="162"/>
        <v>0</v>
      </c>
      <c r="DE63" s="1200">
        <f t="shared" si="162"/>
        <v>0</v>
      </c>
      <c r="DF63" s="1200">
        <f t="shared" si="162"/>
        <v>0</v>
      </c>
      <c r="DG63" s="1184">
        <f t="shared" si="162"/>
        <v>0</v>
      </c>
      <c r="DH63" s="1184">
        <f t="shared" si="162"/>
        <v>0</v>
      </c>
      <c r="DI63" s="1184">
        <f t="shared" si="162"/>
        <v>0</v>
      </c>
      <c r="DJ63" s="1184">
        <f t="shared" si="162"/>
        <v>0</v>
      </c>
      <c r="DK63" s="1184">
        <f t="shared" si="162"/>
        <v>0</v>
      </c>
      <c r="DL63" s="1184">
        <f t="shared" si="162"/>
        <v>0</v>
      </c>
      <c r="DM63" s="1184">
        <f t="shared" si="162"/>
        <v>0</v>
      </c>
      <c r="DN63" s="1184"/>
      <c r="DO63" s="1184">
        <f t="shared" si="163"/>
        <v>0</v>
      </c>
      <c r="DP63" s="1184">
        <f t="shared" si="163"/>
        <v>0</v>
      </c>
      <c r="DQ63" s="1184">
        <f t="shared" si="163"/>
        <v>0</v>
      </c>
      <c r="DR63" s="1184">
        <f t="shared" si="163"/>
        <v>0</v>
      </c>
      <c r="DS63" s="1184">
        <f t="shared" si="163"/>
        <v>0</v>
      </c>
      <c r="DT63" s="1184">
        <f t="shared" si="163"/>
        <v>0</v>
      </c>
      <c r="DU63" s="1184">
        <f t="shared" si="163"/>
        <v>0</v>
      </c>
      <c r="DV63" s="1184">
        <f t="shared" si="163"/>
        <v>0</v>
      </c>
      <c r="DW63" s="1184">
        <f t="shared" si="163"/>
        <v>0</v>
      </c>
      <c r="DX63" s="1184">
        <f t="shared" si="163"/>
        <v>0</v>
      </c>
      <c r="DY63" s="1184">
        <f t="shared" si="163"/>
        <v>0</v>
      </c>
      <c r="DZ63" s="1184">
        <f t="shared" si="163"/>
        <v>0</v>
      </c>
      <c r="EA63" s="1184"/>
      <c r="EB63" s="1184">
        <f t="shared" si="164"/>
        <v>0</v>
      </c>
      <c r="EC63" s="1184">
        <f t="shared" si="164"/>
        <v>0</v>
      </c>
      <c r="ED63" s="1184">
        <f t="shared" si="164"/>
        <v>0</v>
      </c>
      <c r="EE63" s="1184">
        <f t="shared" si="164"/>
        <v>0</v>
      </c>
      <c r="EF63" s="1184">
        <f t="shared" si="164"/>
        <v>0</v>
      </c>
      <c r="EG63" s="1184">
        <f t="shared" si="164"/>
        <v>0</v>
      </c>
      <c r="EH63" s="1184">
        <f t="shared" si="164"/>
        <v>0</v>
      </c>
      <c r="EI63" s="1184">
        <f t="shared" si="164"/>
        <v>0</v>
      </c>
      <c r="EJ63" s="1184">
        <f t="shared" si="164"/>
        <v>0</v>
      </c>
      <c r="EK63" s="1184">
        <f t="shared" si="164"/>
        <v>0</v>
      </c>
      <c r="EL63" s="1184">
        <f t="shared" si="164"/>
        <v>0</v>
      </c>
      <c r="EM63" s="1184">
        <f t="shared" si="164"/>
        <v>0</v>
      </c>
      <c r="EN63" s="1184"/>
      <c r="EO63" s="1184">
        <f t="shared" si="165"/>
        <v>0</v>
      </c>
      <c r="EP63" s="1184">
        <f t="shared" si="165"/>
        <v>0</v>
      </c>
      <c r="EQ63" s="1184">
        <f t="shared" si="165"/>
        <v>0</v>
      </c>
      <c r="ER63" s="1184">
        <f t="shared" si="165"/>
        <v>0</v>
      </c>
      <c r="ES63" s="1184">
        <f t="shared" si="165"/>
        <v>0</v>
      </c>
      <c r="ET63" s="1184">
        <f t="shared" si="165"/>
        <v>0</v>
      </c>
      <c r="EU63" s="1184">
        <f t="shared" si="165"/>
        <v>0</v>
      </c>
      <c r="EV63" s="1184">
        <f t="shared" si="165"/>
        <v>0</v>
      </c>
      <c r="EW63" s="1184">
        <f t="shared" si="165"/>
        <v>0</v>
      </c>
      <c r="EX63" s="1184">
        <f t="shared" si="165"/>
        <v>0</v>
      </c>
      <c r="EY63" s="1184">
        <f t="shared" si="165"/>
        <v>0</v>
      </c>
      <c r="EZ63" s="1184">
        <f t="shared" si="165"/>
        <v>0</v>
      </c>
      <c r="FA63" s="1184"/>
      <c r="FB63" s="1186">
        <f t="shared" si="51"/>
        <v>0</v>
      </c>
      <c r="FC63" s="1184">
        <f>FB63+DB63+EB63                 -         SUMIF('Nährstoffe und Lagerraum'!$AX$113:$AX$155,$CZ63,'Nährstoffe und Lagerraum'!$U$113:$U$155)/12  -$GD63*$HE63/12</f>
        <v>0</v>
      </c>
      <c r="FD63" s="1184">
        <f>FC63+DC63+EC63                 -         SUMIF('Nährstoffe und Lagerraum'!$AX$113:$AX$155,$CZ63,'Nährstoffe und Lagerraum'!$U$113:$U$155)/12  -$GD63*$HE63/12</f>
        <v>0</v>
      </c>
      <c r="FE63" s="1184">
        <f>FD63+DD63+ED63                 -         SUMIF('Nährstoffe und Lagerraum'!$AX$113:$AX$155,$CZ63,'Nährstoffe und Lagerraum'!$U$113:$U$155)/12  -$GD63*$HE63/12</f>
        <v>0</v>
      </c>
      <c r="FF63" s="1184">
        <f>FE63+DE63+EE63                 -         SUMIF('Nährstoffe und Lagerraum'!$AX$113:$AX$155,$CZ63,'Nährstoffe und Lagerraum'!$U$113:$U$155)/12  -$GD63*$HE63/12</f>
        <v>0</v>
      </c>
      <c r="FG63" s="1184">
        <f>FF63+DF63+EF63                 -         SUMIF('Nährstoffe und Lagerraum'!$AX$113:$AX$155,$CZ63,'Nährstoffe und Lagerraum'!$U$113:$U$155)/12  -$GD63*$HE63/12</f>
        <v>0</v>
      </c>
      <c r="FH63" s="1184">
        <f>FG63+DG63+EG63                 -         SUMIF('Nährstoffe und Lagerraum'!$AX$113:$AX$155,$CZ63,'Nährstoffe und Lagerraum'!$U$113:$U$155)/12  -$GD63*$HE63/12</f>
        <v>0</v>
      </c>
      <c r="FI63" s="1184">
        <f>FH63+DH63+EH63                 -         SUMIF('Nährstoffe und Lagerraum'!$AX$113:$AX$155,$CZ63,'Nährstoffe und Lagerraum'!$U$113:$U$155)/12  -$GD63*$HE63/12</f>
        <v>0</v>
      </c>
      <c r="FJ63" s="1184">
        <f>FI63+DI63+EI63                 -         SUMIF('Nährstoffe und Lagerraum'!$AX$113:$AX$155,$CZ63,'Nährstoffe und Lagerraum'!$U$113:$U$155)/12  -$GD63*$HE63/12</f>
        <v>0</v>
      </c>
      <c r="FK63" s="1184">
        <f>FJ63+DJ63+EJ63                 -         SUMIF('Nährstoffe und Lagerraum'!$AX$113:$AX$155,$CZ63,'Nährstoffe und Lagerraum'!$U$113:$U$155)/12  -$GD63*$HE63/12</f>
        <v>0</v>
      </c>
      <c r="FL63" s="1184">
        <f>FK63+DK63+EK63                 -         SUMIF('Nährstoffe und Lagerraum'!$AX$113:$AX$155,$CZ63,'Nährstoffe und Lagerraum'!$U$113:$U$155)/12  -$GD63*$HE63/12</f>
        <v>0</v>
      </c>
      <c r="FM63" s="1184">
        <f>FL63+DL63+EL63                 -         SUMIF('Nährstoffe und Lagerraum'!$AX$113:$AX$155,$CZ63,'Nährstoffe und Lagerraum'!$U$113:$U$155)/12  -$GD63*$HE63/12</f>
        <v>0</v>
      </c>
      <c r="FN63" s="1184">
        <f>FM63+DM63+EM63                 -         SUMIF('Nährstoffe und Lagerraum'!$AX$113:$AX$155,$CZ63,'Nährstoffe und Lagerraum'!$U$113:$U$155)/12  -$GD63*$HE63/12</f>
        <v>0</v>
      </c>
      <c r="FO63" s="1184"/>
      <c r="FP63" s="1186">
        <f t="shared" si="52"/>
        <v>0</v>
      </c>
      <c r="FQ63" s="1184">
        <f>FP63+DO63+EO63                 -         SUMIF('Nährstoffe und Lagerraum'!$AX$113:$AX$155,$CZ63,'Nährstoffe und Lagerraum'!$V$113:$V$155)/12  -$GE63*$HE63/12</f>
        <v>0</v>
      </c>
      <c r="FR63" s="1184">
        <f>FQ63+DP63+EP63                 -         SUMIF('Nährstoffe und Lagerraum'!$AX$113:$AX$155,$CZ63,'Nährstoffe und Lagerraum'!$V$113:$V$155)/12  -$GE63*$HE63/12</f>
        <v>0</v>
      </c>
      <c r="FS63" s="1184">
        <f>FR63+DQ63+EQ63                 -         SUMIF('Nährstoffe und Lagerraum'!$AX$113:$AX$155,$CZ63,'Nährstoffe und Lagerraum'!$V$113:$V$155)/12  -$GE63*$HE63/12</f>
        <v>0</v>
      </c>
      <c r="FT63" s="1184">
        <f>FS63+DR63+ER63                 -         SUMIF('Nährstoffe und Lagerraum'!$AX$113:$AX$155,$CZ63,'Nährstoffe und Lagerraum'!$V$113:$V$155)/12  -$GE63*$HE63/12</f>
        <v>0</v>
      </c>
      <c r="FU63" s="1184">
        <f>FT63+DS63+ES63                 -         SUMIF('Nährstoffe und Lagerraum'!$AX$113:$AX$155,$CZ63,'Nährstoffe und Lagerraum'!$V$113:$V$155)/12  -$GE63*$HE63/12</f>
        <v>0</v>
      </c>
      <c r="FV63" s="1184">
        <f>FU63+DT63+ET63                 -         SUMIF('Nährstoffe und Lagerraum'!$AX$113:$AX$155,$CZ63,'Nährstoffe und Lagerraum'!$V$113:$V$155)/12  -$GE63*$HE63/12</f>
        <v>0</v>
      </c>
      <c r="FW63" s="1184">
        <f>FV63+DU63+EU63                 -         SUMIF('Nährstoffe und Lagerraum'!$AX$113:$AX$155,$CZ63,'Nährstoffe und Lagerraum'!$V$113:$V$155)/12  -$GE63*$HE63/12</f>
        <v>0</v>
      </c>
      <c r="FX63" s="1184">
        <f>FW63+DV63+EV63                 -         SUMIF('Nährstoffe und Lagerraum'!$AX$113:$AX$155,$CZ63,'Nährstoffe und Lagerraum'!$V$113:$V$155)/12  -$GE63*$HE63/12</f>
        <v>0</v>
      </c>
      <c r="FY63" s="1184">
        <f>FX63+DW63+EW63                 -         SUMIF('Nährstoffe und Lagerraum'!$AX$113:$AX$155,$CZ63,'Nährstoffe und Lagerraum'!$V$113:$V$155)/12  -$GE63*$HE63/12</f>
        <v>0</v>
      </c>
      <c r="FZ63" s="1184">
        <f>FY63+DX63+EX63                 -         SUMIF('Nährstoffe und Lagerraum'!$AX$113:$AX$155,$CZ63,'Nährstoffe und Lagerraum'!$V$113:$V$155)/12  -$GE63*$HE63/12</f>
        <v>0</v>
      </c>
      <c r="GA63" s="1184">
        <f>FZ63+DY63+EY63                 -         SUMIF('Nährstoffe und Lagerraum'!$AX$113:$AX$155,$CZ63,'Nährstoffe und Lagerraum'!$V$113:$V$155)/12  -$GE63*$HE63/12</f>
        <v>0</v>
      </c>
      <c r="GB63" s="1184">
        <f>GA63+DZ63+EZ63                 -         SUMIF('Nährstoffe und Lagerraum'!$AX$113:$AX$155,$CZ63,'Nährstoffe und Lagerraum'!$V$113:$V$155)/12  -$GE63*$HE63/12</f>
        <v>0</v>
      </c>
      <c r="GC63" s="1184"/>
      <c r="GD63" s="1184">
        <f>SUMIFS($CI$14:$CI$68,$BR$14:$BR$68,$CZ63)+SUMIFS($CM$14:$CM$68,$BR$14:$BR$68,$CZ63)+SUMIFS($CR$14:$CR$68,$BR$14:$BR$68,$CZ63)  -         SUMIF('Nährstoffe und Lagerraum'!$AX$113:$AX$155,$CZ63,'Nährstoffe und Lagerraum'!$U$113:$U$155)</f>
        <v>0</v>
      </c>
      <c r="GE63" s="1184">
        <f>SUMIFS($CJ$14:$CJ$68,$BR$14:$BR$68,$CZ63)+SUMIFS($CO$14:$CO$68,$BR$14:$BR$68,$CZ63)+SUMIFS($CT$14:$CT$68,$BR$14:$BR$68,$CZ63)  -         SUMIF('Nährstoffe und Lagerraum'!$AX$113:$AX$155,$CZ63,'Nährstoffe und Lagerraum'!$V$113:$V$155)</f>
        <v>0</v>
      </c>
      <c r="GF63" s="1184"/>
      <c r="GG63" s="1184"/>
      <c r="GH63" s="1184">
        <f>SUMIF('Nährstoffe und Lagerraum'!$AX$113:$AX$155,$CZ63,'Nährstoffe und Lagerraum'!$U$113:$U$155)</f>
        <v>0</v>
      </c>
      <c r="GI63" s="1184">
        <f>SUMIF('Nährstoffe und Lagerraum'!$AX$113:$AX$155,$CZ63,'Nährstoffe und Lagerraum'!$V$113:$V$155)</f>
        <v>0</v>
      </c>
      <c r="GJ63" s="1184">
        <f t="shared" si="53"/>
        <v>0</v>
      </c>
      <c r="GK63" s="1184">
        <f t="shared" si="54"/>
        <v>0</v>
      </c>
      <c r="GL63" s="1184">
        <f t="shared" si="55"/>
        <v>0</v>
      </c>
      <c r="GM63" s="1184">
        <f t="shared" si="56"/>
        <v>0</v>
      </c>
      <c r="GN63" s="1184">
        <f t="shared" si="57"/>
        <v>0</v>
      </c>
      <c r="GO63" s="1184" cm="1">
        <f t="array" ref="GO63">IF(GN63=0,0,(IFERROR(SUMPRODUCT($J$14:$J$68,$CH$14:$CH$68,($BR$14:$BR$68=CZ63)*1)+SUMPRODUCT($L$14:$L$68,$M$14:$M$68,$CK$14:$CK$68,($BR$14:$BR$68=CZ63)*1,($BT$14:$BT$68=FALSE)*1)/10+SUMPRODUCT($R$14:$R$68,$CP$14:$CP$68,($BR$14:$BR$68=CZ63)*1),0))/GN63)</f>
        <v>0</v>
      </c>
      <c r="GP63" s="1184">
        <f t="shared" si="58"/>
        <v>0</v>
      </c>
      <c r="GQ63" s="1184">
        <f>(SUMIF('Nährstoffe und Lagerraum'!$AX$113:$AX$130,'Lagerhaltung (freiwillig)'!CZ63,'Nährstoffe und Lagerraum'!$D$113:$D$130)+SUMIF('Nährstoffe und Lagerraum'!$AX$137:$AX$155,'Lagerhaltung (freiwillig)'!CZ63,'Nährstoffe und Lagerraum'!$E$137:$E$155))</f>
        <v>0</v>
      </c>
      <c r="GR63" s="1184" cm="1">
        <f t="array" ref="GR63">IF(GQ63=0,0,(IFERROR(SUMPRODUCT('Nährstoffe und Lagerraum'!$D$113:$D$130,'Nährstoffe und Lagerraum'!$F$113:$F$130,('Nährstoffe und Lagerraum'!$AX$113:$AX$130='Lagerhaltung (freiwillig)'!CZ63)*1)+SUMPRODUCT('Nährstoffe und Lagerraum'!$E$137:$E$155,'Nährstoffe und Lagerraum'!$F$137:$F$155,('Nährstoffe und Lagerraum'!$AX$137:$AX$155='Lagerhaltung (freiwillig)'!CZ63)*1),0))/GQ63)</f>
        <v>0</v>
      </c>
      <c r="GS63" s="1184">
        <f t="shared" si="59"/>
        <v>0</v>
      </c>
      <c r="GT63" s="1184">
        <f t="shared" si="60"/>
        <v>0</v>
      </c>
      <c r="GU63" s="1184">
        <f t="shared" si="61"/>
        <v>0</v>
      </c>
      <c r="GV63" s="1184">
        <f t="shared" si="62"/>
        <v>0</v>
      </c>
      <c r="GW63" s="1186" t="str">
        <f t="shared" si="41"/>
        <v xml:space="preserve"> </v>
      </c>
      <c r="GX63" s="1186" t="str">
        <f t="shared" si="41"/>
        <v xml:space="preserve"> </v>
      </c>
      <c r="GY63" s="1195">
        <f t="shared" si="63"/>
        <v>0</v>
      </c>
      <c r="GZ63" s="1184">
        <f t="shared" si="64"/>
        <v>0</v>
      </c>
      <c r="HA63" s="1184" t="str">
        <f t="shared" si="132"/>
        <v>a</v>
      </c>
      <c r="HB63" s="1196">
        <f t="shared" si="65"/>
        <v>0</v>
      </c>
      <c r="HC63" s="1196">
        <f t="shared" si="66"/>
        <v>0</v>
      </c>
      <c r="HD63" s="1196"/>
      <c r="HE63" s="1187">
        <f t="shared" si="67"/>
        <v>0</v>
      </c>
      <c r="HF63" s="1196">
        <f t="shared" si="68"/>
        <v>0</v>
      </c>
      <c r="HG63" s="1196">
        <f t="shared" si="69"/>
        <v>0</v>
      </c>
      <c r="HH63" s="1196">
        <f t="shared" si="70"/>
        <v>0</v>
      </c>
      <c r="HI63" s="1328" cm="1">
        <f t="array" ref="HI63">IF(AND(HG63=0,GL63=0),0,IF(HG63=0,1,IF(OR(GL63*1000/HG63/HH63&gt;INDEX(Pflanzen!$W$5:$W$104,CZ63)/INDEX(Pflanzen!$I$5:$I$104,CZ63)*$HI$1,GL63*1000/HG63/HH63&lt;INDEX(Pflanzen!$W$5:$W$104,CZ63)/INDEX(Pflanzen!$I$5:$I$104,CZ63)/$HI$1),1,0)))</f>
        <v>0</v>
      </c>
      <c r="HJ63" s="1328" cm="1">
        <f t="array" ref="HJ63">IF(AND(GM63=0,HG63=0),0,IF(HG63=0,1,IF(OR(GM63*1000/HG63/HH63&gt;INDEX(Pflanzen!$X$5:$X$104,CZ63)/INDEX(Pflanzen!$I$5:$I$104,CZ63)*$HI$1,GM63*1000/HG63/HH63&lt;INDEX(Pflanzen!$X$5:$X$104,CZ63)/INDEX(Pflanzen!$I$5:$I$104,CZ63)/$HI$1),1,0)))</f>
        <v>0</v>
      </c>
      <c r="HK63" s="1184">
        <f t="shared" si="71"/>
        <v>3</v>
      </c>
      <c r="HL63" s="1184"/>
      <c r="HN63" s="1184"/>
      <c r="HO63" s="1193" t="str">
        <f>Tiere!B89</f>
        <v>Flugenten</v>
      </c>
      <c r="HP63" s="1184">
        <v>60</v>
      </c>
      <c r="HQ63" s="1194">
        <f>SUMIF('Nährstoffe und Lagerraum'!$BM$68:$BM$87,'Lagerhaltung (freiwillig)'!HP63,'Nährstoffe und Lagerraum'!$Z$68:$Z$87)+SUMIF('Nährstoffe und Lagerraum'!$BM$68:$BM$87,'Lagerhaltung (freiwillig)'!HP63,'Nährstoffe und Lagerraum'!$AA$68:$AA$87)</f>
        <v>0</v>
      </c>
      <c r="HR63" s="1184" cm="1">
        <f t="array" ref="HR63">INDEX(Tiere!$C$30:$C$114,'Lagerhaltung (freiwillig)'!HP63)</f>
        <v>3</v>
      </c>
      <c r="HS63" s="1184" cm="1">
        <f t="array" ref="HS63">INDEX(Tiere!$H$30:$H$114,'Lagerhaltung (freiwillig)'!HP63)</f>
        <v>0</v>
      </c>
      <c r="HT63" s="1184">
        <f t="shared" si="12"/>
        <v>0</v>
      </c>
      <c r="HU63" s="1184" cm="1">
        <f t="array" ref="HU63">INDEX(Tiere!$I$30:$I$114,'Lagerhaltung (freiwillig)'!HP63)</f>
        <v>0</v>
      </c>
      <c r="HV63" s="1184">
        <f t="shared" si="13"/>
        <v>0</v>
      </c>
      <c r="HW63" s="1184" cm="1">
        <f t="array" ref="HW63">INDEX(Tiere!$BC$30:$BC$114,'Lagerhaltung (freiwillig)'!HP63)</f>
        <v>0.60000000000000009</v>
      </c>
      <c r="HX63" s="1184">
        <f t="shared" si="14"/>
        <v>0</v>
      </c>
      <c r="HY63" s="1184" cm="1">
        <f t="array" ref="HY63">INDEX(Tiere!$BD$30:$BD$114,'Lagerhaltung (freiwillig)'!HP63)</f>
        <v>0.22999999999999998</v>
      </c>
      <c r="HZ63" s="1184">
        <f t="shared" si="15"/>
        <v>0</v>
      </c>
      <c r="IA63" s="1184"/>
      <c r="IB63" s="1184"/>
      <c r="IC63" s="1184"/>
      <c r="ID63" s="1184"/>
      <c r="IE63" s="1184"/>
      <c r="IF63" s="1184"/>
      <c r="IG63" s="1184"/>
      <c r="IH63" s="1184"/>
      <c r="II63" s="1184"/>
      <c r="IJ63" s="1184"/>
      <c r="IK63" s="1184"/>
      <c r="IL63" s="1184"/>
    </row>
    <row r="64" spans="6:246" ht="15.6" customHeight="1" x14ac:dyDescent="0.2">
      <c r="F64" s="1122"/>
      <c r="G64" s="1498"/>
      <c r="H64" s="1336"/>
      <c r="I64" s="1165" t="str">
        <f t="shared" si="133"/>
        <v/>
      </c>
      <c r="J64" s="1303"/>
      <c r="K64" s="1165" t="str">
        <f t="shared" si="134"/>
        <v/>
      </c>
      <c r="L64" s="1487"/>
      <c r="M64" s="1491"/>
      <c r="N64" s="1487"/>
      <c r="O64" s="1487"/>
      <c r="P64" s="1303"/>
      <c r="Q64" s="1281" t="str">
        <f t="shared" si="135"/>
        <v/>
      </c>
      <c r="R64" s="1487"/>
      <c r="S64" s="1491"/>
      <c r="T64" s="1303"/>
      <c r="V64" s="1346" t="str">
        <f t="shared" si="156"/>
        <v/>
      </c>
      <c r="Y64" s="1554" t="str" cm="1">
        <f t="array" ref="Y64">IFERROR(INDEX($CY$4:$CY$165,AY64),"")</f>
        <v/>
      </c>
      <c r="Z64" s="1555"/>
      <c r="AA64" s="1555"/>
      <c r="AB64" s="1555"/>
      <c r="AC64" s="1454" t="str" cm="1">
        <f t="array" ref="AC64">IFERROR(INDEX($GN$4:$GN$165,AY64),"")</f>
        <v/>
      </c>
      <c r="AD64" s="1454" t="str" cm="1">
        <f t="array" ref="AD64">IFERROR(INDEX($GO$4:$GO$165,AY64),"")</f>
        <v/>
      </c>
      <c r="AE64" s="1454" t="str" cm="1">
        <f t="array" ref="AE64">IFERROR(INDEX($GJ$4:$GJ$165,AY64),"")</f>
        <v/>
      </c>
      <c r="AF64" s="1454" t="str" cm="1">
        <f t="array" ref="AF64">IFERROR(INDEX($GK$4:$GK$165,AY64),"")</f>
        <v/>
      </c>
      <c r="AG64" s="1454" t="str" cm="1">
        <f t="array" ref="AG64">IFERROR(INDEX($GQ$4:$GQ$165,AY64),"")</f>
        <v/>
      </c>
      <c r="AH64" s="1454" t="str" cm="1">
        <f t="array" ref="AH64">IFERROR(INDEX($GR$4:$GR$165,AY64),"")</f>
        <v/>
      </c>
      <c r="AI64" s="1454" t="str" cm="1">
        <f t="array" ref="AI64">IFERROR(INDEX($GH$4:$GH$165,AY64),"")</f>
        <v/>
      </c>
      <c r="AJ64" s="1454" t="str" cm="1">
        <f t="array" ref="AJ64">IFERROR(INDEX($GI$4:$GI$165,AY64),"")</f>
        <v/>
      </c>
      <c r="AK64" s="1454" t="str" cm="1">
        <f t="array" ref="AK64">IFERROR(INDEX($GU$4:$GU$165,AY64),"")</f>
        <v/>
      </c>
      <c r="AL64" s="1455" t="str" cm="1">
        <f t="array" ref="AL64">IFERROR(INDEX($GV$4:$GV$165,AY64),"")</f>
        <v/>
      </c>
      <c r="AM64" s="1454" t="str" cm="1">
        <f t="array" ref="AM64">IFERROR(INDEX($GD$4:$GD$165,AY64),"")</f>
        <v/>
      </c>
      <c r="AN64" s="1454" t="str" cm="1">
        <f t="array" ref="AN64">IFERROR(INDEX($GE$4:$GE$165,AY64),"")</f>
        <v/>
      </c>
      <c r="AO64" s="1454" t="str" cm="1">
        <f t="array" ref="AO64">IFERROR(INDEX($GW$4:$GW$165,AY64),"")</f>
        <v/>
      </c>
      <c r="AP64" s="1454" t="str" cm="1">
        <f t="array" ref="AP64">IFERROR(INDEX($GZ$4:$GZ$165,AY64),"")</f>
        <v/>
      </c>
      <c r="AQ64" s="1457"/>
      <c r="AR64" s="1454" t="str" cm="1">
        <f t="array" ref="AR64">IFERROR(INDEX($HF$4:$HF$165,AY64),"")</f>
        <v/>
      </c>
      <c r="AS64" s="1454" t="str" cm="1">
        <f t="array" ref="AS64">IFERROR(INDEX($HG$4:$HG$165,AY64),"")</f>
        <v/>
      </c>
      <c r="AT64" s="1454" t="str" cm="1">
        <f t="array" ref="AT64">IFERROR(INDEX($HH$4:$HH$165,AY64),"")</f>
        <v/>
      </c>
      <c r="AU64" s="1454" t="str" cm="1">
        <f t="array" ref="AU64">IFERROR(INDEX($GL$4:$GL$165,AY64),"")</f>
        <v/>
      </c>
      <c r="AV64" s="1454" t="str" cm="1">
        <f t="array" ref="AV64">IFERROR(INDEX($GM$4:$GM$165,AY64),"")</f>
        <v/>
      </c>
      <c r="AW64" s="1459"/>
      <c r="AX64" s="1459"/>
      <c r="AY64" s="1460" t="str" cm="1">
        <f t="array" ref="AY64">IFERROR(SMALL(IF($HK$4:$HK$165=1,ROW($HK$4:$HK$165)-3),ROW(W49)),IFERROR(SMALL(IF($HK$4:$HK$165=2,ROW($HK$4:$HK$165)-3),ROW(W49)-COUNTIF($HK$4:$HK$165,1)),IFERROR(SMALL(IF($HK$4:$HK$165=0,ROW($HK$4:$HK$165)-3),ROW(W49)-COUNTIF($HK$4:$HK$165,1)-COUNTIF($HK$4:$HK$165,2)),"")))</f>
        <v/>
      </c>
      <c r="AZ64" s="1460" t="str">
        <f t="shared" si="129"/>
        <v>a</v>
      </c>
      <c r="BA64" s="1461" t="e">
        <f t="shared" si="130"/>
        <v>#VALUE!</v>
      </c>
      <c r="BB64" s="1461" cm="1">
        <f t="array" ref="BB64">IFERROR(INDEX($HK$4:$HK$165,AY64),0)</f>
        <v>0</v>
      </c>
      <c r="BC64" s="1461">
        <f t="shared" si="131"/>
        <v>0</v>
      </c>
      <c r="BD64" s="1461"/>
      <c r="BE64" s="1462"/>
      <c r="BF64" s="1343"/>
      <c r="BG64" s="1343"/>
      <c r="BH64" s="1343"/>
      <c r="BI64" s="1343"/>
      <c r="BJ64" s="1343"/>
      <c r="BK64" s="1343"/>
      <c r="BL64" s="1343"/>
      <c r="BM64" s="1343"/>
      <c r="BN64" s="1343"/>
      <c r="BO64" s="1343"/>
      <c r="BQ64" s="1184">
        <v>1</v>
      </c>
      <c r="BR64" cm="1">
        <f t="array" ref="BR64">INDEX(Pflanzen!$B$5:$B$112,'Lagerhaltung (freiwillig)'!BQ64)</f>
        <v>1</v>
      </c>
      <c r="BS64" s="1184"/>
      <c r="BT64" s="1184" t="b">
        <v>0</v>
      </c>
      <c r="BU64" s="1185"/>
      <c r="BV64" s="1185"/>
      <c r="BW64" s="1184">
        <f t="shared" si="136"/>
        <v>12</v>
      </c>
      <c r="BX64" s="1184">
        <f t="shared" si="137"/>
        <v>0</v>
      </c>
      <c r="BY64" s="1184">
        <f t="shared" si="138"/>
        <v>12</v>
      </c>
      <c r="BZ64" s="1184" cm="1">
        <f t="array" ref="BZ64">INDEX(Pflanzen!$AB$5:$AB$114,'Lagerhaltung (freiwillig)'!BR64)</f>
        <v>0</v>
      </c>
      <c r="CA64" s="1184" cm="1">
        <f t="array" ref="CA64">IF(BZ64=1,INDEX(Pflanzen!$AC$5:$AC$114,BR64),N64)</f>
        <v>0</v>
      </c>
      <c r="CB64" s="1184" cm="1">
        <f t="array" ref="CB64">IF(BZ64=1,INDEX(Pflanzen!$AD$5:$AD$114,BR64),O64)</f>
        <v>0</v>
      </c>
      <c r="CC64" s="1184">
        <f t="shared" si="139"/>
        <v>12</v>
      </c>
      <c r="CD64" s="1184">
        <f t="shared" si="140"/>
        <v>0</v>
      </c>
      <c r="CE64" s="1184">
        <f t="shared" si="141"/>
        <v>12</v>
      </c>
      <c r="CF64" s="1184" cm="1">
        <f t="array" ref="CF64">INDEX(Pflanzen!$F$5:$F$114,BR64)</f>
        <v>0</v>
      </c>
      <c r="CG64" s="1184" cm="1">
        <f t="array" ref="CG64">INDEX(Pflanzen!$G$5:$G$114,BR64)</f>
        <v>0</v>
      </c>
      <c r="CH64" s="1184">
        <f t="shared" si="142"/>
        <v>0</v>
      </c>
      <c r="CI64" s="1184">
        <f t="shared" si="143"/>
        <v>0</v>
      </c>
      <c r="CJ64" s="1184">
        <f t="shared" si="144"/>
        <v>0</v>
      </c>
      <c r="CK64" s="1184">
        <f t="shared" si="145"/>
        <v>0</v>
      </c>
      <c r="CL64" s="1184">
        <f t="shared" si="146"/>
        <v>0</v>
      </c>
      <c r="CM64" s="1184">
        <f t="shared" si="147"/>
        <v>0</v>
      </c>
      <c r="CN64" s="1184">
        <f t="shared" si="148"/>
        <v>0</v>
      </c>
      <c r="CO64" s="1184">
        <f t="shared" si="149"/>
        <v>0</v>
      </c>
      <c r="CP64" s="1184">
        <f t="shared" si="150"/>
        <v>0</v>
      </c>
      <c r="CQ64" s="1184">
        <f t="shared" si="151"/>
        <v>0</v>
      </c>
      <c r="CR64" s="1184">
        <f t="shared" si="152"/>
        <v>0</v>
      </c>
      <c r="CS64" s="1184">
        <f t="shared" si="153"/>
        <v>0</v>
      </c>
      <c r="CT64" s="1184">
        <f t="shared" si="154"/>
        <v>0</v>
      </c>
      <c r="CU64" s="1184">
        <f t="shared" si="157"/>
        <v>2</v>
      </c>
      <c r="CV64" s="1186" cm="1">
        <f t="array" ref="CV64">IF(AND(COUNTIF($BR$14:$BR$36,BR64)&gt;0,BR64&lt;ROWS(Pflanzen!$C$5:$C$107)),INDEX(Pflanzen!$I$5:$I$114,BR64),SUMIF($BR$44:$BR$68,BR64,$F$44:$F$69)/COUNTIF($BR$44:$BR$68,BR64))</f>
        <v>0</v>
      </c>
      <c r="CW64" s="1186">
        <f t="shared" si="155"/>
        <v>0</v>
      </c>
      <c r="CX64" s="1184"/>
      <c r="CY64" s="320" t="str">
        <f>Pflanzen!A60</f>
        <v>Sorgumhirse</v>
      </c>
      <c r="CZ64" s="1200">
        <f>IFERROR(MATCH($CY64,Pflanzen!$C$5:$C$114,0),1)</f>
        <v>56</v>
      </c>
      <c r="DA64" s="320" cm="1">
        <f t="array" ref="DA64">INDEX(Pflanzen!$H$5:$H$114,'Lagerhaltung (freiwillig)'!CZ64)</f>
        <v>1</v>
      </c>
      <c r="DB64" s="1200">
        <f t="shared" si="162"/>
        <v>0</v>
      </c>
      <c r="DC64" s="1200">
        <f t="shared" si="162"/>
        <v>0</v>
      </c>
      <c r="DD64" s="1200">
        <f t="shared" si="162"/>
        <v>0</v>
      </c>
      <c r="DE64" s="1200">
        <f t="shared" si="162"/>
        <v>0</v>
      </c>
      <c r="DF64" s="1200">
        <f t="shared" si="162"/>
        <v>0</v>
      </c>
      <c r="DG64" s="1184">
        <f t="shared" si="162"/>
        <v>0</v>
      </c>
      <c r="DH64" s="1184">
        <f t="shared" si="162"/>
        <v>0</v>
      </c>
      <c r="DI64" s="1184">
        <f t="shared" si="162"/>
        <v>0</v>
      </c>
      <c r="DJ64" s="1184">
        <f t="shared" si="162"/>
        <v>0</v>
      </c>
      <c r="DK64" s="1184">
        <f t="shared" si="162"/>
        <v>0</v>
      </c>
      <c r="DL64" s="1184">
        <f t="shared" si="162"/>
        <v>0</v>
      </c>
      <c r="DM64" s="1184">
        <f t="shared" si="162"/>
        <v>0</v>
      </c>
      <c r="DN64" s="1184"/>
      <c r="DO64" s="1184">
        <f t="shared" si="163"/>
        <v>0</v>
      </c>
      <c r="DP64" s="1184">
        <f t="shared" si="163"/>
        <v>0</v>
      </c>
      <c r="DQ64" s="1184">
        <f t="shared" si="163"/>
        <v>0</v>
      </c>
      <c r="DR64" s="1184">
        <f t="shared" si="163"/>
        <v>0</v>
      </c>
      <c r="DS64" s="1184">
        <f t="shared" si="163"/>
        <v>0</v>
      </c>
      <c r="DT64" s="1184">
        <f t="shared" si="163"/>
        <v>0</v>
      </c>
      <c r="DU64" s="1184">
        <f t="shared" si="163"/>
        <v>0</v>
      </c>
      <c r="DV64" s="1184">
        <f t="shared" si="163"/>
        <v>0</v>
      </c>
      <c r="DW64" s="1184">
        <f t="shared" si="163"/>
        <v>0</v>
      </c>
      <c r="DX64" s="1184">
        <f t="shared" si="163"/>
        <v>0</v>
      </c>
      <c r="DY64" s="1184">
        <f t="shared" si="163"/>
        <v>0</v>
      </c>
      <c r="DZ64" s="1184">
        <f t="shared" si="163"/>
        <v>0</v>
      </c>
      <c r="EA64" s="1184"/>
      <c r="EB64" s="1184">
        <f t="shared" si="164"/>
        <v>0</v>
      </c>
      <c r="EC64" s="1184">
        <f t="shared" si="164"/>
        <v>0</v>
      </c>
      <c r="ED64" s="1184">
        <f t="shared" si="164"/>
        <v>0</v>
      </c>
      <c r="EE64" s="1184">
        <f t="shared" si="164"/>
        <v>0</v>
      </c>
      <c r="EF64" s="1184">
        <f t="shared" si="164"/>
        <v>0</v>
      </c>
      <c r="EG64" s="1184">
        <f t="shared" si="164"/>
        <v>0</v>
      </c>
      <c r="EH64" s="1184">
        <f t="shared" si="164"/>
        <v>0</v>
      </c>
      <c r="EI64" s="1184">
        <f t="shared" si="164"/>
        <v>0</v>
      </c>
      <c r="EJ64" s="1184">
        <f t="shared" si="164"/>
        <v>0</v>
      </c>
      <c r="EK64" s="1184">
        <f t="shared" si="164"/>
        <v>0</v>
      </c>
      <c r="EL64" s="1184">
        <f t="shared" si="164"/>
        <v>0</v>
      </c>
      <c r="EM64" s="1184">
        <f t="shared" si="164"/>
        <v>0</v>
      </c>
      <c r="EN64" s="1184"/>
      <c r="EO64" s="1184">
        <f t="shared" si="165"/>
        <v>0</v>
      </c>
      <c r="EP64" s="1184">
        <f t="shared" si="165"/>
        <v>0</v>
      </c>
      <c r="EQ64" s="1184">
        <f t="shared" si="165"/>
        <v>0</v>
      </c>
      <c r="ER64" s="1184">
        <f t="shared" si="165"/>
        <v>0</v>
      </c>
      <c r="ES64" s="1184">
        <f t="shared" si="165"/>
        <v>0</v>
      </c>
      <c r="ET64" s="1184">
        <f t="shared" si="165"/>
        <v>0</v>
      </c>
      <c r="EU64" s="1184">
        <f t="shared" si="165"/>
        <v>0</v>
      </c>
      <c r="EV64" s="1184">
        <f t="shared" si="165"/>
        <v>0</v>
      </c>
      <c r="EW64" s="1184">
        <f t="shared" si="165"/>
        <v>0</v>
      </c>
      <c r="EX64" s="1184">
        <f t="shared" si="165"/>
        <v>0</v>
      </c>
      <c r="EY64" s="1184">
        <f t="shared" si="165"/>
        <v>0</v>
      </c>
      <c r="EZ64" s="1184">
        <f t="shared" si="165"/>
        <v>0</v>
      </c>
      <c r="FA64" s="1184"/>
      <c r="FB64" s="1186">
        <f t="shared" si="51"/>
        <v>0</v>
      </c>
      <c r="FC64" s="1184">
        <f>FB64+DB64+EB64                 -         SUMIF('Nährstoffe und Lagerraum'!$AX$113:$AX$155,$CZ64,'Nährstoffe und Lagerraum'!$U$113:$U$155)/12  -$GD64*$HE64/12</f>
        <v>0</v>
      </c>
      <c r="FD64" s="1184">
        <f>FC64+DC64+EC64                 -         SUMIF('Nährstoffe und Lagerraum'!$AX$113:$AX$155,$CZ64,'Nährstoffe und Lagerraum'!$U$113:$U$155)/12  -$GD64*$HE64/12</f>
        <v>0</v>
      </c>
      <c r="FE64" s="1184">
        <f>FD64+DD64+ED64                 -         SUMIF('Nährstoffe und Lagerraum'!$AX$113:$AX$155,$CZ64,'Nährstoffe und Lagerraum'!$U$113:$U$155)/12  -$GD64*$HE64/12</f>
        <v>0</v>
      </c>
      <c r="FF64" s="1184">
        <f>FE64+DE64+EE64                 -         SUMIF('Nährstoffe und Lagerraum'!$AX$113:$AX$155,$CZ64,'Nährstoffe und Lagerraum'!$U$113:$U$155)/12  -$GD64*$HE64/12</f>
        <v>0</v>
      </c>
      <c r="FG64" s="1184">
        <f>FF64+DF64+EF64                 -         SUMIF('Nährstoffe und Lagerraum'!$AX$113:$AX$155,$CZ64,'Nährstoffe und Lagerraum'!$U$113:$U$155)/12  -$GD64*$HE64/12</f>
        <v>0</v>
      </c>
      <c r="FH64" s="1184">
        <f>FG64+DG64+EG64                 -         SUMIF('Nährstoffe und Lagerraum'!$AX$113:$AX$155,$CZ64,'Nährstoffe und Lagerraum'!$U$113:$U$155)/12  -$GD64*$HE64/12</f>
        <v>0</v>
      </c>
      <c r="FI64" s="1184">
        <f>FH64+DH64+EH64                 -         SUMIF('Nährstoffe und Lagerraum'!$AX$113:$AX$155,$CZ64,'Nährstoffe und Lagerraum'!$U$113:$U$155)/12  -$GD64*$HE64/12</f>
        <v>0</v>
      </c>
      <c r="FJ64" s="1184">
        <f>FI64+DI64+EI64                 -         SUMIF('Nährstoffe und Lagerraum'!$AX$113:$AX$155,$CZ64,'Nährstoffe und Lagerraum'!$U$113:$U$155)/12  -$GD64*$HE64/12</f>
        <v>0</v>
      </c>
      <c r="FK64" s="1184">
        <f>FJ64+DJ64+EJ64                 -         SUMIF('Nährstoffe und Lagerraum'!$AX$113:$AX$155,$CZ64,'Nährstoffe und Lagerraum'!$U$113:$U$155)/12  -$GD64*$HE64/12</f>
        <v>0</v>
      </c>
      <c r="FL64" s="1184">
        <f>FK64+DK64+EK64                 -         SUMIF('Nährstoffe und Lagerraum'!$AX$113:$AX$155,$CZ64,'Nährstoffe und Lagerraum'!$U$113:$U$155)/12  -$GD64*$HE64/12</f>
        <v>0</v>
      </c>
      <c r="FM64" s="1184">
        <f>FL64+DL64+EL64                 -         SUMIF('Nährstoffe und Lagerraum'!$AX$113:$AX$155,$CZ64,'Nährstoffe und Lagerraum'!$U$113:$U$155)/12  -$GD64*$HE64/12</f>
        <v>0</v>
      </c>
      <c r="FN64" s="1184">
        <f>FM64+DM64+EM64                 -         SUMIF('Nährstoffe und Lagerraum'!$AX$113:$AX$155,$CZ64,'Nährstoffe und Lagerraum'!$U$113:$U$155)/12  -$GD64*$HE64/12</f>
        <v>0</v>
      </c>
      <c r="FO64" s="1184"/>
      <c r="FP64" s="1186">
        <f t="shared" si="52"/>
        <v>0</v>
      </c>
      <c r="FQ64" s="1184">
        <f>FP64+DO64+EO64                 -         SUMIF('Nährstoffe und Lagerraum'!$AX$113:$AX$155,$CZ64,'Nährstoffe und Lagerraum'!$V$113:$V$155)/12  -$GE64*$HE64/12</f>
        <v>0</v>
      </c>
      <c r="FR64" s="1184">
        <f>FQ64+DP64+EP64                 -         SUMIF('Nährstoffe und Lagerraum'!$AX$113:$AX$155,$CZ64,'Nährstoffe und Lagerraum'!$V$113:$V$155)/12  -$GE64*$HE64/12</f>
        <v>0</v>
      </c>
      <c r="FS64" s="1184">
        <f>FR64+DQ64+EQ64                 -         SUMIF('Nährstoffe und Lagerraum'!$AX$113:$AX$155,$CZ64,'Nährstoffe und Lagerraum'!$V$113:$V$155)/12  -$GE64*$HE64/12</f>
        <v>0</v>
      </c>
      <c r="FT64" s="1184">
        <f>FS64+DR64+ER64                 -         SUMIF('Nährstoffe und Lagerraum'!$AX$113:$AX$155,$CZ64,'Nährstoffe und Lagerraum'!$V$113:$V$155)/12  -$GE64*$HE64/12</f>
        <v>0</v>
      </c>
      <c r="FU64" s="1184">
        <f>FT64+DS64+ES64                 -         SUMIF('Nährstoffe und Lagerraum'!$AX$113:$AX$155,$CZ64,'Nährstoffe und Lagerraum'!$V$113:$V$155)/12  -$GE64*$HE64/12</f>
        <v>0</v>
      </c>
      <c r="FV64" s="1184">
        <f>FU64+DT64+ET64                 -         SUMIF('Nährstoffe und Lagerraum'!$AX$113:$AX$155,$CZ64,'Nährstoffe und Lagerraum'!$V$113:$V$155)/12  -$GE64*$HE64/12</f>
        <v>0</v>
      </c>
      <c r="FW64" s="1184">
        <f>FV64+DU64+EU64                 -         SUMIF('Nährstoffe und Lagerraum'!$AX$113:$AX$155,$CZ64,'Nährstoffe und Lagerraum'!$V$113:$V$155)/12  -$GE64*$HE64/12</f>
        <v>0</v>
      </c>
      <c r="FX64" s="1184">
        <f>FW64+DV64+EV64                 -         SUMIF('Nährstoffe und Lagerraum'!$AX$113:$AX$155,$CZ64,'Nährstoffe und Lagerraum'!$V$113:$V$155)/12  -$GE64*$HE64/12</f>
        <v>0</v>
      </c>
      <c r="FY64" s="1184">
        <f>FX64+DW64+EW64                 -         SUMIF('Nährstoffe und Lagerraum'!$AX$113:$AX$155,$CZ64,'Nährstoffe und Lagerraum'!$V$113:$V$155)/12  -$GE64*$HE64/12</f>
        <v>0</v>
      </c>
      <c r="FZ64" s="1184">
        <f>FY64+DX64+EX64                 -         SUMIF('Nährstoffe und Lagerraum'!$AX$113:$AX$155,$CZ64,'Nährstoffe und Lagerraum'!$V$113:$V$155)/12  -$GE64*$HE64/12</f>
        <v>0</v>
      </c>
      <c r="GA64" s="1184">
        <f>FZ64+DY64+EY64                 -         SUMIF('Nährstoffe und Lagerraum'!$AX$113:$AX$155,$CZ64,'Nährstoffe und Lagerraum'!$V$113:$V$155)/12  -$GE64*$HE64/12</f>
        <v>0</v>
      </c>
      <c r="GB64" s="1184">
        <f>GA64+DZ64+EZ64                 -         SUMIF('Nährstoffe und Lagerraum'!$AX$113:$AX$155,$CZ64,'Nährstoffe und Lagerraum'!$V$113:$V$155)/12  -$GE64*$HE64/12</f>
        <v>0</v>
      </c>
      <c r="GC64" s="1184"/>
      <c r="GD64" s="1184">
        <f>SUMIFS($CI$14:$CI$68,$BR$14:$BR$68,$CZ64)+SUMIFS($CM$14:$CM$68,$BR$14:$BR$68,$CZ64)+SUMIFS($CR$14:$CR$68,$BR$14:$BR$68,$CZ64)  -         SUMIF('Nährstoffe und Lagerraum'!$AX$113:$AX$155,$CZ64,'Nährstoffe und Lagerraum'!$U$113:$U$155)</f>
        <v>0</v>
      </c>
      <c r="GE64" s="1184">
        <f>SUMIFS($CJ$14:$CJ$68,$BR$14:$BR$68,$CZ64)+SUMIFS($CO$14:$CO$68,$BR$14:$BR$68,$CZ64)+SUMIFS($CT$14:$CT$68,$BR$14:$BR$68,$CZ64)  -         SUMIF('Nährstoffe und Lagerraum'!$AX$113:$AX$155,$CZ64,'Nährstoffe und Lagerraum'!$V$113:$V$155)</f>
        <v>0</v>
      </c>
      <c r="GF64" s="1184"/>
      <c r="GG64" s="1184"/>
      <c r="GH64" s="1184">
        <f>SUMIF('Nährstoffe und Lagerraum'!$AX$113:$AX$155,$CZ64,'Nährstoffe und Lagerraum'!$U$113:$U$155)</f>
        <v>0</v>
      </c>
      <c r="GI64" s="1184">
        <f>SUMIF('Nährstoffe und Lagerraum'!$AX$113:$AX$155,$CZ64,'Nährstoffe und Lagerraum'!$V$113:$V$155)</f>
        <v>0</v>
      </c>
      <c r="GJ64" s="1184">
        <f t="shared" si="53"/>
        <v>0</v>
      </c>
      <c r="GK64" s="1184">
        <f t="shared" si="54"/>
        <v>0</v>
      </c>
      <c r="GL64" s="1184">
        <f t="shared" si="55"/>
        <v>0</v>
      </c>
      <c r="GM64" s="1184">
        <f t="shared" si="56"/>
        <v>0</v>
      </c>
      <c r="GN64" s="1184">
        <f t="shared" si="57"/>
        <v>0</v>
      </c>
      <c r="GO64" s="1184" cm="1">
        <f t="array" ref="GO64">IF(GN64=0,0,(IFERROR(SUMPRODUCT($J$14:$J$68,$CH$14:$CH$68,($BR$14:$BR$68=CZ64)*1)+SUMPRODUCT($L$14:$L$68,$M$14:$M$68,$CK$14:$CK$68,($BR$14:$BR$68=CZ64)*1,($BT$14:$BT$68=FALSE)*1)/10+SUMPRODUCT($R$14:$R$68,$CP$14:$CP$68,($BR$14:$BR$68=CZ64)*1),0))/GN64)</f>
        <v>0</v>
      </c>
      <c r="GP64" s="1184">
        <f t="shared" si="58"/>
        <v>0</v>
      </c>
      <c r="GQ64" s="1184">
        <f>(SUMIF('Nährstoffe und Lagerraum'!$AX$113:$AX$130,'Lagerhaltung (freiwillig)'!CZ64,'Nährstoffe und Lagerraum'!$D$113:$D$130)+SUMIF('Nährstoffe und Lagerraum'!$AX$137:$AX$155,'Lagerhaltung (freiwillig)'!CZ64,'Nährstoffe und Lagerraum'!$E$137:$E$155))</f>
        <v>0</v>
      </c>
      <c r="GR64" s="1184" cm="1">
        <f t="array" ref="GR64">IF(GQ64=0,0,(IFERROR(SUMPRODUCT('Nährstoffe und Lagerraum'!$D$113:$D$130,'Nährstoffe und Lagerraum'!$F$113:$F$130,('Nährstoffe und Lagerraum'!$AX$113:$AX$130='Lagerhaltung (freiwillig)'!CZ64)*1)+SUMPRODUCT('Nährstoffe und Lagerraum'!$E$137:$E$155,'Nährstoffe und Lagerraum'!$F$137:$F$155,('Nährstoffe und Lagerraum'!$AX$137:$AX$155='Lagerhaltung (freiwillig)'!CZ64)*1),0))/GQ64)</f>
        <v>0</v>
      </c>
      <c r="GS64" s="1184">
        <f t="shared" si="59"/>
        <v>0</v>
      </c>
      <c r="GT64" s="1184">
        <f t="shared" si="60"/>
        <v>0</v>
      </c>
      <c r="GU64" s="1184">
        <f t="shared" si="61"/>
        <v>0</v>
      </c>
      <c r="GV64" s="1184">
        <f t="shared" si="62"/>
        <v>0</v>
      </c>
      <c r="GW64" s="1186" t="str">
        <f t="shared" si="41"/>
        <v xml:space="preserve"> </v>
      </c>
      <c r="GX64" s="1186" t="str">
        <f t="shared" si="41"/>
        <v xml:space="preserve"> </v>
      </c>
      <c r="GY64" s="1195">
        <f t="shared" si="63"/>
        <v>0</v>
      </c>
      <c r="GZ64" s="1184">
        <f t="shared" si="64"/>
        <v>0</v>
      </c>
      <c r="HA64" s="1184" t="str">
        <f t="shared" si="132"/>
        <v>a</v>
      </c>
      <c r="HB64" s="1196">
        <f t="shared" si="65"/>
        <v>0</v>
      </c>
      <c r="HC64" s="1196">
        <f t="shared" si="66"/>
        <v>0</v>
      </c>
      <c r="HD64" s="1196"/>
      <c r="HE64" s="1187">
        <f t="shared" si="67"/>
        <v>0</v>
      </c>
      <c r="HF64" s="1196">
        <f t="shared" si="68"/>
        <v>0</v>
      </c>
      <c r="HG64" s="1196">
        <f t="shared" si="69"/>
        <v>0</v>
      </c>
      <c r="HH64" s="1196">
        <f t="shared" si="70"/>
        <v>0</v>
      </c>
      <c r="HI64" s="1328" cm="1">
        <f t="array" ref="HI64">IF(AND(HG64=0,GL64=0),0,IF(HG64=0,1,IF(OR(GL64*1000/HG64/HH64&gt;INDEX(Pflanzen!$W$5:$W$104,CZ64)/INDEX(Pflanzen!$I$5:$I$104,CZ64)*$HI$1,GL64*1000/HG64/HH64&lt;INDEX(Pflanzen!$W$5:$W$104,CZ64)/INDEX(Pflanzen!$I$5:$I$104,CZ64)/$HI$1),1,0)))</f>
        <v>0</v>
      </c>
      <c r="HJ64" s="1328" cm="1">
        <f t="array" ref="HJ64">IF(AND(GM64=0,HG64=0),0,IF(HG64=0,1,IF(OR(GM64*1000/HG64/HH64&gt;INDEX(Pflanzen!$X$5:$X$104,CZ64)/INDEX(Pflanzen!$I$5:$I$104,CZ64)*$HI$1,GM64*1000/HG64/HH64&lt;INDEX(Pflanzen!$X$5:$X$104,CZ64)/INDEX(Pflanzen!$I$5:$I$104,CZ64)/$HI$1),1,0)))</f>
        <v>0</v>
      </c>
      <c r="HK64" s="1184">
        <f t="shared" si="71"/>
        <v>3</v>
      </c>
      <c r="HL64" s="1184"/>
      <c r="HN64" s="1184"/>
      <c r="HO64" s="1193" t="str">
        <f>Tiere!B90</f>
        <v>+++Sonstige+++</v>
      </c>
      <c r="HP64" s="1184">
        <v>61</v>
      </c>
      <c r="HQ64" s="1194">
        <f>SUMIF('Nährstoffe und Lagerraum'!$BM$68:$BM$87,'Lagerhaltung (freiwillig)'!HP64,'Nährstoffe und Lagerraum'!$Z$68:$Z$87)+SUMIF('Nährstoffe und Lagerraum'!$BM$68:$BM$87,'Lagerhaltung (freiwillig)'!HP64,'Nährstoffe und Lagerraum'!$AA$68:$AA$87)</f>
        <v>0</v>
      </c>
      <c r="HR64" s="1184" cm="1">
        <f t="array" ref="HR64">INDEX(Tiere!$C$30:$C$114,'Lagerhaltung (freiwillig)'!HP64)</f>
        <v>0</v>
      </c>
      <c r="HS64" s="1184" cm="1">
        <f t="array" ref="HS64">INDEX(Tiere!$H$30:$H$114,'Lagerhaltung (freiwillig)'!HP64)</f>
        <v>0</v>
      </c>
      <c r="HT64" s="1184">
        <f t="shared" si="12"/>
        <v>0</v>
      </c>
      <c r="HU64" s="1184" cm="1">
        <f t="array" ref="HU64">INDEX(Tiere!$I$30:$I$114,'Lagerhaltung (freiwillig)'!HP64)</f>
        <v>0</v>
      </c>
      <c r="HV64" s="1184">
        <f t="shared" si="13"/>
        <v>0</v>
      </c>
      <c r="HW64" s="1184" cm="1">
        <f t="array" ref="HW64">INDEX(Tiere!$BC$30:$BC$114,'Lagerhaltung (freiwillig)'!HP64)</f>
        <v>0</v>
      </c>
      <c r="HX64" s="1184">
        <f t="shared" si="14"/>
        <v>0</v>
      </c>
      <c r="HY64" s="1184" cm="1">
        <f t="array" ref="HY64">INDEX(Tiere!$BD$30:$BD$114,'Lagerhaltung (freiwillig)'!HP64)</f>
        <v>0</v>
      </c>
      <c r="HZ64" s="1184">
        <f t="shared" si="15"/>
        <v>0</v>
      </c>
      <c r="IA64" s="1184"/>
      <c r="IB64" s="1184"/>
      <c r="IC64" s="1184"/>
      <c r="ID64" s="1184"/>
      <c r="IE64" s="1184"/>
      <c r="IF64" s="1184"/>
      <c r="IG64" s="1184"/>
      <c r="IH64" s="1184"/>
      <c r="II64" s="1184"/>
      <c r="IJ64" s="1184"/>
      <c r="IK64" s="1184"/>
      <c r="IL64" s="1184"/>
    </row>
    <row r="65" spans="1:246" ht="15.6" customHeight="1" x14ac:dyDescent="0.2">
      <c r="F65" s="1122"/>
      <c r="G65" s="1498"/>
      <c r="H65" s="1336"/>
      <c r="I65" s="1165" t="str">
        <f t="shared" si="133"/>
        <v/>
      </c>
      <c r="J65" s="1303"/>
      <c r="K65" s="1165" t="str">
        <f t="shared" si="134"/>
        <v/>
      </c>
      <c r="L65" s="1487"/>
      <c r="M65" s="1491"/>
      <c r="N65" s="1487"/>
      <c r="O65" s="1487"/>
      <c r="P65" s="1303"/>
      <c r="Q65" s="1281" t="str">
        <f t="shared" si="135"/>
        <v/>
      </c>
      <c r="R65" s="1487"/>
      <c r="S65" s="1491"/>
      <c r="T65" s="1303"/>
      <c r="V65" s="1346" t="str">
        <f t="shared" si="156"/>
        <v/>
      </c>
      <c r="Y65" s="1554" t="str" cm="1">
        <f t="array" ref="Y65">IFERROR(INDEX($CY$4:$CY$165,AY65),"")</f>
        <v/>
      </c>
      <c r="Z65" s="1555"/>
      <c r="AA65" s="1555"/>
      <c r="AB65" s="1555"/>
      <c r="AC65" s="1454" t="str" cm="1">
        <f t="array" ref="AC65">IFERROR(INDEX($GN$4:$GN$165,AY65),"")</f>
        <v/>
      </c>
      <c r="AD65" s="1454" t="str" cm="1">
        <f t="array" ref="AD65">IFERROR(INDEX($GO$4:$GO$165,AY65),"")</f>
        <v/>
      </c>
      <c r="AE65" s="1454" t="str" cm="1">
        <f t="array" ref="AE65">IFERROR(INDEX($GJ$4:$GJ$165,AY65),"")</f>
        <v/>
      </c>
      <c r="AF65" s="1454" t="str" cm="1">
        <f t="array" ref="AF65">IFERROR(INDEX($GK$4:$GK$165,AY65),"")</f>
        <v/>
      </c>
      <c r="AG65" s="1454" t="str" cm="1">
        <f t="array" ref="AG65">IFERROR(INDEX($GQ$4:$GQ$165,AY65),"")</f>
        <v/>
      </c>
      <c r="AH65" s="1454" t="str" cm="1">
        <f t="array" ref="AH65">IFERROR(INDEX($GR$4:$GR$165,AY65),"")</f>
        <v/>
      </c>
      <c r="AI65" s="1454" t="str" cm="1">
        <f t="array" ref="AI65">IFERROR(INDEX($GH$4:$GH$165,AY65),"")</f>
        <v/>
      </c>
      <c r="AJ65" s="1454" t="str" cm="1">
        <f t="array" ref="AJ65">IFERROR(INDEX($GI$4:$GI$165,AY65),"")</f>
        <v/>
      </c>
      <c r="AK65" s="1454" t="str" cm="1">
        <f t="array" ref="AK65">IFERROR(INDEX($GU$4:$GU$165,AY65),"")</f>
        <v/>
      </c>
      <c r="AL65" s="1455" t="str" cm="1">
        <f t="array" ref="AL65">IFERROR(INDEX($GV$4:$GV$165,AY65),"")</f>
        <v/>
      </c>
      <c r="AM65" s="1454" t="str" cm="1">
        <f t="array" ref="AM65">IFERROR(INDEX($GD$4:$GD$165,AY65),"")</f>
        <v/>
      </c>
      <c r="AN65" s="1454" t="str" cm="1">
        <f t="array" ref="AN65">IFERROR(INDEX($GE$4:$GE$165,AY65),"")</f>
        <v/>
      </c>
      <c r="AO65" s="1454" t="str" cm="1">
        <f t="array" ref="AO65">IFERROR(INDEX($GW$4:$GW$165,AY65),"")</f>
        <v/>
      </c>
      <c r="AP65" s="1454" t="str" cm="1">
        <f t="array" ref="AP65">IFERROR(INDEX($GZ$4:$GZ$165,AY65),"")</f>
        <v/>
      </c>
      <c r="AQ65" s="1457"/>
      <c r="AR65" s="1454" t="str" cm="1">
        <f t="array" ref="AR65">IFERROR(INDEX($HF$4:$HF$165,AY65),"")</f>
        <v/>
      </c>
      <c r="AS65" s="1454" t="str" cm="1">
        <f t="array" ref="AS65">IFERROR(INDEX($HG$4:$HG$165,AY65),"")</f>
        <v/>
      </c>
      <c r="AT65" s="1454" t="str" cm="1">
        <f t="array" ref="AT65">IFERROR(INDEX($HH$4:$HH$165,AY65),"")</f>
        <v/>
      </c>
      <c r="AU65" s="1454" t="str" cm="1">
        <f t="array" ref="AU65">IFERROR(INDEX($GL$4:$GL$165,AY65),"")</f>
        <v/>
      </c>
      <c r="AV65" s="1454" t="str" cm="1">
        <f t="array" ref="AV65">IFERROR(INDEX($GM$4:$GM$165,AY65),"")</f>
        <v/>
      </c>
      <c r="AW65" s="1459"/>
      <c r="AX65" s="1459"/>
      <c r="AY65" s="1460" t="str" cm="1">
        <f t="array" ref="AY65">IFERROR(SMALL(IF($HK$4:$HK$165=1,ROW($HK$4:$HK$165)-3),ROW(W50)),IFERROR(SMALL(IF($HK$4:$HK$165=2,ROW($HK$4:$HK$165)-3),ROW(W50)-COUNTIF($HK$4:$HK$165,1)),IFERROR(SMALL(IF($HK$4:$HK$165=0,ROW($HK$4:$HK$165)-3),ROW(W50)-COUNTIF($HK$4:$HK$165,1)-COUNTIF($HK$4:$HK$165,2)),"")))</f>
        <v/>
      </c>
      <c r="AZ65" s="1460" t="str">
        <f t="shared" si="129"/>
        <v>a</v>
      </c>
      <c r="BA65" s="1461" t="e">
        <f t="shared" si="130"/>
        <v>#VALUE!</v>
      </c>
      <c r="BB65" s="1461" cm="1">
        <f t="array" ref="BB65">IFERROR(INDEX($HK$4:$HK$165,AY65),0)</f>
        <v>0</v>
      </c>
      <c r="BC65" s="1461">
        <f t="shared" si="131"/>
        <v>0</v>
      </c>
      <c r="BD65" s="1461"/>
      <c r="BE65" s="1462"/>
      <c r="BF65" s="1343"/>
      <c r="BG65" s="1343"/>
      <c r="BH65" s="1343"/>
      <c r="BI65" s="1343"/>
      <c r="BJ65" s="1343"/>
      <c r="BK65" s="1343"/>
      <c r="BL65" s="1343"/>
      <c r="BM65" s="1343"/>
      <c r="BN65" s="1343"/>
      <c r="BO65" s="1343"/>
      <c r="BQ65" s="1184">
        <v>1</v>
      </c>
      <c r="BR65" cm="1">
        <f t="array" ref="BR65">INDEX(Pflanzen!$B$5:$B$112,'Lagerhaltung (freiwillig)'!BQ65)</f>
        <v>1</v>
      </c>
      <c r="BS65" s="1184"/>
      <c r="BT65" s="1184" t="b">
        <v>0</v>
      </c>
      <c r="BU65" s="1185"/>
      <c r="BV65" s="1185"/>
      <c r="BW65" s="1184">
        <f t="shared" si="136"/>
        <v>12</v>
      </c>
      <c r="BX65" s="1184">
        <f t="shared" si="137"/>
        <v>0</v>
      </c>
      <c r="BY65" s="1184">
        <f t="shared" si="138"/>
        <v>12</v>
      </c>
      <c r="BZ65" s="1184" cm="1">
        <f t="array" ref="BZ65">INDEX(Pflanzen!$AB$5:$AB$114,'Lagerhaltung (freiwillig)'!BR65)</f>
        <v>0</v>
      </c>
      <c r="CA65" s="1184" cm="1">
        <f t="array" ref="CA65">IF(BZ65=1,INDEX(Pflanzen!$AC$5:$AC$114,BR65),N65)</f>
        <v>0</v>
      </c>
      <c r="CB65" s="1184" cm="1">
        <f t="array" ref="CB65">IF(BZ65=1,INDEX(Pflanzen!$AD$5:$AD$114,BR65),O65)</f>
        <v>0</v>
      </c>
      <c r="CC65" s="1184">
        <f t="shared" si="139"/>
        <v>12</v>
      </c>
      <c r="CD65" s="1184">
        <f t="shared" si="140"/>
        <v>0</v>
      </c>
      <c r="CE65" s="1184">
        <f t="shared" si="141"/>
        <v>12</v>
      </c>
      <c r="CF65" s="1184" cm="1">
        <f t="array" ref="CF65">INDEX(Pflanzen!$F$5:$F$114,BR65)</f>
        <v>0</v>
      </c>
      <c r="CG65" s="1184" cm="1">
        <f t="array" ref="CG65">INDEX(Pflanzen!$G$5:$G$114,BR65)</f>
        <v>0</v>
      </c>
      <c r="CH65" s="1184">
        <f t="shared" si="142"/>
        <v>0</v>
      </c>
      <c r="CI65" s="1184">
        <f t="shared" si="143"/>
        <v>0</v>
      </c>
      <c r="CJ65" s="1184">
        <f t="shared" si="144"/>
        <v>0</v>
      </c>
      <c r="CK65" s="1184">
        <f t="shared" si="145"/>
        <v>0</v>
      </c>
      <c r="CL65" s="1184">
        <f t="shared" si="146"/>
        <v>0</v>
      </c>
      <c r="CM65" s="1184">
        <f t="shared" si="147"/>
        <v>0</v>
      </c>
      <c r="CN65" s="1184">
        <f t="shared" si="148"/>
        <v>0</v>
      </c>
      <c r="CO65" s="1184">
        <f t="shared" si="149"/>
        <v>0</v>
      </c>
      <c r="CP65" s="1184">
        <f t="shared" si="150"/>
        <v>0</v>
      </c>
      <c r="CQ65" s="1184">
        <f t="shared" si="151"/>
        <v>0</v>
      </c>
      <c r="CR65" s="1184">
        <f t="shared" si="152"/>
        <v>0</v>
      </c>
      <c r="CS65" s="1184">
        <f t="shared" si="153"/>
        <v>0</v>
      </c>
      <c r="CT65" s="1184">
        <f t="shared" si="154"/>
        <v>0</v>
      </c>
      <c r="CU65" s="1184">
        <f t="shared" si="157"/>
        <v>2</v>
      </c>
      <c r="CV65" s="1186" cm="1">
        <f t="array" ref="CV65">IF(AND(COUNTIF($BR$14:$BR$36,BR65)&gt;0,BR65&lt;ROWS(Pflanzen!$C$5:$C$107)),INDEX(Pflanzen!$I$5:$I$114,BR65),SUMIF($BR$44:$BR$68,BR65,$F$44:$F$69)/COUNTIF($BR$44:$BR$68,BR65))</f>
        <v>0</v>
      </c>
      <c r="CW65" s="1186">
        <f t="shared" si="155"/>
        <v>0</v>
      </c>
      <c r="CX65" s="1184"/>
      <c r="CY65" s="320" t="str">
        <f>Pflanzen!A61</f>
        <v>Riesenweizengras (Szarvasi)</v>
      </c>
      <c r="CZ65" s="1200">
        <f>IFERROR(MATCH($CY65,Pflanzen!$C$5:$C$114,0),1)</f>
        <v>57</v>
      </c>
      <c r="DA65" s="320" cm="1">
        <f t="array" ref="DA65">INDEX(Pflanzen!$H$5:$H$114,'Lagerhaltung (freiwillig)'!CZ65)</f>
        <v>1</v>
      </c>
      <c r="DB65" s="1200">
        <f t="shared" si="162"/>
        <v>0</v>
      </c>
      <c r="DC65" s="1200">
        <f t="shared" si="162"/>
        <v>0</v>
      </c>
      <c r="DD65" s="1200">
        <f t="shared" si="162"/>
        <v>0</v>
      </c>
      <c r="DE65" s="1200">
        <f t="shared" si="162"/>
        <v>0</v>
      </c>
      <c r="DF65" s="1200">
        <f t="shared" si="162"/>
        <v>0</v>
      </c>
      <c r="DG65" s="1184">
        <f t="shared" si="162"/>
        <v>0</v>
      </c>
      <c r="DH65" s="1184">
        <f t="shared" si="162"/>
        <v>0</v>
      </c>
      <c r="DI65" s="1184">
        <f t="shared" si="162"/>
        <v>0</v>
      </c>
      <c r="DJ65" s="1184">
        <f t="shared" si="162"/>
        <v>0</v>
      </c>
      <c r="DK65" s="1184">
        <f t="shared" si="162"/>
        <v>0</v>
      </c>
      <c r="DL65" s="1184">
        <f t="shared" si="162"/>
        <v>0</v>
      </c>
      <c r="DM65" s="1184">
        <f t="shared" si="162"/>
        <v>0</v>
      </c>
      <c r="DN65" s="1184"/>
      <c r="DO65" s="1184">
        <f t="shared" si="163"/>
        <v>0</v>
      </c>
      <c r="DP65" s="1184">
        <f t="shared" si="163"/>
        <v>0</v>
      </c>
      <c r="DQ65" s="1184">
        <f t="shared" si="163"/>
        <v>0</v>
      </c>
      <c r="DR65" s="1184">
        <f t="shared" si="163"/>
        <v>0</v>
      </c>
      <c r="DS65" s="1184">
        <f t="shared" si="163"/>
        <v>0</v>
      </c>
      <c r="DT65" s="1184">
        <f t="shared" si="163"/>
        <v>0</v>
      </c>
      <c r="DU65" s="1184">
        <f t="shared" si="163"/>
        <v>0</v>
      </c>
      <c r="DV65" s="1184">
        <f t="shared" si="163"/>
        <v>0</v>
      </c>
      <c r="DW65" s="1184">
        <f t="shared" si="163"/>
        <v>0</v>
      </c>
      <c r="DX65" s="1184">
        <f t="shared" si="163"/>
        <v>0</v>
      </c>
      <c r="DY65" s="1184">
        <f t="shared" si="163"/>
        <v>0</v>
      </c>
      <c r="DZ65" s="1184">
        <f t="shared" si="163"/>
        <v>0</v>
      </c>
      <c r="EA65" s="1184"/>
      <c r="EB65" s="1184">
        <f t="shared" si="164"/>
        <v>0</v>
      </c>
      <c r="EC65" s="1184">
        <f t="shared" si="164"/>
        <v>0</v>
      </c>
      <c r="ED65" s="1184">
        <f t="shared" si="164"/>
        <v>0</v>
      </c>
      <c r="EE65" s="1184">
        <f t="shared" si="164"/>
        <v>0</v>
      </c>
      <c r="EF65" s="1184">
        <f t="shared" si="164"/>
        <v>0</v>
      </c>
      <c r="EG65" s="1184">
        <f t="shared" si="164"/>
        <v>0</v>
      </c>
      <c r="EH65" s="1184">
        <f t="shared" si="164"/>
        <v>0</v>
      </c>
      <c r="EI65" s="1184">
        <f t="shared" si="164"/>
        <v>0</v>
      </c>
      <c r="EJ65" s="1184">
        <f t="shared" si="164"/>
        <v>0</v>
      </c>
      <c r="EK65" s="1184">
        <f t="shared" si="164"/>
        <v>0</v>
      </c>
      <c r="EL65" s="1184">
        <f t="shared" si="164"/>
        <v>0</v>
      </c>
      <c r="EM65" s="1184">
        <f t="shared" si="164"/>
        <v>0</v>
      </c>
      <c r="EN65" s="1184"/>
      <c r="EO65" s="1184">
        <f t="shared" si="165"/>
        <v>0</v>
      </c>
      <c r="EP65" s="1184">
        <f t="shared" si="165"/>
        <v>0</v>
      </c>
      <c r="EQ65" s="1184">
        <f t="shared" si="165"/>
        <v>0</v>
      </c>
      <c r="ER65" s="1184">
        <f t="shared" si="165"/>
        <v>0</v>
      </c>
      <c r="ES65" s="1184">
        <f t="shared" si="165"/>
        <v>0</v>
      </c>
      <c r="ET65" s="1184">
        <f t="shared" si="165"/>
        <v>0</v>
      </c>
      <c r="EU65" s="1184">
        <f t="shared" si="165"/>
        <v>0</v>
      </c>
      <c r="EV65" s="1184">
        <f t="shared" si="165"/>
        <v>0</v>
      </c>
      <c r="EW65" s="1184">
        <f t="shared" si="165"/>
        <v>0</v>
      </c>
      <c r="EX65" s="1184">
        <f t="shared" si="165"/>
        <v>0</v>
      </c>
      <c r="EY65" s="1184">
        <f t="shared" si="165"/>
        <v>0</v>
      </c>
      <c r="EZ65" s="1184">
        <f t="shared" si="165"/>
        <v>0</v>
      </c>
      <c r="FA65" s="1184"/>
      <c r="FB65" s="1186">
        <f t="shared" si="51"/>
        <v>0</v>
      </c>
      <c r="FC65" s="1184">
        <f>FB65+DB65+EB65                 -         SUMIF('Nährstoffe und Lagerraum'!$AX$113:$AX$155,$CZ65,'Nährstoffe und Lagerraum'!$U$113:$U$155)/12  -$GD65*$HE65/12</f>
        <v>0</v>
      </c>
      <c r="FD65" s="1184">
        <f>FC65+DC65+EC65                 -         SUMIF('Nährstoffe und Lagerraum'!$AX$113:$AX$155,$CZ65,'Nährstoffe und Lagerraum'!$U$113:$U$155)/12  -$GD65*$HE65/12</f>
        <v>0</v>
      </c>
      <c r="FE65" s="1184">
        <f>FD65+DD65+ED65                 -         SUMIF('Nährstoffe und Lagerraum'!$AX$113:$AX$155,$CZ65,'Nährstoffe und Lagerraum'!$U$113:$U$155)/12  -$GD65*$HE65/12</f>
        <v>0</v>
      </c>
      <c r="FF65" s="1184">
        <f>FE65+DE65+EE65                 -         SUMIF('Nährstoffe und Lagerraum'!$AX$113:$AX$155,$CZ65,'Nährstoffe und Lagerraum'!$U$113:$U$155)/12  -$GD65*$HE65/12</f>
        <v>0</v>
      </c>
      <c r="FG65" s="1184">
        <f>FF65+DF65+EF65                 -         SUMIF('Nährstoffe und Lagerraum'!$AX$113:$AX$155,$CZ65,'Nährstoffe und Lagerraum'!$U$113:$U$155)/12  -$GD65*$HE65/12</f>
        <v>0</v>
      </c>
      <c r="FH65" s="1184">
        <f>FG65+DG65+EG65                 -         SUMIF('Nährstoffe und Lagerraum'!$AX$113:$AX$155,$CZ65,'Nährstoffe und Lagerraum'!$U$113:$U$155)/12  -$GD65*$HE65/12</f>
        <v>0</v>
      </c>
      <c r="FI65" s="1184">
        <f>FH65+DH65+EH65                 -         SUMIF('Nährstoffe und Lagerraum'!$AX$113:$AX$155,$CZ65,'Nährstoffe und Lagerraum'!$U$113:$U$155)/12  -$GD65*$HE65/12</f>
        <v>0</v>
      </c>
      <c r="FJ65" s="1184">
        <f>FI65+DI65+EI65                 -         SUMIF('Nährstoffe und Lagerraum'!$AX$113:$AX$155,$CZ65,'Nährstoffe und Lagerraum'!$U$113:$U$155)/12  -$GD65*$HE65/12</f>
        <v>0</v>
      </c>
      <c r="FK65" s="1184">
        <f>FJ65+DJ65+EJ65                 -         SUMIF('Nährstoffe und Lagerraum'!$AX$113:$AX$155,$CZ65,'Nährstoffe und Lagerraum'!$U$113:$U$155)/12  -$GD65*$HE65/12</f>
        <v>0</v>
      </c>
      <c r="FL65" s="1184">
        <f>FK65+DK65+EK65                 -         SUMIF('Nährstoffe und Lagerraum'!$AX$113:$AX$155,$CZ65,'Nährstoffe und Lagerraum'!$U$113:$U$155)/12  -$GD65*$HE65/12</f>
        <v>0</v>
      </c>
      <c r="FM65" s="1184">
        <f>FL65+DL65+EL65                 -         SUMIF('Nährstoffe und Lagerraum'!$AX$113:$AX$155,$CZ65,'Nährstoffe und Lagerraum'!$U$113:$U$155)/12  -$GD65*$HE65/12</f>
        <v>0</v>
      </c>
      <c r="FN65" s="1184">
        <f>FM65+DM65+EM65                 -         SUMIF('Nährstoffe und Lagerraum'!$AX$113:$AX$155,$CZ65,'Nährstoffe und Lagerraum'!$U$113:$U$155)/12  -$GD65*$HE65/12</f>
        <v>0</v>
      </c>
      <c r="FO65" s="1184"/>
      <c r="FP65" s="1186">
        <f t="shared" si="52"/>
        <v>0</v>
      </c>
      <c r="FQ65" s="1184">
        <f>FP65+DO65+EO65                 -         SUMIF('Nährstoffe und Lagerraum'!$AX$113:$AX$155,$CZ65,'Nährstoffe und Lagerraum'!$V$113:$V$155)/12  -$GE65*$HE65/12</f>
        <v>0</v>
      </c>
      <c r="FR65" s="1184">
        <f>FQ65+DP65+EP65                 -         SUMIF('Nährstoffe und Lagerraum'!$AX$113:$AX$155,$CZ65,'Nährstoffe und Lagerraum'!$V$113:$V$155)/12  -$GE65*$HE65/12</f>
        <v>0</v>
      </c>
      <c r="FS65" s="1184">
        <f>FR65+DQ65+EQ65                 -         SUMIF('Nährstoffe und Lagerraum'!$AX$113:$AX$155,$CZ65,'Nährstoffe und Lagerraum'!$V$113:$V$155)/12  -$GE65*$HE65/12</f>
        <v>0</v>
      </c>
      <c r="FT65" s="1184">
        <f>FS65+DR65+ER65                 -         SUMIF('Nährstoffe und Lagerraum'!$AX$113:$AX$155,$CZ65,'Nährstoffe und Lagerraum'!$V$113:$V$155)/12  -$GE65*$HE65/12</f>
        <v>0</v>
      </c>
      <c r="FU65" s="1184">
        <f>FT65+DS65+ES65                 -         SUMIF('Nährstoffe und Lagerraum'!$AX$113:$AX$155,$CZ65,'Nährstoffe und Lagerraum'!$V$113:$V$155)/12  -$GE65*$HE65/12</f>
        <v>0</v>
      </c>
      <c r="FV65" s="1184">
        <f>FU65+DT65+ET65                 -         SUMIF('Nährstoffe und Lagerraum'!$AX$113:$AX$155,$CZ65,'Nährstoffe und Lagerraum'!$V$113:$V$155)/12  -$GE65*$HE65/12</f>
        <v>0</v>
      </c>
      <c r="FW65" s="1184">
        <f>FV65+DU65+EU65                 -         SUMIF('Nährstoffe und Lagerraum'!$AX$113:$AX$155,$CZ65,'Nährstoffe und Lagerraum'!$V$113:$V$155)/12  -$GE65*$HE65/12</f>
        <v>0</v>
      </c>
      <c r="FX65" s="1184">
        <f>FW65+DV65+EV65                 -         SUMIF('Nährstoffe und Lagerraum'!$AX$113:$AX$155,$CZ65,'Nährstoffe und Lagerraum'!$V$113:$V$155)/12  -$GE65*$HE65/12</f>
        <v>0</v>
      </c>
      <c r="FY65" s="1184">
        <f>FX65+DW65+EW65                 -         SUMIF('Nährstoffe und Lagerraum'!$AX$113:$AX$155,$CZ65,'Nährstoffe und Lagerraum'!$V$113:$V$155)/12  -$GE65*$HE65/12</f>
        <v>0</v>
      </c>
      <c r="FZ65" s="1184">
        <f>FY65+DX65+EX65                 -         SUMIF('Nährstoffe und Lagerraum'!$AX$113:$AX$155,$CZ65,'Nährstoffe und Lagerraum'!$V$113:$V$155)/12  -$GE65*$HE65/12</f>
        <v>0</v>
      </c>
      <c r="GA65" s="1184">
        <f>FZ65+DY65+EY65                 -         SUMIF('Nährstoffe und Lagerraum'!$AX$113:$AX$155,$CZ65,'Nährstoffe und Lagerraum'!$V$113:$V$155)/12  -$GE65*$HE65/12</f>
        <v>0</v>
      </c>
      <c r="GB65" s="1184">
        <f>GA65+DZ65+EZ65                 -         SUMIF('Nährstoffe und Lagerraum'!$AX$113:$AX$155,$CZ65,'Nährstoffe und Lagerraum'!$V$113:$V$155)/12  -$GE65*$HE65/12</f>
        <v>0</v>
      </c>
      <c r="GC65" s="1184"/>
      <c r="GD65" s="1184">
        <f>SUMIFS($CI$14:$CI$68,$BR$14:$BR$68,$CZ65)+SUMIFS($CM$14:$CM$68,$BR$14:$BR$68,$CZ65)+SUMIFS($CR$14:$CR$68,$BR$14:$BR$68,$CZ65)  -         SUMIF('Nährstoffe und Lagerraum'!$AX$113:$AX$155,$CZ65,'Nährstoffe und Lagerraum'!$U$113:$U$155)</f>
        <v>0</v>
      </c>
      <c r="GE65" s="1184">
        <f>SUMIFS($CJ$14:$CJ$68,$BR$14:$BR$68,$CZ65)+SUMIFS($CO$14:$CO$68,$BR$14:$BR$68,$CZ65)+SUMIFS($CT$14:$CT$68,$BR$14:$BR$68,$CZ65)  -         SUMIF('Nährstoffe und Lagerraum'!$AX$113:$AX$155,$CZ65,'Nährstoffe und Lagerraum'!$V$113:$V$155)</f>
        <v>0</v>
      </c>
      <c r="GF65" s="1184"/>
      <c r="GG65" s="1184"/>
      <c r="GH65" s="1184">
        <f>SUMIF('Nährstoffe und Lagerraum'!$AX$113:$AX$155,$CZ65,'Nährstoffe und Lagerraum'!$U$113:$U$155)</f>
        <v>0</v>
      </c>
      <c r="GI65" s="1184">
        <f>SUMIF('Nährstoffe und Lagerraum'!$AX$113:$AX$155,$CZ65,'Nährstoffe und Lagerraum'!$V$113:$V$155)</f>
        <v>0</v>
      </c>
      <c r="GJ65" s="1184">
        <f t="shared" si="53"/>
        <v>0</v>
      </c>
      <c r="GK65" s="1184">
        <f t="shared" si="54"/>
        <v>0</v>
      </c>
      <c r="GL65" s="1184">
        <f t="shared" si="55"/>
        <v>0</v>
      </c>
      <c r="GM65" s="1184">
        <f t="shared" si="56"/>
        <v>0</v>
      </c>
      <c r="GN65" s="1184">
        <f t="shared" si="57"/>
        <v>0</v>
      </c>
      <c r="GO65" s="1184" cm="1">
        <f t="array" ref="GO65">IF(GN65=0,0,(IFERROR(SUMPRODUCT($J$14:$J$68,$CH$14:$CH$68,($BR$14:$BR$68=CZ65)*1)+SUMPRODUCT($L$14:$L$68,$M$14:$M$68,$CK$14:$CK$68,($BR$14:$BR$68=CZ65)*1,($BT$14:$BT$68=FALSE)*1)/10+SUMPRODUCT($R$14:$R$68,$CP$14:$CP$68,($BR$14:$BR$68=CZ65)*1),0))/GN65)</f>
        <v>0</v>
      </c>
      <c r="GP65" s="1184">
        <f t="shared" si="58"/>
        <v>0</v>
      </c>
      <c r="GQ65" s="1184">
        <f>(SUMIF('Nährstoffe und Lagerraum'!$AX$113:$AX$130,'Lagerhaltung (freiwillig)'!CZ65,'Nährstoffe und Lagerraum'!$D$113:$D$130)+SUMIF('Nährstoffe und Lagerraum'!$AX$137:$AX$155,'Lagerhaltung (freiwillig)'!CZ65,'Nährstoffe und Lagerraum'!$E$137:$E$155))</f>
        <v>0</v>
      </c>
      <c r="GR65" s="1184" cm="1">
        <f t="array" ref="GR65">IF(GQ65=0,0,(IFERROR(SUMPRODUCT('Nährstoffe und Lagerraum'!$D$113:$D$130,'Nährstoffe und Lagerraum'!$F$113:$F$130,('Nährstoffe und Lagerraum'!$AX$113:$AX$130='Lagerhaltung (freiwillig)'!CZ65)*1)+SUMPRODUCT('Nährstoffe und Lagerraum'!$E$137:$E$155,'Nährstoffe und Lagerraum'!$F$137:$F$155,('Nährstoffe und Lagerraum'!$AX$137:$AX$155='Lagerhaltung (freiwillig)'!CZ65)*1),0))/GQ65)</f>
        <v>0</v>
      </c>
      <c r="GS65" s="1184">
        <f t="shared" si="59"/>
        <v>0</v>
      </c>
      <c r="GT65" s="1184">
        <f t="shared" si="60"/>
        <v>0</v>
      </c>
      <c r="GU65" s="1184">
        <f t="shared" si="61"/>
        <v>0</v>
      </c>
      <c r="GV65" s="1184">
        <f t="shared" si="62"/>
        <v>0</v>
      </c>
      <c r="GW65" s="1186" t="str">
        <f t="shared" si="41"/>
        <v xml:space="preserve"> </v>
      </c>
      <c r="GX65" s="1186" t="str">
        <f t="shared" si="41"/>
        <v xml:space="preserve"> </v>
      </c>
      <c r="GY65" s="1195">
        <f t="shared" si="63"/>
        <v>0</v>
      </c>
      <c r="GZ65" s="1184">
        <f t="shared" si="64"/>
        <v>0</v>
      </c>
      <c r="HA65" s="1184" t="str">
        <f t="shared" si="132"/>
        <v>a</v>
      </c>
      <c r="HB65" s="1196">
        <f t="shared" si="65"/>
        <v>0</v>
      </c>
      <c r="HC65" s="1196">
        <f t="shared" si="66"/>
        <v>0</v>
      </c>
      <c r="HD65" s="1196"/>
      <c r="HE65" s="1187">
        <f t="shared" si="67"/>
        <v>0</v>
      </c>
      <c r="HF65" s="1196">
        <f t="shared" si="68"/>
        <v>0</v>
      </c>
      <c r="HG65" s="1196">
        <f t="shared" si="69"/>
        <v>0</v>
      </c>
      <c r="HH65" s="1196">
        <f t="shared" si="70"/>
        <v>0</v>
      </c>
      <c r="HI65" s="1328" cm="1">
        <f t="array" ref="HI65">IF(AND(HG65=0,GL65=0),0,IF(HG65=0,1,IF(OR(GL65*1000/HG65/HH65&gt;INDEX(Pflanzen!$W$5:$W$104,CZ65)/INDEX(Pflanzen!$I$5:$I$104,CZ65)*$HI$1,GL65*1000/HG65/HH65&lt;INDEX(Pflanzen!$W$5:$W$104,CZ65)/INDEX(Pflanzen!$I$5:$I$104,CZ65)/$HI$1),1,0)))</f>
        <v>0</v>
      </c>
      <c r="HJ65" s="1328" cm="1">
        <f t="array" ref="HJ65">IF(AND(GM65=0,HG65=0),0,IF(HG65=0,1,IF(OR(GM65*1000/HG65/HH65&gt;INDEX(Pflanzen!$X$5:$X$104,CZ65)/INDEX(Pflanzen!$I$5:$I$104,CZ65)*$HI$1,GM65*1000/HG65/HH65&lt;INDEX(Pflanzen!$X$5:$X$104,CZ65)/INDEX(Pflanzen!$I$5:$I$104,CZ65)/$HI$1),1,0)))</f>
        <v>0</v>
      </c>
      <c r="HK65" s="1184">
        <f t="shared" si="71"/>
        <v>3</v>
      </c>
      <c r="HL65" s="1184"/>
      <c r="HN65" s="1184"/>
      <c r="HO65" s="1193" t="str">
        <f>Tiere!B91</f>
        <v>Lämmer, Schafe bis ein Jahr, konventionell</v>
      </c>
      <c r="HP65" s="1184">
        <v>62</v>
      </c>
      <c r="HQ65" s="1194">
        <f>SUMIF('Nährstoffe und Lagerraum'!$BM$68:$BM$87,'Lagerhaltung (freiwillig)'!HP65,'Nährstoffe und Lagerraum'!$Z$68:$Z$87)+SUMIF('Nährstoffe und Lagerraum'!$BM$68:$BM$87,'Lagerhaltung (freiwillig)'!HP65,'Nährstoffe und Lagerraum'!$AA$68:$AA$87)</f>
        <v>0</v>
      </c>
      <c r="HR65" s="1184" cm="1">
        <f t="array" ref="HR65">INDEX(Tiere!$C$30:$C$114,'Lagerhaltung (freiwillig)'!HP65)</f>
        <v>4</v>
      </c>
      <c r="HS65" s="1184" cm="1">
        <f t="array" ref="HS65">INDEX(Tiere!$H$30:$H$114,'Lagerhaltung (freiwillig)'!HP65)</f>
        <v>6.18</v>
      </c>
      <c r="HT65" s="1184">
        <f t="shared" si="12"/>
        <v>0</v>
      </c>
      <c r="HU65" s="1184" cm="1">
        <f t="array" ref="HU65">INDEX(Tiere!$I$30:$I$114,'Lagerhaltung (freiwillig)'!HP65)</f>
        <v>1.94</v>
      </c>
      <c r="HV65" s="1184">
        <f t="shared" si="13"/>
        <v>0</v>
      </c>
      <c r="HW65" s="1184" cm="1">
        <f t="array" ref="HW65">INDEX(Tiere!$BC$30:$BC$114,'Lagerhaltung (freiwillig)'!HP65)</f>
        <v>1.3</v>
      </c>
      <c r="HX65" s="1184">
        <f t="shared" si="14"/>
        <v>0</v>
      </c>
      <c r="HY65" s="1184" cm="1">
        <f t="array" ref="HY65">INDEX(Tiere!$BD$30:$BD$114,'Lagerhaltung (freiwillig)'!HP65)</f>
        <v>0.68500000000000005</v>
      </c>
      <c r="HZ65" s="1184">
        <f t="shared" si="15"/>
        <v>0</v>
      </c>
      <c r="IA65" s="1184"/>
      <c r="IB65" s="1184"/>
      <c r="IC65" s="1184"/>
      <c r="ID65" s="1184"/>
      <c r="IE65" s="1184"/>
      <c r="IF65" s="1184"/>
      <c r="IG65" s="1184"/>
      <c r="IH65" s="1184"/>
      <c r="II65" s="1184"/>
      <c r="IJ65" s="1184"/>
      <c r="IK65" s="1184"/>
      <c r="IL65" s="1184"/>
    </row>
    <row r="66" spans="1:246" ht="15.6" customHeight="1" x14ac:dyDescent="0.2">
      <c r="F66" s="1122"/>
      <c r="G66" s="1498"/>
      <c r="H66" s="1336"/>
      <c r="I66" s="1165" t="str">
        <f t="shared" si="133"/>
        <v/>
      </c>
      <c r="J66" s="1303"/>
      <c r="K66" s="1165" t="str">
        <f t="shared" si="134"/>
        <v/>
      </c>
      <c r="L66" s="1487"/>
      <c r="M66" s="1491"/>
      <c r="N66" s="1487"/>
      <c r="O66" s="1487"/>
      <c r="P66" s="1303"/>
      <c r="Q66" s="1281" t="str">
        <f t="shared" si="135"/>
        <v/>
      </c>
      <c r="R66" s="1487"/>
      <c r="S66" s="1491"/>
      <c r="T66" s="1303"/>
      <c r="V66" s="1346" t="str">
        <f t="shared" si="156"/>
        <v/>
      </c>
      <c r="Y66" s="1554" t="str" cm="1">
        <f t="array" ref="Y66">IFERROR(INDEX($CY$4:$CY$165,AY66),"")</f>
        <v/>
      </c>
      <c r="Z66" s="1555"/>
      <c r="AA66" s="1555"/>
      <c r="AB66" s="1555"/>
      <c r="AC66" s="1454" t="str" cm="1">
        <f t="array" ref="AC66">IFERROR(INDEX($GN$4:$GN$165,AY66),"")</f>
        <v/>
      </c>
      <c r="AD66" s="1454" t="str" cm="1">
        <f t="array" ref="AD66">IFERROR(INDEX($GO$4:$GO$165,AY66),"")</f>
        <v/>
      </c>
      <c r="AE66" s="1454" t="str" cm="1">
        <f t="array" ref="AE66">IFERROR(INDEX($GJ$4:$GJ$165,AY66),"")</f>
        <v/>
      </c>
      <c r="AF66" s="1454" t="str" cm="1">
        <f t="array" ref="AF66">IFERROR(INDEX($GK$4:$GK$165,AY66),"")</f>
        <v/>
      </c>
      <c r="AG66" s="1454" t="str" cm="1">
        <f t="array" ref="AG66">IFERROR(INDEX($GQ$4:$GQ$165,AY66),"")</f>
        <v/>
      </c>
      <c r="AH66" s="1454" t="str" cm="1">
        <f t="array" ref="AH66">IFERROR(INDEX($GR$4:$GR$165,AY66),"")</f>
        <v/>
      </c>
      <c r="AI66" s="1454" t="str" cm="1">
        <f t="array" ref="AI66">IFERROR(INDEX($GH$4:$GH$165,AY66),"")</f>
        <v/>
      </c>
      <c r="AJ66" s="1454" t="str" cm="1">
        <f t="array" ref="AJ66">IFERROR(INDEX($GI$4:$GI$165,AY66),"")</f>
        <v/>
      </c>
      <c r="AK66" s="1454" t="str" cm="1">
        <f t="array" ref="AK66">IFERROR(INDEX($GU$4:$GU$165,AY66),"")</f>
        <v/>
      </c>
      <c r="AL66" s="1455" t="str" cm="1">
        <f t="array" ref="AL66">IFERROR(INDEX($GV$4:$GV$165,AY66),"")</f>
        <v/>
      </c>
      <c r="AM66" s="1454" t="str" cm="1">
        <f t="array" ref="AM66">IFERROR(INDEX($GD$4:$GD$165,AY66),"")</f>
        <v/>
      </c>
      <c r="AN66" s="1454" t="str" cm="1">
        <f t="array" ref="AN66">IFERROR(INDEX($GE$4:$GE$165,AY66),"")</f>
        <v/>
      </c>
      <c r="AO66" s="1454" t="str" cm="1">
        <f t="array" ref="AO66">IFERROR(INDEX($GW$4:$GW$165,AY66),"")</f>
        <v/>
      </c>
      <c r="AP66" s="1454" t="str" cm="1">
        <f t="array" ref="AP66">IFERROR(INDEX($GZ$4:$GZ$165,AY66),"")</f>
        <v/>
      </c>
      <c r="AQ66" s="1457"/>
      <c r="AR66" s="1454" t="str" cm="1">
        <f t="array" ref="AR66">IFERROR(INDEX($HF$4:$HF$165,AY66),"")</f>
        <v/>
      </c>
      <c r="AS66" s="1454" t="str" cm="1">
        <f t="array" ref="AS66">IFERROR(INDEX($HG$4:$HG$165,AY66),"")</f>
        <v/>
      </c>
      <c r="AT66" s="1454" t="str" cm="1">
        <f t="array" ref="AT66">IFERROR(INDEX($HH$4:$HH$165,AY66),"")</f>
        <v/>
      </c>
      <c r="AU66" s="1454" t="str" cm="1">
        <f t="array" ref="AU66">IFERROR(INDEX($GL$4:$GL$165,AY66),"")</f>
        <v/>
      </c>
      <c r="AV66" s="1454" t="str" cm="1">
        <f t="array" ref="AV66">IFERROR(INDEX($GM$4:$GM$165,AY66),"")</f>
        <v/>
      </c>
      <c r="AW66" s="1459"/>
      <c r="AX66" s="1459"/>
      <c r="AY66" s="1460" t="str" cm="1">
        <f t="array" ref="AY66">IFERROR(SMALL(IF($HK$4:$HK$165=1,ROW($HK$4:$HK$165)-3),ROW(W51)),IFERROR(SMALL(IF($HK$4:$HK$165=2,ROW($HK$4:$HK$165)-3),ROW(W51)-COUNTIF($HK$4:$HK$165,1)),IFERROR(SMALL(IF($HK$4:$HK$165=0,ROW($HK$4:$HK$165)-3),ROW(W51)-COUNTIF($HK$4:$HK$165,1)-COUNTIF($HK$4:$HK$165,2)),"")))</f>
        <v/>
      </c>
      <c r="AZ66" s="1460" t="str">
        <f t="shared" si="129"/>
        <v>a</v>
      </c>
      <c r="BA66" s="1461" t="e">
        <f t="shared" si="130"/>
        <v>#VALUE!</v>
      </c>
      <c r="BB66" s="1461" cm="1">
        <f t="array" ref="BB66">IFERROR(INDEX($HK$4:$HK$165,AY66),0)</f>
        <v>0</v>
      </c>
      <c r="BC66" s="1461">
        <f t="shared" si="131"/>
        <v>0</v>
      </c>
      <c r="BD66" s="1461"/>
      <c r="BE66" s="1462"/>
      <c r="BF66" s="1343"/>
      <c r="BG66" s="1343"/>
      <c r="BH66" s="1343"/>
      <c r="BI66" s="1343"/>
      <c r="BJ66" s="1343"/>
      <c r="BK66" s="1343"/>
      <c r="BL66" s="1343"/>
      <c r="BM66" s="1343"/>
      <c r="BN66" s="1343"/>
      <c r="BO66" s="1343"/>
      <c r="BQ66" s="1184">
        <v>1</v>
      </c>
      <c r="BR66" cm="1">
        <f t="array" ref="BR66">INDEX(Pflanzen!$B$5:$B$112,'Lagerhaltung (freiwillig)'!BQ66)</f>
        <v>1</v>
      </c>
      <c r="BS66" s="1184"/>
      <c r="BT66" s="1184" t="b">
        <v>0</v>
      </c>
      <c r="BU66" s="1185"/>
      <c r="BV66" s="1185"/>
      <c r="BW66" s="1184">
        <f t="shared" si="136"/>
        <v>12</v>
      </c>
      <c r="BX66" s="1184">
        <f t="shared" si="137"/>
        <v>0</v>
      </c>
      <c r="BY66" s="1184">
        <f t="shared" si="138"/>
        <v>12</v>
      </c>
      <c r="BZ66" s="1184" cm="1">
        <f t="array" ref="BZ66">INDEX(Pflanzen!$AB$5:$AB$114,'Lagerhaltung (freiwillig)'!BR66)</f>
        <v>0</v>
      </c>
      <c r="CA66" s="1184" cm="1">
        <f t="array" ref="CA66">IF(BZ66=1,INDEX(Pflanzen!$AC$5:$AC$114,BR66),N66)</f>
        <v>0</v>
      </c>
      <c r="CB66" s="1184" cm="1">
        <f t="array" ref="CB66">IF(BZ66=1,INDEX(Pflanzen!$AD$5:$AD$114,BR66),O66)</f>
        <v>0</v>
      </c>
      <c r="CC66" s="1184">
        <f t="shared" si="139"/>
        <v>12</v>
      </c>
      <c r="CD66" s="1184">
        <f t="shared" si="140"/>
        <v>0</v>
      </c>
      <c r="CE66" s="1184">
        <f t="shared" si="141"/>
        <v>12</v>
      </c>
      <c r="CF66" s="1184" cm="1">
        <f t="array" ref="CF66">INDEX(Pflanzen!$F$5:$F$114,BR66)</f>
        <v>0</v>
      </c>
      <c r="CG66" s="1184" cm="1">
        <f t="array" ref="CG66">INDEX(Pflanzen!$G$5:$G$114,BR66)</f>
        <v>0</v>
      </c>
      <c r="CH66" s="1184">
        <f t="shared" si="142"/>
        <v>0</v>
      </c>
      <c r="CI66" s="1184">
        <f t="shared" si="143"/>
        <v>0</v>
      </c>
      <c r="CJ66" s="1184">
        <f t="shared" si="144"/>
        <v>0</v>
      </c>
      <c r="CK66" s="1184">
        <f t="shared" si="145"/>
        <v>0</v>
      </c>
      <c r="CL66" s="1184">
        <f t="shared" si="146"/>
        <v>0</v>
      </c>
      <c r="CM66" s="1184">
        <f t="shared" si="147"/>
        <v>0</v>
      </c>
      <c r="CN66" s="1184">
        <f t="shared" si="148"/>
        <v>0</v>
      </c>
      <c r="CO66" s="1184">
        <f t="shared" si="149"/>
        <v>0</v>
      </c>
      <c r="CP66" s="1184">
        <f t="shared" si="150"/>
        <v>0</v>
      </c>
      <c r="CQ66" s="1184">
        <f t="shared" si="151"/>
        <v>0</v>
      </c>
      <c r="CR66" s="1184">
        <f t="shared" si="152"/>
        <v>0</v>
      </c>
      <c r="CS66" s="1184">
        <f t="shared" si="153"/>
        <v>0</v>
      </c>
      <c r="CT66" s="1184">
        <f t="shared" si="154"/>
        <v>0</v>
      </c>
      <c r="CU66" s="1184">
        <f t="shared" si="157"/>
        <v>2</v>
      </c>
      <c r="CV66" s="1186" cm="1">
        <f t="array" ref="CV66">IF(AND(COUNTIF($BR$14:$BR$36,BR66)&gt;0,BR66&lt;ROWS(Pflanzen!$C$5:$C$107)),INDEX(Pflanzen!$I$5:$I$114,BR66),SUMIF($BR$44:$BR$68,BR66,$F$44:$F$69)/COUNTIF($BR$44:$BR$68,BR66))</f>
        <v>0</v>
      </c>
      <c r="CW66" s="1186">
        <f t="shared" si="155"/>
        <v>0</v>
      </c>
      <c r="CX66" s="1184"/>
      <c r="CY66" s="320" t="str">
        <f>Pflanzen!A62</f>
        <v xml:space="preserve"> +++Zweitfrucht (2. Hauptfrucht)+++</v>
      </c>
      <c r="CZ66" s="1200">
        <f>IFERROR(MATCH($CY66,Pflanzen!$C$5:$C$114,0),1)</f>
        <v>58</v>
      </c>
      <c r="DA66" s="320" cm="1">
        <f t="array" ref="DA66">INDEX(Pflanzen!$H$5:$H$114,'Lagerhaltung (freiwillig)'!CZ66)</f>
        <v>0</v>
      </c>
      <c r="DB66" s="1200">
        <f t="shared" si="162"/>
        <v>0</v>
      </c>
      <c r="DC66" s="1200">
        <f t="shared" si="162"/>
        <v>0</v>
      </c>
      <c r="DD66" s="1200">
        <f t="shared" si="162"/>
        <v>0</v>
      </c>
      <c r="DE66" s="1200">
        <f t="shared" si="162"/>
        <v>0</v>
      </c>
      <c r="DF66" s="1200">
        <f t="shared" si="162"/>
        <v>0</v>
      </c>
      <c r="DG66" s="1184">
        <f t="shared" si="162"/>
        <v>0</v>
      </c>
      <c r="DH66" s="1184">
        <f t="shared" si="162"/>
        <v>0</v>
      </c>
      <c r="DI66" s="1184">
        <f t="shared" si="162"/>
        <v>0</v>
      </c>
      <c r="DJ66" s="1184">
        <f t="shared" si="162"/>
        <v>0</v>
      </c>
      <c r="DK66" s="1184">
        <f t="shared" si="162"/>
        <v>0</v>
      </c>
      <c r="DL66" s="1184">
        <f t="shared" si="162"/>
        <v>0</v>
      </c>
      <c r="DM66" s="1184">
        <f t="shared" si="162"/>
        <v>0</v>
      </c>
      <c r="DN66" s="1184"/>
      <c r="DO66" s="1184">
        <f t="shared" si="163"/>
        <v>0</v>
      </c>
      <c r="DP66" s="1184">
        <f t="shared" si="163"/>
        <v>0</v>
      </c>
      <c r="DQ66" s="1184">
        <f t="shared" si="163"/>
        <v>0</v>
      </c>
      <c r="DR66" s="1184">
        <f t="shared" si="163"/>
        <v>0</v>
      </c>
      <c r="DS66" s="1184">
        <f t="shared" si="163"/>
        <v>0</v>
      </c>
      <c r="DT66" s="1184">
        <f t="shared" si="163"/>
        <v>0</v>
      </c>
      <c r="DU66" s="1184">
        <f t="shared" si="163"/>
        <v>0</v>
      </c>
      <c r="DV66" s="1184">
        <f t="shared" si="163"/>
        <v>0</v>
      </c>
      <c r="DW66" s="1184">
        <f t="shared" si="163"/>
        <v>0</v>
      </c>
      <c r="DX66" s="1184">
        <f t="shared" si="163"/>
        <v>0</v>
      </c>
      <c r="DY66" s="1184">
        <f t="shared" si="163"/>
        <v>0</v>
      </c>
      <c r="DZ66" s="1184">
        <f t="shared" si="163"/>
        <v>0</v>
      </c>
      <c r="EA66" s="1184"/>
      <c r="EB66" s="1184">
        <f t="shared" si="164"/>
        <v>0</v>
      </c>
      <c r="EC66" s="1184">
        <f t="shared" si="164"/>
        <v>0</v>
      </c>
      <c r="ED66" s="1184">
        <f t="shared" si="164"/>
        <v>0</v>
      </c>
      <c r="EE66" s="1184">
        <f t="shared" si="164"/>
        <v>0</v>
      </c>
      <c r="EF66" s="1184">
        <f t="shared" si="164"/>
        <v>0</v>
      </c>
      <c r="EG66" s="1184">
        <f t="shared" si="164"/>
        <v>0</v>
      </c>
      <c r="EH66" s="1184">
        <f t="shared" si="164"/>
        <v>0</v>
      </c>
      <c r="EI66" s="1184">
        <f t="shared" si="164"/>
        <v>0</v>
      </c>
      <c r="EJ66" s="1184">
        <f t="shared" si="164"/>
        <v>0</v>
      </c>
      <c r="EK66" s="1184">
        <f t="shared" si="164"/>
        <v>0</v>
      </c>
      <c r="EL66" s="1184">
        <f t="shared" si="164"/>
        <v>0</v>
      </c>
      <c r="EM66" s="1184">
        <f t="shared" si="164"/>
        <v>0</v>
      </c>
      <c r="EN66" s="1184"/>
      <c r="EO66" s="1184">
        <f t="shared" si="165"/>
        <v>0</v>
      </c>
      <c r="EP66" s="1184">
        <f t="shared" si="165"/>
        <v>0</v>
      </c>
      <c r="EQ66" s="1184">
        <f t="shared" si="165"/>
        <v>0</v>
      </c>
      <c r="ER66" s="1184">
        <f t="shared" si="165"/>
        <v>0</v>
      </c>
      <c r="ES66" s="1184">
        <f t="shared" si="165"/>
        <v>0</v>
      </c>
      <c r="ET66" s="1184">
        <f t="shared" si="165"/>
        <v>0</v>
      </c>
      <c r="EU66" s="1184">
        <f t="shared" si="165"/>
        <v>0</v>
      </c>
      <c r="EV66" s="1184">
        <f t="shared" si="165"/>
        <v>0</v>
      </c>
      <c r="EW66" s="1184">
        <f t="shared" si="165"/>
        <v>0</v>
      </c>
      <c r="EX66" s="1184">
        <f t="shared" si="165"/>
        <v>0</v>
      </c>
      <c r="EY66" s="1184">
        <f t="shared" si="165"/>
        <v>0</v>
      </c>
      <c r="EZ66" s="1184">
        <f t="shared" si="165"/>
        <v>0</v>
      </c>
      <c r="FA66" s="1184"/>
      <c r="FB66" s="1186">
        <f t="shared" si="51"/>
        <v>0</v>
      </c>
      <c r="FC66" s="1184">
        <f>FB66+DB66+EB66                 -         SUMIF('Nährstoffe und Lagerraum'!$AX$113:$AX$155,$CZ66,'Nährstoffe und Lagerraum'!$U$113:$U$155)/12  -$GD66*$HE66/12</f>
        <v>0</v>
      </c>
      <c r="FD66" s="1184">
        <f>FC66+DC66+EC66                 -         SUMIF('Nährstoffe und Lagerraum'!$AX$113:$AX$155,$CZ66,'Nährstoffe und Lagerraum'!$U$113:$U$155)/12  -$GD66*$HE66/12</f>
        <v>0</v>
      </c>
      <c r="FE66" s="1184">
        <f>FD66+DD66+ED66                 -         SUMIF('Nährstoffe und Lagerraum'!$AX$113:$AX$155,$CZ66,'Nährstoffe und Lagerraum'!$U$113:$U$155)/12  -$GD66*$HE66/12</f>
        <v>0</v>
      </c>
      <c r="FF66" s="1184">
        <f>FE66+DE66+EE66                 -         SUMIF('Nährstoffe und Lagerraum'!$AX$113:$AX$155,$CZ66,'Nährstoffe und Lagerraum'!$U$113:$U$155)/12  -$GD66*$HE66/12</f>
        <v>0</v>
      </c>
      <c r="FG66" s="1184">
        <f>FF66+DF66+EF66                 -         SUMIF('Nährstoffe und Lagerraum'!$AX$113:$AX$155,$CZ66,'Nährstoffe und Lagerraum'!$U$113:$U$155)/12  -$GD66*$HE66/12</f>
        <v>0</v>
      </c>
      <c r="FH66" s="1184">
        <f>FG66+DG66+EG66                 -         SUMIF('Nährstoffe und Lagerraum'!$AX$113:$AX$155,$CZ66,'Nährstoffe und Lagerraum'!$U$113:$U$155)/12  -$GD66*$HE66/12</f>
        <v>0</v>
      </c>
      <c r="FI66" s="1184">
        <f>FH66+DH66+EH66                 -         SUMIF('Nährstoffe und Lagerraum'!$AX$113:$AX$155,$CZ66,'Nährstoffe und Lagerraum'!$U$113:$U$155)/12  -$GD66*$HE66/12</f>
        <v>0</v>
      </c>
      <c r="FJ66" s="1184">
        <f>FI66+DI66+EI66                 -         SUMIF('Nährstoffe und Lagerraum'!$AX$113:$AX$155,$CZ66,'Nährstoffe und Lagerraum'!$U$113:$U$155)/12  -$GD66*$HE66/12</f>
        <v>0</v>
      </c>
      <c r="FK66" s="1184">
        <f>FJ66+DJ66+EJ66                 -         SUMIF('Nährstoffe und Lagerraum'!$AX$113:$AX$155,$CZ66,'Nährstoffe und Lagerraum'!$U$113:$U$155)/12  -$GD66*$HE66/12</f>
        <v>0</v>
      </c>
      <c r="FL66" s="1184">
        <f>FK66+DK66+EK66                 -         SUMIF('Nährstoffe und Lagerraum'!$AX$113:$AX$155,$CZ66,'Nährstoffe und Lagerraum'!$U$113:$U$155)/12  -$GD66*$HE66/12</f>
        <v>0</v>
      </c>
      <c r="FM66" s="1184">
        <f>FL66+DL66+EL66                 -         SUMIF('Nährstoffe und Lagerraum'!$AX$113:$AX$155,$CZ66,'Nährstoffe und Lagerraum'!$U$113:$U$155)/12  -$GD66*$HE66/12</f>
        <v>0</v>
      </c>
      <c r="FN66" s="1184">
        <f>FM66+DM66+EM66                 -         SUMIF('Nährstoffe und Lagerraum'!$AX$113:$AX$155,$CZ66,'Nährstoffe und Lagerraum'!$U$113:$U$155)/12  -$GD66*$HE66/12</f>
        <v>0</v>
      </c>
      <c r="FO66" s="1184"/>
      <c r="FP66" s="1186">
        <f t="shared" si="52"/>
        <v>0</v>
      </c>
      <c r="FQ66" s="1184">
        <f>FP66+DO66+EO66                 -         SUMIF('Nährstoffe und Lagerraum'!$AX$113:$AX$155,$CZ66,'Nährstoffe und Lagerraum'!$V$113:$V$155)/12  -$GE66*$HE66/12</f>
        <v>0</v>
      </c>
      <c r="FR66" s="1184">
        <f>FQ66+DP66+EP66                 -         SUMIF('Nährstoffe und Lagerraum'!$AX$113:$AX$155,$CZ66,'Nährstoffe und Lagerraum'!$V$113:$V$155)/12  -$GE66*$HE66/12</f>
        <v>0</v>
      </c>
      <c r="FS66" s="1184">
        <f>FR66+DQ66+EQ66                 -         SUMIF('Nährstoffe und Lagerraum'!$AX$113:$AX$155,$CZ66,'Nährstoffe und Lagerraum'!$V$113:$V$155)/12  -$GE66*$HE66/12</f>
        <v>0</v>
      </c>
      <c r="FT66" s="1184">
        <f>FS66+DR66+ER66                 -         SUMIF('Nährstoffe und Lagerraum'!$AX$113:$AX$155,$CZ66,'Nährstoffe und Lagerraum'!$V$113:$V$155)/12  -$GE66*$HE66/12</f>
        <v>0</v>
      </c>
      <c r="FU66" s="1184">
        <f>FT66+DS66+ES66                 -         SUMIF('Nährstoffe und Lagerraum'!$AX$113:$AX$155,$CZ66,'Nährstoffe und Lagerraum'!$V$113:$V$155)/12  -$GE66*$HE66/12</f>
        <v>0</v>
      </c>
      <c r="FV66" s="1184">
        <f>FU66+DT66+ET66                 -         SUMIF('Nährstoffe und Lagerraum'!$AX$113:$AX$155,$CZ66,'Nährstoffe und Lagerraum'!$V$113:$V$155)/12  -$GE66*$HE66/12</f>
        <v>0</v>
      </c>
      <c r="FW66" s="1184">
        <f>FV66+DU66+EU66                 -         SUMIF('Nährstoffe und Lagerraum'!$AX$113:$AX$155,$CZ66,'Nährstoffe und Lagerraum'!$V$113:$V$155)/12  -$GE66*$HE66/12</f>
        <v>0</v>
      </c>
      <c r="FX66" s="1184">
        <f>FW66+DV66+EV66                 -         SUMIF('Nährstoffe und Lagerraum'!$AX$113:$AX$155,$CZ66,'Nährstoffe und Lagerraum'!$V$113:$V$155)/12  -$GE66*$HE66/12</f>
        <v>0</v>
      </c>
      <c r="FY66" s="1184">
        <f>FX66+DW66+EW66                 -         SUMIF('Nährstoffe und Lagerraum'!$AX$113:$AX$155,$CZ66,'Nährstoffe und Lagerraum'!$V$113:$V$155)/12  -$GE66*$HE66/12</f>
        <v>0</v>
      </c>
      <c r="FZ66" s="1184">
        <f>FY66+DX66+EX66                 -         SUMIF('Nährstoffe und Lagerraum'!$AX$113:$AX$155,$CZ66,'Nährstoffe und Lagerraum'!$V$113:$V$155)/12  -$GE66*$HE66/12</f>
        <v>0</v>
      </c>
      <c r="GA66" s="1184">
        <f>FZ66+DY66+EY66                 -         SUMIF('Nährstoffe und Lagerraum'!$AX$113:$AX$155,$CZ66,'Nährstoffe und Lagerraum'!$V$113:$V$155)/12  -$GE66*$HE66/12</f>
        <v>0</v>
      </c>
      <c r="GB66" s="1184">
        <f>GA66+DZ66+EZ66                 -         SUMIF('Nährstoffe und Lagerraum'!$AX$113:$AX$155,$CZ66,'Nährstoffe und Lagerraum'!$V$113:$V$155)/12  -$GE66*$HE66/12</f>
        <v>0</v>
      </c>
      <c r="GC66" s="1184"/>
      <c r="GD66" s="1184">
        <f>SUMIFS($CI$14:$CI$68,$BR$14:$BR$68,$CZ66)+SUMIFS($CM$14:$CM$68,$BR$14:$BR$68,$CZ66)+SUMIFS($CR$14:$CR$68,$BR$14:$BR$68,$CZ66)  -         SUMIF('Nährstoffe und Lagerraum'!$AX$113:$AX$155,$CZ66,'Nährstoffe und Lagerraum'!$U$113:$U$155)</f>
        <v>0</v>
      </c>
      <c r="GE66" s="1184">
        <f>SUMIFS($CJ$14:$CJ$68,$BR$14:$BR$68,$CZ66)+SUMIFS($CO$14:$CO$68,$BR$14:$BR$68,$CZ66)+SUMIFS($CT$14:$CT$68,$BR$14:$BR$68,$CZ66)  -         SUMIF('Nährstoffe und Lagerraum'!$AX$113:$AX$155,$CZ66,'Nährstoffe und Lagerraum'!$V$113:$V$155)</f>
        <v>0</v>
      </c>
      <c r="GF66" s="1184"/>
      <c r="GG66" s="1184"/>
      <c r="GH66" s="1184">
        <f>SUMIF('Nährstoffe und Lagerraum'!$AX$113:$AX$155,$CZ66,'Nährstoffe und Lagerraum'!$U$113:$U$155)</f>
        <v>0</v>
      </c>
      <c r="GI66" s="1184">
        <f>SUMIF('Nährstoffe und Lagerraum'!$AX$113:$AX$155,$CZ66,'Nährstoffe und Lagerraum'!$V$113:$V$155)</f>
        <v>0</v>
      </c>
      <c r="GJ66" s="1184">
        <f t="shared" si="53"/>
        <v>0</v>
      </c>
      <c r="GK66" s="1184">
        <f t="shared" si="54"/>
        <v>0</v>
      </c>
      <c r="GL66" s="1184">
        <f t="shared" si="55"/>
        <v>0</v>
      </c>
      <c r="GM66" s="1184">
        <f t="shared" si="56"/>
        <v>0</v>
      </c>
      <c r="GN66" s="1184">
        <f t="shared" si="57"/>
        <v>0</v>
      </c>
      <c r="GO66" s="1184" cm="1">
        <f t="array" ref="GO66">IF(GN66=0,0,(IFERROR(SUMPRODUCT($J$14:$J$68,$CH$14:$CH$68,($BR$14:$BR$68=CZ66)*1)+SUMPRODUCT($L$14:$L$68,$M$14:$M$68,$CK$14:$CK$68,($BR$14:$BR$68=CZ66)*1,($BT$14:$BT$68=FALSE)*1)/10+SUMPRODUCT($R$14:$R$68,$CP$14:$CP$68,($BR$14:$BR$68=CZ66)*1),0))/GN66)</f>
        <v>0</v>
      </c>
      <c r="GP66" s="1184">
        <f t="shared" si="58"/>
        <v>0</v>
      </c>
      <c r="GQ66" s="1184">
        <f>(SUMIF('Nährstoffe und Lagerraum'!$AX$113:$AX$130,'Lagerhaltung (freiwillig)'!CZ66,'Nährstoffe und Lagerraum'!$D$113:$D$130)+SUMIF('Nährstoffe und Lagerraum'!$AX$137:$AX$155,'Lagerhaltung (freiwillig)'!CZ66,'Nährstoffe und Lagerraum'!$E$137:$E$155))</f>
        <v>0</v>
      </c>
      <c r="GR66" s="1184" cm="1">
        <f t="array" ref="GR66">IF(GQ66=0,0,(IFERROR(SUMPRODUCT('Nährstoffe und Lagerraum'!$D$113:$D$130,'Nährstoffe und Lagerraum'!$F$113:$F$130,('Nährstoffe und Lagerraum'!$AX$113:$AX$130='Lagerhaltung (freiwillig)'!CZ66)*1)+SUMPRODUCT('Nährstoffe und Lagerraum'!$E$137:$E$155,'Nährstoffe und Lagerraum'!$F$137:$F$155,('Nährstoffe und Lagerraum'!$AX$137:$AX$155='Lagerhaltung (freiwillig)'!CZ66)*1),0))/GQ66)</f>
        <v>0</v>
      </c>
      <c r="GS66" s="1184">
        <f t="shared" si="59"/>
        <v>0</v>
      </c>
      <c r="GT66" s="1184">
        <f t="shared" si="60"/>
        <v>0</v>
      </c>
      <c r="GU66" s="1184">
        <f t="shared" si="61"/>
        <v>0</v>
      </c>
      <c r="GV66" s="1184">
        <f t="shared" si="62"/>
        <v>0</v>
      </c>
      <c r="GW66" s="1186" t="str">
        <f t="shared" si="41"/>
        <v xml:space="preserve"> </v>
      </c>
      <c r="GX66" s="1186" t="str">
        <f t="shared" si="41"/>
        <v xml:space="preserve"> </v>
      </c>
      <c r="GY66" s="1195">
        <f t="shared" si="63"/>
        <v>0</v>
      </c>
      <c r="GZ66" s="1184">
        <f t="shared" si="64"/>
        <v>0</v>
      </c>
      <c r="HA66" s="1184" t="str">
        <f t="shared" si="132"/>
        <v>a</v>
      </c>
      <c r="HB66" s="1196">
        <f t="shared" si="65"/>
        <v>0</v>
      </c>
      <c r="HC66" s="1196">
        <f t="shared" si="66"/>
        <v>0</v>
      </c>
      <c r="HD66" s="1196"/>
      <c r="HE66" s="1187">
        <f t="shared" si="67"/>
        <v>0</v>
      </c>
      <c r="HF66" s="1196">
        <f t="shared" si="68"/>
        <v>0</v>
      </c>
      <c r="HG66" s="1196">
        <f t="shared" si="69"/>
        <v>0</v>
      </c>
      <c r="HH66" s="1196">
        <f t="shared" si="70"/>
        <v>0</v>
      </c>
      <c r="HI66" s="1328" cm="1">
        <f t="array" ref="HI66">IF(AND(HG66=0,GL66=0),0,IF(HG66=0,1,IF(OR(GL66*1000/HG66/HH66&gt;INDEX(Pflanzen!$W$5:$W$104,CZ66)/INDEX(Pflanzen!$I$5:$I$104,CZ66)*$HI$1,GL66*1000/HG66/HH66&lt;INDEX(Pflanzen!$W$5:$W$104,CZ66)/INDEX(Pflanzen!$I$5:$I$104,CZ66)/$HI$1),1,0)))</f>
        <v>0</v>
      </c>
      <c r="HJ66" s="1328" cm="1">
        <f t="array" ref="HJ66">IF(AND(GM66=0,HG66=0),0,IF(HG66=0,1,IF(OR(GM66*1000/HG66/HH66&gt;INDEX(Pflanzen!$X$5:$X$104,CZ66)/INDEX(Pflanzen!$I$5:$I$104,CZ66)*$HI$1,GM66*1000/HG66/HH66&lt;INDEX(Pflanzen!$X$5:$X$104,CZ66)/INDEX(Pflanzen!$I$5:$I$104,CZ66)/$HI$1),1,0)))</f>
        <v>0</v>
      </c>
      <c r="HK66" s="1184">
        <f t="shared" si="71"/>
        <v>3</v>
      </c>
      <c r="HL66" s="1184"/>
      <c r="HN66" s="1184"/>
      <c r="HO66" s="1193" t="str">
        <f>Tiere!B92</f>
        <v>Mutterschafe (ohne Lamm), andere Schafe, konventionell</v>
      </c>
      <c r="HP66" s="1184">
        <v>63</v>
      </c>
      <c r="HQ66" s="1194">
        <f>SUMIF('Nährstoffe und Lagerraum'!$BM$68:$BM$87,'Lagerhaltung (freiwillig)'!HP66,'Nährstoffe und Lagerraum'!$Z$68:$Z$87)+SUMIF('Nährstoffe und Lagerraum'!$BM$68:$BM$87,'Lagerhaltung (freiwillig)'!HP66,'Nährstoffe und Lagerraum'!$AA$68:$AA$87)</f>
        <v>0</v>
      </c>
      <c r="HR66" s="1184" cm="1">
        <f t="array" ref="HR66">INDEX(Tiere!$C$30:$C$114,'Lagerhaltung (freiwillig)'!HP66)</f>
        <v>4</v>
      </c>
      <c r="HS66" s="1184" cm="1">
        <f t="array" ref="HS66">INDEX(Tiere!$H$30:$H$114,'Lagerhaltung (freiwillig)'!HP66)</f>
        <v>12.8</v>
      </c>
      <c r="HT66" s="1184">
        <f t="shared" si="12"/>
        <v>0</v>
      </c>
      <c r="HU66" s="1184" cm="1">
        <f t="array" ref="HU66">INDEX(Tiere!$I$30:$I$114,'Lagerhaltung (freiwillig)'!HP66)</f>
        <v>3.56</v>
      </c>
      <c r="HV66" s="1184">
        <f t="shared" si="13"/>
        <v>0</v>
      </c>
      <c r="HW66" s="1184" cm="1">
        <f t="array" ref="HW66">INDEX(Tiere!$BC$30:$BC$114,'Lagerhaltung (freiwillig)'!HP66)</f>
        <v>0.18200000000000002</v>
      </c>
      <c r="HX66" s="1184">
        <f t="shared" si="14"/>
        <v>0</v>
      </c>
      <c r="HY66" s="1184" cm="1">
        <f t="array" ref="HY66">INDEX(Tiere!$BD$30:$BD$114,'Lagerhaltung (freiwillig)'!HP66)</f>
        <v>9.5900000000000013E-2</v>
      </c>
      <c r="HZ66" s="1184">
        <f t="shared" si="15"/>
        <v>0</v>
      </c>
      <c r="IA66" s="1184"/>
      <c r="IB66" s="1184"/>
      <c r="IC66" s="1184"/>
      <c r="ID66" s="1184"/>
      <c r="IE66" s="1184"/>
      <c r="IF66" s="1184"/>
      <c r="IG66" s="1184"/>
      <c r="IH66" s="1184"/>
      <c r="II66" s="1184"/>
      <c r="IJ66" s="1184"/>
      <c r="IK66" s="1184"/>
      <c r="IL66" s="1184"/>
    </row>
    <row r="67" spans="1:246" ht="15.6" customHeight="1" x14ac:dyDescent="0.2">
      <c r="F67" s="1122"/>
      <c r="G67" s="1498"/>
      <c r="H67" s="1336"/>
      <c r="I67" s="1165" t="str">
        <f t="shared" si="133"/>
        <v/>
      </c>
      <c r="J67" s="1303"/>
      <c r="K67" s="1165" t="str">
        <f t="shared" si="134"/>
        <v/>
      </c>
      <c r="L67" s="1487"/>
      <c r="M67" s="1491"/>
      <c r="N67" s="1487"/>
      <c r="O67" s="1487"/>
      <c r="P67" s="1303"/>
      <c r="Q67" s="1281" t="str">
        <f t="shared" si="135"/>
        <v/>
      </c>
      <c r="R67" s="1487"/>
      <c r="S67" s="1491"/>
      <c r="T67" s="1303"/>
      <c r="V67" s="1346" t="str">
        <f t="shared" si="156"/>
        <v/>
      </c>
      <c r="Y67" s="1554" t="str" cm="1">
        <f t="array" ref="Y67">IFERROR(INDEX($CY$4:$CY$165,AY67),"")</f>
        <v/>
      </c>
      <c r="Z67" s="1555"/>
      <c r="AA67" s="1555"/>
      <c r="AB67" s="1555"/>
      <c r="AC67" s="1454" t="str" cm="1">
        <f t="array" ref="AC67">IFERROR(INDEX($GN$4:$GN$165,AY67),"")</f>
        <v/>
      </c>
      <c r="AD67" s="1454" t="str" cm="1">
        <f t="array" ref="AD67">IFERROR(INDEX($GO$4:$GO$165,AY67),"")</f>
        <v/>
      </c>
      <c r="AE67" s="1454" t="str" cm="1">
        <f t="array" ref="AE67">IFERROR(INDEX($GJ$4:$GJ$165,AY67),"")</f>
        <v/>
      </c>
      <c r="AF67" s="1454" t="str" cm="1">
        <f t="array" ref="AF67">IFERROR(INDEX($GK$4:$GK$165,AY67),"")</f>
        <v/>
      </c>
      <c r="AG67" s="1454" t="str" cm="1">
        <f t="array" ref="AG67">IFERROR(INDEX($GQ$4:$GQ$165,AY67),"")</f>
        <v/>
      </c>
      <c r="AH67" s="1454" t="str" cm="1">
        <f t="array" ref="AH67">IFERROR(INDEX($GR$4:$GR$165,AY67),"")</f>
        <v/>
      </c>
      <c r="AI67" s="1454" t="str" cm="1">
        <f t="array" ref="AI67">IFERROR(INDEX($GH$4:$GH$165,AY67),"")</f>
        <v/>
      </c>
      <c r="AJ67" s="1454" t="str" cm="1">
        <f t="array" ref="AJ67">IFERROR(INDEX($GI$4:$GI$165,AY67),"")</f>
        <v/>
      </c>
      <c r="AK67" s="1454" t="str" cm="1">
        <f t="array" ref="AK67">IFERROR(INDEX($GU$4:$GU$165,AY67),"")</f>
        <v/>
      </c>
      <c r="AL67" s="1455" t="str" cm="1">
        <f t="array" ref="AL67">IFERROR(INDEX($GV$4:$GV$165,AY67),"")</f>
        <v/>
      </c>
      <c r="AM67" s="1454" t="str" cm="1">
        <f t="array" ref="AM67">IFERROR(INDEX($GD$4:$GD$165,AY67),"")</f>
        <v/>
      </c>
      <c r="AN67" s="1454" t="str" cm="1">
        <f t="array" ref="AN67">IFERROR(INDEX($GE$4:$GE$165,AY67),"")</f>
        <v/>
      </c>
      <c r="AO67" s="1454" t="str" cm="1">
        <f t="array" ref="AO67">IFERROR(INDEX($GW$4:$GW$165,AY67),"")</f>
        <v/>
      </c>
      <c r="AP67" s="1454" t="str" cm="1">
        <f t="array" ref="AP67">IFERROR(INDEX($GZ$4:$GZ$165,AY67),"")</f>
        <v/>
      </c>
      <c r="AQ67" s="1457"/>
      <c r="AR67" s="1454" t="str" cm="1">
        <f t="array" ref="AR67">IFERROR(INDEX($HF$4:$HF$165,AY67),"")</f>
        <v/>
      </c>
      <c r="AS67" s="1454" t="str" cm="1">
        <f t="array" ref="AS67">IFERROR(INDEX($HG$4:$HG$165,AY67),"")</f>
        <v/>
      </c>
      <c r="AT67" s="1454" t="str" cm="1">
        <f t="array" ref="AT67">IFERROR(INDEX($HH$4:$HH$165,AY67),"")</f>
        <v/>
      </c>
      <c r="AU67" s="1454" t="str" cm="1">
        <f t="array" ref="AU67">IFERROR(INDEX($GL$4:$GL$165,AY67),"")</f>
        <v/>
      </c>
      <c r="AV67" s="1454" t="str" cm="1">
        <f t="array" ref="AV67">IFERROR(INDEX($GM$4:$GM$165,AY67),"")</f>
        <v/>
      </c>
      <c r="AW67" s="1459"/>
      <c r="AX67" s="1459"/>
      <c r="AY67" s="1460" t="str" cm="1">
        <f t="array" ref="AY67">IFERROR(SMALL(IF($HK$4:$HK$165=1,ROW($HK$4:$HK$165)-3),ROW(W52)),IFERROR(SMALL(IF($HK$4:$HK$165=2,ROW($HK$4:$HK$165)-3),ROW(W52)-COUNTIF($HK$4:$HK$165,1)),IFERROR(SMALL(IF($HK$4:$HK$165=0,ROW($HK$4:$HK$165)-3),ROW(W52)-COUNTIF($HK$4:$HK$165,1)-COUNTIF($HK$4:$HK$165,2)),"")))</f>
        <v/>
      </c>
      <c r="AZ67" s="1460" t="str">
        <f t="shared" si="129"/>
        <v>a</v>
      </c>
      <c r="BA67" s="1461" t="e">
        <f t="shared" si="130"/>
        <v>#VALUE!</v>
      </c>
      <c r="BB67" s="1461" cm="1">
        <f t="array" ref="BB67">IFERROR(INDEX($HK$4:$HK$165,AY67),0)</f>
        <v>0</v>
      </c>
      <c r="BC67" s="1461">
        <f t="shared" si="131"/>
        <v>0</v>
      </c>
      <c r="BD67" s="1461"/>
      <c r="BE67" s="1462"/>
      <c r="BF67" s="1343"/>
      <c r="BG67" s="1343"/>
      <c r="BH67" s="1343"/>
      <c r="BI67" s="1343"/>
      <c r="BJ67" s="1343"/>
      <c r="BK67" s="1343"/>
      <c r="BL67" s="1343"/>
      <c r="BM67" s="1343"/>
      <c r="BN67" s="1343"/>
      <c r="BO67" s="1343"/>
      <c r="BQ67" s="1184">
        <v>1</v>
      </c>
      <c r="BR67" cm="1">
        <f t="array" ref="BR67">INDEX(Pflanzen!$B$5:$B$112,'Lagerhaltung (freiwillig)'!BQ67)</f>
        <v>1</v>
      </c>
      <c r="BS67" s="1184"/>
      <c r="BT67" s="1184" t="b">
        <v>0</v>
      </c>
      <c r="BU67" s="1185"/>
      <c r="BV67" s="1185"/>
      <c r="BW67" s="1184">
        <f t="shared" si="136"/>
        <v>12</v>
      </c>
      <c r="BX67" s="1184">
        <f t="shared" si="137"/>
        <v>0</v>
      </c>
      <c r="BY67" s="1184">
        <f t="shared" si="138"/>
        <v>12</v>
      </c>
      <c r="BZ67" s="1184" cm="1">
        <f t="array" ref="BZ67">INDEX(Pflanzen!$AB$5:$AB$114,'Lagerhaltung (freiwillig)'!BR67)</f>
        <v>0</v>
      </c>
      <c r="CA67" s="1184" cm="1">
        <f t="array" ref="CA67">IF(BZ67=1,INDEX(Pflanzen!$AC$5:$AC$114,BR67),N67)</f>
        <v>0</v>
      </c>
      <c r="CB67" s="1184" cm="1">
        <f t="array" ref="CB67">IF(BZ67=1,INDEX(Pflanzen!$AD$5:$AD$114,BR67),O67)</f>
        <v>0</v>
      </c>
      <c r="CC67" s="1184">
        <f t="shared" si="139"/>
        <v>12</v>
      </c>
      <c r="CD67" s="1184">
        <f t="shared" si="140"/>
        <v>0</v>
      </c>
      <c r="CE67" s="1184">
        <f t="shared" si="141"/>
        <v>12</v>
      </c>
      <c r="CF67" s="1184" cm="1">
        <f t="array" ref="CF67">INDEX(Pflanzen!$F$5:$F$114,BR67)</f>
        <v>0</v>
      </c>
      <c r="CG67" s="1184" cm="1">
        <f t="array" ref="CG67">INDEX(Pflanzen!$G$5:$G$114,BR67)</f>
        <v>0</v>
      </c>
      <c r="CH67" s="1184">
        <f t="shared" si="142"/>
        <v>0</v>
      </c>
      <c r="CI67" s="1184">
        <f t="shared" si="143"/>
        <v>0</v>
      </c>
      <c r="CJ67" s="1184">
        <f t="shared" si="144"/>
        <v>0</v>
      </c>
      <c r="CK67" s="1184">
        <f t="shared" si="145"/>
        <v>0</v>
      </c>
      <c r="CL67" s="1184">
        <f t="shared" si="146"/>
        <v>0</v>
      </c>
      <c r="CM67" s="1184">
        <f t="shared" si="147"/>
        <v>0</v>
      </c>
      <c r="CN67" s="1184">
        <f t="shared" si="148"/>
        <v>0</v>
      </c>
      <c r="CO67" s="1184">
        <f t="shared" si="149"/>
        <v>0</v>
      </c>
      <c r="CP67" s="1184">
        <f t="shared" si="150"/>
        <v>0</v>
      </c>
      <c r="CQ67" s="1184">
        <f t="shared" si="151"/>
        <v>0</v>
      </c>
      <c r="CR67" s="1184">
        <f t="shared" si="152"/>
        <v>0</v>
      </c>
      <c r="CS67" s="1184">
        <f t="shared" si="153"/>
        <v>0</v>
      </c>
      <c r="CT67" s="1184">
        <f t="shared" si="154"/>
        <v>0</v>
      </c>
      <c r="CU67" s="1184">
        <f>IF(OR(AND(R67&lt;0,OR(AND(CP67&lt;&gt;CK67,CM67&gt;0),AND(CP67&lt;&gt;CH67,CI67&gt;0))),      AND(COUNTIF($BR$14:$BR$68,BR67)&gt;1,COUNTIFS($BR$14:$BR$68,BR67,$R$14:$R$68,"&lt;0")&gt;0)),1,2)</f>
        <v>2</v>
      </c>
      <c r="CV67" s="1186" cm="1">
        <f t="array" ref="CV67">IF(AND(COUNTIF($BR$14:$BR$36,BR67)&gt;0,BR67&lt;ROWS(Pflanzen!$C$5:$C$107)),INDEX(Pflanzen!$I$5:$I$114,BR67),SUMIF($BR$44:$BR$68,BR67,$F$44:$F$69)/COUNTIF($BR$44:$BR$68,BR67))</f>
        <v>0</v>
      </c>
      <c r="CW67" s="1186">
        <f t="shared" si="155"/>
        <v>0</v>
      </c>
      <c r="CX67" s="1184"/>
      <c r="CY67" s="320" t="str">
        <f>Pflanzen!A63</f>
        <v>Weidelgras (inkl. Leg. bis 30 %)</v>
      </c>
      <c r="CZ67" s="1200">
        <f>IFERROR(MATCH($CY67,Pflanzen!$C$5:$C$114,0),1)</f>
        <v>59</v>
      </c>
      <c r="DA67" s="320" cm="1">
        <f t="array" ref="DA67">INDEX(Pflanzen!$H$5:$H$114,'Lagerhaltung (freiwillig)'!CZ67)</f>
        <v>1</v>
      </c>
      <c r="DB67" s="1200">
        <f t="shared" si="162"/>
        <v>0</v>
      </c>
      <c r="DC67" s="1200">
        <f t="shared" si="162"/>
        <v>0</v>
      </c>
      <c r="DD67" s="1200">
        <f t="shared" si="162"/>
        <v>0</v>
      </c>
      <c r="DE67" s="1200">
        <f t="shared" si="162"/>
        <v>0</v>
      </c>
      <c r="DF67" s="1200">
        <f t="shared" si="162"/>
        <v>0</v>
      </c>
      <c r="DG67" s="1184">
        <f t="shared" si="162"/>
        <v>0</v>
      </c>
      <c r="DH67" s="1184">
        <f t="shared" si="162"/>
        <v>0</v>
      </c>
      <c r="DI67" s="1184">
        <f t="shared" si="162"/>
        <v>0</v>
      </c>
      <c r="DJ67" s="1184">
        <f t="shared" si="162"/>
        <v>0</v>
      </c>
      <c r="DK67" s="1184">
        <f t="shared" si="162"/>
        <v>0</v>
      </c>
      <c r="DL67" s="1184">
        <f t="shared" si="162"/>
        <v>0</v>
      </c>
      <c r="DM67" s="1184">
        <f t="shared" si="162"/>
        <v>0</v>
      </c>
      <c r="DN67" s="1184"/>
      <c r="DO67" s="1184">
        <f t="shared" si="163"/>
        <v>0</v>
      </c>
      <c r="DP67" s="1184">
        <f t="shared" si="163"/>
        <v>0</v>
      </c>
      <c r="DQ67" s="1184">
        <f t="shared" si="163"/>
        <v>0</v>
      </c>
      <c r="DR67" s="1184">
        <f t="shared" si="163"/>
        <v>0</v>
      </c>
      <c r="DS67" s="1184">
        <f t="shared" si="163"/>
        <v>0</v>
      </c>
      <c r="DT67" s="1184">
        <f t="shared" si="163"/>
        <v>0</v>
      </c>
      <c r="DU67" s="1184">
        <f t="shared" si="163"/>
        <v>0</v>
      </c>
      <c r="DV67" s="1184">
        <f t="shared" si="163"/>
        <v>0</v>
      </c>
      <c r="DW67" s="1184">
        <f t="shared" si="163"/>
        <v>0</v>
      </c>
      <c r="DX67" s="1184">
        <f t="shared" si="163"/>
        <v>0</v>
      </c>
      <c r="DY67" s="1184">
        <f t="shared" si="163"/>
        <v>0</v>
      </c>
      <c r="DZ67" s="1184">
        <f t="shared" si="163"/>
        <v>0</v>
      </c>
      <c r="EA67" s="1184"/>
      <c r="EB67" s="1184">
        <f t="shared" si="164"/>
        <v>0</v>
      </c>
      <c r="EC67" s="1184">
        <f t="shared" si="164"/>
        <v>0</v>
      </c>
      <c r="ED67" s="1184">
        <f t="shared" si="164"/>
        <v>0</v>
      </c>
      <c r="EE67" s="1184">
        <f t="shared" si="164"/>
        <v>0</v>
      </c>
      <c r="EF67" s="1184">
        <f t="shared" si="164"/>
        <v>0</v>
      </c>
      <c r="EG67" s="1184">
        <f t="shared" si="164"/>
        <v>0</v>
      </c>
      <c r="EH67" s="1184">
        <f t="shared" si="164"/>
        <v>0</v>
      </c>
      <c r="EI67" s="1184">
        <f t="shared" si="164"/>
        <v>0</v>
      </c>
      <c r="EJ67" s="1184">
        <f t="shared" si="164"/>
        <v>0</v>
      </c>
      <c r="EK67" s="1184">
        <f t="shared" si="164"/>
        <v>0</v>
      </c>
      <c r="EL67" s="1184">
        <f t="shared" si="164"/>
        <v>0</v>
      </c>
      <c r="EM67" s="1184">
        <f t="shared" si="164"/>
        <v>0</v>
      </c>
      <c r="EN67" s="1184"/>
      <c r="EO67" s="1184">
        <f t="shared" si="165"/>
        <v>0</v>
      </c>
      <c r="EP67" s="1184">
        <f t="shared" si="165"/>
        <v>0</v>
      </c>
      <c r="EQ67" s="1184">
        <f t="shared" si="165"/>
        <v>0</v>
      </c>
      <c r="ER67" s="1184">
        <f t="shared" si="165"/>
        <v>0</v>
      </c>
      <c r="ES67" s="1184">
        <f t="shared" si="165"/>
        <v>0</v>
      </c>
      <c r="ET67" s="1184">
        <f t="shared" si="165"/>
        <v>0</v>
      </c>
      <c r="EU67" s="1184">
        <f t="shared" si="165"/>
        <v>0</v>
      </c>
      <c r="EV67" s="1184">
        <f t="shared" si="165"/>
        <v>0</v>
      </c>
      <c r="EW67" s="1184">
        <f t="shared" si="165"/>
        <v>0</v>
      </c>
      <c r="EX67" s="1184">
        <f t="shared" si="165"/>
        <v>0</v>
      </c>
      <c r="EY67" s="1184">
        <f t="shared" si="165"/>
        <v>0</v>
      </c>
      <c r="EZ67" s="1184">
        <f t="shared" si="165"/>
        <v>0</v>
      </c>
      <c r="FA67" s="1184"/>
      <c r="FB67" s="1186">
        <f t="shared" si="51"/>
        <v>0</v>
      </c>
      <c r="FC67" s="1184">
        <f>FB67+DB67+EB67                 -         SUMIF('Nährstoffe und Lagerraum'!$AX$113:$AX$155,$CZ67,'Nährstoffe und Lagerraum'!$U$113:$U$155)/12  -$GD67*$HE67/12</f>
        <v>0</v>
      </c>
      <c r="FD67" s="1184">
        <f>FC67+DC67+EC67                 -         SUMIF('Nährstoffe und Lagerraum'!$AX$113:$AX$155,$CZ67,'Nährstoffe und Lagerraum'!$U$113:$U$155)/12  -$GD67*$HE67/12</f>
        <v>0</v>
      </c>
      <c r="FE67" s="1184">
        <f>FD67+DD67+ED67                 -         SUMIF('Nährstoffe und Lagerraum'!$AX$113:$AX$155,$CZ67,'Nährstoffe und Lagerraum'!$U$113:$U$155)/12  -$GD67*$HE67/12</f>
        <v>0</v>
      </c>
      <c r="FF67" s="1184">
        <f>FE67+DE67+EE67                 -         SUMIF('Nährstoffe und Lagerraum'!$AX$113:$AX$155,$CZ67,'Nährstoffe und Lagerraum'!$U$113:$U$155)/12  -$GD67*$HE67/12</f>
        <v>0</v>
      </c>
      <c r="FG67" s="1184">
        <f>FF67+DF67+EF67                 -         SUMIF('Nährstoffe und Lagerraum'!$AX$113:$AX$155,$CZ67,'Nährstoffe und Lagerraum'!$U$113:$U$155)/12  -$GD67*$HE67/12</f>
        <v>0</v>
      </c>
      <c r="FH67" s="1184">
        <f>FG67+DG67+EG67                 -         SUMIF('Nährstoffe und Lagerraum'!$AX$113:$AX$155,$CZ67,'Nährstoffe und Lagerraum'!$U$113:$U$155)/12  -$GD67*$HE67/12</f>
        <v>0</v>
      </c>
      <c r="FI67" s="1184">
        <f>FH67+DH67+EH67                 -         SUMIF('Nährstoffe und Lagerraum'!$AX$113:$AX$155,$CZ67,'Nährstoffe und Lagerraum'!$U$113:$U$155)/12  -$GD67*$HE67/12</f>
        <v>0</v>
      </c>
      <c r="FJ67" s="1184">
        <f>FI67+DI67+EI67                 -         SUMIF('Nährstoffe und Lagerraum'!$AX$113:$AX$155,$CZ67,'Nährstoffe und Lagerraum'!$U$113:$U$155)/12  -$GD67*$HE67/12</f>
        <v>0</v>
      </c>
      <c r="FK67" s="1184">
        <f>FJ67+DJ67+EJ67                 -         SUMIF('Nährstoffe und Lagerraum'!$AX$113:$AX$155,$CZ67,'Nährstoffe und Lagerraum'!$U$113:$U$155)/12  -$GD67*$HE67/12</f>
        <v>0</v>
      </c>
      <c r="FL67" s="1184">
        <f>FK67+DK67+EK67                 -         SUMIF('Nährstoffe und Lagerraum'!$AX$113:$AX$155,$CZ67,'Nährstoffe und Lagerraum'!$U$113:$U$155)/12  -$GD67*$HE67/12</f>
        <v>0</v>
      </c>
      <c r="FM67" s="1184">
        <f>FL67+DL67+EL67                 -         SUMIF('Nährstoffe und Lagerraum'!$AX$113:$AX$155,$CZ67,'Nährstoffe und Lagerraum'!$U$113:$U$155)/12  -$GD67*$HE67/12</f>
        <v>0</v>
      </c>
      <c r="FN67" s="1184">
        <f>FM67+DM67+EM67                 -         SUMIF('Nährstoffe und Lagerraum'!$AX$113:$AX$155,$CZ67,'Nährstoffe und Lagerraum'!$U$113:$U$155)/12  -$GD67*$HE67/12</f>
        <v>0</v>
      </c>
      <c r="FO67" s="1184"/>
      <c r="FP67" s="1186">
        <f t="shared" si="52"/>
        <v>0</v>
      </c>
      <c r="FQ67" s="1184">
        <f>FP67+DO67+EO67                 -         SUMIF('Nährstoffe und Lagerraum'!$AX$113:$AX$155,$CZ67,'Nährstoffe und Lagerraum'!$V$113:$V$155)/12  -$GE67*$HE67/12</f>
        <v>0</v>
      </c>
      <c r="FR67" s="1184">
        <f>FQ67+DP67+EP67                 -         SUMIF('Nährstoffe und Lagerraum'!$AX$113:$AX$155,$CZ67,'Nährstoffe und Lagerraum'!$V$113:$V$155)/12  -$GE67*$HE67/12</f>
        <v>0</v>
      </c>
      <c r="FS67" s="1184">
        <f>FR67+DQ67+EQ67                 -         SUMIF('Nährstoffe und Lagerraum'!$AX$113:$AX$155,$CZ67,'Nährstoffe und Lagerraum'!$V$113:$V$155)/12  -$GE67*$HE67/12</f>
        <v>0</v>
      </c>
      <c r="FT67" s="1184">
        <f>FS67+DR67+ER67                 -         SUMIF('Nährstoffe und Lagerraum'!$AX$113:$AX$155,$CZ67,'Nährstoffe und Lagerraum'!$V$113:$V$155)/12  -$GE67*$HE67/12</f>
        <v>0</v>
      </c>
      <c r="FU67" s="1184">
        <f>FT67+DS67+ES67                 -         SUMIF('Nährstoffe und Lagerraum'!$AX$113:$AX$155,$CZ67,'Nährstoffe und Lagerraum'!$V$113:$V$155)/12  -$GE67*$HE67/12</f>
        <v>0</v>
      </c>
      <c r="FV67" s="1184">
        <f>FU67+DT67+ET67                 -         SUMIF('Nährstoffe und Lagerraum'!$AX$113:$AX$155,$CZ67,'Nährstoffe und Lagerraum'!$V$113:$V$155)/12  -$GE67*$HE67/12</f>
        <v>0</v>
      </c>
      <c r="FW67" s="1184">
        <f>FV67+DU67+EU67                 -         SUMIF('Nährstoffe und Lagerraum'!$AX$113:$AX$155,$CZ67,'Nährstoffe und Lagerraum'!$V$113:$V$155)/12  -$GE67*$HE67/12</f>
        <v>0</v>
      </c>
      <c r="FX67" s="1184">
        <f>FW67+DV67+EV67                 -         SUMIF('Nährstoffe und Lagerraum'!$AX$113:$AX$155,$CZ67,'Nährstoffe und Lagerraum'!$V$113:$V$155)/12  -$GE67*$HE67/12</f>
        <v>0</v>
      </c>
      <c r="FY67" s="1184">
        <f>FX67+DW67+EW67                 -         SUMIF('Nährstoffe und Lagerraum'!$AX$113:$AX$155,$CZ67,'Nährstoffe und Lagerraum'!$V$113:$V$155)/12  -$GE67*$HE67/12</f>
        <v>0</v>
      </c>
      <c r="FZ67" s="1184">
        <f>FY67+DX67+EX67                 -         SUMIF('Nährstoffe und Lagerraum'!$AX$113:$AX$155,$CZ67,'Nährstoffe und Lagerraum'!$V$113:$V$155)/12  -$GE67*$HE67/12</f>
        <v>0</v>
      </c>
      <c r="GA67" s="1184">
        <f>FZ67+DY67+EY67                 -         SUMIF('Nährstoffe und Lagerraum'!$AX$113:$AX$155,$CZ67,'Nährstoffe und Lagerraum'!$V$113:$V$155)/12  -$GE67*$HE67/12</f>
        <v>0</v>
      </c>
      <c r="GB67" s="1184">
        <f>GA67+DZ67+EZ67                 -         SUMIF('Nährstoffe und Lagerraum'!$AX$113:$AX$155,$CZ67,'Nährstoffe und Lagerraum'!$V$113:$V$155)/12  -$GE67*$HE67/12</f>
        <v>0</v>
      </c>
      <c r="GC67" s="1184"/>
      <c r="GD67" s="1184">
        <f>SUMIFS($CI$14:$CI$68,$BR$14:$BR$68,$CZ67)+SUMIFS($CM$14:$CM$68,$BR$14:$BR$68,$CZ67)+SUMIFS($CR$14:$CR$68,$BR$14:$BR$68,$CZ67)  -         SUMIF('Nährstoffe und Lagerraum'!$AX$113:$AX$155,$CZ67,'Nährstoffe und Lagerraum'!$U$113:$U$155)</f>
        <v>0</v>
      </c>
      <c r="GE67" s="1184">
        <f>SUMIFS($CJ$14:$CJ$68,$BR$14:$BR$68,$CZ67)+SUMIFS($CO$14:$CO$68,$BR$14:$BR$68,$CZ67)+SUMIFS($CT$14:$CT$68,$BR$14:$BR$68,$CZ67)  -         SUMIF('Nährstoffe und Lagerraum'!$AX$113:$AX$155,$CZ67,'Nährstoffe und Lagerraum'!$V$113:$V$155)</f>
        <v>0</v>
      </c>
      <c r="GF67" s="1184"/>
      <c r="GG67" s="1184"/>
      <c r="GH67" s="1184">
        <f>SUMIF('Nährstoffe und Lagerraum'!$AX$113:$AX$155,$CZ67,'Nährstoffe und Lagerraum'!$U$113:$U$155)</f>
        <v>0</v>
      </c>
      <c r="GI67" s="1184">
        <f>SUMIF('Nährstoffe und Lagerraum'!$AX$113:$AX$155,$CZ67,'Nährstoffe und Lagerraum'!$V$113:$V$155)</f>
        <v>0</v>
      </c>
      <c r="GJ67" s="1184">
        <f t="shared" si="53"/>
        <v>0</v>
      </c>
      <c r="GK67" s="1184">
        <f t="shared" si="54"/>
        <v>0</v>
      </c>
      <c r="GL67" s="1184">
        <f t="shared" si="55"/>
        <v>0</v>
      </c>
      <c r="GM67" s="1184">
        <f t="shared" si="56"/>
        <v>0</v>
      </c>
      <c r="GN67" s="1184">
        <f t="shared" si="57"/>
        <v>0</v>
      </c>
      <c r="GO67" s="1184" cm="1">
        <f t="array" ref="GO67">IF(GN67=0,0,(IFERROR(SUMPRODUCT($J$14:$J$68,$CH$14:$CH$68,($BR$14:$BR$68=CZ67)*1)+SUMPRODUCT($L$14:$L$68,$M$14:$M$68,$CK$14:$CK$68,($BR$14:$BR$68=CZ67)*1,($BT$14:$BT$68=FALSE)*1)/10+SUMPRODUCT($R$14:$R$68,$CP$14:$CP$68,($BR$14:$BR$68=CZ67)*1),0))/GN67)</f>
        <v>0</v>
      </c>
      <c r="GP67" s="1184">
        <f t="shared" si="58"/>
        <v>0</v>
      </c>
      <c r="GQ67" s="1184">
        <f>(SUMIF('Nährstoffe und Lagerraum'!$AX$113:$AX$130,'Lagerhaltung (freiwillig)'!CZ67,'Nährstoffe und Lagerraum'!$D$113:$D$130)+SUMIF('Nährstoffe und Lagerraum'!$AX$137:$AX$155,'Lagerhaltung (freiwillig)'!CZ67,'Nährstoffe und Lagerraum'!$E$137:$E$155))</f>
        <v>0</v>
      </c>
      <c r="GR67" s="1184" cm="1">
        <f t="array" ref="GR67">IF(GQ67=0,0,(IFERROR(SUMPRODUCT('Nährstoffe und Lagerraum'!$D$113:$D$130,'Nährstoffe und Lagerraum'!$F$113:$F$130,('Nährstoffe und Lagerraum'!$AX$113:$AX$130='Lagerhaltung (freiwillig)'!CZ67)*1)+SUMPRODUCT('Nährstoffe und Lagerraum'!$E$137:$E$155,'Nährstoffe und Lagerraum'!$F$137:$F$155,('Nährstoffe und Lagerraum'!$AX$137:$AX$155='Lagerhaltung (freiwillig)'!CZ67)*1),0))/GQ67)</f>
        <v>0</v>
      </c>
      <c r="GS67" s="1184">
        <f t="shared" si="59"/>
        <v>0</v>
      </c>
      <c r="GT67" s="1184">
        <f t="shared" si="60"/>
        <v>0</v>
      </c>
      <c r="GU67" s="1184">
        <f t="shared" si="61"/>
        <v>0</v>
      </c>
      <c r="GV67" s="1184">
        <f t="shared" si="62"/>
        <v>0</v>
      </c>
      <c r="GW67" s="1186" t="str">
        <f t="shared" si="41"/>
        <v xml:space="preserve"> </v>
      </c>
      <c r="GX67" s="1186" t="str">
        <f t="shared" si="41"/>
        <v xml:space="preserve"> </v>
      </c>
      <c r="GY67" s="1195">
        <f t="shared" si="63"/>
        <v>0</v>
      </c>
      <c r="GZ67" s="1184">
        <f t="shared" si="64"/>
        <v>0</v>
      </c>
      <c r="HA67" s="1184" t="str">
        <f t="shared" si="132"/>
        <v>a</v>
      </c>
      <c r="HB67" s="1196">
        <f t="shared" si="65"/>
        <v>0</v>
      </c>
      <c r="HC67" s="1196">
        <f t="shared" si="66"/>
        <v>0</v>
      </c>
      <c r="HD67" s="1196"/>
      <c r="HE67" s="1187">
        <f t="shared" si="67"/>
        <v>0</v>
      </c>
      <c r="HF67" s="1196">
        <f t="shared" si="68"/>
        <v>0</v>
      </c>
      <c r="HG67" s="1196">
        <f t="shared" si="69"/>
        <v>0</v>
      </c>
      <c r="HH67" s="1196">
        <f t="shared" si="70"/>
        <v>0</v>
      </c>
      <c r="HI67" s="1328" cm="1">
        <f t="array" ref="HI67">IF(AND(HG67=0,GL67=0),0,IF(HG67=0,1,IF(OR(GL67*1000/HG67/HH67&gt;INDEX(Pflanzen!$W$5:$W$104,CZ67)/INDEX(Pflanzen!$I$5:$I$104,CZ67)*$HI$1,GL67*1000/HG67/HH67&lt;INDEX(Pflanzen!$W$5:$W$104,CZ67)/INDEX(Pflanzen!$I$5:$I$104,CZ67)/$HI$1),1,0)))</f>
        <v>0</v>
      </c>
      <c r="HJ67" s="1328" cm="1">
        <f t="array" ref="HJ67">IF(AND(GM67=0,HG67=0),0,IF(HG67=0,1,IF(OR(GM67*1000/HG67/HH67&gt;INDEX(Pflanzen!$X$5:$X$104,CZ67)/INDEX(Pflanzen!$I$5:$I$104,CZ67)*$HI$1,GM67*1000/HG67/HH67&lt;INDEX(Pflanzen!$X$5:$X$104,CZ67)/INDEX(Pflanzen!$I$5:$I$104,CZ67)/$HI$1),1,0)))</f>
        <v>0</v>
      </c>
      <c r="HK67" s="1184">
        <f t="shared" si="71"/>
        <v>3</v>
      </c>
      <c r="HL67" s="1184"/>
      <c r="HN67" s="1184"/>
      <c r="HO67" s="1193" t="str">
        <f>Tiere!B93</f>
        <v>Milchziegen mit Lämmer, andere Ziegen</v>
      </c>
      <c r="HP67" s="1184">
        <v>64</v>
      </c>
      <c r="HQ67" s="1194">
        <f>SUMIF('Nährstoffe und Lagerraum'!$BM$68:$BM$87,'Lagerhaltung (freiwillig)'!HP67,'Nährstoffe und Lagerraum'!$Z$68:$Z$87)+SUMIF('Nährstoffe und Lagerraum'!$BM$68:$BM$87,'Lagerhaltung (freiwillig)'!HP67,'Nährstoffe und Lagerraum'!$AA$68:$AA$87)</f>
        <v>0</v>
      </c>
      <c r="HR67" s="1184" cm="1">
        <f t="array" ref="HR67">INDEX(Tiere!$C$30:$C$114,'Lagerhaltung (freiwillig)'!HP67)</f>
        <v>5</v>
      </c>
      <c r="HS67" s="1184" cm="1">
        <f t="array" ref="HS67">INDEX(Tiere!$H$30:$H$114,'Lagerhaltung (freiwillig)'!HP67)</f>
        <v>11.7</v>
      </c>
      <c r="HT67" s="1184">
        <f t="shared" si="12"/>
        <v>0</v>
      </c>
      <c r="HU67" s="1184" cm="1">
        <f t="array" ref="HU67">INDEX(Tiere!$I$30:$I$114,'Lagerhaltung (freiwillig)'!HP67)</f>
        <v>3.81</v>
      </c>
      <c r="HV67" s="1184">
        <f t="shared" si="13"/>
        <v>0</v>
      </c>
      <c r="HW67" s="1184" cm="1">
        <f t="array" ref="HW67">INDEX(Tiere!$BC$30:$BC$114,'Lagerhaltung (freiwillig)'!HP67)</f>
        <v>0.624</v>
      </c>
      <c r="HX67" s="1184">
        <f t="shared" si="14"/>
        <v>0</v>
      </c>
      <c r="HY67" s="1184" cm="1">
        <f t="array" ref="HY67">INDEX(Tiere!$BD$30:$BD$114,'Lagerhaltung (freiwillig)'!HP67)</f>
        <v>0.32880000000000004</v>
      </c>
      <c r="HZ67" s="1184">
        <f t="shared" si="15"/>
        <v>0</v>
      </c>
      <c r="IA67" s="1184"/>
      <c r="IB67" s="1184"/>
      <c r="IC67" s="1184"/>
      <c r="ID67" s="1184"/>
      <c r="IE67" s="1184"/>
      <c r="IF67" s="1184"/>
      <c r="IG67" s="1184"/>
      <c r="IH67" s="1184"/>
      <c r="II67" s="1184"/>
      <c r="IJ67" s="1184"/>
      <c r="IK67" s="1184"/>
      <c r="IL67" s="1184"/>
    </row>
    <row r="68" spans="1:246" ht="15.6" customHeight="1" thickBot="1" x14ac:dyDescent="0.25">
      <c r="F68" s="1495"/>
      <c r="G68" s="1500"/>
      <c r="H68" s="1340"/>
      <c r="I68" s="1163" t="str">
        <f t="shared" si="133"/>
        <v/>
      </c>
      <c r="J68" s="1304"/>
      <c r="K68" s="1163" t="str">
        <f t="shared" si="134"/>
        <v/>
      </c>
      <c r="L68" s="1488"/>
      <c r="M68" s="1496"/>
      <c r="N68" s="1488"/>
      <c r="O68" s="1488"/>
      <c r="P68" s="1304"/>
      <c r="Q68" s="1166" t="str">
        <f t="shared" si="135"/>
        <v/>
      </c>
      <c r="R68" s="1488"/>
      <c r="S68" s="1496"/>
      <c r="T68" s="1304"/>
      <c r="V68" s="1346" t="str">
        <f t="shared" si="156"/>
        <v/>
      </c>
      <c r="Y68" s="1554" t="str" cm="1">
        <f t="array" ref="Y68">IFERROR(INDEX($CY$4:$CY$165,AY68),"")</f>
        <v/>
      </c>
      <c r="Z68" s="1555"/>
      <c r="AA68" s="1555"/>
      <c r="AB68" s="1555"/>
      <c r="AC68" s="1454" t="str" cm="1">
        <f t="array" ref="AC68">IFERROR(INDEX($GN$4:$GN$165,AY68),"")</f>
        <v/>
      </c>
      <c r="AD68" s="1454" t="str" cm="1">
        <f t="array" ref="AD68">IFERROR(INDEX($GO$4:$GO$165,AY68),"")</f>
        <v/>
      </c>
      <c r="AE68" s="1454" t="str" cm="1">
        <f t="array" ref="AE68">IFERROR(INDEX($GJ$4:$GJ$165,AY68),"")</f>
        <v/>
      </c>
      <c r="AF68" s="1454" t="str" cm="1">
        <f t="array" ref="AF68">IFERROR(INDEX($GK$4:$GK$165,AY68),"")</f>
        <v/>
      </c>
      <c r="AG68" s="1454" t="str" cm="1">
        <f t="array" ref="AG68">IFERROR(INDEX($GQ$4:$GQ$165,AY68),"")</f>
        <v/>
      </c>
      <c r="AH68" s="1454" t="str" cm="1">
        <f t="array" ref="AH68">IFERROR(INDEX($GR$4:$GR$165,AY68),"")</f>
        <v/>
      </c>
      <c r="AI68" s="1454" t="str" cm="1">
        <f t="array" ref="AI68">IFERROR(INDEX($GH$4:$GH$165,AY68),"")</f>
        <v/>
      </c>
      <c r="AJ68" s="1454" t="str" cm="1">
        <f t="array" ref="AJ68">IFERROR(INDEX($GI$4:$GI$165,AY68),"")</f>
        <v/>
      </c>
      <c r="AK68" s="1454" t="str" cm="1">
        <f t="array" ref="AK68">IFERROR(INDEX($GU$4:$GU$165,AY68),"")</f>
        <v/>
      </c>
      <c r="AL68" s="1455" t="str" cm="1">
        <f t="array" ref="AL68">IFERROR(INDEX($GV$4:$GV$165,AY68),"")</f>
        <v/>
      </c>
      <c r="AM68" s="1454" t="str" cm="1">
        <f t="array" ref="AM68">IFERROR(INDEX($GD$4:$GD$165,AY68),"")</f>
        <v/>
      </c>
      <c r="AN68" s="1454" t="str" cm="1">
        <f t="array" ref="AN68">IFERROR(INDEX($GE$4:$GE$165,AY68),"")</f>
        <v/>
      </c>
      <c r="AO68" s="1454" t="str" cm="1">
        <f t="array" ref="AO68">IFERROR(INDEX($GW$4:$GW$165,AY68),"")</f>
        <v/>
      </c>
      <c r="AP68" s="1454" t="str" cm="1">
        <f t="array" ref="AP68">IFERROR(INDEX($GZ$4:$GZ$165,AY68),"")</f>
        <v/>
      </c>
      <c r="AQ68" s="1457"/>
      <c r="AR68" s="1454" t="str" cm="1">
        <f t="array" ref="AR68">IFERROR(INDEX($HF$4:$HF$165,AY68),"")</f>
        <v/>
      </c>
      <c r="AS68" s="1454" t="str" cm="1">
        <f t="array" ref="AS68">IFERROR(INDEX($HG$4:$HG$165,AY68),"")</f>
        <v/>
      </c>
      <c r="AT68" s="1454" t="str" cm="1">
        <f t="array" ref="AT68">IFERROR(INDEX($HH$4:$HH$165,AY68),"")</f>
        <v/>
      </c>
      <c r="AU68" s="1454" t="str" cm="1">
        <f t="array" ref="AU68">IFERROR(INDEX($GL$4:$GL$165,AY68),"")</f>
        <v/>
      </c>
      <c r="AV68" s="1454" t="str" cm="1">
        <f t="array" ref="AV68">IFERROR(INDEX($GM$4:$GM$165,AY68),"")</f>
        <v/>
      </c>
      <c r="AW68" s="1459"/>
      <c r="AX68" s="1459"/>
      <c r="AY68" s="1460" t="str" cm="1">
        <f t="array" ref="AY68">IFERROR(SMALL(IF($HK$4:$HK$165=1,ROW($HK$4:$HK$165)-3),ROW(W53)),IFERROR(SMALL(IF($HK$4:$HK$165=2,ROW($HK$4:$HK$165)-3),ROW(W53)-COUNTIF($HK$4:$HK$165,1)),IFERROR(SMALL(IF($HK$4:$HK$165=0,ROW($HK$4:$HK$165)-3),ROW(W53)-COUNTIF($HK$4:$HK$165,1)-COUNTIF($HK$4:$HK$165,2)),"")))</f>
        <v/>
      </c>
      <c r="AZ68" s="1460" t="str">
        <f t="shared" si="129"/>
        <v>a</v>
      </c>
      <c r="BA68" s="1461" t="e">
        <f t="shared" si="130"/>
        <v>#VALUE!</v>
      </c>
      <c r="BB68" s="1461" cm="1">
        <f t="array" ref="BB68">IFERROR(INDEX($HK$4:$HK$165,AY68),0)</f>
        <v>0</v>
      </c>
      <c r="BC68" s="1461">
        <f t="shared" si="131"/>
        <v>0</v>
      </c>
      <c r="BD68" s="1461"/>
      <c r="BE68" s="1462"/>
      <c r="BF68" s="1343"/>
      <c r="BG68" s="1343"/>
      <c r="BH68" s="1343"/>
      <c r="BI68" s="1343"/>
      <c r="BJ68" s="1343"/>
      <c r="BK68" s="1343"/>
      <c r="BL68" s="1343"/>
      <c r="BM68" s="1343"/>
      <c r="BN68" s="1343"/>
      <c r="BO68" s="1343"/>
      <c r="BQ68" s="1184">
        <v>1</v>
      </c>
      <c r="BR68" cm="1">
        <f t="array" ref="BR68">INDEX(Pflanzen!$B$5:$B$112,'Lagerhaltung (freiwillig)'!BQ68)</f>
        <v>1</v>
      </c>
      <c r="BS68" s="1184"/>
      <c r="BT68" s="1184" t="b">
        <v>0</v>
      </c>
      <c r="BU68" s="1185"/>
      <c r="BV68" s="1185"/>
      <c r="BW68" s="1184">
        <f t="shared" si="136"/>
        <v>12</v>
      </c>
      <c r="BX68" s="1184">
        <f t="shared" si="137"/>
        <v>0</v>
      </c>
      <c r="BY68" s="1184">
        <f t="shared" si="138"/>
        <v>12</v>
      </c>
      <c r="BZ68" s="1184" cm="1">
        <f t="array" ref="BZ68">INDEX(Pflanzen!$AB$5:$AB$114,'Lagerhaltung (freiwillig)'!BR68)</f>
        <v>0</v>
      </c>
      <c r="CA68" s="1184" cm="1">
        <f t="array" ref="CA68">IF(BZ68=1,INDEX(Pflanzen!$AC$5:$AC$114,BR68),N68)</f>
        <v>0</v>
      </c>
      <c r="CB68" s="1184" cm="1">
        <f t="array" ref="CB68">IF(BZ68=1,INDEX(Pflanzen!$AD$5:$AD$114,BR68),O68)</f>
        <v>0</v>
      </c>
      <c r="CC68" s="1184">
        <f t="shared" si="139"/>
        <v>12</v>
      </c>
      <c r="CD68" s="1184">
        <f t="shared" si="140"/>
        <v>0</v>
      </c>
      <c r="CE68" s="1184">
        <f t="shared" si="141"/>
        <v>12</v>
      </c>
      <c r="CF68" s="1184" cm="1">
        <f t="array" ref="CF68">INDEX(Pflanzen!$F$5:$F$114,BR68)</f>
        <v>0</v>
      </c>
      <c r="CG68" s="1184" cm="1">
        <f t="array" ref="CG68">INDEX(Pflanzen!$G$5:$G$114,BR68)</f>
        <v>0</v>
      </c>
      <c r="CH68" s="1184">
        <f t="shared" si="142"/>
        <v>0</v>
      </c>
      <c r="CI68" s="1184">
        <f t="shared" si="143"/>
        <v>0</v>
      </c>
      <c r="CJ68" s="1184">
        <f t="shared" si="144"/>
        <v>0</v>
      </c>
      <c r="CK68" s="1184">
        <f t="shared" si="145"/>
        <v>0</v>
      </c>
      <c r="CL68" s="1184">
        <f t="shared" si="146"/>
        <v>0</v>
      </c>
      <c r="CM68" s="1184">
        <f t="shared" si="147"/>
        <v>0</v>
      </c>
      <c r="CN68" s="1184">
        <f t="shared" si="148"/>
        <v>0</v>
      </c>
      <c r="CO68" s="1184">
        <f t="shared" si="149"/>
        <v>0</v>
      </c>
      <c r="CP68" s="1184">
        <f t="shared" si="150"/>
        <v>0</v>
      </c>
      <c r="CQ68" s="1184">
        <f t="shared" si="151"/>
        <v>0</v>
      </c>
      <c r="CR68" s="1184">
        <f t="shared" si="152"/>
        <v>0</v>
      </c>
      <c r="CS68" s="1184">
        <f t="shared" si="153"/>
        <v>0</v>
      </c>
      <c r="CT68" s="1184">
        <f t="shared" si="154"/>
        <v>0</v>
      </c>
      <c r="CU68" s="1184">
        <f t="shared" ref="CU68" si="166">IF(OR(AND(R68&lt;0,OR(AND(CP68&lt;&gt;CK68,CM68&gt;0),AND(CP68&lt;&gt;CH68,CI68&gt;0))),      AND(COUNTIF($BR$14:$BR$68,BR68)&gt;1,COUNTIFS($BR$14:$BR$68,BR68,$R$14:$R$68,"&lt;0")&gt;0)),1,2)</f>
        <v>2</v>
      </c>
      <c r="CV68" s="1186" cm="1">
        <f t="array" ref="CV68">IF(AND(COUNTIF($BR$14:$BR$36,BR68)&gt;0,BR68&lt;ROWS(Pflanzen!$C$5:$C$107)),INDEX(Pflanzen!$I$5:$I$114,BR68),SUMIF($BR$44:$BR$68,BR68,$F$44:$F$69)/COUNTIF($BR$44:$BR$68,BR68))</f>
        <v>0</v>
      </c>
      <c r="CW68" s="1186">
        <f t="shared" si="155"/>
        <v>0</v>
      </c>
      <c r="CX68" s="1184"/>
      <c r="CY68" s="320" t="str">
        <f>Pflanzen!A64</f>
        <v>Kleegras, Gemenge (30 - 70 % Leg.)</v>
      </c>
      <c r="CZ68" s="1200">
        <f>IFERROR(MATCH($CY68,Pflanzen!$C$5:$C$114,0),1)</f>
        <v>60</v>
      </c>
      <c r="DA68" s="320" cm="1">
        <f t="array" ref="DA68">INDEX(Pflanzen!$H$5:$H$114,'Lagerhaltung (freiwillig)'!CZ68)</f>
        <v>1</v>
      </c>
      <c r="DB68" s="1200">
        <f t="shared" si="162"/>
        <v>0</v>
      </c>
      <c r="DC68" s="1200">
        <f t="shared" si="162"/>
        <v>0</v>
      </c>
      <c r="DD68" s="1200">
        <f t="shared" si="162"/>
        <v>0</v>
      </c>
      <c r="DE68" s="1200">
        <f t="shared" si="162"/>
        <v>0</v>
      </c>
      <c r="DF68" s="1200">
        <f t="shared" si="162"/>
        <v>0</v>
      </c>
      <c r="DG68" s="1184">
        <f t="shared" si="162"/>
        <v>0</v>
      </c>
      <c r="DH68" s="1184">
        <f t="shared" si="162"/>
        <v>0</v>
      </c>
      <c r="DI68" s="1184">
        <f t="shared" si="162"/>
        <v>0</v>
      </c>
      <c r="DJ68" s="1184">
        <f t="shared" si="162"/>
        <v>0</v>
      </c>
      <c r="DK68" s="1184">
        <f t="shared" si="162"/>
        <v>0</v>
      </c>
      <c r="DL68" s="1184">
        <f t="shared" si="162"/>
        <v>0</v>
      </c>
      <c r="DM68" s="1184">
        <f t="shared" si="162"/>
        <v>0</v>
      </c>
      <c r="DN68" s="1184"/>
      <c r="DO68" s="1184">
        <f t="shared" si="163"/>
        <v>0</v>
      </c>
      <c r="DP68" s="1184">
        <f t="shared" si="163"/>
        <v>0</v>
      </c>
      <c r="DQ68" s="1184">
        <f t="shared" si="163"/>
        <v>0</v>
      </c>
      <c r="DR68" s="1184">
        <f t="shared" si="163"/>
        <v>0</v>
      </c>
      <c r="DS68" s="1184">
        <f t="shared" si="163"/>
        <v>0</v>
      </c>
      <c r="DT68" s="1184">
        <f t="shared" si="163"/>
        <v>0</v>
      </c>
      <c r="DU68" s="1184">
        <f t="shared" si="163"/>
        <v>0</v>
      </c>
      <c r="DV68" s="1184">
        <f t="shared" si="163"/>
        <v>0</v>
      </c>
      <c r="DW68" s="1184">
        <f t="shared" si="163"/>
        <v>0</v>
      </c>
      <c r="DX68" s="1184">
        <f t="shared" si="163"/>
        <v>0</v>
      </c>
      <c r="DY68" s="1184">
        <f t="shared" si="163"/>
        <v>0</v>
      </c>
      <c r="DZ68" s="1184">
        <f t="shared" si="163"/>
        <v>0</v>
      </c>
      <c r="EA68" s="1184"/>
      <c r="EB68" s="1184">
        <f t="shared" si="164"/>
        <v>0</v>
      </c>
      <c r="EC68" s="1184">
        <f t="shared" si="164"/>
        <v>0</v>
      </c>
      <c r="ED68" s="1184">
        <f t="shared" si="164"/>
        <v>0</v>
      </c>
      <c r="EE68" s="1184">
        <f t="shared" si="164"/>
        <v>0</v>
      </c>
      <c r="EF68" s="1184">
        <f t="shared" si="164"/>
        <v>0</v>
      </c>
      <c r="EG68" s="1184">
        <f t="shared" si="164"/>
        <v>0</v>
      </c>
      <c r="EH68" s="1184">
        <f t="shared" si="164"/>
        <v>0</v>
      </c>
      <c r="EI68" s="1184">
        <f t="shared" si="164"/>
        <v>0</v>
      </c>
      <c r="EJ68" s="1184">
        <f t="shared" si="164"/>
        <v>0</v>
      </c>
      <c r="EK68" s="1184">
        <f t="shared" si="164"/>
        <v>0</v>
      </c>
      <c r="EL68" s="1184">
        <f t="shared" si="164"/>
        <v>0</v>
      </c>
      <c r="EM68" s="1184">
        <f t="shared" si="164"/>
        <v>0</v>
      </c>
      <c r="EN68" s="1184"/>
      <c r="EO68" s="1184">
        <f t="shared" si="165"/>
        <v>0</v>
      </c>
      <c r="EP68" s="1184">
        <f t="shared" si="165"/>
        <v>0</v>
      </c>
      <c r="EQ68" s="1184">
        <f t="shared" si="165"/>
        <v>0</v>
      </c>
      <c r="ER68" s="1184">
        <f t="shared" si="165"/>
        <v>0</v>
      </c>
      <c r="ES68" s="1184">
        <f t="shared" si="165"/>
        <v>0</v>
      </c>
      <c r="ET68" s="1184">
        <f t="shared" si="165"/>
        <v>0</v>
      </c>
      <c r="EU68" s="1184">
        <f t="shared" si="165"/>
        <v>0</v>
      </c>
      <c r="EV68" s="1184">
        <f t="shared" si="165"/>
        <v>0</v>
      </c>
      <c r="EW68" s="1184">
        <f t="shared" si="165"/>
        <v>0</v>
      </c>
      <c r="EX68" s="1184">
        <f t="shared" si="165"/>
        <v>0</v>
      </c>
      <c r="EY68" s="1184">
        <f t="shared" si="165"/>
        <v>0</v>
      </c>
      <c r="EZ68" s="1184">
        <f t="shared" si="165"/>
        <v>0</v>
      </c>
      <c r="FA68" s="1184"/>
      <c r="FB68" s="1186">
        <f t="shared" si="51"/>
        <v>0</v>
      </c>
      <c r="FC68" s="1184">
        <f>FB68+DB68+EB68                 -         SUMIF('Nährstoffe und Lagerraum'!$AX$113:$AX$155,$CZ68,'Nährstoffe und Lagerraum'!$U$113:$U$155)/12  -$GD68*$HE68/12</f>
        <v>0</v>
      </c>
      <c r="FD68" s="1184">
        <f>FC68+DC68+EC68                 -         SUMIF('Nährstoffe und Lagerraum'!$AX$113:$AX$155,$CZ68,'Nährstoffe und Lagerraum'!$U$113:$U$155)/12  -$GD68*$HE68/12</f>
        <v>0</v>
      </c>
      <c r="FE68" s="1184">
        <f>FD68+DD68+ED68                 -         SUMIF('Nährstoffe und Lagerraum'!$AX$113:$AX$155,$CZ68,'Nährstoffe und Lagerraum'!$U$113:$U$155)/12  -$GD68*$HE68/12</f>
        <v>0</v>
      </c>
      <c r="FF68" s="1184">
        <f>FE68+DE68+EE68                 -         SUMIF('Nährstoffe und Lagerraum'!$AX$113:$AX$155,$CZ68,'Nährstoffe und Lagerraum'!$U$113:$U$155)/12  -$GD68*$HE68/12</f>
        <v>0</v>
      </c>
      <c r="FG68" s="1184">
        <f>FF68+DF68+EF68                 -         SUMIF('Nährstoffe und Lagerraum'!$AX$113:$AX$155,$CZ68,'Nährstoffe und Lagerraum'!$U$113:$U$155)/12  -$GD68*$HE68/12</f>
        <v>0</v>
      </c>
      <c r="FH68" s="1184">
        <f>FG68+DG68+EG68                 -         SUMIF('Nährstoffe und Lagerraum'!$AX$113:$AX$155,$CZ68,'Nährstoffe und Lagerraum'!$U$113:$U$155)/12  -$GD68*$HE68/12</f>
        <v>0</v>
      </c>
      <c r="FI68" s="1184">
        <f>FH68+DH68+EH68                 -         SUMIF('Nährstoffe und Lagerraum'!$AX$113:$AX$155,$CZ68,'Nährstoffe und Lagerraum'!$U$113:$U$155)/12  -$GD68*$HE68/12</f>
        <v>0</v>
      </c>
      <c r="FJ68" s="1184">
        <f>FI68+DI68+EI68                 -         SUMIF('Nährstoffe und Lagerraum'!$AX$113:$AX$155,$CZ68,'Nährstoffe und Lagerraum'!$U$113:$U$155)/12  -$GD68*$HE68/12</f>
        <v>0</v>
      </c>
      <c r="FK68" s="1184">
        <f>FJ68+DJ68+EJ68                 -         SUMIF('Nährstoffe und Lagerraum'!$AX$113:$AX$155,$CZ68,'Nährstoffe und Lagerraum'!$U$113:$U$155)/12  -$GD68*$HE68/12</f>
        <v>0</v>
      </c>
      <c r="FL68" s="1184">
        <f>FK68+DK68+EK68                 -         SUMIF('Nährstoffe und Lagerraum'!$AX$113:$AX$155,$CZ68,'Nährstoffe und Lagerraum'!$U$113:$U$155)/12  -$GD68*$HE68/12</f>
        <v>0</v>
      </c>
      <c r="FM68" s="1184">
        <f>FL68+DL68+EL68                 -         SUMIF('Nährstoffe und Lagerraum'!$AX$113:$AX$155,$CZ68,'Nährstoffe und Lagerraum'!$U$113:$U$155)/12  -$GD68*$HE68/12</f>
        <v>0</v>
      </c>
      <c r="FN68" s="1184">
        <f>FM68+DM68+EM68                 -         SUMIF('Nährstoffe und Lagerraum'!$AX$113:$AX$155,$CZ68,'Nährstoffe und Lagerraum'!$U$113:$U$155)/12  -$GD68*$HE68/12</f>
        <v>0</v>
      </c>
      <c r="FO68" s="1184"/>
      <c r="FP68" s="1186">
        <f t="shared" si="52"/>
        <v>0</v>
      </c>
      <c r="FQ68" s="1184">
        <f>FP68+DO68+EO68                 -         SUMIF('Nährstoffe und Lagerraum'!$AX$113:$AX$155,$CZ68,'Nährstoffe und Lagerraum'!$V$113:$V$155)/12  -$GE68*$HE68/12</f>
        <v>0</v>
      </c>
      <c r="FR68" s="1184">
        <f>FQ68+DP68+EP68                 -         SUMIF('Nährstoffe und Lagerraum'!$AX$113:$AX$155,$CZ68,'Nährstoffe und Lagerraum'!$V$113:$V$155)/12  -$GE68*$HE68/12</f>
        <v>0</v>
      </c>
      <c r="FS68" s="1184">
        <f>FR68+DQ68+EQ68                 -         SUMIF('Nährstoffe und Lagerraum'!$AX$113:$AX$155,$CZ68,'Nährstoffe und Lagerraum'!$V$113:$V$155)/12  -$GE68*$HE68/12</f>
        <v>0</v>
      </c>
      <c r="FT68" s="1184">
        <f>FS68+DR68+ER68                 -         SUMIF('Nährstoffe und Lagerraum'!$AX$113:$AX$155,$CZ68,'Nährstoffe und Lagerraum'!$V$113:$V$155)/12  -$GE68*$HE68/12</f>
        <v>0</v>
      </c>
      <c r="FU68" s="1184">
        <f>FT68+DS68+ES68                 -         SUMIF('Nährstoffe und Lagerraum'!$AX$113:$AX$155,$CZ68,'Nährstoffe und Lagerraum'!$V$113:$V$155)/12  -$GE68*$HE68/12</f>
        <v>0</v>
      </c>
      <c r="FV68" s="1184">
        <f>FU68+DT68+ET68                 -         SUMIF('Nährstoffe und Lagerraum'!$AX$113:$AX$155,$CZ68,'Nährstoffe und Lagerraum'!$V$113:$V$155)/12  -$GE68*$HE68/12</f>
        <v>0</v>
      </c>
      <c r="FW68" s="1184">
        <f>FV68+DU68+EU68                 -         SUMIF('Nährstoffe und Lagerraum'!$AX$113:$AX$155,$CZ68,'Nährstoffe und Lagerraum'!$V$113:$V$155)/12  -$GE68*$HE68/12</f>
        <v>0</v>
      </c>
      <c r="FX68" s="1184">
        <f>FW68+DV68+EV68                 -         SUMIF('Nährstoffe und Lagerraum'!$AX$113:$AX$155,$CZ68,'Nährstoffe und Lagerraum'!$V$113:$V$155)/12  -$GE68*$HE68/12</f>
        <v>0</v>
      </c>
      <c r="FY68" s="1184">
        <f>FX68+DW68+EW68                 -         SUMIF('Nährstoffe und Lagerraum'!$AX$113:$AX$155,$CZ68,'Nährstoffe und Lagerraum'!$V$113:$V$155)/12  -$GE68*$HE68/12</f>
        <v>0</v>
      </c>
      <c r="FZ68" s="1184">
        <f>FY68+DX68+EX68                 -         SUMIF('Nährstoffe und Lagerraum'!$AX$113:$AX$155,$CZ68,'Nährstoffe und Lagerraum'!$V$113:$V$155)/12  -$GE68*$HE68/12</f>
        <v>0</v>
      </c>
      <c r="GA68" s="1184">
        <f>FZ68+DY68+EY68                 -         SUMIF('Nährstoffe und Lagerraum'!$AX$113:$AX$155,$CZ68,'Nährstoffe und Lagerraum'!$V$113:$V$155)/12  -$GE68*$HE68/12</f>
        <v>0</v>
      </c>
      <c r="GB68" s="1184">
        <f>GA68+DZ68+EZ68                 -         SUMIF('Nährstoffe und Lagerraum'!$AX$113:$AX$155,$CZ68,'Nährstoffe und Lagerraum'!$V$113:$V$155)/12  -$GE68*$HE68/12</f>
        <v>0</v>
      </c>
      <c r="GC68" s="1184"/>
      <c r="GD68" s="1184">
        <f>SUMIFS($CI$14:$CI$68,$BR$14:$BR$68,$CZ68)+SUMIFS($CM$14:$CM$68,$BR$14:$BR$68,$CZ68)+SUMIFS($CR$14:$CR$68,$BR$14:$BR$68,$CZ68)  -         SUMIF('Nährstoffe und Lagerraum'!$AX$113:$AX$155,$CZ68,'Nährstoffe und Lagerraum'!$U$113:$U$155)</f>
        <v>0</v>
      </c>
      <c r="GE68" s="1184">
        <f>SUMIFS($CJ$14:$CJ$68,$BR$14:$BR$68,$CZ68)+SUMIFS($CO$14:$CO$68,$BR$14:$BR$68,$CZ68)+SUMIFS($CT$14:$CT$68,$BR$14:$BR$68,$CZ68)  -         SUMIF('Nährstoffe und Lagerraum'!$AX$113:$AX$155,$CZ68,'Nährstoffe und Lagerraum'!$V$113:$V$155)</f>
        <v>0</v>
      </c>
      <c r="GF68" s="1184"/>
      <c r="GG68" s="1184"/>
      <c r="GH68" s="1184">
        <f>SUMIF('Nährstoffe und Lagerraum'!$AX$113:$AX$155,$CZ68,'Nährstoffe und Lagerraum'!$U$113:$U$155)</f>
        <v>0</v>
      </c>
      <c r="GI68" s="1184">
        <f>SUMIF('Nährstoffe und Lagerraum'!$AX$113:$AX$155,$CZ68,'Nährstoffe und Lagerraum'!$V$113:$V$155)</f>
        <v>0</v>
      </c>
      <c r="GJ68" s="1184">
        <f t="shared" si="53"/>
        <v>0</v>
      </c>
      <c r="GK68" s="1184">
        <f t="shared" si="54"/>
        <v>0</v>
      </c>
      <c r="GL68" s="1184">
        <f t="shared" si="55"/>
        <v>0</v>
      </c>
      <c r="GM68" s="1184">
        <f t="shared" si="56"/>
        <v>0</v>
      </c>
      <c r="GN68" s="1184">
        <f t="shared" si="57"/>
        <v>0</v>
      </c>
      <c r="GO68" s="1184" cm="1">
        <f t="array" ref="GO68">IF(GN68=0,0,(IFERROR(SUMPRODUCT($J$14:$J$68,$CH$14:$CH$68,($BR$14:$BR$68=CZ68)*1)+SUMPRODUCT($L$14:$L$68,$M$14:$M$68,$CK$14:$CK$68,($BR$14:$BR$68=CZ68)*1,($BT$14:$BT$68=FALSE)*1)/10+SUMPRODUCT($R$14:$R$68,$CP$14:$CP$68,($BR$14:$BR$68=CZ68)*1),0))/GN68)</f>
        <v>0</v>
      </c>
      <c r="GP68" s="1184">
        <f t="shared" si="58"/>
        <v>0</v>
      </c>
      <c r="GQ68" s="1184">
        <f>(SUMIF('Nährstoffe und Lagerraum'!$AX$113:$AX$130,'Lagerhaltung (freiwillig)'!CZ68,'Nährstoffe und Lagerraum'!$D$113:$D$130)+SUMIF('Nährstoffe und Lagerraum'!$AX$137:$AX$155,'Lagerhaltung (freiwillig)'!CZ68,'Nährstoffe und Lagerraum'!$E$137:$E$155))</f>
        <v>0</v>
      </c>
      <c r="GR68" s="1184" cm="1">
        <f t="array" ref="GR68">IF(GQ68=0,0,(IFERROR(SUMPRODUCT('Nährstoffe und Lagerraum'!$D$113:$D$130,'Nährstoffe und Lagerraum'!$F$113:$F$130,('Nährstoffe und Lagerraum'!$AX$113:$AX$130='Lagerhaltung (freiwillig)'!CZ68)*1)+SUMPRODUCT('Nährstoffe und Lagerraum'!$E$137:$E$155,'Nährstoffe und Lagerraum'!$F$137:$F$155,('Nährstoffe und Lagerraum'!$AX$137:$AX$155='Lagerhaltung (freiwillig)'!CZ68)*1),0))/GQ68)</f>
        <v>0</v>
      </c>
      <c r="GS68" s="1184">
        <f t="shared" si="59"/>
        <v>0</v>
      </c>
      <c r="GT68" s="1184">
        <f t="shared" si="60"/>
        <v>0</v>
      </c>
      <c r="GU68" s="1184">
        <f t="shared" si="61"/>
        <v>0</v>
      </c>
      <c r="GV68" s="1184">
        <f t="shared" si="62"/>
        <v>0</v>
      </c>
      <c r="GW68" s="1186" t="str">
        <f t="shared" si="41"/>
        <v xml:space="preserve"> </v>
      </c>
      <c r="GX68" s="1186" t="str">
        <f t="shared" si="41"/>
        <v xml:space="preserve"> </v>
      </c>
      <c r="GY68" s="1195">
        <f t="shared" si="63"/>
        <v>0</v>
      </c>
      <c r="GZ68" s="1184">
        <f t="shared" si="64"/>
        <v>0</v>
      </c>
      <c r="HA68" s="1184" t="str">
        <f t="shared" si="132"/>
        <v>a</v>
      </c>
      <c r="HB68" s="1196">
        <f t="shared" si="65"/>
        <v>0</v>
      </c>
      <c r="HC68" s="1196">
        <f t="shared" si="66"/>
        <v>0</v>
      </c>
      <c r="HD68" s="1196"/>
      <c r="HE68" s="1187">
        <f t="shared" si="67"/>
        <v>0</v>
      </c>
      <c r="HF68" s="1196">
        <f t="shared" si="68"/>
        <v>0</v>
      </c>
      <c r="HG68" s="1196">
        <f t="shared" si="69"/>
        <v>0</v>
      </c>
      <c r="HH68" s="1196">
        <f t="shared" si="70"/>
        <v>0</v>
      </c>
      <c r="HI68" s="1328" cm="1">
        <f t="array" ref="HI68">IF(AND(HG68=0,GL68=0),0,IF(HG68=0,1,IF(OR(GL68*1000/HG68/HH68&gt;INDEX(Pflanzen!$W$5:$W$104,CZ68)/INDEX(Pflanzen!$I$5:$I$104,CZ68)*$HI$1,GL68*1000/HG68/HH68&lt;INDEX(Pflanzen!$W$5:$W$104,CZ68)/INDEX(Pflanzen!$I$5:$I$104,CZ68)/$HI$1),1,0)))</f>
        <v>0</v>
      </c>
      <c r="HJ68" s="1328" cm="1">
        <f t="array" ref="HJ68">IF(AND(GM68=0,HG68=0),0,IF(HG68=0,1,IF(OR(GM68*1000/HG68/HH68&gt;INDEX(Pflanzen!$X$5:$X$104,CZ68)/INDEX(Pflanzen!$I$5:$I$104,CZ68)*$HI$1,GM68*1000/HG68/HH68&lt;INDEX(Pflanzen!$X$5:$X$104,CZ68)/INDEX(Pflanzen!$I$5:$I$104,CZ68)/$HI$1),1,0)))</f>
        <v>0</v>
      </c>
      <c r="HK68" s="1184">
        <f t="shared" si="71"/>
        <v>3</v>
      </c>
      <c r="HL68" s="1184"/>
      <c r="HN68" s="1184"/>
      <c r="HO68" s="1193" t="str">
        <f>Tiere!B94</f>
        <v>Pferde bis ein Jahr, Ponys und Kleinpferde</v>
      </c>
      <c r="HP68" s="1184">
        <v>65</v>
      </c>
      <c r="HQ68" s="1194">
        <f>SUMIF('Nährstoffe und Lagerraum'!$BM$68:$BM$87,'Lagerhaltung (freiwillig)'!HP68,'Nährstoffe und Lagerraum'!$Z$68:$Z$87)+SUMIF('Nährstoffe und Lagerraum'!$BM$68:$BM$87,'Lagerhaltung (freiwillig)'!HP68,'Nährstoffe und Lagerraum'!$AA$68:$AA$87)</f>
        <v>0</v>
      </c>
      <c r="HR68" s="1184" cm="1">
        <f t="array" ref="HR68">INDEX(Tiere!$C$30:$C$114,'Lagerhaltung (freiwillig)'!HP68)</f>
        <v>6</v>
      </c>
      <c r="HS68" s="1184" cm="1">
        <f t="array" ref="HS68">INDEX(Tiere!$H$30:$H$114,'Lagerhaltung (freiwillig)'!HP68)</f>
        <v>21.7</v>
      </c>
      <c r="HT68" s="1184">
        <f t="shared" si="12"/>
        <v>0</v>
      </c>
      <c r="HU68" s="1184" cm="1">
        <f t="array" ref="HU68">INDEX(Tiere!$I$30:$I$114,'Lagerhaltung (freiwillig)'!HP68)</f>
        <v>8.6999999999999993</v>
      </c>
      <c r="HV68" s="1184">
        <f t="shared" si="13"/>
        <v>0</v>
      </c>
      <c r="HW68" s="1184" cm="1">
        <f t="array" ref="HW68">INDEX(Tiere!$BC$30:$BC$114,'Lagerhaltung (freiwillig)'!HP68)</f>
        <v>1.5</v>
      </c>
      <c r="HX68" s="1184">
        <f t="shared" si="14"/>
        <v>0</v>
      </c>
      <c r="HY68" s="1184" cm="1">
        <f t="array" ref="HY68">INDEX(Tiere!$BD$30:$BD$114,'Lagerhaltung (freiwillig)'!HP68)</f>
        <v>0.87</v>
      </c>
      <c r="HZ68" s="1184">
        <f t="shared" si="15"/>
        <v>0</v>
      </c>
      <c r="IA68" s="1184"/>
      <c r="IB68" s="1184"/>
      <c r="IC68" s="1184"/>
      <c r="ID68" s="1184"/>
      <c r="IE68" s="1184"/>
      <c r="IF68" s="1184"/>
      <c r="IG68" s="1184"/>
      <c r="IH68" s="1184"/>
      <c r="II68" s="1184"/>
      <c r="IJ68" s="1184"/>
      <c r="IK68" s="1184"/>
      <c r="IL68" s="1184"/>
    </row>
    <row r="69" spans="1:246" ht="15.6" customHeight="1" x14ac:dyDescent="0.2">
      <c r="A69" s="242"/>
      <c r="B69" s="242"/>
      <c r="C69" s="242"/>
      <c r="D69" s="242"/>
      <c r="E69" s="242"/>
      <c r="F69" s="242"/>
      <c r="G69" s="242"/>
      <c r="H69" s="242"/>
      <c r="I69" s="242"/>
      <c r="J69" s="242"/>
      <c r="K69" s="242"/>
      <c r="L69" s="242"/>
      <c r="M69" s="242"/>
      <c r="N69" s="242"/>
      <c r="O69" s="242"/>
      <c r="P69" s="242"/>
      <c r="Q69" s="242"/>
      <c r="R69" s="242"/>
      <c r="S69" s="242"/>
      <c r="T69" s="242"/>
      <c r="U69" s="242"/>
      <c r="V69" s="242"/>
      <c r="Y69" s="1981"/>
      <c r="Z69" s="1982"/>
      <c r="AA69" s="1982"/>
      <c r="AB69" s="1982"/>
      <c r="AC69" s="1983"/>
      <c r="AD69" s="1983"/>
      <c r="AE69" s="1983"/>
      <c r="AF69" s="1983"/>
      <c r="AG69" s="1983"/>
      <c r="AH69" s="1983"/>
      <c r="AI69" s="1983"/>
      <c r="AJ69" s="1983"/>
      <c r="AK69" s="1983"/>
      <c r="AL69" s="1984"/>
      <c r="AM69" s="1983"/>
      <c r="AN69" s="1983"/>
      <c r="AO69" s="1983"/>
      <c r="AP69" s="1983"/>
      <c r="AQ69" s="1983"/>
      <c r="AR69" s="1983"/>
      <c r="AS69" s="1983"/>
      <c r="AT69" s="1983"/>
      <c r="AU69" s="1983"/>
      <c r="AV69" s="1983"/>
      <c r="AW69" s="1985"/>
      <c r="AX69" s="1985"/>
      <c r="AY69" s="1985"/>
      <c r="AZ69" s="1985"/>
      <c r="BA69" s="1462"/>
      <c r="BB69" s="1462"/>
      <c r="BC69" s="1462"/>
      <c r="BD69" s="1461"/>
      <c r="BE69" s="1462"/>
      <c r="BF69" s="1343"/>
      <c r="BG69" s="1343"/>
      <c r="BH69" s="1343"/>
      <c r="BI69" s="1343"/>
      <c r="BJ69" s="1343"/>
      <c r="BK69" s="1343"/>
      <c r="BL69" s="1343"/>
      <c r="BM69" s="1343"/>
      <c r="BN69" s="1343"/>
      <c r="BO69" s="1343"/>
      <c r="BQ69" s="1184"/>
      <c r="BR69" s="1184"/>
      <c r="BS69" s="1184"/>
      <c r="BT69" s="1184"/>
      <c r="BU69" s="1185"/>
      <c r="BV69" s="1185"/>
      <c r="BW69" s="1184"/>
      <c r="BX69" s="1184"/>
      <c r="BY69" s="1184"/>
      <c r="BZ69" s="1184"/>
      <c r="CA69" s="1184"/>
      <c r="CB69" s="1184"/>
      <c r="CC69" s="1184"/>
      <c r="CD69" s="1184"/>
      <c r="CE69" s="1184"/>
      <c r="CF69" s="1184"/>
      <c r="CG69" s="1184"/>
      <c r="CH69" s="1184"/>
      <c r="CI69" s="1184"/>
      <c r="CJ69" s="1184"/>
      <c r="CK69" s="1184"/>
      <c r="CL69" s="1184"/>
      <c r="CM69" s="1184"/>
      <c r="CN69" s="1184"/>
      <c r="CO69" s="1184"/>
      <c r="CP69" s="1184"/>
      <c r="CQ69" s="1184"/>
      <c r="CR69" s="1184"/>
      <c r="CS69" s="1184"/>
      <c r="CT69" s="1184"/>
      <c r="CU69" s="1184"/>
      <c r="CV69" s="1184"/>
      <c r="CW69" s="1184"/>
      <c r="CX69" s="1184"/>
      <c r="CY69" s="320" t="str">
        <f>Pflanzen!A65</f>
        <v>Kleegras , Gemenge ( &gt; 70 % Leg.)</v>
      </c>
      <c r="CZ69" s="1200">
        <f>IFERROR(MATCH($CY69,Pflanzen!$C$5:$C$114,0),1)</f>
        <v>61</v>
      </c>
      <c r="DA69" s="320" cm="1">
        <f t="array" ref="DA69">INDEX(Pflanzen!$H$5:$H$114,'Lagerhaltung (freiwillig)'!CZ69)</f>
        <v>1</v>
      </c>
      <c r="DB69" s="1200">
        <f t="shared" ref="DB69:DM78" si="167">SUMIFS($CQ$14:$CQ$68,$BW$14:$BW$68,1,$BX$14:$BX$68,DB$2,$BR$14:$BR$68,$CZ69)+    SUMIFS($CQ$14:$CQ$68,$BW$14:$BW$68,"&gt;1",$BX$14:$BX$68,"&lt;="&amp;DB$2,$BY$14:$BY$68,"&gt;="&amp;DB$2,$BR$14:$BR$68,$CZ69)</f>
        <v>0</v>
      </c>
      <c r="DC69" s="1200">
        <f t="shared" si="167"/>
        <v>0</v>
      </c>
      <c r="DD69" s="1200">
        <f t="shared" si="167"/>
        <v>0</v>
      </c>
      <c r="DE69" s="1200">
        <f t="shared" si="167"/>
        <v>0</v>
      </c>
      <c r="DF69" s="1200">
        <f t="shared" si="167"/>
        <v>0</v>
      </c>
      <c r="DG69" s="1184">
        <f t="shared" si="167"/>
        <v>0</v>
      </c>
      <c r="DH69" s="1184">
        <f t="shared" si="167"/>
        <v>0</v>
      </c>
      <c r="DI69" s="1184">
        <f t="shared" si="167"/>
        <v>0</v>
      </c>
      <c r="DJ69" s="1184">
        <f t="shared" si="167"/>
        <v>0</v>
      </c>
      <c r="DK69" s="1184">
        <f t="shared" si="167"/>
        <v>0</v>
      </c>
      <c r="DL69" s="1184">
        <f t="shared" si="167"/>
        <v>0</v>
      </c>
      <c r="DM69" s="1184">
        <f t="shared" si="167"/>
        <v>0</v>
      </c>
      <c r="DN69" s="1184"/>
      <c r="DO69" s="1184">
        <f t="shared" ref="DO69:DZ78" si="168">SUMIFS($CS$14:$CS$68,$BW$14:$BW$68,1,$BX$14:$BX$68,DO$2,$BR$14:$BR$68,$CZ69)+    SUMIFS($CS$14:$CS$68,$BW$14:$BW$68,"&gt;1",$BX$14:$BX$68,"&lt;="&amp;DO$2,$BY$14:$BY$68,"&gt;="&amp;DO$2,$BR$14:$BR$68,$CZ69)</f>
        <v>0</v>
      </c>
      <c r="DP69" s="1184">
        <f t="shared" si="168"/>
        <v>0</v>
      </c>
      <c r="DQ69" s="1184">
        <f t="shared" si="168"/>
        <v>0</v>
      </c>
      <c r="DR69" s="1184">
        <f t="shared" si="168"/>
        <v>0</v>
      </c>
      <c r="DS69" s="1184">
        <f t="shared" si="168"/>
        <v>0</v>
      </c>
      <c r="DT69" s="1184">
        <f t="shared" si="168"/>
        <v>0</v>
      </c>
      <c r="DU69" s="1184">
        <f t="shared" si="168"/>
        <v>0</v>
      </c>
      <c r="DV69" s="1184">
        <f t="shared" si="168"/>
        <v>0</v>
      </c>
      <c r="DW69" s="1184">
        <f t="shared" si="168"/>
        <v>0</v>
      </c>
      <c r="DX69" s="1184">
        <f t="shared" si="168"/>
        <v>0</v>
      </c>
      <c r="DY69" s="1184">
        <f t="shared" si="168"/>
        <v>0</v>
      </c>
      <c r="DZ69" s="1184">
        <f t="shared" si="168"/>
        <v>0</v>
      </c>
      <c r="EA69" s="1184"/>
      <c r="EB69" s="1184">
        <f t="shared" ref="EB69:EM78" si="169">SUMIFS($CL$14:$CL$68,$CC$14:$CC$68,1,$CD$14:$CD$68,EB$2,$BR$14:$BR$68,$CZ69)+         SUMIFS($CL$14:$CL$68,$CC$14:$CC$68,"&gt;1",$CD$14:$CD$68,"&lt;="&amp;EB$2,$CE$14:$CE$68,"&gt;="&amp;EB$2,$BR$14:$BR$68,$CZ69)</f>
        <v>0</v>
      </c>
      <c r="EC69" s="1184">
        <f t="shared" si="169"/>
        <v>0</v>
      </c>
      <c r="ED69" s="1184">
        <f t="shared" si="169"/>
        <v>0</v>
      </c>
      <c r="EE69" s="1184">
        <f t="shared" si="169"/>
        <v>0</v>
      </c>
      <c r="EF69" s="1184">
        <f t="shared" si="169"/>
        <v>0</v>
      </c>
      <c r="EG69" s="1184">
        <f t="shared" si="169"/>
        <v>0</v>
      </c>
      <c r="EH69" s="1184">
        <f t="shared" si="169"/>
        <v>0</v>
      </c>
      <c r="EI69" s="1184">
        <f t="shared" si="169"/>
        <v>0</v>
      </c>
      <c r="EJ69" s="1184">
        <f t="shared" si="169"/>
        <v>0</v>
      </c>
      <c r="EK69" s="1184">
        <f t="shared" si="169"/>
        <v>0</v>
      </c>
      <c r="EL69" s="1184">
        <f t="shared" si="169"/>
        <v>0</v>
      </c>
      <c r="EM69" s="1184">
        <f t="shared" si="169"/>
        <v>0</v>
      </c>
      <c r="EN69" s="1184"/>
      <c r="EO69" s="1184">
        <f t="shared" ref="EO69:EZ78" si="170">SUMIFS($CN$14:$CN$68,$CC$14:$CC$68,1,$CD$14:$CD$68,EO$2,$BR$14:$BR$68,$CZ69)+         SUMIFS($CN$14:$CN$68,$CC$14:$CC$68,"&gt;1",$CD$14:$CD$68,"&lt;="&amp;EO$2,$CE$14:$CE$68,"&gt;="&amp;EO$2,$BR$14:$BR$68,$CZ69)</f>
        <v>0</v>
      </c>
      <c r="EP69" s="1184">
        <f t="shared" si="170"/>
        <v>0</v>
      </c>
      <c r="EQ69" s="1184">
        <f t="shared" si="170"/>
        <v>0</v>
      </c>
      <c r="ER69" s="1184">
        <f t="shared" si="170"/>
        <v>0</v>
      </c>
      <c r="ES69" s="1184">
        <f t="shared" si="170"/>
        <v>0</v>
      </c>
      <c r="ET69" s="1184">
        <f t="shared" si="170"/>
        <v>0</v>
      </c>
      <c r="EU69" s="1184">
        <f t="shared" si="170"/>
        <v>0</v>
      </c>
      <c r="EV69" s="1184">
        <f t="shared" si="170"/>
        <v>0</v>
      </c>
      <c r="EW69" s="1184">
        <f t="shared" si="170"/>
        <v>0</v>
      </c>
      <c r="EX69" s="1184">
        <f t="shared" si="170"/>
        <v>0</v>
      </c>
      <c r="EY69" s="1184">
        <f t="shared" si="170"/>
        <v>0</v>
      </c>
      <c r="EZ69" s="1184">
        <f t="shared" si="170"/>
        <v>0</v>
      </c>
      <c r="FA69" s="1184"/>
      <c r="FB69" s="1186">
        <f t="shared" si="51"/>
        <v>0</v>
      </c>
      <c r="FC69" s="1184">
        <f>FB69+DB69+EB69                 -         SUMIF('Nährstoffe und Lagerraum'!$AX$113:$AX$155,$CZ69,'Nährstoffe und Lagerraum'!$U$113:$U$155)/12  -$GD69*$HE69/12</f>
        <v>0</v>
      </c>
      <c r="FD69" s="1184">
        <f>FC69+DC69+EC69                 -         SUMIF('Nährstoffe und Lagerraum'!$AX$113:$AX$155,$CZ69,'Nährstoffe und Lagerraum'!$U$113:$U$155)/12  -$GD69*$HE69/12</f>
        <v>0</v>
      </c>
      <c r="FE69" s="1184">
        <f>FD69+DD69+ED69                 -         SUMIF('Nährstoffe und Lagerraum'!$AX$113:$AX$155,$CZ69,'Nährstoffe und Lagerraum'!$U$113:$U$155)/12  -$GD69*$HE69/12</f>
        <v>0</v>
      </c>
      <c r="FF69" s="1184">
        <f>FE69+DE69+EE69                 -         SUMIF('Nährstoffe und Lagerraum'!$AX$113:$AX$155,$CZ69,'Nährstoffe und Lagerraum'!$U$113:$U$155)/12  -$GD69*$HE69/12</f>
        <v>0</v>
      </c>
      <c r="FG69" s="1184">
        <f>FF69+DF69+EF69                 -         SUMIF('Nährstoffe und Lagerraum'!$AX$113:$AX$155,$CZ69,'Nährstoffe und Lagerraum'!$U$113:$U$155)/12  -$GD69*$HE69/12</f>
        <v>0</v>
      </c>
      <c r="FH69" s="1184">
        <f>FG69+DG69+EG69                 -         SUMIF('Nährstoffe und Lagerraum'!$AX$113:$AX$155,$CZ69,'Nährstoffe und Lagerraum'!$U$113:$U$155)/12  -$GD69*$HE69/12</f>
        <v>0</v>
      </c>
      <c r="FI69" s="1184">
        <f>FH69+DH69+EH69                 -         SUMIF('Nährstoffe und Lagerraum'!$AX$113:$AX$155,$CZ69,'Nährstoffe und Lagerraum'!$U$113:$U$155)/12  -$GD69*$HE69/12</f>
        <v>0</v>
      </c>
      <c r="FJ69" s="1184">
        <f>FI69+DI69+EI69                 -         SUMIF('Nährstoffe und Lagerraum'!$AX$113:$AX$155,$CZ69,'Nährstoffe und Lagerraum'!$U$113:$U$155)/12  -$GD69*$HE69/12</f>
        <v>0</v>
      </c>
      <c r="FK69" s="1184">
        <f>FJ69+DJ69+EJ69                 -         SUMIF('Nährstoffe und Lagerraum'!$AX$113:$AX$155,$CZ69,'Nährstoffe und Lagerraum'!$U$113:$U$155)/12  -$GD69*$HE69/12</f>
        <v>0</v>
      </c>
      <c r="FL69" s="1184">
        <f>FK69+DK69+EK69                 -         SUMIF('Nährstoffe und Lagerraum'!$AX$113:$AX$155,$CZ69,'Nährstoffe und Lagerraum'!$U$113:$U$155)/12  -$GD69*$HE69/12</f>
        <v>0</v>
      </c>
      <c r="FM69" s="1184">
        <f>FL69+DL69+EL69                 -         SUMIF('Nährstoffe und Lagerraum'!$AX$113:$AX$155,$CZ69,'Nährstoffe und Lagerraum'!$U$113:$U$155)/12  -$GD69*$HE69/12</f>
        <v>0</v>
      </c>
      <c r="FN69" s="1184">
        <f>FM69+DM69+EM69                 -         SUMIF('Nährstoffe und Lagerraum'!$AX$113:$AX$155,$CZ69,'Nährstoffe und Lagerraum'!$U$113:$U$155)/12  -$GD69*$HE69/12</f>
        <v>0</v>
      </c>
      <c r="FO69" s="1184"/>
      <c r="FP69" s="1186">
        <f t="shared" si="52"/>
        <v>0</v>
      </c>
      <c r="FQ69" s="1184">
        <f>FP69+DO69+EO69                 -         SUMIF('Nährstoffe und Lagerraum'!$AX$113:$AX$155,$CZ69,'Nährstoffe und Lagerraum'!$V$113:$V$155)/12  -$GE69*$HE69/12</f>
        <v>0</v>
      </c>
      <c r="FR69" s="1184">
        <f>FQ69+DP69+EP69                 -         SUMIF('Nährstoffe und Lagerraum'!$AX$113:$AX$155,$CZ69,'Nährstoffe und Lagerraum'!$V$113:$V$155)/12  -$GE69*$HE69/12</f>
        <v>0</v>
      </c>
      <c r="FS69" s="1184">
        <f>FR69+DQ69+EQ69                 -         SUMIF('Nährstoffe und Lagerraum'!$AX$113:$AX$155,$CZ69,'Nährstoffe und Lagerraum'!$V$113:$V$155)/12  -$GE69*$HE69/12</f>
        <v>0</v>
      </c>
      <c r="FT69" s="1184">
        <f>FS69+DR69+ER69                 -         SUMIF('Nährstoffe und Lagerraum'!$AX$113:$AX$155,$CZ69,'Nährstoffe und Lagerraum'!$V$113:$V$155)/12  -$GE69*$HE69/12</f>
        <v>0</v>
      </c>
      <c r="FU69" s="1184">
        <f>FT69+DS69+ES69                 -         SUMIF('Nährstoffe und Lagerraum'!$AX$113:$AX$155,$CZ69,'Nährstoffe und Lagerraum'!$V$113:$V$155)/12  -$GE69*$HE69/12</f>
        <v>0</v>
      </c>
      <c r="FV69" s="1184">
        <f>FU69+DT69+ET69                 -         SUMIF('Nährstoffe und Lagerraum'!$AX$113:$AX$155,$CZ69,'Nährstoffe und Lagerraum'!$V$113:$V$155)/12  -$GE69*$HE69/12</f>
        <v>0</v>
      </c>
      <c r="FW69" s="1184">
        <f>FV69+DU69+EU69                 -         SUMIF('Nährstoffe und Lagerraum'!$AX$113:$AX$155,$CZ69,'Nährstoffe und Lagerraum'!$V$113:$V$155)/12  -$GE69*$HE69/12</f>
        <v>0</v>
      </c>
      <c r="FX69" s="1184">
        <f>FW69+DV69+EV69                 -         SUMIF('Nährstoffe und Lagerraum'!$AX$113:$AX$155,$CZ69,'Nährstoffe und Lagerraum'!$V$113:$V$155)/12  -$GE69*$HE69/12</f>
        <v>0</v>
      </c>
      <c r="FY69" s="1184">
        <f>FX69+DW69+EW69                 -         SUMIF('Nährstoffe und Lagerraum'!$AX$113:$AX$155,$CZ69,'Nährstoffe und Lagerraum'!$V$113:$V$155)/12  -$GE69*$HE69/12</f>
        <v>0</v>
      </c>
      <c r="FZ69" s="1184">
        <f>FY69+DX69+EX69                 -         SUMIF('Nährstoffe und Lagerraum'!$AX$113:$AX$155,$CZ69,'Nährstoffe und Lagerraum'!$V$113:$V$155)/12  -$GE69*$HE69/12</f>
        <v>0</v>
      </c>
      <c r="GA69" s="1184">
        <f>FZ69+DY69+EY69                 -         SUMIF('Nährstoffe und Lagerraum'!$AX$113:$AX$155,$CZ69,'Nährstoffe und Lagerraum'!$V$113:$V$155)/12  -$GE69*$HE69/12</f>
        <v>0</v>
      </c>
      <c r="GB69" s="1184">
        <f>GA69+DZ69+EZ69                 -         SUMIF('Nährstoffe und Lagerraum'!$AX$113:$AX$155,$CZ69,'Nährstoffe und Lagerraum'!$V$113:$V$155)/12  -$GE69*$HE69/12</f>
        <v>0</v>
      </c>
      <c r="GC69" s="1184"/>
      <c r="GD69" s="1184">
        <f>SUMIFS($CI$14:$CI$68,$BR$14:$BR$68,$CZ69)+SUMIFS($CM$14:$CM$68,$BR$14:$BR$68,$CZ69)+SUMIFS($CR$14:$CR$68,$BR$14:$BR$68,$CZ69)  -         SUMIF('Nährstoffe und Lagerraum'!$AX$113:$AX$155,$CZ69,'Nährstoffe und Lagerraum'!$U$113:$U$155)</f>
        <v>0</v>
      </c>
      <c r="GE69" s="1184">
        <f>SUMIFS($CJ$14:$CJ$68,$BR$14:$BR$68,$CZ69)+SUMIFS($CO$14:$CO$68,$BR$14:$BR$68,$CZ69)+SUMIFS($CT$14:$CT$68,$BR$14:$BR$68,$CZ69)  -         SUMIF('Nährstoffe und Lagerraum'!$AX$113:$AX$155,$CZ69,'Nährstoffe und Lagerraum'!$V$113:$V$155)</f>
        <v>0</v>
      </c>
      <c r="GF69" s="1184"/>
      <c r="GG69" s="1184"/>
      <c r="GH69" s="1184">
        <f>SUMIF('Nährstoffe und Lagerraum'!$AX$113:$AX$155,$CZ69,'Nährstoffe und Lagerraum'!$U$113:$U$155)</f>
        <v>0</v>
      </c>
      <c r="GI69" s="1184">
        <f>SUMIF('Nährstoffe und Lagerraum'!$AX$113:$AX$155,$CZ69,'Nährstoffe und Lagerraum'!$V$113:$V$155)</f>
        <v>0</v>
      </c>
      <c r="GJ69" s="1184">
        <f t="shared" si="53"/>
        <v>0</v>
      </c>
      <c r="GK69" s="1184">
        <f t="shared" si="54"/>
        <v>0</v>
      </c>
      <c r="GL69" s="1184">
        <f t="shared" si="55"/>
        <v>0</v>
      </c>
      <c r="GM69" s="1184">
        <f t="shared" si="56"/>
        <v>0</v>
      </c>
      <c r="GN69" s="1184">
        <f t="shared" si="57"/>
        <v>0</v>
      </c>
      <c r="GO69" s="1184" cm="1">
        <f t="array" ref="GO69">IF(GN69=0,0,(IFERROR(SUMPRODUCT($J$14:$J$68,$CH$14:$CH$68,($BR$14:$BR$68=CZ69)*1)+SUMPRODUCT($L$14:$L$68,$M$14:$M$68,$CK$14:$CK$68,($BR$14:$BR$68=CZ69)*1,($BT$14:$BT$68=FALSE)*1)/10+SUMPRODUCT($R$14:$R$68,$CP$14:$CP$68,($BR$14:$BR$68=CZ69)*1),0))/GN69)</f>
        <v>0</v>
      </c>
      <c r="GP69" s="1184">
        <f t="shared" si="58"/>
        <v>0</v>
      </c>
      <c r="GQ69" s="1184">
        <f>(SUMIF('Nährstoffe und Lagerraum'!$AX$113:$AX$130,'Lagerhaltung (freiwillig)'!CZ69,'Nährstoffe und Lagerraum'!$D$113:$D$130)+SUMIF('Nährstoffe und Lagerraum'!$AX$137:$AX$155,'Lagerhaltung (freiwillig)'!CZ69,'Nährstoffe und Lagerraum'!$E$137:$E$155))</f>
        <v>0</v>
      </c>
      <c r="GR69" s="1184" cm="1">
        <f t="array" ref="GR69">IF(GQ69=0,0,(IFERROR(SUMPRODUCT('Nährstoffe und Lagerraum'!$D$113:$D$130,'Nährstoffe und Lagerraum'!$F$113:$F$130,('Nährstoffe und Lagerraum'!$AX$113:$AX$130='Lagerhaltung (freiwillig)'!CZ69)*1)+SUMPRODUCT('Nährstoffe und Lagerraum'!$E$137:$E$155,'Nährstoffe und Lagerraum'!$F$137:$F$155,('Nährstoffe und Lagerraum'!$AX$137:$AX$155='Lagerhaltung (freiwillig)'!CZ69)*1),0))/GQ69)</f>
        <v>0</v>
      </c>
      <c r="GS69" s="1184">
        <f t="shared" si="59"/>
        <v>0</v>
      </c>
      <c r="GT69" s="1184">
        <f t="shared" si="60"/>
        <v>0</v>
      </c>
      <c r="GU69" s="1184">
        <f t="shared" si="61"/>
        <v>0</v>
      </c>
      <c r="GV69" s="1184">
        <f t="shared" si="62"/>
        <v>0</v>
      </c>
      <c r="GW69" s="1186" t="str">
        <f t="shared" si="41"/>
        <v xml:space="preserve"> </v>
      </c>
      <c r="GX69" s="1186" t="str">
        <f t="shared" si="41"/>
        <v xml:space="preserve"> </v>
      </c>
      <c r="GY69" s="1195">
        <f t="shared" si="63"/>
        <v>0</v>
      </c>
      <c r="GZ69" s="1184">
        <f t="shared" si="64"/>
        <v>0</v>
      </c>
      <c r="HA69" s="1184" t="str">
        <f t="shared" si="132"/>
        <v>a</v>
      </c>
      <c r="HB69" s="1196">
        <f t="shared" si="65"/>
        <v>0</v>
      </c>
      <c r="HC69" s="1196">
        <f t="shared" si="66"/>
        <v>0</v>
      </c>
      <c r="HD69" s="1196"/>
      <c r="HE69" s="1187">
        <f t="shared" si="67"/>
        <v>0</v>
      </c>
      <c r="HF69" s="1196">
        <f t="shared" si="68"/>
        <v>0</v>
      </c>
      <c r="HG69" s="1196">
        <f t="shared" si="69"/>
        <v>0</v>
      </c>
      <c r="HH69" s="1196">
        <f t="shared" si="70"/>
        <v>0</v>
      </c>
      <c r="HI69" s="1328" cm="1">
        <f t="array" ref="HI69">IF(AND(HG69=0,GL69=0),0,IF(HG69=0,1,IF(OR(GL69*1000/HG69/HH69&gt;INDEX(Pflanzen!$W$5:$W$104,CZ69)/INDEX(Pflanzen!$I$5:$I$104,CZ69)*$HI$1,GL69*1000/HG69/HH69&lt;INDEX(Pflanzen!$W$5:$W$104,CZ69)/INDEX(Pflanzen!$I$5:$I$104,CZ69)/$HI$1),1,0)))</f>
        <v>0</v>
      </c>
      <c r="HJ69" s="1328" cm="1">
        <f t="array" ref="HJ69">IF(AND(GM69=0,HG69=0),0,IF(HG69=0,1,IF(OR(GM69*1000/HG69/HH69&gt;INDEX(Pflanzen!$X$5:$X$104,CZ69)/INDEX(Pflanzen!$I$5:$I$104,CZ69)*$HI$1,GM69*1000/HG69/HH69&lt;INDEX(Pflanzen!$X$5:$X$104,CZ69)/INDEX(Pflanzen!$I$5:$I$104,CZ69)/$HI$1),1,0)))</f>
        <v>0</v>
      </c>
      <c r="HK69" s="1184">
        <f t="shared" si="71"/>
        <v>3</v>
      </c>
      <c r="HL69" s="1184"/>
      <c r="HN69" s="1184"/>
      <c r="HO69" s="1193" t="str">
        <f>Tiere!B95</f>
        <v>Pferde über ein Jahr</v>
      </c>
      <c r="HP69" s="1184">
        <v>66</v>
      </c>
      <c r="HQ69" s="1194">
        <f>SUMIF('Nährstoffe und Lagerraum'!$BM$68:$BM$87,'Lagerhaltung (freiwillig)'!HP69,'Nährstoffe und Lagerraum'!$Z$68:$Z$87)+SUMIF('Nährstoffe und Lagerraum'!$BM$68:$BM$87,'Lagerhaltung (freiwillig)'!HP69,'Nährstoffe und Lagerraum'!$AA$68:$AA$87)</f>
        <v>0</v>
      </c>
      <c r="HR69" s="1184" cm="1">
        <f t="array" ref="HR69">INDEX(Tiere!$C$30:$C$114,'Lagerhaltung (freiwillig)'!HP69)</f>
        <v>6</v>
      </c>
      <c r="HS69" s="1184" cm="1">
        <f t="array" ref="HS69">INDEX(Tiere!$H$30:$H$114,'Lagerhaltung (freiwillig)'!HP69)</f>
        <v>29.5</v>
      </c>
      <c r="HT69" s="1184">
        <f t="shared" ref="HT69:HT88" si="171">$HQ69*HS69/1000</f>
        <v>0</v>
      </c>
      <c r="HU69" s="1184" cm="1">
        <f t="array" ref="HU69">INDEX(Tiere!$I$30:$I$114,'Lagerhaltung (freiwillig)'!HP69)</f>
        <v>11.4</v>
      </c>
      <c r="HV69" s="1184">
        <f t="shared" ref="HV69:HV88" si="172">$HQ69*HU69/1000</f>
        <v>0</v>
      </c>
      <c r="HW69" s="1184" cm="1">
        <f t="array" ref="HW69">INDEX(Tiere!$BC$30:$BC$114,'Lagerhaltung (freiwillig)'!HP69)</f>
        <v>0.60000000000000009</v>
      </c>
      <c r="HX69" s="1184">
        <f t="shared" ref="HX69:HX88" si="173">HQ69*HW69/1000</f>
        <v>0</v>
      </c>
      <c r="HY69" s="1184" cm="1">
        <f t="array" ref="HY69">INDEX(Tiere!$BD$30:$BD$114,'Lagerhaltung (freiwillig)'!HP69)</f>
        <v>0.34800000000000003</v>
      </c>
      <c r="HZ69" s="1184">
        <f t="shared" ref="HZ69:HZ88" si="174">HQ69*HY69/1000</f>
        <v>0</v>
      </c>
      <c r="IA69" s="1184"/>
      <c r="IB69" s="1184"/>
      <c r="IC69" s="1184"/>
      <c r="ID69" s="1184"/>
      <c r="IE69" s="1184"/>
      <c r="IF69" s="1184"/>
      <c r="IG69" s="1184"/>
      <c r="IH69" s="1184"/>
      <c r="II69" s="1184"/>
      <c r="IJ69" s="1184"/>
      <c r="IK69" s="1184"/>
      <c r="IL69" s="1184"/>
    </row>
    <row r="70" spans="1:246" ht="4.5" customHeight="1" thickBot="1" x14ac:dyDescent="0.25">
      <c r="A70" s="242"/>
      <c r="B70" s="242"/>
      <c r="C70" s="242"/>
      <c r="D70" s="242"/>
      <c r="E70" s="242"/>
      <c r="F70" s="242"/>
      <c r="G70" s="242"/>
      <c r="H70" s="242"/>
      <c r="I70" s="242"/>
      <c r="J70" s="242"/>
      <c r="K70" s="242"/>
      <c r="L70" s="242"/>
      <c r="M70" s="242"/>
      <c r="N70" s="242"/>
      <c r="O70" s="242"/>
      <c r="P70" s="242"/>
      <c r="Q70" s="242"/>
      <c r="R70" s="242"/>
      <c r="S70" s="242"/>
      <c r="T70" s="242"/>
      <c r="U70" s="242"/>
      <c r="V70" s="242"/>
      <c r="Y70" s="1981"/>
      <c r="Z70" s="1982"/>
      <c r="AA70" s="1982"/>
      <c r="AB70" s="1982"/>
      <c r="AC70" s="1983"/>
      <c r="AD70" s="1983"/>
      <c r="AE70" s="1983"/>
      <c r="AF70" s="1983"/>
      <c r="AG70" s="1983"/>
      <c r="AH70" s="1983"/>
      <c r="AI70" s="1983"/>
      <c r="AJ70" s="1983"/>
      <c r="AK70" s="1983"/>
      <c r="AL70" s="1984"/>
      <c r="AM70" s="1983"/>
      <c r="AN70" s="1983"/>
      <c r="AO70" s="1983"/>
      <c r="AP70" s="1983"/>
      <c r="AQ70" s="1983"/>
      <c r="AR70" s="1983"/>
      <c r="AS70" s="1983"/>
      <c r="AT70" s="1983"/>
      <c r="AU70" s="1983"/>
      <c r="AV70" s="1983"/>
      <c r="AW70" s="1985"/>
      <c r="AX70" s="1985"/>
      <c r="AY70" s="1985"/>
      <c r="AZ70" s="1985"/>
      <c r="BA70" s="1462"/>
      <c r="BB70" s="1462"/>
      <c r="BC70" s="1462"/>
      <c r="BD70" s="1461"/>
      <c r="BE70" s="1462"/>
      <c r="BF70" s="1343"/>
      <c r="BG70" s="1343"/>
      <c r="BH70" s="1343"/>
      <c r="BI70" s="1343"/>
      <c r="BJ70" s="1343"/>
      <c r="BK70" s="1343"/>
      <c r="BL70" s="1343"/>
      <c r="BM70" s="1343"/>
      <c r="BN70" s="1343"/>
      <c r="BO70" s="1343"/>
      <c r="BQ70" s="1184"/>
      <c r="BR70" s="1184"/>
      <c r="BS70" s="1184"/>
      <c r="BT70" s="1184"/>
      <c r="BU70" s="1185"/>
      <c r="BV70" s="1185"/>
      <c r="BW70" s="1184"/>
      <c r="BX70" s="1184"/>
      <c r="BY70" s="1184"/>
      <c r="BZ70" s="1184"/>
      <c r="CA70" s="1184"/>
      <c r="CB70" s="1184"/>
      <c r="CC70" s="1184"/>
      <c r="CD70" s="1184"/>
      <c r="CE70" s="1184"/>
      <c r="CF70" s="1184"/>
      <c r="CG70" s="1184"/>
      <c r="CH70" s="1184"/>
      <c r="CI70" s="1184"/>
      <c r="CJ70" s="1184"/>
      <c r="CK70" s="1184"/>
      <c r="CL70" s="1184"/>
      <c r="CM70" s="1184"/>
      <c r="CN70" s="1184"/>
      <c r="CO70" s="1184"/>
      <c r="CP70" s="1184"/>
      <c r="CQ70" s="1184"/>
      <c r="CR70" s="1184"/>
      <c r="CS70" s="1184"/>
      <c r="CT70" s="1184"/>
      <c r="CU70" s="1184"/>
      <c r="CV70" s="1184"/>
      <c r="CW70" s="1184"/>
      <c r="CX70" s="1184"/>
      <c r="CY70" s="320" t="str">
        <f>Pflanzen!A66</f>
        <v>GPS Getreide, GPS Hirse</v>
      </c>
      <c r="CZ70" s="1200">
        <f>IFERROR(MATCH($CY70,Pflanzen!$C$5:$C$114,0),1)</f>
        <v>62</v>
      </c>
      <c r="DA70" s="320" cm="1">
        <f t="array" ref="DA70">INDEX(Pflanzen!$H$5:$H$114,'Lagerhaltung (freiwillig)'!CZ70)</f>
        <v>1</v>
      </c>
      <c r="DB70" s="1200">
        <f t="shared" si="167"/>
        <v>0</v>
      </c>
      <c r="DC70" s="1200">
        <f t="shared" si="167"/>
        <v>0</v>
      </c>
      <c r="DD70" s="1200">
        <f t="shared" si="167"/>
        <v>0</v>
      </c>
      <c r="DE70" s="1200">
        <f t="shared" si="167"/>
        <v>0</v>
      </c>
      <c r="DF70" s="1200">
        <f t="shared" si="167"/>
        <v>0</v>
      </c>
      <c r="DG70" s="1184">
        <f t="shared" si="167"/>
        <v>0</v>
      </c>
      <c r="DH70" s="1184">
        <f t="shared" si="167"/>
        <v>0</v>
      </c>
      <c r="DI70" s="1184">
        <f t="shared" si="167"/>
        <v>0</v>
      </c>
      <c r="DJ70" s="1184">
        <f t="shared" si="167"/>
        <v>0</v>
      </c>
      <c r="DK70" s="1184">
        <f t="shared" si="167"/>
        <v>0</v>
      </c>
      <c r="DL70" s="1184">
        <f t="shared" si="167"/>
        <v>0</v>
      </c>
      <c r="DM70" s="1184">
        <f t="shared" si="167"/>
        <v>0</v>
      </c>
      <c r="DN70" s="1184"/>
      <c r="DO70" s="1184">
        <f t="shared" si="168"/>
        <v>0</v>
      </c>
      <c r="DP70" s="1184">
        <f t="shared" si="168"/>
        <v>0</v>
      </c>
      <c r="DQ70" s="1184">
        <f t="shared" si="168"/>
        <v>0</v>
      </c>
      <c r="DR70" s="1184">
        <f t="shared" si="168"/>
        <v>0</v>
      </c>
      <c r="DS70" s="1184">
        <f t="shared" si="168"/>
        <v>0</v>
      </c>
      <c r="DT70" s="1184">
        <f t="shared" si="168"/>
        <v>0</v>
      </c>
      <c r="DU70" s="1184">
        <f t="shared" si="168"/>
        <v>0</v>
      </c>
      <c r="DV70" s="1184">
        <f t="shared" si="168"/>
        <v>0</v>
      </c>
      <c r="DW70" s="1184">
        <f t="shared" si="168"/>
        <v>0</v>
      </c>
      <c r="DX70" s="1184">
        <f t="shared" si="168"/>
        <v>0</v>
      </c>
      <c r="DY70" s="1184">
        <f t="shared" si="168"/>
        <v>0</v>
      </c>
      <c r="DZ70" s="1184">
        <f t="shared" si="168"/>
        <v>0</v>
      </c>
      <c r="EA70" s="1184"/>
      <c r="EB70" s="1184">
        <f t="shared" si="169"/>
        <v>0</v>
      </c>
      <c r="EC70" s="1184">
        <f t="shared" si="169"/>
        <v>0</v>
      </c>
      <c r="ED70" s="1184">
        <f t="shared" si="169"/>
        <v>0</v>
      </c>
      <c r="EE70" s="1184">
        <f t="shared" si="169"/>
        <v>0</v>
      </c>
      <c r="EF70" s="1184">
        <f t="shared" si="169"/>
        <v>0</v>
      </c>
      <c r="EG70" s="1184">
        <f t="shared" si="169"/>
        <v>0</v>
      </c>
      <c r="EH70" s="1184">
        <f t="shared" si="169"/>
        <v>0</v>
      </c>
      <c r="EI70" s="1184">
        <f t="shared" si="169"/>
        <v>0</v>
      </c>
      <c r="EJ70" s="1184">
        <f t="shared" si="169"/>
        <v>0</v>
      </c>
      <c r="EK70" s="1184">
        <f t="shared" si="169"/>
        <v>0</v>
      </c>
      <c r="EL70" s="1184">
        <f t="shared" si="169"/>
        <v>0</v>
      </c>
      <c r="EM70" s="1184">
        <f t="shared" si="169"/>
        <v>0</v>
      </c>
      <c r="EN70" s="1184"/>
      <c r="EO70" s="1184">
        <f t="shared" si="170"/>
        <v>0</v>
      </c>
      <c r="EP70" s="1184">
        <f t="shared" si="170"/>
        <v>0</v>
      </c>
      <c r="EQ70" s="1184">
        <f t="shared" si="170"/>
        <v>0</v>
      </c>
      <c r="ER70" s="1184">
        <f t="shared" si="170"/>
        <v>0</v>
      </c>
      <c r="ES70" s="1184">
        <f t="shared" si="170"/>
        <v>0</v>
      </c>
      <c r="ET70" s="1184">
        <f t="shared" si="170"/>
        <v>0</v>
      </c>
      <c r="EU70" s="1184">
        <f t="shared" si="170"/>
        <v>0</v>
      </c>
      <c r="EV70" s="1184">
        <f t="shared" si="170"/>
        <v>0</v>
      </c>
      <c r="EW70" s="1184">
        <f t="shared" si="170"/>
        <v>0</v>
      </c>
      <c r="EX70" s="1184">
        <f t="shared" si="170"/>
        <v>0</v>
      </c>
      <c r="EY70" s="1184">
        <f t="shared" si="170"/>
        <v>0</v>
      </c>
      <c r="EZ70" s="1184">
        <f t="shared" si="170"/>
        <v>0</v>
      </c>
      <c r="FA70" s="1184"/>
      <c r="FB70" s="1186">
        <f t="shared" si="51"/>
        <v>0</v>
      </c>
      <c r="FC70" s="1184">
        <f>FB70+DB70+EB70                 -         SUMIF('Nährstoffe und Lagerraum'!$AX$113:$AX$155,$CZ70,'Nährstoffe und Lagerraum'!$U$113:$U$155)/12  -$GD70*$HE70/12</f>
        <v>0</v>
      </c>
      <c r="FD70" s="1184">
        <f>FC70+DC70+EC70                 -         SUMIF('Nährstoffe und Lagerraum'!$AX$113:$AX$155,$CZ70,'Nährstoffe und Lagerraum'!$U$113:$U$155)/12  -$GD70*$HE70/12</f>
        <v>0</v>
      </c>
      <c r="FE70" s="1184">
        <f>FD70+DD70+ED70                 -         SUMIF('Nährstoffe und Lagerraum'!$AX$113:$AX$155,$CZ70,'Nährstoffe und Lagerraum'!$U$113:$U$155)/12  -$GD70*$HE70/12</f>
        <v>0</v>
      </c>
      <c r="FF70" s="1184">
        <f>FE70+DE70+EE70                 -         SUMIF('Nährstoffe und Lagerraum'!$AX$113:$AX$155,$CZ70,'Nährstoffe und Lagerraum'!$U$113:$U$155)/12  -$GD70*$HE70/12</f>
        <v>0</v>
      </c>
      <c r="FG70" s="1184">
        <f>FF70+DF70+EF70                 -         SUMIF('Nährstoffe und Lagerraum'!$AX$113:$AX$155,$CZ70,'Nährstoffe und Lagerraum'!$U$113:$U$155)/12  -$GD70*$HE70/12</f>
        <v>0</v>
      </c>
      <c r="FH70" s="1184">
        <f>FG70+DG70+EG70                 -         SUMIF('Nährstoffe und Lagerraum'!$AX$113:$AX$155,$CZ70,'Nährstoffe und Lagerraum'!$U$113:$U$155)/12  -$GD70*$HE70/12</f>
        <v>0</v>
      </c>
      <c r="FI70" s="1184">
        <f>FH70+DH70+EH70                 -         SUMIF('Nährstoffe und Lagerraum'!$AX$113:$AX$155,$CZ70,'Nährstoffe und Lagerraum'!$U$113:$U$155)/12  -$GD70*$HE70/12</f>
        <v>0</v>
      </c>
      <c r="FJ70" s="1184">
        <f>FI70+DI70+EI70                 -         SUMIF('Nährstoffe und Lagerraum'!$AX$113:$AX$155,$CZ70,'Nährstoffe und Lagerraum'!$U$113:$U$155)/12  -$GD70*$HE70/12</f>
        <v>0</v>
      </c>
      <c r="FK70" s="1184">
        <f>FJ70+DJ70+EJ70                 -         SUMIF('Nährstoffe und Lagerraum'!$AX$113:$AX$155,$CZ70,'Nährstoffe und Lagerraum'!$U$113:$U$155)/12  -$GD70*$HE70/12</f>
        <v>0</v>
      </c>
      <c r="FL70" s="1184">
        <f>FK70+DK70+EK70                 -         SUMIF('Nährstoffe und Lagerraum'!$AX$113:$AX$155,$CZ70,'Nährstoffe und Lagerraum'!$U$113:$U$155)/12  -$GD70*$HE70/12</f>
        <v>0</v>
      </c>
      <c r="FM70" s="1184">
        <f>FL70+DL70+EL70                 -         SUMIF('Nährstoffe und Lagerraum'!$AX$113:$AX$155,$CZ70,'Nährstoffe und Lagerraum'!$U$113:$U$155)/12  -$GD70*$HE70/12</f>
        <v>0</v>
      </c>
      <c r="FN70" s="1184">
        <f>FM70+DM70+EM70                 -         SUMIF('Nährstoffe und Lagerraum'!$AX$113:$AX$155,$CZ70,'Nährstoffe und Lagerraum'!$U$113:$U$155)/12  -$GD70*$HE70/12</f>
        <v>0</v>
      </c>
      <c r="FO70" s="1184"/>
      <c r="FP70" s="1186">
        <f t="shared" si="52"/>
        <v>0</v>
      </c>
      <c r="FQ70" s="1184">
        <f>FP70+DO70+EO70                 -         SUMIF('Nährstoffe und Lagerraum'!$AX$113:$AX$155,$CZ70,'Nährstoffe und Lagerraum'!$V$113:$V$155)/12  -$GE70*$HE70/12</f>
        <v>0</v>
      </c>
      <c r="FR70" s="1184">
        <f>FQ70+DP70+EP70                 -         SUMIF('Nährstoffe und Lagerraum'!$AX$113:$AX$155,$CZ70,'Nährstoffe und Lagerraum'!$V$113:$V$155)/12  -$GE70*$HE70/12</f>
        <v>0</v>
      </c>
      <c r="FS70" s="1184">
        <f>FR70+DQ70+EQ70                 -         SUMIF('Nährstoffe und Lagerraum'!$AX$113:$AX$155,$CZ70,'Nährstoffe und Lagerraum'!$V$113:$V$155)/12  -$GE70*$HE70/12</f>
        <v>0</v>
      </c>
      <c r="FT70" s="1184">
        <f>FS70+DR70+ER70                 -         SUMIF('Nährstoffe und Lagerraum'!$AX$113:$AX$155,$CZ70,'Nährstoffe und Lagerraum'!$V$113:$V$155)/12  -$GE70*$HE70/12</f>
        <v>0</v>
      </c>
      <c r="FU70" s="1184">
        <f>FT70+DS70+ES70                 -         SUMIF('Nährstoffe und Lagerraum'!$AX$113:$AX$155,$CZ70,'Nährstoffe und Lagerraum'!$V$113:$V$155)/12  -$GE70*$HE70/12</f>
        <v>0</v>
      </c>
      <c r="FV70" s="1184">
        <f>FU70+DT70+ET70                 -         SUMIF('Nährstoffe und Lagerraum'!$AX$113:$AX$155,$CZ70,'Nährstoffe und Lagerraum'!$V$113:$V$155)/12  -$GE70*$HE70/12</f>
        <v>0</v>
      </c>
      <c r="FW70" s="1184">
        <f>FV70+DU70+EU70                 -         SUMIF('Nährstoffe und Lagerraum'!$AX$113:$AX$155,$CZ70,'Nährstoffe und Lagerraum'!$V$113:$V$155)/12  -$GE70*$HE70/12</f>
        <v>0</v>
      </c>
      <c r="FX70" s="1184">
        <f>FW70+DV70+EV70                 -         SUMIF('Nährstoffe und Lagerraum'!$AX$113:$AX$155,$CZ70,'Nährstoffe und Lagerraum'!$V$113:$V$155)/12  -$GE70*$HE70/12</f>
        <v>0</v>
      </c>
      <c r="FY70" s="1184">
        <f>FX70+DW70+EW70                 -         SUMIF('Nährstoffe und Lagerraum'!$AX$113:$AX$155,$CZ70,'Nährstoffe und Lagerraum'!$V$113:$V$155)/12  -$GE70*$HE70/12</f>
        <v>0</v>
      </c>
      <c r="FZ70" s="1184">
        <f>FY70+DX70+EX70                 -         SUMIF('Nährstoffe und Lagerraum'!$AX$113:$AX$155,$CZ70,'Nährstoffe und Lagerraum'!$V$113:$V$155)/12  -$GE70*$HE70/12</f>
        <v>0</v>
      </c>
      <c r="GA70" s="1184">
        <f>FZ70+DY70+EY70                 -         SUMIF('Nährstoffe und Lagerraum'!$AX$113:$AX$155,$CZ70,'Nährstoffe und Lagerraum'!$V$113:$V$155)/12  -$GE70*$HE70/12</f>
        <v>0</v>
      </c>
      <c r="GB70" s="1184">
        <f>GA70+DZ70+EZ70                 -         SUMIF('Nährstoffe und Lagerraum'!$AX$113:$AX$155,$CZ70,'Nährstoffe und Lagerraum'!$V$113:$V$155)/12  -$GE70*$HE70/12</f>
        <v>0</v>
      </c>
      <c r="GC70" s="1184"/>
      <c r="GD70" s="1184">
        <f>SUMIFS($CI$14:$CI$68,$BR$14:$BR$68,$CZ70)+SUMIFS($CM$14:$CM$68,$BR$14:$BR$68,$CZ70)+SUMIFS($CR$14:$CR$68,$BR$14:$BR$68,$CZ70)  -         SUMIF('Nährstoffe und Lagerraum'!$AX$113:$AX$155,$CZ70,'Nährstoffe und Lagerraum'!$U$113:$U$155)</f>
        <v>0</v>
      </c>
      <c r="GE70" s="1184">
        <f>SUMIFS($CJ$14:$CJ$68,$BR$14:$BR$68,$CZ70)+SUMIFS($CO$14:$CO$68,$BR$14:$BR$68,$CZ70)+SUMIFS($CT$14:$CT$68,$BR$14:$BR$68,$CZ70)  -         SUMIF('Nährstoffe und Lagerraum'!$AX$113:$AX$155,$CZ70,'Nährstoffe und Lagerraum'!$V$113:$V$155)</f>
        <v>0</v>
      </c>
      <c r="GF70" s="1184"/>
      <c r="GG70" s="1184"/>
      <c r="GH70" s="1184">
        <f>SUMIF('Nährstoffe und Lagerraum'!$AX$113:$AX$155,$CZ70,'Nährstoffe und Lagerraum'!$U$113:$U$155)</f>
        <v>0</v>
      </c>
      <c r="GI70" s="1184">
        <f>SUMIF('Nährstoffe und Lagerraum'!$AX$113:$AX$155,$CZ70,'Nährstoffe und Lagerraum'!$V$113:$V$155)</f>
        <v>0</v>
      </c>
      <c r="GJ70" s="1184">
        <f t="shared" si="53"/>
        <v>0</v>
      </c>
      <c r="GK70" s="1184">
        <f t="shared" si="54"/>
        <v>0</v>
      </c>
      <c r="GL70" s="1184">
        <f t="shared" si="55"/>
        <v>0</v>
      </c>
      <c r="GM70" s="1184">
        <f t="shared" si="56"/>
        <v>0</v>
      </c>
      <c r="GN70" s="1184">
        <f t="shared" si="57"/>
        <v>0</v>
      </c>
      <c r="GO70" s="1184" cm="1">
        <f t="array" ref="GO70">IF(GN70=0,0,(IFERROR(SUMPRODUCT($J$14:$J$68,$CH$14:$CH$68,($BR$14:$BR$68=CZ70)*1)+SUMPRODUCT($L$14:$L$68,$M$14:$M$68,$CK$14:$CK$68,($BR$14:$BR$68=CZ70)*1,($BT$14:$BT$68=FALSE)*1)/10+SUMPRODUCT($R$14:$R$68,$CP$14:$CP$68,($BR$14:$BR$68=CZ70)*1),0))/GN70)</f>
        <v>0</v>
      </c>
      <c r="GP70" s="1184">
        <f t="shared" si="58"/>
        <v>0</v>
      </c>
      <c r="GQ70" s="1184">
        <f>(SUMIF('Nährstoffe und Lagerraum'!$AX$113:$AX$130,'Lagerhaltung (freiwillig)'!CZ70,'Nährstoffe und Lagerraum'!$D$113:$D$130)+SUMIF('Nährstoffe und Lagerraum'!$AX$137:$AX$155,'Lagerhaltung (freiwillig)'!CZ70,'Nährstoffe und Lagerraum'!$E$137:$E$155))</f>
        <v>0</v>
      </c>
      <c r="GR70" s="1184" cm="1">
        <f t="array" ref="GR70">IF(GQ70=0,0,(IFERROR(SUMPRODUCT('Nährstoffe und Lagerraum'!$D$113:$D$130,'Nährstoffe und Lagerraum'!$F$113:$F$130,('Nährstoffe und Lagerraum'!$AX$113:$AX$130='Lagerhaltung (freiwillig)'!CZ70)*1)+SUMPRODUCT('Nährstoffe und Lagerraum'!$E$137:$E$155,'Nährstoffe und Lagerraum'!$F$137:$F$155,('Nährstoffe und Lagerraum'!$AX$137:$AX$155='Lagerhaltung (freiwillig)'!CZ70)*1),0))/GQ70)</f>
        <v>0</v>
      </c>
      <c r="GS70" s="1184">
        <f t="shared" si="59"/>
        <v>0</v>
      </c>
      <c r="GT70" s="1184">
        <f t="shared" si="60"/>
        <v>0</v>
      </c>
      <c r="GU70" s="1184">
        <f t="shared" si="61"/>
        <v>0</v>
      </c>
      <c r="GV70" s="1184">
        <f t="shared" si="62"/>
        <v>0</v>
      </c>
      <c r="GW70" s="1186" t="str">
        <f t="shared" si="41"/>
        <v xml:space="preserve"> </v>
      </c>
      <c r="GX70" s="1186" t="str">
        <f t="shared" si="41"/>
        <v xml:space="preserve"> </v>
      </c>
      <c r="GY70" s="1195">
        <f t="shared" si="63"/>
        <v>0</v>
      </c>
      <c r="GZ70" s="1184">
        <f t="shared" si="64"/>
        <v>0</v>
      </c>
      <c r="HA70" s="1184" t="str">
        <f t="shared" si="132"/>
        <v>a</v>
      </c>
      <c r="HB70" s="1196">
        <f t="shared" si="65"/>
        <v>0</v>
      </c>
      <c r="HC70" s="1196">
        <f t="shared" si="66"/>
        <v>0</v>
      </c>
      <c r="HD70" s="1196"/>
      <c r="HE70" s="1187">
        <f t="shared" si="67"/>
        <v>0</v>
      </c>
      <c r="HF70" s="1196">
        <f t="shared" si="68"/>
        <v>0</v>
      </c>
      <c r="HG70" s="1196">
        <f t="shared" si="69"/>
        <v>0</v>
      </c>
      <c r="HH70" s="1196">
        <f t="shared" si="70"/>
        <v>0</v>
      </c>
      <c r="HI70" s="1328" cm="1">
        <f t="array" ref="HI70">IF(AND(HG70=0,GL70=0),0,IF(HG70=0,1,IF(OR(GL70*1000/HG70/HH70&gt;INDEX(Pflanzen!$W$5:$W$104,CZ70)/INDEX(Pflanzen!$I$5:$I$104,CZ70)*$HI$1,GL70*1000/HG70/HH70&lt;INDEX(Pflanzen!$W$5:$W$104,CZ70)/INDEX(Pflanzen!$I$5:$I$104,CZ70)/$HI$1),1,0)))</f>
        <v>0</v>
      </c>
      <c r="HJ70" s="1328" cm="1">
        <f t="array" ref="HJ70">IF(AND(GM70=0,HG70=0),0,IF(HG70=0,1,IF(OR(GM70*1000/HG70/HH70&gt;INDEX(Pflanzen!$X$5:$X$104,CZ70)/INDEX(Pflanzen!$I$5:$I$104,CZ70)*$HI$1,GM70*1000/HG70/HH70&lt;INDEX(Pflanzen!$X$5:$X$104,CZ70)/INDEX(Pflanzen!$I$5:$I$104,CZ70)/$HI$1),1,0)))</f>
        <v>0</v>
      </c>
      <c r="HK70" s="1184">
        <f t="shared" si="71"/>
        <v>3</v>
      </c>
      <c r="HL70" s="1184"/>
      <c r="HN70" s="1184"/>
      <c r="HO70" s="1193" t="str">
        <f>Tiere!B96</f>
        <v>Kaninchenaufz. bis 3 kg (Häsin + 52 Jungtiere je Jahr)</v>
      </c>
      <c r="HP70" s="1184">
        <v>67</v>
      </c>
      <c r="HQ70" s="1194">
        <f>SUMIF('Nährstoffe und Lagerraum'!$BM$68:$BM$87,'Lagerhaltung (freiwillig)'!HP70,'Nährstoffe und Lagerraum'!$Z$68:$Z$87)+SUMIF('Nährstoffe und Lagerraum'!$BM$68:$BM$87,'Lagerhaltung (freiwillig)'!HP70,'Nährstoffe und Lagerraum'!$AA$68:$AA$87)</f>
        <v>0</v>
      </c>
      <c r="HR70" s="1184" cm="1">
        <f t="array" ref="HR70">INDEX(Tiere!$C$30:$C$114,'Lagerhaltung (freiwillig)'!HP70)</f>
        <v>7</v>
      </c>
      <c r="HS70" s="1184" cm="1">
        <f t="array" ref="HS70">INDEX(Tiere!$H$30:$H$114,'Lagerhaltung (freiwillig)'!HP70)</f>
        <v>0</v>
      </c>
      <c r="HT70" s="1184">
        <f t="shared" si="171"/>
        <v>0</v>
      </c>
      <c r="HU70" s="1184" cm="1">
        <f t="array" ref="HU70">INDEX(Tiere!$I$30:$I$114,'Lagerhaltung (freiwillig)'!HP70)</f>
        <v>0</v>
      </c>
      <c r="HV70" s="1184">
        <f t="shared" si="172"/>
        <v>0</v>
      </c>
      <c r="HW70" s="1184" cm="1">
        <f t="array" ref="HW70">INDEX(Tiere!$BC$30:$BC$114,'Lagerhaltung (freiwillig)'!HP70)</f>
        <v>4.68</v>
      </c>
      <c r="HX70" s="1184">
        <f t="shared" si="173"/>
        <v>0</v>
      </c>
      <c r="HY70" s="1184" cm="1">
        <f t="array" ref="HY70">INDEX(Tiere!$BD$30:$BD$114,'Lagerhaltung (freiwillig)'!HP70)</f>
        <v>2.3244000000000002</v>
      </c>
      <c r="HZ70" s="1184">
        <f t="shared" si="174"/>
        <v>0</v>
      </c>
      <c r="IA70" s="1184"/>
      <c r="IB70" s="1184"/>
      <c r="IC70" s="1184"/>
      <c r="ID70" s="1184"/>
      <c r="IE70" s="1184"/>
      <c r="IF70" s="1184"/>
      <c r="IG70" s="1184"/>
      <c r="IH70" s="1184"/>
      <c r="II70" s="1184"/>
      <c r="IJ70" s="1184"/>
      <c r="IK70" s="1184"/>
      <c r="IL70" s="1184"/>
    </row>
    <row r="71" spans="1:246" ht="14.25" customHeight="1" thickBot="1" x14ac:dyDescent="0.25">
      <c r="A71" s="3092" t="s">
        <v>8327</v>
      </c>
      <c r="B71" s="3093"/>
      <c r="C71" s="3093"/>
      <c r="D71" s="3093"/>
      <c r="E71" s="3094"/>
      <c r="F71" s="3037"/>
      <c r="G71" s="3039"/>
      <c r="H71" s="3038"/>
      <c r="I71" s="3037" t="s">
        <v>8273</v>
      </c>
      <c r="J71" s="3038"/>
      <c r="K71" s="3111" t="s">
        <v>1016</v>
      </c>
      <c r="L71" s="3112"/>
      <c r="M71" s="3112"/>
      <c r="N71" s="3112"/>
      <c r="O71" s="3112"/>
      <c r="P71" s="3113"/>
      <c r="Q71" s="3040" t="s">
        <v>8263</v>
      </c>
      <c r="R71" s="3041"/>
      <c r="S71" s="3041"/>
      <c r="T71" s="3042"/>
      <c r="U71" s="1298"/>
      <c r="V71" s="1300"/>
      <c r="Y71" s="1981"/>
      <c r="Z71" s="1982"/>
      <c r="AA71" s="1982"/>
      <c r="AB71" s="1982"/>
      <c r="AC71" s="1983"/>
      <c r="AD71" s="1983"/>
      <c r="AE71" s="1983"/>
      <c r="AF71" s="1983"/>
      <c r="AG71" s="1983"/>
      <c r="AH71" s="1983"/>
      <c r="AI71" s="1983"/>
      <c r="AJ71" s="1983"/>
      <c r="AK71" s="1983"/>
      <c r="AL71" s="1984"/>
      <c r="AM71" s="1983"/>
      <c r="AN71" s="1983"/>
      <c r="AO71" s="1983"/>
      <c r="AP71" s="1983"/>
      <c r="AQ71" s="1983"/>
      <c r="AR71" s="1983"/>
      <c r="AS71" s="1983"/>
      <c r="AT71" s="1983"/>
      <c r="AU71" s="1983"/>
      <c r="AV71" s="1983"/>
      <c r="AW71" s="1985"/>
      <c r="AX71" s="1985"/>
      <c r="AY71" s="1985"/>
      <c r="AZ71" s="1985"/>
      <c r="BA71" s="1462"/>
      <c r="BB71" s="1462"/>
      <c r="BC71" s="1462"/>
      <c r="BD71" s="1461"/>
      <c r="BE71" s="1462"/>
      <c r="BF71" s="1343"/>
      <c r="BG71" s="1343"/>
      <c r="BH71" s="1343"/>
      <c r="BI71" s="1343"/>
      <c r="BJ71" s="1343"/>
      <c r="BK71" s="1343"/>
      <c r="BL71" s="1343"/>
      <c r="BM71" s="1343"/>
      <c r="BN71" s="1343"/>
      <c r="BO71" s="1343"/>
      <c r="BQ71" s="1184"/>
      <c r="BR71" s="1184"/>
      <c r="BS71" s="1184"/>
      <c r="BT71" s="2994" t="s">
        <v>1032</v>
      </c>
      <c r="BU71" s="2994"/>
      <c r="BV71" s="2994"/>
      <c r="BW71" s="2994"/>
      <c r="BX71" s="2994"/>
      <c r="BY71" s="2994"/>
      <c r="BZ71" s="2994"/>
      <c r="CA71" s="2994"/>
      <c r="CB71" s="2994"/>
      <c r="CC71" s="2994"/>
      <c r="CD71" s="2994"/>
      <c r="CE71" s="2994"/>
      <c r="CF71" s="1188" t="s">
        <v>1033</v>
      </c>
      <c r="CG71" s="1188"/>
      <c r="CH71" s="1184"/>
      <c r="CI71" s="1184"/>
      <c r="CJ71" s="1184"/>
      <c r="CK71" s="1184"/>
      <c r="CL71" s="1184"/>
      <c r="CM71" s="1184"/>
      <c r="CN71" s="1184"/>
      <c r="CO71" s="1184"/>
      <c r="CP71" s="1184"/>
      <c r="CQ71" s="1184"/>
      <c r="CR71" s="1184"/>
      <c r="CS71" s="1184"/>
      <c r="CT71" s="1184"/>
      <c r="CU71" s="1184"/>
      <c r="CV71" s="1184"/>
      <c r="CW71" s="1184"/>
      <c r="CX71" s="1184"/>
      <c r="CY71" s="320" t="str">
        <f>Pflanzen!A67</f>
        <v>Sonstige GPS, Hanf</v>
      </c>
      <c r="CZ71" s="1200">
        <f>IFERROR(MATCH($CY71,Pflanzen!$C$5:$C$114,0),1)</f>
        <v>63</v>
      </c>
      <c r="DA71" s="320" cm="1">
        <f t="array" ref="DA71">INDEX(Pflanzen!$H$5:$H$114,'Lagerhaltung (freiwillig)'!CZ71)</f>
        <v>1</v>
      </c>
      <c r="DB71" s="1200">
        <f t="shared" si="167"/>
        <v>0</v>
      </c>
      <c r="DC71" s="1200">
        <f t="shared" si="167"/>
        <v>0</v>
      </c>
      <c r="DD71" s="1200">
        <f t="shared" si="167"/>
        <v>0</v>
      </c>
      <c r="DE71" s="1200">
        <f t="shared" si="167"/>
        <v>0</v>
      </c>
      <c r="DF71" s="1200">
        <f t="shared" si="167"/>
        <v>0</v>
      </c>
      <c r="DG71" s="1184">
        <f t="shared" si="167"/>
        <v>0</v>
      </c>
      <c r="DH71" s="1184">
        <f t="shared" si="167"/>
        <v>0</v>
      </c>
      <c r="DI71" s="1184">
        <f t="shared" si="167"/>
        <v>0</v>
      </c>
      <c r="DJ71" s="1184">
        <f t="shared" si="167"/>
        <v>0</v>
      </c>
      <c r="DK71" s="1184">
        <f t="shared" si="167"/>
        <v>0</v>
      </c>
      <c r="DL71" s="1184">
        <f t="shared" si="167"/>
        <v>0</v>
      </c>
      <c r="DM71" s="1184">
        <f t="shared" si="167"/>
        <v>0</v>
      </c>
      <c r="DN71" s="1184"/>
      <c r="DO71" s="1184">
        <f t="shared" si="168"/>
        <v>0</v>
      </c>
      <c r="DP71" s="1184">
        <f t="shared" si="168"/>
        <v>0</v>
      </c>
      <c r="DQ71" s="1184">
        <f t="shared" si="168"/>
        <v>0</v>
      </c>
      <c r="DR71" s="1184">
        <f t="shared" si="168"/>
        <v>0</v>
      </c>
      <c r="DS71" s="1184">
        <f t="shared" si="168"/>
        <v>0</v>
      </c>
      <c r="DT71" s="1184">
        <f t="shared" si="168"/>
        <v>0</v>
      </c>
      <c r="DU71" s="1184">
        <f t="shared" si="168"/>
        <v>0</v>
      </c>
      <c r="DV71" s="1184">
        <f t="shared" si="168"/>
        <v>0</v>
      </c>
      <c r="DW71" s="1184">
        <f t="shared" si="168"/>
        <v>0</v>
      </c>
      <c r="DX71" s="1184">
        <f t="shared" si="168"/>
        <v>0</v>
      </c>
      <c r="DY71" s="1184">
        <f t="shared" si="168"/>
        <v>0</v>
      </c>
      <c r="DZ71" s="1184">
        <f t="shared" si="168"/>
        <v>0</v>
      </c>
      <c r="EA71" s="1184"/>
      <c r="EB71" s="1184">
        <f t="shared" si="169"/>
        <v>0</v>
      </c>
      <c r="EC71" s="1184">
        <f t="shared" si="169"/>
        <v>0</v>
      </c>
      <c r="ED71" s="1184">
        <f t="shared" si="169"/>
        <v>0</v>
      </c>
      <c r="EE71" s="1184">
        <f t="shared" si="169"/>
        <v>0</v>
      </c>
      <c r="EF71" s="1184">
        <f t="shared" si="169"/>
        <v>0</v>
      </c>
      <c r="EG71" s="1184">
        <f t="shared" si="169"/>
        <v>0</v>
      </c>
      <c r="EH71" s="1184">
        <f t="shared" si="169"/>
        <v>0</v>
      </c>
      <c r="EI71" s="1184">
        <f t="shared" si="169"/>
        <v>0</v>
      </c>
      <c r="EJ71" s="1184">
        <f t="shared" si="169"/>
        <v>0</v>
      </c>
      <c r="EK71" s="1184">
        <f t="shared" si="169"/>
        <v>0</v>
      </c>
      <c r="EL71" s="1184">
        <f t="shared" si="169"/>
        <v>0</v>
      </c>
      <c r="EM71" s="1184">
        <f t="shared" si="169"/>
        <v>0</v>
      </c>
      <c r="EN71" s="1184"/>
      <c r="EO71" s="1184">
        <f t="shared" si="170"/>
        <v>0</v>
      </c>
      <c r="EP71" s="1184">
        <f t="shared" si="170"/>
        <v>0</v>
      </c>
      <c r="EQ71" s="1184">
        <f t="shared" si="170"/>
        <v>0</v>
      </c>
      <c r="ER71" s="1184">
        <f t="shared" si="170"/>
        <v>0</v>
      </c>
      <c r="ES71" s="1184">
        <f t="shared" si="170"/>
        <v>0</v>
      </c>
      <c r="ET71" s="1184">
        <f t="shared" si="170"/>
        <v>0</v>
      </c>
      <c r="EU71" s="1184">
        <f t="shared" si="170"/>
        <v>0</v>
      </c>
      <c r="EV71" s="1184">
        <f t="shared" si="170"/>
        <v>0</v>
      </c>
      <c r="EW71" s="1184">
        <f t="shared" si="170"/>
        <v>0</v>
      </c>
      <c r="EX71" s="1184">
        <f t="shared" si="170"/>
        <v>0</v>
      </c>
      <c r="EY71" s="1184">
        <f t="shared" si="170"/>
        <v>0</v>
      </c>
      <c r="EZ71" s="1184">
        <f t="shared" si="170"/>
        <v>0</v>
      </c>
      <c r="FA71" s="1184"/>
      <c r="FB71" s="1186">
        <f t="shared" si="51"/>
        <v>0</v>
      </c>
      <c r="FC71" s="1184">
        <f>FB71+DB71+EB71                 -         SUMIF('Nährstoffe und Lagerraum'!$AX$113:$AX$155,$CZ71,'Nährstoffe und Lagerraum'!$U$113:$U$155)/12  -$GD71*$HE71/12</f>
        <v>0</v>
      </c>
      <c r="FD71" s="1184">
        <f>FC71+DC71+EC71                 -         SUMIF('Nährstoffe und Lagerraum'!$AX$113:$AX$155,$CZ71,'Nährstoffe und Lagerraum'!$U$113:$U$155)/12  -$GD71*$HE71/12</f>
        <v>0</v>
      </c>
      <c r="FE71" s="1184">
        <f>FD71+DD71+ED71                 -         SUMIF('Nährstoffe und Lagerraum'!$AX$113:$AX$155,$CZ71,'Nährstoffe und Lagerraum'!$U$113:$U$155)/12  -$GD71*$HE71/12</f>
        <v>0</v>
      </c>
      <c r="FF71" s="1184">
        <f>FE71+DE71+EE71                 -         SUMIF('Nährstoffe und Lagerraum'!$AX$113:$AX$155,$CZ71,'Nährstoffe und Lagerraum'!$U$113:$U$155)/12  -$GD71*$HE71/12</f>
        <v>0</v>
      </c>
      <c r="FG71" s="1184">
        <f>FF71+DF71+EF71                 -         SUMIF('Nährstoffe und Lagerraum'!$AX$113:$AX$155,$CZ71,'Nährstoffe und Lagerraum'!$U$113:$U$155)/12  -$GD71*$HE71/12</f>
        <v>0</v>
      </c>
      <c r="FH71" s="1184">
        <f>FG71+DG71+EG71                 -         SUMIF('Nährstoffe und Lagerraum'!$AX$113:$AX$155,$CZ71,'Nährstoffe und Lagerraum'!$U$113:$U$155)/12  -$GD71*$HE71/12</f>
        <v>0</v>
      </c>
      <c r="FI71" s="1184">
        <f>FH71+DH71+EH71                 -         SUMIF('Nährstoffe und Lagerraum'!$AX$113:$AX$155,$CZ71,'Nährstoffe und Lagerraum'!$U$113:$U$155)/12  -$GD71*$HE71/12</f>
        <v>0</v>
      </c>
      <c r="FJ71" s="1184">
        <f>FI71+DI71+EI71                 -         SUMIF('Nährstoffe und Lagerraum'!$AX$113:$AX$155,$CZ71,'Nährstoffe und Lagerraum'!$U$113:$U$155)/12  -$GD71*$HE71/12</f>
        <v>0</v>
      </c>
      <c r="FK71" s="1184">
        <f>FJ71+DJ71+EJ71                 -         SUMIF('Nährstoffe und Lagerraum'!$AX$113:$AX$155,$CZ71,'Nährstoffe und Lagerraum'!$U$113:$U$155)/12  -$GD71*$HE71/12</f>
        <v>0</v>
      </c>
      <c r="FL71" s="1184">
        <f>FK71+DK71+EK71                 -         SUMIF('Nährstoffe und Lagerraum'!$AX$113:$AX$155,$CZ71,'Nährstoffe und Lagerraum'!$U$113:$U$155)/12  -$GD71*$HE71/12</f>
        <v>0</v>
      </c>
      <c r="FM71" s="1184">
        <f>FL71+DL71+EL71                 -         SUMIF('Nährstoffe und Lagerraum'!$AX$113:$AX$155,$CZ71,'Nährstoffe und Lagerraum'!$U$113:$U$155)/12  -$GD71*$HE71/12</f>
        <v>0</v>
      </c>
      <c r="FN71" s="1184">
        <f>FM71+DM71+EM71                 -         SUMIF('Nährstoffe und Lagerraum'!$AX$113:$AX$155,$CZ71,'Nährstoffe und Lagerraum'!$U$113:$U$155)/12  -$GD71*$HE71/12</f>
        <v>0</v>
      </c>
      <c r="FO71" s="1184"/>
      <c r="FP71" s="1186">
        <f t="shared" si="52"/>
        <v>0</v>
      </c>
      <c r="FQ71" s="1184">
        <f>FP71+DO71+EO71                 -         SUMIF('Nährstoffe und Lagerraum'!$AX$113:$AX$155,$CZ71,'Nährstoffe und Lagerraum'!$V$113:$V$155)/12  -$GE71*$HE71/12</f>
        <v>0</v>
      </c>
      <c r="FR71" s="1184">
        <f>FQ71+DP71+EP71                 -         SUMIF('Nährstoffe und Lagerraum'!$AX$113:$AX$155,$CZ71,'Nährstoffe und Lagerraum'!$V$113:$V$155)/12  -$GE71*$HE71/12</f>
        <v>0</v>
      </c>
      <c r="FS71" s="1184">
        <f>FR71+DQ71+EQ71                 -         SUMIF('Nährstoffe und Lagerraum'!$AX$113:$AX$155,$CZ71,'Nährstoffe und Lagerraum'!$V$113:$V$155)/12  -$GE71*$HE71/12</f>
        <v>0</v>
      </c>
      <c r="FT71" s="1184">
        <f>FS71+DR71+ER71                 -         SUMIF('Nährstoffe und Lagerraum'!$AX$113:$AX$155,$CZ71,'Nährstoffe und Lagerraum'!$V$113:$V$155)/12  -$GE71*$HE71/12</f>
        <v>0</v>
      </c>
      <c r="FU71" s="1184">
        <f>FT71+DS71+ES71                 -         SUMIF('Nährstoffe und Lagerraum'!$AX$113:$AX$155,$CZ71,'Nährstoffe und Lagerraum'!$V$113:$V$155)/12  -$GE71*$HE71/12</f>
        <v>0</v>
      </c>
      <c r="FV71" s="1184">
        <f>FU71+DT71+ET71                 -         SUMIF('Nährstoffe und Lagerraum'!$AX$113:$AX$155,$CZ71,'Nährstoffe und Lagerraum'!$V$113:$V$155)/12  -$GE71*$HE71/12</f>
        <v>0</v>
      </c>
      <c r="FW71" s="1184">
        <f>FV71+DU71+EU71                 -         SUMIF('Nährstoffe und Lagerraum'!$AX$113:$AX$155,$CZ71,'Nährstoffe und Lagerraum'!$V$113:$V$155)/12  -$GE71*$HE71/12</f>
        <v>0</v>
      </c>
      <c r="FX71" s="1184">
        <f>FW71+DV71+EV71                 -         SUMIF('Nährstoffe und Lagerraum'!$AX$113:$AX$155,$CZ71,'Nährstoffe und Lagerraum'!$V$113:$V$155)/12  -$GE71*$HE71/12</f>
        <v>0</v>
      </c>
      <c r="FY71" s="1184">
        <f>FX71+DW71+EW71                 -         SUMIF('Nährstoffe und Lagerraum'!$AX$113:$AX$155,$CZ71,'Nährstoffe und Lagerraum'!$V$113:$V$155)/12  -$GE71*$HE71/12</f>
        <v>0</v>
      </c>
      <c r="FZ71" s="1184">
        <f>FY71+DX71+EX71                 -         SUMIF('Nährstoffe und Lagerraum'!$AX$113:$AX$155,$CZ71,'Nährstoffe und Lagerraum'!$V$113:$V$155)/12  -$GE71*$HE71/12</f>
        <v>0</v>
      </c>
      <c r="GA71" s="1184">
        <f>FZ71+DY71+EY71                 -         SUMIF('Nährstoffe und Lagerraum'!$AX$113:$AX$155,$CZ71,'Nährstoffe und Lagerraum'!$V$113:$V$155)/12  -$GE71*$HE71/12</f>
        <v>0</v>
      </c>
      <c r="GB71" s="1184">
        <f>GA71+DZ71+EZ71                 -         SUMIF('Nährstoffe und Lagerraum'!$AX$113:$AX$155,$CZ71,'Nährstoffe und Lagerraum'!$V$113:$V$155)/12  -$GE71*$HE71/12</f>
        <v>0</v>
      </c>
      <c r="GC71" s="1184"/>
      <c r="GD71" s="1184">
        <f>SUMIFS($CI$14:$CI$68,$BR$14:$BR$68,$CZ71)+SUMIFS($CM$14:$CM$68,$BR$14:$BR$68,$CZ71)+SUMIFS($CR$14:$CR$68,$BR$14:$BR$68,$CZ71)  -         SUMIF('Nährstoffe und Lagerraum'!$AX$113:$AX$155,$CZ71,'Nährstoffe und Lagerraum'!$U$113:$U$155)</f>
        <v>0</v>
      </c>
      <c r="GE71" s="1184">
        <f>SUMIFS($CJ$14:$CJ$68,$BR$14:$BR$68,$CZ71)+SUMIFS($CO$14:$CO$68,$BR$14:$BR$68,$CZ71)+SUMIFS($CT$14:$CT$68,$BR$14:$BR$68,$CZ71)  -         SUMIF('Nährstoffe und Lagerraum'!$AX$113:$AX$155,$CZ71,'Nährstoffe und Lagerraum'!$V$113:$V$155)</f>
        <v>0</v>
      </c>
      <c r="GF71" s="1184"/>
      <c r="GG71" s="1184"/>
      <c r="GH71" s="1184">
        <f>SUMIF('Nährstoffe und Lagerraum'!$AX$113:$AX$155,$CZ71,'Nährstoffe und Lagerraum'!$U$113:$U$155)</f>
        <v>0</v>
      </c>
      <c r="GI71" s="1184">
        <f>SUMIF('Nährstoffe und Lagerraum'!$AX$113:$AX$155,$CZ71,'Nährstoffe und Lagerraum'!$V$113:$V$155)</f>
        <v>0</v>
      </c>
      <c r="GJ71" s="1184">
        <f t="shared" si="53"/>
        <v>0</v>
      </c>
      <c r="GK71" s="1184">
        <f t="shared" si="54"/>
        <v>0</v>
      </c>
      <c r="GL71" s="1184">
        <f t="shared" si="55"/>
        <v>0</v>
      </c>
      <c r="GM71" s="1184">
        <f t="shared" si="56"/>
        <v>0</v>
      </c>
      <c r="GN71" s="1184">
        <f t="shared" si="57"/>
        <v>0</v>
      </c>
      <c r="GO71" s="1184" cm="1">
        <f t="array" ref="GO71">IF(GN71=0,0,(IFERROR(SUMPRODUCT($J$14:$J$68,$CH$14:$CH$68,($BR$14:$BR$68=CZ71)*1)+SUMPRODUCT($L$14:$L$68,$M$14:$M$68,$CK$14:$CK$68,($BR$14:$BR$68=CZ71)*1,($BT$14:$BT$68=FALSE)*1)/10+SUMPRODUCT($R$14:$R$68,$CP$14:$CP$68,($BR$14:$BR$68=CZ71)*1),0))/GN71)</f>
        <v>0</v>
      </c>
      <c r="GP71" s="1184">
        <f t="shared" si="58"/>
        <v>0</v>
      </c>
      <c r="GQ71" s="1184">
        <f>(SUMIF('Nährstoffe und Lagerraum'!$AX$113:$AX$130,'Lagerhaltung (freiwillig)'!CZ71,'Nährstoffe und Lagerraum'!$D$113:$D$130)+SUMIF('Nährstoffe und Lagerraum'!$AX$137:$AX$155,'Lagerhaltung (freiwillig)'!CZ71,'Nährstoffe und Lagerraum'!$E$137:$E$155))</f>
        <v>0</v>
      </c>
      <c r="GR71" s="1184" cm="1">
        <f t="array" ref="GR71">IF(GQ71=0,0,(IFERROR(SUMPRODUCT('Nährstoffe und Lagerraum'!$D$113:$D$130,'Nährstoffe und Lagerraum'!$F$113:$F$130,('Nährstoffe und Lagerraum'!$AX$113:$AX$130='Lagerhaltung (freiwillig)'!CZ71)*1)+SUMPRODUCT('Nährstoffe und Lagerraum'!$E$137:$E$155,'Nährstoffe und Lagerraum'!$F$137:$F$155,('Nährstoffe und Lagerraum'!$AX$137:$AX$155='Lagerhaltung (freiwillig)'!CZ71)*1),0))/GQ71)</f>
        <v>0</v>
      </c>
      <c r="GS71" s="1184">
        <f t="shared" si="59"/>
        <v>0</v>
      </c>
      <c r="GT71" s="1184">
        <f t="shared" si="60"/>
        <v>0</v>
      </c>
      <c r="GU71" s="1184">
        <f t="shared" si="61"/>
        <v>0</v>
      </c>
      <c r="GV71" s="1184">
        <f t="shared" si="62"/>
        <v>0</v>
      </c>
      <c r="GW71" s="1186" t="str">
        <f t="shared" si="41"/>
        <v xml:space="preserve"> </v>
      </c>
      <c r="GX71" s="1186" t="str">
        <f t="shared" si="41"/>
        <v xml:space="preserve"> </v>
      </c>
      <c r="GY71" s="1195">
        <f t="shared" si="63"/>
        <v>0</v>
      </c>
      <c r="GZ71" s="1184">
        <f t="shared" si="64"/>
        <v>0</v>
      </c>
      <c r="HA71" s="1184" t="str">
        <f t="shared" si="132"/>
        <v>a</v>
      </c>
      <c r="HB71" s="1196">
        <f t="shared" si="65"/>
        <v>0</v>
      </c>
      <c r="HC71" s="1196">
        <f t="shared" si="66"/>
        <v>0</v>
      </c>
      <c r="HD71" s="1196"/>
      <c r="HE71" s="1187">
        <f t="shared" si="67"/>
        <v>0</v>
      </c>
      <c r="HF71" s="1196">
        <f t="shared" si="68"/>
        <v>0</v>
      </c>
      <c r="HG71" s="1196">
        <f t="shared" si="69"/>
        <v>0</v>
      </c>
      <c r="HH71" s="1196">
        <f t="shared" si="70"/>
        <v>0</v>
      </c>
      <c r="HI71" s="1328" cm="1">
        <f t="array" ref="HI71">IF(AND(HG71=0,GL71=0),0,IF(HG71=0,1,IF(OR(GL71*1000/HG71/HH71&gt;INDEX(Pflanzen!$W$5:$W$104,CZ71)/INDEX(Pflanzen!$I$5:$I$104,CZ71)*$HI$1,GL71*1000/HG71/HH71&lt;INDEX(Pflanzen!$W$5:$W$104,CZ71)/INDEX(Pflanzen!$I$5:$I$104,CZ71)/$HI$1),1,0)))</f>
        <v>0</v>
      </c>
      <c r="HJ71" s="1328" cm="1">
        <f t="array" ref="HJ71">IF(AND(GM71=0,HG71=0),0,IF(HG71=0,1,IF(OR(GM71*1000/HG71/HH71&gt;INDEX(Pflanzen!$X$5:$X$104,CZ71)/INDEX(Pflanzen!$I$5:$I$104,CZ71)*$HI$1,GM71*1000/HG71/HH71&lt;INDEX(Pflanzen!$X$5:$X$104,CZ71)/INDEX(Pflanzen!$I$5:$I$104,CZ71)/$HI$1),1,0)))</f>
        <v>0</v>
      </c>
      <c r="HK71" s="1184">
        <f t="shared" si="71"/>
        <v>3</v>
      </c>
      <c r="HL71" s="1184"/>
      <c r="HN71" s="1184"/>
      <c r="HO71" s="1193" t="str">
        <f>Tiere!B97</f>
        <v>Damwild mit Nachzucht</v>
      </c>
      <c r="HP71" s="1184">
        <v>68</v>
      </c>
      <c r="HQ71" s="1194">
        <f>SUMIF('Nährstoffe und Lagerraum'!$BM$68:$BM$87,'Lagerhaltung (freiwillig)'!HP71,'Nährstoffe und Lagerraum'!$Z$68:$Z$87)+SUMIF('Nährstoffe und Lagerraum'!$BM$68:$BM$87,'Lagerhaltung (freiwillig)'!HP71,'Nährstoffe und Lagerraum'!$AA$68:$AA$87)</f>
        <v>0</v>
      </c>
      <c r="HR71" s="1184" cm="1">
        <f t="array" ref="HR71">INDEX(Tiere!$C$30:$C$114,'Lagerhaltung (freiwillig)'!HP71)</f>
        <v>8</v>
      </c>
      <c r="HS71" s="1184" cm="1">
        <f t="array" ref="HS71">INDEX(Tiere!$H$30:$H$114,'Lagerhaltung (freiwillig)'!HP71)</f>
        <v>21.3</v>
      </c>
      <c r="HT71" s="1184">
        <f t="shared" si="171"/>
        <v>0</v>
      </c>
      <c r="HU71" s="1184" cm="1">
        <f t="array" ref="HU71">INDEX(Tiere!$I$30:$I$114,'Lagerhaltung (freiwillig)'!HP71)</f>
        <v>6.1</v>
      </c>
      <c r="HV71" s="1184">
        <f t="shared" si="172"/>
        <v>0</v>
      </c>
      <c r="HW71" s="1184" cm="1">
        <f t="array" ref="HW71">INDEX(Tiere!$BC$30:$BC$114,'Lagerhaltung (freiwillig)'!HP71)</f>
        <v>1.1700000000000002</v>
      </c>
      <c r="HX71" s="1184">
        <f t="shared" si="173"/>
        <v>0</v>
      </c>
      <c r="HY71" s="1184" cm="1">
        <f t="array" ref="HY71">INDEX(Tiere!$BD$30:$BD$114,'Lagerhaltung (freiwillig)'!HP71)</f>
        <v>0.61650000000000005</v>
      </c>
      <c r="HZ71" s="1184">
        <f t="shared" si="174"/>
        <v>0</v>
      </c>
      <c r="IA71" s="1184"/>
      <c r="IB71" s="1184"/>
      <c r="IC71" s="1184"/>
      <c r="ID71" s="1184"/>
      <c r="IE71" s="1184"/>
      <c r="IF71" s="1184"/>
      <c r="IG71" s="1184"/>
      <c r="IH71" s="1184"/>
      <c r="II71" s="1184"/>
      <c r="IJ71" s="1184"/>
      <c r="IK71" s="1184"/>
      <c r="IL71" s="1184"/>
    </row>
    <row r="72" spans="1:246" ht="15.75" customHeight="1" x14ac:dyDescent="0.2">
      <c r="A72" s="3142" t="s">
        <v>8328</v>
      </c>
      <c r="B72" s="3143"/>
      <c r="C72" s="3143"/>
      <c r="D72" s="3143"/>
      <c r="E72" s="3144"/>
      <c r="F72" s="3017" t="s">
        <v>1014</v>
      </c>
      <c r="G72" s="1157" t="s">
        <v>4</v>
      </c>
      <c r="H72" s="1159" t="s">
        <v>427</v>
      </c>
      <c r="I72" s="3017" t="s">
        <v>8320</v>
      </c>
      <c r="J72" s="3049" t="s">
        <v>1015</v>
      </c>
      <c r="K72" s="3052" t="s">
        <v>1028</v>
      </c>
      <c r="L72" s="3055" t="s">
        <v>1017</v>
      </c>
      <c r="M72" s="3055" t="s">
        <v>1018</v>
      </c>
      <c r="N72" s="3059" t="s">
        <v>8268</v>
      </c>
      <c r="O72" s="3060"/>
      <c r="P72" s="3108" t="s">
        <v>942</v>
      </c>
      <c r="Q72" s="3017" t="s">
        <v>8320</v>
      </c>
      <c r="R72" s="3010" t="s">
        <v>8239</v>
      </c>
      <c r="S72" s="3046" t="s">
        <v>8274</v>
      </c>
      <c r="T72" s="3047"/>
      <c r="U72" s="1299"/>
      <c r="V72" s="1301"/>
      <c r="Y72" s="1981"/>
      <c r="Z72" s="1982"/>
      <c r="AA72" s="1982"/>
      <c r="AB72" s="1982"/>
      <c r="AC72" s="1983"/>
      <c r="AD72" s="1983"/>
      <c r="AE72" s="1983"/>
      <c r="AF72" s="1983"/>
      <c r="AG72" s="1983"/>
      <c r="AH72" s="1983"/>
      <c r="AI72" s="1983"/>
      <c r="AJ72" s="1983"/>
      <c r="AK72" s="1983"/>
      <c r="AL72" s="1984"/>
      <c r="AM72" s="1983"/>
      <c r="AN72" s="1983"/>
      <c r="AO72" s="1983"/>
      <c r="AP72" s="1983"/>
      <c r="AQ72" s="1983"/>
      <c r="AR72" s="1983"/>
      <c r="AS72" s="1983"/>
      <c r="AT72" s="1983"/>
      <c r="AU72" s="1983"/>
      <c r="AV72" s="1983"/>
      <c r="AW72" s="1985"/>
      <c r="AX72" s="1985"/>
      <c r="AY72" s="1985"/>
      <c r="AZ72" s="1985"/>
      <c r="BA72" s="1462"/>
      <c r="BB72" s="1462"/>
      <c r="BC72" s="1462"/>
      <c r="BD72" s="1461"/>
      <c r="BE72" s="1462"/>
      <c r="BF72" s="1343"/>
      <c r="BG72" s="1343"/>
      <c r="BH72" s="1343"/>
      <c r="BI72" s="1343"/>
      <c r="BJ72" s="1343"/>
      <c r="BK72" s="1343"/>
      <c r="BL72" s="1343"/>
      <c r="BM72" s="1343"/>
      <c r="BN72" s="1343"/>
      <c r="BO72" s="1343"/>
      <c r="BQ72" s="1184"/>
      <c r="BR72" s="1184"/>
      <c r="BS72" s="1184"/>
      <c r="BT72" s="1184"/>
      <c r="BU72" s="1185"/>
      <c r="BV72" s="1185"/>
      <c r="BW72" s="1184"/>
      <c r="BX72" s="1184"/>
      <c r="BY72" s="1184"/>
      <c r="BZ72" s="1184"/>
      <c r="CA72" s="1184"/>
      <c r="CB72" s="1184"/>
      <c r="CC72" s="1184"/>
      <c r="CD72" s="1184"/>
      <c r="CE72" s="1184"/>
      <c r="CF72" s="1184"/>
      <c r="CG72" s="1184"/>
      <c r="CH72" s="1184"/>
      <c r="CI72" s="1184"/>
      <c r="CJ72" s="1184"/>
      <c r="CK72" s="1184"/>
      <c r="CL72" s="1184"/>
      <c r="CM72" s="1184"/>
      <c r="CN72" s="1184"/>
      <c r="CO72" s="1184"/>
      <c r="CP72" s="1184"/>
      <c r="CQ72" s="1184"/>
      <c r="CR72" s="1184"/>
      <c r="CS72" s="1184"/>
      <c r="CT72" s="1184"/>
      <c r="CU72" s="1184"/>
      <c r="CV72" s="1184"/>
      <c r="CW72" s="1184"/>
      <c r="CX72" s="1184"/>
      <c r="CY72" s="320" t="str">
        <f>Pflanzen!A68</f>
        <v xml:space="preserve"> +++Zwischenfrucht+++</v>
      </c>
      <c r="CZ72" s="1200">
        <f>IFERROR(MATCH($CY72,Pflanzen!$C$5:$C$114,0),1)</f>
        <v>64</v>
      </c>
      <c r="DA72" s="320" cm="1">
        <f t="array" ref="DA72">INDEX(Pflanzen!$H$5:$H$114,'Lagerhaltung (freiwillig)'!CZ72)</f>
        <v>0</v>
      </c>
      <c r="DB72" s="1200">
        <f t="shared" si="167"/>
        <v>0</v>
      </c>
      <c r="DC72" s="1200">
        <f t="shared" si="167"/>
        <v>0</v>
      </c>
      <c r="DD72" s="1200">
        <f t="shared" si="167"/>
        <v>0</v>
      </c>
      <c r="DE72" s="1200">
        <f t="shared" si="167"/>
        <v>0</v>
      </c>
      <c r="DF72" s="1200">
        <f t="shared" si="167"/>
        <v>0</v>
      </c>
      <c r="DG72" s="1184">
        <f t="shared" si="167"/>
        <v>0</v>
      </c>
      <c r="DH72" s="1184">
        <f t="shared" si="167"/>
        <v>0</v>
      </c>
      <c r="DI72" s="1184">
        <f t="shared" si="167"/>
        <v>0</v>
      </c>
      <c r="DJ72" s="1184">
        <f t="shared" si="167"/>
        <v>0</v>
      </c>
      <c r="DK72" s="1184">
        <f t="shared" si="167"/>
        <v>0</v>
      </c>
      <c r="DL72" s="1184">
        <f t="shared" si="167"/>
        <v>0</v>
      </c>
      <c r="DM72" s="1184">
        <f t="shared" si="167"/>
        <v>0</v>
      </c>
      <c r="DN72" s="1184"/>
      <c r="DO72" s="1184">
        <f t="shared" si="168"/>
        <v>0</v>
      </c>
      <c r="DP72" s="1184">
        <f t="shared" si="168"/>
        <v>0</v>
      </c>
      <c r="DQ72" s="1184">
        <f t="shared" si="168"/>
        <v>0</v>
      </c>
      <c r="DR72" s="1184">
        <f t="shared" si="168"/>
        <v>0</v>
      </c>
      <c r="DS72" s="1184">
        <f t="shared" si="168"/>
        <v>0</v>
      </c>
      <c r="DT72" s="1184">
        <f t="shared" si="168"/>
        <v>0</v>
      </c>
      <c r="DU72" s="1184">
        <f t="shared" si="168"/>
        <v>0</v>
      </c>
      <c r="DV72" s="1184">
        <f t="shared" si="168"/>
        <v>0</v>
      </c>
      <c r="DW72" s="1184">
        <f t="shared" si="168"/>
        <v>0</v>
      </c>
      <c r="DX72" s="1184">
        <f t="shared" si="168"/>
        <v>0</v>
      </c>
      <c r="DY72" s="1184">
        <f t="shared" si="168"/>
        <v>0</v>
      </c>
      <c r="DZ72" s="1184">
        <f t="shared" si="168"/>
        <v>0</v>
      </c>
      <c r="EA72" s="1184"/>
      <c r="EB72" s="1184">
        <f t="shared" si="169"/>
        <v>0</v>
      </c>
      <c r="EC72" s="1184">
        <f t="shared" si="169"/>
        <v>0</v>
      </c>
      <c r="ED72" s="1184">
        <f t="shared" si="169"/>
        <v>0</v>
      </c>
      <c r="EE72" s="1184">
        <f t="shared" si="169"/>
        <v>0</v>
      </c>
      <c r="EF72" s="1184">
        <f t="shared" si="169"/>
        <v>0</v>
      </c>
      <c r="EG72" s="1184">
        <f t="shared" si="169"/>
        <v>0</v>
      </c>
      <c r="EH72" s="1184">
        <f t="shared" si="169"/>
        <v>0</v>
      </c>
      <c r="EI72" s="1184">
        <f t="shared" si="169"/>
        <v>0</v>
      </c>
      <c r="EJ72" s="1184">
        <f t="shared" si="169"/>
        <v>0</v>
      </c>
      <c r="EK72" s="1184">
        <f t="shared" si="169"/>
        <v>0</v>
      </c>
      <c r="EL72" s="1184">
        <f t="shared" si="169"/>
        <v>0</v>
      </c>
      <c r="EM72" s="1184">
        <f t="shared" si="169"/>
        <v>0</v>
      </c>
      <c r="EN72" s="1184"/>
      <c r="EO72" s="1184">
        <f t="shared" si="170"/>
        <v>0</v>
      </c>
      <c r="EP72" s="1184">
        <f t="shared" si="170"/>
        <v>0</v>
      </c>
      <c r="EQ72" s="1184">
        <f t="shared" si="170"/>
        <v>0</v>
      </c>
      <c r="ER72" s="1184">
        <f t="shared" si="170"/>
        <v>0</v>
      </c>
      <c r="ES72" s="1184">
        <f t="shared" si="170"/>
        <v>0</v>
      </c>
      <c r="ET72" s="1184">
        <f t="shared" si="170"/>
        <v>0</v>
      </c>
      <c r="EU72" s="1184">
        <f t="shared" si="170"/>
        <v>0</v>
      </c>
      <c r="EV72" s="1184">
        <f t="shared" si="170"/>
        <v>0</v>
      </c>
      <c r="EW72" s="1184">
        <f t="shared" si="170"/>
        <v>0</v>
      </c>
      <c r="EX72" s="1184">
        <f t="shared" si="170"/>
        <v>0</v>
      </c>
      <c r="EY72" s="1184">
        <f t="shared" si="170"/>
        <v>0</v>
      </c>
      <c r="EZ72" s="1184">
        <f t="shared" si="170"/>
        <v>0</v>
      </c>
      <c r="FA72" s="1184"/>
      <c r="FB72" s="1186">
        <f t="shared" si="51"/>
        <v>0</v>
      </c>
      <c r="FC72" s="1184">
        <f>FB72+DB72+EB72                 -         SUMIF('Nährstoffe und Lagerraum'!$AX$113:$AX$155,$CZ72,'Nährstoffe und Lagerraum'!$U$113:$U$155)/12  -$GD72*$HE72/12</f>
        <v>0</v>
      </c>
      <c r="FD72" s="1184">
        <f>FC72+DC72+EC72                 -         SUMIF('Nährstoffe und Lagerraum'!$AX$113:$AX$155,$CZ72,'Nährstoffe und Lagerraum'!$U$113:$U$155)/12  -$GD72*$HE72/12</f>
        <v>0</v>
      </c>
      <c r="FE72" s="1184">
        <f>FD72+DD72+ED72                 -         SUMIF('Nährstoffe und Lagerraum'!$AX$113:$AX$155,$CZ72,'Nährstoffe und Lagerraum'!$U$113:$U$155)/12  -$GD72*$HE72/12</f>
        <v>0</v>
      </c>
      <c r="FF72" s="1184">
        <f>FE72+DE72+EE72                 -         SUMIF('Nährstoffe und Lagerraum'!$AX$113:$AX$155,$CZ72,'Nährstoffe und Lagerraum'!$U$113:$U$155)/12  -$GD72*$HE72/12</f>
        <v>0</v>
      </c>
      <c r="FG72" s="1184">
        <f>FF72+DF72+EF72                 -         SUMIF('Nährstoffe und Lagerraum'!$AX$113:$AX$155,$CZ72,'Nährstoffe und Lagerraum'!$U$113:$U$155)/12  -$GD72*$HE72/12</f>
        <v>0</v>
      </c>
      <c r="FH72" s="1184">
        <f>FG72+DG72+EG72                 -         SUMIF('Nährstoffe und Lagerraum'!$AX$113:$AX$155,$CZ72,'Nährstoffe und Lagerraum'!$U$113:$U$155)/12  -$GD72*$HE72/12</f>
        <v>0</v>
      </c>
      <c r="FI72" s="1184">
        <f>FH72+DH72+EH72                 -         SUMIF('Nährstoffe und Lagerraum'!$AX$113:$AX$155,$CZ72,'Nährstoffe und Lagerraum'!$U$113:$U$155)/12  -$GD72*$HE72/12</f>
        <v>0</v>
      </c>
      <c r="FJ72" s="1184">
        <f>FI72+DI72+EI72                 -         SUMIF('Nährstoffe und Lagerraum'!$AX$113:$AX$155,$CZ72,'Nährstoffe und Lagerraum'!$U$113:$U$155)/12  -$GD72*$HE72/12</f>
        <v>0</v>
      </c>
      <c r="FK72" s="1184">
        <f>FJ72+DJ72+EJ72                 -         SUMIF('Nährstoffe und Lagerraum'!$AX$113:$AX$155,$CZ72,'Nährstoffe und Lagerraum'!$U$113:$U$155)/12  -$GD72*$HE72/12</f>
        <v>0</v>
      </c>
      <c r="FL72" s="1184">
        <f>FK72+DK72+EK72                 -         SUMIF('Nährstoffe und Lagerraum'!$AX$113:$AX$155,$CZ72,'Nährstoffe und Lagerraum'!$U$113:$U$155)/12  -$GD72*$HE72/12</f>
        <v>0</v>
      </c>
      <c r="FM72" s="1184">
        <f>FL72+DL72+EL72                 -         SUMIF('Nährstoffe und Lagerraum'!$AX$113:$AX$155,$CZ72,'Nährstoffe und Lagerraum'!$U$113:$U$155)/12  -$GD72*$HE72/12</f>
        <v>0</v>
      </c>
      <c r="FN72" s="1184">
        <f>FM72+DM72+EM72                 -         SUMIF('Nährstoffe und Lagerraum'!$AX$113:$AX$155,$CZ72,'Nährstoffe und Lagerraum'!$U$113:$U$155)/12  -$GD72*$HE72/12</f>
        <v>0</v>
      </c>
      <c r="FO72" s="1184"/>
      <c r="FP72" s="1186">
        <f t="shared" si="52"/>
        <v>0</v>
      </c>
      <c r="FQ72" s="1184">
        <f>FP72+DO72+EO72                 -         SUMIF('Nährstoffe und Lagerraum'!$AX$113:$AX$155,$CZ72,'Nährstoffe und Lagerraum'!$V$113:$V$155)/12  -$GE72*$HE72/12</f>
        <v>0</v>
      </c>
      <c r="FR72" s="1184">
        <f>FQ72+DP72+EP72                 -         SUMIF('Nährstoffe und Lagerraum'!$AX$113:$AX$155,$CZ72,'Nährstoffe und Lagerraum'!$V$113:$V$155)/12  -$GE72*$HE72/12</f>
        <v>0</v>
      </c>
      <c r="FS72" s="1184">
        <f>FR72+DQ72+EQ72                 -         SUMIF('Nährstoffe und Lagerraum'!$AX$113:$AX$155,$CZ72,'Nährstoffe und Lagerraum'!$V$113:$V$155)/12  -$GE72*$HE72/12</f>
        <v>0</v>
      </c>
      <c r="FT72" s="1184">
        <f>FS72+DR72+ER72                 -         SUMIF('Nährstoffe und Lagerraum'!$AX$113:$AX$155,$CZ72,'Nährstoffe und Lagerraum'!$V$113:$V$155)/12  -$GE72*$HE72/12</f>
        <v>0</v>
      </c>
      <c r="FU72" s="1184">
        <f>FT72+DS72+ES72                 -         SUMIF('Nährstoffe und Lagerraum'!$AX$113:$AX$155,$CZ72,'Nährstoffe und Lagerraum'!$V$113:$V$155)/12  -$GE72*$HE72/12</f>
        <v>0</v>
      </c>
      <c r="FV72" s="1184">
        <f>FU72+DT72+ET72                 -         SUMIF('Nährstoffe und Lagerraum'!$AX$113:$AX$155,$CZ72,'Nährstoffe und Lagerraum'!$V$113:$V$155)/12  -$GE72*$HE72/12</f>
        <v>0</v>
      </c>
      <c r="FW72" s="1184">
        <f>FV72+DU72+EU72                 -         SUMIF('Nährstoffe und Lagerraum'!$AX$113:$AX$155,$CZ72,'Nährstoffe und Lagerraum'!$V$113:$V$155)/12  -$GE72*$HE72/12</f>
        <v>0</v>
      </c>
      <c r="FX72" s="1184">
        <f>FW72+DV72+EV72                 -         SUMIF('Nährstoffe und Lagerraum'!$AX$113:$AX$155,$CZ72,'Nährstoffe und Lagerraum'!$V$113:$V$155)/12  -$GE72*$HE72/12</f>
        <v>0</v>
      </c>
      <c r="FY72" s="1184">
        <f>FX72+DW72+EW72                 -         SUMIF('Nährstoffe und Lagerraum'!$AX$113:$AX$155,$CZ72,'Nährstoffe und Lagerraum'!$V$113:$V$155)/12  -$GE72*$HE72/12</f>
        <v>0</v>
      </c>
      <c r="FZ72" s="1184">
        <f>FY72+DX72+EX72                 -         SUMIF('Nährstoffe und Lagerraum'!$AX$113:$AX$155,$CZ72,'Nährstoffe und Lagerraum'!$V$113:$V$155)/12  -$GE72*$HE72/12</f>
        <v>0</v>
      </c>
      <c r="GA72" s="1184">
        <f>FZ72+DY72+EY72                 -         SUMIF('Nährstoffe und Lagerraum'!$AX$113:$AX$155,$CZ72,'Nährstoffe und Lagerraum'!$V$113:$V$155)/12  -$GE72*$HE72/12</f>
        <v>0</v>
      </c>
      <c r="GB72" s="1184">
        <f>GA72+DZ72+EZ72                 -         SUMIF('Nährstoffe und Lagerraum'!$AX$113:$AX$155,$CZ72,'Nährstoffe und Lagerraum'!$V$113:$V$155)/12  -$GE72*$HE72/12</f>
        <v>0</v>
      </c>
      <c r="GC72" s="1184"/>
      <c r="GD72" s="1184">
        <f>SUMIFS($CI$14:$CI$68,$BR$14:$BR$68,$CZ72)+SUMIFS($CM$14:$CM$68,$BR$14:$BR$68,$CZ72)+SUMIFS($CR$14:$CR$68,$BR$14:$BR$68,$CZ72)  -         SUMIF('Nährstoffe und Lagerraum'!$AX$113:$AX$155,$CZ72,'Nährstoffe und Lagerraum'!$U$113:$U$155)</f>
        <v>0</v>
      </c>
      <c r="GE72" s="1184">
        <f>SUMIFS($CJ$14:$CJ$68,$BR$14:$BR$68,$CZ72)+SUMIFS($CO$14:$CO$68,$BR$14:$BR$68,$CZ72)+SUMIFS($CT$14:$CT$68,$BR$14:$BR$68,$CZ72)  -         SUMIF('Nährstoffe und Lagerraum'!$AX$113:$AX$155,$CZ72,'Nährstoffe und Lagerraum'!$V$113:$V$155)</f>
        <v>0</v>
      </c>
      <c r="GF72" s="1184"/>
      <c r="GG72" s="1184"/>
      <c r="GH72" s="1184">
        <f>SUMIF('Nährstoffe und Lagerraum'!$AX$113:$AX$155,$CZ72,'Nährstoffe und Lagerraum'!$U$113:$U$155)</f>
        <v>0</v>
      </c>
      <c r="GI72" s="1184">
        <f>SUMIF('Nährstoffe und Lagerraum'!$AX$113:$AX$155,$CZ72,'Nährstoffe und Lagerraum'!$V$113:$V$155)</f>
        <v>0</v>
      </c>
      <c r="GJ72" s="1184">
        <f t="shared" si="53"/>
        <v>0</v>
      </c>
      <c r="GK72" s="1184">
        <f t="shared" si="54"/>
        <v>0</v>
      </c>
      <c r="GL72" s="1184">
        <f t="shared" si="55"/>
        <v>0</v>
      </c>
      <c r="GM72" s="1184">
        <f t="shared" si="56"/>
        <v>0</v>
      </c>
      <c r="GN72" s="1184">
        <f t="shared" si="57"/>
        <v>0</v>
      </c>
      <c r="GO72" s="1184" cm="1">
        <f t="array" ref="GO72">IF(GN72=0,0,(IFERROR(SUMPRODUCT($J$14:$J$68,$CH$14:$CH$68,($BR$14:$BR$68=CZ72)*1)+SUMPRODUCT($L$14:$L$68,$M$14:$M$68,$CK$14:$CK$68,($BR$14:$BR$68=CZ72)*1,($BT$14:$BT$68=FALSE)*1)/10+SUMPRODUCT($R$14:$R$68,$CP$14:$CP$68,($BR$14:$BR$68=CZ72)*1),0))/GN72)</f>
        <v>0</v>
      </c>
      <c r="GP72" s="1184">
        <f t="shared" si="58"/>
        <v>0</v>
      </c>
      <c r="GQ72" s="1184">
        <f>(SUMIF('Nährstoffe und Lagerraum'!$AX$113:$AX$130,'Lagerhaltung (freiwillig)'!CZ72,'Nährstoffe und Lagerraum'!$D$113:$D$130)+SUMIF('Nährstoffe und Lagerraum'!$AX$137:$AX$155,'Lagerhaltung (freiwillig)'!CZ72,'Nährstoffe und Lagerraum'!$E$137:$E$155))</f>
        <v>0</v>
      </c>
      <c r="GR72" s="1184" cm="1">
        <f t="array" ref="GR72">IF(GQ72=0,0,(IFERROR(SUMPRODUCT('Nährstoffe und Lagerraum'!$D$113:$D$130,'Nährstoffe und Lagerraum'!$F$113:$F$130,('Nährstoffe und Lagerraum'!$AX$113:$AX$130='Lagerhaltung (freiwillig)'!CZ72)*1)+SUMPRODUCT('Nährstoffe und Lagerraum'!$E$137:$E$155,'Nährstoffe und Lagerraum'!$F$137:$F$155,('Nährstoffe und Lagerraum'!$AX$137:$AX$155='Lagerhaltung (freiwillig)'!CZ72)*1),0))/GQ72)</f>
        <v>0</v>
      </c>
      <c r="GS72" s="1184">
        <f t="shared" si="59"/>
        <v>0</v>
      </c>
      <c r="GT72" s="1184">
        <f t="shared" si="60"/>
        <v>0</v>
      </c>
      <c r="GU72" s="1184">
        <f t="shared" si="61"/>
        <v>0</v>
      </c>
      <c r="GV72" s="1184">
        <f t="shared" si="62"/>
        <v>0</v>
      </c>
      <c r="GW72" s="1186" t="str">
        <f t="shared" si="41"/>
        <v xml:space="preserve"> </v>
      </c>
      <c r="GX72" s="1186" t="str">
        <f t="shared" si="41"/>
        <v xml:space="preserve"> </v>
      </c>
      <c r="GY72" s="1195">
        <f t="shared" si="63"/>
        <v>0</v>
      </c>
      <c r="GZ72" s="1184">
        <f t="shared" si="64"/>
        <v>0</v>
      </c>
      <c r="HA72" s="1184" t="str">
        <f t="shared" si="132"/>
        <v>a</v>
      </c>
      <c r="HB72" s="1196">
        <f t="shared" si="65"/>
        <v>0</v>
      </c>
      <c r="HC72" s="1196">
        <f t="shared" si="66"/>
        <v>0</v>
      </c>
      <c r="HD72" s="1196"/>
      <c r="HE72" s="1187">
        <f t="shared" si="67"/>
        <v>0</v>
      </c>
      <c r="HF72" s="1196">
        <f t="shared" si="68"/>
        <v>0</v>
      </c>
      <c r="HG72" s="1196">
        <f t="shared" si="69"/>
        <v>0</v>
      </c>
      <c r="HH72" s="1196">
        <f t="shared" si="70"/>
        <v>0</v>
      </c>
      <c r="HI72" s="1328" cm="1">
        <f t="array" ref="HI72">IF(AND(HG72=0,GL72=0),0,IF(HG72=0,1,IF(OR(GL72*1000/HG72/HH72&gt;INDEX(Pflanzen!$W$5:$W$104,CZ72)/INDEX(Pflanzen!$I$5:$I$104,CZ72)*$HI$1,GL72*1000/HG72/HH72&lt;INDEX(Pflanzen!$W$5:$W$104,CZ72)/INDEX(Pflanzen!$I$5:$I$104,CZ72)/$HI$1),1,0)))</f>
        <v>0</v>
      </c>
      <c r="HJ72" s="1328" cm="1">
        <f t="array" ref="HJ72">IF(AND(GM72=0,HG72=0),0,IF(HG72=0,1,IF(OR(GM72*1000/HG72/HH72&gt;INDEX(Pflanzen!$X$5:$X$104,CZ72)/INDEX(Pflanzen!$I$5:$I$104,CZ72)*$HI$1,GM72*1000/HG72/HH72&lt;INDEX(Pflanzen!$X$5:$X$104,CZ72)/INDEX(Pflanzen!$I$5:$I$104,CZ72)/$HI$1),1,0)))</f>
        <v>0</v>
      </c>
      <c r="HK72" s="1184">
        <f t="shared" si="71"/>
        <v>3</v>
      </c>
      <c r="HL72" s="1184"/>
      <c r="HN72" s="1184"/>
      <c r="HO72" s="1193" t="str">
        <f>Tiere!B98</f>
        <v>Damwild Alttier</v>
      </c>
      <c r="HP72" s="1184">
        <v>69</v>
      </c>
      <c r="HQ72" s="1194">
        <f>SUMIF('Nährstoffe und Lagerraum'!$BM$68:$BM$87,'Lagerhaltung (freiwillig)'!HP72,'Nährstoffe und Lagerraum'!$Z$68:$Z$87)+SUMIF('Nährstoffe und Lagerraum'!$BM$68:$BM$87,'Lagerhaltung (freiwillig)'!HP72,'Nährstoffe und Lagerraum'!$AA$68:$AA$87)</f>
        <v>0</v>
      </c>
      <c r="HR72" s="1184" cm="1">
        <f t="array" ref="HR72">INDEX(Tiere!$C$30:$C$114,'Lagerhaltung (freiwillig)'!HP72)</f>
        <v>8</v>
      </c>
      <c r="HS72" s="1184" cm="1">
        <f t="array" ref="HS72">INDEX(Tiere!$H$30:$H$114,'Lagerhaltung (freiwillig)'!HP72)</f>
        <v>15.1</v>
      </c>
      <c r="HT72" s="1184">
        <f t="shared" si="171"/>
        <v>0</v>
      </c>
      <c r="HU72" s="1184" cm="1">
        <f t="array" ref="HU72">INDEX(Tiere!$I$30:$I$114,'Lagerhaltung (freiwillig)'!HP72)</f>
        <v>4.8</v>
      </c>
      <c r="HV72" s="1184">
        <f t="shared" si="172"/>
        <v>0</v>
      </c>
      <c r="HW72" s="1184" cm="1">
        <f t="array" ref="HW72">INDEX(Tiere!$BC$30:$BC$114,'Lagerhaltung (freiwillig)'!HP72)</f>
        <v>0</v>
      </c>
      <c r="HX72" s="1184">
        <f t="shared" si="173"/>
        <v>0</v>
      </c>
      <c r="HY72" s="1184" cm="1">
        <f t="array" ref="HY72">INDEX(Tiere!$BD$30:$BD$114,'Lagerhaltung (freiwillig)'!HP72)</f>
        <v>0</v>
      </c>
      <c r="HZ72" s="1184">
        <f t="shared" si="174"/>
        <v>0</v>
      </c>
      <c r="IA72" s="1184"/>
      <c r="IB72" s="1184"/>
      <c r="IC72" s="1184"/>
      <c r="ID72" s="1184"/>
      <c r="IE72" s="1184"/>
      <c r="IF72" s="1184"/>
      <c r="IG72" s="1184"/>
      <c r="IH72" s="1184"/>
      <c r="II72" s="1184"/>
      <c r="IJ72" s="1184"/>
      <c r="IK72" s="1184"/>
      <c r="IL72" s="1184"/>
    </row>
    <row r="73" spans="1:246" ht="13.5" customHeight="1" x14ac:dyDescent="0.2">
      <c r="A73" s="3145"/>
      <c r="B73" s="3146"/>
      <c r="C73" s="3146"/>
      <c r="D73" s="3146"/>
      <c r="E73" s="3147"/>
      <c r="F73" s="3018"/>
      <c r="G73" s="3006" t="s">
        <v>1027</v>
      </c>
      <c r="H73" s="3007"/>
      <c r="I73" s="3018"/>
      <c r="J73" s="3050"/>
      <c r="K73" s="3053"/>
      <c r="L73" s="3056"/>
      <c r="M73" s="3056"/>
      <c r="N73" s="3061"/>
      <c r="O73" s="3062"/>
      <c r="P73" s="3109"/>
      <c r="Q73" s="3018"/>
      <c r="R73" s="2848"/>
      <c r="S73" s="3048"/>
      <c r="T73" s="3002"/>
      <c r="U73" s="1299"/>
      <c r="V73" s="1301"/>
      <c r="Y73" s="1981"/>
      <c r="Z73" s="1982"/>
      <c r="AA73" s="1982"/>
      <c r="AB73" s="1982"/>
      <c r="AC73" s="1983"/>
      <c r="AD73" s="1983"/>
      <c r="AE73" s="1983"/>
      <c r="AF73" s="1983"/>
      <c r="AG73" s="1983"/>
      <c r="AH73" s="1983"/>
      <c r="AI73" s="1983"/>
      <c r="AJ73" s="1983"/>
      <c r="AK73" s="1983"/>
      <c r="AL73" s="1984"/>
      <c r="AM73" s="1983"/>
      <c r="AN73" s="1983"/>
      <c r="AO73" s="1983"/>
      <c r="AP73" s="1983"/>
      <c r="AQ73" s="1983"/>
      <c r="AR73" s="1983"/>
      <c r="AS73" s="1983"/>
      <c r="AT73" s="1983"/>
      <c r="AU73" s="1983"/>
      <c r="AV73" s="1983"/>
      <c r="AW73" s="1985"/>
      <c r="AX73" s="1985"/>
      <c r="AY73" s="1985"/>
      <c r="AZ73" s="1985"/>
      <c r="BA73" s="1462"/>
      <c r="BB73" s="1462"/>
      <c r="BC73" s="1462"/>
      <c r="BD73" s="1461"/>
      <c r="BE73" s="1462"/>
      <c r="BF73" s="1343"/>
      <c r="BG73" s="1343"/>
      <c r="BH73" s="1343"/>
      <c r="BI73" s="1343"/>
      <c r="BJ73" s="1343"/>
      <c r="BK73" s="1343"/>
      <c r="BL73" s="1343"/>
      <c r="BM73" s="1343"/>
      <c r="BN73" s="1343"/>
      <c r="BO73" s="1343"/>
      <c r="BQ73" s="1184"/>
      <c r="BR73" s="1184"/>
      <c r="BS73" s="1184"/>
      <c r="BT73" s="1184"/>
      <c r="BU73" s="1185"/>
      <c r="BV73" s="1185"/>
      <c r="BW73" s="1186" t="s">
        <v>451</v>
      </c>
      <c r="BX73" s="1186"/>
      <c r="BY73" s="1186"/>
      <c r="BZ73" s="1186"/>
      <c r="CA73" s="1184"/>
      <c r="CB73" s="1184"/>
      <c r="CC73" s="1186"/>
      <c r="CD73" s="1186"/>
      <c r="CE73" s="1186"/>
      <c r="CF73" s="1186"/>
      <c r="CG73" s="1186"/>
      <c r="CH73" s="1184"/>
      <c r="CI73" s="1184"/>
      <c r="CJ73" s="1184"/>
      <c r="CK73" s="1184"/>
      <c r="CL73" s="1184"/>
      <c r="CM73" s="1184"/>
      <c r="CN73" s="1184"/>
      <c r="CO73" s="1184"/>
      <c r="CP73" s="2994" t="s">
        <v>451</v>
      </c>
      <c r="CQ73" s="2994"/>
      <c r="CR73" s="2994"/>
      <c r="CS73" s="2994"/>
      <c r="CT73" s="2994"/>
      <c r="CU73" s="1992"/>
      <c r="CV73" s="1992"/>
      <c r="CW73" s="1186" t="s">
        <v>1053</v>
      </c>
      <c r="CX73" s="1184"/>
      <c r="CY73" s="320" t="str">
        <f>Pflanzen!A69</f>
        <v>Zwischenfrucht mit 0 - 25 % Leg.</v>
      </c>
      <c r="CZ73" s="1200">
        <f>IFERROR(MATCH($CY73,Pflanzen!$C$5:$C$114,0),1)</f>
        <v>65</v>
      </c>
      <c r="DA73" s="320" cm="1">
        <f t="array" ref="DA73">INDEX(Pflanzen!$H$5:$H$114,'Lagerhaltung (freiwillig)'!CZ73)</f>
        <v>1</v>
      </c>
      <c r="DB73" s="1200">
        <f t="shared" si="167"/>
        <v>0</v>
      </c>
      <c r="DC73" s="1200">
        <f t="shared" si="167"/>
        <v>0</v>
      </c>
      <c r="DD73" s="1200">
        <f t="shared" si="167"/>
        <v>0</v>
      </c>
      <c r="DE73" s="1200">
        <f t="shared" si="167"/>
        <v>0</v>
      </c>
      <c r="DF73" s="1200">
        <f t="shared" si="167"/>
        <v>0</v>
      </c>
      <c r="DG73" s="1184">
        <f t="shared" si="167"/>
        <v>0</v>
      </c>
      <c r="DH73" s="1184">
        <f t="shared" si="167"/>
        <v>0</v>
      </c>
      <c r="DI73" s="1184">
        <f t="shared" si="167"/>
        <v>0</v>
      </c>
      <c r="DJ73" s="1184">
        <f t="shared" si="167"/>
        <v>0</v>
      </c>
      <c r="DK73" s="1184">
        <f t="shared" si="167"/>
        <v>0</v>
      </c>
      <c r="DL73" s="1184">
        <f t="shared" si="167"/>
        <v>0</v>
      </c>
      <c r="DM73" s="1184">
        <f t="shared" si="167"/>
        <v>0</v>
      </c>
      <c r="DN73" s="1184"/>
      <c r="DO73" s="1184">
        <f t="shared" si="168"/>
        <v>0</v>
      </c>
      <c r="DP73" s="1184">
        <f t="shared" si="168"/>
        <v>0</v>
      </c>
      <c r="DQ73" s="1184">
        <f t="shared" si="168"/>
        <v>0</v>
      </c>
      <c r="DR73" s="1184">
        <f t="shared" si="168"/>
        <v>0</v>
      </c>
      <c r="DS73" s="1184">
        <f t="shared" si="168"/>
        <v>0</v>
      </c>
      <c r="DT73" s="1184">
        <f t="shared" si="168"/>
        <v>0</v>
      </c>
      <c r="DU73" s="1184">
        <f t="shared" si="168"/>
        <v>0</v>
      </c>
      <c r="DV73" s="1184">
        <f t="shared" si="168"/>
        <v>0</v>
      </c>
      <c r="DW73" s="1184">
        <f t="shared" si="168"/>
        <v>0</v>
      </c>
      <c r="DX73" s="1184">
        <f t="shared" si="168"/>
        <v>0</v>
      </c>
      <c r="DY73" s="1184">
        <f t="shared" si="168"/>
        <v>0</v>
      </c>
      <c r="DZ73" s="1184">
        <f t="shared" si="168"/>
        <v>0</v>
      </c>
      <c r="EA73" s="1184"/>
      <c r="EB73" s="1184">
        <f t="shared" si="169"/>
        <v>0</v>
      </c>
      <c r="EC73" s="1184">
        <f t="shared" si="169"/>
        <v>0</v>
      </c>
      <c r="ED73" s="1184">
        <f t="shared" si="169"/>
        <v>0</v>
      </c>
      <c r="EE73" s="1184">
        <f t="shared" si="169"/>
        <v>0</v>
      </c>
      <c r="EF73" s="1184">
        <f t="shared" si="169"/>
        <v>0</v>
      </c>
      <c r="EG73" s="1184">
        <f t="shared" si="169"/>
        <v>0</v>
      </c>
      <c r="EH73" s="1184">
        <f t="shared" si="169"/>
        <v>0</v>
      </c>
      <c r="EI73" s="1184">
        <f t="shared" si="169"/>
        <v>0</v>
      </c>
      <c r="EJ73" s="1184">
        <f t="shared" si="169"/>
        <v>0</v>
      </c>
      <c r="EK73" s="1184">
        <f t="shared" si="169"/>
        <v>0</v>
      </c>
      <c r="EL73" s="1184">
        <f t="shared" si="169"/>
        <v>0</v>
      </c>
      <c r="EM73" s="1184">
        <f t="shared" si="169"/>
        <v>0</v>
      </c>
      <c r="EN73" s="1184"/>
      <c r="EO73" s="1184">
        <f t="shared" si="170"/>
        <v>0</v>
      </c>
      <c r="EP73" s="1184">
        <f t="shared" si="170"/>
        <v>0</v>
      </c>
      <c r="EQ73" s="1184">
        <f t="shared" si="170"/>
        <v>0</v>
      </c>
      <c r="ER73" s="1184">
        <f t="shared" si="170"/>
        <v>0</v>
      </c>
      <c r="ES73" s="1184">
        <f t="shared" si="170"/>
        <v>0</v>
      </c>
      <c r="ET73" s="1184">
        <f t="shared" si="170"/>
        <v>0</v>
      </c>
      <c r="EU73" s="1184">
        <f t="shared" si="170"/>
        <v>0</v>
      </c>
      <c r="EV73" s="1184">
        <f t="shared" si="170"/>
        <v>0</v>
      </c>
      <c r="EW73" s="1184">
        <f t="shared" si="170"/>
        <v>0</v>
      </c>
      <c r="EX73" s="1184">
        <f t="shared" si="170"/>
        <v>0</v>
      </c>
      <c r="EY73" s="1184">
        <f t="shared" si="170"/>
        <v>0</v>
      </c>
      <c r="EZ73" s="1184">
        <f t="shared" si="170"/>
        <v>0</v>
      </c>
      <c r="FA73" s="1184"/>
      <c r="FB73" s="1186">
        <f t="shared" si="51"/>
        <v>0</v>
      </c>
      <c r="FC73" s="1184">
        <f>FB73+DB73+EB73                 -         SUMIF('Nährstoffe und Lagerraum'!$AX$113:$AX$155,$CZ73,'Nährstoffe und Lagerraum'!$U$113:$U$155)/12  -$GD73*$HE73/12</f>
        <v>0</v>
      </c>
      <c r="FD73" s="1184">
        <f>FC73+DC73+EC73                 -         SUMIF('Nährstoffe und Lagerraum'!$AX$113:$AX$155,$CZ73,'Nährstoffe und Lagerraum'!$U$113:$U$155)/12  -$GD73*$HE73/12</f>
        <v>0</v>
      </c>
      <c r="FE73" s="1184">
        <f>FD73+DD73+ED73                 -         SUMIF('Nährstoffe und Lagerraum'!$AX$113:$AX$155,$CZ73,'Nährstoffe und Lagerraum'!$U$113:$U$155)/12  -$GD73*$HE73/12</f>
        <v>0</v>
      </c>
      <c r="FF73" s="1184">
        <f>FE73+DE73+EE73                 -         SUMIF('Nährstoffe und Lagerraum'!$AX$113:$AX$155,$CZ73,'Nährstoffe und Lagerraum'!$U$113:$U$155)/12  -$GD73*$HE73/12</f>
        <v>0</v>
      </c>
      <c r="FG73" s="1184">
        <f>FF73+DF73+EF73                 -         SUMIF('Nährstoffe und Lagerraum'!$AX$113:$AX$155,$CZ73,'Nährstoffe und Lagerraum'!$U$113:$U$155)/12  -$GD73*$HE73/12</f>
        <v>0</v>
      </c>
      <c r="FH73" s="1184">
        <f>FG73+DG73+EG73                 -         SUMIF('Nährstoffe und Lagerraum'!$AX$113:$AX$155,$CZ73,'Nährstoffe und Lagerraum'!$U$113:$U$155)/12  -$GD73*$HE73/12</f>
        <v>0</v>
      </c>
      <c r="FI73" s="1184">
        <f>FH73+DH73+EH73                 -         SUMIF('Nährstoffe und Lagerraum'!$AX$113:$AX$155,$CZ73,'Nährstoffe und Lagerraum'!$U$113:$U$155)/12  -$GD73*$HE73/12</f>
        <v>0</v>
      </c>
      <c r="FJ73" s="1184">
        <f>FI73+DI73+EI73                 -         SUMIF('Nährstoffe und Lagerraum'!$AX$113:$AX$155,$CZ73,'Nährstoffe und Lagerraum'!$U$113:$U$155)/12  -$GD73*$HE73/12</f>
        <v>0</v>
      </c>
      <c r="FK73" s="1184">
        <f>FJ73+DJ73+EJ73                 -         SUMIF('Nährstoffe und Lagerraum'!$AX$113:$AX$155,$CZ73,'Nährstoffe und Lagerraum'!$U$113:$U$155)/12  -$GD73*$HE73/12</f>
        <v>0</v>
      </c>
      <c r="FL73" s="1184">
        <f>FK73+DK73+EK73                 -         SUMIF('Nährstoffe und Lagerraum'!$AX$113:$AX$155,$CZ73,'Nährstoffe und Lagerraum'!$U$113:$U$155)/12  -$GD73*$HE73/12</f>
        <v>0</v>
      </c>
      <c r="FM73" s="1184">
        <f>FL73+DL73+EL73                 -         SUMIF('Nährstoffe und Lagerraum'!$AX$113:$AX$155,$CZ73,'Nährstoffe und Lagerraum'!$U$113:$U$155)/12  -$GD73*$HE73/12</f>
        <v>0</v>
      </c>
      <c r="FN73" s="1184">
        <f>FM73+DM73+EM73                 -         SUMIF('Nährstoffe und Lagerraum'!$AX$113:$AX$155,$CZ73,'Nährstoffe und Lagerraum'!$U$113:$U$155)/12  -$GD73*$HE73/12</f>
        <v>0</v>
      </c>
      <c r="FO73" s="1184"/>
      <c r="FP73" s="1186">
        <f t="shared" si="52"/>
        <v>0</v>
      </c>
      <c r="FQ73" s="1184">
        <f>FP73+DO73+EO73                 -         SUMIF('Nährstoffe und Lagerraum'!$AX$113:$AX$155,$CZ73,'Nährstoffe und Lagerraum'!$V$113:$V$155)/12  -$GE73*$HE73/12</f>
        <v>0</v>
      </c>
      <c r="FR73" s="1184">
        <f>FQ73+DP73+EP73                 -         SUMIF('Nährstoffe und Lagerraum'!$AX$113:$AX$155,$CZ73,'Nährstoffe und Lagerraum'!$V$113:$V$155)/12  -$GE73*$HE73/12</f>
        <v>0</v>
      </c>
      <c r="FS73" s="1184">
        <f>FR73+DQ73+EQ73                 -         SUMIF('Nährstoffe und Lagerraum'!$AX$113:$AX$155,$CZ73,'Nährstoffe und Lagerraum'!$V$113:$V$155)/12  -$GE73*$HE73/12</f>
        <v>0</v>
      </c>
      <c r="FT73" s="1184">
        <f>FS73+DR73+ER73                 -         SUMIF('Nährstoffe und Lagerraum'!$AX$113:$AX$155,$CZ73,'Nährstoffe und Lagerraum'!$V$113:$V$155)/12  -$GE73*$HE73/12</f>
        <v>0</v>
      </c>
      <c r="FU73" s="1184">
        <f>FT73+DS73+ES73                 -         SUMIF('Nährstoffe und Lagerraum'!$AX$113:$AX$155,$CZ73,'Nährstoffe und Lagerraum'!$V$113:$V$155)/12  -$GE73*$HE73/12</f>
        <v>0</v>
      </c>
      <c r="FV73" s="1184">
        <f>FU73+DT73+ET73                 -         SUMIF('Nährstoffe und Lagerraum'!$AX$113:$AX$155,$CZ73,'Nährstoffe und Lagerraum'!$V$113:$V$155)/12  -$GE73*$HE73/12</f>
        <v>0</v>
      </c>
      <c r="FW73" s="1184">
        <f>FV73+DU73+EU73                 -         SUMIF('Nährstoffe und Lagerraum'!$AX$113:$AX$155,$CZ73,'Nährstoffe und Lagerraum'!$V$113:$V$155)/12  -$GE73*$HE73/12</f>
        <v>0</v>
      </c>
      <c r="FX73" s="1184">
        <f>FW73+DV73+EV73                 -         SUMIF('Nährstoffe und Lagerraum'!$AX$113:$AX$155,$CZ73,'Nährstoffe und Lagerraum'!$V$113:$V$155)/12  -$GE73*$HE73/12</f>
        <v>0</v>
      </c>
      <c r="FY73" s="1184">
        <f>FX73+DW73+EW73                 -         SUMIF('Nährstoffe und Lagerraum'!$AX$113:$AX$155,$CZ73,'Nährstoffe und Lagerraum'!$V$113:$V$155)/12  -$GE73*$HE73/12</f>
        <v>0</v>
      </c>
      <c r="FZ73" s="1184">
        <f>FY73+DX73+EX73                 -         SUMIF('Nährstoffe und Lagerraum'!$AX$113:$AX$155,$CZ73,'Nährstoffe und Lagerraum'!$V$113:$V$155)/12  -$GE73*$HE73/12</f>
        <v>0</v>
      </c>
      <c r="GA73" s="1184">
        <f>FZ73+DY73+EY73                 -         SUMIF('Nährstoffe und Lagerraum'!$AX$113:$AX$155,$CZ73,'Nährstoffe und Lagerraum'!$V$113:$V$155)/12  -$GE73*$HE73/12</f>
        <v>0</v>
      </c>
      <c r="GB73" s="1184">
        <f>GA73+DZ73+EZ73                 -         SUMIF('Nährstoffe und Lagerraum'!$AX$113:$AX$155,$CZ73,'Nährstoffe und Lagerraum'!$V$113:$V$155)/12  -$GE73*$HE73/12</f>
        <v>0</v>
      </c>
      <c r="GC73" s="1184"/>
      <c r="GD73" s="1184">
        <f>SUMIFS($CI$14:$CI$68,$BR$14:$BR$68,$CZ73)+SUMIFS($CM$14:$CM$68,$BR$14:$BR$68,$CZ73)+SUMIFS($CR$14:$CR$68,$BR$14:$BR$68,$CZ73)  -         SUMIF('Nährstoffe und Lagerraum'!$AX$113:$AX$155,$CZ73,'Nährstoffe und Lagerraum'!$U$113:$U$155)</f>
        <v>0</v>
      </c>
      <c r="GE73" s="1184">
        <f>SUMIFS($CJ$14:$CJ$68,$BR$14:$BR$68,$CZ73)+SUMIFS($CO$14:$CO$68,$BR$14:$BR$68,$CZ73)+SUMIFS($CT$14:$CT$68,$BR$14:$BR$68,$CZ73)  -         SUMIF('Nährstoffe und Lagerraum'!$AX$113:$AX$155,$CZ73,'Nährstoffe und Lagerraum'!$V$113:$V$155)</f>
        <v>0</v>
      </c>
      <c r="GF73" s="1184"/>
      <c r="GG73" s="1184"/>
      <c r="GH73" s="1184">
        <f>SUMIF('Nährstoffe und Lagerraum'!$AX$113:$AX$155,$CZ73,'Nährstoffe und Lagerraum'!$U$113:$U$155)</f>
        <v>0</v>
      </c>
      <c r="GI73" s="1184">
        <f>SUMIF('Nährstoffe und Lagerraum'!$AX$113:$AX$155,$CZ73,'Nährstoffe und Lagerraum'!$V$113:$V$155)</f>
        <v>0</v>
      </c>
      <c r="GJ73" s="1184">
        <f t="shared" si="53"/>
        <v>0</v>
      </c>
      <c r="GK73" s="1184">
        <f t="shared" si="54"/>
        <v>0</v>
      </c>
      <c r="GL73" s="1184">
        <f t="shared" si="55"/>
        <v>0</v>
      </c>
      <c r="GM73" s="1184">
        <f t="shared" si="56"/>
        <v>0</v>
      </c>
      <c r="GN73" s="1184">
        <f t="shared" si="57"/>
        <v>0</v>
      </c>
      <c r="GO73" s="1184" cm="1">
        <f t="array" ref="GO73">IF(GN73=0,0,(IFERROR(SUMPRODUCT($J$14:$J$68,$CH$14:$CH$68,($BR$14:$BR$68=CZ73)*1)+SUMPRODUCT($L$14:$L$68,$M$14:$M$68,$CK$14:$CK$68,($BR$14:$BR$68=CZ73)*1,($BT$14:$BT$68=FALSE)*1)/10+SUMPRODUCT($R$14:$R$68,$CP$14:$CP$68,($BR$14:$BR$68=CZ73)*1),0))/GN73)</f>
        <v>0</v>
      </c>
      <c r="GP73" s="1184">
        <f t="shared" si="58"/>
        <v>0</v>
      </c>
      <c r="GQ73" s="1184">
        <f>(SUMIF('Nährstoffe und Lagerraum'!$AX$113:$AX$130,'Lagerhaltung (freiwillig)'!CZ73,'Nährstoffe und Lagerraum'!$D$113:$D$130)+SUMIF('Nährstoffe und Lagerraum'!$AX$137:$AX$155,'Lagerhaltung (freiwillig)'!CZ73,'Nährstoffe und Lagerraum'!$E$137:$E$155))</f>
        <v>0</v>
      </c>
      <c r="GR73" s="1184" cm="1">
        <f t="array" ref="GR73">IF(GQ73=0,0,(IFERROR(SUMPRODUCT('Nährstoffe und Lagerraum'!$D$113:$D$130,'Nährstoffe und Lagerraum'!$F$113:$F$130,('Nährstoffe und Lagerraum'!$AX$113:$AX$130='Lagerhaltung (freiwillig)'!CZ73)*1)+SUMPRODUCT('Nährstoffe und Lagerraum'!$E$137:$E$155,'Nährstoffe und Lagerraum'!$F$137:$F$155,('Nährstoffe und Lagerraum'!$AX$137:$AX$155='Lagerhaltung (freiwillig)'!CZ73)*1),0))/GQ73)</f>
        <v>0</v>
      </c>
      <c r="GS73" s="1184">
        <f t="shared" si="59"/>
        <v>0</v>
      </c>
      <c r="GT73" s="1184">
        <f t="shared" si="60"/>
        <v>0</v>
      </c>
      <c r="GU73" s="1184">
        <f t="shared" si="61"/>
        <v>0</v>
      </c>
      <c r="GV73" s="1184">
        <f t="shared" si="62"/>
        <v>0</v>
      </c>
      <c r="GW73" s="1186" t="str">
        <f t="shared" si="41"/>
        <v xml:space="preserve"> </v>
      </c>
      <c r="GX73" s="1186" t="str">
        <f t="shared" ref="GX73" si="175">" "</f>
        <v xml:space="preserve"> </v>
      </c>
      <c r="GY73" s="1195">
        <f t="shared" si="63"/>
        <v>0</v>
      </c>
      <c r="GZ73" s="1184">
        <f t="shared" si="64"/>
        <v>0</v>
      </c>
      <c r="HA73" s="1184" t="str">
        <f t="shared" ref="HA73:HA104" si="176">IF(HK73=3,"a",VLOOKUP(CY73,$Y$13:$AZ$131,COLUMN($AZ$1)-COLUMN($Y$1)+1,FALSE))</f>
        <v>a</v>
      </c>
      <c r="HB73" s="1196">
        <f t="shared" si="65"/>
        <v>0</v>
      </c>
      <c r="HC73" s="1196">
        <f t="shared" si="66"/>
        <v>0</v>
      </c>
      <c r="HD73" s="1196"/>
      <c r="HE73" s="1187">
        <f t="shared" si="67"/>
        <v>0</v>
      </c>
      <c r="HF73" s="1196">
        <f t="shared" si="68"/>
        <v>0</v>
      </c>
      <c r="HG73" s="1196">
        <f t="shared" si="69"/>
        <v>0</v>
      </c>
      <c r="HH73" s="1196">
        <f t="shared" si="70"/>
        <v>0</v>
      </c>
      <c r="HI73" s="1328" cm="1">
        <f t="array" ref="HI73">IF(AND(HG73=0,GL73=0),0,IF(HG73=0,1,IF(OR(GL73*1000/HG73/HH73&gt;INDEX(Pflanzen!$W$5:$W$104,CZ73)/INDEX(Pflanzen!$I$5:$I$104,CZ73)*$HI$1,GL73*1000/HG73/HH73&lt;INDEX(Pflanzen!$W$5:$W$104,CZ73)/INDEX(Pflanzen!$I$5:$I$104,CZ73)/$HI$1),1,0)))</f>
        <v>0</v>
      </c>
      <c r="HJ73" s="1328" cm="1">
        <f t="array" ref="HJ73">IF(AND(GM73=0,HG73=0),0,IF(HG73=0,1,IF(OR(GM73*1000/HG73/HH73&gt;INDEX(Pflanzen!$X$5:$X$104,CZ73)/INDEX(Pflanzen!$I$5:$I$104,CZ73)*$HI$1,GM73*1000/HG73/HH73&lt;INDEX(Pflanzen!$X$5:$X$104,CZ73)/INDEX(Pflanzen!$I$5:$I$104,CZ73)/$HI$1),1,0)))</f>
        <v>0</v>
      </c>
      <c r="HK73" s="1184">
        <f t="shared" si="71"/>
        <v>3</v>
      </c>
      <c r="HL73" s="1184"/>
      <c r="HN73" s="1184"/>
      <c r="HO73" s="1193" t="str">
        <f>Tiere!B99</f>
        <v>Rotwild mit Nachzucht</v>
      </c>
      <c r="HP73" s="1184">
        <v>70</v>
      </c>
      <c r="HQ73" s="1194">
        <f>SUMIF('Nährstoffe und Lagerraum'!$BM$68:$BM$87,'Lagerhaltung (freiwillig)'!HP73,'Nährstoffe und Lagerraum'!$Z$68:$Z$87)+SUMIF('Nährstoffe und Lagerraum'!$BM$68:$BM$87,'Lagerhaltung (freiwillig)'!HP73,'Nährstoffe und Lagerraum'!$AA$68:$AA$87)</f>
        <v>0</v>
      </c>
      <c r="HR73" s="1184" cm="1">
        <f t="array" ref="HR73">INDEX(Tiere!$C$30:$C$114,'Lagerhaltung (freiwillig)'!HP73)</f>
        <v>8</v>
      </c>
      <c r="HS73" s="1184" cm="1">
        <f t="array" ref="HS73">INDEX(Tiere!$H$30:$H$114,'Lagerhaltung (freiwillig)'!HP73)</f>
        <v>31</v>
      </c>
      <c r="HT73" s="1184">
        <f t="shared" si="171"/>
        <v>0</v>
      </c>
      <c r="HU73" s="1184" cm="1">
        <f t="array" ref="HU73">INDEX(Tiere!$I$30:$I$114,'Lagerhaltung (freiwillig)'!HP73)</f>
        <v>9.9</v>
      </c>
      <c r="HV73" s="1184">
        <f t="shared" si="172"/>
        <v>0</v>
      </c>
      <c r="HW73" s="1184" cm="1">
        <f t="array" ref="HW73">INDEX(Tiere!$BC$30:$BC$114,'Lagerhaltung (freiwillig)'!HP73)</f>
        <v>1.04</v>
      </c>
      <c r="HX73" s="1184">
        <f t="shared" si="173"/>
        <v>0</v>
      </c>
      <c r="HY73" s="1184" cm="1">
        <f t="array" ref="HY73">INDEX(Tiere!$BD$30:$BD$114,'Lagerhaltung (freiwillig)'!HP73)</f>
        <v>0.54800000000000004</v>
      </c>
      <c r="HZ73" s="1184">
        <f t="shared" si="174"/>
        <v>0</v>
      </c>
      <c r="IA73" s="1184"/>
      <c r="IB73" s="1184"/>
      <c r="IC73" s="1184"/>
      <c r="ID73" s="1184"/>
      <c r="IE73" s="1184"/>
      <c r="IF73" s="1184"/>
      <c r="IG73" s="1184"/>
      <c r="IH73" s="1184"/>
      <c r="II73" s="1184"/>
      <c r="IJ73" s="1184"/>
      <c r="IK73" s="1184"/>
      <c r="IL73" s="1184"/>
    </row>
    <row r="74" spans="1:246" ht="12.75" customHeight="1" thickBot="1" x14ac:dyDescent="0.25">
      <c r="A74" s="3148"/>
      <c r="B74" s="3149"/>
      <c r="C74" s="3149"/>
      <c r="D74" s="3149"/>
      <c r="E74" s="3150"/>
      <c r="F74" s="3019"/>
      <c r="G74" s="3008" t="s">
        <v>437</v>
      </c>
      <c r="H74" s="3009"/>
      <c r="I74" s="3019"/>
      <c r="J74" s="3051"/>
      <c r="K74" s="3054"/>
      <c r="L74" s="3057"/>
      <c r="M74" s="3057"/>
      <c r="N74" s="1319" t="s">
        <v>8269</v>
      </c>
      <c r="O74" s="1320" t="s">
        <v>943</v>
      </c>
      <c r="P74" s="3110"/>
      <c r="Q74" s="3019"/>
      <c r="R74" s="2849"/>
      <c r="S74" s="2179" t="s">
        <v>8269</v>
      </c>
      <c r="T74" s="1284" t="s">
        <v>943</v>
      </c>
      <c r="U74" s="1299"/>
      <c r="V74" s="1301"/>
      <c r="Y74" s="1981"/>
      <c r="Z74" s="1982"/>
      <c r="AA74" s="1982"/>
      <c r="AB74" s="1982"/>
      <c r="AC74" s="1983"/>
      <c r="AD74" s="1983"/>
      <c r="AE74" s="1983"/>
      <c r="AF74" s="1983"/>
      <c r="AG74" s="1983"/>
      <c r="AH74" s="1983"/>
      <c r="AI74" s="1983"/>
      <c r="AJ74" s="1983"/>
      <c r="AK74" s="1983"/>
      <c r="AL74" s="1984"/>
      <c r="AM74" s="1983"/>
      <c r="AN74" s="1983"/>
      <c r="AO74" s="1983"/>
      <c r="AP74" s="1983"/>
      <c r="AQ74" s="1983"/>
      <c r="AR74" s="1983"/>
      <c r="AS74" s="1983"/>
      <c r="AT74" s="1983"/>
      <c r="AU74" s="1983"/>
      <c r="AV74" s="1983"/>
      <c r="AW74" s="1985"/>
      <c r="AX74" s="1985"/>
      <c r="AY74" s="1985"/>
      <c r="AZ74" s="1985"/>
      <c r="BA74" s="1462"/>
      <c r="BB74" s="1462"/>
      <c r="BC74" s="1462"/>
      <c r="BD74" s="1461"/>
      <c r="BE74" s="1462"/>
      <c r="BF74" s="1343"/>
      <c r="BG74" s="1343"/>
      <c r="BH74" s="1343"/>
      <c r="BI74" s="1343"/>
      <c r="BJ74" s="1343"/>
      <c r="BK74" s="1343"/>
      <c r="BL74" s="1343"/>
      <c r="BM74" s="1343"/>
      <c r="BN74" s="1343"/>
      <c r="BO74" s="1343"/>
      <c r="BQ74" s="1184"/>
      <c r="BR74" s="1186"/>
      <c r="BS74" s="1186"/>
      <c r="BT74" s="1186"/>
      <c r="BU74" s="1201"/>
      <c r="BV74" s="1201"/>
      <c r="BW74" s="1186" t="s">
        <v>994</v>
      </c>
      <c r="BX74" s="1186" t="s">
        <v>1037</v>
      </c>
      <c r="BY74" s="1186" t="s">
        <v>1038</v>
      </c>
      <c r="BZ74" s="1186"/>
      <c r="CA74" s="1186"/>
      <c r="CB74" s="1186"/>
      <c r="CC74" s="1186"/>
      <c r="CD74" s="1186"/>
      <c r="CE74" s="1186"/>
      <c r="CF74" s="1186"/>
      <c r="CG74" s="1186"/>
      <c r="CH74" s="1184"/>
      <c r="CI74" s="1184"/>
      <c r="CJ74" s="1184"/>
      <c r="CK74" s="1184"/>
      <c r="CL74" s="1184"/>
      <c r="CM74" s="1184"/>
      <c r="CN74" s="1184"/>
      <c r="CO74" s="1184"/>
      <c r="CP74" s="1186" t="s">
        <v>276</v>
      </c>
      <c r="CQ74" s="1186" t="s">
        <v>1030</v>
      </c>
      <c r="CR74" s="1186" t="s">
        <v>1088</v>
      </c>
      <c r="CS74" s="1186" t="s">
        <v>8272</v>
      </c>
      <c r="CT74" s="1186" t="s">
        <v>8271</v>
      </c>
      <c r="CU74" s="1186"/>
      <c r="CV74" s="1186"/>
      <c r="CW74" s="1186" t="s">
        <v>1054</v>
      </c>
      <c r="CX74" s="1184"/>
      <c r="CY74" s="320" t="str">
        <f>Pflanzen!A70</f>
        <v>Zwischenfrucht mit 25 - 75 % Leg.</v>
      </c>
      <c r="CZ74" s="1200">
        <f>IFERROR(MATCH($CY74,Pflanzen!$C$5:$C$114,0),1)</f>
        <v>66</v>
      </c>
      <c r="DA74" s="320" cm="1">
        <f t="array" ref="DA74">INDEX(Pflanzen!$H$5:$H$114,'Lagerhaltung (freiwillig)'!CZ74)</f>
        <v>1</v>
      </c>
      <c r="DB74" s="1200">
        <f t="shared" si="167"/>
        <v>0</v>
      </c>
      <c r="DC74" s="1200">
        <f t="shared" si="167"/>
        <v>0</v>
      </c>
      <c r="DD74" s="1200">
        <f t="shared" si="167"/>
        <v>0</v>
      </c>
      <c r="DE74" s="1200">
        <f t="shared" si="167"/>
        <v>0</v>
      </c>
      <c r="DF74" s="1200">
        <f t="shared" si="167"/>
        <v>0</v>
      </c>
      <c r="DG74" s="1184">
        <f t="shared" si="167"/>
        <v>0</v>
      </c>
      <c r="DH74" s="1184">
        <f t="shared" si="167"/>
        <v>0</v>
      </c>
      <c r="DI74" s="1184">
        <f t="shared" si="167"/>
        <v>0</v>
      </c>
      <c r="DJ74" s="1184">
        <f t="shared" si="167"/>
        <v>0</v>
      </c>
      <c r="DK74" s="1184">
        <f t="shared" si="167"/>
        <v>0</v>
      </c>
      <c r="DL74" s="1184">
        <f t="shared" si="167"/>
        <v>0</v>
      </c>
      <c r="DM74" s="1184">
        <f t="shared" si="167"/>
        <v>0</v>
      </c>
      <c r="DN74" s="1184"/>
      <c r="DO74" s="1184">
        <f t="shared" si="168"/>
        <v>0</v>
      </c>
      <c r="DP74" s="1184">
        <f t="shared" si="168"/>
        <v>0</v>
      </c>
      <c r="DQ74" s="1184">
        <f t="shared" si="168"/>
        <v>0</v>
      </c>
      <c r="DR74" s="1184">
        <f t="shared" si="168"/>
        <v>0</v>
      </c>
      <c r="DS74" s="1184">
        <f t="shared" si="168"/>
        <v>0</v>
      </c>
      <c r="DT74" s="1184">
        <f t="shared" si="168"/>
        <v>0</v>
      </c>
      <c r="DU74" s="1184">
        <f t="shared" si="168"/>
        <v>0</v>
      </c>
      <c r="DV74" s="1184">
        <f t="shared" si="168"/>
        <v>0</v>
      </c>
      <c r="DW74" s="1184">
        <f t="shared" si="168"/>
        <v>0</v>
      </c>
      <c r="DX74" s="1184">
        <f t="shared" si="168"/>
        <v>0</v>
      </c>
      <c r="DY74" s="1184">
        <f t="shared" si="168"/>
        <v>0</v>
      </c>
      <c r="DZ74" s="1184">
        <f t="shared" si="168"/>
        <v>0</v>
      </c>
      <c r="EA74" s="1184"/>
      <c r="EB74" s="1184">
        <f t="shared" si="169"/>
        <v>0</v>
      </c>
      <c r="EC74" s="1184">
        <f t="shared" si="169"/>
        <v>0</v>
      </c>
      <c r="ED74" s="1184">
        <f t="shared" si="169"/>
        <v>0</v>
      </c>
      <c r="EE74" s="1184">
        <f t="shared" si="169"/>
        <v>0</v>
      </c>
      <c r="EF74" s="1184">
        <f t="shared" si="169"/>
        <v>0</v>
      </c>
      <c r="EG74" s="1184">
        <f t="shared" si="169"/>
        <v>0</v>
      </c>
      <c r="EH74" s="1184">
        <f t="shared" si="169"/>
        <v>0</v>
      </c>
      <c r="EI74" s="1184">
        <f t="shared" si="169"/>
        <v>0</v>
      </c>
      <c r="EJ74" s="1184">
        <f t="shared" si="169"/>
        <v>0</v>
      </c>
      <c r="EK74" s="1184">
        <f t="shared" si="169"/>
        <v>0</v>
      </c>
      <c r="EL74" s="1184">
        <f t="shared" si="169"/>
        <v>0</v>
      </c>
      <c r="EM74" s="1184">
        <f t="shared" si="169"/>
        <v>0</v>
      </c>
      <c r="EN74" s="1184"/>
      <c r="EO74" s="1184">
        <f t="shared" si="170"/>
        <v>0</v>
      </c>
      <c r="EP74" s="1184">
        <f t="shared" si="170"/>
        <v>0</v>
      </c>
      <c r="EQ74" s="1184">
        <f t="shared" si="170"/>
        <v>0</v>
      </c>
      <c r="ER74" s="1184">
        <f t="shared" si="170"/>
        <v>0</v>
      </c>
      <c r="ES74" s="1184">
        <f t="shared" si="170"/>
        <v>0</v>
      </c>
      <c r="ET74" s="1184">
        <f t="shared" si="170"/>
        <v>0</v>
      </c>
      <c r="EU74" s="1184">
        <f t="shared" si="170"/>
        <v>0</v>
      </c>
      <c r="EV74" s="1184">
        <f t="shared" si="170"/>
        <v>0</v>
      </c>
      <c r="EW74" s="1184">
        <f t="shared" si="170"/>
        <v>0</v>
      </c>
      <c r="EX74" s="1184">
        <f t="shared" si="170"/>
        <v>0</v>
      </c>
      <c r="EY74" s="1184">
        <f t="shared" si="170"/>
        <v>0</v>
      </c>
      <c r="EZ74" s="1184">
        <f t="shared" si="170"/>
        <v>0</v>
      </c>
      <c r="FA74" s="1184"/>
      <c r="FB74" s="1186">
        <f t="shared" si="51"/>
        <v>0</v>
      </c>
      <c r="FC74" s="1184">
        <f>FB74+DB74+EB74                 -         SUMIF('Nährstoffe und Lagerraum'!$AX$113:$AX$155,$CZ74,'Nährstoffe und Lagerraum'!$U$113:$U$155)/12  -$GD74*$HE74/12</f>
        <v>0</v>
      </c>
      <c r="FD74" s="1184">
        <f>FC74+DC74+EC74                 -         SUMIF('Nährstoffe und Lagerraum'!$AX$113:$AX$155,$CZ74,'Nährstoffe und Lagerraum'!$U$113:$U$155)/12  -$GD74*$HE74/12</f>
        <v>0</v>
      </c>
      <c r="FE74" s="1184">
        <f>FD74+DD74+ED74                 -         SUMIF('Nährstoffe und Lagerraum'!$AX$113:$AX$155,$CZ74,'Nährstoffe und Lagerraum'!$U$113:$U$155)/12  -$GD74*$HE74/12</f>
        <v>0</v>
      </c>
      <c r="FF74" s="1184">
        <f>FE74+DE74+EE74                 -         SUMIF('Nährstoffe und Lagerraum'!$AX$113:$AX$155,$CZ74,'Nährstoffe und Lagerraum'!$U$113:$U$155)/12  -$GD74*$HE74/12</f>
        <v>0</v>
      </c>
      <c r="FG74" s="1184">
        <f>FF74+DF74+EF74                 -         SUMIF('Nährstoffe und Lagerraum'!$AX$113:$AX$155,$CZ74,'Nährstoffe und Lagerraum'!$U$113:$U$155)/12  -$GD74*$HE74/12</f>
        <v>0</v>
      </c>
      <c r="FH74" s="1184">
        <f>FG74+DG74+EG74                 -         SUMIF('Nährstoffe und Lagerraum'!$AX$113:$AX$155,$CZ74,'Nährstoffe und Lagerraum'!$U$113:$U$155)/12  -$GD74*$HE74/12</f>
        <v>0</v>
      </c>
      <c r="FI74" s="1184">
        <f>FH74+DH74+EH74                 -         SUMIF('Nährstoffe und Lagerraum'!$AX$113:$AX$155,$CZ74,'Nährstoffe und Lagerraum'!$U$113:$U$155)/12  -$GD74*$HE74/12</f>
        <v>0</v>
      </c>
      <c r="FJ74" s="1184">
        <f>FI74+DI74+EI74                 -         SUMIF('Nährstoffe und Lagerraum'!$AX$113:$AX$155,$CZ74,'Nährstoffe und Lagerraum'!$U$113:$U$155)/12  -$GD74*$HE74/12</f>
        <v>0</v>
      </c>
      <c r="FK74" s="1184">
        <f>FJ74+DJ74+EJ74                 -         SUMIF('Nährstoffe und Lagerraum'!$AX$113:$AX$155,$CZ74,'Nährstoffe und Lagerraum'!$U$113:$U$155)/12  -$GD74*$HE74/12</f>
        <v>0</v>
      </c>
      <c r="FL74" s="1184">
        <f>FK74+DK74+EK74                 -         SUMIF('Nährstoffe und Lagerraum'!$AX$113:$AX$155,$CZ74,'Nährstoffe und Lagerraum'!$U$113:$U$155)/12  -$GD74*$HE74/12</f>
        <v>0</v>
      </c>
      <c r="FM74" s="1184">
        <f>FL74+DL74+EL74                 -         SUMIF('Nährstoffe und Lagerraum'!$AX$113:$AX$155,$CZ74,'Nährstoffe und Lagerraum'!$U$113:$U$155)/12  -$GD74*$HE74/12</f>
        <v>0</v>
      </c>
      <c r="FN74" s="1184">
        <f>FM74+DM74+EM74                 -         SUMIF('Nährstoffe und Lagerraum'!$AX$113:$AX$155,$CZ74,'Nährstoffe und Lagerraum'!$U$113:$U$155)/12  -$GD74*$HE74/12</f>
        <v>0</v>
      </c>
      <c r="FO74" s="1184"/>
      <c r="FP74" s="1186">
        <f t="shared" si="52"/>
        <v>0</v>
      </c>
      <c r="FQ74" s="1184">
        <f>FP74+DO74+EO74                 -         SUMIF('Nährstoffe und Lagerraum'!$AX$113:$AX$155,$CZ74,'Nährstoffe und Lagerraum'!$V$113:$V$155)/12  -$GE74*$HE74/12</f>
        <v>0</v>
      </c>
      <c r="FR74" s="1184">
        <f>FQ74+DP74+EP74                 -         SUMIF('Nährstoffe und Lagerraum'!$AX$113:$AX$155,$CZ74,'Nährstoffe und Lagerraum'!$V$113:$V$155)/12  -$GE74*$HE74/12</f>
        <v>0</v>
      </c>
      <c r="FS74" s="1184">
        <f>FR74+DQ74+EQ74                 -         SUMIF('Nährstoffe und Lagerraum'!$AX$113:$AX$155,$CZ74,'Nährstoffe und Lagerraum'!$V$113:$V$155)/12  -$GE74*$HE74/12</f>
        <v>0</v>
      </c>
      <c r="FT74" s="1184">
        <f>FS74+DR74+ER74                 -         SUMIF('Nährstoffe und Lagerraum'!$AX$113:$AX$155,$CZ74,'Nährstoffe und Lagerraum'!$V$113:$V$155)/12  -$GE74*$HE74/12</f>
        <v>0</v>
      </c>
      <c r="FU74" s="1184">
        <f>FT74+DS74+ES74                 -         SUMIF('Nährstoffe und Lagerraum'!$AX$113:$AX$155,$CZ74,'Nährstoffe und Lagerraum'!$V$113:$V$155)/12  -$GE74*$HE74/12</f>
        <v>0</v>
      </c>
      <c r="FV74" s="1184">
        <f>FU74+DT74+ET74                 -         SUMIF('Nährstoffe und Lagerraum'!$AX$113:$AX$155,$CZ74,'Nährstoffe und Lagerraum'!$V$113:$V$155)/12  -$GE74*$HE74/12</f>
        <v>0</v>
      </c>
      <c r="FW74" s="1184">
        <f>FV74+DU74+EU74                 -         SUMIF('Nährstoffe und Lagerraum'!$AX$113:$AX$155,$CZ74,'Nährstoffe und Lagerraum'!$V$113:$V$155)/12  -$GE74*$HE74/12</f>
        <v>0</v>
      </c>
      <c r="FX74" s="1184">
        <f>FW74+DV74+EV74                 -         SUMIF('Nährstoffe und Lagerraum'!$AX$113:$AX$155,$CZ74,'Nährstoffe und Lagerraum'!$V$113:$V$155)/12  -$GE74*$HE74/12</f>
        <v>0</v>
      </c>
      <c r="FY74" s="1184">
        <f>FX74+DW74+EW74                 -         SUMIF('Nährstoffe und Lagerraum'!$AX$113:$AX$155,$CZ74,'Nährstoffe und Lagerraum'!$V$113:$V$155)/12  -$GE74*$HE74/12</f>
        <v>0</v>
      </c>
      <c r="FZ74" s="1184">
        <f>FY74+DX74+EX74                 -         SUMIF('Nährstoffe und Lagerraum'!$AX$113:$AX$155,$CZ74,'Nährstoffe und Lagerraum'!$V$113:$V$155)/12  -$GE74*$HE74/12</f>
        <v>0</v>
      </c>
      <c r="GA74" s="1184">
        <f>FZ74+DY74+EY74                 -         SUMIF('Nährstoffe und Lagerraum'!$AX$113:$AX$155,$CZ74,'Nährstoffe und Lagerraum'!$V$113:$V$155)/12  -$GE74*$HE74/12</f>
        <v>0</v>
      </c>
      <c r="GB74" s="1184">
        <f>GA74+DZ74+EZ74                 -         SUMIF('Nährstoffe und Lagerraum'!$AX$113:$AX$155,$CZ74,'Nährstoffe und Lagerraum'!$V$113:$V$155)/12  -$GE74*$HE74/12</f>
        <v>0</v>
      </c>
      <c r="GC74" s="1184"/>
      <c r="GD74" s="1184">
        <f>SUMIFS($CI$14:$CI$68,$BR$14:$BR$68,$CZ74)+SUMIFS($CM$14:$CM$68,$BR$14:$BR$68,$CZ74)+SUMIFS($CR$14:$CR$68,$BR$14:$BR$68,$CZ74)  -         SUMIF('Nährstoffe und Lagerraum'!$AX$113:$AX$155,$CZ74,'Nährstoffe und Lagerraum'!$U$113:$U$155)</f>
        <v>0</v>
      </c>
      <c r="GE74" s="1184">
        <f>SUMIFS($CJ$14:$CJ$68,$BR$14:$BR$68,$CZ74)+SUMIFS($CO$14:$CO$68,$BR$14:$BR$68,$CZ74)+SUMIFS($CT$14:$CT$68,$BR$14:$BR$68,$CZ74)  -         SUMIF('Nährstoffe und Lagerraum'!$AX$113:$AX$155,$CZ74,'Nährstoffe und Lagerraum'!$V$113:$V$155)</f>
        <v>0</v>
      </c>
      <c r="GF74" s="1184"/>
      <c r="GG74" s="1184"/>
      <c r="GH74" s="1184">
        <f>SUMIF('Nährstoffe und Lagerraum'!$AX$113:$AX$155,$CZ74,'Nährstoffe und Lagerraum'!$U$113:$U$155)</f>
        <v>0</v>
      </c>
      <c r="GI74" s="1184">
        <f>SUMIF('Nährstoffe und Lagerraum'!$AX$113:$AX$155,$CZ74,'Nährstoffe und Lagerraum'!$V$113:$V$155)</f>
        <v>0</v>
      </c>
      <c r="GJ74" s="1184">
        <f t="shared" si="53"/>
        <v>0</v>
      </c>
      <c r="GK74" s="1184">
        <f t="shared" si="54"/>
        <v>0</v>
      </c>
      <c r="GL74" s="1184">
        <f t="shared" si="55"/>
        <v>0</v>
      </c>
      <c r="GM74" s="1184">
        <f t="shared" si="56"/>
        <v>0</v>
      </c>
      <c r="GN74" s="1184">
        <f t="shared" si="57"/>
        <v>0</v>
      </c>
      <c r="GO74" s="1184" cm="1">
        <f t="array" ref="GO74">IF(GN74=0,0,(IFERROR(SUMPRODUCT($J$14:$J$68,$CH$14:$CH$68,($BR$14:$BR$68=CZ74)*1)+SUMPRODUCT($L$14:$L$68,$M$14:$M$68,$CK$14:$CK$68,($BR$14:$BR$68=CZ74)*1,($BT$14:$BT$68=FALSE)*1)/10+SUMPRODUCT($R$14:$R$68,$CP$14:$CP$68,($BR$14:$BR$68=CZ74)*1),0))/GN74)</f>
        <v>0</v>
      </c>
      <c r="GP74" s="1184">
        <f t="shared" si="58"/>
        <v>0</v>
      </c>
      <c r="GQ74" s="1184">
        <f>(SUMIF('Nährstoffe und Lagerraum'!$AX$113:$AX$130,'Lagerhaltung (freiwillig)'!CZ74,'Nährstoffe und Lagerraum'!$D$113:$D$130)+SUMIF('Nährstoffe und Lagerraum'!$AX$137:$AX$155,'Lagerhaltung (freiwillig)'!CZ74,'Nährstoffe und Lagerraum'!$E$137:$E$155))</f>
        <v>0</v>
      </c>
      <c r="GR74" s="1184" cm="1">
        <f t="array" ref="GR74">IF(GQ74=0,0,(IFERROR(SUMPRODUCT('Nährstoffe und Lagerraum'!$D$113:$D$130,'Nährstoffe und Lagerraum'!$F$113:$F$130,('Nährstoffe und Lagerraum'!$AX$113:$AX$130='Lagerhaltung (freiwillig)'!CZ74)*1)+SUMPRODUCT('Nährstoffe und Lagerraum'!$E$137:$E$155,'Nährstoffe und Lagerraum'!$F$137:$F$155,('Nährstoffe und Lagerraum'!$AX$137:$AX$155='Lagerhaltung (freiwillig)'!CZ74)*1),0))/GQ74)</f>
        <v>0</v>
      </c>
      <c r="GS74" s="1184">
        <f t="shared" si="59"/>
        <v>0</v>
      </c>
      <c r="GT74" s="1184">
        <f t="shared" si="60"/>
        <v>0</v>
      </c>
      <c r="GU74" s="1184">
        <f t="shared" si="61"/>
        <v>0</v>
      </c>
      <c r="GV74" s="1184">
        <f t="shared" si="62"/>
        <v>0</v>
      </c>
      <c r="GW74" s="1186" t="str">
        <f t="shared" ref="GW74:GX116" si="177">" "</f>
        <v xml:space="preserve"> </v>
      </c>
      <c r="GX74" s="1186" t="str">
        <f t="shared" si="177"/>
        <v xml:space="preserve"> </v>
      </c>
      <c r="GY74" s="1195">
        <f t="shared" si="63"/>
        <v>0</v>
      </c>
      <c r="GZ74" s="1184">
        <f t="shared" si="64"/>
        <v>0</v>
      </c>
      <c r="HA74" s="1184" t="str">
        <f t="shared" si="176"/>
        <v>a</v>
      </c>
      <c r="HB74" s="1196">
        <f t="shared" si="65"/>
        <v>0</v>
      </c>
      <c r="HC74" s="1196">
        <f t="shared" si="66"/>
        <v>0</v>
      </c>
      <c r="HD74" s="1196"/>
      <c r="HE74" s="1187">
        <f t="shared" si="67"/>
        <v>0</v>
      </c>
      <c r="HF74" s="1196">
        <f t="shared" si="68"/>
        <v>0</v>
      </c>
      <c r="HG74" s="1196">
        <f t="shared" si="69"/>
        <v>0</v>
      </c>
      <c r="HH74" s="1196">
        <f t="shared" si="70"/>
        <v>0</v>
      </c>
      <c r="HI74" s="1328" cm="1">
        <f t="array" ref="HI74">IF(AND(HG74=0,GL74=0),0,IF(HG74=0,1,IF(OR(GL74*1000/HG74/HH74&gt;INDEX(Pflanzen!$W$5:$W$104,CZ74)/INDEX(Pflanzen!$I$5:$I$104,CZ74)*$HI$1,GL74*1000/HG74/HH74&lt;INDEX(Pflanzen!$W$5:$W$104,CZ74)/INDEX(Pflanzen!$I$5:$I$104,CZ74)/$HI$1),1,0)))</f>
        <v>0</v>
      </c>
      <c r="HJ74" s="1328" cm="1">
        <f t="array" ref="HJ74">IF(AND(GM74=0,HG74=0),0,IF(HG74=0,1,IF(OR(GM74*1000/HG74/HH74&gt;INDEX(Pflanzen!$X$5:$X$104,CZ74)/INDEX(Pflanzen!$I$5:$I$104,CZ74)*$HI$1,GM74*1000/HG74/HH74&lt;INDEX(Pflanzen!$X$5:$X$104,CZ74)/INDEX(Pflanzen!$I$5:$I$104,CZ74)/$HI$1),1,0)))</f>
        <v>0</v>
      </c>
      <c r="HK74" s="1184">
        <f t="shared" si="71"/>
        <v>3</v>
      </c>
      <c r="HL74" s="1184"/>
      <c r="HN74" s="1184"/>
      <c r="HO74" s="1193" t="str">
        <f>Tiere!B100</f>
        <v>Rotwild Alttier</v>
      </c>
      <c r="HP74" s="1184">
        <v>71</v>
      </c>
      <c r="HQ74" s="1194">
        <f>SUMIF('Nährstoffe und Lagerraum'!$BM$68:$BM$87,'Lagerhaltung (freiwillig)'!HP74,'Nährstoffe und Lagerraum'!$Z$68:$Z$87)+SUMIF('Nährstoffe und Lagerraum'!$BM$68:$BM$87,'Lagerhaltung (freiwillig)'!HP74,'Nährstoffe und Lagerraum'!$AA$68:$AA$87)</f>
        <v>0</v>
      </c>
      <c r="HR74" s="1184" cm="1">
        <f t="array" ref="HR74">INDEX(Tiere!$C$30:$C$114,'Lagerhaltung (freiwillig)'!HP74)</f>
        <v>8</v>
      </c>
      <c r="HS74" s="1184" cm="1">
        <f t="array" ref="HS74">INDEX(Tiere!$H$30:$H$114,'Lagerhaltung (freiwillig)'!HP74)</f>
        <v>22.7</v>
      </c>
      <c r="HT74" s="1184">
        <f t="shared" si="171"/>
        <v>0</v>
      </c>
      <c r="HU74" s="1184" cm="1">
        <f t="array" ref="HU74">INDEX(Tiere!$I$30:$I$114,'Lagerhaltung (freiwillig)'!HP74)</f>
        <v>7.2</v>
      </c>
      <c r="HV74" s="1184">
        <f t="shared" si="172"/>
        <v>0</v>
      </c>
      <c r="HW74" s="1184" cm="1">
        <f t="array" ref="HW74">INDEX(Tiere!$BC$30:$BC$114,'Lagerhaltung (freiwillig)'!HP74)</f>
        <v>0</v>
      </c>
      <c r="HX74" s="1184">
        <f t="shared" si="173"/>
        <v>0</v>
      </c>
      <c r="HY74" s="1184" cm="1">
        <f t="array" ref="HY74">INDEX(Tiere!$BD$30:$BD$114,'Lagerhaltung (freiwillig)'!HP74)</f>
        <v>0</v>
      </c>
      <c r="HZ74" s="1184">
        <f t="shared" si="174"/>
        <v>0</v>
      </c>
      <c r="IA74" s="1184"/>
      <c r="IB74" s="1184"/>
      <c r="IC74" s="1184"/>
      <c r="ID74" s="1184"/>
      <c r="IE74" s="1184"/>
      <c r="IF74" s="1184"/>
      <c r="IG74" s="1184"/>
      <c r="IH74" s="1184"/>
      <c r="II74" s="1184"/>
      <c r="IJ74" s="1184"/>
      <c r="IK74" s="1184"/>
      <c r="IL74" s="1184"/>
    </row>
    <row r="75" spans="1:246" ht="15.6" customHeight="1" x14ac:dyDescent="0.2">
      <c r="A75" s="1180"/>
      <c r="B75" s="1181"/>
      <c r="C75" s="3162" t="s">
        <v>1004</v>
      </c>
      <c r="D75" s="3163"/>
      <c r="E75" s="3164"/>
      <c r="F75" s="1475" cm="1">
        <f t="array" ref="F75">INDEX(Pflanzen!$I$117:$I$154,BR75)</f>
        <v>0</v>
      </c>
      <c r="G75" s="1476" cm="1">
        <f t="array" ref="G75">INDEX(Pflanzen!$W$117:$W$154,BR75)</f>
        <v>0</v>
      </c>
      <c r="H75" s="2184" cm="1">
        <f t="array" ref="H75">INDEX(Pflanzen!$X$117:$X$154,BR75)</f>
        <v>0</v>
      </c>
      <c r="I75" s="1121"/>
      <c r="J75" s="1486"/>
      <c r="K75" s="1109"/>
      <c r="L75" s="1110"/>
      <c r="M75" s="1110"/>
      <c r="N75" s="1111"/>
      <c r="O75" s="1111"/>
      <c r="P75" s="1112"/>
      <c r="Q75" s="1123"/>
      <c r="R75" s="1489"/>
      <c r="S75" s="1123"/>
      <c r="T75" s="1486"/>
      <c r="U75" s="725"/>
      <c r="V75" s="1346" t="str">
        <f>IF(OR(L75&gt;0,M75&gt;0,AND(OR(J75&gt;0,R75&gt;0),OR(G75=0,H75=0,F75=0))),"Fehler","")</f>
        <v/>
      </c>
      <c r="Y75" s="1981"/>
      <c r="Z75" s="1982"/>
      <c r="AA75" s="1982"/>
      <c r="AB75" s="1982"/>
      <c r="AC75" s="1983"/>
      <c r="AD75" s="1983"/>
      <c r="AE75" s="1983"/>
      <c r="AF75" s="1983"/>
      <c r="AG75" s="1983"/>
      <c r="AH75" s="1983"/>
      <c r="AI75" s="1983"/>
      <c r="AJ75" s="1983"/>
      <c r="AK75" s="1983"/>
      <c r="AL75" s="1984"/>
      <c r="AM75" s="1983"/>
      <c r="AN75" s="1983"/>
      <c r="AO75" s="1983"/>
      <c r="AP75" s="1983"/>
      <c r="AQ75" s="1983"/>
      <c r="AR75" s="1983"/>
      <c r="AS75" s="1983"/>
      <c r="AT75" s="1983"/>
      <c r="AU75" s="1983"/>
      <c r="AV75" s="1983"/>
      <c r="AW75" s="1985"/>
      <c r="AX75" s="1985"/>
      <c r="AY75" s="1985"/>
      <c r="AZ75" s="1985"/>
      <c r="BA75" s="1462"/>
      <c r="BB75" s="1462"/>
      <c r="BC75" s="1462"/>
      <c r="BD75" s="1461"/>
      <c r="BE75" s="1462"/>
      <c r="BF75" s="1343"/>
      <c r="BG75" s="1343"/>
      <c r="BH75" s="1343"/>
      <c r="BI75" s="1343"/>
      <c r="BJ75" s="1343"/>
      <c r="BK75" s="1343"/>
      <c r="BL75" s="1343"/>
      <c r="BM75" s="1343"/>
      <c r="BN75" s="1343"/>
      <c r="BO75" s="1343"/>
      <c r="BQ75" s="1184"/>
      <c r="BR75" s="1184">
        <v>1</v>
      </c>
      <c r="BS75" s="1184"/>
      <c r="BT75" s="1184"/>
      <c r="BU75" s="1185"/>
      <c r="BV75" s="1185"/>
      <c r="BW75" s="1184">
        <f t="shared" ref="BW75:BW89" si="178">IF(AND(S75&lt;&gt;T75,T75&gt;S75,S75&gt;0),T75-S75+1,IF(AND(S75=0,T75=0),12,1))</f>
        <v>12</v>
      </c>
      <c r="BX75" s="1184">
        <f t="shared" ref="BX75:BX89" si="179">IF(AND(S75=0,T75&gt;0),T75,S75)</f>
        <v>0</v>
      </c>
      <c r="BY75" s="1184">
        <f t="shared" ref="BY75:BY89" si="180">IF(AND(T75=0,S75&gt;0),S75,IF(AND(S75=0,T75=0),12,T75))</f>
        <v>12</v>
      </c>
      <c r="BZ75" s="1184"/>
      <c r="CA75" s="1194"/>
      <c r="CB75" s="1194"/>
      <c r="CC75" s="1184"/>
      <c r="CD75" s="1184"/>
      <c r="CE75" s="1184"/>
      <c r="CF75" s="1184"/>
      <c r="CG75" s="1184"/>
      <c r="CH75" s="1184">
        <f>IF(I75&gt;0,I75,F75)</f>
        <v>0</v>
      </c>
      <c r="CI75" s="1184">
        <f>IF(F75=0,0,IF(I75&gt;0,J75*G75*I75/F75/1000,J75*G75/1000))</f>
        <v>0</v>
      </c>
      <c r="CJ75" s="1184">
        <f>IF(F75=0,0,IF(I75&gt;0,J75*H75*I75/F75/1000,J75*H75/1000))</f>
        <v>0</v>
      </c>
      <c r="CK75" s="1184"/>
      <c r="CL75" s="1184"/>
      <c r="CM75" s="1184"/>
      <c r="CN75" s="1184"/>
      <c r="CO75" s="1184"/>
      <c r="CP75" s="1184">
        <f>IF(Q75&gt;0,Q75,F75)</f>
        <v>0</v>
      </c>
      <c r="CQ75" s="1184">
        <f>IF(Q75&gt;0,R75*G75*Q75/F75/BW75/1000,R75*G75/BW75/1000)</f>
        <v>0</v>
      </c>
      <c r="CR75" s="1184">
        <f>IF(Q75&gt;0,R75*G75*Q75/F75/1000,R75*G75/1000)</f>
        <v>0</v>
      </c>
      <c r="CS75" s="1184">
        <f>IF(Q75&gt;0,R75*H75*Q75/F75/BW75/1000,R75*H75/BW75/1000)</f>
        <v>0</v>
      </c>
      <c r="CT75" s="1184">
        <f>IF(Q75&gt;0,R75*H75*Q75/F75/1000,R75*H75/1000)</f>
        <v>0</v>
      </c>
      <c r="CU75" s="1184">
        <f>IF(OR(AND(R75&lt;0,OR(AND(CP75&lt;&gt;CK75,CM75&gt;0),AND(CP75&lt;&gt;CH75,CI75&gt;0))),      AND(COUNTIF($BR$75:$BR$79,BR75)&gt;1,COUNTIFS($BR$75:$BR$79,BR75,$R$75:$R$79,"&lt;0")&gt;0)),1,2)</f>
        <v>2</v>
      </c>
      <c r="CV75" s="1184">
        <f t="shared" ref="CV75:CV89" si="181">F75</f>
        <v>0</v>
      </c>
      <c r="CW75" s="1186">
        <f>IF(CU75=2,IF(BT75=TRUE,SUM(J75,R75),SUM(J75,L75*M75/10,R75)),IF(BT75=TRUE,SUM(J75*CH75,R75*CP75)/CV75,SUM(J75*CH75,L75*M75/10*CK75,R75*CP75)/CV75))</f>
        <v>0</v>
      </c>
      <c r="CX75" s="1184"/>
      <c r="CY75" s="320" t="str">
        <f>Pflanzen!A71</f>
        <v>Zwischenfrucht mit über 75 % Leg.</v>
      </c>
      <c r="CZ75" s="1200">
        <f>IFERROR(MATCH($CY75,Pflanzen!$C$5:$C$114,0),1)</f>
        <v>67</v>
      </c>
      <c r="DA75" s="320" cm="1">
        <f t="array" ref="DA75">INDEX(Pflanzen!$H$5:$H$114,'Lagerhaltung (freiwillig)'!CZ75)</f>
        <v>1</v>
      </c>
      <c r="DB75" s="1200">
        <f t="shared" si="167"/>
        <v>0</v>
      </c>
      <c r="DC75" s="1200">
        <f t="shared" si="167"/>
        <v>0</v>
      </c>
      <c r="DD75" s="1200">
        <f t="shared" si="167"/>
        <v>0</v>
      </c>
      <c r="DE75" s="1200">
        <f t="shared" si="167"/>
        <v>0</v>
      </c>
      <c r="DF75" s="1200">
        <f t="shared" si="167"/>
        <v>0</v>
      </c>
      <c r="DG75" s="1184">
        <f t="shared" si="167"/>
        <v>0</v>
      </c>
      <c r="DH75" s="1184">
        <f t="shared" si="167"/>
        <v>0</v>
      </c>
      <c r="DI75" s="1184">
        <f t="shared" si="167"/>
        <v>0</v>
      </c>
      <c r="DJ75" s="1184">
        <f t="shared" si="167"/>
        <v>0</v>
      </c>
      <c r="DK75" s="1184">
        <f t="shared" si="167"/>
        <v>0</v>
      </c>
      <c r="DL75" s="1184">
        <f t="shared" si="167"/>
        <v>0</v>
      </c>
      <c r="DM75" s="1184">
        <f t="shared" si="167"/>
        <v>0</v>
      </c>
      <c r="DN75" s="1184"/>
      <c r="DO75" s="1184">
        <f t="shared" si="168"/>
        <v>0</v>
      </c>
      <c r="DP75" s="1184">
        <f t="shared" si="168"/>
        <v>0</v>
      </c>
      <c r="DQ75" s="1184">
        <f t="shared" si="168"/>
        <v>0</v>
      </c>
      <c r="DR75" s="1184">
        <f t="shared" si="168"/>
        <v>0</v>
      </c>
      <c r="DS75" s="1184">
        <f t="shared" si="168"/>
        <v>0</v>
      </c>
      <c r="DT75" s="1184">
        <f t="shared" si="168"/>
        <v>0</v>
      </c>
      <c r="DU75" s="1184">
        <f t="shared" si="168"/>
        <v>0</v>
      </c>
      <c r="DV75" s="1184">
        <f t="shared" si="168"/>
        <v>0</v>
      </c>
      <c r="DW75" s="1184">
        <f t="shared" si="168"/>
        <v>0</v>
      </c>
      <c r="DX75" s="1184">
        <f t="shared" si="168"/>
        <v>0</v>
      </c>
      <c r="DY75" s="1184">
        <f t="shared" si="168"/>
        <v>0</v>
      </c>
      <c r="DZ75" s="1184">
        <f t="shared" si="168"/>
        <v>0</v>
      </c>
      <c r="EA75" s="1184"/>
      <c r="EB75" s="1184">
        <f t="shared" si="169"/>
        <v>0</v>
      </c>
      <c r="EC75" s="1184">
        <f t="shared" si="169"/>
        <v>0</v>
      </c>
      <c r="ED75" s="1184">
        <f t="shared" si="169"/>
        <v>0</v>
      </c>
      <c r="EE75" s="1184">
        <f t="shared" si="169"/>
        <v>0</v>
      </c>
      <c r="EF75" s="1184">
        <f t="shared" si="169"/>
        <v>0</v>
      </c>
      <c r="EG75" s="1184">
        <f t="shared" si="169"/>
        <v>0</v>
      </c>
      <c r="EH75" s="1184">
        <f t="shared" si="169"/>
        <v>0</v>
      </c>
      <c r="EI75" s="1184">
        <f t="shared" si="169"/>
        <v>0</v>
      </c>
      <c r="EJ75" s="1184">
        <f t="shared" si="169"/>
        <v>0</v>
      </c>
      <c r="EK75" s="1184">
        <f t="shared" si="169"/>
        <v>0</v>
      </c>
      <c r="EL75" s="1184">
        <f t="shared" si="169"/>
        <v>0</v>
      </c>
      <c r="EM75" s="1184">
        <f t="shared" si="169"/>
        <v>0</v>
      </c>
      <c r="EN75" s="1184"/>
      <c r="EO75" s="1184">
        <f t="shared" si="170"/>
        <v>0</v>
      </c>
      <c r="EP75" s="1184">
        <f t="shared" si="170"/>
        <v>0</v>
      </c>
      <c r="EQ75" s="1184">
        <f t="shared" si="170"/>
        <v>0</v>
      </c>
      <c r="ER75" s="1184">
        <f t="shared" si="170"/>
        <v>0</v>
      </c>
      <c r="ES75" s="1184">
        <f t="shared" si="170"/>
        <v>0</v>
      </c>
      <c r="ET75" s="1184">
        <f t="shared" si="170"/>
        <v>0</v>
      </c>
      <c r="EU75" s="1184">
        <f t="shared" si="170"/>
        <v>0</v>
      </c>
      <c r="EV75" s="1184">
        <f t="shared" si="170"/>
        <v>0</v>
      </c>
      <c r="EW75" s="1184">
        <f t="shared" si="170"/>
        <v>0</v>
      </c>
      <c r="EX75" s="1184">
        <f t="shared" si="170"/>
        <v>0</v>
      </c>
      <c r="EY75" s="1184">
        <f t="shared" si="170"/>
        <v>0</v>
      </c>
      <c r="EZ75" s="1184">
        <f t="shared" si="170"/>
        <v>0</v>
      </c>
      <c r="FA75" s="1184"/>
      <c r="FB75" s="1186">
        <f t="shared" ref="FB75:FB116" si="182">SUMIF($BR$14:$BR$68,$CZ75,$CI$14:$CI$68)</f>
        <v>0</v>
      </c>
      <c r="FC75" s="1184">
        <f>FB75+DB75+EB75                 -         SUMIF('Nährstoffe und Lagerraum'!$AX$113:$AX$155,$CZ75,'Nährstoffe und Lagerraum'!$U$113:$U$155)/12  -$GD75*$HE75/12</f>
        <v>0</v>
      </c>
      <c r="FD75" s="1184">
        <f>FC75+DC75+EC75                 -         SUMIF('Nährstoffe und Lagerraum'!$AX$113:$AX$155,$CZ75,'Nährstoffe und Lagerraum'!$U$113:$U$155)/12  -$GD75*$HE75/12</f>
        <v>0</v>
      </c>
      <c r="FE75" s="1184">
        <f>FD75+DD75+ED75                 -         SUMIF('Nährstoffe und Lagerraum'!$AX$113:$AX$155,$CZ75,'Nährstoffe und Lagerraum'!$U$113:$U$155)/12  -$GD75*$HE75/12</f>
        <v>0</v>
      </c>
      <c r="FF75" s="1184">
        <f>FE75+DE75+EE75                 -         SUMIF('Nährstoffe und Lagerraum'!$AX$113:$AX$155,$CZ75,'Nährstoffe und Lagerraum'!$U$113:$U$155)/12  -$GD75*$HE75/12</f>
        <v>0</v>
      </c>
      <c r="FG75" s="1184">
        <f>FF75+DF75+EF75                 -         SUMIF('Nährstoffe und Lagerraum'!$AX$113:$AX$155,$CZ75,'Nährstoffe und Lagerraum'!$U$113:$U$155)/12  -$GD75*$HE75/12</f>
        <v>0</v>
      </c>
      <c r="FH75" s="1184">
        <f>FG75+DG75+EG75                 -         SUMIF('Nährstoffe und Lagerraum'!$AX$113:$AX$155,$CZ75,'Nährstoffe und Lagerraum'!$U$113:$U$155)/12  -$GD75*$HE75/12</f>
        <v>0</v>
      </c>
      <c r="FI75" s="1184">
        <f>FH75+DH75+EH75                 -         SUMIF('Nährstoffe und Lagerraum'!$AX$113:$AX$155,$CZ75,'Nährstoffe und Lagerraum'!$U$113:$U$155)/12  -$GD75*$HE75/12</f>
        <v>0</v>
      </c>
      <c r="FJ75" s="1184">
        <f>FI75+DI75+EI75                 -         SUMIF('Nährstoffe und Lagerraum'!$AX$113:$AX$155,$CZ75,'Nährstoffe und Lagerraum'!$U$113:$U$155)/12  -$GD75*$HE75/12</f>
        <v>0</v>
      </c>
      <c r="FK75" s="1184">
        <f>FJ75+DJ75+EJ75                 -         SUMIF('Nährstoffe und Lagerraum'!$AX$113:$AX$155,$CZ75,'Nährstoffe und Lagerraum'!$U$113:$U$155)/12  -$GD75*$HE75/12</f>
        <v>0</v>
      </c>
      <c r="FL75" s="1184">
        <f>FK75+DK75+EK75                 -         SUMIF('Nährstoffe und Lagerraum'!$AX$113:$AX$155,$CZ75,'Nährstoffe und Lagerraum'!$U$113:$U$155)/12  -$GD75*$HE75/12</f>
        <v>0</v>
      </c>
      <c r="FM75" s="1184">
        <f>FL75+DL75+EL75                 -         SUMIF('Nährstoffe und Lagerraum'!$AX$113:$AX$155,$CZ75,'Nährstoffe und Lagerraum'!$U$113:$U$155)/12  -$GD75*$HE75/12</f>
        <v>0</v>
      </c>
      <c r="FN75" s="1184">
        <f>FM75+DM75+EM75                 -         SUMIF('Nährstoffe und Lagerraum'!$AX$113:$AX$155,$CZ75,'Nährstoffe und Lagerraum'!$U$113:$U$155)/12  -$GD75*$HE75/12</f>
        <v>0</v>
      </c>
      <c r="FO75" s="1184"/>
      <c r="FP75" s="1186">
        <f t="shared" ref="FP75:FP116" si="183">SUMIF($BR$14:$BR$68,$CZ75,$CJ$14:$CJ$68)</f>
        <v>0</v>
      </c>
      <c r="FQ75" s="1184">
        <f>FP75+DO75+EO75                 -         SUMIF('Nährstoffe und Lagerraum'!$AX$113:$AX$155,$CZ75,'Nährstoffe und Lagerraum'!$V$113:$V$155)/12  -$GE75*$HE75/12</f>
        <v>0</v>
      </c>
      <c r="FR75" s="1184">
        <f>FQ75+DP75+EP75                 -         SUMIF('Nährstoffe und Lagerraum'!$AX$113:$AX$155,$CZ75,'Nährstoffe und Lagerraum'!$V$113:$V$155)/12  -$GE75*$HE75/12</f>
        <v>0</v>
      </c>
      <c r="FS75" s="1184">
        <f>FR75+DQ75+EQ75                 -         SUMIF('Nährstoffe und Lagerraum'!$AX$113:$AX$155,$CZ75,'Nährstoffe und Lagerraum'!$V$113:$V$155)/12  -$GE75*$HE75/12</f>
        <v>0</v>
      </c>
      <c r="FT75" s="1184">
        <f>FS75+DR75+ER75                 -         SUMIF('Nährstoffe und Lagerraum'!$AX$113:$AX$155,$CZ75,'Nährstoffe und Lagerraum'!$V$113:$V$155)/12  -$GE75*$HE75/12</f>
        <v>0</v>
      </c>
      <c r="FU75" s="1184">
        <f>FT75+DS75+ES75                 -         SUMIF('Nährstoffe und Lagerraum'!$AX$113:$AX$155,$CZ75,'Nährstoffe und Lagerraum'!$V$113:$V$155)/12  -$GE75*$HE75/12</f>
        <v>0</v>
      </c>
      <c r="FV75" s="1184">
        <f>FU75+DT75+ET75                 -         SUMIF('Nährstoffe und Lagerraum'!$AX$113:$AX$155,$CZ75,'Nährstoffe und Lagerraum'!$V$113:$V$155)/12  -$GE75*$HE75/12</f>
        <v>0</v>
      </c>
      <c r="FW75" s="1184">
        <f>FV75+DU75+EU75                 -         SUMIF('Nährstoffe und Lagerraum'!$AX$113:$AX$155,$CZ75,'Nährstoffe und Lagerraum'!$V$113:$V$155)/12  -$GE75*$HE75/12</f>
        <v>0</v>
      </c>
      <c r="FX75" s="1184">
        <f>FW75+DV75+EV75                 -         SUMIF('Nährstoffe und Lagerraum'!$AX$113:$AX$155,$CZ75,'Nährstoffe und Lagerraum'!$V$113:$V$155)/12  -$GE75*$HE75/12</f>
        <v>0</v>
      </c>
      <c r="FY75" s="1184">
        <f>FX75+DW75+EW75                 -         SUMIF('Nährstoffe und Lagerraum'!$AX$113:$AX$155,$CZ75,'Nährstoffe und Lagerraum'!$V$113:$V$155)/12  -$GE75*$HE75/12</f>
        <v>0</v>
      </c>
      <c r="FZ75" s="1184">
        <f>FY75+DX75+EX75                 -         SUMIF('Nährstoffe und Lagerraum'!$AX$113:$AX$155,$CZ75,'Nährstoffe und Lagerraum'!$V$113:$V$155)/12  -$GE75*$HE75/12</f>
        <v>0</v>
      </c>
      <c r="GA75" s="1184">
        <f>FZ75+DY75+EY75                 -         SUMIF('Nährstoffe und Lagerraum'!$AX$113:$AX$155,$CZ75,'Nährstoffe und Lagerraum'!$V$113:$V$155)/12  -$GE75*$HE75/12</f>
        <v>0</v>
      </c>
      <c r="GB75" s="1184">
        <f>GA75+DZ75+EZ75                 -         SUMIF('Nährstoffe und Lagerraum'!$AX$113:$AX$155,$CZ75,'Nährstoffe und Lagerraum'!$V$113:$V$155)/12  -$GE75*$HE75/12</f>
        <v>0</v>
      </c>
      <c r="GC75" s="1184"/>
      <c r="GD75" s="1184">
        <f>SUMIFS($CI$14:$CI$68,$BR$14:$BR$68,$CZ75)+SUMIFS($CM$14:$CM$68,$BR$14:$BR$68,$CZ75)+SUMIFS($CR$14:$CR$68,$BR$14:$BR$68,$CZ75)  -         SUMIF('Nährstoffe und Lagerraum'!$AX$113:$AX$155,$CZ75,'Nährstoffe und Lagerraum'!$U$113:$U$155)</f>
        <v>0</v>
      </c>
      <c r="GE75" s="1184">
        <f>SUMIFS($CJ$14:$CJ$68,$BR$14:$BR$68,$CZ75)+SUMIFS($CO$14:$CO$68,$BR$14:$BR$68,$CZ75)+SUMIFS($CT$14:$CT$68,$BR$14:$BR$68,$CZ75)  -         SUMIF('Nährstoffe und Lagerraum'!$AX$113:$AX$155,$CZ75,'Nährstoffe und Lagerraum'!$V$113:$V$155)</f>
        <v>0</v>
      </c>
      <c r="GF75" s="1184"/>
      <c r="GG75" s="1184"/>
      <c r="GH75" s="1184">
        <f>SUMIF('Nährstoffe und Lagerraum'!$AX$113:$AX$155,$CZ75,'Nährstoffe und Lagerraum'!$U$113:$U$155)</f>
        <v>0</v>
      </c>
      <c r="GI75" s="1184">
        <f>SUMIF('Nährstoffe und Lagerraum'!$AX$113:$AX$155,$CZ75,'Nährstoffe und Lagerraum'!$V$113:$V$155)</f>
        <v>0</v>
      </c>
      <c r="GJ75" s="1184">
        <f t="shared" ref="GJ75:GJ84" si="184">GD75+GH75</f>
        <v>0</v>
      </c>
      <c r="GK75" s="1184">
        <f t="shared" ref="GK75:GK84" si="185">GE75+GI75</f>
        <v>0</v>
      </c>
      <c r="GL75" s="1184">
        <f t="shared" ref="GL75:GL84" si="186">GD75-GD75*HE75</f>
        <v>0</v>
      </c>
      <c r="GM75" s="1184">
        <f t="shared" ref="GM75:GM84" si="187">GE75-GE75*HE75</f>
        <v>0</v>
      </c>
      <c r="GN75" s="1184">
        <f t="shared" ref="GN75:GN84" si="188">SUMIF($BR$14:$BR$68,CZ75,$CW$14:$CW$68)</f>
        <v>0</v>
      </c>
      <c r="GO75" s="1184" cm="1">
        <f t="array" ref="GO75">IF(GN75=0,0,(IFERROR(SUMPRODUCT($J$14:$J$68,$CH$14:$CH$68,($BR$14:$BR$68=CZ75)*1)+SUMPRODUCT($L$14:$L$68,$M$14:$M$68,$CK$14:$CK$68,($BR$14:$BR$68=CZ75)*1,($BT$14:$BT$68=FALSE)*1)/10+SUMPRODUCT($R$14:$R$68,$CP$14:$CP$68,($BR$14:$BR$68=CZ75)*1),0))/GN75)</f>
        <v>0</v>
      </c>
      <c r="GP75" s="1184">
        <f t="shared" ref="GP75:GP84" si="189">GN75*GO75/100</f>
        <v>0</v>
      </c>
      <c r="GQ75" s="1184">
        <f>(SUMIF('Nährstoffe und Lagerraum'!$AX$113:$AX$130,'Lagerhaltung (freiwillig)'!CZ75,'Nährstoffe und Lagerraum'!$D$113:$D$130)+SUMIF('Nährstoffe und Lagerraum'!$AX$137:$AX$155,'Lagerhaltung (freiwillig)'!CZ75,'Nährstoffe und Lagerraum'!$E$137:$E$155))</f>
        <v>0</v>
      </c>
      <c r="GR75" s="1184" cm="1">
        <f t="array" ref="GR75">IF(GQ75=0,0,(IFERROR(SUMPRODUCT('Nährstoffe und Lagerraum'!$D$113:$D$130,'Nährstoffe und Lagerraum'!$F$113:$F$130,('Nährstoffe und Lagerraum'!$AX$113:$AX$130='Lagerhaltung (freiwillig)'!CZ75)*1)+SUMPRODUCT('Nährstoffe und Lagerraum'!$E$137:$E$155,'Nährstoffe und Lagerraum'!$F$137:$F$155,('Nährstoffe und Lagerraum'!$AX$137:$AX$155='Lagerhaltung (freiwillig)'!CZ75)*1),0))/GQ75)</f>
        <v>0</v>
      </c>
      <c r="GS75" s="1184">
        <f t="shared" ref="GS75:GS84" si="190">GQ75*GR75/100</f>
        <v>0</v>
      </c>
      <c r="GT75" s="1184">
        <f t="shared" ref="GT75:GT84" si="191">GP75-GS75</f>
        <v>0</v>
      </c>
      <c r="GU75" s="1184">
        <f t="shared" ref="GU75:GU84" si="192">IF(AND(GO75=0,GR75=0),0,IF(GO75=0,GT75/(GR75/100),GT75/(GO75/100)))</f>
        <v>0</v>
      </c>
      <c r="GV75" s="1184">
        <f t="shared" ref="GV75:GV84" si="193">IF(OR(GO75=0,GR75=0),MAX(GO75,GR75),GO75)</f>
        <v>0</v>
      </c>
      <c r="GW75" s="1186" t="str">
        <f t="shared" si="177"/>
        <v xml:space="preserve"> </v>
      </c>
      <c r="GX75" s="1186" t="str">
        <f t="shared" si="177"/>
        <v xml:space="preserve"> </v>
      </c>
      <c r="GY75" s="1195">
        <f t="shared" ref="GY75:GY84" si="194">IF(OR(HK75=3,GU75&lt;=0),0,IF(DA75=$DA$4,$GX$4/$GG$4,IF(DA75=$DA$6,$GX$6/$GG$6,0)))</f>
        <v>0</v>
      </c>
      <c r="GZ75" s="1184">
        <f t="shared" ref="GZ75:GZ84" si="195">GU75*GY75</f>
        <v>0</v>
      </c>
      <c r="HA75" s="1184" t="str">
        <f t="shared" si="176"/>
        <v>a</v>
      </c>
      <c r="HB75" s="1196">
        <f t="shared" ref="HB75:HB84" si="196">IF(HA75="a",0,GD75*HE75)</f>
        <v>0</v>
      </c>
      <c r="HC75" s="1196">
        <f t="shared" ref="HC75:HC84" si="197">IF(HA75="a",0,GD75*(1-HE75))</f>
        <v>0</v>
      </c>
      <c r="HD75" s="1196"/>
      <c r="HE75" s="1187">
        <f t="shared" ref="HE75:HE84" si="198">IF(OR(HK75=3,GU75&lt;=0),0,IF(HA75&lt;&gt;"a",IF(GU75=0,0,MIN(1,HA75/GU75)),IF(DA75=$DA$4,IF($GG$4-$HC$4-$HB$4=0,0,$HD$4/($GG$4-$HC$4-$HB$4)),IF(DA75=$DA$6,IF($GG$6-$HC$6-$HB$6=0,0,$HD$6/($GG$6-$HC$6-$HB$6)),0))))</f>
        <v>0</v>
      </c>
      <c r="HF75" s="1196">
        <f t="shared" ref="HF75:HF84" si="199">MAX(0,GU75*HE75)</f>
        <v>0</v>
      </c>
      <c r="HG75" s="1196">
        <f t="shared" ref="HG75:HG84" si="200">GU75-HF75</f>
        <v>0</v>
      </c>
      <c r="HH75" s="1196">
        <f t="shared" ref="HH75:HH84" si="201">GO75</f>
        <v>0</v>
      </c>
      <c r="HI75" s="1328" cm="1">
        <f t="array" ref="HI75">IF(AND(HG75=0,GL75=0),0,IF(HG75=0,1,IF(OR(GL75*1000/HG75/HH75&gt;INDEX(Pflanzen!$W$5:$W$104,CZ75)/INDEX(Pflanzen!$I$5:$I$104,CZ75)*$HI$1,GL75*1000/HG75/HH75&lt;INDEX(Pflanzen!$W$5:$W$104,CZ75)/INDEX(Pflanzen!$I$5:$I$104,CZ75)/$HI$1),1,0)))</f>
        <v>0</v>
      </c>
      <c r="HJ75" s="1328" cm="1">
        <f t="array" ref="HJ75">IF(AND(GM75=0,HG75=0),0,IF(HG75=0,1,IF(OR(GM75*1000/HG75/HH75&gt;INDEX(Pflanzen!$X$5:$X$104,CZ75)/INDEX(Pflanzen!$I$5:$I$104,CZ75)*$HI$1,GM75*1000/HG75/HH75&lt;INDEX(Pflanzen!$X$5:$X$104,CZ75)/INDEX(Pflanzen!$I$5:$I$104,CZ75)/$HI$1),1,0)))</f>
        <v>0</v>
      </c>
      <c r="HK75" s="1184">
        <f t="shared" ref="HK75:HK84" si="202">IF(AND(GD75=0,GE75=0,GH75=0,GI75=0,GJ75=0,GK75=0),3,DA75)</f>
        <v>3</v>
      </c>
      <c r="HL75" s="1184"/>
      <c r="HN75" s="1184"/>
      <c r="HO75" s="1193" t="str">
        <f>Tiere!B101</f>
        <v>Lama</v>
      </c>
      <c r="HP75" s="1184">
        <v>72</v>
      </c>
      <c r="HQ75" s="1194">
        <f>SUMIF('Nährstoffe und Lagerraum'!$BM$68:$BM$87,'Lagerhaltung (freiwillig)'!HP75,'Nährstoffe und Lagerraum'!$Z$68:$Z$87)+SUMIF('Nährstoffe und Lagerraum'!$BM$68:$BM$87,'Lagerhaltung (freiwillig)'!HP75,'Nährstoffe und Lagerraum'!$AA$68:$AA$87)</f>
        <v>0</v>
      </c>
      <c r="HR75" s="1184" cm="1">
        <f t="array" ref="HR75">INDEX(Tiere!$C$30:$C$114,'Lagerhaltung (freiwillig)'!HP75)</f>
        <v>9</v>
      </c>
      <c r="HS75" s="1184" cm="1">
        <f t="array" ref="HS75">INDEX(Tiere!$H$30:$H$114,'Lagerhaltung (freiwillig)'!HP75)</f>
        <v>22.7</v>
      </c>
      <c r="HT75" s="1184">
        <f t="shared" si="171"/>
        <v>0</v>
      </c>
      <c r="HU75" s="1184" cm="1">
        <f t="array" ref="HU75">INDEX(Tiere!$I$30:$I$114,'Lagerhaltung (freiwillig)'!HP75)</f>
        <v>7.2</v>
      </c>
      <c r="HV75" s="1184">
        <f t="shared" si="172"/>
        <v>0</v>
      </c>
      <c r="HW75" s="1184" cm="1">
        <f t="array" ref="HW75">INDEX(Tiere!$BC$30:$BC$114,'Lagerhaltung (freiwillig)'!HP75)</f>
        <v>1.3</v>
      </c>
      <c r="HX75" s="1184">
        <f t="shared" si="173"/>
        <v>0</v>
      </c>
      <c r="HY75" s="1184" cm="1">
        <f t="array" ref="HY75">INDEX(Tiere!$BD$30:$BD$114,'Lagerhaltung (freiwillig)'!HP75)</f>
        <v>0.68500000000000005</v>
      </c>
      <c r="HZ75" s="1184">
        <f t="shared" si="174"/>
        <v>0</v>
      </c>
      <c r="IA75" s="1184"/>
      <c r="IB75" s="1184"/>
      <c r="IC75" s="1184"/>
      <c r="ID75" s="1184"/>
      <c r="IE75" s="1184"/>
      <c r="IF75" s="1184"/>
      <c r="IG75" s="1184"/>
      <c r="IH75" s="1184"/>
      <c r="II75" s="1184"/>
      <c r="IJ75" s="1184"/>
      <c r="IK75" s="1184"/>
      <c r="IL75" s="1184"/>
    </row>
    <row r="76" spans="1:246" ht="15.6" customHeight="1" x14ac:dyDescent="0.2">
      <c r="A76" s="1182"/>
      <c r="B76" s="1183"/>
      <c r="C76" s="3020" t="s">
        <v>1103</v>
      </c>
      <c r="D76" s="3021"/>
      <c r="E76" s="3022"/>
      <c r="F76" s="1477" cm="1">
        <f t="array" ref="F76">INDEX(Pflanzen!$I$117:$I$154,BR76)</f>
        <v>0</v>
      </c>
      <c r="G76" s="2184" cm="1">
        <f t="array" ref="G76">INDEX(Pflanzen!$W$117:$W$154,BR76)</f>
        <v>0</v>
      </c>
      <c r="H76" s="2184" cm="1">
        <f t="array" ref="H76">INDEX(Pflanzen!$X$117:$X$154,BR76)</f>
        <v>0</v>
      </c>
      <c r="I76" s="1122"/>
      <c r="J76" s="1487"/>
      <c r="K76" s="1113"/>
      <c r="L76" s="1114"/>
      <c r="M76" s="1114"/>
      <c r="N76" s="1115"/>
      <c r="O76" s="1115"/>
      <c r="P76" s="1116"/>
      <c r="Q76" s="2185"/>
      <c r="R76" s="1491"/>
      <c r="S76" s="2185"/>
      <c r="T76" s="1487"/>
      <c r="U76" s="725"/>
      <c r="V76" s="1346" t="str">
        <f t="shared" ref="V76:V79" si="203">IF(OR(L76&gt;0,M76&gt;0,AND(OR(J76&gt;0,R76&gt;0),OR(G76=0,H76=0,F76=0))),"Fehler","")</f>
        <v/>
      </c>
      <c r="Y76" s="1981"/>
      <c r="Z76" s="1982"/>
      <c r="AA76" s="1982"/>
      <c r="AB76" s="1982"/>
      <c r="AC76" s="1983"/>
      <c r="AD76" s="1983"/>
      <c r="AE76" s="1983"/>
      <c r="AF76" s="1983"/>
      <c r="AG76" s="1983"/>
      <c r="AH76" s="1983"/>
      <c r="AI76" s="1983"/>
      <c r="AJ76" s="1983"/>
      <c r="AK76" s="1983"/>
      <c r="AL76" s="1984"/>
      <c r="AM76" s="1983"/>
      <c r="AN76" s="1983"/>
      <c r="AO76" s="1983"/>
      <c r="AP76" s="1983"/>
      <c r="AQ76" s="1983"/>
      <c r="AR76" s="1983"/>
      <c r="AS76" s="1983"/>
      <c r="AT76" s="1983"/>
      <c r="AU76" s="1983"/>
      <c r="AV76" s="1983"/>
      <c r="AW76" s="1985"/>
      <c r="AX76" s="1985"/>
      <c r="AY76" s="1985"/>
      <c r="AZ76" s="1985"/>
      <c r="BA76" s="1462"/>
      <c r="BB76" s="1462"/>
      <c r="BC76" s="1462"/>
      <c r="BD76" s="1461"/>
      <c r="BE76" s="1462"/>
      <c r="BF76" s="1343"/>
      <c r="BG76" s="1343"/>
      <c r="BH76" s="1343"/>
      <c r="BI76" s="1343"/>
      <c r="BJ76" s="1343"/>
      <c r="BK76" s="1343"/>
      <c r="BL76" s="1343"/>
      <c r="BM76" s="1343"/>
      <c r="BN76" s="1343"/>
      <c r="BO76" s="1343"/>
      <c r="BQ76" s="1184"/>
      <c r="BR76" s="1184">
        <v>1</v>
      </c>
      <c r="BS76" s="1184"/>
      <c r="BT76" s="1184"/>
      <c r="BU76" s="1185"/>
      <c r="BV76" s="1185"/>
      <c r="BW76" s="1184">
        <f t="shared" si="178"/>
        <v>12</v>
      </c>
      <c r="BX76" s="1184">
        <f t="shared" si="179"/>
        <v>0</v>
      </c>
      <c r="BY76" s="1184">
        <f t="shared" si="180"/>
        <v>12</v>
      </c>
      <c r="BZ76" s="1184"/>
      <c r="CA76" s="1194"/>
      <c r="CB76" s="1194"/>
      <c r="CC76" s="1184"/>
      <c r="CD76" s="1184"/>
      <c r="CE76" s="1184"/>
      <c r="CF76" s="1184"/>
      <c r="CG76" s="1184"/>
      <c r="CH76" s="1184">
        <f>IF(I76&gt;0,I76,F76)</f>
        <v>0</v>
      </c>
      <c r="CI76" s="1184">
        <f t="shared" ref="CI76:CI79" si="204">IF(F76=0,0,IF(I76&gt;0,J76*G76*I76/F76/1000,J76*G76/1000))</f>
        <v>0</v>
      </c>
      <c r="CJ76" s="1184">
        <f t="shared" ref="CJ76:CJ79" si="205">IF(F76=0,0,IF(I76&gt;0,J76*H76*I76/F76/1000,J76*H76/1000))</f>
        <v>0</v>
      </c>
      <c r="CK76" s="1184"/>
      <c r="CL76" s="1184"/>
      <c r="CM76" s="1184"/>
      <c r="CN76" s="1184"/>
      <c r="CO76" s="1184"/>
      <c r="CP76" s="1184">
        <f>IF(Q76&gt;0,Q76,F76)</f>
        <v>0</v>
      </c>
      <c r="CQ76" s="1184">
        <f>IF(Q76&gt;0,R76*G76*Q76/F76/BW76/1000,R76*G76/BW76/1000)</f>
        <v>0</v>
      </c>
      <c r="CR76" s="1184">
        <f>IF(Q76&gt;0,R76*G76*Q76/F76/1000,R76*G76/1000)</f>
        <v>0</v>
      </c>
      <c r="CS76" s="1184">
        <f>IF(Q76&gt;0,R76*H76*Q76/F76/BW76/1000,R76*H76/BW76/1000)</f>
        <v>0</v>
      </c>
      <c r="CT76" s="1184">
        <f>IF(Q76&gt;0,R76*H76*Q76/F76/1000,R76*H76/1000)</f>
        <v>0</v>
      </c>
      <c r="CU76" s="1184">
        <f t="shared" ref="CU76:CU89" si="206">IF(OR(AND(R76&lt;0,OR(AND(CP76&lt;&gt;CK76,CM76&gt;0),AND(CP76&lt;&gt;CH76,CI76&gt;0))),      AND(COUNTIF($BR$75:$BR$79,BR76)&gt;1,COUNTIFS($BR$75:$BR$79,BR76,$R$75:$R$79,"&lt;0")&gt;0)),1,2)</f>
        <v>2</v>
      </c>
      <c r="CV76" s="1184">
        <f t="shared" si="181"/>
        <v>0</v>
      </c>
      <c r="CW76" s="1186">
        <f t="shared" ref="CW76:CW89" si="207">IF(CU76=2,IF(BT76=TRUE,SUM(J76,R76),SUM(J76,L76*M76/10,R76)),IF(BT76=TRUE,SUM(J76*CH76,R76*CP76)/CV76,SUM(J76*CH76,L76*M76/10*CK76,R76*CP76)/CV76))</f>
        <v>0</v>
      </c>
      <c r="CX76" s="1184"/>
      <c r="CY76" s="320" t="str">
        <f>Pflanzen!A72</f>
        <v xml:space="preserve"> +++Grünland+++</v>
      </c>
      <c r="CZ76" s="1200">
        <f>IFERROR(MATCH($CY76,Pflanzen!$C$5:$C$114,0),1)</f>
        <v>68</v>
      </c>
      <c r="DA76" s="320" cm="1">
        <f t="array" ref="DA76">INDEX(Pflanzen!$H$5:$H$114,'Lagerhaltung (freiwillig)'!CZ76)</f>
        <v>0</v>
      </c>
      <c r="DB76" s="1200">
        <f t="shared" si="167"/>
        <v>0</v>
      </c>
      <c r="DC76" s="1200">
        <f t="shared" si="167"/>
        <v>0</v>
      </c>
      <c r="DD76" s="1200">
        <f t="shared" si="167"/>
        <v>0</v>
      </c>
      <c r="DE76" s="1200">
        <f t="shared" si="167"/>
        <v>0</v>
      </c>
      <c r="DF76" s="1200">
        <f t="shared" si="167"/>
        <v>0</v>
      </c>
      <c r="DG76" s="1184">
        <f t="shared" si="167"/>
        <v>0</v>
      </c>
      <c r="DH76" s="1184">
        <f t="shared" si="167"/>
        <v>0</v>
      </c>
      <c r="DI76" s="1184">
        <f t="shared" si="167"/>
        <v>0</v>
      </c>
      <c r="DJ76" s="1184">
        <f t="shared" si="167"/>
        <v>0</v>
      </c>
      <c r="DK76" s="1184">
        <f t="shared" si="167"/>
        <v>0</v>
      </c>
      <c r="DL76" s="1184">
        <f t="shared" si="167"/>
        <v>0</v>
      </c>
      <c r="DM76" s="1184">
        <f t="shared" si="167"/>
        <v>0</v>
      </c>
      <c r="DN76" s="1184"/>
      <c r="DO76" s="1184">
        <f t="shared" si="168"/>
        <v>0</v>
      </c>
      <c r="DP76" s="1184">
        <f t="shared" si="168"/>
        <v>0</v>
      </c>
      <c r="DQ76" s="1184">
        <f t="shared" si="168"/>
        <v>0</v>
      </c>
      <c r="DR76" s="1184">
        <f t="shared" si="168"/>
        <v>0</v>
      </c>
      <c r="DS76" s="1184">
        <f t="shared" si="168"/>
        <v>0</v>
      </c>
      <c r="DT76" s="1184">
        <f t="shared" si="168"/>
        <v>0</v>
      </c>
      <c r="DU76" s="1184">
        <f t="shared" si="168"/>
        <v>0</v>
      </c>
      <c r="DV76" s="1184">
        <f t="shared" si="168"/>
        <v>0</v>
      </c>
      <c r="DW76" s="1184">
        <f t="shared" si="168"/>
        <v>0</v>
      </c>
      <c r="DX76" s="1184">
        <f t="shared" si="168"/>
        <v>0</v>
      </c>
      <c r="DY76" s="1184">
        <f t="shared" si="168"/>
        <v>0</v>
      </c>
      <c r="DZ76" s="1184">
        <f t="shared" si="168"/>
        <v>0</v>
      </c>
      <c r="EA76" s="1184"/>
      <c r="EB76" s="1184">
        <f t="shared" si="169"/>
        <v>0</v>
      </c>
      <c r="EC76" s="1184">
        <f t="shared" si="169"/>
        <v>0</v>
      </c>
      <c r="ED76" s="1184">
        <f t="shared" si="169"/>
        <v>0</v>
      </c>
      <c r="EE76" s="1184">
        <f t="shared" si="169"/>
        <v>0</v>
      </c>
      <c r="EF76" s="1184">
        <f t="shared" si="169"/>
        <v>0</v>
      </c>
      <c r="EG76" s="1184">
        <f t="shared" si="169"/>
        <v>0</v>
      </c>
      <c r="EH76" s="1184">
        <f t="shared" si="169"/>
        <v>0</v>
      </c>
      <c r="EI76" s="1184">
        <f t="shared" si="169"/>
        <v>0</v>
      </c>
      <c r="EJ76" s="1184">
        <f t="shared" si="169"/>
        <v>0</v>
      </c>
      <c r="EK76" s="1184">
        <f t="shared" si="169"/>
        <v>0</v>
      </c>
      <c r="EL76" s="1184">
        <f t="shared" si="169"/>
        <v>0</v>
      </c>
      <c r="EM76" s="1184">
        <f t="shared" si="169"/>
        <v>0</v>
      </c>
      <c r="EN76" s="1184"/>
      <c r="EO76" s="1184">
        <f t="shared" si="170"/>
        <v>0</v>
      </c>
      <c r="EP76" s="1184">
        <f t="shared" si="170"/>
        <v>0</v>
      </c>
      <c r="EQ76" s="1184">
        <f t="shared" si="170"/>
        <v>0</v>
      </c>
      <c r="ER76" s="1184">
        <f t="shared" si="170"/>
        <v>0</v>
      </c>
      <c r="ES76" s="1184">
        <f t="shared" si="170"/>
        <v>0</v>
      </c>
      <c r="ET76" s="1184">
        <f t="shared" si="170"/>
        <v>0</v>
      </c>
      <c r="EU76" s="1184">
        <f t="shared" si="170"/>
        <v>0</v>
      </c>
      <c r="EV76" s="1184">
        <f t="shared" si="170"/>
        <v>0</v>
      </c>
      <c r="EW76" s="1184">
        <f t="shared" si="170"/>
        <v>0</v>
      </c>
      <c r="EX76" s="1184">
        <f t="shared" si="170"/>
        <v>0</v>
      </c>
      <c r="EY76" s="1184">
        <f t="shared" si="170"/>
        <v>0</v>
      </c>
      <c r="EZ76" s="1184">
        <f t="shared" si="170"/>
        <v>0</v>
      </c>
      <c r="FA76" s="1184"/>
      <c r="FB76" s="1186">
        <f t="shared" si="182"/>
        <v>0</v>
      </c>
      <c r="FC76" s="1184">
        <f>FB76+DB76+EB76                 -         SUMIF('Nährstoffe und Lagerraum'!$AX$113:$AX$155,$CZ76,'Nährstoffe und Lagerraum'!$U$113:$U$155)/12  -$GD76*$HE76/12</f>
        <v>0</v>
      </c>
      <c r="FD76" s="1184">
        <f>FC76+DC76+EC76                 -         SUMIF('Nährstoffe und Lagerraum'!$AX$113:$AX$155,$CZ76,'Nährstoffe und Lagerraum'!$U$113:$U$155)/12  -$GD76*$HE76/12</f>
        <v>0</v>
      </c>
      <c r="FE76" s="1184">
        <f>FD76+DD76+ED76                 -         SUMIF('Nährstoffe und Lagerraum'!$AX$113:$AX$155,$CZ76,'Nährstoffe und Lagerraum'!$U$113:$U$155)/12  -$GD76*$HE76/12</f>
        <v>0</v>
      </c>
      <c r="FF76" s="1184">
        <f>FE76+DE76+EE76                 -         SUMIF('Nährstoffe und Lagerraum'!$AX$113:$AX$155,$CZ76,'Nährstoffe und Lagerraum'!$U$113:$U$155)/12  -$GD76*$HE76/12</f>
        <v>0</v>
      </c>
      <c r="FG76" s="1184">
        <f>FF76+DF76+EF76                 -         SUMIF('Nährstoffe und Lagerraum'!$AX$113:$AX$155,$CZ76,'Nährstoffe und Lagerraum'!$U$113:$U$155)/12  -$GD76*$HE76/12</f>
        <v>0</v>
      </c>
      <c r="FH76" s="1184">
        <f>FG76+DG76+EG76                 -         SUMIF('Nährstoffe und Lagerraum'!$AX$113:$AX$155,$CZ76,'Nährstoffe und Lagerraum'!$U$113:$U$155)/12  -$GD76*$HE76/12</f>
        <v>0</v>
      </c>
      <c r="FI76" s="1184">
        <f>FH76+DH76+EH76                 -         SUMIF('Nährstoffe und Lagerraum'!$AX$113:$AX$155,$CZ76,'Nährstoffe und Lagerraum'!$U$113:$U$155)/12  -$GD76*$HE76/12</f>
        <v>0</v>
      </c>
      <c r="FJ76" s="1184">
        <f>FI76+DI76+EI76                 -         SUMIF('Nährstoffe und Lagerraum'!$AX$113:$AX$155,$CZ76,'Nährstoffe und Lagerraum'!$U$113:$U$155)/12  -$GD76*$HE76/12</f>
        <v>0</v>
      </c>
      <c r="FK76" s="1184">
        <f>FJ76+DJ76+EJ76                 -         SUMIF('Nährstoffe und Lagerraum'!$AX$113:$AX$155,$CZ76,'Nährstoffe und Lagerraum'!$U$113:$U$155)/12  -$GD76*$HE76/12</f>
        <v>0</v>
      </c>
      <c r="FL76" s="1184">
        <f>FK76+DK76+EK76                 -         SUMIF('Nährstoffe und Lagerraum'!$AX$113:$AX$155,$CZ76,'Nährstoffe und Lagerraum'!$U$113:$U$155)/12  -$GD76*$HE76/12</f>
        <v>0</v>
      </c>
      <c r="FM76" s="1184">
        <f>FL76+DL76+EL76                 -         SUMIF('Nährstoffe und Lagerraum'!$AX$113:$AX$155,$CZ76,'Nährstoffe und Lagerraum'!$U$113:$U$155)/12  -$GD76*$HE76/12</f>
        <v>0</v>
      </c>
      <c r="FN76" s="1184">
        <f>FM76+DM76+EM76                 -         SUMIF('Nährstoffe und Lagerraum'!$AX$113:$AX$155,$CZ76,'Nährstoffe und Lagerraum'!$U$113:$U$155)/12  -$GD76*$HE76/12</f>
        <v>0</v>
      </c>
      <c r="FO76" s="1184"/>
      <c r="FP76" s="1186">
        <f t="shared" si="183"/>
        <v>0</v>
      </c>
      <c r="FQ76" s="1184">
        <f>FP76+DO76+EO76                 -         SUMIF('Nährstoffe und Lagerraum'!$AX$113:$AX$155,$CZ76,'Nährstoffe und Lagerraum'!$V$113:$V$155)/12  -$GE76*$HE76/12</f>
        <v>0</v>
      </c>
      <c r="FR76" s="1184">
        <f>FQ76+DP76+EP76                 -         SUMIF('Nährstoffe und Lagerraum'!$AX$113:$AX$155,$CZ76,'Nährstoffe und Lagerraum'!$V$113:$V$155)/12  -$GE76*$HE76/12</f>
        <v>0</v>
      </c>
      <c r="FS76" s="1184">
        <f>FR76+DQ76+EQ76                 -         SUMIF('Nährstoffe und Lagerraum'!$AX$113:$AX$155,$CZ76,'Nährstoffe und Lagerraum'!$V$113:$V$155)/12  -$GE76*$HE76/12</f>
        <v>0</v>
      </c>
      <c r="FT76" s="1184">
        <f>FS76+DR76+ER76                 -         SUMIF('Nährstoffe und Lagerraum'!$AX$113:$AX$155,$CZ76,'Nährstoffe und Lagerraum'!$V$113:$V$155)/12  -$GE76*$HE76/12</f>
        <v>0</v>
      </c>
      <c r="FU76" s="1184">
        <f>FT76+DS76+ES76                 -         SUMIF('Nährstoffe und Lagerraum'!$AX$113:$AX$155,$CZ76,'Nährstoffe und Lagerraum'!$V$113:$V$155)/12  -$GE76*$HE76/12</f>
        <v>0</v>
      </c>
      <c r="FV76" s="1184">
        <f>FU76+DT76+ET76                 -         SUMIF('Nährstoffe und Lagerraum'!$AX$113:$AX$155,$CZ76,'Nährstoffe und Lagerraum'!$V$113:$V$155)/12  -$GE76*$HE76/12</f>
        <v>0</v>
      </c>
      <c r="FW76" s="1184">
        <f>FV76+DU76+EU76                 -         SUMIF('Nährstoffe und Lagerraum'!$AX$113:$AX$155,$CZ76,'Nährstoffe und Lagerraum'!$V$113:$V$155)/12  -$GE76*$HE76/12</f>
        <v>0</v>
      </c>
      <c r="FX76" s="1184">
        <f>FW76+DV76+EV76                 -         SUMIF('Nährstoffe und Lagerraum'!$AX$113:$AX$155,$CZ76,'Nährstoffe und Lagerraum'!$V$113:$V$155)/12  -$GE76*$HE76/12</f>
        <v>0</v>
      </c>
      <c r="FY76" s="1184">
        <f>FX76+DW76+EW76                 -         SUMIF('Nährstoffe und Lagerraum'!$AX$113:$AX$155,$CZ76,'Nährstoffe und Lagerraum'!$V$113:$V$155)/12  -$GE76*$HE76/12</f>
        <v>0</v>
      </c>
      <c r="FZ76" s="1184">
        <f>FY76+DX76+EX76                 -         SUMIF('Nährstoffe und Lagerraum'!$AX$113:$AX$155,$CZ76,'Nährstoffe und Lagerraum'!$V$113:$V$155)/12  -$GE76*$HE76/12</f>
        <v>0</v>
      </c>
      <c r="GA76" s="1184">
        <f>FZ76+DY76+EY76                 -         SUMIF('Nährstoffe und Lagerraum'!$AX$113:$AX$155,$CZ76,'Nährstoffe und Lagerraum'!$V$113:$V$155)/12  -$GE76*$HE76/12</f>
        <v>0</v>
      </c>
      <c r="GB76" s="1184">
        <f>GA76+DZ76+EZ76                 -         SUMIF('Nährstoffe und Lagerraum'!$AX$113:$AX$155,$CZ76,'Nährstoffe und Lagerraum'!$V$113:$V$155)/12  -$GE76*$HE76/12</f>
        <v>0</v>
      </c>
      <c r="GC76" s="1184"/>
      <c r="GD76" s="1184">
        <f>SUMIFS($CI$14:$CI$68,$BR$14:$BR$68,$CZ76)+SUMIFS($CM$14:$CM$68,$BR$14:$BR$68,$CZ76)+SUMIFS($CR$14:$CR$68,$BR$14:$BR$68,$CZ76)  -         SUMIF('Nährstoffe und Lagerraum'!$AX$113:$AX$155,$CZ76,'Nährstoffe und Lagerraum'!$U$113:$U$155)</f>
        <v>0</v>
      </c>
      <c r="GE76" s="1184">
        <f>SUMIFS($CJ$14:$CJ$68,$BR$14:$BR$68,$CZ76)+SUMIFS($CO$14:$CO$68,$BR$14:$BR$68,$CZ76)+SUMIFS($CT$14:$CT$68,$BR$14:$BR$68,$CZ76)  -         SUMIF('Nährstoffe und Lagerraum'!$AX$113:$AX$155,$CZ76,'Nährstoffe und Lagerraum'!$V$113:$V$155)</f>
        <v>0</v>
      </c>
      <c r="GF76" s="1184"/>
      <c r="GG76" s="1184"/>
      <c r="GH76" s="1184">
        <f>SUMIF('Nährstoffe und Lagerraum'!$AX$113:$AX$155,$CZ76,'Nährstoffe und Lagerraum'!$U$113:$U$155)</f>
        <v>0</v>
      </c>
      <c r="GI76" s="1184">
        <f>SUMIF('Nährstoffe und Lagerraum'!$AX$113:$AX$155,$CZ76,'Nährstoffe und Lagerraum'!$V$113:$V$155)</f>
        <v>0</v>
      </c>
      <c r="GJ76" s="1184">
        <f t="shared" si="184"/>
        <v>0</v>
      </c>
      <c r="GK76" s="1184">
        <f t="shared" si="185"/>
        <v>0</v>
      </c>
      <c r="GL76" s="1184">
        <f t="shared" si="186"/>
        <v>0</v>
      </c>
      <c r="GM76" s="1184">
        <f t="shared" si="187"/>
        <v>0</v>
      </c>
      <c r="GN76" s="1184">
        <f t="shared" si="188"/>
        <v>0</v>
      </c>
      <c r="GO76" s="1184" cm="1">
        <f t="array" ref="GO76">IF(GN76=0,0,(IFERROR(SUMPRODUCT($J$14:$J$68,$CH$14:$CH$68,($BR$14:$BR$68=CZ76)*1)+SUMPRODUCT($L$14:$L$68,$M$14:$M$68,$CK$14:$CK$68,($BR$14:$BR$68=CZ76)*1,($BT$14:$BT$68=FALSE)*1)/10+SUMPRODUCT($R$14:$R$68,$CP$14:$CP$68,($BR$14:$BR$68=CZ76)*1),0))/GN76)</f>
        <v>0</v>
      </c>
      <c r="GP76" s="1184">
        <f t="shared" si="189"/>
        <v>0</v>
      </c>
      <c r="GQ76" s="1184">
        <f>(SUMIF('Nährstoffe und Lagerraum'!$AX$113:$AX$130,'Lagerhaltung (freiwillig)'!CZ76,'Nährstoffe und Lagerraum'!$D$113:$D$130)+SUMIF('Nährstoffe und Lagerraum'!$AX$137:$AX$155,'Lagerhaltung (freiwillig)'!CZ76,'Nährstoffe und Lagerraum'!$E$137:$E$155))</f>
        <v>0</v>
      </c>
      <c r="GR76" s="1184" cm="1">
        <f t="array" ref="GR76">IF(GQ76=0,0,(IFERROR(SUMPRODUCT('Nährstoffe und Lagerraum'!$D$113:$D$130,'Nährstoffe und Lagerraum'!$F$113:$F$130,('Nährstoffe und Lagerraum'!$AX$113:$AX$130='Lagerhaltung (freiwillig)'!CZ76)*1)+SUMPRODUCT('Nährstoffe und Lagerraum'!$E$137:$E$155,'Nährstoffe und Lagerraum'!$F$137:$F$155,('Nährstoffe und Lagerraum'!$AX$137:$AX$155='Lagerhaltung (freiwillig)'!CZ76)*1),0))/GQ76)</f>
        <v>0</v>
      </c>
      <c r="GS76" s="1184">
        <f t="shared" si="190"/>
        <v>0</v>
      </c>
      <c r="GT76" s="1184">
        <f t="shared" si="191"/>
        <v>0</v>
      </c>
      <c r="GU76" s="1184">
        <f t="shared" si="192"/>
        <v>0</v>
      </c>
      <c r="GV76" s="1184">
        <f t="shared" si="193"/>
        <v>0</v>
      </c>
      <c r="GW76" s="1186" t="str">
        <f t="shared" si="177"/>
        <v xml:space="preserve"> </v>
      </c>
      <c r="GX76" s="1186" t="str">
        <f t="shared" si="177"/>
        <v xml:space="preserve"> </v>
      </c>
      <c r="GY76" s="1195">
        <f t="shared" si="194"/>
        <v>0</v>
      </c>
      <c r="GZ76" s="1184">
        <f t="shared" si="195"/>
        <v>0</v>
      </c>
      <c r="HA76" s="1184" t="str">
        <f t="shared" si="176"/>
        <v>a</v>
      </c>
      <c r="HB76" s="1196">
        <f t="shared" si="196"/>
        <v>0</v>
      </c>
      <c r="HC76" s="1196">
        <f t="shared" si="197"/>
        <v>0</v>
      </c>
      <c r="HD76" s="1196"/>
      <c r="HE76" s="1187">
        <f t="shared" si="198"/>
        <v>0</v>
      </c>
      <c r="HF76" s="1196">
        <f t="shared" si="199"/>
        <v>0</v>
      </c>
      <c r="HG76" s="1196">
        <f t="shared" si="200"/>
        <v>0</v>
      </c>
      <c r="HH76" s="1196">
        <f t="shared" si="201"/>
        <v>0</v>
      </c>
      <c r="HI76" s="1328" cm="1">
        <f t="array" ref="HI76">IF(AND(HG76=0,GL76=0),0,IF(HG76=0,1,IF(OR(GL76*1000/HG76/HH76&gt;INDEX(Pflanzen!$W$5:$W$104,CZ76)/INDEX(Pflanzen!$I$5:$I$104,CZ76)*$HI$1,GL76*1000/HG76/HH76&lt;INDEX(Pflanzen!$W$5:$W$104,CZ76)/INDEX(Pflanzen!$I$5:$I$104,CZ76)/$HI$1),1,0)))</f>
        <v>0</v>
      </c>
      <c r="HJ76" s="1328" cm="1">
        <f t="array" ref="HJ76">IF(AND(GM76=0,HG76=0),0,IF(HG76=0,1,IF(OR(GM76*1000/HG76/HH76&gt;INDEX(Pflanzen!$X$5:$X$104,CZ76)/INDEX(Pflanzen!$I$5:$I$104,CZ76)*$HI$1,GM76*1000/HG76/HH76&lt;INDEX(Pflanzen!$X$5:$X$104,CZ76)/INDEX(Pflanzen!$I$5:$I$104,CZ76)/$HI$1),1,0)))</f>
        <v>0</v>
      </c>
      <c r="HK76" s="1184">
        <f t="shared" si="202"/>
        <v>3</v>
      </c>
      <c r="HL76" s="1184"/>
      <c r="HN76" s="1184"/>
      <c r="HO76" s="1193" t="str">
        <f>Tiere!B102</f>
        <v>Alpaka</v>
      </c>
      <c r="HP76" s="1184">
        <v>73</v>
      </c>
      <c r="HQ76" s="1194">
        <f>SUMIF('Nährstoffe und Lagerraum'!$BM$68:$BM$87,'Lagerhaltung (freiwillig)'!HP76,'Nährstoffe und Lagerraum'!$Z$68:$Z$87)+SUMIF('Nährstoffe und Lagerraum'!$BM$68:$BM$87,'Lagerhaltung (freiwillig)'!HP76,'Nährstoffe und Lagerraum'!$AA$68:$AA$87)</f>
        <v>0</v>
      </c>
      <c r="HR76" s="1184" cm="1">
        <f t="array" ref="HR76">INDEX(Tiere!$C$30:$C$114,'Lagerhaltung (freiwillig)'!HP76)</f>
        <v>9</v>
      </c>
      <c r="HS76" s="1184" cm="1">
        <f t="array" ref="HS76">INDEX(Tiere!$H$30:$H$114,'Lagerhaltung (freiwillig)'!HP76)</f>
        <v>11.35</v>
      </c>
      <c r="HT76" s="1184">
        <f t="shared" si="171"/>
        <v>0</v>
      </c>
      <c r="HU76" s="1184" cm="1">
        <f t="array" ref="HU76">INDEX(Tiere!$I$30:$I$114,'Lagerhaltung (freiwillig)'!HP76)</f>
        <v>3.6</v>
      </c>
      <c r="HV76" s="1184">
        <f t="shared" si="172"/>
        <v>0</v>
      </c>
      <c r="HW76" s="1184" cm="1">
        <f t="array" ref="HW76">INDEX(Tiere!$BC$30:$BC$114,'Lagerhaltung (freiwillig)'!HP76)</f>
        <v>0.78</v>
      </c>
      <c r="HX76" s="1184">
        <f t="shared" si="173"/>
        <v>0</v>
      </c>
      <c r="HY76" s="1184" cm="1">
        <f t="array" ref="HY76">INDEX(Tiere!$BD$30:$BD$114,'Lagerhaltung (freiwillig)'!HP76)</f>
        <v>0.41100000000000003</v>
      </c>
      <c r="HZ76" s="1184">
        <f t="shared" si="174"/>
        <v>0</v>
      </c>
      <c r="IA76" s="1184"/>
      <c r="IB76" s="1184"/>
      <c r="IC76" s="1184"/>
      <c r="ID76" s="1184"/>
      <c r="IE76" s="1184"/>
      <c r="IF76" s="1184"/>
      <c r="IG76" s="1184"/>
      <c r="IH76" s="1184"/>
      <c r="II76" s="1184"/>
      <c r="IJ76" s="1184"/>
      <c r="IK76" s="1184"/>
      <c r="IL76" s="1184"/>
    </row>
    <row r="77" spans="1:246" ht="15.6" customHeight="1" x14ac:dyDescent="0.2">
      <c r="A77" s="1182"/>
      <c r="B77" s="1183"/>
      <c r="C77" s="3023"/>
      <c r="D77" s="3021"/>
      <c r="E77" s="3022"/>
      <c r="F77" s="1477" cm="1">
        <f t="array" ref="F77">INDEX(Pflanzen!$I$117:$I$154,BR77)</f>
        <v>0</v>
      </c>
      <c r="G77" s="2184" cm="1">
        <f t="array" ref="G77">INDEX(Pflanzen!$W$117:$W$154,BR77)</f>
        <v>0</v>
      </c>
      <c r="H77" s="1478" cm="1">
        <f t="array" ref="H77">INDEX(Pflanzen!$X$117:$X$154,BR77)</f>
        <v>0</v>
      </c>
      <c r="I77" s="1122"/>
      <c r="J77" s="1487"/>
      <c r="K77" s="1113"/>
      <c r="L77" s="1114"/>
      <c r="M77" s="1114"/>
      <c r="N77" s="1115"/>
      <c r="O77" s="1115"/>
      <c r="P77" s="1116"/>
      <c r="Q77" s="2185"/>
      <c r="R77" s="1491"/>
      <c r="S77" s="2185"/>
      <c r="T77" s="1487"/>
      <c r="U77" s="725"/>
      <c r="V77" s="1346" t="str">
        <f t="shared" si="203"/>
        <v/>
      </c>
      <c r="Y77" s="1981"/>
      <c r="Z77" s="1982"/>
      <c r="AA77" s="1982"/>
      <c r="AB77" s="1982"/>
      <c r="AC77" s="1983"/>
      <c r="AD77" s="1983"/>
      <c r="AE77" s="1983"/>
      <c r="AF77" s="1983"/>
      <c r="AG77" s="1983"/>
      <c r="AH77" s="1983"/>
      <c r="AI77" s="1983"/>
      <c r="AJ77" s="1983"/>
      <c r="AK77" s="1983"/>
      <c r="AL77" s="1984"/>
      <c r="AM77" s="1983"/>
      <c r="AN77" s="1983"/>
      <c r="AO77" s="1983"/>
      <c r="AP77" s="1983"/>
      <c r="AQ77" s="1983"/>
      <c r="AR77" s="1983"/>
      <c r="AS77" s="1983"/>
      <c r="AT77" s="1983"/>
      <c r="AU77" s="1983"/>
      <c r="AV77" s="1983"/>
      <c r="AW77" s="1985"/>
      <c r="AX77" s="1985"/>
      <c r="AY77" s="1985"/>
      <c r="AZ77" s="1985"/>
      <c r="BA77" s="1462"/>
      <c r="BB77" s="1462"/>
      <c r="BC77" s="1462"/>
      <c r="BD77" s="1461"/>
      <c r="BE77" s="1462"/>
      <c r="BF77" s="1343"/>
      <c r="BG77" s="1343"/>
      <c r="BH77" s="1343"/>
      <c r="BI77" s="1343"/>
      <c r="BJ77" s="1343"/>
      <c r="BK77" s="1343"/>
      <c r="BL77" s="1343"/>
      <c r="BM77" s="1343"/>
      <c r="BN77" s="1343"/>
      <c r="BO77" s="1343"/>
      <c r="BQ77" s="1184"/>
      <c r="BR77" s="1184">
        <v>1</v>
      </c>
      <c r="BS77" s="1184"/>
      <c r="BT77" s="1184"/>
      <c r="BU77" s="1185"/>
      <c r="BV77" s="1185"/>
      <c r="BW77" s="1184">
        <f t="shared" si="178"/>
        <v>12</v>
      </c>
      <c r="BX77" s="1184">
        <f t="shared" si="179"/>
        <v>0</v>
      </c>
      <c r="BY77" s="1184">
        <f t="shared" si="180"/>
        <v>12</v>
      </c>
      <c r="BZ77" s="1184"/>
      <c r="CA77" s="1194"/>
      <c r="CB77" s="1194"/>
      <c r="CC77" s="1184"/>
      <c r="CD77" s="1184"/>
      <c r="CE77" s="1184"/>
      <c r="CF77" s="1184"/>
      <c r="CG77" s="1184"/>
      <c r="CH77" s="1184">
        <f>IF(I77&gt;0,I77,F77)</f>
        <v>0</v>
      </c>
      <c r="CI77" s="1184">
        <f t="shared" si="204"/>
        <v>0</v>
      </c>
      <c r="CJ77" s="1184">
        <f t="shared" si="205"/>
        <v>0</v>
      </c>
      <c r="CK77" s="1184"/>
      <c r="CL77" s="1184"/>
      <c r="CM77" s="1184"/>
      <c r="CN77" s="1184"/>
      <c r="CO77" s="1184"/>
      <c r="CP77" s="1184">
        <f>IF(Q77&gt;0,Q77,F77)</f>
        <v>0</v>
      </c>
      <c r="CQ77" s="1184">
        <f>IF(Q77&gt;0,R77*G77*Q77/F77/BW77/1000,R77*G77/BW77/1000)</f>
        <v>0</v>
      </c>
      <c r="CR77" s="1184">
        <f>IF(Q77&gt;0,R77*G77*Q77/F77/1000,R77*G77/1000)</f>
        <v>0</v>
      </c>
      <c r="CS77" s="1184">
        <f>IF(Q77&gt;0,R77*H77*Q77/F77/BW77/1000,R77*H77/BW77/1000)</f>
        <v>0</v>
      </c>
      <c r="CT77" s="1184">
        <f>IF(Q77&gt;0,R77*H77*Q77/F77/1000,R77*H77/1000)</f>
        <v>0</v>
      </c>
      <c r="CU77" s="1184">
        <f t="shared" si="206"/>
        <v>2</v>
      </c>
      <c r="CV77" s="1184">
        <f t="shared" si="181"/>
        <v>0</v>
      </c>
      <c r="CW77" s="1186">
        <f t="shared" si="207"/>
        <v>0</v>
      </c>
      <c r="CX77" s="1184"/>
      <c r="CY77" s="320" t="str">
        <f>Pflanzen!A73</f>
        <v>Streuwiese</v>
      </c>
      <c r="CZ77" s="1200">
        <f>IFERROR(MATCH($CY77,Pflanzen!$C$5:$C$114,0),1)</f>
        <v>69</v>
      </c>
      <c r="DA77" s="320" cm="1">
        <f t="array" ref="DA77">INDEX(Pflanzen!$H$5:$H$114,'Lagerhaltung (freiwillig)'!CZ77)</f>
        <v>0</v>
      </c>
      <c r="DB77" s="1200">
        <f t="shared" si="167"/>
        <v>0</v>
      </c>
      <c r="DC77" s="1200">
        <f t="shared" si="167"/>
        <v>0</v>
      </c>
      <c r="DD77" s="1200">
        <f t="shared" si="167"/>
        <v>0</v>
      </c>
      <c r="DE77" s="1200">
        <f t="shared" si="167"/>
        <v>0</v>
      </c>
      <c r="DF77" s="1200">
        <f t="shared" si="167"/>
        <v>0</v>
      </c>
      <c r="DG77" s="1184">
        <f t="shared" si="167"/>
        <v>0</v>
      </c>
      <c r="DH77" s="1184">
        <f t="shared" si="167"/>
        <v>0</v>
      </c>
      <c r="DI77" s="1184">
        <f t="shared" si="167"/>
        <v>0</v>
      </c>
      <c r="DJ77" s="1184">
        <f t="shared" si="167"/>
        <v>0</v>
      </c>
      <c r="DK77" s="1184">
        <f t="shared" si="167"/>
        <v>0</v>
      </c>
      <c r="DL77" s="1184">
        <f t="shared" si="167"/>
        <v>0</v>
      </c>
      <c r="DM77" s="1184">
        <f t="shared" si="167"/>
        <v>0</v>
      </c>
      <c r="DN77" s="1184"/>
      <c r="DO77" s="1184">
        <f t="shared" si="168"/>
        <v>0</v>
      </c>
      <c r="DP77" s="1184">
        <f t="shared" si="168"/>
        <v>0</v>
      </c>
      <c r="DQ77" s="1184">
        <f t="shared" si="168"/>
        <v>0</v>
      </c>
      <c r="DR77" s="1184">
        <f t="shared" si="168"/>
        <v>0</v>
      </c>
      <c r="DS77" s="1184">
        <f t="shared" si="168"/>
        <v>0</v>
      </c>
      <c r="DT77" s="1184">
        <f t="shared" si="168"/>
        <v>0</v>
      </c>
      <c r="DU77" s="1184">
        <f t="shared" si="168"/>
        <v>0</v>
      </c>
      <c r="DV77" s="1184">
        <f t="shared" si="168"/>
        <v>0</v>
      </c>
      <c r="DW77" s="1184">
        <f t="shared" si="168"/>
        <v>0</v>
      </c>
      <c r="DX77" s="1184">
        <f t="shared" si="168"/>
        <v>0</v>
      </c>
      <c r="DY77" s="1184">
        <f t="shared" si="168"/>
        <v>0</v>
      </c>
      <c r="DZ77" s="1184">
        <f t="shared" si="168"/>
        <v>0</v>
      </c>
      <c r="EA77" s="1184"/>
      <c r="EB77" s="1184">
        <f t="shared" si="169"/>
        <v>0</v>
      </c>
      <c r="EC77" s="1184">
        <f t="shared" si="169"/>
        <v>0</v>
      </c>
      <c r="ED77" s="1184">
        <f t="shared" si="169"/>
        <v>0</v>
      </c>
      <c r="EE77" s="1184">
        <f t="shared" si="169"/>
        <v>0</v>
      </c>
      <c r="EF77" s="1184">
        <f t="shared" si="169"/>
        <v>0</v>
      </c>
      <c r="EG77" s="1184">
        <f t="shared" si="169"/>
        <v>0</v>
      </c>
      <c r="EH77" s="1184">
        <f t="shared" si="169"/>
        <v>0</v>
      </c>
      <c r="EI77" s="1184">
        <f t="shared" si="169"/>
        <v>0</v>
      </c>
      <c r="EJ77" s="1184">
        <f t="shared" si="169"/>
        <v>0</v>
      </c>
      <c r="EK77" s="1184">
        <f t="shared" si="169"/>
        <v>0</v>
      </c>
      <c r="EL77" s="1184">
        <f t="shared" si="169"/>
        <v>0</v>
      </c>
      <c r="EM77" s="1184">
        <f t="shared" si="169"/>
        <v>0</v>
      </c>
      <c r="EN77" s="1184"/>
      <c r="EO77" s="1184">
        <f t="shared" si="170"/>
        <v>0</v>
      </c>
      <c r="EP77" s="1184">
        <f t="shared" si="170"/>
        <v>0</v>
      </c>
      <c r="EQ77" s="1184">
        <f t="shared" si="170"/>
        <v>0</v>
      </c>
      <c r="ER77" s="1184">
        <f t="shared" si="170"/>
        <v>0</v>
      </c>
      <c r="ES77" s="1184">
        <f t="shared" si="170"/>
        <v>0</v>
      </c>
      <c r="ET77" s="1184">
        <f t="shared" si="170"/>
        <v>0</v>
      </c>
      <c r="EU77" s="1184">
        <f t="shared" si="170"/>
        <v>0</v>
      </c>
      <c r="EV77" s="1184">
        <f t="shared" si="170"/>
        <v>0</v>
      </c>
      <c r="EW77" s="1184">
        <f t="shared" si="170"/>
        <v>0</v>
      </c>
      <c r="EX77" s="1184">
        <f t="shared" si="170"/>
        <v>0</v>
      </c>
      <c r="EY77" s="1184">
        <f t="shared" si="170"/>
        <v>0</v>
      </c>
      <c r="EZ77" s="1184">
        <f t="shared" si="170"/>
        <v>0</v>
      </c>
      <c r="FA77" s="1184"/>
      <c r="FB77" s="1186">
        <f t="shared" si="182"/>
        <v>0</v>
      </c>
      <c r="FC77" s="1184">
        <f>FB77+DB77+EB77                 -         SUMIF('Nährstoffe und Lagerraum'!$AX$113:$AX$155,$CZ77,'Nährstoffe und Lagerraum'!$U$113:$U$155)/12  -$GD77*$HE77/12</f>
        <v>0</v>
      </c>
      <c r="FD77" s="1184">
        <f>FC77+DC77+EC77                 -         SUMIF('Nährstoffe und Lagerraum'!$AX$113:$AX$155,$CZ77,'Nährstoffe und Lagerraum'!$U$113:$U$155)/12  -$GD77*$HE77/12</f>
        <v>0</v>
      </c>
      <c r="FE77" s="1184">
        <f>FD77+DD77+ED77                 -         SUMIF('Nährstoffe und Lagerraum'!$AX$113:$AX$155,$CZ77,'Nährstoffe und Lagerraum'!$U$113:$U$155)/12  -$GD77*$HE77/12</f>
        <v>0</v>
      </c>
      <c r="FF77" s="1184">
        <f>FE77+DE77+EE77                 -         SUMIF('Nährstoffe und Lagerraum'!$AX$113:$AX$155,$CZ77,'Nährstoffe und Lagerraum'!$U$113:$U$155)/12  -$GD77*$HE77/12</f>
        <v>0</v>
      </c>
      <c r="FG77" s="1184">
        <f>FF77+DF77+EF77                 -         SUMIF('Nährstoffe und Lagerraum'!$AX$113:$AX$155,$CZ77,'Nährstoffe und Lagerraum'!$U$113:$U$155)/12  -$GD77*$HE77/12</f>
        <v>0</v>
      </c>
      <c r="FH77" s="1184">
        <f>FG77+DG77+EG77                 -         SUMIF('Nährstoffe und Lagerraum'!$AX$113:$AX$155,$CZ77,'Nährstoffe und Lagerraum'!$U$113:$U$155)/12  -$GD77*$HE77/12</f>
        <v>0</v>
      </c>
      <c r="FI77" s="1184">
        <f>FH77+DH77+EH77                 -         SUMIF('Nährstoffe und Lagerraum'!$AX$113:$AX$155,$CZ77,'Nährstoffe und Lagerraum'!$U$113:$U$155)/12  -$GD77*$HE77/12</f>
        <v>0</v>
      </c>
      <c r="FJ77" s="1184">
        <f>FI77+DI77+EI77                 -         SUMIF('Nährstoffe und Lagerraum'!$AX$113:$AX$155,$CZ77,'Nährstoffe und Lagerraum'!$U$113:$U$155)/12  -$GD77*$HE77/12</f>
        <v>0</v>
      </c>
      <c r="FK77" s="1184">
        <f>FJ77+DJ77+EJ77                 -         SUMIF('Nährstoffe und Lagerraum'!$AX$113:$AX$155,$CZ77,'Nährstoffe und Lagerraum'!$U$113:$U$155)/12  -$GD77*$HE77/12</f>
        <v>0</v>
      </c>
      <c r="FL77" s="1184">
        <f>FK77+DK77+EK77                 -         SUMIF('Nährstoffe und Lagerraum'!$AX$113:$AX$155,$CZ77,'Nährstoffe und Lagerraum'!$U$113:$U$155)/12  -$GD77*$HE77/12</f>
        <v>0</v>
      </c>
      <c r="FM77" s="1184">
        <f>FL77+DL77+EL77                 -         SUMIF('Nährstoffe und Lagerraum'!$AX$113:$AX$155,$CZ77,'Nährstoffe und Lagerraum'!$U$113:$U$155)/12  -$GD77*$HE77/12</f>
        <v>0</v>
      </c>
      <c r="FN77" s="1184">
        <f>FM77+DM77+EM77                 -         SUMIF('Nährstoffe und Lagerraum'!$AX$113:$AX$155,$CZ77,'Nährstoffe und Lagerraum'!$U$113:$U$155)/12  -$GD77*$HE77/12</f>
        <v>0</v>
      </c>
      <c r="FO77" s="1184"/>
      <c r="FP77" s="1186">
        <f t="shared" si="183"/>
        <v>0</v>
      </c>
      <c r="FQ77" s="1184">
        <f>FP77+DO77+EO77                 -         SUMIF('Nährstoffe und Lagerraum'!$AX$113:$AX$155,$CZ77,'Nährstoffe und Lagerraum'!$V$113:$V$155)/12  -$GE77*$HE77/12</f>
        <v>0</v>
      </c>
      <c r="FR77" s="1184">
        <f>FQ77+DP77+EP77                 -         SUMIF('Nährstoffe und Lagerraum'!$AX$113:$AX$155,$CZ77,'Nährstoffe und Lagerraum'!$V$113:$V$155)/12  -$GE77*$HE77/12</f>
        <v>0</v>
      </c>
      <c r="FS77" s="1184">
        <f>FR77+DQ77+EQ77                 -         SUMIF('Nährstoffe und Lagerraum'!$AX$113:$AX$155,$CZ77,'Nährstoffe und Lagerraum'!$V$113:$V$155)/12  -$GE77*$HE77/12</f>
        <v>0</v>
      </c>
      <c r="FT77" s="1184">
        <f>FS77+DR77+ER77                 -         SUMIF('Nährstoffe und Lagerraum'!$AX$113:$AX$155,$CZ77,'Nährstoffe und Lagerraum'!$V$113:$V$155)/12  -$GE77*$HE77/12</f>
        <v>0</v>
      </c>
      <c r="FU77" s="1184">
        <f>FT77+DS77+ES77                 -         SUMIF('Nährstoffe und Lagerraum'!$AX$113:$AX$155,$CZ77,'Nährstoffe und Lagerraum'!$V$113:$V$155)/12  -$GE77*$HE77/12</f>
        <v>0</v>
      </c>
      <c r="FV77" s="1184">
        <f>FU77+DT77+ET77                 -         SUMIF('Nährstoffe und Lagerraum'!$AX$113:$AX$155,$CZ77,'Nährstoffe und Lagerraum'!$V$113:$V$155)/12  -$GE77*$HE77/12</f>
        <v>0</v>
      </c>
      <c r="FW77" s="1184">
        <f>FV77+DU77+EU77                 -         SUMIF('Nährstoffe und Lagerraum'!$AX$113:$AX$155,$CZ77,'Nährstoffe und Lagerraum'!$V$113:$V$155)/12  -$GE77*$HE77/12</f>
        <v>0</v>
      </c>
      <c r="FX77" s="1184">
        <f>FW77+DV77+EV77                 -         SUMIF('Nährstoffe und Lagerraum'!$AX$113:$AX$155,$CZ77,'Nährstoffe und Lagerraum'!$V$113:$V$155)/12  -$GE77*$HE77/12</f>
        <v>0</v>
      </c>
      <c r="FY77" s="1184">
        <f>FX77+DW77+EW77                 -         SUMIF('Nährstoffe und Lagerraum'!$AX$113:$AX$155,$CZ77,'Nährstoffe und Lagerraum'!$V$113:$V$155)/12  -$GE77*$HE77/12</f>
        <v>0</v>
      </c>
      <c r="FZ77" s="1184">
        <f>FY77+DX77+EX77                 -         SUMIF('Nährstoffe und Lagerraum'!$AX$113:$AX$155,$CZ77,'Nährstoffe und Lagerraum'!$V$113:$V$155)/12  -$GE77*$HE77/12</f>
        <v>0</v>
      </c>
      <c r="GA77" s="1184">
        <f>FZ77+DY77+EY77                 -         SUMIF('Nährstoffe und Lagerraum'!$AX$113:$AX$155,$CZ77,'Nährstoffe und Lagerraum'!$V$113:$V$155)/12  -$GE77*$HE77/12</f>
        <v>0</v>
      </c>
      <c r="GB77" s="1184">
        <f>GA77+DZ77+EZ77                 -         SUMIF('Nährstoffe und Lagerraum'!$AX$113:$AX$155,$CZ77,'Nährstoffe und Lagerraum'!$V$113:$V$155)/12  -$GE77*$HE77/12</f>
        <v>0</v>
      </c>
      <c r="GC77" s="1184"/>
      <c r="GD77" s="1184">
        <f>SUMIFS($CI$14:$CI$68,$BR$14:$BR$68,$CZ77)+SUMIFS($CM$14:$CM$68,$BR$14:$BR$68,$CZ77)+SUMIFS($CR$14:$CR$68,$BR$14:$BR$68,$CZ77)  -         SUMIF('Nährstoffe und Lagerraum'!$AX$113:$AX$155,$CZ77,'Nährstoffe und Lagerraum'!$U$113:$U$155)</f>
        <v>0</v>
      </c>
      <c r="GE77" s="1184">
        <f>SUMIFS($CJ$14:$CJ$68,$BR$14:$BR$68,$CZ77)+SUMIFS($CO$14:$CO$68,$BR$14:$BR$68,$CZ77)+SUMIFS($CT$14:$CT$68,$BR$14:$BR$68,$CZ77)  -         SUMIF('Nährstoffe und Lagerraum'!$AX$113:$AX$155,$CZ77,'Nährstoffe und Lagerraum'!$V$113:$V$155)</f>
        <v>0</v>
      </c>
      <c r="GF77" s="1184"/>
      <c r="GG77" s="1184"/>
      <c r="GH77" s="1184">
        <f>SUMIF('Nährstoffe und Lagerraum'!$AX$113:$AX$155,$CZ77,'Nährstoffe und Lagerraum'!$U$113:$U$155)</f>
        <v>0</v>
      </c>
      <c r="GI77" s="1184">
        <f>SUMIF('Nährstoffe und Lagerraum'!$AX$113:$AX$155,$CZ77,'Nährstoffe und Lagerraum'!$V$113:$V$155)</f>
        <v>0</v>
      </c>
      <c r="GJ77" s="1184">
        <f t="shared" si="184"/>
        <v>0</v>
      </c>
      <c r="GK77" s="1184">
        <f t="shared" si="185"/>
        <v>0</v>
      </c>
      <c r="GL77" s="1184">
        <f t="shared" si="186"/>
        <v>0</v>
      </c>
      <c r="GM77" s="1184">
        <f t="shared" si="187"/>
        <v>0</v>
      </c>
      <c r="GN77" s="1184">
        <f t="shared" si="188"/>
        <v>0</v>
      </c>
      <c r="GO77" s="1184" cm="1">
        <f t="array" ref="GO77">IF(GN77=0,0,(IFERROR(SUMPRODUCT($J$14:$J$68,$CH$14:$CH$68,($BR$14:$BR$68=CZ77)*1)+SUMPRODUCT($L$14:$L$68,$M$14:$M$68,$CK$14:$CK$68,($BR$14:$BR$68=CZ77)*1,($BT$14:$BT$68=FALSE)*1)/10+SUMPRODUCT($R$14:$R$68,$CP$14:$CP$68,($BR$14:$BR$68=CZ77)*1),0))/GN77)</f>
        <v>0</v>
      </c>
      <c r="GP77" s="1184">
        <f t="shared" si="189"/>
        <v>0</v>
      </c>
      <c r="GQ77" s="1184">
        <f>(SUMIF('Nährstoffe und Lagerraum'!$AX$113:$AX$130,'Lagerhaltung (freiwillig)'!CZ77,'Nährstoffe und Lagerraum'!$D$113:$D$130)+SUMIF('Nährstoffe und Lagerraum'!$AX$137:$AX$155,'Lagerhaltung (freiwillig)'!CZ77,'Nährstoffe und Lagerraum'!$E$137:$E$155))</f>
        <v>0</v>
      </c>
      <c r="GR77" s="1184" cm="1">
        <f t="array" ref="GR77">IF(GQ77=0,0,(IFERROR(SUMPRODUCT('Nährstoffe und Lagerraum'!$D$113:$D$130,'Nährstoffe und Lagerraum'!$F$113:$F$130,('Nährstoffe und Lagerraum'!$AX$113:$AX$130='Lagerhaltung (freiwillig)'!CZ77)*1)+SUMPRODUCT('Nährstoffe und Lagerraum'!$E$137:$E$155,'Nährstoffe und Lagerraum'!$F$137:$F$155,('Nährstoffe und Lagerraum'!$AX$137:$AX$155='Lagerhaltung (freiwillig)'!CZ77)*1),0))/GQ77)</f>
        <v>0</v>
      </c>
      <c r="GS77" s="1184">
        <f t="shared" si="190"/>
        <v>0</v>
      </c>
      <c r="GT77" s="1184">
        <f t="shared" si="191"/>
        <v>0</v>
      </c>
      <c r="GU77" s="1184">
        <f t="shared" si="192"/>
        <v>0</v>
      </c>
      <c r="GV77" s="1184">
        <f t="shared" si="193"/>
        <v>0</v>
      </c>
      <c r="GW77" s="1186" t="str">
        <f t="shared" si="177"/>
        <v xml:space="preserve"> </v>
      </c>
      <c r="GX77" s="1186" t="str">
        <f t="shared" si="177"/>
        <v xml:space="preserve"> </v>
      </c>
      <c r="GY77" s="1195">
        <f t="shared" si="194"/>
        <v>0</v>
      </c>
      <c r="GZ77" s="1184">
        <f t="shared" si="195"/>
        <v>0</v>
      </c>
      <c r="HA77" s="1184" t="str">
        <f t="shared" si="176"/>
        <v>a</v>
      </c>
      <c r="HB77" s="1196">
        <f t="shared" si="196"/>
        <v>0</v>
      </c>
      <c r="HC77" s="1196">
        <f t="shared" si="197"/>
        <v>0</v>
      </c>
      <c r="HD77" s="1196"/>
      <c r="HE77" s="1187">
        <f t="shared" si="198"/>
        <v>0</v>
      </c>
      <c r="HF77" s="1196">
        <f t="shared" si="199"/>
        <v>0</v>
      </c>
      <c r="HG77" s="1196">
        <f t="shared" si="200"/>
        <v>0</v>
      </c>
      <c r="HH77" s="1196">
        <f t="shared" si="201"/>
        <v>0</v>
      </c>
      <c r="HI77" s="1328" cm="1">
        <f t="array" ref="HI77">IF(AND(HG77=0,GL77=0),0,IF(HG77=0,1,IF(OR(GL77*1000/HG77/HH77&gt;INDEX(Pflanzen!$W$5:$W$104,CZ77)/INDEX(Pflanzen!$I$5:$I$104,CZ77)*$HI$1,GL77*1000/HG77/HH77&lt;INDEX(Pflanzen!$W$5:$W$104,CZ77)/INDEX(Pflanzen!$I$5:$I$104,CZ77)/$HI$1),1,0)))</f>
        <v>0</v>
      </c>
      <c r="HJ77" s="1328" cm="1">
        <f t="array" ref="HJ77">IF(AND(GM77=0,HG77=0),0,IF(HG77=0,1,IF(OR(GM77*1000/HG77/HH77&gt;INDEX(Pflanzen!$X$5:$X$104,CZ77)/INDEX(Pflanzen!$I$5:$I$104,CZ77)*$HI$1,GM77*1000/HG77/HH77&lt;INDEX(Pflanzen!$X$5:$X$104,CZ77)/INDEX(Pflanzen!$I$5:$I$104,CZ77)/$HI$1),1,0)))</f>
        <v>0</v>
      </c>
      <c r="HK77" s="1184">
        <f t="shared" si="202"/>
        <v>3</v>
      </c>
      <c r="HL77" s="1184"/>
      <c r="HN77" s="1184"/>
      <c r="HO77" s="1193" t="str">
        <f>Tiere!B103</f>
        <v>--</v>
      </c>
      <c r="HP77" s="1184">
        <v>74</v>
      </c>
      <c r="HQ77" s="1194">
        <f>SUMIF('Nährstoffe und Lagerraum'!$BM$68:$BM$87,'Lagerhaltung (freiwillig)'!HP77,'Nährstoffe und Lagerraum'!$Z$68:$Z$87)+SUMIF('Nährstoffe und Lagerraum'!$BM$68:$BM$87,'Lagerhaltung (freiwillig)'!HP77,'Nährstoffe und Lagerraum'!$AA$68:$AA$87)</f>
        <v>0</v>
      </c>
      <c r="HR77" s="1184" cm="1">
        <f t="array" ref="HR77">INDEX(Tiere!$C$30:$C$114,'Lagerhaltung (freiwillig)'!HP77)</f>
        <v>2</v>
      </c>
      <c r="HS77" s="1184" cm="1">
        <f t="array" ref="HS77">INDEX(Tiere!$H$30:$H$114,'Lagerhaltung (freiwillig)'!HP77)</f>
        <v>0</v>
      </c>
      <c r="HT77" s="1184">
        <f t="shared" si="171"/>
        <v>0</v>
      </c>
      <c r="HU77" s="1184" cm="1">
        <f t="array" ref="HU77">INDEX(Tiere!$I$30:$I$114,'Lagerhaltung (freiwillig)'!HP77)</f>
        <v>0</v>
      </c>
      <c r="HV77" s="1184">
        <f t="shared" si="172"/>
        <v>0</v>
      </c>
      <c r="HW77" s="1184" cm="1">
        <f t="array" ref="HW77">INDEX(Tiere!$BC$30:$BC$114,'Lagerhaltung (freiwillig)'!HP77)</f>
        <v>0</v>
      </c>
      <c r="HX77" s="1184">
        <f t="shared" si="173"/>
        <v>0</v>
      </c>
      <c r="HY77" s="1184" cm="1">
        <f t="array" ref="HY77">INDEX(Tiere!$BD$30:$BD$114,'Lagerhaltung (freiwillig)'!HP77)</f>
        <v>0</v>
      </c>
      <c r="HZ77" s="1184">
        <f t="shared" si="174"/>
        <v>0</v>
      </c>
      <c r="IA77" s="1184"/>
      <c r="IB77" s="1184"/>
      <c r="IC77" s="1184"/>
      <c r="ID77" s="1184"/>
      <c r="IE77" s="1184"/>
      <c r="IF77" s="1184"/>
      <c r="IG77" s="1184"/>
      <c r="IH77" s="1184"/>
      <c r="II77" s="1184"/>
      <c r="IJ77" s="1184"/>
      <c r="IK77" s="1184"/>
      <c r="IL77" s="1184"/>
    </row>
    <row r="78" spans="1:246" ht="15.6" customHeight="1" x14ac:dyDescent="0.2">
      <c r="A78" s="1182"/>
      <c r="B78" s="1183"/>
      <c r="C78" s="3023"/>
      <c r="D78" s="3021"/>
      <c r="E78" s="3022"/>
      <c r="F78" s="1477" cm="1">
        <f t="array" ref="F78">INDEX(Pflanzen!$I$117:$I$154,BR78)</f>
        <v>0</v>
      </c>
      <c r="G78" s="2184" cm="1">
        <f t="array" ref="G78">INDEX(Pflanzen!$W$117:$W$154,BR78)</f>
        <v>0</v>
      </c>
      <c r="H78" s="2184" cm="1">
        <f t="array" ref="H78">INDEX(Pflanzen!$X$117:$X$154,BR78)</f>
        <v>0</v>
      </c>
      <c r="I78" s="1122"/>
      <c r="J78" s="1487"/>
      <c r="K78" s="1113"/>
      <c r="L78" s="1114"/>
      <c r="M78" s="1114"/>
      <c r="N78" s="1115"/>
      <c r="O78" s="1115"/>
      <c r="P78" s="1116"/>
      <c r="Q78" s="2185"/>
      <c r="R78" s="1491"/>
      <c r="S78" s="2185"/>
      <c r="T78" s="1487"/>
      <c r="U78" s="725"/>
      <c r="V78" s="1346" t="str">
        <f t="shared" si="203"/>
        <v/>
      </c>
      <c r="Y78" s="1981"/>
      <c r="Z78" s="1982"/>
      <c r="AA78" s="1982"/>
      <c r="AB78" s="1982"/>
      <c r="AC78" s="1983"/>
      <c r="AD78" s="1983"/>
      <c r="AE78" s="1983"/>
      <c r="AF78" s="1983"/>
      <c r="AG78" s="1983"/>
      <c r="AH78" s="1983"/>
      <c r="AI78" s="1983"/>
      <c r="AJ78" s="1983"/>
      <c r="AK78" s="1983"/>
      <c r="AL78" s="1984"/>
      <c r="AM78" s="1983"/>
      <c r="AN78" s="1983"/>
      <c r="AO78" s="1983"/>
      <c r="AP78" s="1983"/>
      <c r="AQ78" s="1983"/>
      <c r="AR78" s="1983"/>
      <c r="AS78" s="1983"/>
      <c r="AT78" s="1983"/>
      <c r="AU78" s="1983"/>
      <c r="AV78" s="1983"/>
      <c r="AW78" s="1985"/>
      <c r="AX78" s="1985"/>
      <c r="AY78" s="1985"/>
      <c r="AZ78" s="1985"/>
      <c r="BA78" s="1462"/>
      <c r="BB78" s="1462"/>
      <c r="BC78" s="1462"/>
      <c r="BD78" s="1461"/>
      <c r="BE78" s="1462"/>
      <c r="BF78" s="1343"/>
      <c r="BG78" s="1343"/>
      <c r="BH78" s="1343"/>
      <c r="BI78" s="1343"/>
      <c r="BJ78" s="1343"/>
      <c r="BK78" s="1343"/>
      <c r="BL78" s="1343"/>
      <c r="BM78" s="1343"/>
      <c r="BN78" s="1343"/>
      <c r="BO78" s="1343"/>
      <c r="BQ78" s="1184"/>
      <c r="BR78" s="1184">
        <v>1</v>
      </c>
      <c r="BS78" s="1184"/>
      <c r="BT78" s="1184"/>
      <c r="BU78" s="1185"/>
      <c r="BV78" s="1185"/>
      <c r="BW78" s="1184">
        <f t="shared" si="178"/>
        <v>12</v>
      </c>
      <c r="BX78" s="1184">
        <f t="shared" si="179"/>
        <v>0</v>
      </c>
      <c r="BY78" s="1184">
        <f t="shared" si="180"/>
        <v>12</v>
      </c>
      <c r="BZ78" s="1184"/>
      <c r="CA78" s="1194"/>
      <c r="CB78" s="1194"/>
      <c r="CC78" s="1184"/>
      <c r="CD78" s="1184"/>
      <c r="CE78" s="1184"/>
      <c r="CF78" s="1184"/>
      <c r="CG78" s="1184"/>
      <c r="CH78" s="1184">
        <f>IF(I78&gt;0,I78,F78)</f>
        <v>0</v>
      </c>
      <c r="CI78" s="1184">
        <f t="shared" si="204"/>
        <v>0</v>
      </c>
      <c r="CJ78" s="1184">
        <f t="shared" si="205"/>
        <v>0</v>
      </c>
      <c r="CK78" s="1184"/>
      <c r="CL78" s="1184"/>
      <c r="CM78" s="1184"/>
      <c r="CN78" s="1184"/>
      <c r="CO78" s="1184"/>
      <c r="CP78" s="1184">
        <f>IF(Q78&gt;0,Q78,F78)</f>
        <v>0</v>
      </c>
      <c r="CQ78" s="1184">
        <f>IF(Q78&gt;0,R78*G78*Q78/F78/BW78/1000,R78*G78/BW78/1000)</f>
        <v>0</v>
      </c>
      <c r="CR78" s="1184">
        <f>IF(Q78&gt;0,R78*G78*Q78/F78/1000,R78*G78/1000)</f>
        <v>0</v>
      </c>
      <c r="CS78" s="1184">
        <f>IF(Q78&gt;0,R78*H78*Q78/F78/BW78/1000,R78*H78/BW78/1000)</f>
        <v>0</v>
      </c>
      <c r="CT78" s="1184">
        <f>IF(Q78&gt;0,R78*H78*Q78/F78/1000,R78*H78/1000)</f>
        <v>0</v>
      </c>
      <c r="CU78" s="1184">
        <f t="shared" si="206"/>
        <v>2</v>
      </c>
      <c r="CV78" s="1184">
        <f t="shared" si="181"/>
        <v>0</v>
      </c>
      <c r="CW78" s="1186">
        <f t="shared" si="207"/>
        <v>0</v>
      </c>
      <c r="CX78" s="1184"/>
      <c r="CY78" s="320" t="str">
        <f>Pflanzen!A74</f>
        <v>Grünland extensiv (1-2 Schnitte, ext. Weiden)</v>
      </c>
      <c r="CZ78" s="1200">
        <f>IFERROR(MATCH($CY78,Pflanzen!$C$5:$C$114,0),1)</f>
        <v>70</v>
      </c>
      <c r="DA78" s="320" cm="1">
        <f t="array" ref="DA78">INDEX(Pflanzen!$H$5:$H$114,'Lagerhaltung (freiwillig)'!CZ78)</f>
        <v>1</v>
      </c>
      <c r="DB78" s="1200">
        <f t="shared" si="167"/>
        <v>0</v>
      </c>
      <c r="DC78" s="1200">
        <f t="shared" si="167"/>
        <v>0</v>
      </c>
      <c r="DD78" s="1200">
        <f t="shared" si="167"/>
        <v>0</v>
      </c>
      <c r="DE78" s="1200">
        <f t="shared" si="167"/>
        <v>0</v>
      </c>
      <c r="DF78" s="1200">
        <f t="shared" si="167"/>
        <v>0</v>
      </c>
      <c r="DG78" s="1184">
        <f t="shared" si="167"/>
        <v>0</v>
      </c>
      <c r="DH78" s="1184">
        <f t="shared" si="167"/>
        <v>0</v>
      </c>
      <c r="DI78" s="1184">
        <f t="shared" si="167"/>
        <v>0</v>
      </c>
      <c r="DJ78" s="1184">
        <f t="shared" si="167"/>
        <v>0</v>
      </c>
      <c r="DK78" s="1184">
        <f t="shared" si="167"/>
        <v>0</v>
      </c>
      <c r="DL78" s="1184">
        <f t="shared" si="167"/>
        <v>0</v>
      </c>
      <c r="DM78" s="1184">
        <f t="shared" si="167"/>
        <v>0</v>
      </c>
      <c r="DN78" s="1184"/>
      <c r="DO78" s="1184">
        <f t="shared" si="168"/>
        <v>0</v>
      </c>
      <c r="DP78" s="1184">
        <f t="shared" si="168"/>
        <v>0</v>
      </c>
      <c r="DQ78" s="1184">
        <f t="shared" si="168"/>
        <v>0</v>
      </c>
      <c r="DR78" s="1184">
        <f t="shared" si="168"/>
        <v>0</v>
      </c>
      <c r="DS78" s="1184">
        <f t="shared" si="168"/>
        <v>0</v>
      </c>
      <c r="DT78" s="1184">
        <f t="shared" si="168"/>
        <v>0</v>
      </c>
      <c r="DU78" s="1184">
        <f t="shared" si="168"/>
        <v>0</v>
      </c>
      <c r="DV78" s="1184">
        <f t="shared" si="168"/>
        <v>0</v>
      </c>
      <c r="DW78" s="1184">
        <f t="shared" si="168"/>
        <v>0</v>
      </c>
      <c r="DX78" s="1184">
        <f t="shared" si="168"/>
        <v>0</v>
      </c>
      <c r="DY78" s="1184">
        <f t="shared" si="168"/>
        <v>0</v>
      </c>
      <c r="DZ78" s="1184">
        <f t="shared" si="168"/>
        <v>0</v>
      </c>
      <c r="EA78" s="1184"/>
      <c r="EB78" s="1184">
        <f t="shared" si="169"/>
        <v>0</v>
      </c>
      <c r="EC78" s="1184">
        <f t="shared" si="169"/>
        <v>0</v>
      </c>
      <c r="ED78" s="1184">
        <f t="shared" si="169"/>
        <v>0</v>
      </c>
      <c r="EE78" s="1184">
        <f t="shared" si="169"/>
        <v>0</v>
      </c>
      <c r="EF78" s="1184">
        <f t="shared" si="169"/>
        <v>0</v>
      </c>
      <c r="EG78" s="1184">
        <f t="shared" si="169"/>
        <v>0</v>
      </c>
      <c r="EH78" s="1184">
        <f t="shared" si="169"/>
        <v>0</v>
      </c>
      <c r="EI78" s="1184">
        <f t="shared" si="169"/>
        <v>0</v>
      </c>
      <c r="EJ78" s="1184">
        <f t="shared" si="169"/>
        <v>0</v>
      </c>
      <c r="EK78" s="1184">
        <f t="shared" si="169"/>
        <v>0</v>
      </c>
      <c r="EL78" s="1184">
        <f t="shared" si="169"/>
        <v>0</v>
      </c>
      <c r="EM78" s="1184">
        <f t="shared" si="169"/>
        <v>0</v>
      </c>
      <c r="EN78" s="1184"/>
      <c r="EO78" s="1184">
        <f t="shared" si="170"/>
        <v>0</v>
      </c>
      <c r="EP78" s="1184">
        <f t="shared" si="170"/>
        <v>0</v>
      </c>
      <c r="EQ78" s="1184">
        <f t="shared" si="170"/>
        <v>0</v>
      </c>
      <c r="ER78" s="1184">
        <f t="shared" si="170"/>
        <v>0</v>
      </c>
      <c r="ES78" s="1184">
        <f t="shared" si="170"/>
        <v>0</v>
      </c>
      <c r="ET78" s="1184">
        <f t="shared" si="170"/>
        <v>0</v>
      </c>
      <c r="EU78" s="1184">
        <f t="shared" si="170"/>
        <v>0</v>
      </c>
      <c r="EV78" s="1184">
        <f t="shared" si="170"/>
        <v>0</v>
      </c>
      <c r="EW78" s="1184">
        <f t="shared" si="170"/>
        <v>0</v>
      </c>
      <c r="EX78" s="1184">
        <f t="shared" si="170"/>
        <v>0</v>
      </c>
      <c r="EY78" s="1184">
        <f t="shared" si="170"/>
        <v>0</v>
      </c>
      <c r="EZ78" s="1184">
        <f t="shared" si="170"/>
        <v>0</v>
      </c>
      <c r="FA78" s="1184"/>
      <c r="FB78" s="1186">
        <f t="shared" si="182"/>
        <v>0</v>
      </c>
      <c r="FC78" s="1184">
        <f>FB78+DB78+EB78                 -         SUMIF('Nährstoffe und Lagerraum'!$AX$113:$AX$155,$CZ78,'Nährstoffe und Lagerraum'!$U$113:$U$155)/12  -$GD78*$HE78/12</f>
        <v>0</v>
      </c>
      <c r="FD78" s="1184">
        <f>FC78+DC78+EC78                 -         SUMIF('Nährstoffe und Lagerraum'!$AX$113:$AX$155,$CZ78,'Nährstoffe und Lagerraum'!$U$113:$U$155)/12  -$GD78*$HE78/12</f>
        <v>0</v>
      </c>
      <c r="FE78" s="1184">
        <f>FD78+DD78+ED78                 -         SUMIF('Nährstoffe und Lagerraum'!$AX$113:$AX$155,$CZ78,'Nährstoffe und Lagerraum'!$U$113:$U$155)/12  -$GD78*$HE78/12</f>
        <v>0</v>
      </c>
      <c r="FF78" s="1184">
        <f>FE78+DE78+EE78                 -         SUMIF('Nährstoffe und Lagerraum'!$AX$113:$AX$155,$CZ78,'Nährstoffe und Lagerraum'!$U$113:$U$155)/12  -$GD78*$HE78/12</f>
        <v>0</v>
      </c>
      <c r="FG78" s="1184">
        <f>FF78+DF78+EF78                 -         SUMIF('Nährstoffe und Lagerraum'!$AX$113:$AX$155,$CZ78,'Nährstoffe und Lagerraum'!$U$113:$U$155)/12  -$GD78*$HE78/12</f>
        <v>0</v>
      </c>
      <c r="FH78" s="1184">
        <f>FG78+DG78+EG78                 -         SUMIF('Nährstoffe und Lagerraum'!$AX$113:$AX$155,$CZ78,'Nährstoffe und Lagerraum'!$U$113:$U$155)/12  -$GD78*$HE78/12</f>
        <v>0</v>
      </c>
      <c r="FI78" s="1184">
        <f>FH78+DH78+EH78                 -         SUMIF('Nährstoffe und Lagerraum'!$AX$113:$AX$155,$CZ78,'Nährstoffe und Lagerraum'!$U$113:$U$155)/12  -$GD78*$HE78/12</f>
        <v>0</v>
      </c>
      <c r="FJ78" s="1184">
        <f>FI78+DI78+EI78                 -         SUMIF('Nährstoffe und Lagerraum'!$AX$113:$AX$155,$CZ78,'Nährstoffe und Lagerraum'!$U$113:$U$155)/12  -$GD78*$HE78/12</f>
        <v>0</v>
      </c>
      <c r="FK78" s="1184">
        <f>FJ78+DJ78+EJ78                 -         SUMIF('Nährstoffe und Lagerraum'!$AX$113:$AX$155,$CZ78,'Nährstoffe und Lagerraum'!$U$113:$U$155)/12  -$GD78*$HE78/12</f>
        <v>0</v>
      </c>
      <c r="FL78" s="1184">
        <f>FK78+DK78+EK78                 -         SUMIF('Nährstoffe und Lagerraum'!$AX$113:$AX$155,$CZ78,'Nährstoffe und Lagerraum'!$U$113:$U$155)/12  -$GD78*$HE78/12</f>
        <v>0</v>
      </c>
      <c r="FM78" s="1184">
        <f>FL78+DL78+EL78                 -         SUMIF('Nährstoffe und Lagerraum'!$AX$113:$AX$155,$CZ78,'Nährstoffe und Lagerraum'!$U$113:$U$155)/12  -$GD78*$HE78/12</f>
        <v>0</v>
      </c>
      <c r="FN78" s="1184">
        <f>FM78+DM78+EM78                 -         SUMIF('Nährstoffe und Lagerraum'!$AX$113:$AX$155,$CZ78,'Nährstoffe und Lagerraum'!$U$113:$U$155)/12  -$GD78*$HE78/12</f>
        <v>0</v>
      </c>
      <c r="FO78" s="1184"/>
      <c r="FP78" s="1186">
        <f t="shared" si="183"/>
        <v>0</v>
      </c>
      <c r="FQ78" s="1184">
        <f>FP78+DO78+EO78                 -         SUMIF('Nährstoffe und Lagerraum'!$AX$113:$AX$155,$CZ78,'Nährstoffe und Lagerraum'!$V$113:$V$155)/12  -$GE78*$HE78/12</f>
        <v>0</v>
      </c>
      <c r="FR78" s="1184">
        <f>FQ78+DP78+EP78                 -         SUMIF('Nährstoffe und Lagerraum'!$AX$113:$AX$155,$CZ78,'Nährstoffe und Lagerraum'!$V$113:$V$155)/12  -$GE78*$HE78/12</f>
        <v>0</v>
      </c>
      <c r="FS78" s="1184">
        <f>FR78+DQ78+EQ78                 -         SUMIF('Nährstoffe und Lagerraum'!$AX$113:$AX$155,$CZ78,'Nährstoffe und Lagerraum'!$V$113:$V$155)/12  -$GE78*$HE78/12</f>
        <v>0</v>
      </c>
      <c r="FT78" s="1184">
        <f>FS78+DR78+ER78                 -         SUMIF('Nährstoffe und Lagerraum'!$AX$113:$AX$155,$CZ78,'Nährstoffe und Lagerraum'!$V$113:$V$155)/12  -$GE78*$HE78/12</f>
        <v>0</v>
      </c>
      <c r="FU78" s="1184">
        <f>FT78+DS78+ES78                 -         SUMIF('Nährstoffe und Lagerraum'!$AX$113:$AX$155,$CZ78,'Nährstoffe und Lagerraum'!$V$113:$V$155)/12  -$GE78*$HE78/12</f>
        <v>0</v>
      </c>
      <c r="FV78" s="1184">
        <f>FU78+DT78+ET78                 -         SUMIF('Nährstoffe und Lagerraum'!$AX$113:$AX$155,$CZ78,'Nährstoffe und Lagerraum'!$V$113:$V$155)/12  -$GE78*$HE78/12</f>
        <v>0</v>
      </c>
      <c r="FW78" s="1184">
        <f>FV78+DU78+EU78                 -         SUMIF('Nährstoffe und Lagerraum'!$AX$113:$AX$155,$CZ78,'Nährstoffe und Lagerraum'!$V$113:$V$155)/12  -$GE78*$HE78/12</f>
        <v>0</v>
      </c>
      <c r="FX78" s="1184">
        <f>FW78+DV78+EV78                 -         SUMIF('Nährstoffe und Lagerraum'!$AX$113:$AX$155,$CZ78,'Nährstoffe und Lagerraum'!$V$113:$V$155)/12  -$GE78*$HE78/12</f>
        <v>0</v>
      </c>
      <c r="FY78" s="1184">
        <f>FX78+DW78+EW78                 -         SUMIF('Nährstoffe und Lagerraum'!$AX$113:$AX$155,$CZ78,'Nährstoffe und Lagerraum'!$V$113:$V$155)/12  -$GE78*$HE78/12</f>
        <v>0</v>
      </c>
      <c r="FZ78" s="1184">
        <f>FY78+DX78+EX78                 -         SUMIF('Nährstoffe und Lagerraum'!$AX$113:$AX$155,$CZ78,'Nährstoffe und Lagerraum'!$V$113:$V$155)/12  -$GE78*$HE78/12</f>
        <v>0</v>
      </c>
      <c r="GA78" s="1184">
        <f>FZ78+DY78+EY78                 -         SUMIF('Nährstoffe und Lagerraum'!$AX$113:$AX$155,$CZ78,'Nährstoffe und Lagerraum'!$V$113:$V$155)/12  -$GE78*$HE78/12</f>
        <v>0</v>
      </c>
      <c r="GB78" s="1184">
        <f>GA78+DZ78+EZ78                 -         SUMIF('Nährstoffe und Lagerraum'!$AX$113:$AX$155,$CZ78,'Nährstoffe und Lagerraum'!$V$113:$V$155)/12  -$GE78*$HE78/12</f>
        <v>0</v>
      </c>
      <c r="GC78" s="1184"/>
      <c r="GD78" s="1184">
        <f>SUMIFS($CI$14:$CI$68,$BR$14:$BR$68,$CZ78)+SUMIFS($CM$14:$CM$68,$BR$14:$BR$68,$CZ78)+SUMIFS($CR$14:$CR$68,$BR$14:$BR$68,$CZ78)  -         SUMIF('Nährstoffe und Lagerraum'!$AX$113:$AX$155,$CZ78,'Nährstoffe und Lagerraum'!$U$113:$U$155)</f>
        <v>0</v>
      </c>
      <c r="GE78" s="1184">
        <f>SUMIFS($CJ$14:$CJ$68,$BR$14:$BR$68,$CZ78)+SUMIFS($CO$14:$CO$68,$BR$14:$BR$68,$CZ78)+SUMIFS($CT$14:$CT$68,$BR$14:$BR$68,$CZ78)  -         SUMIF('Nährstoffe und Lagerraum'!$AX$113:$AX$155,$CZ78,'Nährstoffe und Lagerraum'!$V$113:$V$155)</f>
        <v>0</v>
      </c>
      <c r="GF78" s="1184"/>
      <c r="GG78" s="1184"/>
      <c r="GH78" s="1184">
        <f>SUMIF('Nährstoffe und Lagerraum'!$AX$113:$AX$155,$CZ78,'Nährstoffe und Lagerraum'!$U$113:$U$155)</f>
        <v>0</v>
      </c>
      <c r="GI78" s="1184">
        <f>SUMIF('Nährstoffe und Lagerraum'!$AX$113:$AX$155,$CZ78,'Nährstoffe und Lagerraum'!$V$113:$V$155)</f>
        <v>0</v>
      </c>
      <c r="GJ78" s="1184">
        <f t="shared" si="184"/>
        <v>0</v>
      </c>
      <c r="GK78" s="1184">
        <f t="shared" si="185"/>
        <v>0</v>
      </c>
      <c r="GL78" s="1184">
        <f t="shared" si="186"/>
        <v>0</v>
      </c>
      <c r="GM78" s="1184">
        <f t="shared" si="187"/>
        <v>0</v>
      </c>
      <c r="GN78" s="1184">
        <f t="shared" si="188"/>
        <v>0</v>
      </c>
      <c r="GO78" s="1184" cm="1">
        <f t="array" ref="GO78">IF(GN78=0,0,(IFERROR(SUMPRODUCT($J$14:$J$68,$CH$14:$CH$68,($BR$14:$BR$68=CZ78)*1)+SUMPRODUCT($L$14:$L$68,$M$14:$M$68,$CK$14:$CK$68,($BR$14:$BR$68=CZ78)*1,($BT$14:$BT$68=FALSE)*1)/10+SUMPRODUCT($R$14:$R$68,$CP$14:$CP$68,($BR$14:$BR$68=CZ78)*1),0))/GN78)</f>
        <v>0</v>
      </c>
      <c r="GP78" s="1184">
        <f t="shared" si="189"/>
        <v>0</v>
      </c>
      <c r="GQ78" s="1184">
        <f>(SUMIF('Nährstoffe und Lagerraum'!$AX$113:$AX$130,'Lagerhaltung (freiwillig)'!CZ78,'Nährstoffe und Lagerraum'!$D$113:$D$130)+SUMIF('Nährstoffe und Lagerraum'!$AX$137:$AX$155,'Lagerhaltung (freiwillig)'!CZ78,'Nährstoffe und Lagerraum'!$E$137:$E$155))</f>
        <v>0</v>
      </c>
      <c r="GR78" s="1184" cm="1">
        <f t="array" ref="GR78">IF(GQ78=0,0,(IFERROR(SUMPRODUCT('Nährstoffe und Lagerraum'!$D$113:$D$130,'Nährstoffe und Lagerraum'!$F$113:$F$130,('Nährstoffe und Lagerraum'!$AX$113:$AX$130='Lagerhaltung (freiwillig)'!CZ78)*1)+SUMPRODUCT('Nährstoffe und Lagerraum'!$E$137:$E$155,'Nährstoffe und Lagerraum'!$F$137:$F$155,('Nährstoffe und Lagerraum'!$AX$137:$AX$155='Lagerhaltung (freiwillig)'!CZ78)*1),0))/GQ78)</f>
        <v>0</v>
      </c>
      <c r="GS78" s="1184">
        <f t="shared" si="190"/>
        <v>0</v>
      </c>
      <c r="GT78" s="1184">
        <f t="shared" si="191"/>
        <v>0</v>
      </c>
      <c r="GU78" s="1184">
        <f t="shared" si="192"/>
        <v>0</v>
      </c>
      <c r="GV78" s="1184">
        <f t="shared" si="193"/>
        <v>0</v>
      </c>
      <c r="GW78" s="1186" t="str">
        <f t="shared" si="177"/>
        <v xml:space="preserve"> </v>
      </c>
      <c r="GX78" s="1186" t="str">
        <f t="shared" si="177"/>
        <v xml:space="preserve"> </v>
      </c>
      <c r="GY78" s="1195">
        <f t="shared" si="194"/>
        <v>0</v>
      </c>
      <c r="GZ78" s="1184">
        <f t="shared" si="195"/>
        <v>0</v>
      </c>
      <c r="HA78" s="1184" t="str">
        <f t="shared" si="176"/>
        <v>a</v>
      </c>
      <c r="HB78" s="1196">
        <f t="shared" si="196"/>
        <v>0</v>
      </c>
      <c r="HC78" s="1196">
        <f t="shared" si="197"/>
        <v>0</v>
      </c>
      <c r="HD78" s="1196"/>
      <c r="HE78" s="1187">
        <f t="shared" si="198"/>
        <v>0</v>
      </c>
      <c r="HF78" s="1196">
        <f t="shared" si="199"/>
        <v>0</v>
      </c>
      <c r="HG78" s="1196">
        <f t="shared" si="200"/>
        <v>0</v>
      </c>
      <c r="HH78" s="1196">
        <f t="shared" si="201"/>
        <v>0</v>
      </c>
      <c r="HI78" s="1328" cm="1">
        <f t="array" ref="HI78">IF(AND(HG78=0,GL78=0),0,IF(HG78=0,1,IF(OR(GL78*1000/HG78/HH78&gt;INDEX(Pflanzen!$W$5:$W$104,CZ78)/INDEX(Pflanzen!$I$5:$I$104,CZ78)*$HI$1,GL78*1000/HG78/HH78&lt;INDEX(Pflanzen!$W$5:$W$104,CZ78)/INDEX(Pflanzen!$I$5:$I$104,CZ78)/$HI$1),1,0)))</f>
        <v>0</v>
      </c>
      <c r="HJ78" s="1328" cm="1">
        <f t="array" ref="HJ78">IF(AND(GM78=0,HG78=0),0,IF(HG78=0,1,IF(OR(GM78*1000/HG78/HH78&gt;INDEX(Pflanzen!$X$5:$X$104,CZ78)/INDEX(Pflanzen!$I$5:$I$104,CZ78)*$HI$1,GM78*1000/HG78/HH78&lt;INDEX(Pflanzen!$X$5:$X$104,CZ78)/INDEX(Pflanzen!$I$5:$I$104,CZ78)/$HI$1),1,0)))</f>
        <v>0</v>
      </c>
      <c r="HK78" s="1184">
        <f t="shared" si="202"/>
        <v>3</v>
      </c>
      <c r="HL78" s="1184"/>
      <c r="HN78" s="1184"/>
      <c r="HO78" s="1193" t="str">
        <f>Tiere!B104</f>
        <v>--</v>
      </c>
      <c r="HP78" s="1184">
        <v>75</v>
      </c>
      <c r="HQ78" s="1194">
        <f>SUMIF('Nährstoffe und Lagerraum'!$BM$68:$BM$87,'Lagerhaltung (freiwillig)'!HP78,'Nährstoffe und Lagerraum'!$Z$68:$Z$87)+SUMIF('Nährstoffe und Lagerraum'!$BM$68:$BM$87,'Lagerhaltung (freiwillig)'!HP78,'Nährstoffe und Lagerraum'!$AA$68:$AA$87)</f>
        <v>0</v>
      </c>
      <c r="HR78" s="1184" cm="1">
        <f t="array" ref="HR78">INDEX(Tiere!$C$30:$C$114,'Lagerhaltung (freiwillig)'!HP78)</f>
        <v>2</v>
      </c>
      <c r="HS78" s="1184" cm="1">
        <f t="array" ref="HS78">INDEX(Tiere!$H$30:$H$114,'Lagerhaltung (freiwillig)'!HP78)</f>
        <v>0</v>
      </c>
      <c r="HT78" s="1184">
        <f t="shared" si="171"/>
        <v>0</v>
      </c>
      <c r="HU78" s="1184" cm="1">
        <f t="array" ref="HU78">INDEX(Tiere!$I$30:$I$114,'Lagerhaltung (freiwillig)'!HP78)</f>
        <v>0</v>
      </c>
      <c r="HV78" s="1184">
        <f t="shared" si="172"/>
        <v>0</v>
      </c>
      <c r="HW78" s="1184" cm="1">
        <f t="array" ref="HW78">INDEX(Tiere!$BC$30:$BC$114,'Lagerhaltung (freiwillig)'!HP78)</f>
        <v>0</v>
      </c>
      <c r="HX78" s="1184">
        <f t="shared" si="173"/>
        <v>0</v>
      </c>
      <c r="HY78" s="1184" cm="1">
        <f t="array" ref="HY78">INDEX(Tiere!$BD$30:$BD$114,'Lagerhaltung (freiwillig)'!HP78)</f>
        <v>0</v>
      </c>
      <c r="HZ78" s="1184">
        <f t="shared" si="174"/>
        <v>0</v>
      </c>
      <c r="IA78" s="1184"/>
      <c r="IB78" s="1184"/>
      <c r="IC78" s="1184"/>
      <c r="ID78" s="1184"/>
      <c r="IE78" s="1184"/>
      <c r="IF78" s="1184"/>
      <c r="IG78" s="1184"/>
      <c r="IH78" s="1184"/>
      <c r="II78" s="1184"/>
      <c r="IJ78" s="1184"/>
      <c r="IK78" s="1184"/>
      <c r="IL78" s="1184"/>
    </row>
    <row r="79" spans="1:246" ht="15.6" customHeight="1" x14ac:dyDescent="0.2">
      <c r="A79" s="1182"/>
      <c r="B79" s="1183"/>
      <c r="C79" s="3023"/>
      <c r="D79" s="3021"/>
      <c r="E79" s="3022"/>
      <c r="F79" s="1477" cm="1">
        <f t="array" ref="F79">INDEX(Pflanzen!$I$117:$I$154,BR79)</f>
        <v>0</v>
      </c>
      <c r="G79" s="2184" cm="1">
        <f t="array" ref="G79">INDEX(Pflanzen!$W$117:$W$154,BR79)</f>
        <v>0</v>
      </c>
      <c r="H79" s="1479" cm="1">
        <f t="array" ref="H79">INDEX(Pflanzen!$X$117:$X$154,BR79)</f>
        <v>0</v>
      </c>
      <c r="I79" s="1122"/>
      <c r="J79" s="1487"/>
      <c r="K79" s="1113"/>
      <c r="L79" s="1114"/>
      <c r="M79" s="1114"/>
      <c r="N79" s="1115"/>
      <c r="O79" s="1115"/>
      <c r="P79" s="1116"/>
      <c r="Q79" s="2185"/>
      <c r="R79" s="1491"/>
      <c r="S79" s="2185"/>
      <c r="T79" s="1487"/>
      <c r="U79" s="725"/>
      <c r="V79" s="1346" t="str">
        <f t="shared" si="203"/>
        <v/>
      </c>
      <c r="Y79" s="1981"/>
      <c r="Z79" s="1982"/>
      <c r="AA79" s="1982"/>
      <c r="AB79" s="1982"/>
      <c r="AC79" s="1983"/>
      <c r="AD79" s="1983"/>
      <c r="AE79" s="1983"/>
      <c r="AF79" s="1983"/>
      <c r="AG79" s="1983"/>
      <c r="AH79" s="1983"/>
      <c r="AI79" s="1983"/>
      <c r="AJ79" s="1983"/>
      <c r="AK79" s="1983"/>
      <c r="AL79" s="1984"/>
      <c r="AM79" s="1983"/>
      <c r="AN79" s="1983"/>
      <c r="AO79" s="1983"/>
      <c r="AP79" s="1983"/>
      <c r="AQ79" s="1983"/>
      <c r="AR79" s="1983"/>
      <c r="AS79" s="1983"/>
      <c r="AT79" s="1983"/>
      <c r="AU79" s="1983"/>
      <c r="AV79" s="1983"/>
      <c r="AW79" s="1985"/>
      <c r="AX79" s="1985"/>
      <c r="AY79" s="1985"/>
      <c r="AZ79" s="1985"/>
      <c r="BA79" s="1462"/>
      <c r="BB79" s="1462"/>
      <c r="BC79" s="1462"/>
      <c r="BD79" s="1461"/>
      <c r="BE79" s="1462"/>
      <c r="BF79" s="1343"/>
      <c r="BG79" s="1343"/>
      <c r="BH79" s="1343"/>
      <c r="BI79" s="1343"/>
      <c r="BJ79" s="1343"/>
      <c r="BK79" s="1343"/>
      <c r="BL79" s="1343"/>
      <c r="BM79" s="1343"/>
      <c r="BN79" s="1343"/>
      <c r="BO79" s="1343"/>
      <c r="BQ79" s="1184"/>
      <c r="BR79" s="1184">
        <v>1</v>
      </c>
      <c r="BS79" s="1184"/>
      <c r="BT79" s="1202"/>
      <c r="BU79" s="1203"/>
      <c r="BV79" s="1203"/>
      <c r="BW79" s="1202">
        <f t="shared" si="178"/>
        <v>12</v>
      </c>
      <c r="BX79" s="1202">
        <f t="shared" si="179"/>
        <v>0</v>
      </c>
      <c r="BY79" s="1202">
        <f t="shared" si="180"/>
        <v>12</v>
      </c>
      <c r="BZ79" s="1202"/>
      <c r="CA79" s="1204"/>
      <c r="CB79" s="1204"/>
      <c r="CC79" s="1202"/>
      <c r="CD79" s="1202"/>
      <c r="CE79" s="1202"/>
      <c r="CF79" s="1202"/>
      <c r="CG79" s="1202"/>
      <c r="CH79" s="1202">
        <f>IF(I79&gt;0,I79,F79)</f>
        <v>0</v>
      </c>
      <c r="CI79" s="1184">
        <f t="shared" si="204"/>
        <v>0</v>
      </c>
      <c r="CJ79" s="1184">
        <f t="shared" si="205"/>
        <v>0</v>
      </c>
      <c r="CK79" s="1202"/>
      <c r="CL79" s="1202"/>
      <c r="CM79" s="1202"/>
      <c r="CN79" s="1202"/>
      <c r="CO79" s="1202"/>
      <c r="CP79" s="1202">
        <f>IF(Q79&gt;0,Q79,F79)</f>
        <v>0</v>
      </c>
      <c r="CQ79" s="1184">
        <f>IF(Q79&gt;0,R79*G79*Q79/F79/BW79/1000,R79*G79/BW79/1000)</f>
        <v>0</v>
      </c>
      <c r="CR79" s="1184">
        <f>IF(Q79&gt;0,R79*G79*Q79/F79/1000,R79*G79/1000)</f>
        <v>0</v>
      </c>
      <c r="CS79" s="1184">
        <f>IF(Q79&gt;0,R79*H79*Q79/F79/BW79/1000,R79*H79/BW79/1000)</f>
        <v>0</v>
      </c>
      <c r="CT79" s="1184">
        <f>IF(Q79&gt;0,R79*H79*Q79/F79/1000,R79*H79/1000)</f>
        <v>0</v>
      </c>
      <c r="CU79" s="1184">
        <f t="shared" si="206"/>
        <v>2</v>
      </c>
      <c r="CV79" s="1184">
        <f t="shared" si="181"/>
        <v>0</v>
      </c>
      <c r="CW79" s="1186">
        <f t="shared" si="207"/>
        <v>0</v>
      </c>
      <c r="CX79" s="1184"/>
      <c r="CY79" s="320" t="str">
        <f>Pflanzen!A75</f>
        <v>Grünland (mind. 3 Schnitte, Mähweiden, Weiden)</v>
      </c>
      <c r="CZ79" s="1200">
        <f>IFERROR(MATCH($CY79,Pflanzen!$C$5:$C$114,0),1)</f>
        <v>71</v>
      </c>
      <c r="DA79" s="320" cm="1">
        <f t="array" ref="DA79">INDEX(Pflanzen!$H$5:$H$114,'Lagerhaltung (freiwillig)'!CZ79)</f>
        <v>1</v>
      </c>
      <c r="DB79" s="1200">
        <f t="shared" ref="DB79:DM88" si="208">SUMIFS($CQ$14:$CQ$68,$BW$14:$BW$68,1,$BX$14:$BX$68,DB$2,$BR$14:$BR$68,$CZ79)+    SUMIFS($CQ$14:$CQ$68,$BW$14:$BW$68,"&gt;1",$BX$14:$BX$68,"&lt;="&amp;DB$2,$BY$14:$BY$68,"&gt;="&amp;DB$2,$BR$14:$BR$68,$CZ79)</f>
        <v>0</v>
      </c>
      <c r="DC79" s="1200">
        <f t="shared" si="208"/>
        <v>0</v>
      </c>
      <c r="DD79" s="1200">
        <f t="shared" si="208"/>
        <v>0</v>
      </c>
      <c r="DE79" s="1200">
        <f t="shared" si="208"/>
        <v>0</v>
      </c>
      <c r="DF79" s="1200">
        <f t="shared" si="208"/>
        <v>0</v>
      </c>
      <c r="DG79" s="1184">
        <f t="shared" si="208"/>
        <v>0</v>
      </c>
      <c r="DH79" s="1184">
        <f t="shared" si="208"/>
        <v>0</v>
      </c>
      <c r="DI79" s="1184">
        <f t="shared" si="208"/>
        <v>0</v>
      </c>
      <c r="DJ79" s="1184">
        <f t="shared" si="208"/>
        <v>0</v>
      </c>
      <c r="DK79" s="1184">
        <f t="shared" si="208"/>
        <v>0</v>
      </c>
      <c r="DL79" s="1184">
        <f t="shared" si="208"/>
        <v>0</v>
      </c>
      <c r="DM79" s="1184">
        <f t="shared" si="208"/>
        <v>0</v>
      </c>
      <c r="DN79" s="1184"/>
      <c r="DO79" s="1184">
        <f t="shared" ref="DO79:DZ88" si="209">SUMIFS($CS$14:$CS$68,$BW$14:$BW$68,1,$BX$14:$BX$68,DO$2,$BR$14:$BR$68,$CZ79)+    SUMIFS($CS$14:$CS$68,$BW$14:$BW$68,"&gt;1",$BX$14:$BX$68,"&lt;="&amp;DO$2,$BY$14:$BY$68,"&gt;="&amp;DO$2,$BR$14:$BR$68,$CZ79)</f>
        <v>0</v>
      </c>
      <c r="DP79" s="1184">
        <f t="shared" si="209"/>
        <v>0</v>
      </c>
      <c r="DQ79" s="1184">
        <f t="shared" si="209"/>
        <v>0</v>
      </c>
      <c r="DR79" s="1184">
        <f t="shared" si="209"/>
        <v>0</v>
      </c>
      <c r="DS79" s="1184">
        <f t="shared" si="209"/>
        <v>0</v>
      </c>
      <c r="DT79" s="1184">
        <f t="shared" si="209"/>
        <v>0</v>
      </c>
      <c r="DU79" s="1184">
        <f t="shared" si="209"/>
        <v>0</v>
      </c>
      <c r="DV79" s="1184">
        <f t="shared" si="209"/>
        <v>0</v>
      </c>
      <c r="DW79" s="1184">
        <f t="shared" si="209"/>
        <v>0</v>
      </c>
      <c r="DX79" s="1184">
        <f t="shared" si="209"/>
        <v>0</v>
      </c>
      <c r="DY79" s="1184">
        <f t="shared" si="209"/>
        <v>0</v>
      </c>
      <c r="DZ79" s="1184">
        <f t="shared" si="209"/>
        <v>0</v>
      </c>
      <c r="EA79" s="1184"/>
      <c r="EB79" s="1184">
        <f t="shared" ref="EB79:EM88" si="210">SUMIFS($CL$14:$CL$68,$CC$14:$CC$68,1,$CD$14:$CD$68,EB$2,$BR$14:$BR$68,$CZ79)+         SUMIFS($CL$14:$CL$68,$CC$14:$CC$68,"&gt;1",$CD$14:$CD$68,"&lt;="&amp;EB$2,$CE$14:$CE$68,"&gt;="&amp;EB$2,$BR$14:$BR$68,$CZ79)</f>
        <v>0</v>
      </c>
      <c r="EC79" s="1184">
        <f t="shared" si="210"/>
        <v>0</v>
      </c>
      <c r="ED79" s="1184">
        <f t="shared" si="210"/>
        <v>0</v>
      </c>
      <c r="EE79" s="1184">
        <f t="shared" si="210"/>
        <v>0</v>
      </c>
      <c r="EF79" s="1184">
        <f t="shared" si="210"/>
        <v>0</v>
      </c>
      <c r="EG79" s="1184">
        <f t="shared" si="210"/>
        <v>0</v>
      </c>
      <c r="EH79" s="1184">
        <f t="shared" si="210"/>
        <v>0</v>
      </c>
      <c r="EI79" s="1184">
        <f t="shared" si="210"/>
        <v>0</v>
      </c>
      <c r="EJ79" s="1184">
        <f t="shared" si="210"/>
        <v>0</v>
      </c>
      <c r="EK79" s="1184">
        <f t="shared" si="210"/>
        <v>0</v>
      </c>
      <c r="EL79" s="1184">
        <f t="shared" si="210"/>
        <v>0</v>
      </c>
      <c r="EM79" s="1184">
        <f t="shared" si="210"/>
        <v>0</v>
      </c>
      <c r="EN79" s="1184"/>
      <c r="EO79" s="1184">
        <f t="shared" ref="EO79:EZ88" si="211">SUMIFS($CN$14:$CN$68,$CC$14:$CC$68,1,$CD$14:$CD$68,EO$2,$BR$14:$BR$68,$CZ79)+         SUMIFS($CN$14:$CN$68,$CC$14:$CC$68,"&gt;1",$CD$14:$CD$68,"&lt;="&amp;EO$2,$CE$14:$CE$68,"&gt;="&amp;EO$2,$BR$14:$BR$68,$CZ79)</f>
        <v>0</v>
      </c>
      <c r="EP79" s="1184">
        <f t="shared" si="211"/>
        <v>0</v>
      </c>
      <c r="EQ79" s="1184">
        <f t="shared" si="211"/>
        <v>0</v>
      </c>
      <c r="ER79" s="1184">
        <f t="shared" si="211"/>
        <v>0</v>
      </c>
      <c r="ES79" s="1184">
        <f t="shared" si="211"/>
        <v>0</v>
      </c>
      <c r="ET79" s="1184">
        <f t="shared" si="211"/>
        <v>0</v>
      </c>
      <c r="EU79" s="1184">
        <f t="shared" si="211"/>
        <v>0</v>
      </c>
      <c r="EV79" s="1184">
        <f t="shared" si="211"/>
        <v>0</v>
      </c>
      <c r="EW79" s="1184">
        <f t="shared" si="211"/>
        <v>0</v>
      </c>
      <c r="EX79" s="1184">
        <f t="shared" si="211"/>
        <v>0</v>
      </c>
      <c r="EY79" s="1184">
        <f t="shared" si="211"/>
        <v>0</v>
      </c>
      <c r="EZ79" s="1184">
        <f t="shared" si="211"/>
        <v>0</v>
      </c>
      <c r="FA79" s="1184"/>
      <c r="FB79" s="1186">
        <f t="shared" si="182"/>
        <v>0</v>
      </c>
      <c r="FC79" s="1184">
        <f>FB79+DB79+EB79                 -         SUMIF('Nährstoffe und Lagerraum'!$AX$113:$AX$155,$CZ79,'Nährstoffe und Lagerraum'!$U$113:$U$155)/12  -$GD79*$HE79/12</f>
        <v>0</v>
      </c>
      <c r="FD79" s="1184">
        <f>FC79+DC79+EC79                 -         SUMIF('Nährstoffe und Lagerraum'!$AX$113:$AX$155,$CZ79,'Nährstoffe und Lagerraum'!$U$113:$U$155)/12  -$GD79*$HE79/12</f>
        <v>0</v>
      </c>
      <c r="FE79" s="1184">
        <f>FD79+DD79+ED79                 -         SUMIF('Nährstoffe und Lagerraum'!$AX$113:$AX$155,$CZ79,'Nährstoffe und Lagerraum'!$U$113:$U$155)/12  -$GD79*$HE79/12</f>
        <v>0</v>
      </c>
      <c r="FF79" s="1184">
        <f>FE79+DE79+EE79                 -         SUMIF('Nährstoffe und Lagerraum'!$AX$113:$AX$155,$CZ79,'Nährstoffe und Lagerraum'!$U$113:$U$155)/12  -$GD79*$HE79/12</f>
        <v>0</v>
      </c>
      <c r="FG79" s="1184">
        <f>FF79+DF79+EF79                 -         SUMIF('Nährstoffe und Lagerraum'!$AX$113:$AX$155,$CZ79,'Nährstoffe und Lagerraum'!$U$113:$U$155)/12  -$GD79*$HE79/12</f>
        <v>0</v>
      </c>
      <c r="FH79" s="1184">
        <f>FG79+DG79+EG79                 -         SUMIF('Nährstoffe und Lagerraum'!$AX$113:$AX$155,$CZ79,'Nährstoffe und Lagerraum'!$U$113:$U$155)/12  -$GD79*$HE79/12</f>
        <v>0</v>
      </c>
      <c r="FI79" s="1184">
        <f>FH79+DH79+EH79                 -         SUMIF('Nährstoffe und Lagerraum'!$AX$113:$AX$155,$CZ79,'Nährstoffe und Lagerraum'!$U$113:$U$155)/12  -$GD79*$HE79/12</f>
        <v>0</v>
      </c>
      <c r="FJ79" s="1184">
        <f>FI79+DI79+EI79                 -         SUMIF('Nährstoffe und Lagerraum'!$AX$113:$AX$155,$CZ79,'Nährstoffe und Lagerraum'!$U$113:$U$155)/12  -$GD79*$HE79/12</f>
        <v>0</v>
      </c>
      <c r="FK79" s="1184">
        <f>FJ79+DJ79+EJ79                 -         SUMIF('Nährstoffe und Lagerraum'!$AX$113:$AX$155,$CZ79,'Nährstoffe und Lagerraum'!$U$113:$U$155)/12  -$GD79*$HE79/12</f>
        <v>0</v>
      </c>
      <c r="FL79" s="1184">
        <f>FK79+DK79+EK79                 -         SUMIF('Nährstoffe und Lagerraum'!$AX$113:$AX$155,$CZ79,'Nährstoffe und Lagerraum'!$U$113:$U$155)/12  -$GD79*$HE79/12</f>
        <v>0</v>
      </c>
      <c r="FM79" s="1184">
        <f>FL79+DL79+EL79                 -         SUMIF('Nährstoffe und Lagerraum'!$AX$113:$AX$155,$CZ79,'Nährstoffe und Lagerraum'!$U$113:$U$155)/12  -$GD79*$HE79/12</f>
        <v>0</v>
      </c>
      <c r="FN79" s="1184">
        <f>FM79+DM79+EM79                 -         SUMIF('Nährstoffe und Lagerraum'!$AX$113:$AX$155,$CZ79,'Nährstoffe und Lagerraum'!$U$113:$U$155)/12  -$GD79*$HE79/12</f>
        <v>0</v>
      </c>
      <c r="FO79" s="1184"/>
      <c r="FP79" s="1186">
        <f t="shared" si="183"/>
        <v>0</v>
      </c>
      <c r="FQ79" s="1184">
        <f>FP79+DO79+EO79                 -         SUMIF('Nährstoffe und Lagerraum'!$AX$113:$AX$155,$CZ79,'Nährstoffe und Lagerraum'!$V$113:$V$155)/12  -$GE79*$HE79/12</f>
        <v>0</v>
      </c>
      <c r="FR79" s="1184">
        <f>FQ79+DP79+EP79                 -         SUMIF('Nährstoffe und Lagerraum'!$AX$113:$AX$155,$CZ79,'Nährstoffe und Lagerraum'!$V$113:$V$155)/12  -$GE79*$HE79/12</f>
        <v>0</v>
      </c>
      <c r="FS79" s="1184">
        <f>FR79+DQ79+EQ79                 -         SUMIF('Nährstoffe und Lagerraum'!$AX$113:$AX$155,$CZ79,'Nährstoffe und Lagerraum'!$V$113:$V$155)/12  -$GE79*$HE79/12</f>
        <v>0</v>
      </c>
      <c r="FT79" s="1184">
        <f>FS79+DR79+ER79                 -         SUMIF('Nährstoffe und Lagerraum'!$AX$113:$AX$155,$CZ79,'Nährstoffe und Lagerraum'!$V$113:$V$155)/12  -$GE79*$HE79/12</f>
        <v>0</v>
      </c>
      <c r="FU79" s="1184">
        <f>FT79+DS79+ES79                 -         SUMIF('Nährstoffe und Lagerraum'!$AX$113:$AX$155,$CZ79,'Nährstoffe und Lagerraum'!$V$113:$V$155)/12  -$GE79*$HE79/12</f>
        <v>0</v>
      </c>
      <c r="FV79" s="1184">
        <f>FU79+DT79+ET79                 -         SUMIF('Nährstoffe und Lagerraum'!$AX$113:$AX$155,$CZ79,'Nährstoffe und Lagerraum'!$V$113:$V$155)/12  -$GE79*$HE79/12</f>
        <v>0</v>
      </c>
      <c r="FW79" s="1184">
        <f>FV79+DU79+EU79                 -         SUMIF('Nährstoffe und Lagerraum'!$AX$113:$AX$155,$CZ79,'Nährstoffe und Lagerraum'!$V$113:$V$155)/12  -$GE79*$HE79/12</f>
        <v>0</v>
      </c>
      <c r="FX79" s="1184">
        <f>FW79+DV79+EV79                 -         SUMIF('Nährstoffe und Lagerraum'!$AX$113:$AX$155,$CZ79,'Nährstoffe und Lagerraum'!$V$113:$V$155)/12  -$GE79*$HE79/12</f>
        <v>0</v>
      </c>
      <c r="FY79" s="1184">
        <f>FX79+DW79+EW79                 -         SUMIF('Nährstoffe und Lagerraum'!$AX$113:$AX$155,$CZ79,'Nährstoffe und Lagerraum'!$V$113:$V$155)/12  -$GE79*$HE79/12</f>
        <v>0</v>
      </c>
      <c r="FZ79" s="1184">
        <f>FY79+DX79+EX79                 -         SUMIF('Nährstoffe und Lagerraum'!$AX$113:$AX$155,$CZ79,'Nährstoffe und Lagerraum'!$V$113:$V$155)/12  -$GE79*$HE79/12</f>
        <v>0</v>
      </c>
      <c r="GA79" s="1184">
        <f>FZ79+DY79+EY79                 -         SUMIF('Nährstoffe und Lagerraum'!$AX$113:$AX$155,$CZ79,'Nährstoffe und Lagerraum'!$V$113:$V$155)/12  -$GE79*$HE79/12</f>
        <v>0</v>
      </c>
      <c r="GB79" s="1184">
        <f>GA79+DZ79+EZ79                 -         SUMIF('Nährstoffe und Lagerraum'!$AX$113:$AX$155,$CZ79,'Nährstoffe und Lagerraum'!$V$113:$V$155)/12  -$GE79*$HE79/12</f>
        <v>0</v>
      </c>
      <c r="GC79" s="1184"/>
      <c r="GD79" s="1184">
        <f>SUMIFS($CI$14:$CI$68,$BR$14:$BR$68,$CZ79)+SUMIFS($CM$14:$CM$68,$BR$14:$BR$68,$CZ79)+SUMIFS($CR$14:$CR$68,$BR$14:$BR$68,$CZ79)  -         SUMIF('Nährstoffe und Lagerraum'!$AX$113:$AX$155,$CZ79,'Nährstoffe und Lagerraum'!$U$113:$U$155)</f>
        <v>0</v>
      </c>
      <c r="GE79" s="1184">
        <f>SUMIFS($CJ$14:$CJ$68,$BR$14:$BR$68,$CZ79)+SUMIFS($CO$14:$CO$68,$BR$14:$BR$68,$CZ79)+SUMIFS($CT$14:$CT$68,$BR$14:$BR$68,$CZ79)  -         SUMIF('Nährstoffe und Lagerraum'!$AX$113:$AX$155,$CZ79,'Nährstoffe und Lagerraum'!$V$113:$V$155)</f>
        <v>0</v>
      </c>
      <c r="GF79" s="1184"/>
      <c r="GG79" s="1184"/>
      <c r="GH79" s="1184">
        <f>SUMIF('Nährstoffe und Lagerraum'!$AX$113:$AX$155,$CZ79,'Nährstoffe und Lagerraum'!$U$113:$U$155)</f>
        <v>0</v>
      </c>
      <c r="GI79" s="1184">
        <f>SUMIF('Nährstoffe und Lagerraum'!$AX$113:$AX$155,$CZ79,'Nährstoffe und Lagerraum'!$V$113:$V$155)</f>
        <v>0</v>
      </c>
      <c r="GJ79" s="1184">
        <f t="shared" si="184"/>
        <v>0</v>
      </c>
      <c r="GK79" s="1184">
        <f t="shared" si="185"/>
        <v>0</v>
      </c>
      <c r="GL79" s="1184">
        <f t="shared" si="186"/>
        <v>0</v>
      </c>
      <c r="GM79" s="1184">
        <f t="shared" si="187"/>
        <v>0</v>
      </c>
      <c r="GN79" s="1184">
        <f t="shared" si="188"/>
        <v>0</v>
      </c>
      <c r="GO79" s="1184" cm="1">
        <f t="array" ref="GO79">IF(GN79=0,0,(IFERROR(SUMPRODUCT($J$14:$J$68,$CH$14:$CH$68,($BR$14:$BR$68=CZ79)*1)+SUMPRODUCT($L$14:$L$68,$M$14:$M$68,$CK$14:$CK$68,($BR$14:$BR$68=CZ79)*1,($BT$14:$BT$68=FALSE)*1)/10+SUMPRODUCT($R$14:$R$68,$CP$14:$CP$68,($BR$14:$BR$68=CZ79)*1),0))/GN79)</f>
        <v>0</v>
      </c>
      <c r="GP79" s="1184">
        <f t="shared" si="189"/>
        <v>0</v>
      </c>
      <c r="GQ79" s="1184">
        <f>(SUMIF('Nährstoffe und Lagerraum'!$AX$113:$AX$130,'Lagerhaltung (freiwillig)'!CZ79,'Nährstoffe und Lagerraum'!$D$113:$D$130)+SUMIF('Nährstoffe und Lagerraum'!$AX$137:$AX$155,'Lagerhaltung (freiwillig)'!CZ79,'Nährstoffe und Lagerraum'!$E$137:$E$155))</f>
        <v>0</v>
      </c>
      <c r="GR79" s="1184" cm="1">
        <f t="array" ref="GR79">IF(GQ79=0,0,(IFERROR(SUMPRODUCT('Nährstoffe und Lagerraum'!$D$113:$D$130,'Nährstoffe und Lagerraum'!$F$113:$F$130,('Nährstoffe und Lagerraum'!$AX$113:$AX$130='Lagerhaltung (freiwillig)'!CZ79)*1)+SUMPRODUCT('Nährstoffe und Lagerraum'!$E$137:$E$155,'Nährstoffe und Lagerraum'!$F$137:$F$155,('Nährstoffe und Lagerraum'!$AX$137:$AX$155='Lagerhaltung (freiwillig)'!CZ79)*1),0))/GQ79)</f>
        <v>0</v>
      </c>
      <c r="GS79" s="1184">
        <f t="shared" si="190"/>
        <v>0</v>
      </c>
      <c r="GT79" s="1184">
        <f t="shared" si="191"/>
        <v>0</v>
      </c>
      <c r="GU79" s="1184">
        <f t="shared" si="192"/>
        <v>0</v>
      </c>
      <c r="GV79" s="1184">
        <f t="shared" si="193"/>
        <v>0</v>
      </c>
      <c r="GW79" s="1186" t="str">
        <f t="shared" si="177"/>
        <v xml:space="preserve"> </v>
      </c>
      <c r="GX79" s="1186" t="str">
        <f t="shared" si="177"/>
        <v xml:space="preserve"> </v>
      </c>
      <c r="GY79" s="1195">
        <f t="shared" si="194"/>
        <v>0</v>
      </c>
      <c r="GZ79" s="1184">
        <f t="shared" si="195"/>
        <v>0</v>
      </c>
      <c r="HA79" s="1184" t="str">
        <f t="shared" si="176"/>
        <v>a</v>
      </c>
      <c r="HB79" s="1196">
        <f t="shared" si="196"/>
        <v>0</v>
      </c>
      <c r="HC79" s="1196">
        <f t="shared" si="197"/>
        <v>0</v>
      </c>
      <c r="HD79" s="1196"/>
      <c r="HE79" s="1187">
        <f t="shared" si="198"/>
        <v>0</v>
      </c>
      <c r="HF79" s="1196">
        <f t="shared" si="199"/>
        <v>0</v>
      </c>
      <c r="HG79" s="1196">
        <f t="shared" si="200"/>
        <v>0</v>
      </c>
      <c r="HH79" s="1196">
        <f t="shared" si="201"/>
        <v>0</v>
      </c>
      <c r="HI79" s="1328" cm="1">
        <f t="array" ref="HI79">IF(AND(HG79=0,GL79=0),0,IF(HG79=0,1,IF(OR(GL79*1000/HG79/HH79&gt;INDEX(Pflanzen!$W$5:$W$104,CZ79)/INDEX(Pflanzen!$I$5:$I$104,CZ79)*$HI$1,GL79*1000/HG79/HH79&lt;INDEX(Pflanzen!$W$5:$W$104,CZ79)/INDEX(Pflanzen!$I$5:$I$104,CZ79)/$HI$1),1,0)))</f>
        <v>0</v>
      </c>
      <c r="HJ79" s="1328" cm="1">
        <f t="array" ref="HJ79">IF(AND(GM79=0,HG79=0),0,IF(HG79=0,1,IF(OR(GM79*1000/HG79/HH79&gt;INDEX(Pflanzen!$X$5:$X$104,CZ79)/INDEX(Pflanzen!$I$5:$I$104,CZ79)*$HI$1,GM79*1000/HG79/HH79&lt;INDEX(Pflanzen!$X$5:$X$104,CZ79)/INDEX(Pflanzen!$I$5:$I$104,CZ79)/$HI$1),1,0)))</f>
        <v>0</v>
      </c>
      <c r="HK79" s="1184">
        <f t="shared" si="202"/>
        <v>3</v>
      </c>
      <c r="HL79" s="1184"/>
      <c r="HN79" s="1184"/>
      <c r="HO79" s="1193" t="str">
        <f>Tiere!B105</f>
        <v>--</v>
      </c>
      <c r="HP79" s="1184">
        <v>76</v>
      </c>
      <c r="HQ79" s="1194">
        <f>SUMIF('Nährstoffe und Lagerraum'!$BM$68:$BM$87,'Lagerhaltung (freiwillig)'!HP79,'Nährstoffe und Lagerraum'!$Z$68:$Z$87)+SUMIF('Nährstoffe und Lagerraum'!$BM$68:$BM$87,'Lagerhaltung (freiwillig)'!HP79,'Nährstoffe und Lagerraum'!$AA$68:$AA$87)</f>
        <v>0</v>
      </c>
      <c r="HR79" s="1184" cm="1">
        <f t="array" ref="HR79">INDEX(Tiere!$C$30:$C$114,'Lagerhaltung (freiwillig)'!HP79)</f>
        <v>2</v>
      </c>
      <c r="HS79" s="1184" cm="1">
        <f t="array" ref="HS79">INDEX(Tiere!$H$30:$H$114,'Lagerhaltung (freiwillig)'!HP79)</f>
        <v>0</v>
      </c>
      <c r="HT79" s="1184">
        <f t="shared" si="171"/>
        <v>0</v>
      </c>
      <c r="HU79" s="1184" cm="1">
        <f t="array" ref="HU79">INDEX(Tiere!$I$30:$I$114,'Lagerhaltung (freiwillig)'!HP79)</f>
        <v>0</v>
      </c>
      <c r="HV79" s="1184">
        <f t="shared" si="172"/>
        <v>0</v>
      </c>
      <c r="HW79" s="1184" cm="1">
        <f t="array" ref="HW79">INDEX(Tiere!$BC$30:$BC$114,'Lagerhaltung (freiwillig)'!HP79)</f>
        <v>0</v>
      </c>
      <c r="HX79" s="1184">
        <f t="shared" si="173"/>
        <v>0</v>
      </c>
      <c r="HY79" s="1184" cm="1">
        <f t="array" ref="HY79">INDEX(Tiere!$BD$30:$BD$114,'Lagerhaltung (freiwillig)'!HP79)</f>
        <v>0</v>
      </c>
      <c r="HZ79" s="1184">
        <f t="shared" si="174"/>
        <v>0</v>
      </c>
      <c r="IA79" s="1184"/>
      <c r="IB79" s="1184"/>
      <c r="IC79" s="1184"/>
      <c r="ID79" s="1184"/>
      <c r="IE79" s="1184"/>
      <c r="IF79" s="1184"/>
      <c r="IG79" s="1184"/>
      <c r="IH79" s="1184"/>
      <c r="II79" s="1184"/>
      <c r="IJ79" s="1184"/>
      <c r="IK79" s="1184"/>
      <c r="IL79" s="1184"/>
    </row>
    <row r="80" spans="1:246" ht="15.6" customHeight="1" x14ac:dyDescent="0.2">
      <c r="A80" s="3106"/>
      <c r="B80" s="3140"/>
      <c r="C80" s="3140"/>
      <c r="D80" s="3140"/>
      <c r="E80" s="3141"/>
      <c r="F80" s="1122"/>
      <c r="G80" s="1498"/>
      <c r="H80" s="1336"/>
      <c r="I80" s="1345">
        <f>IF($F80="",0,$F80)</f>
        <v>0</v>
      </c>
      <c r="J80" s="1487"/>
      <c r="K80" s="1113"/>
      <c r="L80" s="1114"/>
      <c r="M80" s="1114"/>
      <c r="N80" s="1115"/>
      <c r="O80" s="1115"/>
      <c r="P80" s="1116"/>
      <c r="Q80" s="1345">
        <f>IF($F80="",0,$F80)</f>
        <v>0</v>
      </c>
      <c r="R80" s="1491"/>
      <c r="S80" s="2185"/>
      <c r="T80" s="1487"/>
      <c r="U80" s="725"/>
      <c r="V80" s="1346" t="str">
        <f>IF(OR(L80&gt;0,M80&gt;0,AND(OR(J80&gt;0,R80&gt;0),OR(G80="",H80="",F80=""))),"Fehler","")</f>
        <v/>
      </c>
      <c r="Y80" s="1981"/>
      <c r="Z80" s="1982"/>
      <c r="AA80" s="1982"/>
      <c r="AB80" s="1982"/>
      <c r="AC80" s="1983"/>
      <c r="AD80" s="1983"/>
      <c r="AE80" s="1983"/>
      <c r="AF80" s="1983"/>
      <c r="AG80" s="1983"/>
      <c r="AH80" s="1983"/>
      <c r="AI80" s="1983"/>
      <c r="AJ80" s="1983"/>
      <c r="AK80" s="1983"/>
      <c r="AL80" s="1984"/>
      <c r="AM80" s="1983"/>
      <c r="AN80" s="1983"/>
      <c r="AO80" s="1983"/>
      <c r="AP80" s="1983"/>
      <c r="AQ80" s="1983"/>
      <c r="AR80" s="1983"/>
      <c r="AS80" s="1983"/>
      <c r="AT80" s="1983"/>
      <c r="AU80" s="1983"/>
      <c r="AV80" s="1983"/>
      <c r="AW80" s="1985"/>
      <c r="AX80" s="1985"/>
      <c r="AY80" s="1985"/>
      <c r="AZ80" s="1985"/>
      <c r="BA80" s="1462"/>
      <c r="BB80" s="1462"/>
      <c r="BC80" s="1462"/>
      <c r="BD80" s="1461"/>
      <c r="BE80" s="1462"/>
      <c r="BF80" s="1343"/>
      <c r="BG80" s="1343"/>
      <c r="BH80" s="1343"/>
      <c r="BI80" s="1343"/>
      <c r="BJ80" s="1343"/>
      <c r="BK80" s="1343"/>
      <c r="BL80" s="1343"/>
      <c r="BM80" s="1343"/>
      <c r="BN80" s="1343"/>
      <c r="BO80" s="1343"/>
      <c r="BQ80" s="1184"/>
      <c r="BR80" s="1184"/>
      <c r="BS80" s="1184"/>
      <c r="BT80" s="1184"/>
      <c r="BU80" s="1185"/>
      <c r="BV80" s="1185"/>
      <c r="BW80" s="1184">
        <f t="shared" si="178"/>
        <v>12</v>
      </c>
      <c r="BX80" s="1184">
        <f t="shared" si="179"/>
        <v>0</v>
      </c>
      <c r="BY80" s="1184">
        <f t="shared" si="180"/>
        <v>12</v>
      </c>
      <c r="BZ80" s="1184"/>
      <c r="CA80" s="1194"/>
      <c r="CB80" s="1194"/>
      <c r="CC80" s="1184"/>
      <c r="CD80" s="1184"/>
      <c r="CE80" s="1184"/>
      <c r="CF80" s="1184"/>
      <c r="CG80" s="1184"/>
      <c r="CH80" s="1184"/>
      <c r="CI80" s="1184">
        <f t="shared" ref="CI80:CI89" si="212">J80*G80/1000</f>
        <v>0</v>
      </c>
      <c r="CJ80" s="1184">
        <f t="shared" ref="CJ80:CJ89" si="213">J80*H80/1000</f>
        <v>0</v>
      </c>
      <c r="CK80" s="1184"/>
      <c r="CL80" s="1184"/>
      <c r="CM80" s="1184"/>
      <c r="CN80" s="1184"/>
      <c r="CO80" s="1184"/>
      <c r="CP80" s="1184"/>
      <c r="CQ80" s="1184">
        <f t="shared" ref="CQ80:CQ89" si="214">R80*G80/BW80/1000</f>
        <v>0</v>
      </c>
      <c r="CR80" s="1184">
        <f t="shared" ref="CR80:CR89" si="215">R80*G80/1000</f>
        <v>0</v>
      </c>
      <c r="CS80" s="1184">
        <f t="shared" ref="CS80:CS89" si="216">R80*H80/BW80/1000</f>
        <v>0</v>
      </c>
      <c r="CT80" s="1184">
        <f t="shared" ref="CT80:CT89" si="217">R80*H80/1000</f>
        <v>0</v>
      </c>
      <c r="CU80" s="1184">
        <f t="shared" si="206"/>
        <v>2</v>
      </c>
      <c r="CV80" s="1184">
        <f t="shared" si="181"/>
        <v>0</v>
      </c>
      <c r="CW80" s="1186">
        <f t="shared" si="207"/>
        <v>0</v>
      </c>
      <c r="CX80" s="1184"/>
      <c r="CY80" s="320" t="str">
        <f>Pflanzen!A76</f>
        <v xml:space="preserve"> +++Weitere Einsatzstoffe+++</v>
      </c>
      <c r="CZ80" s="1200">
        <f>IFERROR(MATCH($CY80,Pflanzen!$C$5:$C$114,0),1)</f>
        <v>103</v>
      </c>
      <c r="DA80" s="320" cm="1">
        <f t="array" ref="DA80">INDEX(Pflanzen!$H$5:$H$114,'Lagerhaltung (freiwillig)'!CZ80)</f>
        <v>0</v>
      </c>
      <c r="DB80" s="1200">
        <f t="shared" si="208"/>
        <v>0</v>
      </c>
      <c r="DC80" s="1200">
        <f t="shared" si="208"/>
        <v>0</v>
      </c>
      <c r="DD80" s="1200">
        <f t="shared" si="208"/>
        <v>0</v>
      </c>
      <c r="DE80" s="1200">
        <f t="shared" si="208"/>
        <v>0</v>
      </c>
      <c r="DF80" s="1200">
        <f t="shared" si="208"/>
        <v>0</v>
      </c>
      <c r="DG80" s="1184">
        <f t="shared" si="208"/>
        <v>0</v>
      </c>
      <c r="DH80" s="1184">
        <f t="shared" si="208"/>
        <v>0</v>
      </c>
      <c r="DI80" s="1184">
        <f t="shared" si="208"/>
        <v>0</v>
      </c>
      <c r="DJ80" s="1184">
        <f t="shared" si="208"/>
        <v>0</v>
      </c>
      <c r="DK80" s="1184">
        <f t="shared" si="208"/>
        <v>0</v>
      </c>
      <c r="DL80" s="1184">
        <f t="shared" si="208"/>
        <v>0</v>
      </c>
      <c r="DM80" s="1184">
        <f t="shared" si="208"/>
        <v>0</v>
      </c>
      <c r="DN80" s="1184"/>
      <c r="DO80" s="1184">
        <f t="shared" si="209"/>
        <v>0</v>
      </c>
      <c r="DP80" s="1184">
        <f t="shared" si="209"/>
        <v>0</v>
      </c>
      <c r="DQ80" s="1184">
        <f t="shared" si="209"/>
        <v>0</v>
      </c>
      <c r="DR80" s="1184">
        <f t="shared" si="209"/>
        <v>0</v>
      </c>
      <c r="DS80" s="1184">
        <f t="shared" si="209"/>
        <v>0</v>
      </c>
      <c r="DT80" s="1184">
        <f t="shared" si="209"/>
        <v>0</v>
      </c>
      <c r="DU80" s="1184">
        <f t="shared" si="209"/>
        <v>0</v>
      </c>
      <c r="DV80" s="1184">
        <f t="shared" si="209"/>
        <v>0</v>
      </c>
      <c r="DW80" s="1184">
        <f t="shared" si="209"/>
        <v>0</v>
      </c>
      <c r="DX80" s="1184">
        <f t="shared" si="209"/>
        <v>0</v>
      </c>
      <c r="DY80" s="1184">
        <f t="shared" si="209"/>
        <v>0</v>
      </c>
      <c r="DZ80" s="1184">
        <f t="shared" si="209"/>
        <v>0</v>
      </c>
      <c r="EA80" s="1184"/>
      <c r="EB80" s="1184">
        <f t="shared" si="210"/>
        <v>0</v>
      </c>
      <c r="EC80" s="1184">
        <f t="shared" si="210"/>
        <v>0</v>
      </c>
      <c r="ED80" s="1184">
        <f t="shared" si="210"/>
        <v>0</v>
      </c>
      <c r="EE80" s="1184">
        <f t="shared" si="210"/>
        <v>0</v>
      </c>
      <c r="EF80" s="1184">
        <f t="shared" si="210"/>
        <v>0</v>
      </c>
      <c r="EG80" s="1184">
        <f t="shared" si="210"/>
        <v>0</v>
      </c>
      <c r="EH80" s="1184">
        <f t="shared" si="210"/>
        <v>0</v>
      </c>
      <c r="EI80" s="1184">
        <f t="shared" si="210"/>
        <v>0</v>
      </c>
      <c r="EJ80" s="1184">
        <f t="shared" si="210"/>
        <v>0</v>
      </c>
      <c r="EK80" s="1184">
        <f t="shared" si="210"/>
        <v>0</v>
      </c>
      <c r="EL80" s="1184">
        <f t="shared" si="210"/>
        <v>0</v>
      </c>
      <c r="EM80" s="1184">
        <f t="shared" si="210"/>
        <v>0</v>
      </c>
      <c r="EN80" s="1184"/>
      <c r="EO80" s="1184">
        <f t="shared" si="211"/>
        <v>0</v>
      </c>
      <c r="EP80" s="1184">
        <f t="shared" si="211"/>
        <v>0</v>
      </c>
      <c r="EQ80" s="1184">
        <f t="shared" si="211"/>
        <v>0</v>
      </c>
      <c r="ER80" s="1184">
        <f t="shared" si="211"/>
        <v>0</v>
      </c>
      <c r="ES80" s="1184">
        <f t="shared" si="211"/>
        <v>0</v>
      </c>
      <c r="ET80" s="1184">
        <f t="shared" si="211"/>
        <v>0</v>
      </c>
      <c r="EU80" s="1184">
        <f t="shared" si="211"/>
        <v>0</v>
      </c>
      <c r="EV80" s="1184">
        <f t="shared" si="211"/>
        <v>0</v>
      </c>
      <c r="EW80" s="1184">
        <f t="shared" si="211"/>
        <v>0</v>
      </c>
      <c r="EX80" s="1184">
        <f t="shared" si="211"/>
        <v>0</v>
      </c>
      <c r="EY80" s="1184">
        <f t="shared" si="211"/>
        <v>0</v>
      </c>
      <c r="EZ80" s="1184">
        <f t="shared" si="211"/>
        <v>0</v>
      </c>
      <c r="FA80" s="1184"/>
      <c r="FB80" s="1186">
        <f t="shared" si="182"/>
        <v>0</v>
      </c>
      <c r="FC80" s="1184">
        <f>FB80+DB80+EB80                 -         SUMIF('Nährstoffe und Lagerraum'!$AX$113:$AX$155,$CZ80,'Nährstoffe und Lagerraum'!$U$113:$U$155)/12  -$GD80*$HE80/12</f>
        <v>0</v>
      </c>
      <c r="FD80" s="1184">
        <f>FC80+DC80+EC80                 -         SUMIF('Nährstoffe und Lagerraum'!$AX$113:$AX$155,$CZ80,'Nährstoffe und Lagerraum'!$U$113:$U$155)/12  -$GD80*$HE80/12</f>
        <v>0</v>
      </c>
      <c r="FE80" s="1184">
        <f>FD80+DD80+ED80                 -         SUMIF('Nährstoffe und Lagerraum'!$AX$113:$AX$155,$CZ80,'Nährstoffe und Lagerraum'!$U$113:$U$155)/12  -$GD80*$HE80/12</f>
        <v>0</v>
      </c>
      <c r="FF80" s="1184">
        <f>FE80+DE80+EE80                 -         SUMIF('Nährstoffe und Lagerraum'!$AX$113:$AX$155,$CZ80,'Nährstoffe und Lagerraum'!$U$113:$U$155)/12  -$GD80*$HE80/12</f>
        <v>0</v>
      </c>
      <c r="FG80" s="1184">
        <f>FF80+DF80+EF80                 -         SUMIF('Nährstoffe und Lagerraum'!$AX$113:$AX$155,$CZ80,'Nährstoffe und Lagerraum'!$U$113:$U$155)/12  -$GD80*$HE80/12</f>
        <v>0</v>
      </c>
      <c r="FH80" s="1184">
        <f>FG80+DG80+EG80                 -         SUMIF('Nährstoffe und Lagerraum'!$AX$113:$AX$155,$CZ80,'Nährstoffe und Lagerraum'!$U$113:$U$155)/12  -$GD80*$HE80/12</f>
        <v>0</v>
      </c>
      <c r="FI80" s="1184">
        <f>FH80+DH80+EH80                 -         SUMIF('Nährstoffe und Lagerraum'!$AX$113:$AX$155,$CZ80,'Nährstoffe und Lagerraum'!$U$113:$U$155)/12  -$GD80*$HE80/12</f>
        <v>0</v>
      </c>
      <c r="FJ80" s="1184">
        <f>FI80+DI80+EI80                 -         SUMIF('Nährstoffe und Lagerraum'!$AX$113:$AX$155,$CZ80,'Nährstoffe und Lagerraum'!$U$113:$U$155)/12  -$GD80*$HE80/12</f>
        <v>0</v>
      </c>
      <c r="FK80" s="1184">
        <f>FJ80+DJ80+EJ80                 -         SUMIF('Nährstoffe und Lagerraum'!$AX$113:$AX$155,$CZ80,'Nährstoffe und Lagerraum'!$U$113:$U$155)/12  -$GD80*$HE80/12</f>
        <v>0</v>
      </c>
      <c r="FL80" s="1184">
        <f>FK80+DK80+EK80                 -         SUMIF('Nährstoffe und Lagerraum'!$AX$113:$AX$155,$CZ80,'Nährstoffe und Lagerraum'!$U$113:$U$155)/12  -$GD80*$HE80/12</f>
        <v>0</v>
      </c>
      <c r="FM80" s="1184">
        <f>FL80+DL80+EL80                 -         SUMIF('Nährstoffe und Lagerraum'!$AX$113:$AX$155,$CZ80,'Nährstoffe und Lagerraum'!$U$113:$U$155)/12  -$GD80*$HE80/12</f>
        <v>0</v>
      </c>
      <c r="FN80" s="1184">
        <f>FM80+DM80+EM80                 -         SUMIF('Nährstoffe und Lagerraum'!$AX$113:$AX$155,$CZ80,'Nährstoffe und Lagerraum'!$U$113:$U$155)/12  -$GD80*$HE80/12</f>
        <v>0</v>
      </c>
      <c r="FO80" s="1184"/>
      <c r="FP80" s="1186">
        <f t="shared" si="183"/>
        <v>0</v>
      </c>
      <c r="FQ80" s="1184">
        <f>FP80+DO80+EO80                 -         SUMIF('Nährstoffe und Lagerraum'!$AX$113:$AX$155,$CZ80,'Nährstoffe und Lagerraum'!$V$113:$V$155)/12  -$GE80*$HE80/12</f>
        <v>0</v>
      </c>
      <c r="FR80" s="1184">
        <f>FQ80+DP80+EP80                 -         SUMIF('Nährstoffe und Lagerraum'!$AX$113:$AX$155,$CZ80,'Nährstoffe und Lagerraum'!$V$113:$V$155)/12  -$GE80*$HE80/12</f>
        <v>0</v>
      </c>
      <c r="FS80" s="1184">
        <f>FR80+DQ80+EQ80                 -         SUMIF('Nährstoffe und Lagerraum'!$AX$113:$AX$155,$CZ80,'Nährstoffe und Lagerraum'!$V$113:$V$155)/12  -$GE80*$HE80/12</f>
        <v>0</v>
      </c>
      <c r="FT80" s="1184">
        <f>FS80+DR80+ER80                 -         SUMIF('Nährstoffe und Lagerraum'!$AX$113:$AX$155,$CZ80,'Nährstoffe und Lagerraum'!$V$113:$V$155)/12  -$GE80*$HE80/12</f>
        <v>0</v>
      </c>
      <c r="FU80" s="1184">
        <f>FT80+DS80+ES80                 -         SUMIF('Nährstoffe und Lagerraum'!$AX$113:$AX$155,$CZ80,'Nährstoffe und Lagerraum'!$V$113:$V$155)/12  -$GE80*$HE80/12</f>
        <v>0</v>
      </c>
      <c r="FV80" s="1184">
        <f>FU80+DT80+ET80                 -         SUMIF('Nährstoffe und Lagerraum'!$AX$113:$AX$155,$CZ80,'Nährstoffe und Lagerraum'!$V$113:$V$155)/12  -$GE80*$HE80/12</f>
        <v>0</v>
      </c>
      <c r="FW80" s="1184">
        <f>FV80+DU80+EU80                 -         SUMIF('Nährstoffe und Lagerraum'!$AX$113:$AX$155,$CZ80,'Nährstoffe und Lagerraum'!$V$113:$V$155)/12  -$GE80*$HE80/12</f>
        <v>0</v>
      </c>
      <c r="FX80" s="1184">
        <f>FW80+DV80+EV80                 -         SUMIF('Nährstoffe und Lagerraum'!$AX$113:$AX$155,$CZ80,'Nährstoffe und Lagerraum'!$V$113:$V$155)/12  -$GE80*$HE80/12</f>
        <v>0</v>
      </c>
      <c r="FY80" s="1184">
        <f>FX80+DW80+EW80                 -         SUMIF('Nährstoffe und Lagerraum'!$AX$113:$AX$155,$CZ80,'Nährstoffe und Lagerraum'!$V$113:$V$155)/12  -$GE80*$HE80/12</f>
        <v>0</v>
      </c>
      <c r="FZ80" s="1184">
        <f>FY80+DX80+EX80                 -         SUMIF('Nährstoffe und Lagerraum'!$AX$113:$AX$155,$CZ80,'Nährstoffe und Lagerraum'!$V$113:$V$155)/12  -$GE80*$HE80/12</f>
        <v>0</v>
      </c>
      <c r="GA80" s="1184">
        <f>FZ80+DY80+EY80                 -         SUMIF('Nährstoffe und Lagerraum'!$AX$113:$AX$155,$CZ80,'Nährstoffe und Lagerraum'!$V$113:$V$155)/12  -$GE80*$HE80/12</f>
        <v>0</v>
      </c>
      <c r="GB80" s="1184">
        <f>GA80+DZ80+EZ80                 -         SUMIF('Nährstoffe und Lagerraum'!$AX$113:$AX$155,$CZ80,'Nährstoffe und Lagerraum'!$V$113:$V$155)/12  -$GE80*$HE80/12</f>
        <v>0</v>
      </c>
      <c r="GC80" s="1184"/>
      <c r="GD80" s="1184">
        <f>SUMIFS($CI$14:$CI$68,$BR$14:$BR$68,$CZ80)+SUMIFS($CM$14:$CM$68,$BR$14:$BR$68,$CZ80)+SUMIFS($CR$14:$CR$68,$BR$14:$BR$68,$CZ80)  -         SUMIF('Nährstoffe und Lagerraum'!$AX$113:$AX$155,$CZ80,'Nährstoffe und Lagerraum'!$U$113:$U$155)</f>
        <v>0</v>
      </c>
      <c r="GE80" s="1184">
        <f>SUMIFS($CJ$14:$CJ$68,$BR$14:$BR$68,$CZ80)+SUMIFS($CO$14:$CO$68,$BR$14:$BR$68,$CZ80)+SUMIFS($CT$14:$CT$68,$BR$14:$BR$68,$CZ80)  -         SUMIF('Nährstoffe und Lagerraum'!$AX$113:$AX$155,$CZ80,'Nährstoffe und Lagerraum'!$V$113:$V$155)</f>
        <v>0</v>
      </c>
      <c r="GF80" s="1184"/>
      <c r="GG80" s="1184"/>
      <c r="GH80" s="1184">
        <f>SUMIF('Nährstoffe und Lagerraum'!$AX$113:$AX$155,$CZ80,'Nährstoffe und Lagerraum'!$U$113:$U$155)</f>
        <v>0</v>
      </c>
      <c r="GI80" s="1184">
        <f>SUMIF('Nährstoffe und Lagerraum'!$AX$113:$AX$155,$CZ80,'Nährstoffe und Lagerraum'!$V$113:$V$155)</f>
        <v>0</v>
      </c>
      <c r="GJ80" s="1184">
        <f t="shared" si="184"/>
        <v>0</v>
      </c>
      <c r="GK80" s="1184">
        <f t="shared" si="185"/>
        <v>0</v>
      </c>
      <c r="GL80" s="1184">
        <f t="shared" si="186"/>
        <v>0</v>
      </c>
      <c r="GM80" s="1184">
        <f t="shared" si="187"/>
        <v>0</v>
      </c>
      <c r="GN80" s="1184">
        <f t="shared" si="188"/>
        <v>0</v>
      </c>
      <c r="GO80" s="1184" cm="1">
        <f t="array" ref="GO80">IF(GN80=0,0,(IFERROR(SUMPRODUCT($J$14:$J$68,$CH$14:$CH$68,($BR$14:$BR$68=CZ80)*1)+SUMPRODUCT($L$14:$L$68,$M$14:$M$68,$CK$14:$CK$68,($BR$14:$BR$68=CZ80)*1,($BT$14:$BT$68=FALSE)*1)/10+SUMPRODUCT($R$14:$R$68,$CP$14:$CP$68,($BR$14:$BR$68=CZ80)*1),0))/GN80)</f>
        <v>0</v>
      </c>
      <c r="GP80" s="1184">
        <f t="shared" si="189"/>
        <v>0</v>
      </c>
      <c r="GQ80" s="1184">
        <f>(SUMIF('Nährstoffe und Lagerraum'!$AX$113:$AX$130,'Lagerhaltung (freiwillig)'!CZ80,'Nährstoffe und Lagerraum'!$D$113:$D$130)+SUMIF('Nährstoffe und Lagerraum'!$AX$137:$AX$155,'Lagerhaltung (freiwillig)'!CZ80,'Nährstoffe und Lagerraum'!$E$137:$E$155))</f>
        <v>0</v>
      </c>
      <c r="GR80" s="1184" cm="1">
        <f t="array" ref="GR80">IF(GQ80=0,0,(IFERROR(SUMPRODUCT('Nährstoffe und Lagerraum'!$D$113:$D$130,'Nährstoffe und Lagerraum'!$F$113:$F$130,('Nährstoffe und Lagerraum'!$AX$113:$AX$130='Lagerhaltung (freiwillig)'!CZ80)*1)+SUMPRODUCT('Nährstoffe und Lagerraum'!$E$137:$E$155,'Nährstoffe und Lagerraum'!$F$137:$F$155,('Nährstoffe und Lagerraum'!$AX$137:$AX$155='Lagerhaltung (freiwillig)'!CZ80)*1),0))/GQ80)</f>
        <v>0</v>
      </c>
      <c r="GS80" s="1184">
        <f t="shared" si="190"/>
        <v>0</v>
      </c>
      <c r="GT80" s="1184">
        <f t="shared" si="191"/>
        <v>0</v>
      </c>
      <c r="GU80" s="1184">
        <f t="shared" si="192"/>
        <v>0</v>
      </c>
      <c r="GV80" s="1184">
        <f t="shared" si="193"/>
        <v>0</v>
      </c>
      <c r="GW80" s="1186" t="str">
        <f t="shared" si="177"/>
        <v xml:space="preserve"> </v>
      </c>
      <c r="GX80" s="1186" t="str">
        <f t="shared" si="177"/>
        <v xml:space="preserve"> </v>
      </c>
      <c r="GY80" s="1195">
        <f t="shared" si="194"/>
        <v>0</v>
      </c>
      <c r="GZ80" s="1184">
        <f t="shared" si="195"/>
        <v>0</v>
      </c>
      <c r="HA80" s="1184" t="str">
        <f t="shared" si="176"/>
        <v>a</v>
      </c>
      <c r="HB80" s="1196">
        <f t="shared" si="196"/>
        <v>0</v>
      </c>
      <c r="HC80" s="1196">
        <f t="shared" si="197"/>
        <v>0</v>
      </c>
      <c r="HD80" s="1196"/>
      <c r="HE80" s="1187">
        <f t="shared" si="198"/>
        <v>0</v>
      </c>
      <c r="HF80" s="1196">
        <f t="shared" si="199"/>
        <v>0</v>
      </c>
      <c r="HG80" s="1196">
        <f t="shared" si="200"/>
        <v>0</v>
      </c>
      <c r="HH80" s="1196">
        <f t="shared" si="201"/>
        <v>0</v>
      </c>
      <c r="HI80" s="1328" cm="1">
        <f t="array" ref="HI80">IF(AND(HG80=0,GL80=0),0,IF(HG80=0,1,IF(OR(GL80*1000/HG80/HH80&gt;INDEX(Pflanzen!$W$5:$W$104,CZ80)/INDEX(Pflanzen!$I$5:$I$104,CZ80)*$HI$1,GL80*1000/HG80/HH80&lt;INDEX(Pflanzen!$W$5:$W$104,CZ80)/INDEX(Pflanzen!$I$5:$I$104,CZ80)/$HI$1),1,0)))</f>
        <v>0</v>
      </c>
      <c r="HJ80" s="1328" cm="1">
        <f t="array" ref="HJ80">IF(AND(GM80=0,HG80=0),0,IF(HG80=0,1,IF(OR(GM80*1000/HG80/HH80&gt;INDEX(Pflanzen!$X$5:$X$104,CZ80)/INDEX(Pflanzen!$I$5:$I$104,CZ80)*$HI$1,GM80*1000/HG80/HH80&lt;INDEX(Pflanzen!$X$5:$X$104,CZ80)/INDEX(Pflanzen!$I$5:$I$104,CZ80)/$HI$1),1,0)))</f>
        <v>0</v>
      </c>
      <c r="HK80" s="1184">
        <f t="shared" si="202"/>
        <v>3</v>
      </c>
      <c r="HL80" s="1184"/>
      <c r="HN80" s="1184"/>
      <c r="HO80" s="1193" t="str">
        <f>Tiere!B106</f>
        <v>--</v>
      </c>
      <c r="HP80" s="1184">
        <v>77</v>
      </c>
      <c r="HQ80" s="1194">
        <f>SUMIF('Nährstoffe und Lagerraum'!$BM$68:$BM$87,'Lagerhaltung (freiwillig)'!HP80,'Nährstoffe und Lagerraum'!$Z$68:$Z$87)+SUMIF('Nährstoffe und Lagerraum'!$BM$68:$BM$87,'Lagerhaltung (freiwillig)'!HP80,'Nährstoffe und Lagerraum'!$AA$68:$AA$87)</f>
        <v>0</v>
      </c>
      <c r="HR80" s="1184" cm="1">
        <f t="array" ref="HR80">INDEX(Tiere!$C$30:$C$114,'Lagerhaltung (freiwillig)'!HP80)</f>
        <v>2</v>
      </c>
      <c r="HS80" s="1184" cm="1">
        <f t="array" ref="HS80">INDEX(Tiere!$H$30:$H$114,'Lagerhaltung (freiwillig)'!HP80)</f>
        <v>0</v>
      </c>
      <c r="HT80" s="1184">
        <f t="shared" si="171"/>
        <v>0</v>
      </c>
      <c r="HU80" s="1184" cm="1">
        <f t="array" ref="HU80">INDEX(Tiere!$I$30:$I$114,'Lagerhaltung (freiwillig)'!HP80)</f>
        <v>0</v>
      </c>
      <c r="HV80" s="1184">
        <f t="shared" si="172"/>
        <v>0</v>
      </c>
      <c r="HW80" s="1184" cm="1">
        <f t="array" ref="HW80">INDEX(Tiere!$BC$30:$BC$114,'Lagerhaltung (freiwillig)'!HP80)</f>
        <v>0</v>
      </c>
      <c r="HX80" s="1184">
        <f t="shared" si="173"/>
        <v>0</v>
      </c>
      <c r="HY80" s="1184" cm="1">
        <f t="array" ref="HY80">INDEX(Tiere!$BD$30:$BD$114,'Lagerhaltung (freiwillig)'!HP80)</f>
        <v>0</v>
      </c>
      <c r="HZ80" s="1184">
        <f t="shared" si="174"/>
        <v>0</v>
      </c>
      <c r="IA80" s="1184"/>
      <c r="IB80" s="1184"/>
      <c r="IC80" s="1184"/>
      <c r="ID80" s="1184"/>
      <c r="IE80" s="1184"/>
      <c r="IF80" s="1184"/>
      <c r="IG80" s="1184"/>
      <c r="IH80" s="1184"/>
      <c r="II80" s="1184"/>
      <c r="IJ80" s="1184"/>
      <c r="IK80" s="1184"/>
      <c r="IL80" s="1184"/>
    </row>
    <row r="81" spans="1:246" ht="15.6" customHeight="1" x14ac:dyDescent="0.2">
      <c r="A81" s="3106"/>
      <c r="B81" s="3140"/>
      <c r="C81" s="3140"/>
      <c r="D81" s="3140"/>
      <c r="E81" s="3141"/>
      <c r="F81" s="1122"/>
      <c r="G81" s="1498"/>
      <c r="H81" s="1336"/>
      <c r="I81" s="1345">
        <f t="shared" ref="I81:I89" si="218">IF($F81="",0,$F81)</f>
        <v>0</v>
      </c>
      <c r="J81" s="1487"/>
      <c r="K81" s="1113"/>
      <c r="L81" s="1114"/>
      <c r="M81" s="1114"/>
      <c r="N81" s="1115"/>
      <c r="O81" s="1115"/>
      <c r="P81" s="1116"/>
      <c r="Q81" s="1345">
        <f t="shared" ref="Q81:Q89" si="219">IF($F81="",0,$F81)</f>
        <v>0</v>
      </c>
      <c r="R81" s="1491"/>
      <c r="S81" s="2185"/>
      <c r="T81" s="1487"/>
      <c r="U81" s="725"/>
      <c r="V81" s="1346" t="str">
        <f t="shared" ref="V81:V89" si="220">IF(OR(L81&gt;0,M81&gt;0,AND(OR(J81&gt;0,R81&gt;0),OR(G81="",H81="",F81=""))),"Fehler","")</f>
        <v/>
      </c>
      <c r="Y81" s="1981"/>
      <c r="Z81" s="1982"/>
      <c r="AA81" s="1982"/>
      <c r="AB81" s="1982"/>
      <c r="AC81" s="1983"/>
      <c r="AD81" s="1983"/>
      <c r="AE81" s="1983"/>
      <c r="AF81" s="1983"/>
      <c r="AG81" s="1983"/>
      <c r="AH81" s="1983"/>
      <c r="AI81" s="1983"/>
      <c r="AJ81" s="1983"/>
      <c r="AK81" s="1983"/>
      <c r="AL81" s="1984"/>
      <c r="AM81" s="1983"/>
      <c r="AN81" s="1983"/>
      <c r="AO81" s="1983"/>
      <c r="AP81" s="1983"/>
      <c r="AQ81" s="1983"/>
      <c r="AR81" s="1983"/>
      <c r="AS81" s="1983"/>
      <c r="AT81" s="1983"/>
      <c r="AU81" s="1983"/>
      <c r="AV81" s="1983"/>
      <c r="AW81" s="1985"/>
      <c r="AX81" s="1985"/>
      <c r="AY81" s="1985"/>
      <c r="AZ81" s="1985"/>
      <c r="BA81" s="1462"/>
      <c r="BB81" s="1462"/>
      <c r="BC81" s="1462"/>
      <c r="BD81" s="1461"/>
      <c r="BE81" s="1462"/>
      <c r="BF81" s="1343"/>
      <c r="BG81" s="1343"/>
      <c r="BH81" s="1343"/>
      <c r="BI81" s="1343"/>
      <c r="BJ81" s="1343"/>
      <c r="BK81" s="1343"/>
      <c r="BL81" s="1343"/>
      <c r="BM81" s="1343"/>
      <c r="BN81" s="1343"/>
      <c r="BO81" s="1343"/>
      <c r="BQ81" s="1184"/>
      <c r="BR81" s="1184"/>
      <c r="BS81" s="1184"/>
      <c r="BT81" s="1184"/>
      <c r="BU81" s="1185"/>
      <c r="BV81" s="1185"/>
      <c r="BW81" s="1184">
        <f t="shared" si="178"/>
        <v>12</v>
      </c>
      <c r="BX81" s="1184">
        <f t="shared" si="179"/>
        <v>0</v>
      </c>
      <c r="BY81" s="1184">
        <f t="shared" si="180"/>
        <v>12</v>
      </c>
      <c r="BZ81" s="1184"/>
      <c r="CA81" s="1194"/>
      <c r="CB81" s="1194"/>
      <c r="CC81" s="1184"/>
      <c r="CD81" s="1184"/>
      <c r="CE81" s="1184"/>
      <c r="CF81" s="1184"/>
      <c r="CG81" s="1184"/>
      <c r="CH81" s="1184"/>
      <c r="CI81" s="1184">
        <f t="shared" si="212"/>
        <v>0</v>
      </c>
      <c r="CJ81" s="1184">
        <f t="shared" si="213"/>
        <v>0</v>
      </c>
      <c r="CK81" s="1184"/>
      <c r="CL81" s="1184"/>
      <c r="CM81" s="1184"/>
      <c r="CN81" s="1184"/>
      <c r="CO81" s="1184"/>
      <c r="CP81" s="1184"/>
      <c r="CQ81" s="1184">
        <f t="shared" si="214"/>
        <v>0</v>
      </c>
      <c r="CR81" s="1184">
        <f t="shared" si="215"/>
        <v>0</v>
      </c>
      <c r="CS81" s="1184">
        <f t="shared" si="216"/>
        <v>0</v>
      </c>
      <c r="CT81" s="1184">
        <f t="shared" si="217"/>
        <v>0</v>
      </c>
      <c r="CU81" s="1184">
        <f t="shared" si="206"/>
        <v>2</v>
      </c>
      <c r="CV81" s="1184">
        <f t="shared" si="181"/>
        <v>0</v>
      </c>
      <c r="CW81" s="1186">
        <f t="shared" si="207"/>
        <v>0</v>
      </c>
      <c r="CX81" s="1184"/>
      <c r="CY81" s="320" t="str">
        <f>Pflanzen!A77</f>
        <v>sonst. Ganzpflanzenernte</v>
      </c>
      <c r="CZ81" s="1200">
        <f>IFERROR(MATCH($CY81,Pflanzen!$C$5:$C$114,0),1)</f>
        <v>104</v>
      </c>
      <c r="DA81" s="320" cm="1">
        <f t="array" ref="DA81">INDEX(Pflanzen!$H$5:$H$114,'Lagerhaltung (freiwillig)'!CZ81)</f>
        <v>1</v>
      </c>
      <c r="DB81" s="1200">
        <f t="shared" si="208"/>
        <v>0</v>
      </c>
      <c r="DC81" s="1200">
        <f t="shared" si="208"/>
        <v>0</v>
      </c>
      <c r="DD81" s="1200">
        <f t="shared" si="208"/>
        <v>0</v>
      </c>
      <c r="DE81" s="1200">
        <f t="shared" si="208"/>
        <v>0</v>
      </c>
      <c r="DF81" s="1200">
        <f t="shared" si="208"/>
        <v>0</v>
      </c>
      <c r="DG81" s="1184">
        <f t="shared" si="208"/>
        <v>0</v>
      </c>
      <c r="DH81" s="1184">
        <f t="shared" si="208"/>
        <v>0</v>
      </c>
      <c r="DI81" s="1184">
        <f t="shared" si="208"/>
        <v>0</v>
      </c>
      <c r="DJ81" s="1184">
        <f t="shared" si="208"/>
        <v>0</v>
      </c>
      <c r="DK81" s="1184">
        <f t="shared" si="208"/>
        <v>0</v>
      </c>
      <c r="DL81" s="1184">
        <f t="shared" si="208"/>
        <v>0</v>
      </c>
      <c r="DM81" s="1184">
        <f t="shared" si="208"/>
        <v>0</v>
      </c>
      <c r="DN81" s="1184"/>
      <c r="DO81" s="1184">
        <f t="shared" si="209"/>
        <v>0</v>
      </c>
      <c r="DP81" s="1184">
        <f t="shared" si="209"/>
        <v>0</v>
      </c>
      <c r="DQ81" s="1184">
        <f t="shared" si="209"/>
        <v>0</v>
      </c>
      <c r="DR81" s="1184">
        <f t="shared" si="209"/>
        <v>0</v>
      </c>
      <c r="DS81" s="1184">
        <f t="shared" si="209"/>
        <v>0</v>
      </c>
      <c r="DT81" s="1184">
        <f t="shared" si="209"/>
        <v>0</v>
      </c>
      <c r="DU81" s="1184">
        <f t="shared" si="209"/>
        <v>0</v>
      </c>
      <c r="DV81" s="1184">
        <f t="shared" si="209"/>
        <v>0</v>
      </c>
      <c r="DW81" s="1184">
        <f t="shared" si="209"/>
        <v>0</v>
      </c>
      <c r="DX81" s="1184">
        <f t="shared" si="209"/>
        <v>0</v>
      </c>
      <c r="DY81" s="1184">
        <f t="shared" si="209"/>
        <v>0</v>
      </c>
      <c r="DZ81" s="1184">
        <f t="shared" si="209"/>
        <v>0</v>
      </c>
      <c r="EA81" s="1184"/>
      <c r="EB81" s="1184">
        <f t="shared" si="210"/>
        <v>0</v>
      </c>
      <c r="EC81" s="1184">
        <f t="shared" si="210"/>
        <v>0</v>
      </c>
      <c r="ED81" s="1184">
        <f t="shared" si="210"/>
        <v>0</v>
      </c>
      <c r="EE81" s="1184">
        <f t="shared" si="210"/>
        <v>0</v>
      </c>
      <c r="EF81" s="1184">
        <f t="shared" si="210"/>
        <v>0</v>
      </c>
      <c r="EG81" s="1184">
        <f t="shared" si="210"/>
        <v>0</v>
      </c>
      <c r="EH81" s="1184">
        <f t="shared" si="210"/>
        <v>0</v>
      </c>
      <c r="EI81" s="1184">
        <f t="shared" si="210"/>
        <v>0</v>
      </c>
      <c r="EJ81" s="1184">
        <f t="shared" si="210"/>
        <v>0</v>
      </c>
      <c r="EK81" s="1184">
        <f t="shared" si="210"/>
        <v>0</v>
      </c>
      <c r="EL81" s="1184">
        <f t="shared" si="210"/>
        <v>0</v>
      </c>
      <c r="EM81" s="1184">
        <f t="shared" si="210"/>
        <v>0</v>
      </c>
      <c r="EN81" s="1184"/>
      <c r="EO81" s="1184">
        <f t="shared" si="211"/>
        <v>0</v>
      </c>
      <c r="EP81" s="1184">
        <f t="shared" si="211"/>
        <v>0</v>
      </c>
      <c r="EQ81" s="1184">
        <f t="shared" si="211"/>
        <v>0</v>
      </c>
      <c r="ER81" s="1184">
        <f t="shared" si="211"/>
        <v>0</v>
      </c>
      <c r="ES81" s="1184">
        <f t="shared" si="211"/>
        <v>0</v>
      </c>
      <c r="ET81" s="1184">
        <f t="shared" si="211"/>
        <v>0</v>
      </c>
      <c r="EU81" s="1184">
        <f t="shared" si="211"/>
        <v>0</v>
      </c>
      <c r="EV81" s="1184">
        <f t="shared" si="211"/>
        <v>0</v>
      </c>
      <c r="EW81" s="1184">
        <f t="shared" si="211"/>
        <v>0</v>
      </c>
      <c r="EX81" s="1184">
        <f t="shared" si="211"/>
        <v>0</v>
      </c>
      <c r="EY81" s="1184">
        <f t="shared" si="211"/>
        <v>0</v>
      </c>
      <c r="EZ81" s="1184">
        <f t="shared" si="211"/>
        <v>0</v>
      </c>
      <c r="FA81" s="1184"/>
      <c r="FB81" s="1186">
        <f t="shared" si="182"/>
        <v>0</v>
      </c>
      <c r="FC81" s="1184">
        <f>FB81+DB81+EB81                 -         SUMIF('Nährstoffe und Lagerraum'!$AX$113:$AX$155,$CZ81,'Nährstoffe und Lagerraum'!$U$113:$U$155)/12  -$GD81*$HE81/12</f>
        <v>0</v>
      </c>
      <c r="FD81" s="1184">
        <f>FC81+DC81+EC81                 -         SUMIF('Nährstoffe und Lagerraum'!$AX$113:$AX$155,$CZ81,'Nährstoffe und Lagerraum'!$U$113:$U$155)/12  -$GD81*$HE81/12</f>
        <v>0</v>
      </c>
      <c r="FE81" s="1184">
        <f>FD81+DD81+ED81                 -         SUMIF('Nährstoffe und Lagerraum'!$AX$113:$AX$155,$CZ81,'Nährstoffe und Lagerraum'!$U$113:$U$155)/12  -$GD81*$HE81/12</f>
        <v>0</v>
      </c>
      <c r="FF81" s="1184">
        <f>FE81+DE81+EE81                 -         SUMIF('Nährstoffe und Lagerraum'!$AX$113:$AX$155,$CZ81,'Nährstoffe und Lagerraum'!$U$113:$U$155)/12  -$GD81*$HE81/12</f>
        <v>0</v>
      </c>
      <c r="FG81" s="1184">
        <f>FF81+DF81+EF81                 -         SUMIF('Nährstoffe und Lagerraum'!$AX$113:$AX$155,$CZ81,'Nährstoffe und Lagerraum'!$U$113:$U$155)/12  -$GD81*$HE81/12</f>
        <v>0</v>
      </c>
      <c r="FH81" s="1184">
        <f>FG81+DG81+EG81                 -         SUMIF('Nährstoffe und Lagerraum'!$AX$113:$AX$155,$CZ81,'Nährstoffe und Lagerraum'!$U$113:$U$155)/12  -$GD81*$HE81/12</f>
        <v>0</v>
      </c>
      <c r="FI81" s="1184">
        <f>FH81+DH81+EH81                 -         SUMIF('Nährstoffe und Lagerraum'!$AX$113:$AX$155,$CZ81,'Nährstoffe und Lagerraum'!$U$113:$U$155)/12  -$GD81*$HE81/12</f>
        <v>0</v>
      </c>
      <c r="FJ81" s="1184">
        <f>FI81+DI81+EI81                 -         SUMIF('Nährstoffe und Lagerraum'!$AX$113:$AX$155,$CZ81,'Nährstoffe und Lagerraum'!$U$113:$U$155)/12  -$GD81*$HE81/12</f>
        <v>0</v>
      </c>
      <c r="FK81" s="1184">
        <f>FJ81+DJ81+EJ81                 -         SUMIF('Nährstoffe und Lagerraum'!$AX$113:$AX$155,$CZ81,'Nährstoffe und Lagerraum'!$U$113:$U$155)/12  -$GD81*$HE81/12</f>
        <v>0</v>
      </c>
      <c r="FL81" s="1184">
        <f>FK81+DK81+EK81                 -         SUMIF('Nährstoffe und Lagerraum'!$AX$113:$AX$155,$CZ81,'Nährstoffe und Lagerraum'!$U$113:$U$155)/12  -$GD81*$HE81/12</f>
        <v>0</v>
      </c>
      <c r="FM81" s="1184">
        <f>FL81+DL81+EL81                 -         SUMIF('Nährstoffe und Lagerraum'!$AX$113:$AX$155,$CZ81,'Nährstoffe und Lagerraum'!$U$113:$U$155)/12  -$GD81*$HE81/12</f>
        <v>0</v>
      </c>
      <c r="FN81" s="1184">
        <f>FM81+DM81+EM81                 -         SUMIF('Nährstoffe und Lagerraum'!$AX$113:$AX$155,$CZ81,'Nährstoffe und Lagerraum'!$U$113:$U$155)/12  -$GD81*$HE81/12</f>
        <v>0</v>
      </c>
      <c r="FO81" s="1184"/>
      <c r="FP81" s="1186">
        <f t="shared" si="183"/>
        <v>0</v>
      </c>
      <c r="FQ81" s="1184">
        <f>FP81+DO81+EO81                 -         SUMIF('Nährstoffe und Lagerraum'!$AX$113:$AX$155,$CZ81,'Nährstoffe und Lagerraum'!$V$113:$V$155)/12  -$GE81*$HE81/12</f>
        <v>0</v>
      </c>
      <c r="FR81" s="1184">
        <f>FQ81+DP81+EP81                 -         SUMIF('Nährstoffe und Lagerraum'!$AX$113:$AX$155,$CZ81,'Nährstoffe und Lagerraum'!$V$113:$V$155)/12  -$GE81*$HE81/12</f>
        <v>0</v>
      </c>
      <c r="FS81" s="1184">
        <f>FR81+DQ81+EQ81                 -         SUMIF('Nährstoffe und Lagerraum'!$AX$113:$AX$155,$CZ81,'Nährstoffe und Lagerraum'!$V$113:$V$155)/12  -$GE81*$HE81/12</f>
        <v>0</v>
      </c>
      <c r="FT81" s="1184">
        <f>FS81+DR81+ER81                 -         SUMIF('Nährstoffe und Lagerraum'!$AX$113:$AX$155,$CZ81,'Nährstoffe und Lagerraum'!$V$113:$V$155)/12  -$GE81*$HE81/12</f>
        <v>0</v>
      </c>
      <c r="FU81" s="1184">
        <f>FT81+DS81+ES81                 -         SUMIF('Nährstoffe und Lagerraum'!$AX$113:$AX$155,$CZ81,'Nährstoffe und Lagerraum'!$V$113:$V$155)/12  -$GE81*$HE81/12</f>
        <v>0</v>
      </c>
      <c r="FV81" s="1184">
        <f>FU81+DT81+ET81                 -         SUMIF('Nährstoffe und Lagerraum'!$AX$113:$AX$155,$CZ81,'Nährstoffe und Lagerraum'!$V$113:$V$155)/12  -$GE81*$HE81/12</f>
        <v>0</v>
      </c>
      <c r="FW81" s="1184">
        <f>FV81+DU81+EU81                 -         SUMIF('Nährstoffe und Lagerraum'!$AX$113:$AX$155,$CZ81,'Nährstoffe und Lagerraum'!$V$113:$V$155)/12  -$GE81*$HE81/12</f>
        <v>0</v>
      </c>
      <c r="FX81" s="1184">
        <f>FW81+DV81+EV81                 -         SUMIF('Nährstoffe und Lagerraum'!$AX$113:$AX$155,$CZ81,'Nährstoffe und Lagerraum'!$V$113:$V$155)/12  -$GE81*$HE81/12</f>
        <v>0</v>
      </c>
      <c r="FY81" s="1184">
        <f>FX81+DW81+EW81                 -         SUMIF('Nährstoffe und Lagerraum'!$AX$113:$AX$155,$CZ81,'Nährstoffe und Lagerraum'!$V$113:$V$155)/12  -$GE81*$HE81/12</f>
        <v>0</v>
      </c>
      <c r="FZ81" s="1184">
        <f>FY81+DX81+EX81                 -         SUMIF('Nährstoffe und Lagerraum'!$AX$113:$AX$155,$CZ81,'Nährstoffe und Lagerraum'!$V$113:$V$155)/12  -$GE81*$HE81/12</f>
        <v>0</v>
      </c>
      <c r="GA81" s="1184">
        <f>FZ81+DY81+EY81                 -         SUMIF('Nährstoffe und Lagerraum'!$AX$113:$AX$155,$CZ81,'Nährstoffe und Lagerraum'!$V$113:$V$155)/12  -$GE81*$HE81/12</f>
        <v>0</v>
      </c>
      <c r="GB81" s="1184">
        <f>GA81+DZ81+EZ81                 -         SUMIF('Nährstoffe und Lagerraum'!$AX$113:$AX$155,$CZ81,'Nährstoffe und Lagerraum'!$V$113:$V$155)/12  -$GE81*$HE81/12</f>
        <v>0</v>
      </c>
      <c r="GC81" s="1184"/>
      <c r="GD81" s="1184">
        <f>SUMIFS($CI$14:$CI$68,$BR$14:$BR$68,$CZ81)+SUMIFS($CM$14:$CM$68,$BR$14:$BR$68,$CZ81)+SUMIFS($CR$14:$CR$68,$BR$14:$BR$68,$CZ81)  -         SUMIF('Nährstoffe und Lagerraum'!$AX$113:$AX$155,$CZ81,'Nährstoffe und Lagerraum'!$U$113:$U$155)</f>
        <v>0</v>
      </c>
      <c r="GE81" s="1184">
        <f>SUMIFS($CJ$14:$CJ$68,$BR$14:$BR$68,$CZ81)+SUMIFS($CO$14:$CO$68,$BR$14:$BR$68,$CZ81)+SUMIFS($CT$14:$CT$68,$BR$14:$BR$68,$CZ81)  -         SUMIF('Nährstoffe und Lagerraum'!$AX$113:$AX$155,$CZ81,'Nährstoffe und Lagerraum'!$V$113:$V$155)</f>
        <v>0</v>
      </c>
      <c r="GF81" s="1184"/>
      <c r="GG81" s="1184"/>
      <c r="GH81" s="1184">
        <f>SUMIF('Nährstoffe und Lagerraum'!$AX$113:$AX$155,$CZ81,'Nährstoffe und Lagerraum'!$U$113:$U$155)</f>
        <v>0</v>
      </c>
      <c r="GI81" s="1184">
        <f>SUMIF('Nährstoffe und Lagerraum'!$AX$113:$AX$155,$CZ81,'Nährstoffe und Lagerraum'!$V$113:$V$155)</f>
        <v>0</v>
      </c>
      <c r="GJ81" s="1184">
        <f t="shared" si="184"/>
        <v>0</v>
      </c>
      <c r="GK81" s="1184">
        <f t="shared" si="185"/>
        <v>0</v>
      </c>
      <c r="GL81" s="1184">
        <f t="shared" si="186"/>
        <v>0</v>
      </c>
      <c r="GM81" s="1184">
        <f t="shared" si="187"/>
        <v>0</v>
      </c>
      <c r="GN81" s="1184">
        <f t="shared" si="188"/>
        <v>0</v>
      </c>
      <c r="GO81" s="1184" cm="1">
        <f t="array" ref="GO81">IF(GN81=0,0,(IFERROR(SUMPRODUCT($J$14:$J$68,$CH$14:$CH$68,($BR$14:$BR$68=CZ81)*1)+SUMPRODUCT($L$14:$L$68,$M$14:$M$68,$CK$14:$CK$68,($BR$14:$BR$68=CZ81)*1,($BT$14:$BT$68=FALSE)*1)/10+SUMPRODUCT($R$14:$R$68,$CP$14:$CP$68,($BR$14:$BR$68=CZ81)*1),0))/GN81)</f>
        <v>0</v>
      </c>
      <c r="GP81" s="1184">
        <f t="shared" si="189"/>
        <v>0</v>
      </c>
      <c r="GQ81" s="1184">
        <f>(SUMIF('Nährstoffe und Lagerraum'!$AX$113:$AX$130,'Lagerhaltung (freiwillig)'!CZ81,'Nährstoffe und Lagerraum'!$D$113:$D$130)+SUMIF('Nährstoffe und Lagerraum'!$AX$137:$AX$155,'Lagerhaltung (freiwillig)'!CZ81,'Nährstoffe und Lagerraum'!$E$137:$E$155))</f>
        <v>0</v>
      </c>
      <c r="GR81" s="1184" cm="1">
        <f t="array" ref="GR81">IF(GQ81=0,0,(IFERROR(SUMPRODUCT('Nährstoffe und Lagerraum'!$D$113:$D$130,'Nährstoffe und Lagerraum'!$F$113:$F$130,('Nährstoffe und Lagerraum'!$AX$113:$AX$130='Lagerhaltung (freiwillig)'!CZ81)*1)+SUMPRODUCT('Nährstoffe und Lagerraum'!$E$137:$E$155,'Nährstoffe und Lagerraum'!$F$137:$F$155,('Nährstoffe und Lagerraum'!$AX$137:$AX$155='Lagerhaltung (freiwillig)'!CZ81)*1),0))/GQ81)</f>
        <v>0</v>
      </c>
      <c r="GS81" s="1184">
        <f t="shared" si="190"/>
        <v>0</v>
      </c>
      <c r="GT81" s="1184">
        <f t="shared" si="191"/>
        <v>0</v>
      </c>
      <c r="GU81" s="1184">
        <f t="shared" si="192"/>
        <v>0</v>
      </c>
      <c r="GV81" s="1184">
        <f t="shared" si="193"/>
        <v>0</v>
      </c>
      <c r="GW81" s="1186" t="str">
        <f t="shared" si="177"/>
        <v xml:space="preserve"> </v>
      </c>
      <c r="GX81" s="1186" t="str">
        <f t="shared" si="177"/>
        <v xml:space="preserve"> </v>
      </c>
      <c r="GY81" s="1195">
        <f t="shared" si="194"/>
        <v>0</v>
      </c>
      <c r="GZ81" s="1184">
        <f t="shared" si="195"/>
        <v>0</v>
      </c>
      <c r="HA81" s="1184" t="str">
        <f t="shared" si="176"/>
        <v>a</v>
      </c>
      <c r="HB81" s="1196">
        <f t="shared" si="196"/>
        <v>0</v>
      </c>
      <c r="HC81" s="1196">
        <f t="shared" si="197"/>
        <v>0</v>
      </c>
      <c r="HD81" s="1196"/>
      <c r="HE81" s="1187">
        <f t="shared" si="198"/>
        <v>0</v>
      </c>
      <c r="HF81" s="1196">
        <f t="shared" si="199"/>
        <v>0</v>
      </c>
      <c r="HG81" s="1196">
        <f t="shared" si="200"/>
        <v>0</v>
      </c>
      <c r="HH81" s="1196">
        <f t="shared" si="201"/>
        <v>0</v>
      </c>
      <c r="HI81" s="1328" cm="1">
        <f t="array" ref="HI81">IF(AND(HG81=0,GL81=0),0,IF(HG81=0,1,IF(OR(GL81*1000/HG81/HH81&gt;INDEX(Pflanzen!$W$5:$W$104,CZ81)/INDEX(Pflanzen!$I$5:$I$104,CZ81)*$HI$1,GL81*1000/HG81/HH81&lt;INDEX(Pflanzen!$W$5:$W$104,CZ81)/INDEX(Pflanzen!$I$5:$I$104,CZ81)/$HI$1),1,0)))</f>
        <v>0</v>
      </c>
      <c r="HJ81" s="1328" cm="1">
        <f t="array" ref="HJ81">IF(AND(GM81=0,HG81=0),0,IF(HG81=0,1,IF(OR(GM81*1000/HG81/HH81&gt;INDEX(Pflanzen!$X$5:$X$104,CZ81)/INDEX(Pflanzen!$I$5:$I$104,CZ81)*$HI$1,GM81*1000/HG81/HH81&lt;INDEX(Pflanzen!$X$5:$X$104,CZ81)/INDEX(Pflanzen!$I$5:$I$104,CZ81)/$HI$1),1,0)))</f>
        <v>0</v>
      </c>
      <c r="HK81" s="1184">
        <f t="shared" si="202"/>
        <v>3</v>
      </c>
      <c r="HL81" s="1184"/>
      <c r="HN81" s="1184"/>
      <c r="HO81" s="1193" t="str">
        <f>Tiere!B107</f>
        <v>--</v>
      </c>
      <c r="HP81" s="1184">
        <v>78</v>
      </c>
      <c r="HQ81" s="1194">
        <f>SUMIF('Nährstoffe und Lagerraum'!$BM$68:$BM$87,'Lagerhaltung (freiwillig)'!HP81,'Nährstoffe und Lagerraum'!$Z$68:$Z$87)+SUMIF('Nährstoffe und Lagerraum'!$BM$68:$BM$87,'Lagerhaltung (freiwillig)'!HP81,'Nährstoffe und Lagerraum'!$AA$68:$AA$87)</f>
        <v>0</v>
      </c>
      <c r="HR81" s="1184" cm="1">
        <f t="array" ref="HR81">INDEX(Tiere!$C$30:$C$114,'Lagerhaltung (freiwillig)'!HP81)</f>
        <v>2</v>
      </c>
      <c r="HS81" s="1184" cm="1">
        <f t="array" ref="HS81">INDEX(Tiere!$H$30:$H$114,'Lagerhaltung (freiwillig)'!HP81)</f>
        <v>0</v>
      </c>
      <c r="HT81" s="1184">
        <f t="shared" si="171"/>
        <v>0</v>
      </c>
      <c r="HU81" s="1184" cm="1">
        <f t="array" ref="HU81">INDEX(Tiere!$I$30:$I$114,'Lagerhaltung (freiwillig)'!HP81)</f>
        <v>0</v>
      </c>
      <c r="HV81" s="1184">
        <f t="shared" si="172"/>
        <v>0</v>
      </c>
      <c r="HW81" s="1184" cm="1">
        <f t="array" ref="HW81">INDEX(Tiere!$BC$30:$BC$114,'Lagerhaltung (freiwillig)'!HP81)</f>
        <v>0</v>
      </c>
      <c r="HX81" s="1184">
        <f t="shared" si="173"/>
        <v>0</v>
      </c>
      <c r="HY81" s="1184" cm="1">
        <f t="array" ref="HY81">INDEX(Tiere!$BD$30:$BD$114,'Lagerhaltung (freiwillig)'!HP81)</f>
        <v>0</v>
      </c>
      <c r="HZ81" s="1184">
        <f t="shared" si="174"/>
        <v>0</v>
      </c>
      <c r="IA81" s="1184"/>
      <c r="IB81" s="1184"/>
      <c r="IC81" s="1184"/>
      <c r="ID81" s="1184"/>
      <c r="IE81" s="1184"/>
      <c r="IF81" s="1184"/>
      <c r="IG81" s="1184"/>
      <c r="IH81" s="1184"/>
      <c r="II81" s="1184"/>
      <c r="IJ81" s="1184"/>
      <c r="IK81" s="1184"/>
      <c r="IL81" s="1184"/>
    </row>
    <row r="82" spans="1:246" ht="15.6" customHeight="1" x14ac:dyDescent="0.2">
      <c r="A82" s="3106"/>
      <c r="B82" s="3140"/>
      <c r="C82" s="3140"/>
      <c r="D82" s="3140"/>
      <c r="E82" s="3141"/>
      <c r="F82" s="1122"/>
      <c r="G82" s="1498"/>
      <c r="H82" s="1336"/>
      <c r="I82" s="1345">
        <f t="shared" si="218"/>
        <v>0</v>
      </c>
      <c r="J82" s="1487"/>
      <c r="K82" s="1113"/>
      <c r="L82" s="1114"/>
      <c r="M82" s="1114"/>
      <c r="N82" s="1115"/>
      <c r="O82" s="1115"/>
      <c r="P82" s="1116"/>
      <c r="Q82" s="1345">
        <f t="shared" si="219"/>
        <v>0</v>
      </c>
      <c r="R82" s="1491"/>
      <c r="S82" s="2185"/>
      <c r="T82" s="1487"/>
      <c r="U82" s="725"/>
      <c r="V82" s="1346" t="str">
        <f t="shared" si="220"/>
        <v/>
      </c>
      <c r="Y82" s="1981"/>
      <c r="Z82" s="1982"/>
      <c r="AA82" s="1982"/>
      <c r="AB82" s="1982"/>
      <c r="AC82" s="1983"/>
      <c r="AD82" s="1983"/>
      <c r="AE82" s="1983"/>
      <c r="AF82" s="1983"/>
      <c r="AG82" s="1983"/>
      <c r="AH82" s="1983"/>
      <c r="AI82" s="1983"/>
      <c r="AJ82" s="1983"/>
      <c r="AK82" s="1983"/>
      <c r="AL82" s="1984"/>
      <c r="AM82" s="1983"/>
      <c r="AN82" s="1983"/>
      <c r="AO82" s="1983"/>
      <c r="AP82" s="1983"/>
      <c r="AQ82" s="1983"/>
      <c r="AR82" s="1983"/>
      <c r="AS82" s="1983"/>
      <c r="AT82" s="1983"/>
      <c r="AU82" s="1983"/>
      <c r="AV82" s="1983"/>
      <c r="AW82" s="1985"/>
      <c r="AX82" s="1985"/>
      <c r="AY82" s="1985"/>
      <c r="AZ82" s="1985"/>
      <c r="BA82" s="1462"/>
      <c r="BB82" s="1462"/>
      <c r="BC82" s="1462"/>
      <c r="BD82" s="1461"/>
      <c r="BE82" s="1462"/>
      <c r="BF82" s="1343"/>
      <c r="BG82" s="1343"/>
      <c r="BH82" s="1343"/>
      <c r="BI82" s="1343"/>
      <c r="BJ82" s="1343"/>
      <c r="BK82" s="1343"/>
      <c r="BL82" s="1343"/>
      <c r="BM82" s="1343"/>
      <c r="BN82" s="1343"/>
      <c r="BO82" s="1343"/>
      <c r="BQ82" s="1184"/>
      <c r="BR82" s="1184"/>
      <c r="BS82" s="1184"/>
      <c r="BT82" s="1184"/>
      <c r="BU82" s="1185"/>
      <c r="BV82" s="1185"/>
      <c r="BW82" s="1184">
        <f t="shared" si="178"/>
        <v>12</v>
      </c>
      <c r="BX82" s="1184">
        <f t="shared" si="179"/>
        <v>0</v>
      </c>
      <c r="BY82" s="1184">
        <f t="shared" si="180"/>
        <v>12</v>
      </c>
      <c r="BZ82" s="1184"/>
      <c r="CA82" s="1194"/>
      <c r="CB82" s="1194"/>
      <c r="CC82" s="1184"/>
      <c r="CD82" s="1184"/>
      <c r="CE82" s="1184"/>
      <c r="CF82" s="1184"/>
      <c r="CG82" s="1184"/>
      <c r="CH82" s="1184"/>
      <c r="CI82" s="1184">
        <f t="shared" si="212"/>
        <v>0</v>
      </c>
      <c r="CJ82" s="1184">
        <f t="shared" si="213"/>
        <v>0</v>
      </c>
      <c r="CK82" s="1184"/>
      <c r="CL82" s="1184"/>
      <c r="CM82" s="1184"/>
      <c r="CN82" s="1184"/>
      <c r="CO82" s="1184"/>
      <c r="CP82" s="1184"/>
      <c r="CQ82" s="1184">
        <f t="shared" si="214"/>
        <v>0</v>
      </c>
      <c r="CR82" s="1184">
        <f t="shared" si="215"/>
        <v>0</v>
      </c>
      <c r="CS82" s="1184">
        <f t="shared" si="216"/>
        <v>0</v>
      </c>
      <c r="CT82" s="1184">
        <f t="shared" si="217"/>
        <v>0</v>
      </c>
      <c r="CU82" s="1184">
        <f t="shared" si="206"/>
        <v>2</v>
      </c>
      <c r="CV82" s="1184">
        <f t="shared" si="181"/>
        <v>0</v>
      </c>
      <c r="CW82" s="1186">
        <f t="shared" si="207"/>
        <v>0</v>
      </c>
      <c r="CX82" s="1184"/>
      <c r="CY82" s="320" t="str">
        <f>Pflanzen!A78</f>
        <v>sonst. Pflanzen mit Körnerernte</v>
      </c>
      <c r="CZ82" s="1200">
        <f>IFERROR(MATCH($CY82,Pflanzen!$C$5:$C$114,0),1)</f>
        <v>105</v>
      </c>
      <c r="DA82" s="320" cm="1">
        <f t="array" ref="DA82">INDEX(Pflanzen!$H$5:$H$114,'Lagerhaltung (freiwillig)'!CZ82)</f>
        <v>2</v>
      </c>
      <c r="DB82" s="1200">
        <f t="shared" si="208"/>
        <v>0</v>
      </c>
      <c r="DC82" s="1200">
        <f t="shared" si="208"/>
        <v>0</v>
      </c>
      <c r="DD82" s="1200">
        <f t="shared" si="208"/>
        <v>0</v>
      </c>
      <c r="DE82" s="1200">
        <f t="shared" si="208"/>
        <v>0</v>
      </c>
      <c r="DF82" s="1200">
        <f t="shared" si="208"/>
        <v>0</v>
      </c>
      <c r="DG82" s="1184">
        <f t="shared" si="208"/>
        <v>0</v>
      </c>
      <c r="DH82" s="1184">
        <f t="shared" si="208"/>
        <v>0</v>
      </c>
      <c r="DI82" s="1184">
        <f t="shared" si="208"/>
        <v>0</v>
      </c>
      <c r="DJ82" s="1184">
        <f t="shared" si="208"/>
        <v>0</v>
      </c>
      <c r="DK82" s="1184">
        <f t="shared" si="208"/>
        <v>0</v>
      </c>
      <c r="DL82" s="1184">
        <f t="shared" si="208"/>
        <v>0</v>
      </c>
      <c r="DM82" s="1184">
        <f t="shared" si="208"/>
        <v>0</v>
      </c>
      <c r="DN82" s="1184"/>
      <c r="DO82" s="1184">
        <f t="shared" si="209"/>
        <v>0</v>
      </c>
      <c r="DP82" s="1184">
        <f t="shared" si="209"/>
        <v>0</v>
      </c>
      <c r="DQ82" s="1184">
        <f t="shared" si="209"/>
        <v>0</v>
      </c>
      <c r="DR82" s="1184">
        <f t="shared" si="209"/>
        <v>0</v>
      </c>
      <c r="DS82" s="1184">
        <f t="shared" si="209"/>
        <v>0</v>
      </c>
      <c r="DT82" s="1184">
        <f t="shared" si="209"/>
        <v>0</v>
      </c>
      <c r="DU82" s="1184">
        <f t="shared" si="209"/>
        <v>0</v>
      </c>
      <c r="DV82" s="1184">
        <f t="shared" si="209"/>
        <v>0</v>
      </c>
      <c r="DW82" s="1184">
        <f t="shared" si="209"/>
        <v>0</v>
      </c>
      <c r="DX82" s="1184">
        <f t="shared" si="209"/>
        <v>0</v>
      </c>
      <c r="DY82" s="1184">
        <f t="shared" si="209"/>
        <v>0</v>
      </c>
      <c r="DZ82" s="1184">
        <f t="shared" si="209"/>
        <v>0</v>
      </c>
      <c r="EA82" s="1184"/>
      <c r="EB82" s="1184">
        <f t="shared" si="210"/>
        <v>0</v>
      </c>
      <c r="EC82" s="1184">
        <f t="shared" si="210"/>
        <v>0</v>
      </c>
      <c r="ED82" s="1184">
        <f t="shared" si="210"/>
        <v>0</v>
      </c>
      <c r="EE82" s="1184">
        <f t="shared" si="210"/>
        <v>0</v>
      </c>
      <c r="EF82" s="1184">
        <f t="shared" si="210"/>
        <v>0</v>
      </c>
      <c r="EG82" s="1184">
        <f t="shared" si="210"/>
        <v>0</v>
      </c>
      <c r="EH82" s="1184">
        <f t="shared" si="210"/>
        <v>0</v>
      </c>
      <c r="EI82" s="1184">
        <f t="shared" si="210"/>
        <v>0</v>
      </c>
      <c r="EJ82" s="1184">
        <f t="shared" si="210"/>
        <v>0</v>
      </c>
      <c r="EK82" s="1184">
        <f t="shared" si="210"/>
        <v>0</v>
      </c>
      <c r="EL82" s="1184">
        <f t="shared" si="210"/>
        <v>0</v>
      </c>
      <c r="EM82" s="1184">
        <f t="shared" si="210"/>
        <v>0</v>
      </c>
      <c r="EN82" s="1184"/>
      <c r="EO82" s="1184">
        <f t="shared" si="211"/>
        <v>0</v>
      </c>
      <c r="EP82" s="1184">
        <f t="shared" si="211"/>
        <v>0</v>
      </c>
      <c r="EQ82" s="1184">
        <f t="shared" si="211"/>
        <v>0</v>
      </c>
      <c r="ER82" s="1184">
        <f t="shared" si="211"/>
        <v>0</v>
      </c>
      <c r="ES82" s="1184">
        <f t="shared" si="211"/>
        <v>0</v>
      </c>
      <c r="ET82" s="1184">
        <f t="shared" si="211"/>
        <v>0</v>
      </c>
      <c r="EU82" s="1184">
        <f t="shared" si="211"/>
        <v>0</v>
      </c>
      <c r="EV82" s="1184">
        <f t="shared" si="211"/>
        <v>0</v>
      </c>
      <c r="EW82" s="1184">
        <f t="shared" si="211"/>
        <v>0</v>
      </c>
      <c r="EX82" s="1184">
        <f t="shared" si="211"/>
        <v>0</v>
      </c>
      <c r="EY82" s="1184">
        <f t="shared" si="211"/>
        <v>0</v>
      </c>
      <c r="EZ82" s="1184">
        <f t="shared" si="211"/>
        <v>0</v>
      </c>
      <c r="FA82" s="1184"/>
      <c r="FB82" s="1186">
        <f t="shared" si="182"/>
        <v>0</v>
      </c>
      <c r="FC82" s="1184">
        <f>FB82+DB82+EB82                 -         SUMIF('Nährstoffe und Lagerraum'!$AX$113:$AX$155,$CZ82,'Nährstoffe und Lagerraum'!$U$113:$U$155)/12  -$GD82*$HE82/12</f>
        <v>0</v>
      </c>
      <c r="FD82" s="1184">
        <f>FC82+DC82+EC82                 -         SUMIF('Nährstoffe und Lagerraum'!$AX$113:$AX$155,$CZ82,'Nährstoffe und Lagerraum'!$U$113:$U$155)/12  -$GD82*$HE82/12</f>
        <v>0</v>
      </c>
      <c r="FE82" s="1184">
        <f>FD82+DD82+ED82                 -         SUMIF('Nährstoffe und Lagerraum'!$AX$113:$AX$155,$CZ82,'Nährstoffe und Lagerraum'!$U$113:$U$155)/12  -$GD82*$HE82/12</f>
        <v>0</v>
      </c>
      <c r="FF82" s="1184">
        <f>FE82+DE82+EE82                 -         SUMIF('Nährstoffe und Lagerraum'!$AX$113:$AX$155,$CZ82,'Nährstoffe und Lagerraum'!$U$113:$U$155)/12  -$GD82*$HE82/12</f>
        <v>0</v>
      </c>
      <c r="FG82" s="1184">
        <f>FF82+DF82+EF82                 -         SUMIF('Nährstoffe und Lagerraum'!$AX$113:$AX$155,$CZ82,'Nährstoffe und Lagerraum'!$U$113:$U$155)/12  -$GD82*$HE82/12</f>
        <v>0</v>
      </c>
      <c r="FH82" s="1184">
        <f>FG82+DG82+EG82                 -         SUMIF('Nährstoffe und Lagerraum'!$AX$113:$AX$155,$CZ82,'Nährstoffe und Lagerraum'!$U$113:$U$155)/12  -$GD82*$HE82/12</f>
        <v>0</v>
      </c>
      <c r="FI82" s="1184">
        <f>FH82+DH82+EH82                 -         SUMIF('Nährstoffe und Lagerraum'!$AX$113:$AX$155,$CZ82,'Nährstoffe und Lagerraum'!$U$113:$U$155)/12  -$GD82*$HE82/12</f>
        <v>0</v>
      </c>
      <c r="FJ82" s="1184">
        <f>FI82+DI82+EI82                 -         SUMIF('Nährstoffe und Lagerraum'!$AX$113:$AX$155,$CZ82,'Nährstoffe und Lagerraum'!$U$113:$U$155)/12  -$GD82*$HE82/12</f>
        <v>0</v>
      </c>
      <c r="FK82" s="1184">
        <f>FJ82+DJ82+EJ82                 -         SUMIF('Nährstoffe und Lagerraum'!$AX$113:$AX$155,$CZ82,'Nährstoffe und Lagerraum'!$U$113:$U$155)/12  -$GD82*$HE82/12</f>
        <v>0</v>
      </c>
      <c r="FL82" s="1184">
        <f>FK82+DK82+EK82                 -         SUMIF('Nährstoffe und Lagerraum'!$AX$113:$AX$155,$CZ82,'Nährstoffe und Lagerraum'!$U$113:$U$155)/12  -$GD82*$HE82/12</f>
        <v>0</v>
      </c>
      <c r="FM82" s="1184">
        <f>FL82+DL82+EL82                 -         SUMIF('Nährstoffe und Lagerraum'!$AX$113:$AX$155,$CZ82,'Nährstoffe und Lagerraum'!$U$113:$U$155)/12  -$GD82*$HE82/12</f>
        <v>0</v>
      </c>
      <c r="FN82" s="1184">
        <f>FM82+DM82+EM82                 -         SUMIF('Nährstoffe und Lagerraum'!$AX$113:$AX$155,$CZ82,'Nährstoffe und Lagerraum'!$U$113:$U$155)/12  -$GD82*$HE82/12</f>
        <v>0</v>
      </c>
      <c r="FO82" s="1184"/>
      <c r="FP82" s="1186">
        <f t="shared" si="183"/>
        <v>0</v>
      </c>
      <c r="FQ82" s="1184">
        <f>FP82+DO82+EO82                 -         SUMIF('Nährstoffe und Lagerraum'!$AX$113:$AX$155,$CZ82,'Nährstoffe und Lagerraum'!$V$113:$V$155)/12  -$GE82*$HE82/12</f>
        <v>0</v>
      </c>
      <c r="FR82" s="1184">
        <f>FQ82+DP82+EP82                 -         SUMIF('Nährstoffe und Lagerraum'!$AX$113:$AX$155,$CZ82,'Nährstoffe und Lagerraum'!$V$113:$V$155)/12  -$GE82*$HE82/12</f>
        <v>0</v>
      </c>
      <c r="FS82" s="1184">
        <f>FR82+DQ82+EQ82                 -         SUMIF('Nährstoffe und Lagerraum'!$AX$113:$AX$155,$CZ82,'Nährstoffe und Lagerraum'!$V$113:$V$155)/12  -$GE82*$HE82/12</f>
        <v>0</v>
      </c>
      <c r="FT82" s="1184">
        <f>FS82+DR82+ER82                 -         SUMIF('Nährstoffe und Lagerraum'!$AX$113:$AX$155,$CZ82,'Nährstoffe und Lagerraum'!$V$113:$V$155)/12  -$GE82*$HE82/12</f>
        <v>0</v>
      </c>
      <c r="FU82" s="1184">
        <f>FT82+DS82+ES82                 -         SUMIF('Nährstoffe und Lagerraum'!$AX$113:$AX$155,$CZ82,'Nährstoffe und Lagerraum'!$V$113:$V$155)/12  -$GE82*$HE82/12</f>
        <v>0</v>
      </c>
      <c r="FV82" s="1184">
        <f>FU82+DT82+ET82                 -         SUMIF('Nährstoffe und Lagerraum'!$AX$113:$AX$155,$CZ82,'Nährstoffe und Lagerraum'!$V$113:$V$155)/12  -$GE82*$HE82/12</f>
        <v>0</v>
      </c>
      <c r="FW82" s="1184">
        <f>FV82+DU82+EU82                 -         SUMIF('Nährstoffe und Lagerraum'!$AX$113:$AX$155,$CZ82,'Nährstoffe und Lagerraum'!$V$113:$V$155)/12  -$GE82*$HE82/12</f>
        <v>0</v>
      </c>
      <c r="FX82" s="1184">
        <f>FW82+DV82+EV82                 -         SUMIF('Nährstoffe und Lagerraum'!$AX$113:$AX$155,$CZ82,'Nährstoffe und Lagerraum'!$V$113:$V$155)/12  -$GE82*$HE82/12</f>
        <v>0</v>
      </c>
      <c r="FY82" s="1184">
        <f>FX82+DW82+EW82                 -         SUMIF('Nährstoffe und Lagerraum'!$AX$113:$AX$155,$CZ82,'Nährstoffe und Lagerraum'!$V$113:$V$155)/12  -$GE82*$HE82/12</f>
        <v>0</v>
      </c>
      <c r="FZ82" s="1184">
        <f>FY82+DX82+EX82                 -         SUMIF('Nährstoffe und Lagerraum'!$AX$113:$AX$155,$CZ82,'Nährstoffe und Lagerraum'!$V$113:$V$155)/12  -$GE82*$HE82/12</f>
        <v>0</v>
      </c>
      <c r="GA82" s="1184">
        <f>FZ82+DY82+EY82                 -         SUMIF('Nährstoffe und Lagerraum'!$AX$113:$AX$155,$CZ82,'Nährstoffe und Lagerraum'!$V$113:$V$155)/12  -$GE82*$HE82/12</f>
        <v>0</v>
      </c>
      <c r="GB82" s="1184">
        <f>GA82+DZ82+EZ82                 -         SUMIF('Nährstoffe und Lagerraum'!$AX$113:$AX$155,$CZ82,'Nährstoffe und Lagerraum'!$V$113:$V$155)/12  -$GE82*$HE82/12</f>
        <v>0</v>
      </c>
      <c r="GC82" s="1184"/>
      <c r="GD82" s="1184">
        <f>SUMIFS($CI$14:$CI$68,$BR$14:$BR$68,$CZ82)+SUMIFS($CM$14:$CM$68,$BR$14:$BR$68,$CZ82)+SUMIFS($CR$14:$CR$68,$BR$14:$BR$68,$CZ82)  -         SUMIF('Nährstoffe und Lagerraum'!$AX$113:$AX$155,$CZ82,'Nährstoffe und Lagerraum'!$U$113:$U$155)</f>
        <v>0</v>
      </c>
      <c r="GE82" s="1184">
        <f>SUMIFS($CJ$14:$CJ$68,$BR$14:$BR$68,$CZ82)+SUMIFS($CO$14:$CO$68,$BR$14:$BR$68,$CZ82)+SUMIFS($CT$14:$CT$68,$BR$14:$BR$68,$CZ82)  -         SUMIF('Nährstoffe und Lagerraum'!$AX$113:$AX$155,$CZ82,'Nährstoffe und Lagerraum'!$V$113:$V$155)</f>
        <v>0</v>
      </c>
      <c r="GF82" s="1184"/>
      <c r="GG82" s="1184"/>
      <c r="GH82" s="1184">
        <f>SUMIF('Nährstoffe und Lagerraum'!$AX$113:$AX$155,$CZ82,'Nährstoffe und Lagerraum'!$U$113:$U$155)</f>
        <v>0</v>
      </c>
      <c r="GI82" s="1184">
        <f>SUMIF('Nährstoffe und Lagerraum'!$AX$113:$AX$155,$CZ82,'Nährstoffe und Lagerraum'!$V$113:$V$155)</f>
        <v>0</v>
      </c>
      <c r="GJ82" s="1184">
        <f t="shared" si="184"/>
        <v>0</v>
      </c>
      <c r="GK82" s="1184">
        <f t="shared" si="185"/>
        <v>0</v>
      </c>
      <c r="GL82" s="1184">
        <f t="shared" si="186"/>
        <v>0</v>
      </c>
      <c r="GM82" s="1184">
        <f t="shared" si="187"/>
        <v>0</v>
      </c>
      <c r="GN82" s="1184">
        <f t="shared" si="188"/>
        <v>0</v>
      </c>
      <c r="GO82" s="1184" cm="1">
        <f t="array" ref="GO82">IF(GN82=0,0,(IFERROR(SUMPRODUCT($J$14:$J$68,$CH$14:$CH$68,($BR$14:$BR$68=CZ82)*1)+SUMPRODUCT($L$14:$L$68,$M$14:$M$68,$CK$14:$CK$68,($BR$14:$BR$68=CZ82)*1,($BT$14:$BT$68=FALSE)*1)/10+SUMPRODUCT($R$14:$R$68,$CP$14:$CP$68,($BR$14:$BR$68=CZ82)*1),0))/GN82)</f>
        <v>0</v>
      </c>
      <c r="GP82" s="1184">
        <f t="shared" si="189"/>
        <v>0</v>
      </c>
      <c r="GQ82" s="1184">
        <f>(SUMIF('Nährstoffe und Lagerraum'!$AX$113:$AX$130,'Lagerhaltung (freiwillig)'!CZ82,'Nährstoffe und Lagerraum'!$D$113:$D$130)+SUMIF('Nährstoffe und Lagerraum'!$AX$137:$AX$155,'Lagerhaltung (freiwillig)'!CZ82,'Nährstoffe und Lagerraum'!$E$137:$E$155))</f>
        <v>0</v>
      </c>
      <c r="GR82" s="1184" cm="1">
        <f t="array" ref="GR82">IF(GQ82=0,0,(IFERROR(SUMPRODUCT('Nährstoffe und Lagerraum'!$D$113:$D$130,'Nährstoffe und Lagerraum'!$F$113:$F$130,('Nährstoffe und Lagerraum'!$AX$113:$AX$130='Lagerhaltung (freiwillig)'!CZ82)*1)+SUMPRODUCT('Nährstoffe und Lagerraum'!$E$137:$E$155,'Nährstoffe und Lagerraum'!$F$137:$F$155,('Nährstoffe und Lagerraum'!$AX$137:$AX$155='Lagerhaltung (freiwillig)'!CZ82)*1),0))/GQ82)</f>
        <v>0</v>
      </c>
      <c r="GS82" s="1184">
        <f t="shared" si="190"/>
        <v>0</v>
      </c>
      <c r="GT82" s="1184">
        <f t="shared" si="191"/>
        <v>0</v>
      </c>
      <c r="GU82" s="1184">
        <f t="shared" si="192"/>
        <v>0</v>
      </c>
      <c r="GV82" s="1184">
        <f t="shared" si="193"/>
        <v>0</v>
      </c>
      <c r="GW82" s="1186" t="str">
        <f t="shared" si="177"/>
        <v xml:space="preserve"> </v>
      </c>
      <c r="GX82" s="1186" t="str">
        <f t="shared" si="177"/>
        <v xml:space="preserve"> </v>
      </c>
      <c r="GY82" s="1195">
        <f t="shared" si="194"/>
        <v>0</v>
      </c>
      <c r="GZ82" s="1184">
        <f t="shared" si="195"/>
        <v>0</v>
      </c>
      <c r="HA82" s="1184" t="str">
        <f t="shared" si="176"/>
        <v>a</v>
      </c>
      <c r="HB82" s="1196">
        <f t="shared" si="196"/>
        <v>0</v>
      </c>
      <c r="HC82" s="1196">
        <f t="shared" si="197"/>
        <v>0</v>
      </c>
      <c r="HD82" s="1196"/>
      <c r="HE82" s="1187">
        <f t="shared" si="198"/>
        <v>0</v>
      </c>
      <c r="HF82" s="1196">
        <f t="shared" si="199"/>
        <v>0</v>
      </c>
      <c r="HG82" s="1196">
        <f t="shared" si="200"/>
        <v>0</v>
      </c>
      <c r="HH82" s="1196">
        <f t="shared" si="201"/>
        <v>0</v>
      </c>
      <c r="HI82" s="1328" cm="1">
        <f t="array" ref="HI82">IF(AND(HG82=0,GL82=0),0,IF(HG82=0,1,IF(OR(GL82*1000/HG82/HH82&gt;INDEX(Pflanzen!$W$5:$W$104,CZ82)/INDEX(Pflanzen!$I$5:$I$104,CZ82)*$HI$1,GL82*1000/HG82/HH82&lt;INDEX(Pflanzen!$W$5:$W$104,CZ82)/INDEX(Pflanzen!$I$5:$I$104,CZ82)/$HI$1),1,0)))</f>
        <v>0</v>
      </c>
      <c r="HJ82" s="1328" cm="1">
        <f t="array" ref="HJ82">IF(AND(GM82=0,HG82=0),0,IF(HG82=0,1,IF(OR(GM82*1000/HG82/HH82&gt;INDEX(Pflanzen!$X$5:$X$104,CZ82)/INDEX(Pflanzen!$I$5:$I$104,CZ82)*$HI$1,GM82*1000/HG82/HH82&lt;INDEX(Pflanzen!$X$5:$X$104,CZ82)/INDEX(Pflanzen!$I$5:$I$104,CZ82)/$HI$1),1,0)))</f>
        <v>0</v>
      </c>
      <c r="HK82" s="1184">
        <f t="shared" si="202"/>
        <v>3</v>
      </c>
      <c r="HL82" s="1184"/>
      <c r="HN82" s="1184"/>
      <c r="HO82" s="1193" t="str">
        <f>Tiere!B108</f>
        <v>--</v>
      </c>
      <c r="HP82" s="1184">
        <v>79</v>
      </c>
      <c r="HQ82" s="1194">
        <f>SUMIF('Nährstoffe und Lagerraum'!$BM$68:$BM$87,'Lagerhaltung (freiwillig)'!HP82,'Nährstoffe und Lagerraum'!$Z$68:$Z$87)+SUMIF('Nährstoffe und Lagerraum'!$BM$68:$BM$87,'Lagerhaltung (freiwillig)'!HP82,'Nährstoffe und Lagerraum'!$AA$68:$AA$87)</f>
        <v>0</v>
      </c>
      <c r="HR82" s="1184" cm="1">
        <f t="array" ref="HR82">INDEX(Tiere!$C$30:$C$114,'Lagerhaltung (freiwillig)'!HP82)</f>
        <v>2</v>
      </c>
      <c r="HS82" s="1184" cm="1">
        <f t="array" ref="HS82">INDEX(Tiere!$H$30:$H$114,'Lagerhaltung (freiwillig)'!HP82)</f>
        <v>0</v>
      </c>
      <c r="HT82" s="1184">
        <f t="shared" si="171"/>
        <v>0</v>
      </c>
      <c r="HU82" s="1184" cm="1">
        <f t="array" ref="HU82">INDEX(Tiere!$I$30:$I$114,'Lagerhaltung (freiwillig)'!HP82)</f>
        <v>0</v>
      </c>
      <c r="HV82" s="1184">
        <f t="shared" si="172"/>
        <v>0</v>
      </c>
      <c r="HW82" s="1184" cm="1">
        <f t="array" ref="HW82">INDEX(Tiere!$BC$30:$BC$114,'Lagerhaltung (freiwillig)'!HP82)</f>
        <v>0</v>
      </c>
      <c r="HX82" s="1184">
        <f t="shared" si="173"/>
        <v>0</v>
      </c>
      <c r="HY82" s="1184" cm="1">
        <f t="array" ref="HY82">INDEX(Tiere!$BD$30:$BD$114,'Lagerhaltung (freiwillig)'!HP82)</f>
        <v>0</v>
      </c>
      <c r="HZ82" s="1184">
        <f t="shared" si="174"/>
        <v>0</v>
      </c>
      <c r="IA82" s="1184"/>
      <c r="IB82" s="1184"/>
      <c r="IC82" s="1184"/>
      <c r="ID82" s="1184"/>
      <c r="IE82" s="1184"/>
      <c r="IF82" s="1184"/>
      <c r="IG82" s="1184"/>
      <c r="IH82" s="1184"/>
      <c r="II82" s="1184"/>
      <c r="IJ82" s="1184"/>
      <c r="IK82" s="1184"/>
      <c r="IL82" s="1184"/>
    </row>
    <row r="83" spans="1:246" ht="15.6" customHeight="1" x14ac:dyDescent="0.2">
      <c r="A83" s="3106"/>
      <c r="B83" s="3140"/>
      <c r="C83" s="3140"/>
      <c r="D83" s="3140"/>
      <c r="E83" s="3141"/>
      <c r="F83" s="1122"/>
      <c r="G83" s="1498"/>
      <c r="H83" s="1336"/>
      <c r="I83" s="1345">
        <f t="shared" si="218"/>
        <v>0</v>
      </c>
      <c r="J83" s="1487"/>
      <c r="K83" s="1113"/>
      <c r="L83" s="1114"/>
      <c r="M83" s="1114"/>
      <c r="N83" s="1115"/>
      <c r="O83" s="1115"/>
      <c r="P83" s="1116"/>
      <c r="Q83" s="1345">
        <f t="shared" si="219"/>
        <v>0</v>
      </c>
      <c r="R83" s="1491"/>
      <c r="S83" s="2185"/>
      <c r="T83" s="1487"/>
      <c r="U83" s="725"/>
      <c r="V83" s="1346" t="str">
        <f t="shared" si="220"/>
        <v/>
      </c>
      <c r="Y83" s="1981"/>
      <c r="Z83" s="1982"/>
      <c r="AA83" s="1982"/>
      <c r="AB83" s="1982"/>
      <c r="AC83" s="1983"/>
      <c r="AD83" s="1983"/>
      <c r="AE83" s="1983"/>
      <c r="AF83" s="1983"/>
      <c r="AG83" s="1983"/>
      <c r="AH83" s="1983"/>
      <c r="AI83" s="1983"/>
      <c r="AJ83" s="1983"/>
      <c r="AK83" s="1983"/>
      <c r="AL83" s="1984"/>
      <c r="AM83" s="1983"/>
      <c r="AN83" s="1983"/>
      <c r="AO83" s="1983"/>
      <c r="AP83" s="1983"/>
      <c r="AQ83" s="1983"/>
      <c r="AR83" s="1983"/>
      <c r="AS83" s="1983"/>
      <c r="AT83" s="1983"/>
      <c r="AU83" s="1983"/>
      <c r="AV83" s="1983"/>
      <c r="AW83" s="1985"/>
      <c r="AX83" s="1985"/>
      <c r="AY83" s="1985"/>
      <c r="AZ83" s="1985"/>
      <c r="BA83" s="1462"/>
      <c r="BB83" s="1462"/>
      <c r="BC83" s="1462"/>
      <c r="BD83" s="1461"/>
      <c r="BE83" s="1462"/>
      <c r="BF83" s="1343"/>
      <c r="BG83" s="1343"/>
      <c r="BH83" s="1343"/>
      <c r="BI83" s="1343"/>
      <c r="BJ83" s="1343"/>
      <c r="BK83" s="1343"/>
      <c r="BL83" s="1343"/>
      <c r="BM83" s="1343"/>
      <c r="BN83" s="1343"/>
      <c r="BO83" s="1343"/>
      <c r="BQ83" s="1184"/>
      <c r="BR83" s="1184"/>
      <c r="BS83" s="1184"/>
      <c r="BT83" s="1184"/>
      <c r="BU83" s="1185"/>
      <c r="BV83" s="1185"/>
      <c r="BW83" s="1184">
        <f t="shared" si="178"/>
        <v>12</v>
      </c>
      <c r="BX83" s="1184">
        <f t="shared" si="179"/>
        <v>0</v>
      </c>
      <c r="BY83" s="1184">
        <f t="shared" si="180"/>
        <v>12</v>
      </c>
      <c r="BZ83" s="1184"/>
      <c r="CA83" s="1194"/>
      <c r="CB83" s="1194"/>
      <c r="CC83" s="1184"/>
      <c r="CD83" s="1184"/>
      <c r="CE83" s="1184"/>
      <c r="CF83" s="1184"/>
      <c r="CG83" s="1184"/>
      <c r="CH83" s="1184"/>
      <c r="CI83" s="1184">
        <f t="shared" si="212"/>
        <v>0</v>
      </c>
      <c r="CJ83" s="1184">
        <f t="shared" si="213"/>
        <v>0</v>
      </c>
      <c r="CK83" s="1184"/>
      <c r="CL83" s="1184"/>
      <c r="CM83" s="1184"/>
      <c r="CN83" s="1184"/>
      <c r="CO83" s="1184"/>
      <c r="CP83" s="1184"/>
      <c r="CQ83" s="1184">
        <f t="shared" si="214"/>
        <v>0</v>
      </c>
      <c r="CR83" s="1184">
        <f t="shared" si="215"/>
        <v>0</v>
      </c>
      <c r="CS83" s="1184">
        <f t="shared" si="216"/>
        <v>0</v>
      </c>
      <c r="CT83" s="1184">
        <f t="shared" si="217"/>
        <v>0</v>
      </c>
      <c r="CU83" s="1184">
        <f t="shared" si="206"/>
        <v>2</v>
      </c>
      <c r="CV83" s="1184">
        <f t="shared" si="181"/>
        <v>0</v>
      </c>
      <c r="CW83" s="1186">
        <f t="shared" si="207"/>
        <v>0</v>
      </c>
      <c r="CX83" s="1184"/>
      <c r="CY83" s="320" t="str">
        <f>Pflanzen!A79</f>
        <v>sonst. Biogaseinsatzstoff</v>
      </c>
      <c r="CZ83" s="1200">
        <f>IFERROR(MATCH($CY83,Pflanzen!$C$5:$C$114,0),1)</f>
        <v>106</v>
      </c>
      <c r="DA83" s="320" cm="1">
        <f t="array" ref="DA83">INDEX(Pflanzen!$H$5:$H$114,'Lagerhaltung (freiwillig)'!CZ83)</f>
        <v>0</v>
      </c>
      <c r="DB83" s="1200">
        <f t="shared" si="208"/>
        <v>0</v>
      </c>
      <c r="DC83" s="1200">
        <f t="shared" si="208"/>
        <v>0</v>
      </c>
      <c r="DD83" s="1200">
        <f t="shared" si="208"/>
        <v>0</v>
      </c>
      <c r="DE83" s="1200">
        <f t="shared" si="208"/>
        <v>0</v>
      </c>
      <c r="DF83" s="1200">
        <f t="shared" si="208"/>
        <v>0</v>
      </c>
      <c r="DG83" s="1184">
        <f t="shared" si="208"/>
        <v>0</v>
      </c>
      <c r="DH83" s="1184">
        <f t="shared" si="208"/>
        <v>0</v>
      </c>
      <c r="DI83" s="1184">
        <f t="shared" si="208"/>
        <v>0</v>
      </c>
      <c r="DJ83" s="1184">
        <f t="shared" si="208"/>
        <v>0</v>
      </c>
      <c r="DK83" s="1184">
        <f t="shared" si="208"/>
        <v>0</v>
      </c>
      <c r="DL83" s="1184">
        <f t="shared" si="208"/>
        <v>0</v>
      </c>
      <c r="DM83" s="1184">
        <f t="shared" si="208"/>
        <v>0</v>
      </c>
      <c r="DN83" s="1184"/>
      <c r="DO83" s="1184">
        <f t="shared" si="209"/>
        <v>0</v>
      </c>
      <c r="DP83" s="1184">
        <f t="shared" si="209"/>
        <v>0</v>
      </c>
      <c r="DQ83" s="1184">
        <f t="shared" si="209"/>
        <v>0</v>
      </c>
      <c r="DR83" s="1184">
        <f t="shared" si="209"/>
        <v>0</v>
      </c>
      <c r="DS83" s="1184">
        <f t="shared" si="209"/>
        <v>0</v>
      </c>
      <c r="DT83" s="1184">
        <f t="shared" si="209"/>
        <v>0</v>
      </c>
      <c r="DU83" s="1184">
        <f t="shared" si="209"/>
        <v>0</v>
      </c>
      <c r="DV83" s="1184">
        <f t="shared" si="209"/>
        <v>0</v>
      </c>
      <c r="DW83" s="1184">
        <f t="shared" si="209"/>
        <v>0</v>
      </c>
      <c r="DX83" s="1184">
        <f t="shared" si="209"/>
        <v>0</v>
      </c>
      <c r="DY83" s="1184">
        <f t="shared" si="209"/>
        <v>0</v>
      </c>
      <c r="DZ83" s="1184">
        <f t="shared" si="209"/>
        <v>0</v>
      </c>
      <c r="EA83" s="1184"/>
      <c r="EB83" s="1184">
        <f t="shared" si="210"/>
        <v>0</v>
      </c>
      <c r="EC83" s="1184">
        <f t="shared" si="210"/>
        <v>0</v>
      </c>
      <c r="ED83" s="1184">
        <f t="shared" si="210"/>
        <v>0</v>
      </c>
      <c r="EE83" s="1184">
        <f t="shared" si="210"/>
        <v>0</v>
      </c>
      <c r="EF83" s="1184">
        <f t="shared" si="210"/>
        <v>0</v>
      </c>
      <c r="EG83" s="1184">
        <f t="shared" si="210"/>
        <v>0</v>
      </c>
      <c r="EH83" s="1184">
        <f t="shared" si="210"/>
        <v>0</v>
      </c>
      <c r="EI83" s="1184">
        <f t="shared" si="210"/>
        <v>0</v>
      </c>
      <c r="EJ83" s="1184">
        <f t="shared" si="210"/>
        <v>0</v>
      </c>
      <c r="EK83" s="1184">
        <f t="shared" si="210"/>
        <v>0</v>
      </c>
      <c r="EL83" s="1184">
        <f t="shared" si="210"/>
        <v>0</v>
      </c>
      <c r="EM83" s="1184">
        <f t="shared" si="210"/>
        <v>0</v>
      </c>
      <c r="EN83" s="1184"/>
      <c r="EO83" s="1184">
        <f t="shared" si="211"/>
        <v>0</v>
      </c>
      <c r="EP83" s="1184">
        <f t="shared" si="211"/>
        <v>0</v>
      </c>
      <c r="EQ83" s="1184">
        <f t="shared" si="211"/>
        <v>0</v>
      </c>
      <c r="ER83" s="1184">
        <f t="shared" si="211"/>
        <v>0</v>
      </c>
      <c r="ES83" s="1184">
        <f t="shared" si="211"/>
        <v>0</v>
      </c>
      <c r="ET83" s="1184">
        <f t="shared" si="211"/>
        <v>0</v>
      </c>
      <c r="EU83" s="1184">
        <f t="shared" si="211"/>
        <v>0</v>
      </c>
      <c r="EV83" s="1184">
        <f t="shared" si="211"/>
        <v>0</v>
      </c>
      <c r="EW83" s="1184">
        <f t="shared" si="211"/>
        <v>0</v>
      </c>
      <c r="EX83" s="1184">
        <f t="shared" si="211"/>
        <v>0</v>
      </c>
      <c r="EY83" s="1184">
        <f t="shared" si="211"/>
        <v>0</v>
      </c>
      <c r="EZ83" s="1184">
        <f t="shared" si="211"/>
        <v>0</v>
      </c>
      <c r="FA83" s="1184"/>
      <c r="FB83" s="1186">
        <f t="shared" si="182"/>
        <v>0</v>
      </c>
      <c r="FC83" s="1184">
        <f>FB83+DB83+EB83                 -         SUMIF('Nährstoffe und Lagerraum'!$AX$113:$AX$155,$CZ83,'Nährstoffe und Lagerraum'!$U$113:$U$155)/12  -$GD83*$HE83/12</f>
        <v>0</v>
      </c>
      <c r="FD83" s="1184">
        <f>FC83+DC83+EC83                 -         SUMIF('Nährstoffe und Lagerraum'!$AX$113:$AX$155,$CZ83,'Nährstoffe und Lagerraum'!$U$113:$U$155)/12  -$GD83*$HE83/12</f>
        <v>0</v>
      </c>
      <c r="FE83" s="1184">
        <f>FD83+DD83+ED83                 -         SUMIF('Nährstoffe und Lagerraum'!$AX$113:$AX$155,$CZ83,'Nährstoffe und Lagerraum'!$U$113:$U$155)/12  -$GD83*$HE83/12</f>
        <v>0</v>
      </c>
      <c r="FF83" s="1184">
        <f>FE83+DE83+EE83                 -         SUMIF('Nährstoffe und Lagerraum'!$AX$113:$AX$155,$CZ83,'Nährstoffe und Lagerraum'!$U$113:$U$155)/12  -$GD83*$HE83/12</f>
        <v>0</v>
      </c>
      <c r="FG83" s="1184">
        <f>FF83+DF83+EF83                 -         SUMIF('Nährstoffe und Lagerraum'!$AX$113:$AX$155,$CZ83,'Nährstoffe und Lagerraum'!$U$113:$U$155)/12  -$GD83*$HE83/12</f>
        <v>0</v>
      </c>
      <c r="FH83" s="1184">
        <f>FG83+DG83+EG83                 -         SUMIF('Nährstoffe und Lagerraum'!$AX$113:$AX$155,$CZ83,'Nährstoffe und Lagerraum'!$U$113:$U$155)/12  -$GD83*$HE83/12</f>
        <v>0</v>
      </c>
      <c r="FI83" s="1184">
        <f>FH83+DH83+EH83                 -         SUMIF('Nährstoffe und Lagerraum'!$AX$113:$AX$155,$CZ83,'Nährstoffe und Lagerraum'!$U$113:$U$155)/12  -$GD83*$HE83/12</f>
        <v>0</v>
      </c>
      <c r="FJ83" s="1184">
        <f>FI83+DI83+EI83                 -         SUMIF('Nährstoffe und Lagerraum'!$AX$113:$AX$155,$CZ83,'Nährstoffe und Lagerraum'!$U$113:$U$155)/12  -$GD83*$HE83/12</f>
        <v>0</v>
      </c>
      <c r="FK83" s="1184">
        <f>FJ83+DJ83+EJ83                 -         SUMIF('Nährstoffe und Lagerraum'!$AX$113:$AX$155,$CZ83,'Nährstoffe und Lagerraum'!$U$113:$U$155)/12  -$GD83*$HE83/12</f>
        <v>0</v>
      </c>
      <c r="FL83" s="1184">
        <f>FK83+DK83+EK83                 -         SUMIF('Nährstoffe und Lagerraum'!$AX$113:$AX$155,$CZ83,'Nährstoffe und Lagerraum'!$U$113:$U$155)/12  -$GD83*$HE83/12</f>
        <v>0</v>
      </c>
      <c r="FM83" s="1184">
        <f>FL83+DL83+EL83                 -         SUMIF('Nährstoffe und Lagerraum'!$AX$113:$AX$155,$CZ83,'Nährstoffe und Lagerraum'!$U$113:$U$155)/12  -$GD83*$HE83/12</f>
        <v>0</v>
      </c>
      <c r="FN83" s="1184">
        <f>FM83+DM83+EM83                 -         SUMIF('Nährstoffe und Lagerraum'!$AX$113:$AX$155,$CZ83,'Nährstoffe und Lagerraum'!$U$113:$U$155)/12  -$GD83*$HE83/12</f>
        <v>0</v>
      </c>
      <c r="FO83" s="1184"/>
      <c r="FP83" s="1186">
        <f t="shared" si="183"/>
        <v>0</v>
      </c>
      <c r="FQ83" s="1184">
        <f>FP83+DO83+EO83                 -         SUMIF('Nährstoffe und Lagerraum'!$AX$113:$AX$155,$CZ83,'Nährstoffe und Lagerraum'!$V$113:$V$155)/12  -$GE83*$HE83/12</f>
        <v>0</v>
      </c>
      <c r="FR83" s="1184">
        <f>FQ83+DP83+EP83                 -         SUMIF('Nährstoffe und Lagerraum'!$AX$113:$AX$155,$CZ83,'Nährstoffe und Lagerraum'!$V$113:$V$155)/12  -$GE83*$HE83/12</f>
        <v>0</v>
      </c>
      <c r="FS83" s="1184">
        <f>FR83+DQ83+EQ83                 -         SUMIF('Nährstoffe und Lagerraum'!$AX$113:$AX$155,$CZ83,'Nährstoffe und Lagerraum'!$V$113:$V$155)/12  -$GE83*$HE83/12</f>
        <v>0</v>
      </c>
      <c r="FT83" s="1184">
        <f>FS83+DR83+ER83                 -         SUMIF('Nährstoffe und Lagerraum'!$AX$113:$AX$155,$CZ83,'Nährstoffe und Lagerraum'!$V$113:$V$155)/12  -$GE83*$HE83/12</f>
        <v>0</v>
      </c>
      <c r="FU83" s="1184">
        <f>FT83+DS83+ES83                 -         SUMIF('Nährstoffe und Lagerraum'!$AX$113:$AX$155,$CZ83,'Nährstoffe und Lagerraum'!$V$113:$V$155)/12  -$GE83*$HE83/12</f>
        <v>0</v>
      </c>
      <c r="FV83" s="1184">
        <f>FU83+DT83+ET83                 -         SUMIF('Nährstoffe und Lagerraum'!$AX$113:$AX$155,$CZ83,'Nährstoffe und Lagerraum'!$V$113:$V$155)/12  -$GE83*$HE83/12</f>
        <v>0</v>
      </c>
      <c r="FW83" s="1184">
        <f>FV83+DU83+EU83                 -         SUMIF('Nährstoffe und Lagerraum'!$AX$113:$AX$155,$CZ83,'Nährstoffe und Lagerraum'!$V$113:$V$155)/12  -$GE83*$HE83/12</f>
        <v>0</v>
      </c>
      <c r="FX83" s="1184">
        <f>FW83+DV83+EV83                 -         SUMIF('Nährstoffe und Lagerraum'!$AX$113:$AX$155,$CZ83,'Nährstoffe und Lagerraum'!$V$113:$V$155)/12  -$GE83*$HE83/12</f>
        <v>0</v>
      </c>
      <c r="FY83" s="1184">
        <f>FX83+DW83+EW83                 -         SUMIF('Nährstoffe und Lagerraum'!$AX$113:$AX$155,$CZ83,'Nährstoffe und Lagerraum'!$V$113:$V$155)/12  -$GE83*$HE83/12</f>
        <v>0</v>
      </c>
      <c r="FZ83" s="1184">
        <f>FY83+DX83+EX83                 -         SUMIF('Nährstoffe und Lagerraum'!$AX$113:$AX$155,$CZ83,'Nährstoffe und Lagerraum'!$V$113:$V$155)/12  -$GE83*$HE83/12</f>
        <v>0</v>
      </c>
      <c r="GA83" s="1184">
        <f>FZ83+DY83+EY83                 -         SUMIF('Nährstoffe und Lagerraum'!$AX$113:$AX$155,$CZ83,'Nährstoffe und Lagerraum'!$V$113:$V$155)/12  -$GE83*$HE83/12</f>
        <v>0</v>
      </c>
      <c r="GB83" s="1184">
        <f>GA83+DZ83+EZ83                 -         SUMIF('Nährstoffe und Lagerraum'!$AX$113:$AX$155,$CZ83,'Nährstoffe und Lagerraum'!$V$113:$V$155)/12  -$GE83*$HE83/12</f>
        <v>0</v>
      </c>
      <c r="GC83" s="1184"/>
      <c r="GD83" s="1184">
        <f>SUMIFS($CI$14:$CI$68,$BR$14:$BR$68,$CZ83)+SUMIFS($CM$14:$CM$68,$BR$14:$BR$68,$CZ83)+SUMIFS($CR$14:$CR$68,$BR$14:$BR$68,$CZ83)  -         SUMIF('Nährstoffe und Lagerraum'!$AX$113:$AX$155,$CZ83,'Nährstoffe und Lagerraum'!$U$113:$U$155)</f>
        <v>0</v>
      </c>
      <c r="GE83" s="1184">
        <f>SUMIFS($CJ$14:$CJ$68,$BR$14:$BR$68,$CZ83)+SUMIFS($CO$14:$CO$68,$BR$14:$BR$68,$CZ83)+SUMIFS($CT$14:$CT$68,$BR$14:$BR$68,$CZ83)  -         SUMIF('Nährstoffe und Lagerraum'!$AX$113:$AX$155,$CZ83,'Nährstoffe und Lagerraum'!$V$113:$V$155)</f>
        <v>0</v>
      </c>
      <c r="GF83" s="1184"/>
      <c r="GG83" s="1184"/>
      <c r="GH83" s="1184">
        <f>SUMIF('Nährstoffe und Lagerraum'!$AX$113:$AX$155,$CZ83,'Nährstoffe und Lagerraum'!$U$113:$U$155)</f>
        <v>0</v>
      </c>
      <c r="GI83" s="1184">
        <f>SUMIF('Nährstoffe und Lagerraum'!$AX$113:$AX$155,$CZ83,'Nährstoffe und Lagerraum'!$V$113:$V$155)</f>
        <v>0</v>
      </c>
      <c r="GJ83" s="1184">
        <f t="shared" si="184"/>
        <v>0</v>
      </c>
      <c r="GK83" s="1184">
        <f t="shared" si="185"/>
        <v>0</v>
      </c>
      <c r="GL83" s="1184">
        <f t="shared" si="186"/>
        <v>0</v>
      </c>
      <c r="GM83" s="1184">
        <f t="shared" si="187"/>
        <v>0</v>
      </c>
      <c r="GN83" s="1184">
        <f t="shared" si="188"/>
        <v>0</v>
      </c>
      <c r="GO83" s="1184" cm="1">
        <f t="array" ref="GO83">IF(GN83=0,0,(IFERROR(SUMPRODUCT($J$14:$J$68,$CH$14:$CH$68,($BR$14:$BR$68=CZ83)*1)+SUMPRODUCT($L$14:$L$68,$M$14:$M$68,$CK$14:$CK$68,($BR$14:$BR$68=CZ83)*1,($BT$14:$BT$68=FALSE)*1)/10+SUMPRODUCT($R$14:$R$68,$CP$14:$CP$68,($BR$14:$BR$68=CZ83)*1),0))/GN83)</f>
        <v>0</v>
      </c>
      <c r="GP83" s="1184">
        <f t="shared" si="189"/>
        <v>0</v>
      </c>
      <c r="GQ83" s="1184">
        <f>(SUMIF('Nährstoffe und Lagerraum'!$AX$113:$AX$130,'Lagerhaltung (freiwillig)'!CZ83,'Nährstoffe und Lagerraum'!$D$113:$D$130)+SUMIF('Nährstoffe und Lagerraum'!$AX$137:$AX$155,'Lagerhaltung (freiwillig)'!CZ83,'Nährstoffe und Lagerraum'!$E$137:$E$155))</f>
        <v>0</v>
      </c>
      <c r="GR83" s="1184" cm="1">
        <f t="array" ref="GR83">IF(GQ83=0,0,(IFERROR(SUMPRODUCT('Nährstoffe und Lagerraum'!$D$113:$D$130,'Nährstoffe und Lagerraum'!$F$113:$F$130,('Nährstoffe und Lagerraum'!$AX$113:$AX$130='Lagerhaltung (freiwillig)'!CZ83)*1)+SUMPRODUCT('Nährstoffe und Lagerraum'!$E$137:$E$155,'Nährstoffe und Lagerraum'!$F$137:$F$155,('Nährstoffe und Lagerraum'!$AX$137:$AX$155='Lagerhaltung (freiwillig)'!CZ83)*1),0))/GQ83)</f>
        <v>0</v>
      </c>
      <c r="GS83" s="1184">
        <f t="shared" si="190"/>
        <v>0</v>
      </c>
      <c r="GT83" s="1184">
        <f t="shared" si="191"/>
        <v>0</v>
      </c>
      <c r="GU83" s="1184">
        <f t="shared" si="192"/>
        <v>0</v>
      </c>
      <c r="GV83" s="1184">
        <f t="shared" si="193"/>
        <v>0</v>
      </c>
      <c r="GW83" s="1186" t="str">
        <f t="shared" si="177"/>
        <v xml:space="preserve"> </v>
      </c>
      <c r="GX83" s="1186" t="str">
        <f t="shared" si="177"/>
        <v xml:space="preserve"> </v>
      </c>
      <c r="GY83" s="1195">
        <f t="shared" si="194"/>
        <v>0</v>
      </c>
      <c r="GZ83" s="1184">
        <f t="shared" si="195"/>
        <v>0</v>
      </c>
      <c r="HA83" s="1184" t="str">
        <f t="shared" si="176"/>
        <v>a</v>
      </c>
      <c r="HB83" s="1196">
        <f t="shared" si="196"/>
        <v>0</v>
      </c>
      <c r="HC83" s="1196">
        <f t="shared" si="197"/>
        <v>0</v>
      </c>
      <c r="HD83" s="1196"/>
      <c r="HE83" s="1187">
        <f t="shared" si="198"/>
        <v>0</v>
      </c>
      <c r="HF83" s="1196">
        <f t="shared" si="199"/>
        <v>0</v>
      </c>
      <c r="HG83" s="1196">
        <f t="shared" si="200"/>
        <v>0</v>
      </c>
      <c r="HH83" s="1196">
        <f t="shared" si="201"/>
        <v>0</v>
      </c>
      <c r="HI83" s="1329" cm="1">
        <f t="array" ref="HI83">IF(AND(HG83=0,GL83=0),0,IF(HG83=0,1,IF(OR(GL83*1000/HG83/HH83&gt;INDEX(Pflanzen!$W$5:$W$104,CZ83)/INDEX(Pflanzen!$I$5:$I$104,CZ83)*$HI$1,GL83*1000/HG83/HH83&lt;INDEX(Pflanzen!$W$5:$W$104,CZ83)/INDEX(Pflanzen!$I$5:$I$104,CZ83)/$HI$1),1,0)))</f>
        <v>0</v>
      </c>
      <c r="HJ83" s="1329" cm="1">
        <f t="array" ref="HJ83">IF(AND(GM83=0,HG83=0),0,IF(HG83=0,1,IF(OR(GM83*1000/HG83/HH83&gt;INDEX(Pflanzen!$X$5:$X$104,CZ83)/INDEX(Pflanzen!$I$5:$I$104,CZ83)*$HI$1,GM83*1000/HG83/HH83&lt;INDEX(Pflanzen!$X$5:$X$104,CZ83)/INDEX(Pflanzen!$I$5:$I$104,CZ83)/$HI$1),1,0)))</f>
        <v>0</v>
      </c>
      <c r="HK83" s="1184">
        <f t="shared" si="202"/>
        <v>3</v>
      </c>
      <c r="HL83" s="1184"/>
      <c r="HN83" s="1184"/>
      <c r="HO83" s="1193" t="str">
        <f>Tiere!B109</f>
        <v>--</v>
      </c>
      <c r="HP83" s="1184">
        <v>80</v>
      </c>
      <c r="HQ83" s="1194">
        <f>SUMIF('Nährstoffe und Lagerraum'!$BM$68:$BM$87,'Lagerhaltung (freiwillig)'!HP83,'Nährstoffe und Lagerraum'!$Z$68:$Z$87)+SUMIF('Nährstoffe und Lagerraum'!$BM$68:$BM$87,'Lagerhaltung (freiwillig)'!HP83,'Nährstoffe und Lagerraum'!$AA$68:$AA$87)</f>
        <v>0</v>
      </c>
      <c r="HR83" s="1184" cm="1">
        <f t="array" ref="HR83">INDEX(Tiere!$C$30:$C$114,'Lagerhaltung (freiwillig)'!HP83)</f>
        <v>2</v>
      </c>
      <c r="HS83" s="1184" cm="1">
        <f t="array" ref="HS83">INDEX(Tiere!$H$30:$H$114,'Lagerhaltung (freiwillig)'!HP83)</f>
        <v>0</v>
      </c>
      <c r="HT83" s="1184">
        <f t="shared" si="171"/>
        <v>0</v>
      </c>
      <c r="HU83" s="1184" cm="1">
        <f t="array" ref="HU83">INDEX(Tiere!$I$30:$I$114,'Lagerhaltung (freiwillig)'!HP83)</f>
        <v>0</v>
      </c>
      <c r="HV83" s="1184">
        <f t="shared" si="172"/>
        <v>0</v>
      </c>
      <c r="HW83" s="1184" cm="1">
        <f t="array" ref="HW83">INDEX(Tiere!$BC$30:$BC$114,'Lagerhaltung (freiwillig)'!HP83)</f>
        <v>0</v>
      </c>
      <c r="HX83" s="1184">
        <f t="shared" si="173"/>
        <v>0</v>
      </c>
      <c r="HY83" s="1184" cm="1">
        <f t="array" ref="HY83">INDEX(Tiere!$BD$30:$BD$114,'Lagerhaltung (freiwillig)'!HP83)</f>
        <v>0</v>
      </c>
      <c r="HZ83" s="1184">
        <f t="shared" si="174"/>
        <v>0</v>
      </c>
      <c r="IA83" s="1184"/>
      <c r="IB83" s="1184"/>
      <c r="IC83" s="1184"/>
      <c r="ID83" s="1184"/>
      <c r="IE83" s="1184"/>
      <c r="IF83" s="1184"/>
      <c r="IG83" s="1184"/>
      <c r="IH83" s="1184"/>
      <c r="II83" s="1184"/>
      <c r="IJ83" s="1184"/>
      <c r="IK83" s="1184"/>
      <c r="IL83" s="1184"/>
    </row>
    <row r="84" spans="1:246" ht="15.6" customHeight="1" x14ac:dyDescent="0.2">
      <c r="A84" s="3106"/>
      <c r="B84" s="3140"/>
      <c r="C84" s="3140"/>
      <c r="D84" s="3140"/>
      <c r="E84" s="3141"/>
      <c r="F84" s="1122"/>
      <c r="G84" s="1498"/>
      <c r="H84" s="1336"/>
      <c r="I84" s="1345">
        <f t="shared" si="218"/>
        <v>0</v>
      </c>
      <c r="J84" s="1487"/>
      <c r="K84" s="1113"/>
      <c r="L84" s="1114"/>
      <c r="M84" s="1114"/>
      <c r="N84" s="1115"/>
      <c r="O84" s="1115"/>
      <c r="P84" s="1116"/>
      <c r="Q84" s="1345">
        <f t="shared" si="219"/>
        <v>0</v>
      </c>
      <c r="R84" s="1491"/>
      <c r="S84" s="2185"/>
      <c r="T84" s="1487"/>
      <c r="U84" s="725"/>
      <c r="V84" s="1346" t="str">
        <f t="shared" si="220"/>
        <v/>
      </c>
      <c r="X84" s="702"/>
      <c r="Y84" s="1981"/>
      <c r="Z84" s="1982"/>
      <c r="AA84" s="1982"/>
      <c r="AB84" s="1982"/>
      <c r="AC84" s="1983"/>
      <c r="AD84" s="1983"/>
      <c r="AE84" s="1983"/>
      <c r="AF84" s="1983"/>
      <c r="AG84" s="1983"/>
      <c r="AH84" s="1983"/>
      <c r="AI84" s="1983"/>
      <c r="AJ84" s="1983"/>
      <c r="AK84" s="1983"/>
      <c r="AL84" s="1984"/>
      <c r="AM84" s="1983"/>
      <c r="AN84" s="1983"/>
      <c r="AO84" s="1983"/>
      <c r="AP84" s="1983"/>
      <c r="AQ84" s="1983"/>
      <c r="AR84" s="1983"/>
      <c r="AS84" s="1983"/>
      <c r="AT84" s="1983"/>
      <c r="AU84" s="1983"/>
      <c r="AV84" s="1983"/>
      <c r="AW84" s="1985"/>
      <c r="AX84" s="1985"/>
      <c r="AY84" s="1985"/>
      <c r="AZ84" s="1985"/>
      <c r="BA84" s="1462"/>
      <c r="BB84" s="1462"/>
      <c r="BC84" s="1462"/>
      <c r="BD84" s="1461"/>
      <c r="BE84" s="1462"/>
      <c r="BF84" s="1343"/>
      <c r="BG84" s="1343"/>
      <c r="BH84" s="1343"/>
      <c r="BI84" s="1343"/>
      <c r="BJ84" s="1343"/>
      <c r="BK84" s="1343"/>
      <c r="BL84" s="1343"/>
      <c r="BM84" s="1343"/>
      <c r="BN84" s="1343"/>
      <c r="BO84" s="1343"/>
      <c r="BQ84" s="1184"/>
      <c r="BR84" s="1184"/>
      <c r="BS84" s="1184"/>
      <c r="BT84" s="1184"/>
      <c r="BU84" s="1185"/>
      <c r="BV84" s="1185"/>
      <c r="BW84" s="1184">
        <f t="shared" si="178"/>
        <v>12</v>
      </c>
      <c r="BX84" s="1184">
        <f t="shared" si="179"/>
        <v>0</v>
      </c>
      <c r="BY84" s="1184">
        <f t="shared" si="180"/>
        <v>12</v>
      </c>
      <c r="BZ84" s="1184"/>
      <c r="CA84" s="1194"/>
      <c r="CB84" s="1194"/>
      <c r="CC84" s="1184"/>
      <c r="CD84" s="1184"/>
      <c r="CE84" s="1184"/>
      <c r="CF84" s="1184"/>
      <c r="CG84" s="1184"/>
      <c r="CH84" s="1184"/>
      <c r="CI84" s="1184">
        <f t="shared" si="212"/>
        <v>0</v>
      </c>
      <c r="CJ84" s="1184">
        <f t="shared" si="213"/>
        <v>0</v>
      </c>
      <c r="CK84" s="1184"/>
      <c r="CL84" s="1184"/>
      <c r="CM84" s="1184"/>
      <c r="CN84" s="1184"/>
      <c r="CO84" s="1184"/>
      <c r="CP84" s="1184"/>
      <c r="CQ84" s="1184">
        <f t="shared" si="214"/>
        <v>0</v>
      </c>
      <c r="CR84" s="1184">
        <f t="shared" si="215"/>
        <v>0</v>
      </c>
      <c r="CS84" s="1184">
        <f t="shared" si="216"/>
        <v>0</v>
      </c>
      <c r="CT84" s="1184">
        <f t="shared" si="217"/>
        <v>0</v>
      </c>
      <c r="CU84" s="1184">
        <f t="shared" si="206"/>
        <v>2</v>
      </c>
      <c r="CV84" s="1184">
        <f t="shared" si="181"/>
        <v>0</v>
      </c>
      <c r="CW84" s="1186">
        <f t="shared" si="207"/>
        <v>0</v>
      </c>
      <c r="CX84" s="1184"/>
      <c r="CY84" s="320">
        <f>Pflanzen!A80</f>
        <v>0</v>
      </c>
      <c r="CZ84" s="1200">
        <f>IFERROR(MATCH($CY84,Pflanzen!$C$5:$C$114,0),1)</f>
        <v>1</v>
      </c>
      <c r="DA84" s="320" cm="1">
        <f t="array" ref="DA84">INDEX(Pflanzen!$H$5:$H$114,'Lagerhaltung (freiwillig)'!CZ84)</f>
        <v>0</v>
      </c>
      <c r="DB84" s="1200">
        <f t="shared" si="208"/>
        <v>0</v>
      </c>
      <c r="DC84" s="1200">
        <f t="shared" si="208"/>
        <v>0</v>
      </c>
      <c r="DD84" s="1200">
        <f t="shared" si="208"/>
        <v>0</v>
      </c>
      <c r="DE84" s="1200">
        <f t="shared" si="208"/>
        <v>0</v>
      </c>
      <c r="DF84" s="1200">
        <f t="shared" si="208"/>
        <v>0</v>
      </c>
      <c r="DG84" s="1184">
        <f t="shared" si="208"/>
        <v>0</v>
      </c>
      <c r="DH84" s="1184">
        <f t="shared" si="208"/>
        <v>0</v>
      </c>
      <c r="DI84" s="1184">
        <f t="shared" si="208"/>
        <v>0</v>
      </c>
      <c r="DJ84" s="1184">
        <f t="shared" si="208"/>
        <v>0</v>
      </c>
      <c r="DK84" s="1184">
        <f t="shared" si="208"/>
        <v>0</v>
      </c>
      <c r="DL84" s="1184">
        <f t="shared" si="208"/>
        <v>0</v>
      </c>
      <c r="DM84" s="1184">
        <f t="shared" si="208"/>
        <v>0</v>
      </c>
      <c r="DN84" s="1184"/>
      <c r="DO84" s="1184">
        <f t="shared" si="209"/>
        <v>0</v>
      </c>
      <c r="DP84" s="1184">
        <f t="shared" si="209"/>
        <v>0</v>
      </c>
      <c r="DQ84" s="1184">
        <f t="shared" si="209"/>
        <v>0</v>
      </c>
      <c r="DR84" s="1184">
        <f t="shared" si="209"/>
        <v>0</v>
      </c>
      <c r="DS84" s="1184">
        <f t="shared" si="209"/>
        <v>0</v>
      </c>
      <c r="DT84" s="1184">
        <f t="shared" si="209"/>
        <v>0</v>
      </c>
      <c r="DU84" s="1184">
        <f t="shared" si="209"/>
        <v>0</v>
      </c>
      <c r="DV84" s="1184">
        <f t="shared" si="209"/>
        <v>0</v>
      </c>
      <c r="DW84" s="1184">
        <f t="shared" si="209"/>
        <v>0</v>
      </c>
      <c r="DX84" s="1184">
        <f t="shared" si="209"/>
        <v>0</v>
      </c>
      <c r="DY84" s="1184">
        <f t="shared" si="209"/>
        <v>0</v>
      </c>
      <c r="DZ84" s="1184">
        <f t="shared" si="209"/>
        <v>0</v>
      </c>
      <c r="EA84" s="1184"/>
      <c r="EB84" s="1184">
        <f t="shared" si="210"/>
        <v>0</v>
      </c>
      <c r="EC84" s="1184">
        <f t="shared" si="210"/>
        <v>0</v>
      </c>
      <c r="ED84" s="1184">
        <f t="shared" si="210"/>
        <v>0</v>
      </c>
      <c r="EE84" s="1184">
        <f t="shared" si="210"/>
        <v>0</v>
      </c>
      <c r="EF84" s="1184">
        <f t="shared" si="210"/>
        <v>0</v>
      </c>
      <c r="EG84" s="1184">
        <f t="shared" si="210"/>
        <v>0</v>
      </c>
      <c r="EH84" s="1184">
        <f t="shared" si="210"/>
        <v>0</v>
      </c>
      <c r="EI84" s="1184">
        <f t="shared" si="210"/>
        <v>0</v>
      </c>
      <c r="EJ84" s="1184">
        <f t="shared" si="210"/>
        <v>0</v>
      </c>
      <c r="EK84" s="1184">
        <f t="shared" si="210"/>
        <v>0</v>
      </c>
      <c r="EL84" s="1184">
        <f t="shared" si="210"/>
        <v>0</v>
      </c>
      <c r="EM84" s="1184">
        <f t="shared" si="210"/>
        <v>0</v>
      </c>
      <c r="EN84" s="1184"/>
      <c r="EO84" s="1184">
        <f t="shared" si="211"/>
        <v>0</v>
      </c>
      <c r="EP84" s="1184">
        <f t="shared" si="211"/>
        <v>0</v>
      </c>
      <c r="EQ84" s="1184">
        <f t="shared" si="211"/>
        <v>0</v>
      </c>
      <c r="ER84" s="1184">
        <f t="shared" si="211"/>
        <v>0</v>
      </c>
      <c r="ES84" s="1184">
        <f t="shared" si="211"/>
        <v>0</v>
      </c>
      <c r="ET84" s="1184">
        <f t="shared" si="211"/>
        <v>0</v>
      </c>
      <c r="EU84" s="1184">
        <f t="shared" si="211"/>
        <v>0</v>
      </c>
      <c r="EV84" s="1184">
        <f t="shared" si="211"/>
        <v>0</v>
      </c>
      <c r="EW84" s="1184">
        <f t="shared" si="211"/>
        <v>0</v>
      </c>
      <c r="EX84" s="1184">
        <f t="shared" si="211"/>
        <v>0</v>
      </c>
      <c r="EY84" s="1184">
        <f t="shared" si="211"/>
        <v>0</v>
      </c>
      <c r="EZ84" s="1184">
        <f t="shared" si="211"/>
        <v>0</v>
      </c>
      <c r="FA84" s="1184"/>
      <c r="FB84" s="1186">
        <f t="shared" si="182"/>
        <v>0</v>
      </c>
      <c r="FC84" s="1184">
        <f>FB84+DB84+EB84                 -         SUMIF('Nährstoffe und Lagerraum'!$AX$113:$AX$155,$CZ84,'Nährstoffe und Lagerraum'!$U$113:$U$155)/12  -$GD84*$HE84/12</f>
        <v>0</v>
      </c>
      <c r="FD84" s="1184">
        <f>FC84+DC84+EC84                 -         SUMIF('Nährstoffe und Lagerraum'!$AX$113:$AX$155,$CZ84,'Nährstoffe und Lagerraum'!$U$113:$U$155)/12  -$GD84*$HE84/12</f>
        <v>0</v>
      </c>
      <c r="FE84" s="1184">
        <f>FD84+DD84+ED84                 -         SUMIF('Nährstoffe und Lagerraum'!$AX$113:$AX$155,$CZ84,'Nährstoffe und Lagerraum'!$U$113:$U$155)/12  -$GD84*$HE84/12</f>
        <v>0</v>
      </c>
      <c r="FF84" s="1184">
        <f>FE84+DE84+EE84                 -         SUMIF('Nährstoffe und Lagerraum'!$AX$113:$AX$155,$CZ84,'Nährstoffe und Lagerraum'!$U$113:$U$155)/12  -$GD84*$HE84/12</f>
        <v>0</v>
      </c>
      <c r="FG84" s="1184">
        <f>FF84+DF84+EF84                 -         SUMIF('Nährstoffe und Lagerraum'!$AX$113:$AX$155,$CZ84,'Nährstoffe und Lagerraum'!$U$113:$U$155)/12  -$GD84*$HE84/12</f>
        <v>0</v>
      </c>
      <c r="FH84" s="1184">
        <f>FG84+DG84+EG84                 -         SUMIF('Nährstoffe und Lagerraum'!$AX$113:$AX$155,$CZ84,'Nährstoffe und Lagerraum'!$U$113:$U$155)/12  -$GD84*$HE84/12</f>
        <v>0</v>
      </c>
      <c r="FI84" s="1184">
        <f>FH84+DH84+EH84                 -         SUMIF('Nährstoffe und Lagerraum'!$AX$113:$AX$155,$CZ84,'Nährstoffe und Lagerraum'!$U$113:$U$155)/12  -$GD84*$HE84/12</f>
        <v>0</v>
      </c>
      <c r="FJ84" s="1184">
        <f>FI84+DI84+EI84                 -         SUMIF('Nährstoffe und Lagerraum'!$AX$113:$AX$155,$CZ84,'Nährstoffe und Lagerraum'!$U$113:$U$155)/12  -$GD84*$HE84/12</f>
        <v>0</v>
      </c>
      <c r="FK84" s="1184">
        <f>FJ84+DJ84+EJ84                 -         SUMIF('Nährstoffe und Lagerraum'!$AX$113:$AX$155,$CZ84,'Nährstoffe und Lagerraum'!$U$113:$U$155)/12  -$GD84*$HE84/12</f>
        <v>0</v>
      </c>
      <c r="FL84" s="1184">
        <f>FK84+DK84+EK84                 -         SUMIF('Nährstoffe und Lagerraum'!$AX$113:$AX$155,$CZ84,'Nährstoffe und Lagerraum'!$U$113:$U$155)/12  -$GD84*$HE84/12</f>
        <v>0</v>
      </c>
      <c r="FM84" s="1184">
        <f>FL84+DL84+EL84                 -         SUMIF('Nährstoffe und Lagerraum'!$AX$113:$AX$155,$CZ84,'Nährstoffe und Lagerraum'!$U$113:$U$155)/12  -$GD84*$HE84/12</f>
        <v>0</v>
      </c>
      <c r="FN84" s="1184">
        <f>FM84+DM84+EM84                 -         SUMIF('Nährstoffe und Lagerraum'!$AX$113:$AX$155,$CZ84,'Nährstoffe und Lagerraum'!$U$113:$U$155)/12  -$GD84*$HE84/12</f>
        <v>0</v>
      </c>
      <c r="FO84" s="1184"/>
      <c r="FP84" s="1186">
        <f t="shared" si="183"/>
        <v>0</v>
      </c>
      <c r="FQ84" s="1184">
        <f>FP84+DO84+EO84                 -         SUMIF('Nährstoffe und Lagerraum'!$AX$113:$AX$155,$CZ84,'Nährstoffe und Lagerraum'!$V$113:$V$155)/12  -$GE84*$HE84/12</f>
        <v>0</v>
      </c>
      <c r="FR84" s="1184">
        <f>FQ84+DP84+EP84                 -         SUMIF('Nährstoffe und Lagerraum'!$AX$113:$AX$155,$CZ84,'Nährstoffe und Lagerraum'!$V$113:$V$155)/12  -$GE84*$HE84/12</f>
        <v>0</v>
      </c>
      <c r="FS84" s="1184">
        <f>FR84+DQ84+EQ84                 -         SUMIF('Nährstoffe und Lagerraum'!$AX$113:$AX$155,$CZ84,'Nährstoffe und Lagerraum'!$V$113:$V$155)/12  -$GE84*$HE84/12</f>
        <v>0</v>
      </c>
      <c r="FT84" s="1184">
        <f>FS84+DR84+ER84                 -         SUMIF('Nährstoffe und Lagerraum'!$AX$113:$AX$155,$CZ84,'Nährstoffe und Lagerraum'!$V$113:$V$155)/12  -$GE84*$HE84/12</f>
        <v>0</v>
      </c>
      <c r="FU84" s="1184">
        <f>FT84+DS84+ES84                 -         SUMIF('Nährstoffe und Lagerraum'!$AX$113:$AX$155,$CZ84,'Nährstoffe und Lagerraum'!$V$113:$V$155)/12  -$GE84*$HE84/12</f>
        <v>0</v>
      </c>
      <c r="FV84" s="1184">
        <f>FU84+DT84+ET84                 -         SUMIF('Nährstoffe und Lagerraum'!$AX$113:$AX$155,$CZ84,'Nährstoffe und Lagerraum'!$V$113:$V$155)/12  -$GE84*$HE84/12</f>
        <v>0</v>
      </c>
      <c r="FW84" s="1184">
        <f>FV84+DU84+EU84                 -         SUMIF('Nährstoffe und Lagerraum'!$AX$113:$AX$155,$CZ84,'Nährstoffe und Lagerraum'!$V$113:$V$155)/12  -$GE84*$HE84/12</f>
        <v>0</v>
      </c>
      <c r="FX84" s="1184">
        <f>FW84+DV84+EV84                 -         SUMIF('Nährstoffe und Lagerraum'!$AX$113:$AX$155,$CZ84,'Nährstoffe und Lagerraum'!$V$113:$V$155)/12  -$GE84*$HE84/12</f>
        <v>0</v>
      </c>
      <c r="FY84" s="1184">
        <f>FX84+DW84+EW84                 -         SUMIF('Nährstoffe und Lagerraum'!$AX$113:$AX$155,$CZ84,'Nährstoffe und Lagerraum'!$V$113:$V$155)/12  -$GE84*$HE84/12</f>
        <v>0</v>
      </c>
      <c r="FZ84" s="1184">
        <f>FY84+DX84+EX84                 -         SUMIF('Nährstoffe und Lagerraum'!$AX$113:$AX$155,$CZ84,'Nährstoffe und Lagerraum'!$V$113:$V$155)/12  -$GE84*$HE84/12</f>
        <v>0</v>
      </c>
      <c r="GA84" s="1184">
        <f>FZ84+DY84+EY84                 -         SUMIF('Nährstoffe und Lagerraum'!$AX$113:$AX$155,$CZ84,'Nährstoffe und Lagerraum'!$V$113:$V$155)/12  -$GE84*$HE84/12</f>
        <v>0</v>
      </c>
      <c r="GB84" s="1184">
        <f>GA84+DZ84+EZ84                 -         SUMIF('Nährstoffe und Lagerraum'!$AX$113:$AX$155,$CZ84,'Nährstoffe und Lagerraum'!$V$113:$V$155)/12  -$GE84*$HE84/12</f>
        <v>0</v>
      </c>
      <c r="GC84" s="1184"/>
      <c r="GD84" s="1184">
        <f>SUMIFS($CI$14:$CI$68,$BR$14:$BR$68,$CZ84)+SUMIFS($CM$14:$CM$68,$BR$14:$BR$68,$CZ84)+SUMIFS($CR$14:$CR$68,$BR$14:$BR$68,$CZ84)  -         SUMIF('Nährstoffe und Lagerraum'!$AX$113:$AX$155,$CZ84,'Nährstoffe und Lagerraum'!$U$113:$U$155)</f>
        <v>0</v>
      </c>
      <c r="GE84" s="1184">
        <f>SUMIFS($CJ$14:$CJ$68,$BR$14:$BR$68,$CZ84)+SUMIFS($CO$14:$CO$68,$BR$14:$BR$68,$CZ84)+SUMIFS($CT$14:$CT$68,$BR$14:$BR$68,$CZ84)  -         SUMIF('Nährstoffe und Lagerraum'!$AX$113:$AX$155,$CZ84,'Nährstoffe und Lagerraum'!$V$113:$V$155)</f>
        <v>0</v>
      </c>
      <c r="GF84" s="1184"/>
      <c r="GG84" s="1184"/>
      <c r="GH84" s="1184">
        <f>SUMIF('Nährstoffe und Lagerraum'!$AX$113:$AX$155,$CZ84,'Nährstoffe und Lagerraum'!$U$113:$U$155)</f>
        <v>0</v>
      </c>
      <c r="GI84" s="1184">
        <f>SUMIF('Nährstoffe und Lagerraum'!$AX$113:$AX$155,$CZ84,'Nährstoffe und Lagerraum'!$V$113:$V$155)</f>
        <v>0</v>
      </c>
      <c r="GJ84" s="1184">
        <f t="shared" si="184"/>
        <v>0</v>
      </c>
      <c r="GK84" s="1184">
        <f t="shared" si="185"/>
        <v>0</v>
      </c>
      <c r="GL84" s="1184">
        <f t="shared" si="186"/>
        <v>0</v>
      </c>
      <c r="GM84" s="1184">
        <f t="shared" si="187"/>
        <v>0</v>
      </c>
      <c r="GN84" s="1184">
        <f t="shared" si="188"/>
        <v>0</v>
      </c>
      <c r="GO84" s="1184" cm="1">
        <f t="array" ref="GO84">IF(GN84=0,0,(IFERROR(SUMPRODUCT($J$14:$J$68,$CH$14:$CH$68,($BR$14:$BR$68=CZ84)*1)+SUMPRODUCT($L$14:$L$68,$M$14:$M$68,$CK$14:$CK$68,($BR$14:$BR$68=CZ84)*1,($BT$14:$BT$68=FALSE)*1)/10+SUMPRODUCT($R$14:$R$68,$CP$14:$CP$68,($BR$14:$BR$68=CZ84)*1),0))/GN84)</f>
        <v>0</v>
      </c>
      <c r="GP84" s="1184">
        <f t="shared" si="189"/>
        <v>0</v>
      </c>
      <c r="GQ84" s="1184">
        <f>(SUMIF('Nährstoffe und Lagerraum'!$AX$113:$AX$130,'Lagerhaltung (freiwillig)'!CZ84,'Nährstoffe und Lagerraum'!$D$113:$D$130)+SUMIF('Nährstoffe und Lagerraum'!$AX$137:$AX$155,'Lagerhaltung (freiwillig)'!CZ84,'Nährstoffe und Lagerraum'!$E$137:$E$155))</f>
        <v>0</v>
      </c>
      <c r="GR84" s="1184" cm="1">
        <f t="array" ref="GR84">IF(GQ84=0,0,(IFERROR(SUMPRODUCT('Nährstoffe und Lagerraum'!$D$113:$D$130,'Nährstoffe und Lagerraum'!$F$113:$F$130,('Nährstoffe und Lagerraum'!$AX$113:$AX$130='Lagerhaltung (freiwillig)'!CZ84)*1)+SUMPRODUCT('Nährstoffe und Lagerraum'!$E$137:$E$155,'Nährstoffe und Lagerraum'!$F$137:$F$155,('Nährstoffe und Lagerraum'!$AX$137:$AX$155='Lagerhaltung (freiwillig)'!CZ84)*1),0))/GQ84)</f>
        <v>0</v>
      </c>
      <c r="GS84" s="1184">
        <f t="shared" si="190"/>
        <v>0</v>
      </c>
      <c r="GT84" s="1184">
        <f t="shared" si="191"/>
        <v>0</v>
      </c>
      <c r="GU84" s="1184">
        <f t="shared" si="192"/>
        <v>0</v>
      </c>
      <c r="GV84" s="1184">
        <f t="shared" si="193"/>
        <v>0</v>
      </c>
      <c r="GW84" s="1186" t="str">
        <f t="shared" si="177"/>
        <v xml:space="preserve"> </v>
      </c>
      <c r="GX84" s="1186" t="str">
        <f t="shared" si="177"/>
        <v xml:space="preserve"> </v>
      </c>
      <c r="GY84" s="1195">
        <f t="shared" si="194"/>
        <v>0</v>
      </c>
      <c r="GZ84" s="1184">
        <f t="shared" si="195"/>
        <v>0</v>
      </c>
      <c r="HA84" s="1184" t="str">
        <f t="shared" si="176"/>
        <v>a</v>
      </c>
      <c r="HB84" s="1196">
        <f t="shared" si="196"/>
        <v>0</v>
      </c>
      <c r="HC84" s="1196">
        <f t="shared" si="197"/>
        <v>0</v>
      </c>
      <c r="HD84" s="1196"/>
      <c r="HE84" s="1187">
        <f t="shared" si="198"/>
        <v>0</v>
      </c>
      <c r="HF84" s="1196">
        <f t="shared" si="199"/>
        <v>0</v>
      </c>
      <c r="HG84" s="1196">
        <f t="shared" si="200"/>
        <v>0</v>
      </c>
      <c r="HH84" s="1196">
        <f t="shared" si="201"/>
        <v>0</v>
      </c>
      <c r="HI84" s="1329" cm="1">
        <f t="array" ref="HI84">IF(AND(HG84=0,GL84=0),0,IF(HG84=0,1,IF(OR(GL84*1000/HG84/HH84&gt;INDEX(Pflanzen!$W$5:$W$104,CZ84)/INDEX(Pflanzen!$I$5:$I$104,CZ84)*$HI$2,GL84*1000/HG84/HH84&lt;INDEX(Pflanzen!$W$5:$W$104,CZ84)/INDEX(Pflanzen!$I$5:$I$104,CZ84)/$HI$2),1,0)))</f>
        <v>0</v>
      </c>
      <c r="HJ84" s="1329" cm="1">
        <f t="array" ref="HJ84">IF(AND(GM84=0,HG84=0),0,IF(HG84=0,1,IF(OR(GM84*1000/HG84/HH84&gt;INDEX(Pflanzen!$X$5:$X$104,CZ84)/INDEX(Pflanzen!$I$5:$I$104,CZ84)*$HI$2,GM84*1000/HG84/HH84&lt;INDEX(Pflanzen!$X$5:$X$104,CZ84)/INDEX(Pflanzen!$I$5:$I$104,CZ84)/$HI$2),1,0)))</f>
        <v>0</v>
      </c>
      <c r="HK84" s="1184">
        <f t="shared" si="202"/>
        <v>3</v>
      </c>
      <c r="HL84" s="1184"/>
      <c r="HN84" s="1184"/>
      <c r="HO84" s="1193" t="str">
        <f>Tiere!B110</f>
        <v xml:space="preserve"> -- - </v>
      </c>
      <c r="HP84" s="1184">
        <v>81</v>
      </c>
      <c r="HQ84" s="1194">
        <f>SUMIF('Nährstoffe und Lagerraum'!$BM$68:$BM$87,'Lagerhaltung (freiwillig)'!HP84,'Nährstoffe und Lagerraum'!$Z$68:$Z$87)+SUMIF('Nährstoffe und Lagerraum'!$BM$68:$BM$87,'Lagerhaltung (freiwillig)'!HP84,'Nährstoffe und Lagerraum'!$AA$68:$AA$87)</f>
        <v>0</v>
      </c>
      <c r="HR84" s="1184" cm="1">
        <f t="array" ref="HR84">INDEX(Tiere!$C$30:$C$114,'Lagerhaltung (freiwillig)'!HP84)</f>
        <v>1</v>
      </c>
      <c r="HS84" s="1184" cm="1">
        <f t="array" ref="HS84">INDEX(Tiere!$H$30:$H$114,'Lagerhaltung (freiwillig)'!HP84)</f>
        <v>0</v>
      </c>
      <c r="HT84" s="1184">
        <f t="shared" si="171"/>
        <v>0</v>
      </c>
      <c r="HU84" s="1184" cm="1">
        <f t="array" ref="HU84">INDEX(Tiere!$I$30:$I$114,'Lagerhaltung (freiwillig)'!HP84)</f>
        <v>0</v>
      </c>
      <c r="HV84" s="1184">
        <f t="shared" si="172"/>
        <v>0</v>
      </c>
      <c r="HW84" s="1184" cm="1">
        <f t="array" ref="HW84">INDEX(Tiere!$BC$30:$BC$114,'Lagerhaltung (freiwillig)'!HP84)</f>
        <v>0</v>
      </c>
      <c r="HX84" s="1184">
        <f t="shared" si="173"/>
        <v>0</v>
      </c>
      <c r="HY84" s="1184" cm="1">
        <f t="array" ref="HY84">INDEX(Tiere!$BD$30:$BD$114,'Lagerhaltung (freiwillig)'!HP84)</f>
        <v>0</v>
      </c>
      <c r="HZ84" s="1184">
        <f t="shared" si="174"/>
        <v>0</v>
      </c>
      <c r="IA84" s="1184"/>
      <c r="IB84" s="1184"/>
      <c r="IC84" s="1184"/>
      <c r="ID84" s="1184"/>
      <c r="IE84" s="1184"/>
      <c r="IF84" s="1184"/>
      <c r="IG84" s="1184"/>
      <c r="IH84" s="1184"/>
      <c r="II84" s="1184"/>
      <c r="IJ84" s="1184"/>
      <c r="IK84" s="1184"/>
      <c r="IL84" s="1184"/>
    </row>
    <row r="85" spans="1:246" ht="15.6" customHeight="1" x14ac:dyDescent="0.2">
      <c r="A85" s="3106"/>
      <c r="B85" s="3140"/>
      <c r="C85" s="3140"/>
      <c r="D85" s="3140"/>
      <c r="E85" s="3141"/>
      <c r="F85" s="1122"/>
      <c r="G85" s="1498"/>
      <c r="H85" s="1336"/>
      <c r="I85" s="1345">
        <f t="shared" si="218"/>
        <v>0</v>
      </c>
      <c r="J85" s="1487"/>
      <c r="K85" s="1113"/>
      <c r="L85" s="1114"/>
      <c r="M85" s="1114"/>
      <c r="N85" s="1115"/>
      <c r="O85" s="1115"/>
      <c r="P85" s="1116"/>
      <c r="Q85" s="1345">
        <f t="shared" si="219"/>
        <v>0</v>
      </c>
      <c r="R85" s="1491"/>
      <c r="S85" s="2185"/>
      <c r="T85" s="1487"/>
      <c r="U85" s="725"/>
      <c r="V85" s="1346" t="str">
        <f t="shared" si="220"/>
        <v/>
      </c>
      <c r="X85" s="702"/>
      <c r="Y85" s="1981"/>
      <c r="Z85" s="1982"/>
      <c r="AA85" s="1982"/>
      <c r="AB85" s="1982"/>
      <c r="AC85" s="1983"/>
      <c r="AD85" s="1983"/>
      <c r="AE85" s="1983"/>
      <c r="AF85" s="1983"/>
      <c r="AG85" s="1983"/>
      <c r="AH85" s="1983"/>
      <c r="AI85" s="1983"/>
      <c r="AJ85" s="1983"/>
      <c r="AK85" s="1983"/>
      <c r="AL85" s="1984"/>
      <c r="AM85" s="1983"/>
      <c r="AN85" s="1983"/>
      <c r="AO85" s="1983"/>
      <c r="AP85" s="1983"/>
      <c r="AQ85" s="1983"/>
      <c r="AR85" s="1983"/>
      <c r="AS85" s="1983"/>
      <c r="AT85" s="1983"/>
      <c r="AU85" s="1983"/>
      <c r="AV85" s="1983"/>
      <c r="AW85" s="1985"/>
      <c r="AX85" s="1985"/>
      <c r="AY85" s="1985"/>
      <c r="AZ85" s="1985"/>
      <c r="BA85" s="1462"/>
      <c r="BB85" s="1462"/>
      <c r="BC85" s="1462"/>
      <c r="BD85" s="1461"/>
      <c r="BE85" s="1462"/>
      <c r="BF85" s="1343"/>
      <c r="BG85" s="1343"/>
      <c r="BH85" s="1343"/>
      <c r="BI85" s="1343"/>
      <c r="BJ85" s="1343"/>
      <c r="BK85" s="1343"/>
      <c r="BL85" s="1343"/>
      <c r="BM85" s="1343"/>
      <c r="BN85" s="1343"/>
      <c r="BO85" s="1343"/>
      <c r="BQ85" s="1184"/>
      <c r="BR85" s="1184"/>
      <c r="BS85" s="1184"/>
      <c r="BT85" s="1184"/>
      <c r="BU85" s="1185"/>
      <c r="BV85" s="1185"/>
      <c r="BW85" s="1184">
        <f t="shared" si="178"/>
        <v>12</v>
      </c>
      <c r="BX85" s="1184">
        <f t="shared" si="179"/>
        <v>0</v>
      </c>
      <c r="BY85" s="1184">
        <f t="shared" si="180"/>
        <v>12</v>
      </c>
      <c r="BZ85" s="1184"/>
      <c r="CA85" s="1184"/>
      <c r="CB85" s="1184"/>
      <c r="CC85" s="1184"/>
      <c r="CD85" s="1184"/>
      <c r="CE85" s="1184"/>
      <c r="CF85" s="1184"/>
      <c r="CG85" s="1184"/>
      <c r="CH85" s="1184"/>
      <c r="CI85" s="1184">
        <f t="shared" si="212"/>
        <v>0</v>
      </c>
      <c r="CJ85" s="1184">
        <f t="shared" si="213"/>
        <v>0</v>
      </c>
      <c r="CK85" s="1184"/>
      <c r="CL85" s="1184"/>
      <c r="CM85" s="1184"/>
      <c r="CN85" s="1184"/>
      <c r="CO85" s="1184"/>
      <c r="CP85" s="1184"/>
      <c r="CQ85" s="1184">
        <f t="shared" si="214"/>
        <v>0</v>
      </c>
      <c r="CR85" s="1184">
        <f t="shared" si="215"/>
        <v>0</v>
      </c>
      <c r="CS85" s="1184">
        <f t="shared" si="216"/>
        <v>0</v>
      </c>
      <c r="CT85" s="1184">
        <f t="shared" si="217"/>
        <v>0</v>
      </c>
      <c r="CU85" s="1184">
        <f t="shared" si="206"/>
        <v>2</v>
      </c>
      <c r="CV85" s="1184">
        <f t="shared" si="181"/>
        <v>0</v>
      </c>
      <c r="CW85" s="1186">
        <f t="shared" si="207"/>
        <v>0</v>
      </c>
      <c r="CX85" s="1184"/>
      <c r="CY85" s="320" t="str">
        <f>Pflanzen!A81</f>
        <v xml:space="preserve"> +++Zukauf org. Dünger+++</v>
      </c>
      <c r="CZ85" s="1200">
        <f>IFERROR(MATCH($CY85,Pflanzen!$C$5:$C$114,0),1)</f>
        <v>73</v>
      </c>
      <c r="DA85" s="320" cm="1">
        <f t="array" ref="DA85">INDEX(Pflanzen!$H$5:$H$114,'Lagerhaltung (freiwillig)'!CZ85)</f>
        <v>0</v>
      </c>
      <c r="DB85" s="1200">
        <f t="shared" si="208"/>
        <v>0</v>
      </c>
      <c r="DC85" s="1200">
        <f t="shared" si="208"/>
        <v>0</v>
      </c>
      <c r="DD85" s="1200">
        <f t="shared" si="208"/>
        <v>0</v>
      </c>
      <c r="DE85" s="1200">
        <f t="shared" si="208"/>
        <v>0</v>
      </c>
      <c r="DF85" s="1200">
        <f t="shared" si="208"/>
        <v>0</v>
      </c>
      <c r="DG85" s="1184">
        <f t="shared" si="208"/>
        <v>0</v>
      </c>
      <c r="DH85" s="1184">
        <f t="shared" si="208"/>
        <v>0</v>
      </c>
      <c r="DI85" s="1184">
        <f t="shared" si="208"/>
        <v>0</v>
      </c>
      <c r="DJ85" s="1184">
        <f t="shared" si="208"/>
        <v>0</v>
      </c>
      <c r="DK85" s="1184">
        <f t="shared" si="208"/>
        <v>0</v>
      </c>
      <c r="DL85" s="1184">
        <f t="shared" si="208"/>
        <v>0</v>
      </c>
      <c r="DM85" s="1184">
        <f t="shared" si="208"/>
        <v>0</v>
      </c>
      <c r="DN85" s="1184"/>
      <c r="DO85" s="1184">
        <f t="shared" si="209"/>
        <v>0</v>
      </c>
      <c r="DP85" s="1184">
        <f t="shared" si="209"/>
        <v>0</v>
      </c>
      <c r="DQ85" s="1184">
        <f t="shared" si="209"/>
        <v>0</v>
      </c>
      <c r="DR85" s="1184">
        <f t="shared" si="209"/>
        <v>0</v>
      </c>
      <c r="DS85" s="1184">
        <f t="shared" si="209"/>
        <v>0</v>
      </c>
      <c r="DT85" s="1184">
        <f t="shared" si="209"/>
        <v>0</v>
      </c>
      <c r="DU85" s="1184">
        <f t="shared" si="209"/>
        <v>0</v>
      </c>
      <c r="DV85" s="1184">
        <f t="shared" si="209"/>
        <v>0</v>
      </c>
      <c r="DW85" s="1184">
        <f t="shared" si="209"/>
        <v>0</v>
      </c>
      <c r="DX85" s="1184">
        <f t="shared" si="209"/>
        <v>0</v>
      </c>
      <c r="DY85" s="1184">
        <f t="shared" si="209"/>
        <v>0</v>
      </c>
      <c r="DZ85" s="1184">
        <f t="shared" si="209"/>
        <v>0</v>
      </c>
      <c r="EA85" s="1184"/>
      <c r="EB85" s="1184">
        <f t="shared" si="210"/>
        <v>0</v>
      </c>
      <c r="EC85" s="1184">
        <f t="shared" si="210"/>
        <v>0</v>
      </c>
      <c r="ED85" s="1184">
        <f t="shared" si="210"/>
        <v>0</v>
      </c>
      <c r="EE85" s="1184">
        <f t="shared" si="210"/>
        <v>0</v>
      </c>
      <c r="EF85" s="1184">
        <f t="shared" si="210"/>
        <v>0</v>
      </c>
      <c r="EG85" s="1184">
        <f t="shared" si="210"/>
        <v>0</v>
      </c>
      <c r="EH85" s="1184">
        <f t="shared" si="210"/>
        <v>0</v>
      </c>
      <c r="EI85" s="1184">
        <f t="shared" si="210"/>
        <v>0</v>
      </c>
      <c r="EJ85" s="1184">
        <f t="shared" si="210"/>
        <v>0</v>
      </c>
      <c r="EK85" s="1184">
        <f t="shared" si="210"/>
        <v>0</v>
      </c>
      <c r="EL85" s="1184">
        <f t="shared" si="210"/>
        <v>0</v>
      </c>
      <c r="EM85" s="1184">
        <f t="shared" si="210"/>
        <v>0</v>
      </c>
      <c r="EN85" s="1184"/>
      <c r="EO85" s="1184">
        <f t="shared" si="211"/>
        <v>0</v>
      </c>
      <c r="EP85" s="1184">
        <f t="shared" si="211"/>
        <v>0</v>
      </c>
      <c r="EQ85" s="1184">
        <f t="shared" si="211"/>
        <v>0</v>
      </c>
      <c r="ER85" s="1184">
        <f t="shared" si="211"/>
        <v>0</v>
      </c>
      <c r="ES85" s="1184">
        <f t="shared" si="211"/>
        <v>0</v>
      </c>
      <c r="ET85" s="1184">
        <f t="shared" si="211"/>
        <v>0</v>
      </c>
      <c r="EU85" s="1184">
        <f t="shared" si="211"/>
        <v>0</v>
      </c>
      <c r="EV85" s="1184">
        <f t="shared" si="211"/>
        <v>0</v>
      </c>
      <c r="EW85" s="1184">
        <f t="shared" si="211"/>
        <v>0</v>
      </c>
      <c r="EX85" s="1184">
        <f t="shared" si="211"/>
        <v>0</v>
      </c>
      <c r="EY85" s="1184">
        <f t="shared" si="211"/>
        <v>0</v>
      </c>
      <c r="EZ85" s="1184">
        <f t="shared" si="211"/>
        <v>0</v>
      </c>
      <c r="FA85" s="1184"/>
      <c r="FB85" s="1186">
        <f t="shared" si="182"/>
        <v>0</v>
      </c>
      <c r="FC85" s="1184">
        <f>FB85+DB85+EB85                 -         SUMIF('Nährstoffe und Lagerraum'!$AX$113:$AX$155,$CZ85,'Nährstoffe und Lagerraum'!$U$113:$U$155)/12  -$GD85*$HE85/12</f>
        <v>0</v>
      </c>
      <c r="FD85" s="1184">
        <f>FC85+DC85+EC85                 -         SUMIF('Nährstoffe und Lagerraum'!$AX$113:$AX$155,$CZ85,'Nährstoffe und Lagerraum'!$U$113:$U$155)/12  -$GD85*$HE85/12</f>
        <v>0</v>
      </c>
      <c r="FE85" s="1184">
        <f>FD85+DD85+ED85                 -         SUMIF('Nährstoffe und Lagerraum'!$AX$113:$AX$155,$CZ85,'Nährstoffe und Lagerraum'!$U$113:$U$155)/12  -$GD85*$HE85/12</f>
        <v>0</v>
      </c>
      <c r="FF85" s="1184">
        <f>FE85+DE85+EE85                 -         SUMIF('Nährstoffe und Lagerraum'!$AX$113:$AX$155,$CZ85,'Nährstoffe und Lagerraum'!$U$113:$U$155)/12  -$GD85*$HE85/12</f>
        <v>0</v>
      </c>
      <c r="FG85" s="1184">
        <f>FF85+DF85+EF85                 -         SUMIF('Nährstoffe und Lagerraum'!$AX$113:$AX$155,$CZ85,'Nährstoffe und Lagerraum'!$U$113:$U$155)/12  -$GD85*$HE85/12</f>
        <v>0</v>
      </c>
      <c r="FH85" s="1184">
        <f>FG85+DG85+EG85                 -         SUMIF('Nährstoffe und Lagerraum'!$AX$113:$AX$155,$CZ85,'Nährstoffe und Lagerraum'!$U$113:$U$155)/12  -$GD85*$HE85/12</f>
        <v>0</v>
      </c>
      <c r="FI85" s="1184">
        <f>FH85+DH85+EH85                 -         SUMIF('Nährstoffe und Lagerraum'!$AX$113:$AX$155,$CZ85,'Nährstoffe und Lagerraum'!$U$113:$U$155)/12  -$GD85*$HE85/12</f>
        <v>0</v>
      </c>
      <c r="FJ85" s="1184">
        <f>FI85+DI85+EI85                 -         SUMIF('Nährstoffe und Lagerraum'!$AX$113:$AX$155,$CZ85,'Nährstoffe und Lagerraum'!$U$113:$U$155)/12  -$GD85*$HE85/12</f>
        <v>0</v>
      </c>
      <c r="FK85" s="1184">
        <f>FJ85+DJ85+EJ85                 -         SUMIF('Nährstoffe und Lagerraum'!$AX$113:$AX$155,$CZ85,'Nährstoffe und Lagerraum'!$U$113:$U$155)/12  -$GD85*$HE85/12</f>
        <v>0</v>
      </c>
      <c r="FL85" s="1184">
        <f>FK85+DK85+EK85                 -         SUMIF('Nährstoffe und Lagerraum'!$AX$113:$AX$155,$CZ85,'Nährstoffe und Lagerraum'!$U$113:$U$155)/12  -$GD85*$HE85/12</f>
        <v>0</v>
      </c>
      <c r="FM85" s="1184">
        <f>FL85+DL85+EL85                 -         SUMIF('Nährstoffe und Lagerraum'!$AX$113:$AX$155,$CZ85,'Nährstoffe und Lagerraum'!$U$113:$U$155)/12  -$GD85*$HE85/12</f>
        <v>0</v>
      </c>
      <c r="FN85" s="1184">
        <f>FM85+DM85+EM85                 -         SUMIF('Nährstoffe und Lagerraum'!$AX$113:$AX$155,$CZ85,'Nährstoffe und Lagerraum'!$U$113:$U$155)/12  -$GD85*$HE85/12</f>
        <v>0</v>
      </c>
      <c r="FO85" s="1184"/>
      <c r="FP85" s="1186">
        <f t="shared" si="183"/>
        <v>0</v>
      </c>
      <c r="FQ85" s="1184">
        <f>FP85+DO85+EO85                 -         SUMIF('Nährstoffe und Lagerraum'!$AX$113:$AX$155,$CZ85,'Nährstoffe und Lagerraum'!$V$113:$V$155)/12  -$GE85*$HE85/12</f>
        <v>0</v>
      </c>
      <c r="FR85" s="1184">
        <f>FQ85+DP85+EP85                 -         SUMIF('Nährstoffe und Lagerraum'!$AX$113:$AX$155,$CZ85,'Nährstoffe und Lagerraum'!$V$113:$V$155)/12  -$GE85*$HE85/12</f>
        <v>0</v>
      </c>
      <c r="FS85" s="1184">
        <f>FR85+DQ85+EQ85                 -         SUMIF('Nährstoffe und Lagerraum'!$AX$113:$AX$155,$CZ85,'Nährstoffe und Lagerraum'!$V$113:$V$155)/12  -$GE85*$HE85/12</f>
        <v>0</v>
      </c>
      <c r="FT85" s="1184">
        <f>FS85+DR85+ER85                 -         SUMIF('Nährstoffe und Lagerraum'!$AX$113:$AX$155,$CZ85,'Nährstoffe und Lagerraum'!$V$113:$V$155)/12  -$GE85*$HE85/12</f>
        <v>0</v>
      </c>
      <c r="FU85" s="1184">
        <f>FT85+DS85+ES85                 -         SUMIF('Nährstoffe und Lagerraum'!$AX$113:$AX$155,$CZ85,'Nährstoffe und Lagerraum'!$V$113:$V$155)/12  -$GE85*$HE85/12</f>
        <v>0</v>
      </c>
      <c r="FV85" s="1184">
        <f>FU85+DT85+ET85                 -         SUMIF('Nährstoffe und Lagerraum'!$AX$113:$AX$155,$CZ85,'Nährstoffe und Lagerraum'!$V$113:$V$155)/12  -$GE85*$HE85/12</f>
        <v>0</v>
      </c>
      <c r="FW85" s="1184">
        <f>FV85+DU85+EU85                 -         SUMIF('Nährstoffe und Lagerraum'!$AX$113:$AX$155,$CZ85,'Nährstoffe und Lagerraum'!$V$113:$V$155)/12  -$GE85*$HE85/12</f>
        <v>0</v>
      </c>
      <c r="FX85" s="1184">
        <f>FW85+DV85+EV85                 -         SUMIF('Nährstoffe und Lagerraum'!$AX$113:$AX$155,$CZ85,'Nährstoffe und Lagerraum'!$V$113:$V$155)/12  -$GE85*$HE85/12</f>
        <v>0</v>
      </c>
      <c r="FY85" s="1184">
        <f>FX85+DW85+EW85                 -         SUMIF('Nährstoffe und Lagerraum'!$AX$113:$AX$155,$CZ85,'Nährstoffe und Lagerraum'!$V$113:$V$155)/12  -$GE85*$HE85/12</f>
        <v>0</v>
      </c>
      <c r="FZ85" s="1184">
        <f>FY85+DX85+EX85                 -         SUMIF('Nährstoffe und Lagerraum'!$AX$113:$AX$155,$CZ85,'Nährstoffe und Lagerraum'!$V$113:$V$155)/12  -$GE85*$HE85/12</f>
        <v>0</v>
      </c>
      <c r="GA85" s="1184">
        <f>FZ85+DY85+EY85                 -         SUMIF('Nährstoffe und Lagerraum'!$AX$113:$AX$155,$CZ85,'Nährstoffe und Lagerraum'!$V$113:$V$155)/12  -$GE85*$HE85/12</f>
        <v>0</v>
      </c>
      <c r="GB85" s="1184">
        <f>GA85+DZ85+EZ85                 -         SUMIF('Nährstoffe und Lagerraum'!$AX$113:$AX$155,$CZ85,'Nährstoffe und Lagerraum'!$V$113:$V$155)/12  -$GE85*$HE85/12</f>
        <v>0</v>
      </c>
      <c r="GC85" s="1184"/>
      <c r="GD85" s="1184">
        <f>SUMIFS($CI$14:$CI$68,$BR$14:$BR$68,$CZ85)+SUMIFS($CM$14:$CM$68,$BR$14:$BR$68,$CZ85)+SUMIFS($CR$14:$CR$68,$BR$14:$BR$68,$CZ85)  -         SUMIF('Nährstoffe und Lagerraum'!$AX$113:$AX$155,$CZ85,'Nährstoffe und Lagerraum'!$U$113:$U$155)</f>
        <v>0</v>
      </c>
      <c r="GE85" s="1184">
        <f>SUMIFS($CJ$14:$CJ$68,$BR$14:$BR$68,$CZ85)+SUMIFS($CO$14:$CO$68,$BR$14:$BR$68,$CZ85)+SUMIFS($CT$14:$CT$68,$BR$14:$BR$68,$CZ85)  -         SUMIF('Nährstoffe und Lagerraum'!$AX$113:$AX$155,$CZ85,'Nährstoffe und Lagerraum'!$V$113:$V$155)</f>
        <v>0</v>
      </c>
      <c r="GF85" s="1184"/>
      <c r="GG85" s="1184"/>
      <c r="GH85" s="1184">
        <f>SUMIF('Nährstoffe und Lagerraum'!$AX$113:$AX$155,$CZ85,'Nährstoffe und Lagerraum'!$U$113:$U$155)</f>
        <v>0</v>
      </c>
      <c r="GI85" s="1184">
        <f>SUMIF('Nährstoffe und Lagerraum'!$AX$113:$AX$155,$CZ85,'Nährstoffe und Lagerraum'!$V$113:$V$155)</f>
        <v>0</v>
      </c>
      <c r="GJ85" s="1184">
        <f t="shared" ref="GJ85:GJ116" si="221">GD85+GH85</f>
        <v>0</v>
      </c>
      <c r="GK85" s="1184">
        <f t="shared" ref="GK85:GK116" si="222">GE85+GI85</f>
        <v>0</v>
      </c>
      <c r="GL85" s="1184">
        <f t="shared" ref="GL85:GL116" si="223">GD85-GD85*HE85</f>
        <v>0</v>
      </c>
      <c r="GM85" s="1184">
        <f t="shared" ref="GM85:GM116" si="224">GE85-GE85*HE85</f>
        <v>0</v>
      </c>
      <c r="GN85" s="1184">
        <f t="shared" ref="GN85:GN116" si="225">SUMIF($BR$14:$BR$68,CZ85,$CW$14:$CW$68)</f>
        <v>0</v>
      </c>
      <c r="GO85" s="1184" cm="1">
        <f t="array" ref="GO85">IF(GN85=0,0,(IFERROR(SUMPRODUCT($J$14:$J$68,$CH$14:$CH$68,($BR$14:$BR$68=CZ85)*1)+SUMPRODUCT($L$14:$L$68,$M$14:$M$68,$CK$14:$CK$68,($BR$14:$BR$68=CZ85)*1,($BT$14:$BT$68=FALSE)*1)/10+SUMPRODUCT($R$14:$R$68,$CP$14:$CP$68,($BR$14:$BR$68=CZ85)*1),0))/GN85)</f>
        <v>0</v>
      </c>
      <c r="GP85" s="1184">
        <f t="shared" ref="GP85:GP116" si="226">GN85*GO85/100</f>
        <v>0</v>
      </c>
      <c r="GQ85" s="1184">
        <f>(SUMIF('Nährstoffe und Lagerraum'!$AX$113:$AX$130,'Lagerhaltung (freiwillig)'!CZ85,'Nährstoffe und Lagerraum'!$D$113:$D$130)+SUMIF('Nährstoffe und Lagerraum'!$AX$137:$AX$155,'Lagerhaltung (freiwillig)'!CZ85,'Nährstoffe und Lagerraum'!$E$137:$E$155))</f>
        <v>0</v>
      </c>
      <c r="GR85" s="1184" cm="1">
        <f t="array" ref="GR85">IF(GQ85=0,0,(IFERROR(SUMPRODUCT('Nährstoffe und Lagerraum'!$D$113:$D$130,'Nährstoffe und Lagerraum'!$F$113:$F$130,('Nährstoffe und Lagerraum'!$AX$113:$AX$130='Lagerhaltung (freiwillig)'!CZ85)*1)+SUMPRODUCT('Nährstoffe und Lagerraum'!$E$137:$E$155,'Nährstoffe und Lagerraum'!$F$137:$F$155,('Nährstoffe und Lagerraum'!$AX$137:$AX$155='Lagerhaltung (freiwillig)'!CZ85)*1),0))/GQ85)</f>
        <v>0</v>
      </c>
      <c r="GS85" s="1184">
        <f t="shared" ref="GS85:GS116" si="227">GQ85*GR85/100</f>
        <v>0</v>
      </c>
      <c r="GT85" s="1184">
        <f t="shared" ref="GT85:GT116" si="228">GP85-GS85</f>
        <v>0</v>
      </c>
      <c r="GU85" s="1184">
        <f t="shared" ref="GU85:GU116" si="229">IF(AND(GO85=0,GR85=0),0,IF(GO85=0,GT85/(GR85/100),GT85/(GO85/100)))</f>
        <v>0</v>
      </c>
      <c r="GV85" s="1184">
        <f t="shared" ref="GV85:GV116" si="230">IF(OR(GO85=0,GR85=0),MAX(GO85,GR85),GO85)</f>
        <v>0</v>
      </c>
      <c r="GW85" s="1186" t="str">
        <f t="shared" si="177"/>
        <v xml:space="preserve"> </v>
      </c>
      <c r="GX85" s="1186" t="str">
        <f t="shared" si="177"/>
        <v xml:space="preserve"> </v>
      </c>
      <c r="GY85" s="1195">
        <f t="shared" ref="GY85:GY116" si="231">IF(OR(HK85=3,GU85&lt;=0),0,IF(DA85=$DA$4,$GX$4/$GG$4,IF(DA85=$DA$6,$GX$6/$GG$6,0)))</f>
        <v>0</v>
      </c>
      <c r="GZ85" s="1184">
        <f t="shared" ref="GZ85:GZ116" si="232">GU85*GY85</f>
        <v>0</v>
      </c>
      <c r="HA85" s="1184" t="str">
        <f t="shared" si="176"/>
        <v>a</v>
      </c>
      <c r="HB85" s="1196">
        <f t="shared" ref="HB85:HB116" si="233">IF(HA85="a",0,GD85*HE85)</f>
        <v>0</v>
      </c>
      <c r="HC85" s="1196">
        <f t="shared" ref="HC85:HC116" si="234">IF(HA85="a",0,GD85*(1-HE85))</f>
        <v>0</v>
      </c>
      <c r="HD85" s="1196"/>
      <c r="HE85" s="1187">
        <f t="shared" ref="HE85:HE116" si="235">IF(OR(HK85=3,GU85&lt;=0),0,IF(HA85&lt;&gt;"a",IF(GU85=0,0,MIN(1,HA85/GU85)),IF(DA85=$DA$4,IF($GG$4-$HC$4-$HB$4=0,0,$HD$4/($GG$4-$HC$4-$HB$4)),IF(DA85=$DA$6,IF($GG$6-$HC$6-$HB$6=0,0,$HD$6/($GG$6-$HC$6-$HB$6)),0))))</f>
        <v>0</v>
      </c>
      <c r="HF85" s="1196">
        <f t="shared" ref="HF85:HF116" si="236">MAX(0,GU85*HE85)</f>
        <v>0</v>
      </c>
      <c r="HG85" s="1196">
        <f t="shared" ref="HG85:HG116" si="237">GU85-HF85</f>
        <v>0</v>
      </c>
      <c r="HH85" s="1196">
        <f t="shared" ref="HH85:HH116" si="238">GO85</f>
        <v>0</v>
      </c>
      <c r="HI85" s="1328" cm="1">
        <f t="array" ref="HI85">IF(AND(HG85=0,GL85=0),0,IF(HG85=0,1,IF(OR(GL85*1000/HG85/HH85&gt;INDEX(Pflanzen!$W$5:$W$104,CZ85)/INDEX(Pflanzen!$I$5:$I$104,CZ85)*$HI$2,GL85*1000/HG85/HH85&lt;INDEX(Pflanzen!$W$5:$W$104,CZ85)/INDEX(Pflanzen!$I$5:$I$104,CZ85)/$HI$2),1,0)))</f>
        <v>0</v>
      </c>
      <c r="HJ85" s="1328" cm="1">
        <f t="array" ref="HJ85">IF(AND(GM85=0,HG85=0),0,IF(HG85=0,1,IF(OR(GM85*1000/HG85/HH85&gt;INDEX(Pflanzen!$X$5:$X$104,CZ85)/INDEX(Pflanzen!$I$5:$I$104,CZ85)*$HI$2,GM85*1000/HG85/HH85&lt;INDEX(Pflanzen!$X$5:$X$104,CZ85)/INDEX(Pflanzen!$I$5:$I$104,CZ85)/$HI$2),1,0)))</f>
        <v>0</v>
      </c>
      <c r="HK85" s="1184">
        <f t="shared" ref="HK85:HK116" si="239">IF(AND(GD85=0,GE85=0,GH85=0,GI85=0,GJ85=0,GK85=0),3,DA85)</f>
        <v>3</v>
      </c>
      <c r="HL85" s="1184"/>
      <c r="HN85" s="1184"/>
      <c r="HO85" s="1193" t="str">
        <f>Tiere!B111</f>
        <v xml:space="preserve"> -- - </v>
      </c>
      <c r="HP85" s="1184">
        <v>82</v>
      </c>
      <c r="HQ85" s="1194">
        <f>SUMIF('Nährstoffe und Lagerraum'!$BM$68:$BM$87,'Lagerhaltung (freiwillig)'!HP85,'Nährstoffe und Lagerraum'!$Z$68:$Z$87)+SUMIF('Nährstoffe und Lagerraum'!$BM$68:$BM$87,'Lagerhaltung (freiwillig)'!HP85,'Nährstoffe und Lagerraum'!$AA$68:$AA$87)</f>
        <v>0</v>
      </c>
      <c r="HR85" s="1184" cm="1">
        <f t="array" ref="HR85">INDEX(Tiere!$C$30:$C$114,'Lagerhaltung (freiwillig)'!HP85)</f>
        <v>1</v>
      </c>
      <c r="HS85" s="1184" cm="1">
        <f t="array" ref="HS85">INDEX(Tiere!$H$30:$H$114,'Lagerhaltung (freiwillig)'!HP85)</f>
        <v>0</v>
      </c>
      <c r="HT85" s="1184">
        <f t="shared" si="171"/>
        <v>0</v>
      </c>
      <c r="HU85" s="1184" cm="1">
        <f t="array" ref="HU85">INDEX(Tiere!$I$30:$I$114,'Lagerhaltung (freiwillig)'!HP85)</f>
        <v>0</v>
      </c>
      <c r="HV85" s="1184">
        <f t="shared" si="172"/>
        <v>0</v>
      </c>
      <c r="HW85" s="1184" cm="1">
        <f t="array" ref="HW85">INDEX(Tiere!$BC$30:$BC$114,'Lagerhaltung (freiwillig)'!HP85)</f>
        <v>0</v>
      </c>
      <c r="HX85" s="1184">
        <f t="shared" si="173"/>
        <v>0</v>
      </c>
      <c r="HY85" s="1184" cm="1">
        <f t="array" ref="HY85">INDEX(Tiere!$BD$30:$BD$114,'Lagerhaltung (freiwillig)'!HP85)</f>
        <v>0</v>
      </c>
      <c r="HZ85" s="1184">
        <f t="shared" si="174"/>
        <v>0</v>
      </c>
      <c r="IA85" s="1184"/>
      <c r="IB85" s="1184"/>
      <c r="IC85" s="1184"/>
      <c r="ID85" s="1184"/>
      <c r="IE85" s="1184"/>
      <c r="IF85" s="1184"/>
      <c r="IG85" s="1184"/>
      <c r="IH85" s="1184"/>
      <c r="II85" s="1184"/>
      <c r="IJ85" s="1184"/>
      <c r="IK85" s="1184"/>
      <c r="IL85" s="1184"/>
    </row>
    <row r="86" spans="1:246" ht="15.6" customHeight="1" x14ac:dyDescent="0.2">
      <c r="A86" s="3106"/>
      <c r="B86" s="3140"/>
      <c r="C86" s="3140"/>
      <c r="D86" s="3140"/>
      <c r="E86" s="3141"/>
      <c r="F86" s="1122"/>
      <c r="G86" s="1498"/>
      <c r="H86" s="1336"/>
      <c r="I86" s="1345">
        <f t="shared" si="218"/>
        <v>0</v>
      </c>
      <c r="J86" s="1487"/>
      <c r="K86" s="1113"/>
      <c r="L86" s="1114"/>
      <c r="M86" s="1114"/>
      <c r="N86" s="1115"/>
      <c r="O86" s="1115"/>
      <c r="P86" s="1116"/>
      <c r="Q86" s="1345">
        <f t="shared" si="219"/>
        <v>0</v>
      </c>
      <c r="R86" s="1491"/>
      <c r="S86" s="2185"/>
      <c r="T86" s="1487"/>
      <c r="U86" s="725"/>
      <c r="V86" s="1346" t="str">
        <f t="shared" si="220"/>
        <v/>
      </c>
      <c r="X86" s="702"/>
      <c r="Y86" s="1981"/>
      <c r="Z86" s="1982"/>
      <c r="AA86" s="1982"/>
      <c r="AB86" s="1982"/>
      <c r="AC86" s="1983"/>
      <c r="AD86" s="1983"/>
      <c r="AE86" s="1983"/>
      <c r="AF86" s="1983"/>
      <c r="AG86" s="1983"/>
      <c r="AH86" s="1983"/>
      <c r="AI86" s="1983"/>
      <c r="AJ86" s="1983"/>
      <c r="AK86" s="1983"/>
      <c r="AL86" s="1984"/>
      <c r="AM86" s="1983"/>
      <c r="AN86" s="1983"/>
      <c r="AO86" s="1983"/>
      <c r="AP86" s="1983"/>
      <c r="AQ86" s="1983"/>
      <c r="AR86" s="1983"/>
      <c r="AS86" s="1983"/>
      <c r="AT86" s="1983"/>
      <c r="AU86" s="1983"/>
      <c r="AV86" s="1983"/>
      <c r="AW86" s="1985"/>
      <c r="AX86" s="1985"/>
      <c r="AY86" s="1985"/>
      <c r="AZ86" s="1985"/>
      <c r="BA86" s="1462"/>
      <c r="BB86" s="1462"/>
      <c r="BC86" s="1462"/>
      <c r="BD86" s="1461"/>
      <c r="BE86" s="1462"/>
      <c r="BF86" s="1343"/>
      <c r="BG86" s="1343"/>
      <c r="BH86" s="1343"/>
      <c r="BI86" s="1343"/>
      <c r="BJ86" s="1343"/>
      <c r="BK86" s="1343"/>
      <c r="BL86" s="1343"/>
      <c r="BM86" s="1343"/>
      <c r="BN86" s="1343"/>
      <c r="BO86" s="1343"/>
      <c r="BQ86" s="1184"/>
      <c r="BR86" s="1184"/>
      <c r="BS86" s="1184"/>
      <c r="BT86" s="1184"/>
      <c r="BU86" s="1185"/>
      <c r="BV86" s="1185"/>
      <c r="BW86" s="1184">
        <f t="shared" si="178"/>
        <v>12</v>
      </c>
      <c r="BX86" s="1184">
        <f t="shared" si="179"/>
        <v>0</v>
      </c>
      <c r="BY86" s="1184">
        <f t="shared" si="180"/>
        <v>12</v>
      </c>
      <c r="BZ86" s="1184"/>
      <c r="CA86" s="1184"/>
      <c r="CB86" s="1184"/>
      <c r="CC86" s="1184"/>
      <c r="CD86" s="1184"/>
      <c r="CE86" s="1184"/>
      <c r="CF86" s="1184"/>
      <c r="CG86" s="1184"/>
      <c r="CH86" s="1184"/>
      <c r="CI86" s="1184">
        <f t="shared" si="212"/>
        <v>0</v>
      </c>
      <c r="CJ86" s="1184">
        <f t="shared" si="213"/>
        <v>0</v>
      </c>
      <c r="CK86" s="1184"/>
      <c r="CL86" s="1184"/>
      <c r="CM86" s="1184"/>
      <c r="CN86" s="1184"/>
      <c r="CO86" s="1184"/>
      <c r="CP86" s="1184"/>
      <c r="CQ86" s="1184">
        <f t="shared" si="214"/>
        <v>0</v>
      </c>
      <c r="CR86" s="1184">
        <f t="shared" si="215"/>
        <v>0</v>
      </c>
      <c r="CS86" s="1184">
        <f t="shared" si="216"/>
        <v>0</v>
      </c>
      <c r="CT86" s="1184">
        <f t="shared" si="217"/>
        <v>0</v>
      </c>
      <c r="CU86" s="1184">
        <f t="shared" si="206"/>
        <v>2</v>
      </c>
      <c r="CV86" s="1184">
        <f t="shared" si="181"/>
        <v>0</v>
      </c>
      <c r="CW86" s="1186">
        <f t="shared" si="207"/>
        <v>0</v>
      </c>
      <c r="CX86" s="1184"/>
      <c r="CY86" s="320" t="str">
        <f>Pflanzen!A82</f>
        <v xml:space="preserve"> +++Rind, nur Zukauf+++</v>
      </c>
      <c r="CZ86" s="1200">
        <f>IFERROR(MATCH($CY86,Pflanzen!$C$5:$C$114,0),1)</f>
        <v>74</v>
      </c>
      <c r="DA86" s="320" cm="1">
        <f t="array" ref="DA86">INDEX(Pflanzen!$H$5:$H$114,'Lagerhaltung (freiwillig)'!CZ86)</f>
        <v>0</v>
      </c>
      <c r="DB86" s="1200">
        <f t="shared" si="208"/>
        <v>0</v>
      </c>
      <c r="DC86" s="1200">
        <f t="shared" si="208"/>
        <v>0</v>
      </c>
      <c r="DD86" s="1200">
        <f t="shared" si="208"/>
        <v>0</v>
      </c>
      <c r="DE86" s="1200">
        <f t="shared" si="208"/>
        <v>0</v>
      </c>
      <c r="DF86" s="1200">
        <f t="shared" si="208"/>
        <v>0</v>
      </c>
      <c r="DG86" s="1184">
        <f t="shared" si="208"/>
        <v>0</v>
      </c>
      <c r="DH86" s="1184">
        <f t="shared" si="208"/>
        <v>0</v>
      </c>
      <c r="DI86" s="1184">
        <f t="shared" si="208"/>
        <v>0</v>
      </c>
      <c r="DJ86" s="1184">
        <f t="shared" si="208"/>
        <v>0</v>
      </c>
      <c r="DK86" s="1184">
        <f t="shared" si="208"/>
        <v>0</v>
      </c>
      <c r="DL86" s="1184">
        <f t="shared" si="208"/>
        <v>0</v>
      </c>
      <c r="DM86" s="1184">
        <f t="shared" si="208"/>
        <v>0</v>
      </c>
      <c r="DN86" s="1184"/>
      <c r="DO86" s="1184">
        <f t="shared" si="209"/>
        <v>0</v>
      </c>
      <c r="DP86" s="1184">
        <f t="shared" si="209"/>
        <v>0</v>
      </c>
      <c r="DQ86" s="1184">
        <f t="shared" si="209"/>
        <v>0</v>
      </c>
      <c r="DR86" s="1184">
        <f t="shared" si="209"/>
        <v>0</v>
      </c>
      <c r="DS86" s="1184">
        <f t="shared" si="209"/>
        <v>0</v>
      </c>
      <c r="DT86" s="1184">
        <f t="shared" si="209"/>
        <v>0</v>
      </c>
      <c r="DU86" s="1184">
        <f t="shared" si="209"/>
        <v>0</v>
      </c>
      <c r="DV86" s="1184">
        <f t="shared" si="209"/>
        <v>0</v>
      </c>
      <c r="DW86" s="1184">
        <f t="shared" si="209"/>
        <v>0</v>
      </c>
      <c r="DX86" s="1184">
        <f t="shared" si="209"/>
        <v>0</v>
      </c>
      <c r="DY86" s="1184">
        <f t="shared" si="209"/>
        <v>0</v>
      </c>
      <c r="DZ86" s="1184">
        <f t="shared" si="209"/>
        <v>0</v>
      </c>
      <c r="EA86" s="1184"/>
      <c r="EB86" s="1184">
        <f t="shared" si="210"/>
        <v>0</v>
      </c>
      <c r="EC86" s="1184">
        <f t="shared" si="210"/>
        <v>0</v>
      </c>
      <c r="ED86" s="1184">
        <f t="shared" si="210"/>
        <v>0</v>
      </c>
      <c r="EE86" s="1184">
        <f t="shared" si="210"/>
        <v>0</v>
      </c>
      <c r="EF86" s="1184">
        <f t="shared" si="210"/>
        <v>0</v>
      </c>
      <c r="EG86" s="1184">
        <f t="shared" si="210"/>
        <v>0</v>
      </c>
      <c r="EH86" s="1184">
        <f t="shared" si="210"/>
        <v>0</v>
      </c>
      <c r="EI86" s="1184">
        <f t="shared" si="210"/>
        <v>0</v>
      </c>
      <c r="EJ86" s="1184">
        <f t="shared" si="210"/>
        <v>0</v>
      </c>
      <c r="EK86" s="1184">
        <f t="shared" si="210"/>
        <v>0</v>
      </c>
      <c r="EL86" s="1184">
        <f t="shared" si="210"/>
        <v>0</v>
      </c>
      <c r="EM86" s="1184">
        <f t="shared" si="210"/>
        <v>0</v>
      </c>
      <c r="EN86" s="1184"/>
      <c r="EO86" s="1184">
        <f t="shared" si="211"/>
        <v>0</v>
      </c>
      <c r="EP86" s="1184">
        <f t="shared" si="211"/>
        <v>0</v>
      </c>
      <c r="EQ86" s="1184">
        <f t="shared" si="211"/>
        <v>0</v>
      </c>
      <c r="ER86" s="1184">
        <f t="shared" si="211"/>
        <v>0</v>
      </c>
      <c r="ES86" s="1184">
        <f t="shared" si="211"/>
        <v>0</v>
      </c>
      <c r="ET86" s="1184">
        <f t="shared" si="211"/>
        <v>0</v>
      </c>
      <c r="EU86" s="1184">
        <f t="shared" si="211"/>
        <v>0</v>
      </c>
      <c r="EV86" s="1184">
        <f t="shared" si="211"/>
        <v>0</v>
      </c>
      <c r="EW86" s="1184">
        <f t="shared" si="211"/>
        <v>0</v>
      </c>
      <c r="EX86" s="1184">
        <f t="shared" si="211"/>
        <v>0</v>
      </c>
      <c r="EY86" s="1184">
        <f t="shared" si="211"/>
        <v>0</v>
      </c>
      <c r="EZ86" s="1184">
        <f t="shared" si="211"/>
        <v>0</v>
      </c>
      <c r="FA86" s="1184"/>
      <c r="FB86" s="1186">
        <f t="shared" si="182"/>
        <v>0</v>
      </c>
      <c r="FC86" s="1184">
        <f>FB86+DB86+EB86                 -         SUMIF('Nährstoffe und Lagerraum'!$AX$113:$AX$155,$CZ86,'Nährstoffe und Lagerraum'!$U$113:$U$155)/12  -$GD86*$HE86/12</f>
        <v>0</v>
      </c>
      <c r="FD86" s="1184">
        <f>FC86+DC86+EC86                 -         SUMIF('Nährstoffe und Lagerraum'!$AX$113:$AX$155,$CZ86,'Nährstoffe und Lagerraum'!$U$113:$U$155)/12  -$GD86*$HE86/12</f>
        <v>0</v>
      </c>
      <c r="FE86" s="1184">
        <f>FD86+DD86+ED86                 -         SUMIF('Nährstoffe und Lagerraum'!$AX$113:$AX$155,$CZ86,'Nährstoffe und Lagerraum'!$U$113:$U$155)/12  -$GD86*$HE86/12</f>
        <v>0</v>
      </c>
      <c r="FF86" s="1184">
        <f>FE86+DE86+EE86                 -         SUMIF('Nährstoffe und Lagerraum'!$AX$113:$AX$155,$CZ86,'Nährstoffe und Lagerraum'!$U$113:$U$155)/12  -$GD86*$HE86/12</f>
        <v>0</v>
      </c>
      <c r="FG86" s="1184">
        <f>FF86+DF86+EF86                 -         SUMIF('Nährstoffe und Lagerraum'!$AX$113:$AX$155,$CZ86,'Nährstoffe und Lagerraum'!$U$113:$U$155)/12  -$GD86*$HE86/12</f>
        <v>0</v>
      </c>
      <c r="FH86" s="1184">
        <f>FG86+DG86+EG86                 -         SUMIF('Nährstoffe und Lagerraum'!$AX$113:$AX$155,$CZ86,'Nährstoffe und Lagerraum'!$U$113:$U$155)/12  -$GD86*$HE86/12</f>
        <v>0</v>
      </c>
      <c r="FI86" s="1184">
        <f>FH86+DH86+EH86                 -         SUMIF('Nährstoffe und Lagerraum'!$AX$113:$AX$155,$CZ86,'Nährstoffe und Lagerraum'!$U$113:$U$155)/12  -$GD86*$HE86/12</f>
        <v>0</v>
      </c>
      <c r="FJ86" s="1184">
        <f>FI86+DI86+EI86                 -         SUMIF('Nährstoffe und Lagerraum'!$AX$113:$AX$155,$CZ86,'Nährstoffe und Lagerraum'!$U$113:$U$155)/12  -$GD86*$HE86/12</f>
        <v>0</v>
      </c>
      <c r="FK86" s="1184">
        <f>FJ86+DJ86+EJ86                 -         SUMIF('Nährstoffe und Lagerraum'!$AX$113:$AX$155,$CZ86,'Nährstoffe und Lagerraum'!$U$113:$U$155)/12  -$GD86*$HE86/12</f>
        <v>0</v>
      </c>
      <c r="FL86" s="1184">
        <f>FK86+DK86+EK86                 -         SUMIF('Nährstoffe und Lagerraum'!$AX$113:$AX$155,$CZ86,'Nährstoffe und Lagerraum'!$U$113:$U$155)/12  -$GD86*$HE86/12</f>
        <v>0</v>
      </c>
      <c r="FM86" s="1184">
        <f>FL86+DL86+EL86                 -         SUMIF('Nährstoffe und Lagerraum'!$AX$113:$AX$155,$CZ86,'Nährstoffe und Lagerraum'!$U$113:$U$155)/12  -$GD86*$HE86/12</f>
        <v>0</v>
      </c>
      <c r="FN86" s="1184">
        <f>FM86+DM86+EM86                 -         SUMIF('Nährstoffe und Lagerraum'!$AX$113:$AX$155,$CZ86,'Nährstoffe und Lagerraum'!$U$113:$U$155)/12  -$GD86*$HE86/12</f>
        <v>0</v>
      </c>
      <c r="FO86" s="1184"/>
      <c r="FP86" s="1186">
        <f t="shared" si="183"/>
        <v>0</v>
      </c>
      <c r="FQ86" s="1184">
        <f>FP86+DO86+EO86                 -         SUMIF('Nährstoffe und Lagerraum'!$AX$113:$AX$155,$CZ86,'Nährstoffe und Lagerraum'!$V$113:$V$155)/12  -$GE86*$HE86/12</f>
        <v>0</v>
      </c>
      <c r="FR86" s="1184">
        <f>FQ86+DP86+EP86                 -         SUMIF('Nährstoffe und Lagerraum'!$AX$113:$AX$155,$CZ86,'Nährstoffe und Lagerraum'!$V$113:$V$155)/12  -$GE86*$HE86/12</f>
        <v>0</v>
      </c>
      <c r="FS86" s="1184">
        <f>FR86+DQ86+EQ86                 -         SUMIF('Nährstoffe und Lagerraum'!$AX$113:$AX$155,$CZ86,'Nährstoffe und Lagerraum'!$V$113:$V$155)/12  -$GE86*$HE86/12</f>
        <v>0</v>
      </c>
      <c r="FT86" s="1184">
        <f>FS86+DR86+ER86                 -         SUMIF('Nährstoffe und Lagerraum'!$AX$113:$AX$155,$CZ86,'Nährstoffe und Lagerraum'!$V$113:$V$155)/12  -$GE86*$HE86/12</f>
        <v>0</v>
      </c>
      <c r="FU86" s="1184">
        <f>FT86+DS86+ES86                 -         SUMIF('Nährstoffe und Lagerraum'!$AX$113:$AX$155,$CZ86,'Nährstoffe und Lagerraum'!$V$113:$V$155)/12  -$GE86*$HE86/12</f>
        <v>0</v>
      </c>
      <c r="FV86" s="1184">
        <f>FU86+DT86+ET86                 -         SUMIF('Nährstoffe und Lagerraum'!$AX$113:$AX$155,$CZ86,'Nährstoffe und Lagerraum'!$V$113:$V$155)/12  -$GE86*$HE86/12</f>
        <v>0</v>
      </c>
      <c r="FW86" s="1184">
        <f>FV86+DU86+EU86                 -         SUMIF('Nährstoffe und Lagerraum'!$AX$113:$AX$155,$CZ86,'Nährstoffe und Lagerraum'!$V$113:$V$155)/12  -$GE86*$HE86/12</f>
        <v>0</v>
      </c>
      <c r="FX86" s="1184">
        <f>FW86+DV86+EV86                 -         SUMIF('Nährstoffe und Lagerraum'!$AX$113:$AX$155,$CZ86,'Nährstoffe und Lagerraum'!$V$113:$V$155)/12  -$GE86*$HE86/12</f>
        <v>0</v>
      </c>
      <c r="FY86" s="1184">
        <f>FX86+DW86+EW86                 -         SUMIF('Nährstoffe und Lagerraum'!$AX$113:$AX$155,$CZ86,'Nährstoffe und Lagerraum'!$V$113:$V$155)/12  -$GE86*$HE86/12</f>
        <v>0</v>
      </c>
      <c r="FZ86" s="1184">
        <f>FY86+DX86+EX86                 -         SUMIF('Nährstoffe und Lagerraum'!$AX$113:$AX$155,$CZ86,'Nährstoffe und Lagerraum'!$V$113:$V$155)/12  -$GE86*$HE86/12</f>
        <v>0</v>
      </c>
      <c r="GA86" s="1184">
        <f>FZ86+DY86+EY86                 -         SUMIF('Nährstoffe und Lagerraum'!$AX$113:$AX$155,$CZ86,'Nährstoffe und Lagerraum'!$V$113:$V$155)/12  -$GE86*$HE86/12</f>
        <v>0</v>
      </c>
      <c r="GB86" s="1184">
        <f>GA86+DZ86+EZ86                 -         SUMIF('Nährstoffe und Lagerraum'!$AX$113:$AX$155,$CZ86,'Nährstoffe und Lagerraum'!$V$113:$V$155)/12  -$GE86*$HE86/12</f>
        <v>0</v>
      </c>
      <c r="GC86" s="1184"/>
      <c r="GD86" s="1184">
        <f>SUMIFS($CI$14:$CI$68,$BR$14:$BR$68,$CZ86)+SUMIFS($CM$14:$CM$68,$BR$14:$BR$68,$CZ86)+SUMIFS($CR$14:$CR$68,$BR$14:$BR$68,$CZ86)  -         SUMIF('Nährstoffe und Lagerraum'!$AX$113:$AX$155,$CZ86,'Nährstoffe und Lagerraum'!$U$113:$U$155)</f>
        <v>0</v>
      </c>
      <c r="GE86" s="1184">
        <f>SUMIFS($CJ$14:$CJ$68,$BR$14:$BR$68,$CZ86)+SUMIFS($CO$14:$CO$68,$BR$14:$BR$68,$CZ86)+SUMIFS($CT$14:$CT$68,$BR$14:$BR$68,$CZ86)  -         SUMIF('Nährstoffe und Lagerraum'!$AX$113:$AX$155,$CZ86,'Nährstoffe und Lagerraum'!$V$113:$V$155)</f>
        <v>0</v>
      </c>
      <c r="GF86" s="1184"/>
      <c r="GG86" s="1184"/>
      <c r="GH86" s="1184">
        <f>SUMIF('Nährstoffe und Lagerraum'!$AX$113:$AX$155,$CZ86,'Nährstoffe und Lagerraum'!$U$113:$U$155)</f>
        <v>0</v>
      </c>
      <c r="GI86" s="1184">
        <f>SUMIF('Nährstoffe und Lagerraum'!$AX$113:$AX$155,$CZ86,'Nährstoffe und Lagerraum'!$V$113:$V$155)</f>
        <v>0</v>
      </c>
      <c r="GJ86" s="1184">
        <f t="shared" si="221"/>
        <v>0</v>
      </c>
      <c r="GK86" s="1184">
        <f t="shared" si="222"/>
        <v>0</v>
      </c>
      <c r="GL86" s="1184">
        <f t="shared" si="223"/>
        <v>0</v>
      </c>
      <c r="GM86" s="1184">
        <f t="shared" si="224"/>
        <v>0</v>
      </c>
      <c r="GN86" s="1184">
        <f t="shared" si="225"/>
        <v>0</v>
      </c>
      <c r="GO86" s="1184" cm="1">
        <f t="array" ref="GO86">IF(GN86=0,0,(IFERROR(SUMPRODUCT($J$14:$J$68,$CH$14:$CH$68,($BR$14:$BR$68=CZ86)*1)+SUMPRODUCT($L$14:$L$68,$M$14:$M$68,$CK$14:$CK$68,($BR$14:$BR$68=CZ86)*1,($BT$14:$BT$68=FALSE)*1)/10+SUMPRODUCT($R$14:$R$68,$CP$14:$CP$68,($BR$14:$BR$68=CZ86)*1),0))/GN86)</f>
        <v>0</v>
      </c>
      <c r="GP86" s="1184">
        <f t="shared" si="226"/>
        <v>0</v>
      </c>
      <c r="GQ86" s="1184">
        <f>(SUMIF('Nährstoffe und Lagerraum'!$AX$113:$AX$130,'Lagerhaltung (freiwillig)'!CZ86,'Nährstoffe und Lagerraum'!$D$113:$D$130)+SUMIF('Nährstoffe und Lagerraum'!$AX$137:$AX$155,'Lagerhaltung (freiwillig)'!CZ86,'Nährstoffe und Lagerraum'!$E$137:$E$155))</f>
        <v>0</v>
      </c>
      <c r="GR86" s="1184" cm="1">
        <f t="array" ref="GR86">IF(GQ86=0,0,(IFERROR(SUMPRODUCT('Nährstoffe und Lagerraum'!$D$113:$D$130,'Nährstoffe und Lagerraum'!$F$113:$F$130,('Nährstoffe und Lagerraum'!$AX$113:$AX$130='Lagerhaltung (freiwillig)'!CZ86)*1)+SUMPRODUCT('Nährstoffe und Lagerraum'!$E$137:$E$155,'Nährstoffe und Lagerraum'!$F$137:$F$155,('Nährstoffe und Lagerraum'!$AX$137:$AX$155='Lagerhaltung (freiwillig)'!CZ86)*1),0))/GQ86)</f>
        <v>0</v>
      </c>
      <c r="GS86" s="1184">
        <f t="shared" si="227"/>
        <v>0</v>
      </c>
      <c r="GT86" s="1184">
        <f t="shared" si="228"/>
        <v>0</v>
      </c>
      <c r="GU86" s="1184">
        <f t="shared" si="229"/>
        <v>0</v>
      </c>
      <c r="GV86" s="1184">
        <f t="shared" si="230"/>
        <v>0</v>
      </c>
      <c r="GW86" s="1186" t="str">
        <f t="shared" si="177"/>
        <v xml:space="preserve"> </v>
      </c>
      <c r="GX86" s="1186" t="str">
        <f t="shared" si="177"/>
        <v xml:space="preserve"> </v>
      </c>
      <c r="GY86" s="1195">
        <f t="shared" si="231"/>
        <v>0</v>
      </c>
      <c r="GZ86" s="1184">
        <f t="shared" si="232"/>
        <v>0</v>
      </c>
      <c r="HA86" s="1184" t="str">
        <f t="shared" si="176"/>
        <v>a</v>
      </c>
      <c r="HB86" s="1196">
        <f t="shared" si="233"/>
        <v>0</v>
      </c>
      <c r="HC86" s="1196">
        <f t="shared" si="234"/>
        <v>0</v>
      </c>
      <c r="HD86" s="1196"/>
      <c r="HE86" s="1187">
        <f t="shared" si="235"/>
        <v>0</v>
      </c>
      <c r="HF86" s="1196">
        <f t="shared" si="236"/>
        <v>0</v>
      </c>
      <c r="HG86" s="1196">
        <f t="shared" si="237"/>
        <v>0</v>
      </c>
      <c r="HH86" s="1196">
        <f t="shared" si="238"/>
        <v>0</v>
      </c>
      <c r="HI86" s="1328" cm="1">
        <f t="array" ref="HI86">IF(AND(HG86=0,GL86=0),0,IF(HG86=0,1,IF(OR(GL86*1000/HG86/HH86&gt;INDEX(Pflanzen!$W$5:$W$104,CZ86)/INDEX(Pflanzen!$I$5:$I$104,CZ86)*$HI$2,GL86*1000/HG86/HH86&lt;INDEX(Pflanzen!$W$5:$W$104,CZ86)/INDEX(Pflanzen!$I$5:$I$104,CZ86)/$HI$2),1,0)))</f>
        <v>0</v>
      </c>
      <c r="HJ86" s="1328" cm="1">
        <f t="array" ref="HJ86">IF(AND(GM86=0,HG86=0),0,IF(HG86=0,1,IF(OR(GM86*1000/HG86/HH86&gt;INDEX(Pflanzen!$X$5:$X$104,CZ86)/INDEX(Pflanzen!$I$5:$I$104,CZ86)*$HI$2,GM86*1000/HG86/HH86&lt;INDEX(Pflanzen!$X$5:$X$104,CZ86)/INDEX(Pflanzen!$I$5:$I$104,CZ86)/$HI$2),1,0)))</f>
        <v>0</v>
      </c>
      <c r="HK86" s="1184">
        <f t="shared" si="239"/>
        <v>3</v>
      </c>
      <c r="HL86" s="1184"/>
      <c r="HN86" s="1184"/>
      <c r="HO86" s="1193" t="str">
        <f>Tiere!B112</f>
        <v xml:space="preserve"> -- - </v>
      </c>
      <c r="HP86" s="1184">
        <v>83</v>
      </c>
      <c r="HQ86" s="1194">
        <f>SUMIF('Nährstoffe und Lagerraum'!$BM$68:$BM$87,'Lagerhaltung (freiwillig)'!HP86,'Nährstoffe und Lagerraum'!$Z$68:$Z$87)+SUMIF('Nährstoffe und Lagerraum'!$BM$68:$BM$87,'Lagerhaltung (freiwillig)'!HP86,'Nährstoffe und Lagerraum'!$AA$68:$AA$87)</f>
        <v>0</v>
      </c>
      <c r="HR86" s="1184" cm="1">
        <f t="array" ref="HR86">INDEX(Tiere!$C$30:$C$114,'Lagerhaltung (freiwillig)'!HP86)</f>
        <v>1</v>
      </c>
      <c r="HS86" s="1184" cm="1">
        <f t="array" ref="HS86">INDEX(Tiere!$H$30:$H$114,'Lagerhaltung (freiwillig)'!HP86)</f>
        <v>0</v>
      </c>
      <c r="HT86" s="1184">
        <f t="shared" si="171"/>
        <v>0</v>
      </c>
      <c r="HU86" s="1184" cm="1">
        <f t="array" ref="HU86">INDEX(Tiere!$I$30:$I$114,'Lagerhaltung (freiwillig)'!HP86)</f>
        <v>0</v>
      </c>
      <c r="HV86" s="1184">
        <f t="shared" si="172"/>
        <v>0</v>
      </c>
      <c r="HW86" s="1184" cm="1">
        <f t="array" ref="HW86">INDEX(Tiere!$BC$30:$BC$114,'Lagerhaltung (freiwillig)'!HP86)</f>
        <v>0</v>
      </c>
      <c r="HX86" s="1184">
        <f t="shared" si="173"/>
        <v>0</v>
      </c>
      <c r="HY86" s="1184" cm="1">
        <f t="array" ref="HY86">INDEX(Tiere!$BD$30:$BD$114,'Lagerhaltung (freiwillig)'!HP86)</f>
        <v>0</v>
      </c>
      <c r="HZ86" s="1184">
        <f t="shared" si="174"/>
        <v>0</v>
      </c>
      <c r="IA86" s="1184"/>
      <c r="IB86" s="1184"/>
      <c r="IC86" s="1184"/>
      <c r="ID86" s="1184"/>
      <c r="IE86" s="1184"/>
      <c r="IF86" s="1184"/>
      <c r="IG86" s="1184"/>
      <c r="IH86" s="1184"/>
      <c r="II86" s="1184"/>
      <c r="IJ86" s="1184"/>
      <c r="IK86" s="1184"/>
      <c r="IL86" s="1184"/>
    </row>
    <row r="87" spans="1:246" ht="15.6" customHeight="1" x14ac:dyDescent="0.2">
      <c r="A87" s="3106"/>
      <c r="B87" s="3140"/>
      <c r="C87" s="3140"/>
      <c r="D87" s="3140"/>
      <c r="E87" s="3141"/>
      <c r="F87" s="1122"/>
      <c r="G87" s="1498"/>
      <c r="H87" s="1336"/>
      <c r="I87" s="1345">
        <f t="shared" si="218"/>
        <v>0</v>
      </c>
      <c r="J87" s="1487"/>
      <c r="K87" s="1113"/>
      <c r="L87" s="1114"/>
      <c r="M87" s="1114"/>
      <c r="N87" s="1115"/>
      <c r="O87" s="1115"/>
      <c r="P87" s="1116"/>
      <c r="Q87" s="1345">
        <f t="shared" si="219"/>
        <v>0</v>
      </c>
      <c r="R87" s="1491"/>
      <c r="S87" s="2185"/>
      <c r="T87" s="1487"/>
      <c r="U87" s="725"/>
      <c r="V87" s="1346" t="str">
        <f t="shared" si="220"/>
        <v/>
      </c>
      <c r="X87" s="702"/>
      <c r="Y87" s="1981"/>
      <c r="Z87" s="1982"/>
      <c r="AA87" s="1982"/>
      <c r="AB87" s="1982"/>
      <c r="AC87" s="1983"/>
      <c r="AD87" s="1983"/>
      <c r="AE87" s="1983"/>
      <c r="AF87" s="1983"/>
      <c r="AG87" s="1983"/>
      <c r="AH87" s="1983"/>
      <c r="AI87" s="1983"/>
      <c r="AJ87" s="1983"/>
      <c r="AK87" s="1983"/>
      <c r="AL87" s="1984"/>
      <c r="AM87" s="1983"/>
      <c r="AN87" s="1983"/>
      <c r="AO87" s="1983"/>
      <c r="AP87" s="1983"/>
      <c r="AQ87" s="1983"/>
      <c r="AR87" s="1983"/>
      <c r="AS87" s="1983"/>
      <c r="AT87" s="1983"/>
      <c r="AU87" s="1983"/>
      <c r="AV87" s="1983"/>
      <c r="AW87" s="1985"/>
      <c r="AX87" s="1985"/>
      <c r="AY87" s="1985"/>
      <c r="AZ87" s="1985"/>
      <c r="BA87" s="1462"/>
      <c r="BB87" s="1462"/>
      <c r="BC87" s="1462"/>
      <c r="BD87" s="1461"/>
      <c r="BE87" s="1462"/>
      <c r="BF87" s="1343"/>
      <c r="BG87" s="1343"/>
      <c r="BH87" s="1343"/>
      <c r="BI87" s="1343"/>
      <c r="BJ87" s="1343"/>
      <c r="BK87" s="1343"/>
      <c r="BL87" s="1343"/>
      <c r="BM87" s="1343"/>
      <c r="BN87" s="1343"/>
      <c r="BO87" s="1343"/>
      <c r="BQ87" s="1184"/>
      <c r="BR87" s="1184"/>
      <c r="BS87" s="1184"/>
      <c r="BT87" s="1184"/>
      <c r="BU87" s="1185"/>
      <c r="BV87" s="1185"/>
      <c r="BW87" s="1184">
        <f t="shared" si="178"/>
        <v>12</v>
      </c>
      <c r="BX87" s="1184">
        <f t="shared" si="179"/>
        <v>0</v>
      </c>
      <c r="BY87" s="1184">
        <f t="shared" si="180"/>
        <v>12</v>
      </c>
      <c r="BZ87" s="1184"/>
      <c r="CA87" s="1184"/>
      <c r="CB87" s="1184"/>
      <c r="CC87" s="1184"/>
      <c r="CD87" s="1184"/>
      <c r="CE87" s="1184"/>
      <c r="CF87" s="1184"/>
      <c r="CG87" s="1184"/>
      <c r="CH87" s="1184"/>
      <c r="CI87" s="1184">
        <f t="shared" si="212"/>
        <v>0</v>
      </c>
      <c r="CJ87" s="1184">
        <f t="shared" si="213"/>
        <v>0</v>
      </c>
      <c r="CK87" s="1184"/>
      <c r="CL87" s="1184"/>
      <c r="CM87" s="1184"/>
      <c r="CN87" s="1184"/>
      <c r="CO87" s="1184"/>
      <c r="CP87" s="1184"/>
      <c r="CQ87" s="1184">
        <f t="shared" si="214"/>
        <v>0</v>
      </c>
      <c r="CR87" s="1184">
        <f t="shared" si="215"/>
        <v>0</v>
      </c>
      <c r="CS87" s="1184">
        <f t="shared" si="216"/>
        <v>0</v>
      </c>
      <c r="CT87" s="1184">
        <f t="shared" si="217"/>
        <v>0</v>
      </c>
      <c r="CU87" s="1184">
        <f t="shared" si="206"/>
        <v>2</v>
      </c>
      <c r="CV87" s="1184">
        <f t="shared" si="181"/>
        <v>0</v>
      </c>
      <c r="CW87" s="1186">
        <f t="shared" si="207"/>
        <v>0</v>
      </c>
      <c r="CX87" s="1184"/>
      <c r="CY87" s="320" t="str">
        <f>Pflanzen!A83</f>
        <v>Milchviehgülle (Grünland)</v>
      </c>
      <c r="CZ87" s="1200">
        <f>IFERROR(MATCH($CY87,Pflanzen!$C$5:$C$114,0),1)</f>
        <v>75</v>
      </c>
      <c r="DA87" s="320" cm="1">
        <f t="array" ref="DA87">INDEX(Pflanzen!$H$5:$H$114,'Lagerhaltung (freiwillig)'!CZ87)</f>
        <v>0</v>
      </c>
      <c r="DB87" s="1200">
        <f t="shared" si="208"/>
        <v>0</v>
      </c>
      <c r="DC87" s="1200">
        <f t="shared" si="208"/>
        <v>0</v>
      </c>
      <c r="DD87" s="1200">
        <f t="shared" si="208"/>
        <v>0</v>
      </c>
      <c r="DE87" s="1200">
        <f t="shared" si="208"/>
        <v>0</v>
      </c>
      <c r="DF87" s="1200">
        <f t="shared" si="208"/>
        <v>0</v>
      </c>
      <c r="DG87" s="1184">
        <f t="shared" si="208"/>
        <v>0</v>
      </c>
      <c r="DH87" s="1184">
        <f t="shared" si="208"/>
        <v>0</v>
      </c>
      <c r="DI87" s="1184">
        <f t="shared" si="208"/>
        <v>0</v>
      </c>
      <c r="DJ87" s="1184">
        <f t="shared" si="208"/>
        <v>0</v>
      </c>
      <c r="DK87" s="1184">
        <f t="shared" si="208"/>
        <v>0</v>
      </c>
      <c r="DL87" s="1184">
        <f t="shared" si="208"/>
        <v>0</v>
      </c>
      <c r="DM87" s="1184">
        <f t="shared" si="208"/>
        <v>0</v>
      </c>
      <c r="DN87" s="1184"/>
      <c r="DO87" s="1184">
        <f t="shared" si="209"/>
        <v>0</v>
      </c>
      <c r="DP87" s="1184">
        <f t="shared" si="209"/>
        <v>0</v>
      </c>
      <c r="DQ87" s="1184">
        <f t="shared" si="209"/>
        <v>0</v>
      </c>
      <c r="DR87" s="1184">
        <f t="shared" si="209"/>
        <v>0</v>
      </c>
      <c r="DS87" s="1184">
        <f t="shared" si="209"/>
        <v>0</v>
      </c>
      <c r="DT87" s="1184">
        <f t="shared" si="209"/>
        <v>0</v>
      </c>
      <c r="DU87" s="1184">
        <f t="shared" si="209"/>
        <v>0</v>
      </c>
      <c r="DV87" s="1184">
        <f t="shared" si="209"/>
        <v>0</v>
      </c>
      <c r="DW87" s="1184">
        <f t="shared" si="209"/>
        <v>0</v>
      </c>
      <c r="DX87" s="1184">
        <f t="shared" si="209"/>
        <v>0</v>
      </c>
      <c r="DY87" s="1184">
        <f t="shared" si="209"/>
        <v>0</v>
      </c>
      <c r="DZ87" s="1184">
        <f t="shared" si="209"/>
        <v>0</v>
      </c>
      <c r="EA87" s="1184"/>
      <c r="EB87" s="1184">
        <f t="shared" si="210"/>
        <v>0</v>
      </c>
      <c r="EC87" s="1184">
        <f t="shared" si="210"/>
        <v>0</v>
      </c>
      <c r="ED87" s="1184">
        <f t="shared" si="210"/>
        <v>0</v>
      </c>
      <c r="EE87" s="1184">
        <f t="shared" si="210"/>
        <v>0</v>
      </c>
      <c r="EF87" s="1184">
        <f t="shared" si="210"/>
        <v>0</v>
      </c>
      <c r="EG87" s="1184">
        <f t="shared" si="210"/>
        <v>0</v>
      </c>
      <c r="EH87" s="1184">
        <f t="shared" si="210"/>
        <v>0</v>
      </c>
      <c r="EI87" s="1184">
        <f t="shared" si="210"/>
        <v>0</v>
      </c>
      <c r="EJ87" s="1184">
        <f t="shared" si="210"/>
        <v>0</v>
      </c>
      <c r="EK87" s="1184">
        <f t="shared" si="210"/>
        <v>0</v>
      </c>
      <c r="EL87" s="1184">
        <f t="shared" si="210"/>
        <v>0</v>
      </c>
      <c r="EM87" s="1184">
        <f t="shared" si="210"/>
        <v>0</v>
      </c>
      <c r="EN87" s="1184"/>
      <c r="EO87" s="1184">
        <f t="shared" si="211"/>
        <v>0</v>
      </c>
      <c r="EP87" s="1184">
        <f t="shared" si="211"/>
        <v>0</v>
      </c>
      <c r="EQ87" s="1184">
        <f t="shared" si="211"/>
        <v>0</v>
      </c>
      <c r="ER87" s="1184">
        <f t="shared" si="211"/>
        <v>0</v>
      </c>
      <c r="ES87" s="1184">
        <f t="shared" si="211"/>
        <v>0</v>
      </c>
      <c r="ET87" s="1184">
        <f t="shared" si="211"/>
        <v>0</v>
      </c>
      <c r="EU87" s="1184">
        <f t="shared" si="211"/>
        <v>0</v>
      </c>
      <c r="EV87" s="1184">
        <f t="shared" si="211"/>
        <v>0</v>
      </c>
      <c r="EW87" s="1184">
        <f t="shared" si="211"/>
        <v>0</v>
      </c>
      <c r="EX87" s="1184">
        <f t="shared" si="211"/>
        <v>0</v>
      </c>
      <c r="EY87" s="1184">
        <f t="shared" si="211"/>
        <v>0</v>
      </c>
      <c r="EZ87" s="1184">
        <f t="shared" si="211"/>
        <v>0</v>
      </c>
      <c r="FA87" s="1184"/>
      <c r="FB87" s="1186">
        <f t="shared" si="182"/>
        <v>0</v>
      </c>
      <c r="FC87" s="1184">
        <f>FB87+DB87+EB87                 -         SUMIF('Nährstoffe und Lagerraum'!$AX$113:$AX$155,$CZ87,'Nährstoffe und Lagerraum'!$U$113:$U$155)/12  -$GD87*$HE87/12</f>
        <v>0</v>
      </c>
      <c r="FD87" s="1184">
        <f>FC87+DC87+EC87                 -         SUMIF('Nährstoffe und Lagerraum'!$AX$113:$AX$155,$CZ87,'Nährstoffe und Lagerraum'!$U$113:$U$155)/12  -$GD87*$HE87/12</f>
        <v>0</v>
      </c>
      <c r="FE87" s="1184">
        <f>FD87+DD87+ED87                 -         SUMIF('Nährstoffe und Lagerraum'!$AX$113:$AX$155,$CZ87,'Nährstoffe und Lagerraum'!$U$113:$U$155)/12  -$GD87*$HE87/12</f>
        <v>0</v>
      </c>
      <c r="FF87" s="1184">
        <f>FE87+DE87+EE87                 -         SUMIF('Nährstoffe und Lagerraum'!$AX$113:$AX$155,$CZ87,'Nährstoffe und Lagerraum'!$U$113:$U$155)/12  -$GD87*$HE87/12</f>
        <v>0</v>
      </c>
      <c r="FG87" s="1184">
        <f>FF87+DF87+EF87                 -         SUMIF('Nährstoffe und Lagerraum'!$AX$113:$AX$155,$CZ87,'Nährstoffe und Lagerraum'!$U$113:$U$155)/12  -$GD87*$HE87/12</f>
        <v>0</v>
      </c>
      <c r="FH87" s="1184">
        <f>FG87+DG87+EG87                 -         SUMIF('Nährstoffe und Lagerraum'!$AX$113:$AX$155,$CZ87,'Nährstoffe und Lagerraum'!$U$113:$U$155)/12  -$GD87*$HE87/12</f>
        <v>0</v>
      </c>
      <c r="FI87" s="1184">
        <f>FH87+DH87+EH87                 -         SUMIF('Nährstoffe und Lagerraum'!$AX$113:$AX$155,$CZ87,'Nährstoffe und Lagerraum'!$U$113:$U$155)/12  -$GD87*$HE87/12</f>
        <v>0</v>
      </c>
      <c r="FJ87" s="1184">
        <f>FI87+DI87+EI87                 -         SUMIF('Nährstoffe und Lagerraum'!$AX$113:$AX$155,$CZ87,'Nährstoffe und Lagerraum'!$U$113:$U$155)/12  -$GD87*$HE87/12</f>
        <v>0</v>
      </c>
      <c r="FK87" s="1184">
        <f>FJ87+DJ87+EJ87                 -         SUMIF('Nährstoffe und Lagerraum'!$AX$113:$AX$155,$CZ87,'Nährstoffe und Lagerraum'!$U$113:$U$155)/12  -$GD87*$HE87/12</f>
        <v>0</v>
      </c>
      <c r="FL87" s="1184">
        <f>FK87+DK87+EK87                 -         SUMIF('Nährstoffe und Lagerraum'!$AX$113:$AX$155,$CZ87,'Nährstoffe und Lagerraum'!$U$113:$U$155)/12  -$GD87*$HE87/12</f>
        <v>0</v>
      </c>
      <c r="FM87" s="1184">
        <f>FL87+DL87+EL87                 -         SUMIF('Nährstoffe und Lagerraum'!$AX$113:$AX$155,$CZ87,'Nährstoffe und Lagerraum'!$U$113:$U$155)/12  -$GD87*$HE87/12</f>
        <v>0</v>
      </c>
      <c r="FN87" s="1184">
        <f>FM87+DM87+EM87                 -         SUMIF('Nährstoffe und Lagerraum'!$AX$113:$AX$155,$CZ87,'Nährstoffe und Lagerraum'!$U$113:$U$155)/12  -$GD87*$HE87/12</f>
        <v>0</v>
      </c>
      <c r="FO87" s="1184"/>
      <c r="FP87" s="1186">
        <f t="shared" si="183"/>
        <v>0</v>
      </c>
      <c r="FQ87" s="1184">
        <f>FP87+DO87+EO87                 -         SUMIF('Nährstoffe und Lagerraum'!$AX$113:$AX$155,$CZ87,'Nährstoffe und Lagerraum'!$V$113:$V$155)/12  -$GE87*$HE87/12</f>
        <v>0</v>
      </c>
      <c r="FR87" s="1184">
        <f>FQ87+DP87+EP87                 -         SUMIF('Nährstoffe und Lagerraum'!$AX$113:$AX$155,$CZ87,'Nährstoffe und Lagerraum'!$V$113:$V$155)/12  -$GE87*$HE87/12</f>
        <v>0</v>
      </c>
      <c r="FS87" s="1184">
        <f>FR87+DQ87+EQ87                 -         SUMIF('Nährstoffe und Lagerraum'!$AX$113:$AX$155,$CZ87,'Nährstoffe und Lagerraum'!$V$113:$V$155)/12  -$GE87*$HE87/12</f>
        <v>0</v>
      </c>
      <c r="FT87" s="1184">
        <f>FS87+DR87+ER87                 -         SUMIF('Nährstoffe und Lagerraum'!$AX$113:$AX$155,$CZ87,'Nährstoffe und Lagerraum'!$V$113:$V$155)/12  -$GE87*$HE87/12</f>
        <v>0</v>
      </c>
      <c r="FU87" s="1184">
        <f>FT87+DS87+ES87                 -         SUMIF('Nährstoffe und Lagerraum'!$AX$113:$AX$155,$CZ87,'Nährstoffe und Lagerraum'!$V$113:$V$155)/12  -$GE87*$HE87/12</f>
        <v>0</v>
      </c>
      <c r="FV87" s="1184">
        <f>FU87+DT87+ET87                 -         SUMIF('Nährstoffe und Lagerraum'!$AX$113:$AX$155,$CZ87,'Nährstoffe und Lagerraum'!$V$113:$V$155)/12  -$GE87*$HE87/12</f>
        <v>0</v>
      </c>
      <c r="FW87" s="1184">
        <f>FV87+DU87+EU87                 -         SUMIF('Nährstoffe und Lagerraum'!$AX$113:$AX$155,$CZ87,'Nährstoffe und Lagerraum'!$V$113:$V$155)/12  -$GE87*$HE87/12</f>
        <v>0</v>
      </c>
      <c r="FX87" s="1184">
        <f>FW87+DV87+EV87                 -         SUMIF('Nährstoffe und Lagerraum'!$AX$113:$AX$155,$CZ87,'Nährstoffe und Lagerraum'!$V$113:$V$155)/12  -$GE87*$HE87/12</f>
        <v>0</v>
      </c>
      <c r="FY87" s="1184">
        <f>FX87+DW87+EW87                 -         SUMIF('Nährstoffe und Lagerraum'!$AX$113:$AX$155,$CZ87,'Nährstoffe und Lagerraum'!$V$113:$V$155)/12  -$GE87*$HE87/12</f>
        <v>0</v>
      </c>
      <c r="FZ87" s="1184">
        <f>FY87+DX87+EX87                 -         SUMIF('Nährstoffe und Lagerraum'!$AX$113:$AX$155,$CZ87,'Nährstoffe und Lagerraum'!$V$113:$V$155)/12  -$GE87*$HE87/12</f>
        <v>0</v>
      </c>
      <c r="GA87" s="1184">
        <f>FZ87+DY87+EY87                 -         SUMIF('Nährstoffe und Lagerraum'!$AX$113:$AX$155,$CZ87,'Nährstoffe und Lagerraum'!$V$113:$V$155)/12  -$GE87*$HE87/12</f>
        <v>0</v>
      </c>
      <c r="GB87" s="1184">
        <f>GA87+DZ87+EZ87                 -         SUMIF('Nährstoffe und Lagerraum'!$AX$113:$AX$155,$CZ87,'Nährstoffe und Lagerraum'!$V$113:$V$155)/12  -$GE87*$HE87/12</f>
        <v>0</v>
      </c>
      <c r="GC87" s="1184"/>
      <c r="GD87" s="1184">
        <f>SUMIFS($CI$14:$CI$68,$BR$14:$BR$68,$CZ87)+SUMIFS($CM$14:$CM$68,$BR$14:$BR$68,$CZ87)+SUMIFS($CR$14:$CR$68,$BR$14:$BR$68,$CZ87)  -         SUMIF('Nährstoffe und Lagerraum'!$AX$113:$AX$155,$CZ87,'Nährstoffe und Lagerraum'!$U$113:$U$155)</f>
        <v>0</v>
      </c>
      <c r="GE87" s="1184">
        <f>SUMIFS($CJ$14:$CJ$68,$BR$14:$BR$68,$CZ87)+SUMIFS($CO$14:$CO$68,$BR$14:$BR$68,$CZ87)+SUMIFS($CT$14:$CT$68,$BR$14:$BR$68,$CZ87)  -         SUMIF('Nährstoffe und Lagerraum'!$AX$113:$AX$155,$CZ87,'Nährstoffe und Lagerraum'!$V$113:$V$155)</f>
        <v>0</v>
      </c>
      <c r="GF87" s="1184"/>
      <c r="GG87" s="1184"/>
      <c r="GH87" s="1184">
        <f>SUMIF('Nährstoffe und Lagerraum'!$AX$113:$AX$155,$CZ87,'Nährstoffe und Lagerraum'!$U$113:$U$155)</f>
        <v>0</v>
      </c>
      <c r="GI87" s="1184">
        <f>SUMIF('Nährstoffe und Lagerraum'!$AX$113:$AX$155,$CZ87,'Nährstoffe und Lagerraum'!$V$113:$V$155)</f>
        <v>0</v>
      </c>
      <c r="GJ87" s="1184">
        <f t="shared" si="221"/>
        <v>0</v>
      </c>
      <c r="GK87" s="1184">
        <f t="shared" si="222"/>
        <v>0</v>
      </c>
      <c r="GL87" s="1184">
        <f t="shared" si="223"/>
        <v>0</v>
      </c>
      <c r="GM87" s="1184">
        <f t="shared" si="224"/>
        <v>0</v>
      </c>
      <c r="GN87" s="1184">
        <f t="shared" si="225"/>
        <v>0</v>
      </c>
      <c r="GO87" s="1184" cm="1">
        <f t="array" ref="GO87">IF(GN87=0,0,(IFERROR(SUMPRODUCT($J$14:$J$68,$CH$14:$CH$68,($BR$14:$BR$68=CZ87)*1)+SUMPRODUCT($L$14:$L$68,$M$14:$M$68,$CK$14:$CK$68,($BR$14:$BR$68=CZ87)*1,($BT$14:$BT$68=FALSE)*1)/10+SUMPRODUCT($R$14:$R$68,$CP$14:$CP$68,($BR$14:$BR$68=CZ87)*1),0))/GN87)</f>
        <v>0</v>
      </c>
      <c r="GP87" s="1184">
        <f t="shared" si="226"/>
        <v>0</v>
      </c>
      <c r="GQ87" s="1184">
        <f>(SUMIF('Nährstoffe und Lagerraum'!$AX$113:$AX$130,'Lagerhaltung (freiwillig)'!CZ87,'Nährstoffe und Lagerraum'!$D$113:$D$130)+SUMIF('Nährstoffe und Lagerraum'!$AX$137:$AX$155,'Lagerhaltung (freiwillig)'!CZ87,'Nährstoffe und Lagerraum'!$E$137:$E$155))</f>
        <v>0</v>
      </c>
      <c r="GR87" s="1184" cm="1">
        <f t="array" ref="GR87">IF(GQ87=0,0,(IFERROR(SUMPRODUCT('Nährstoffe und Lagerraum'!$D$113:$D$130,'Nährstoffe und Lagerraum'!$F$113:$F$130,('Nährstoffe und Lagerraum'!$AX$113:$AX$130='Lagerhaltung (freiwillig)'!CZ87)*1)+SUMPRODUCT('Nährstoffe und Lagerraum'!$E$137:$E$155,'Nährstoffe und Lagerraum'!$F$137:$F$155,('Nährstoffe und Lagerraum'!$AX$137:$AX$155='Lagerhaltung (freiwillig)'!CZ87)*1),0))/GQ87)</f>
        <v>0</v>
      </c>
      <c r="GS87" s="1184">
        <f t="shared" si="227"/>
        <v>0</v>
      </c>
      <c r="GT87" s="1184">
        <f t="shared" si="228"/>
        <v>0</v>
      </c>
      <c r="GU87" s="1184">
        <f t="shared" si="229"/>
        <v>0</v>
      </c>
      <c r="GV87" s="1184">
        <f t="shared" si="230"/>
        <v>0</v>
      </c>
      <c r="GW87" s="1186" t="str">
        <f t="shared" si="177"/>
        <v xml:space="preserve"> </v>
      </c>
      <c r="GX87" s="1186" t="str">
        <f t="shared" si="177"/>
        <v xml:space="preserve"> </v>
      </c>
      <c r="GY87" s="1195">
        <f t="shared" si="231"/>
        <v>0</v>
      </c>
      <c r="GZ87" s="1184">
        <f t="shared" si="232"/>
        <v>0</v>
      </c>
      <c r="HA87" s="1184" t="str">
        <f t="shared" si="176"/>
        <v>a</v>
      </c>
      <c r="HB87" s="1196">
        <f t="shared" si="233"/>
        <v>0</v>
      </c>
      <c r="HC87" s="1196">
        <f t="shared" si="234"/>
        <v>0</v>
      </c>
      <c r="HD87" s="1196"/>
      <c r="HE87" s="1187">
        <f t="shared" si="235"/>
        <v>0</v>
      </c>
      <c r="HF87" s="1196">
        <f t="shared" si="236"/>
        <v>0</v>
      </c>
      <c r="HG87" s="1196">
        <f t="shared" si="237"/>
        <v>0</v>
      </c>
      <c r="HH87" s="1196">
        <f t="shared" si="238"/>
        <v>0</v>
      </c>
      <c r="HI87" s="1328" cm="1">
        <f t="array" ref="HI87">IF(AND(HG87=0,GL87=0),0,IF(HG87=0,1,IF(OR(GL87*1000/HG87/HH87&gt;INDEX(Pflanzen!$W$5:$W$104,CZ87)/INDEX(Pflanzen!$I$5:$I$104,CZ87)*$HI$2,GL87*1000/HG87/HH87&lt;INDEX(Pflanzen!$W$5:$W$104,CZ87)/INDEX(Pflanzen!$I$5:$I$104,CZ87)/$HI$2),1,0)))</f>
        <v>0</v>
      </c>
      <c r="HJ87" s="1328" cm="1">
        <f t="array" ref="HJ87">IF(AND(GM87=0,HG87=0),0,IF(HG87=0,1,IF(OR(GM87*1000/HG87/HH87&gt;INDEX(Pflanzen!$X$5:$X$104,CZ87)/INDEX(Pflanzen!$I$5:$I$104,CZ87)*$HI$2,GM87*1000/HG87/HH87&lt;INDEX(Pflanzen!$X$5:$X$104,CZ87)/INDEX(Pflanzen!$I$5:$I$104,CZ87)/$HI$2),1,0)))</f>
        <v>0</v>
      </c>
      <c r="HK87" s="1184">
        <f t="shared" si="239"/>
        <v>3</v>
      </c>
      <c r="HL87" s="1184"/>
      <c r="HN87" s="1184"/>
      <c r="HO87" s="1193" t="str">
        <f>Tiere!B113</f>
        <v xml:space="preserve"> -- - </v>
      </c>
      <c r="HP87" s="1184">
        <v>84</v>
      </c>
      <c r="HQ87" s="1194">
        <f>SUMIF('Nährstoffe und Lagerraum'!$BM$68:$BM$87,'Lagerhaltung (freiwillig)'!HP87,'Nährstoffe und Lagerraum'!$Z$68:$Z$87)+SUMIF('Nährstoffe und Lagerraum'!$BM$68:$BM$87,'Lagerhaltung (freiwillig)'!HP87,'Nährstoffe und Lagerraum'!$AA$68:$AA$87)</f>
        <v>0</v>
      </c>
      <c r="HR87" s="1184" cm="1">
        <f t="array" ref="HR87">INDEX(Tiere!$C$30:$C$114,'Lagerhaltung (freiwillig)'!HP87)</f>
        <v>1</v>
      </c>
      <c r="HS87" s="1184" cm="1">
        <f t="array" ref="HS87">INDEX(Tiere!$H$30:$H$114,'Lagerhaltung (freiwillig)'!HP87)</f>
        <v>0</v>
      </c>
      <c r="HT87" s="1184">
        <f t="shared" si="171"/>
        <v>0</v>
      </c>
      <c r="HU87" s="1184" cm="1">
        <f t="array" ref="HU87">INDEX(Tiere!$I$30:$I$114,'Lagerhaltung (freiwillig)'!HP87)</f>
        <v>0</v>
      </c>
      <c r="HV87" s="1184">
        <f t="shared" si="172"/>
        <v>0</v>
      </c>
      <c r="HW87" s="1184" cm="1">
        <f t="array" ref="HW87">INDEX(Tiere!$BC$30:$BC$114,'Lagerhaltung (freiwillig)'!HP87)</f>
        <v>0</v>
      </c>
      <c r="HX87" s="1184">
        <f t="shared" si="173"/>
        <v>0</v>
      </c>
      <c r="HY87" s="1184" cm="1">
        <f t="array" ref="HY87">INDEX(Tiere!$BD$30:$BD$114,'Lagerhaltung (freiwillig)'!HP87)</f>
        <v>0</v>
      </c>
      <c r="HZ87" s="1184">
        <f t="shared" si="174"/>
        <v>0</v>
      </c>
      <c r="IA87" s="1184"/>
      <c r="IB87" s="1184"/>
      <c r="IC87" s="1184"/>
      <c r="ID87" s="1184"/>
      <c r="IE87" s="1184"/>
      <c r="IF87" s="1184"/>
      <c r="IG87" s="1184"/>
      <c r="IH87" s="1184"/>
      <c r="II87" s="1184"/>
      <c r="IJ87" s="1184"/>
      <c r="IK87" s="1184"/>
      <c r="IL87" s="1184"/>
    </row>
    <row r="88" spans="1:246" ht="15.6" customHeight="1" x14ac:dyDescent="0.2">
      <c r="A88" s="3106"/>
      <c r="B88" s="3140"/>
      <c r="C88" s="3140"/>
      <c r="D88" s="3140"/>
      <c r="E88" s="3141"/>
      <c r="F88" s="1122"/>
      <c r="G88" s="1498"/>
      <c r="H88" s="1336"/>
      <c r="I88" s="1345">
        <f t="shared" si="218"/>
        <v>0</v>
      </c>
      <c r="J88" s="1487"/>
      <c r="K88" s="1113"/>
      <c r="L88" s="1114"/>
      <c r="M88" s="1114"/>
      <c r="N88" s="1115"/>
      <c r="O88" s="1115"/>
      <c r="P88" s="1116"/>
      <c r="Q88" s="1345">
        <f t="shared" si="219"/>
        <v>0</v>
      </c>
      <c r="R88" s="1491"/>
      <c r="S88" s="2185"/>
      <c r="T88" s="1487"/>
      <c r="U88" s="725"/>
      <c r="V88" s="1346" t="str">
        <f t="shared" si="220"/>
        <v/>
      </c>
      <c r="X88" s="702"/>
      <c r="Y88" s="1981"/>
      <c r="Z88" s="1982"/>
      <c r="AA88" s="1982"/>
      <c r="AB88" s="1982"/>
      <c r="AC88" s="1983"/>
      <c r="AD88" s="1983"/>
      <c r="AE88" s="1983"/>
      <c r="AF88" s="1983"/>
      <c r="AG88" s="1983"/>
      <c r="AH88" s="1983"/>
      <c r="AI88" s="1983"/>
      <c r="AJ88" s="1983"/>
      <c r="AK88" s="1983"/>
      <c r="AL88" s="1984"/>
      <c r="AM88" s="1983"/>
      <c r="AN88" s="1983"/>
      <c r="AO88" s="1983"/>
      <c r="AP88" s="1983"/>
      <c r="AQ88" s="1983"/>
      <c r="AR88" s="1983"/>
      <c r="AS88" s="1983"/>
      <c r="AT88" s="1983"/>
      <c r="AU88" s="1983"/>
      <c r="AV88" s="1983"/>
      <c r="AW88" s="1985"/>
      <c r="AX88" s="1985"/>
      <c r="AY88" s="1985"/>
      <c r="AZ88" s="1985"/>
      <c r="BA88" s="1462"/>
      <c r="BB88" s="1462"/>
      <c r="BC88" s="1462"/>
      <c r="BD88" s="1461"/>
      <c r="BE88" s="1462"/>
      <c r="BF88" s="1343"/>
      <c r="BG88" s="1343"/>
      <c r="BH88" s="1343"/>
      <c r="BI88" s="1343"/>
      <c r="BJ88" s="1343"/>
      <c r="BK88" s="1343"/>
      <c r="BL88" s="1343"/>
      <c r="BM88" s="1343"/>
      <c r="BN88" s="1343"/>
      <c r="BO88" s="1343"/>
      <c r="BQ88" s="1184"/>
      <c r="BR88" s="1184"/>
      <c r="BS88" s="1184"/>
      <c r="BT88" s="1184"/>
      <c r="BU88" s="1185"/>
      <c r="BV88" s="1185"/>
      <c r="BW88" s="1184">
        <f t="shared" si="178"/>
        <v>12</v>
      </c>
      <c r="BX88" s="1184">
        <f t="shared" si="179"/>
        <v>0</v>
      </c>
      <c r="BY88" s="1184">
        <f t="shared" si="180"/>
        <v>12</v>
      </c>
      <c r="BZ88" s="1184"/>
      <c r="CA88" s="1184"/>
      <c r="CB88" s="1184"/>
      <c r="CC88" s="1184"/>
      <c r="CD88" s="1184"/>
      <c r="CE88" s="1184"/>
      <c r="CF88" s="1184"/>
      <c r="CG88" s="1184"/>
      <c r="CH88" s="1184"/>
      <c r="CI88" s="1184">
        <f t="shared" si="212"/>
        <v>0</v>
      </c>
      <c r="CJ88" s="1184">
        <f t="shared" si="213"/>
        <v>0</v>
      </c>
      <c r="CK88" s="1184"/>
      <c r="CL88" s="1184"/>
      <c r="CM88" s="1184"/>
      <c r="CN88" s="1184"/>
      <c r="CO88" s="1184"/>
      <c r="CP88" s="1184"/>
      <c r="CQ88" s="1184">
        <f t="shared" si="214"/>
        <v>0</v>
      </c>
      <c r="CR88" s="1184">
        <f t="shared" si="215"/>
        <v>0</v>
      </c>
      <c r="CS88" s="1184">
        <f t="shared" si="216"/>
        <v>0</v>
      </c>
      <c r="CT88" s="1184">
        <f t="shared" si="217"/>
        <v>0</v>
      </c>
      <c r="CU88" s="1184">
        <f t="shared" si="206"/>
        <v>2</v>
      </c>
      <c r="CV88" s="1184">
        <f t="shared" si="181"/>
        <v>0</v>
      </c>
      <c r="CW88" s="1186">
        <f t="shared" si="207"/>
        <v>0</v>
      </c>
      <c r="CX88" s="1184"/>
      <c r="CY88" s="320" t="str">
        <f>Pflanzen!A84</f>
        <v>Milchviehgülle (Acker)</v>
      </c>
      <c r="CZ88" s="1200">
        <f>IFERROR(MATCH($CY88,Pflanzen!$C$5:$C$114,0),1)</f>
        <v>76</v>
      </c>
      <c r="DA88" s="320" cm="1">
        <f t="array" ref="DA88">INDEX(Pflanzen!$H$5:$H$114,'Lagerhaltung (freiwillig)'!CZ88)</f>
        <v>0</v>
      </c>
      <c r="DB88" s="1200">
        <f t="shared" si="208"/>
        <v>0</v>
      </c>
      <c r="DC88" s="1200">
        <f t="shared" si="208"/>
        <v>0</v>
      </c>
      <c r="DD88" s="1200">
        <f t="shared" si="208"/>
        <v>0</v>
      </c>
      <c r="DE88" s="1200">
        <f t="shared" si="208"/>
        <v>0</v>
      </c>
      <c r="DF88" s="1200">
        <f t="shared" si="208"/>
        <v>0</v>
      </c>
      <c r="DG88" s="1184">
        <f t="shared" si="208"/>
        <v>0</v>
      </c>
      <c r="DH88" s="1184">
        <f t="shared" si="208"/>
        <v>0</v>
      </c>
      <c r="DI88" s="1184">
        <f t="shared" si="208"/>
        <v>0</v>
      </c>
      <c r="DJ88" s="1184">
        <f t="shared" si="208"/>
        <v>0</v>
      </c>
      <c r="DK88" s="1184">
        <f t="shared" si="208"/>
        <v>0</v>
      </c>
      <c r="DL88" s="1184">
        <f t="shared" si="208"/>
        <v>0</v>
      </c>
      <c r="DM88" s="1184">
        <f t="shared" si="208"/>
        <v>0</v>
      </c>
      <c r="DN88" s="1184"/>
      <c r="DO88" s="1184">
        <f t="shared" si="209"/>
        <v>0</v>
      </c>
      <c r="DP88" s="1184">
        <f t="shared" si="209"/>
        <v>0</v>
      </c>
      <c r="DQ88" s="1184">
        <f t="shared" si="209"/>
        <v>0</v>
      </c>
      <c r="DR88" s="1184">
        <f t="shared" si="209"/>
        <v>0</v>
      </c>
      <c r="DS88" s="1184">
        <f t="shared" si="209"/>
        <v>0</v>
      </c>
      <c r="DT88" s="1184">
        <f t="shared" si="209"/>
        <v>0</v>
      </c>
      <c r="DU88" s="1184">
        <f t="shared" si="209"/>
        <v>0</v>
      </c>
      <c r="DV88" s="1184">
        <f t="shared" si="209"/>
        <v>0</v>
      </c>
      <c r="DW88" s="1184">
        <f t="shared" si="209"/>
        <v>0</v>
      </c>
      <c r="DX88" s="1184">
        <f t="shared" si="209"/>
        <v>0</v>
      </c>
      <c r="DY88" s="1184">
        <f t="shared" si="209"/>
        <v>0</v>
      </c>
      <c r="DZ88" s="1184">
        <f t="shared" si="209"/>
        <v>0</v>
      </c>
      <c r="EA88" s="1184"/>
      <c r="EB88" s="1184">
        <f t="shared" si="210"/>
        <v>0</v>
      </c>
      <c r="EC88" s="1184">
        <f t="shared" si="210"/>
        <v>0</v>
      </c>
      <c r="ED88" s="1184">
        <f t="shared" si="210"/>
        <v>0</v>
      </c>
      <c r="EE88" s="1184">
        <f t="shared" si="210"/>
        <v>0</v>
      </c>
      <c r="EF88" s="1184">
        <f t="shared" si="210"/>
        <v>0</v>
      </c>
      <c r="EG88" s="1184">
        <f t="shared" si="210"/>
        <v>0</v>
      </c>
      <c r="EH88" s="1184">
        <f t="shared" si="210"/>
        <v>0</v>
      </c>
      <c r="EI88" s="1184">
        <f t="shared" si="210"/>
        <v>0</v>
      </c>
      <c r="EJ88" s="1184">
        <f t="shared" si="210"/>
        <v>0</v>
      </c>
      <c r="EK88" s="1184">
        <f t="shared" si="210"/>
        <v>0</v>
      </c>
      <c r="EL88" s="1184">
        <f t="shared" si="210"/>
        <v>0</v>
      </c>
      <c r="EM88" s="1184">
        <f t="shared" si="210"/>
        <v>0</v>
      </c>
      <c r="EN88" s="1184"/>
      <c r="EO88" s="1184">
        <f t="shared" si="211"/>
        <v>0</v>
      </c>
      <c r="EP88" s="1184">
        <f t="shared" si="211"/>
        <v>0</v>
      </c>
      <c r="EQ88" s="1184">
        <f t="shared" si="211"/>
        <v>0</v>
      </c>
      <c r="ER88" s="1184">
        <f t="shared" si="211"/>
        <v>0</v>
      </c>
      <c r="ES88" s="1184">
        <f t="shared" si="211"/>
        <v>0</v>
      </c>
      <c r="ET88" s="1184">
        <f t="shared" si="211"/>
        <v>0</v>
      </c>
      <c r="EU88" s="1184">
        <f t="shared" si="211"/>
        <v>0</v>
      </c>
      <c r="EV88" s="1184">
        <f t="shared" si="211"/>
        <v>0</v>
      </c>
      <c r="EW88" s="1184">
        <f t="shared" si="211"/>
        <v>0</v>
      </c>
      <c r="EX88" s="1184">
        <f t="shared" si="211"/>
        <v>0</v>
      </c>
      <c r="EY88" s="1184">
        <f t="shared" si="211"/>
        <v>0</v>
      </c>
      <c r="EZ88" s="1184">
        <f t="shared" si="211"/>
        <v>0</v>
      </c>
      <c r="FA88" s="1184"/>
      <c r="FB88" s="1186">
        <f t="shared" si="182"/>
        <v>0</v>
      </c>
      <c r="FC88" s="1184">
        <f>FB88+DB88+EB88                 -         SUMIF('Nährstoffe und Lagerraum'!$AX$113:$AX$155,$CZ88,'Nährstoffe und Lagerraum'!$U$113:$U$155)/12  -$GD88*$HE88/12</f>
        <v>0</v>
      </c>
      <c r="FD88" s="1184">
        <f>FC88+DC88+EC88                 -         SUMIF('Nährstoffe und Lagerraum'!$AX$113:$AX$155,$CZ88,'Nährstoffe und Lagerraum'!$U$113:$U$155)/12  -$GD88*$HE88/12</f>
        <v>0</v>
      </c>
      <c r="FE88" s="1184">
        <f>FD88+DD88+ED88                 -         SUMIF('Nährstoffe und Lagerraum'!$AX$113:$AX$155,$CZ88,'Nährstoffe und Lagerraum'!$U$113:$U$155)/12  -$GD88*$HE88/12</f>
        <v>0</v>
      </c>
      <c r="FF88" s="1184">
        <f>FE88+DE88+EE88                 -         SUMIF('Nährstoffe und Lagerraum'!$AX$113:$AX$155,$CZ88,'Nährstoffe und Lagerraum'!$U$113:$U$155)/12  -$GD88*$HE88/12</f>
        <v>0</v>
      </c>
      <c r="FG88" s="1184">
        <f>FF88+DF88+EF88                 -         SUMIF('Nährstoffe und Lagerraum'!$AX$113:$AX$155,$CZ88,'Nährstoffe und Lagerraum'!$U$113:$U$155)/12  -$GD88*$HE88/12</f>
        <v>0</v>
      </c>
      <c r="FH88" s="1184">
        <f>FG88+DG88+EG88                 -         SUMIF('Nährstoffe und Lagerraum'!$AX$113:$AX$155,$CZ88,'Nährstoffe und Lagerraum'!$U$113:$U$155)/12  -$GD88*$HE88/12</f>
        <v>0</v>
      </c>
      <c r="FI88" s="1184">
        <f>FH88+DH88+EH88                 -         SUMIF('Nährstoffe und Lagerraum'!$AX$113:$AX$155,$CZ88,'Nährstoffe und Lagerraum'!$U$113:$U$155)/12  -$GD88*$HE88/12</f>
        <v>0</v>
      </c>
      <c r="FJ88" s="1184">
        <f>FI88+DI88+EI88                 -         SUMIF('Nährstoffe und Lagerraum'!$AX$113:$AX$155,$CZ88,'Nährstoffe und Lagerraum'!$U$113:$U$155)/12  -$GD88*$HE88/12</f>
        <v>0</v>
      </c>
      <c r="FK88" s="1184">
        <f>FJ88+DJ88+EJ88                 -         SUMIF('Nährstoffe und Lagerraum'!$AX$113:$AX$155,$CZ88,'Nährstoffe und Lagerraum'!$U$113:$U$155)/12  -$GD88*$HE88/12</f>
        <v>0</v>
      </c>
      <c r="FL88" s="1184">
        <f>FK88+DK88+EK88                 -         SUMIF('Nährstoffe und Lagerraum'!$AX$113:$AX$155,$CZ88,'Nährstoffe und Lagerraum'!$U$113:$U$155)/12  -$GD88*$HE88/12</f>
        <v>0</v>
      </c>
      <c r="FM88" s="1184">
        <f>FL88+DL88+EL88                 -         SUMIF('Nährstoffe und Lagerraum'!$AX$113:$AX$155,$CZ88,'Nährstoffe und Lagerraum'!$U$113:$U$155)/12  -$GD88*$HE88/12</f>
        <v>0</v>
      </c>
      <c r="FN88" s="1184">
        <f>FM88+DM88+EM88                 -         SUMIF('Nährstoffe und Lagerraum'!$AX$113:$AX$155,$CZ88,'Nährstoffe und Lagerraum'!$U$113:$U$155)/12  -$GD88*$HE88/12</f>
        <v>0</v>
      </c>
      <c r="FO88" s="1184"/>
      <c r="FP88" s="1186">
        <f t="shared" si="183"/>
        <v>0</v>
      </c>
      <c r="FQ88" s="1184">
        <f>FP88+DO88+EO88                 -         SUMIF('Nährstoffe und Lagerraum'!$AX$113:$AX$155,$CZ88,'Nährstoffe und Lagerraum'!$V$113:$V$155)/12  -$GE88*$HE88/12</f>
        <v>0</v>
      </c>
      <c r="FR88" s="1184">
        <f>FQ88+DP88+EP88                 -         SUMIF('Nährstoffe und Lagerraum'!$AX$113:$AX$155,$CZ88,'Nährstoffe und Lagerraum'!$V$113:$V$155)/12  -$GE88*$HE88/12</f>
        <v>0</v>
      </c>
      <c r="FS88" s="1184">
        <f>FR88+DQ88+EQ88                 -         SUMIF('Nährstoffe und Lagerraum'!$AX$113:$AX$155,$CZ88,'Nährstoffe und Lagerraum'!$V$113:$V$155)/12  -$GE88*$HE88/12</f>
        <v>0</v>
      </c>
      <c r="FT88" s="1184">
        <f>FS88+DR88+ER88                 -         SUMIF('Nährstoffe und Lagerraum'!$AX$113:$AX$155,$CZ88,'Nährstoffe und Lagerraum'!$V$113:$V$155)/12  -$GE88*$HE88/12</f>
        <v>0</v>
      </c>
      <c r="FU88" s="1184">
        <f>FT88+DS88+ES88                 -         SUMIF('Nährstoffe und Lagerraum'!$AX$113:$AX$155,$CZ88,'Nährstoffe und Lagerraum'!$V$113:$V$155)/12  -$GE88*$HE88/12</f>
        <v>0</v>
      </c>
      <c r="FV88" s="1184">
        <f>FU88+DT88+ET88                 -         SUMIF('Nährstoffe und Lagerraum'!$AX$113:$AX$155,$CZ88,'Nährstoffe und Lagerraum'!$V$113:$V$155)/12  -$GE88*$HE88/12</f>
        <v>0</v>
      </c>
      <c r="FW88" s="1184">
        <f>FV88+DU88+EU88                 -         SUMIF('Nährstoffe und Lagerraum'!$AX$113:$AX$155,$CZ88,'Nährstoffe und Lagerraum'!$V$113:$V$155)/12  -$GE88*$HE88/12</f>
        <v>0</v>
      </c>
      <c r="FX88" s="1184">
        <f>FW88+DV88+EV88                 -         SUMIF('Nährstoffe und Lagerraum'!$AX$113:$AX$155,$CZ88,'Nährstoffe und Lagerraum'!$V$113:$V$155)/12  -$GE88*$HE88/12</f>
        <v>0</v>
      </c>
      <c r="FY88" s="1184">
        <f>FX88+DW88+EW88                 -         SUMIF('Nährstoffe und Lagerraum'!$AX$113:$AX$155,$CZ88,'Nährstoffe und Lagerraum'!$V$113:$V$155)/12  -$GE88*$HE88/12</f>
        <v>0</v>
      </c>
      <c r="FZ88" s="1184">
        <f>FY88+DX88+EX88                 -         SUMIF('Nährstoffe und Lagerraum'!$AX$113:$AX$155,$CZ88,'Nährstoffe und Lagerraum'!$V$113:$V$155)/12  -$GE88*$HE88/12</f>
        <v>0</v>
      </c>
      <c r="GA88" s="1184">
        <f>FZ88+DY88+EY88                 -         SUMIF('Nährstoffe und Lagerraum'!$AX$113:$AX$155,$CZ88,'Nährstoffe und Lagerraum'!$V$113:$V$155)/12  -$GE88*$HE88/12</f>
        <v>0</v>
      </c>
      <c r="GB88" s="1184">
        <f>GA88+DZ88+EZ88                 -         SUMIF('Nährstoffe und Lagerraum'!$AX$113:$AX$155,$CZ88,'Nährstoffe und Lagerraum'!$V$113:$V$155)/12  -$GE88*$HE88/12</f>
        <v>0</v>
      </c>
      <c r="GC88" s="1184"/>
      <c r="GD88" s="1184">
        <f>SUMIFS($CI$14:$CI$68,$BR$14:$BR$68,$CZ88)+SUMIFS($CM$14:$CM$68,$BR$14:$BR$68,$CZ88)+SUMIFS($CR$14:$CR$68,$BR$14:$BR$68,$CZ88)  -         SUMIF('Nährstoffe und Lagerraum'!$AX$113:$AX$155,$CZ88,'Nährstoffe und Lagerraum'!$U$113:$U$155)</f>
        <v>0</v>
      </c>
      <c r="GE88" s="1184">
        <f>SUMIFS($CJ$14:$CJ$68,$BR$14:$BR$68,$CZ88)+SUMIFS($CO$14:$CO$68,$BR$14:$BR$68,$CZ88)+SUMIFS($CT$14:$CT$68,$BR$14:$BR$68,$CZ88)  -         SUMIF('Nährstoffe und Lagerraum'!$AX$113:$AX$155,$CZ88,'Nährstoffe und Lagerraum'!$V$113:$V$155)</f>
        <v>0</v>
      </c>
      <c r="GF88" s="1184"/>
      <c r="GG88" s="1184"/>
      <c r="GH88" s="1184">
        <f>SUMIF('Nährstoffe und Lagerraum'!$AX$113:$AX$155,$CZ88,'Nährstoffe und Lagerraum'!$U$113:$U$155)</f>
        <v>0</v>
      </c>
      <c r="GI88" s="1184">
        <f>SUMIF('Nährstoffe und Lagerraum'!$AX$113:$AX$155,$CZ88,'Nährstoffe und Lagerraum'!$V$113:$V$155)</f>
        <v>0</v>
      </c>
      <c r="GJ88" s="1184">
        <f t="shared" si="221"/>
        <v>0</v>
      </c>
      <c r="GK88" s="1184">
        <f t="shared" si="222"/>
        <v>0</v>
      </c>
      <c r="GL88" s="1184">
        <f t="shared" si="223"/>
        <v>0</v>
      </c>
      <c r="GM88" s="1184">
        <f t="shared" si="224"/>
        <v>0</v>
      </c>
      <c r="GN88" s="1184">
        <f t="shared" si="225"/>
        <v>0</v>
      </c>
      <c r="GO88" s="1184" cm="1">
        <f t="array" ref="GO88">IF(GN88=0,0,(IFERROR(SUMPRODUCT($J$14:$J$68,$CH$14:$CH$68,($BR$14:$BR$68=CZ88)*1)+SUMPRODUCT($L$14:$L$68,$M$14:$M$68,$CK$14:$CK$68,($BR$14:$BR$68=CZ88)*1,($BT$14:$BT$68=FALSE)*1)/10+SUMPRODUCT($R$14:$R$68,$CP$14:$CP$68,($BR$14:$BR$68=CZ88)*1),0))/GN88)</f>
        <v>0</v>
      </c>
      <c r="GP88" s="1184">
        <f t="shared" si="226"/>
        <v>0</v>
      </c>
      <c r="GQ88" s="1184">
        <f>(SUMIF('Nährstoffe und Lagerraum'!$AX$113:$AX$130,'Lagerhaltung (freiwillig)'!CZ88,'Nährstoffe und Lagerraum'!$D$113:$D$130)+SUMIF('Nährstoffe und Lagerraum'!$AX$137:$AX$155,'Lagerhaltung (freiwillig)'!CZ88,'Nährstoffe und Lagerraum'!$E$137:$E$155))</f>
        <v>0</v>
      </c>
      <c r="GR88" s="1184" cm="1">
        <f t="array" ref="GR88">IF(GQ88=0,0,(IFERROR(SUMPRODUCT('Nährstoffe und Lagerraum'!$D$113:$D$130,'Nährstoffe und Lagerraum'!$F$113:$F$130,('Nährstoffe und Lagerraum'!$AX$113:$AX$130='Lagerhaltung (freiwillig)'!CZ88)*1)+SUMPRODUCT('Nährstoffe und Lagerraum'!$E$137:$E$155,'Nährstoffe und Lagerraum'!$F$137:$F$155,('Nährstoffe und Lagerraum'!$AX$137:$AX$155='Lagerhaltung (freiwillig)'!CZ88)*1),0))/GQ88)</f>
        <v>0</v>
      </c>
      <c r="GS88" s="1184">
        <f t="shared" si="227"/>
        <v>0</v>
      </c>
      <c r="GT88" s="1184">
        <f t="shared" si="228"/>
        <v>0</v>
      </c>
      <c r="GU88" s="1184">
        <f t="shared" si="229"/>
        <v>0</v>
      </c>
      <c r="GV88" s="1184">
        <f t="shared" si="230"/>
        <v>0</v>
      </c>
      <c r="GW88" s="1186" t="str">
        <f t="shared" si="177"/>
        <v xml:space="preserve"> </v>
      </c>
      <c r="GX88" s="1186" t="str">
        <f t="shared" si="177"/>
        <v xml:space="preserve"> </v>
      </c>
      <c r="GY88" s="1195">
        <f t="shared" si="231"/>
        <v>0</v>
      </c>
      <c r="GZ88" s="1184">
        <f t="shared" si="232"/>
        <v>0</v>
      </c>
      <c r="HA88" s="1184" t="str">
        <f t="shared" si="176"/>
        <v>a</v>
      </c>
      <c r="HB88" s="1196">
        <f t="shared" si="233"/>
        <v>0</v>
      </c>
      <c r="HC88" s="1196">
        <f t="shared" si="234"/>
        <v>0</v>
      </c>
      <c r="HD88" s="1196"/>
      <c r="HE88" s="1187">
        <f t="shared" si="235"/>
        <v>0</v>
      </c>
      <c r="HF88" s="1196">
        <f t="shared" si="236"/>
        <v>0</v>
      </c>
      <c r="HG88" s="1196">
        <f t="shared" si="237"/>
        <v>0</v>
      </c>
      <c r="HH88" s="1196">
        <f t="shared" si="238"/>
        <v>0</v>
      </c>
      <c r="HI88" s="1328" cm="1">
        <f t="array" ref="HI88">IF(AND(HG88=0,GL88=0),0,IF(HG88=0,1,IF(OR(GL88*1000/HG88/HH88&gt;INDEX(Pflanzen!$W$5:$W$104,CZ88)/INDEX(Pflanzen!$I$5:$I$104,CZ88)*$HI$2,GL88*1000/HG88/HH88&lt;INDEX(Pflanzen!$W$5:$W$104,CZ88)/INDEX(Pflanzen!$I$5:$I$104,CZ88)/$HI$2),1,0)))</f>
        <v>0</v>
      </c>
      <c r="HJ88" s="1328" cm="1">
        <f t="array" ref="HJ88">IF(AND(GM88=0,HG88=0),0,IF(HG88=0,1,IF(OR(GM88*1000/HG88/HH88&gt;INDEX(Pflanzen!$X$5:$X$104,CZ88)/INDEX(Pflanzen!$I$5:$I$104,CZ88)*$HI$2,GM88*1000/HG88/HH88&lt;INDEX(Pflanzen!$X$5:$X$104,CZ88)/INDEX(Pflanzen!$I$5:$I$104,CZ88)/$HI$2),1,0)))</f>
        <v>0</v>
      </c>
      <c r="HK88" s="1184">
        <f t="shared" si="239"/>
        <v>3</v>
      </c>
      <c r="HL88" s="1184"/>
      <c r="HN88" s="1184"/>
      <c r="HO88" s="1193" t="str">
        <f>Tiere!B114</f>
        <v xml:space="preserve"> -- - </v>
      </c>
      <c r="HP88" s="1184">
        <v>85</v>
      </c>
      <c r="HQ88" s="1194">
        <f>SUMIF('Nährstoffe und Lagerraum'!$BM$68:$BM$87,'Lagerhaltung (freiwillig)'!HP88,'Nährstoffe und Lagerraum'!$Z$68:$Z$87)+SUMIF('Nährstoffe und Lagerraum'!$BM$68:$BM$87,'Lagerhaltung (freiwillig)'!HP88,'Nährstoffe und Lagerraum'!$AA$68:$AA$87)</f>
        <v>0</v>
      </c>
      <c r="HR88" s="1184" cm="1">
        <f t="array" ref="HR88">INDEX(Tiere!$C$30:$C$114,'Lagerhaltung (freiwillig)'!HP88)</f>
        <v>1</v>
      </c>
      <c r="HS88" s="1184" cm="1">
        <f t="array" ref="HS88">INDEX(Tiere!$H$30:$H$114,'Lagerhaltung (freiwillig)'!HP88)</f>
        <v>0</v>
      </c>
      <c r="HT88" s="1184">
        <f t="shared" si="171"/>
        <v>0</v>
      </c>
      <c r="HU88" s="1184" cm="1">
        <f t="array" ref="HU88">INDEX(Tiere!$I$30:$I$114,'Lagerhaltung (freiwillig)'!HP88)</f>
        <v>0</v>
      </c>
      <c r="HV88" s="1184">
        <f t="shared" si="172"/>
        <v>0</v>
      </c>
      <c r="HW88" s="1184" cm="1">
        <f t="array" ref="HW88">INDEX(Tiere!$BC$30:$BC$114,'Lagerhaltung (freiwillig)'!HP88)</f>
        <v>0</v>
      </c>
      <c r="HX88" s="1184">
        <f t="shared" si="173"/>
        <v>0</v>
      </c>
      <c r="HY88" s="1184" cm="1">
        <f t="array" ref="HY88">INDEX(Tiere!$BD$30:$BD$114,'Lagerhaltung (freiwillig)'!HP88)</f>
        <v>0</v>
      </c>
      <c r="HZ88" s="1184">
        <f t="shared" si="174"/>
        <v>0</v>
      </c>
      <c r="IA88" s="1184"/>
      <c r="IB88" s="1184"/>
      <c r="IC88" s="1184"/>
      <c r="ID88" s="1184"/>
      <c r="IE88" s="1184"/>
      <c r="IF88" s="1184"/>
      <c r="IG88" s="1184"/>
      <c r="IH88" s="1184"/>
      <c r="II88" s="1184"/>
      <c r="IJ88" s="1184"/>
      <c r="IK88" s="1184"/>
      <c r="IL88" s="1184"/>
    </row>
    <row r="89" spans="1:246" ht="15.6" customHeight="1" thickBot="1" x14ac:dyDescent="0.25">
      <c r="A89" s="3024"/>
      <c r="B89" s="3025"/>
      <c r="C89" s="3025"/>
      <c r="D89" s="3025"/>
      <c r="E89" s="3026"/>
      <c r="F89" s="1495"/>
      <c r="G89" s="1500"/>
      <c r="H89" s="1340"/>
      <c r="I89" s="1347">
        <f t="shared" si="218"/>
        <v>0</v>
      </c>
      <c r="J89" s="1141"/>
      <c r="K89" s="1117"/>
      <c r="L89" s="1118"/>
      <c r="M89" s="1118"/>
      <c r="N89" s="1119"/>
      <c r="O89" s="1119"/>
      <c r="P89" s="1120"/>
      <c r="Q89" s="1164">
        <f t="shared" si="219"/>
        <v>0</v>
      </c>
      <c r="R89" s="1496"/>
      <c r="S89" s="1496"/>
      <c r="T89" s="1488"/>
      <c r="U89" s="725"/>
      <c r="V89" s="1346" t="str">
        <f t="shared" si="220"/>
        <v/>
      </c>
      <c r="X89" s="702"/>
      <c r="Y89" s="1981"/>
      <c r="Z89" s="1982"/>
      <c r="AA89" s="1982"/>
      <c r="AB89" s="1982"/>
      <c r="AC89" s="1983"/>
      <c r="AD89" s="1983"/>
      <c r="AE89" s="1983"/>
      <c r="AF89" s="1983"/>
      <c r="AG89" s="1983"/>
      <c r="AH89" s="1983"/>
      <c r="AI89" s="1983"/>
      <c r="AJ89" s="1983"/>
      <c r="AK89" s="1983"/>
      <c r="AL89" s="1984"/>
      <c r="AM89" s="1983"/>
      <c r="AN89" s="1983"/>
      <c r="AO89" s="1983"/>
      <c r="AP89" s="1983"/>
      <c r="AQ89" s="1983"/>
      <c r="AR89" s="1983"/>
      <c r="AS89" s="1983"/>
      <c r="AT89" s="1983"/>
      <c r="AU89" s="1983"/>
      <c r="AV89" s="1983"/>
      <c r="AW89" s="1985"/>
      <c r="AX89" s="1985"/>
      <c r="AY89" s="1985"/>
      <c r="AZ89" s="1985"/>
      <c r="BA89" s="1462"/>
      <c r="BB89" s="1462"/>
      <c r="BC89" s="1462"/>
      <c r="BD89" s="1461"/>
      <c r="BE89" s="1462"/>
      <c r="BF89" s="1343"/>
      <c r="BG89" s="1343"/>
      <c r="BH89" s="1343"/>
      <c r="BI89" s="1343"/>
      <c r="BJ89" s="1343"/>
      <c r="BK89" s="1343"/>
      <c r="BL89" s="1343"/>
      <c r="BM89" s="1343"/>
      <c r="BN89" s="1343"/>
      <c r="BO89" s="1343"/>
      <c r="BQ89" s="1184"/>
      <c r="BR89" s="1202"/>
      <c r="BS89" s="1202"/>
      <c r="BT89" s="1202"/>
      <c r="BU89" s="1203"/>
      <c r="BV89" s="1203"/>
      <c r="BW89" s="1184">
        <f t="shared" si="178"/>
        <v>12</v>
      </c>
      <c r="BX89" s="1184">
        <f t="shared" si="179"/>
        <v>0</v>
      </c>
      <c r="BY89" s="1184">
        <f t="shared" si="180"/>
        <v>12</v>
      </c>
      <c r="BZ89" s="1202"/>
      <c r="CA89" s="1202"/>
      <c r="CB89" s="1202"/>
      <c r="CC89" s="1202"/>
      <c r="CD89" s="1202"/>
      <c r="CE89" s="1202"/>
      <c r="CF89" s="1202"/>
      <c r="CG89" s="1202"/>
      <c r="CH89" s="1202"/>
      <c r="CI89" s="1184">
        <f t="shared" si="212"/>
        <v>0</v>
      </c>
      <c r="CJ89" s="1202">
        <f t="shared" si="213"/>
        <v>0</v>
      </c>
      <c r="CK89" s="1202"/>
      <c r="CL89" s="1202"/>
      <c r="CM89" s="1202"/>
      <c r="CN89" s="1202"/>
      <c r="CO89" s="1202"/>
      <c r="CP89" s="1202"/>
      <c r="CQ89" s="1184">
        <f t="shared" si="214"/>
        <v>0</v>
      </c>
      <c r="CR89" s="1184">
        <f t="shared" si="215"/>
        <v>0</v>
      </c>
      <c r="CS89" s="1184">
        <f t="shared" si="216"/>
        <v>0</v>
      </c>
      <c r="CT89" s="1184">
        <f t="shared" si="217"/>
        <v>0</v>
      </c>
      <c r="CU89" s="1184">
        <f t="shared" si="206"/>
        <v>2</v>
      </c>
      <c r="CV89" s="1184">
        <f t="shared" si="181"/>
        <v>0</v>
      </c>
      <c r="CW89" s="1186">
        <f t="shared" si="207"/>
        <v>0</v>
      </c>
      <c r="CX89" s="1184"/>
      <c r="CY89" s="320" t="str">
        <f>Pflanzen!A85</f>
        <v>Mastbullengülle</v>
      </c>
      <c r="CZ89" s="1200">
        <f>IFERROR(MATCH($CY89,Pflanzen!$C$5:$C$114,0),1)</f>
        <v>77</v>
      </c>
      <c r="DA89" s="320" cm="1">
        <f t="array" ref="DA89">INDEX(Pflanzen!$H$5:$H$114,'Lagerhaltung (freiwillig)'!CZ89)</f>
        <v>0</v>
      </c>
      <c r="DB89" s="1200">
        <f t="shared" ref="DB89:DM98" si="240">SUMIFS($CQ$14:$CQ$68,$BW$14:$BW$68,1,$BX$14:$BX$68,DB$2,$BR$14:$BR$68,$CZ89)+    SUMIFS($CQ$14:$CQ$68,$BW$14:$BW$68,"&gt;1",$BX$14:$BX$68,"&lt;="&amp;DB$2,$BY$14:$BY$68,"&gt;="&amp;DB$2,$BR$14:$BR$68,$CZ89)</f>
        <v>0</v>
      </c>
      <c r="DC89" s="1200">
        <f t="shared" si="240"/>
        <v>0</v>
      </c>
      <c r="DD89" s="1200">
        <f t="shared" si="240"/>
        <v>0</v>
      </c>
      <c r="DE89" s="1200">
        <f t="shared" si="240"/>
        <v>0</v>
      </c>
      <c r="DF89" s="1200">
        <f t="shared" si="240"/>
        <v>0</v>
      </c>
      <c r="DG89" s="1184">
        <f t="shared" si="240"/>
        <v>0</v>
      </c>
      <c r="DH89" s="1184">
        <f t="shared" si="240"/>
        <v>0</v>
      </c>
      <c r="DI89" s="1184">
        <f t="shared" si="240"/>
        <v>0</v>
      </c>
      <c r="DJ89" s="1184">
        <f t="shared" si="240"/>
        <v>0</v>
      </c>
      <c r="DK89" s="1184">
        <f t="shared" si="240"/>
        <v>0</v>
      </c>
      <c r="DL89" s="1184">
        <f t="shared" si="240"/>
        <v>0</v>
      </c>
      <c r="DM89" s="1184">
        <f t="shared" si="240"/>
        <v>0</v>
      </c>
      <c r="DN89" s="1184"/>
      <c r="DO89" s="1184">
        <f t="shared" ref="DO89:DZ98" si="241">SUMIFS($CS$14:$CS$68,$BW$14:$BW$68,1,$BX$14:$BX$68,DO$2,$BR$14:$BR$68,$CZ89)+    SUMIFS($CS$14:$CS$68,$BW$14:$BW$68,"&gt;1",$BX$14:$BX$68,"&lt;="&amp;DO$2,$BY$14:$BY$68,"&gt;="&amp;DO$2,$BR$14:$BR$68,$CZ89)</f>
        <v>0</v>
      </c>
      <c r="DP89" s="1184">
        <f t="shared" si="241"/>
        <v>0</v>
      </c>
      <c r="DQ89" s="1184">
        <f t="shared" si="241"/>
        <v>0</v>
      </c>
      <c r="DR89" s="1184">
        <f t="shared" si="241"/>
        <v>0</v>
      </c>
      <c r="DS89" s="1184">
        <f t="shared" si="241"/>
        <v>0</v>
      </c>
      <c r="DT89" s="1184">
        <f t="shared" si="241"/>
        <v>0</v>
      </c>
      <c r="DU89" s="1184">
        <f t="shared" si="241"/>
        <v>0</v>
      </c>
      <c r="DV89" s="1184">
        <f t="shared" si="241"/>
        <v>0</v>
      </c>
      <c r="DW89" s="1184">
        <f t="shared" si="241"/>
        <v>0</v>
      </c>
      <c r="DX89" s="1184">
        <f t="shared" si="241"/>
        <v>0</v>
      </c>
      <c r="DY89" s="1184">
        <f t="shared" si="241"/>
        <v>0</v>
      </c>
      <c r="DZ89" s="1184">
        <f t="shared" si="241"/>
        <v>0</v>
      </c>
      <c r="EA89" s="1184"/>
      <c r="EB89" s="1184">
        <f t="shared" ref="EB89:EM98" si="242">SUMIFS($CL$14:$CL$68,$CC$14:$CC$68,1,$CD$14:$CD$68,EB$2,$BR$14:$BR$68,$CZ89)+         SUMIFS($CL$14:$CL$68,$CC$14:$CC$68,"&gt;1",$CD$14:$CD$68,"&lt;="&amp;EB$2,$CE$14:$CE$68,"&gt;="&amp;EB$2,$BR$14:$BR$68,$CZ89)</f>
        <v>0</v>
      </c>
      <c r="EC89" s="1184">
        <f t="shared" si="242"/>
        <v>0</v>
      </c>
      <c r="ED89" s="1184">
        <f t="shared" si="242"/>
        <v>0</v>
      </c>
      <c r="EE89" s="1184">
        <f t="shared" si="242"/>
        <v>0</v>
      </c>
      <c r="EF89" s="1184">
        <f t="shared" si="242"/>
        <v>0</v>
      </c>
      <c r="EG89" s="1184">
        <f t="shared" si="242"/>
        <v>0</v>
      </c>
      <c r="EH89" s="1184">
        <f t="shared" si="242"/>
        <v>0</v>
      </c>
      <c r="EI89" s="1184">
        <f t="shared" si="242"/>
        <v>0</v>
      </c>
      <c r="EJ89" s="1184">
        <f t="shared" si="242"/>
        <v>0</v>
      </c>
      <c r="EK89" s="1184">
        <f t="shared" si="242"/>
        <v>0</v>
      </c>
      <c r="EL89" s="1184">
        <f t="shared" si="242"/>
        <v>0</v>
      </c>
      <c r="EM89" s="1184">
        <f t="shared" si="242"/>
        <v>0</v>
      </c>
      <c r="EN89" s="1184"/>
      <c r="EO89" s="1184">
        <f t="shared" ref="EO89:EZ98" si="243">SUMIFS($CN$14:$CN$68,$CC$14:$CC$68,1,$CD$14:$CD$68,EO$2,$BR$14:$BR$68,$CZ89)+         SUMIFS($CN$14:$CN$68,$CC$14:$CC$68,"&gt;1",$CD$14:$CD$68,"&lt;="&amp;EO$2,$CE$14:$CE$68,"&gt;="&amp;EO$2,$BR$14:$BR$68,$CZ89)</f>
        <v>0</v>
      </c>
      <c r="EP89" s="1184">
        <f t="shared" si="243"/>
        <v>0</v>
      </c>
      <c r="EQ89" s="1184">
        <f t="shared" si="243"/>
        <v>0</v>
      </c>
      <c r="ER89" s="1184">
        <f t="shared" si="243"/>
        <v>0</v>
      </c>
      <c r="ES89" s="1184">
        <f t="shared" si="243"/>
        <v>0</v>
      </c>
      <c r="ET89" s="1184">
        <f t="shared" si="243"/>
        <v>0</v>
      </c>
      <c r="EU89" s="1184">
        <f t="shared" si="243"/>
        <v>0</v>
      </c>
      <c r="EV89" s="1184">
        <f t="shared" si="243"/>
        <v>0</v>
      </c>
      <c r="EW89" s="1184">
        <f t="shared" si="243"/>
        <v>0</v>
      </c>
      <c r="EX89" s="1184">
        <f t="shared" si="243"/>
        <v>0</v>
      </c>
      <c r="EY89" s="1184">
        <f t="shared" si="243"/>
        <v>0</v>
      </c>
      <c r="EZ89" s="1184">
        <f t="shared" si="243"/>
        <v>0</v>
      </c>
      <c r="FA89" s="1184"/>
      <c r="FB89" s="1186">
        <f t="shared" si="182"/>
        <v>0</v>
      </c>
      <c r="FC89" s="1184">
        <f>FB89+DB89+EB89                 -         SUMIF('Nährstoffe und Lagerraum'!$AX$113:$AX$155,$CZ89,'Nährstoffe und Lagerraum'!$U$113:$U$155)/12  -$GD89*$HE89/12</f>
        <v>0</v>
      </c>
      <c r="FD89" s="1184">
        <f>FC89+DC89+EC89                 -         SUMIF('Nährstoffe und Lagerraum'!$AX$113:$AX$155,$CZ89,'Nährstoffe und Lagerraum'!$U$113:$U$155)/12  -$GD89*$HE89/12</f>
        <v>0</v>
      </c>
      <c r="FE89" s="1184">
        <f>FD89+DD89+ED89                 -         SUMIF('Nährstoffe und Lagerraum'!$AX$113:$AX$155,$CZ89,'Nährstoffe und Lagerraum'!$U$113:$U$155)/12  -$GD89*$HE89/12</f>
        <v>0</v>
      </c>
      <c r="FF89" s="1184">
        <f>FE89+DE89+EE89                 -         SUMIF('Nährstoffe und Lagerraum'!$AX$113:$AX$155,$CZ89,'Nährstoffe und Lagerraum'!$U$113:$U$155)/12  -$GD89*$HE89/12</f>
        <v>0</v>
      </c>
      <c r="FG89" s="1184">
        <f>FF89+DF89+EF89                 -         SUMIF('Nährstoffe und Lagerraum'!$AX$113:$AX$155,$CZ89,'Nährstoffe und Lagerraum'!$U$113:$U$155)/12  -$GD89*$HE89/12</f>
        <v>0</v>
      </c>
      <c r="FH89" s="1184">
        <f>FG89+DG89+EG89                 -         SUMIF('Nährstoffe und Lagerraum'!$AX$113:$AX$155,$CZ89,'Nährstoffe und Lagerraum'!$U$113:$U$155)/12  -$GD89*$HE89/12</f>
        <v>0</v>
      </c>
      <c r="FI89" s="1184">
        <f>FH89+DH89+EH89                 -         SUMIF('Nährstoffe und Lagerraum'!$AX$113:$AX$155,$CZ89,'Nährstoffe und Lagerraum'!$U$113:$U$155)/12  -$GD89*$HE89/12</f>
        <v>0</v>
      </c>
      <c r="FJ89" s="1184">
        <f>FI89+DI89+EI89                 -         SUMIF('Nährstoffe und Lagerraum'!$AX$113:$AX$155,$CZ89,'Nährstoffe und Lagerraum'!$U$113:$U$155)/12  -$GD89*$HE89/12</f>
        <v>0</v>
      </c>
      <c r="FK89" s="1184">
        <f>FJ89+DJ89+EJ89                 -         SUMIF('Nährstoffe und Lagerraum'!$AX$113:$AX$155,$CZ89,'Nährstoffe und Lagerraum'!$U$113:$U$155)/12  -$GD89*$HE89/12</f>
        <v>0</v>
      </c>
      <c r="FL89" s="1184">
        <f>FK89+DK89+EK89                 -         SUMIF('Nährstoffe und Lagerraum'!$AX$113:$AX$155,$CZ89,'Nährstoffe und Lagerraum'!$U$113:$U$155)/12  -$GD89*$HE89/12</f>
        <v>0</v>
      </c>
      <c r="FM89" s="1184">
        <f>FL89+DL89+EL89                 -         SUMIF('Nährstoffe und Lagerraum'!$AX$113:$AX$155,$CZ89,'Nährstoffe und Lagerraum'!$U$113:$U$155)/12  -$GD89*$HE89/12</f>
        <v>0</v>
      </c>
      <c r="FN89" s="1184">
        <f>FM89+DM89+EM89                 -         SUMIF('Nährstoffe und Lagerraum'!$AX$113:$AX$155,$CZ89,'Nährstoffe und Lagerraum'!$U$113:$U$155)/12  -$GD89*$HE89/12</f>
        <v>0</v>
      </c>
      <c r="FO89" s="1184"/>
      <c r="FP89" s="1186">
        <f t="shared" si="183"/>
        <v>0</v>
      </c>
      <c r="FQ89" s="1184">
        <f>FP89+DO89+EO89                 -         SUMIF('Nährstoffe und Lagerraum'!$AX$113:$AX$155,$CZ89,'Nährstoffe und Lagerraum'!$V$113:$V$155)/12  -$GE89*$HE89/12</f>
        <v>0</v>
      </c>
      <c r="FR89" s="1184">
        <f>FQ89+DP89+EP89                 -         SUMIF('Nährstoffe und Lagerraum'!$AX$113:$AX$155,$CZ89,'Nährstoffe und Lagerraum'!$V$113:$V$155)/12  -$GE89*$HE89/12</f>
        <v>0</v>
      </c>
      <c r="FS89" s="1184">
        <f>FR89+DQ89+EQ89                 -         SUMIF('Nährstoffe und Lagerraum'!$AX$113:$AX$155,$CZ89,'Nährstoffe und Lagerraum'!$V$113:$V$155)/12  -$GE89*$HE89/12</f>
        <v>0</v>
      </c>
      <c r="FT89" s="1184">
        <f>FS89+DR89+ER89                 -         SUMIF('Nährstoffe und Lagerraum'!$AX$113:$AX$155,$CZ89,'Nährstoffe und Lagerraum'!$V$113:$V$155)/12  -$GE89*$HE89/12</f>
        <v>0</v>
      </c>
      <c r="FU89" s="1184">
        <f>FT89+DS89+ES89                 -         SUMIF('Nährstoffe und Lagerraum'!$AX$113:$AX$155,$CZ89,'Nährstoffe und Lagerraum'!$V$113:$V$155)/12  -$GE89*$HE89/12</f>
        <v>0</v>
      </c>
      <c r="FV89" s="1184">
        <f>FU89+DT89+ET89                 -         SUMIF('Nährstoffe und Lagerraum'!$AX$113:$AX$155,$CZ89,'Nährstoffe und Lagerraum'!$V$113:$V$155)/12  -$GE89*$HE89/12</f>
        <v>0</v>
      </c>
      <c r="FW89" s="1184">
        <f>FV89+DU89+EU89                 -         SUMIF('Nährstoffe und Lagerraum'!$AX$113:$AX$155,$CZ89,'Nährstoffe und Lagerraum'!$V$113:$V$155)/12  -$GE89*$HE89/12</f>
        <v>0</v>
      </c>
      <c r="FX89" s="1184">
        <f>FW89+DV89+EV89                 -         SUMIF('Nährstoffe und Lagerraum'!$AX$113:$AX$155,$CZ89,'Nährstoffe und Lagerraum'!$V$113:$V$155)/12  -$GE89*$HE89/12</f>
        <v>0</v>
      </c>
      <c r="FY89" s="1184">
        <f>FX89+DW89+EW89                 -         SUMIF('Nährstoffe und Lagerraum'!$AX$113:$AX$155,$CZ89,'Nährstoffe und Lagerraum'!$V$113:$V$155)/12  -$GE89*$HE89/12</f>
        <v>0</v>
      </c>
      <c r="FZ89" s="1184">
        <f>FY89+DX89+EX89                 -         SUMIF('Nährstoffe und Lagerraum'!$AX$113:$AX$155,$CZ89,'Nährstoffe und Lagerraum'!$V$113:$V$155)/12  -$GE89*$HE89/12</f>
        <v>0</v>
      </c>
      <c r="GA89" s="1184">
        <f>FZ89+DY89+EY89                 -         SUMIF('Nährstoffe und Lagerraum'!$AX$113:$AX$155,$CZ89,'Nährstoffe und Lagerraum'!$V$113:$V$155)/12  -$GE89*$HE89/12</f>
        <v>0</v>
      </c>
      <c r="GB89" s="1184">
        <f>GA89+DZ89+EZ89                 -         SUMIF('Nährstoffe und Lagerraum'!$AX$113:$AX$155,$CZ89,'Nährstoffe und Lagerraum'!$V$113:$V$155)/12  -$GE89*$HE89/12</f>
        <v>0</v>
      </c>
      <c r="GC89" s="1184"/>
      <c r="GD89" s="1184">
        <f>SUMIFS($CI$14:$CI$68,$BR$14:$BR$68,$CZ89)+SUMIFS($CM$14:$CM$68,$BR$14:$BR$68,$CZ89)+SUMIFS($CR$14:$CR$68,$BR$14:$BR$68,$CZ89)  -         SUMIF('Nährstoffe und Lagerraum'!$AX$113:$AX$155,$CZ89,'Nährstoffe und Lagerraum'!$U$113:$U$155)</f>
        <v>0</v>
      </c>
      <c r="GE89" s="1184">
        <f>SUMIFS($CJ$14:$CJ$68,$BR$14:$BR$68,$CZ89)+SUMIFS($CO$14:$CO$68,$BR$14:$BR$68,$CZ89)+SUMIFS($CT$14:$CT$68,$BR$14:$BR$68,$CZ89)  -         SUMIF('Nährstoffe und Lagerraum'!$AX$113:$AX$155,$CZ89,'Nährstoffe und Lagerraum'!$V$113:$V$155)</f>
        <v>0</v>
      </c>
      <c r="GF89" s="1184"/>
      <c r="GG89" s="1184"/>
      <c r="GH89" s="1184">
        <f>SUMIF('Nährstoffe und Lagerraum'!$AX$113:$AX$155,$CZ89,'Nährstoffe und Lagerraum'!$U$113:$U$155)</f>
        <v>0</v>
      </c>
      <c r="GI89" s="1184">
        <f>SUMIF('Nährstoffe und Lagerraum'!$AX$113:$AX$155,$CZ89,'Nährstoffe und Lagerraum'!$V$113:$V$155)</f>
        <v>0</v>
      </c>
      <c r="GJ89" s="1184">
        <f t="shared" si="221"/>
        <v>0</v>
      </c>
      <c r="GK89" s="1184">
        <f t="shared" si="222"/>
        <v>0</v>
      </c>
      <c r="GL89" s="1184">
        <f t="shared" si="223"/>
        <v>0</v>
      </c>
      <c r="GM89" s="1184">
        <f t="shared" si="224"/>
        <v>0</v>
      </c>
      <c r="GN89" s="1184">
        <f t="shared" si="225"/>
        <v>0</v>
      </c>
      <c r="GO89" s="1184" cm="1">
        <f t="array" ref="GO89">IF(GN89=0,0,(IFERROR(SUMPRODUCT($J$14:$J$68,$CH$14:$CH$68,($BR$14:$BR$68=CZ89)*1)+SUMPRODUCT($L$14:$L$68,$M$14:$M$68,$CK$14:$CK$68,($BR$14:$BR$68=CZ89)*1,($BT$14:$BT$68=FALSE)*1)/10+SUMPRODUCT($R$14:$R$68,$CP$14:$CP$68,($BR$14:$BR$68=CZ89)*1),0))/GN89)</f>
        <v>0</v>
      </c>
      <c r="GP89" s="1184">
        <f t="shared" si="226"/>
        <v>0</v>
      </c>
      <c r="GQ89" s="1184">
        <f>(SUMIF('Nährstoffe und Lagerraum'!$AX$113:$AX$130,'Lagerhaltung (freiwillig)'!CZ89,'Nährstoffe und Lagerraum'!$D$113:$D$130)+SUMIF('Nährstoffe und Lagerraum'!$AX$137:$AX$155,'Lagerhaltung (freiwillig)'!CZ89,'Nährstoffe und Lagerraum'!$E$137:$E$155))</f>
        <v>0</v>
      </c>
      <c r="GR89" s="1184" cm="1">
        <f t="array" ref="GR89">IF(GQ89=0,0,(IFERROR(SUMPRODUCT('Nährstoffe und Lagerraum'!$D$113:$D$130,'Nährstoffe und Lagerraum'!$F$113:$F$130,('Nährstoffe und Lagerraum'!$AX$113:$AX$130='Lagerhaltung (freiwillig)'!CZ89)*1)+SUMPRODUCT('Nährstoffe und Lagerraum'!$E$137:$E$155,'Nährstoffe und Lagerraum'!$F$137:$F$155,('Nährstoffe und Lagerraum'!$AX$137:$AX$155='Lagerhaltung (freiwillig)'!CZ89)*1),0))/GQ89)</f>
        <v>0</v>
      </c>
      <c r="GS89" s="1184">
        <f t="shared" si="227"/>
        <v>0</v>
      </c>
      <c r="GT89" s="1184">
        <f t="shared" si="228"/>
        <v>0</v>
      </c>
      <c r="GU89" s="1184">
        <f t="shared" si="229"/>
        <v>0</v>
      </c>
      <c r="GV89" s="1184">
        <f t="shared" si="230"/>
        <v>0</v>
      </c>
      <c r="GW89" s="1186" t="str">
        <f t="shared" si="177"/>
        <v xml:space="preserve"> </v>
      </c>
      <c r="GX89" s="1186" t="str">
        <f t="shared" si="177"/>
        <v xml:space="preserve"> </v>
      </c>
      <c r="GY89" s="1195">
        <f t="shared" si="231"/>
        <v>0</v>
      </c>
      <c r="GZ89" s="1184">
        <f t="shared" si="232"/>
        <v>0</v>
      </c>
      <c r="HA89" s="1184" t="str">
        <f t="shared" si="176"/>
        <v>a</v>
      </c>
      <c r="HB89" s="1196">
        <f t="shared" si="233"/>
        <v>0</v>
      </c>
      <c r="HC89" s="1196">
        <f t="shared" si="234"/>
        <v>0</v>
      </c>
      <c r="HD89" s="1196"/>
      <c r="HE89" s="1187">
        <f t="shared" si="235"/>
        <v>0</v>
      </c>
      <c r="HF89" s="1196">
        <f t="shared" si="236"/>
        <v>0</v>
      </c>
      <c r="HG89" s="1196">
        <f t="shared" si="237"/>
        <v>0</v>
      </c>
      <c r="HH89" s="1196">
        <f t="shared" si="238"/>
        <v>0</v>
      </c>
      <c r="HI89" s="1328" cm="1">
        <f t="array" ref="HI89">IF(AND(HG89=0,GL89=0),0,IF(HG89=0,1,IF(OR(GL89*1000/HG89/HH89&gt;INDEX(Pflanzen!$W$5:$W$104,CZ89)/INDEX(Pflanzen!$I$5:$I$104,CZ89)*$HI$2,GL89*1000/HG89/HH89&lt;INDEX(Pflanzen!$W$5:$W$104,CZ89)/INDEX(Pflanzen!$I$5:$I$104,CZ89)/$HI$2),1,0)))</f>
        <v>0</v>
      </c>
      <c r="HJ89" s="1328" cm="1">
        <f t="array" ref="HJ89">IF(AND(GM89=0,HG89=0),0,IF(HG89=0,1,IF(OR(GM89*1000/HG89/HH89&gt;INDEX(Pflanzen!$X$5:$X$104,CZ89)/INDEX(Pflanzen!$I$5:$I$104,CZ89)*$HI$2,GM89*1000/HG89/HH89&lt;INDEX(Pflanzen!$X$5:$X$104,CZ89)/INDEX(Pflanzen!$I$5:$I$104,CZ89)/$HI$2),1,0)))</f>
        <v>0</v>
      </c>
      <c r="HK89" s="1184">
        <f t="shared" si="239"/>
        <v>3</v>
      </c>
      <c r="HL89" s="1184"/>
      <c r="HN89" s="1184"/>
      <c r="HO89" s="1184"/>
      <c r="HP89" s="1184"/>
      <c r="HQ89" s="1184"/>
      <c r="HR89" s="1184"/>
      <c r="HS89" s="1184"/>
      <c r="HT89" s="1184"/>
      <c r="HU89" s="1184"/>
      <c r="HV89" s="1184"/>
      <c r="HW89" s="1184"/>
      <c r="HX89" s="1184"/>
      <c r="HY89" s="1184"/>
      <c r="HZ89" s="1184"/>
      <c r="IA89" s="1184"/>
      <c r="IB89" s="1184"/>
      <c r="IC89" s="1184"/>
      <c r="ID89" s="1184"/>
      <c r="IE89" s="1184"/>
      <c r="IF89" s="1184"/>
      <c r="IG89" s="1184"/>
      <c r="IH89" s="1184"/>
      <c r="II89" s="1184"/>
      <c r="IJ89" s="1184"/>
      <c r="IK89" s="1184"/>
      <c r="IL89" s="1184"/>
    </row>
    <row r="90" spans="1:246" ht="5.25" customHeight="1" thickBot="1" x14ac:dyDescent="0.25">
      <c r="Y90" s="1981"/>
      <c r="Z90" s="1982"/>
      <c r="AA90" s="1982"/>
      <c r="AB90" s="1982"/>
      <c r="AC90" s="1983"/>
      <c r="AD90" s="1983"/>
      <c r="AE90" s="1983"/>
      <c r="AF90" s="1983"/>
      <c r="AG90" s="1983"/>
      <c r="AH90" s="1983"/>
      <c r="AI90" s="1983"/>
      <c r="AJ90" s="1983"/>
      <c r="AK90" s="1983"/>
      <c r="AL90" s="1984"/>
      <c r="AM90" s="1983"/>
      <c r="AN90" s="1983"/>
      <c r="AO90" s="1983"/>
      <c r="AP90" s="1983"/>
      <c r="AQ90" s="1983"/>
      <c r="AR90" s="1983"/>
      <c r="AS90" s="1983"/>
      <c r="AT90" s="1983"/>
      <c r="AU90" s="1983"/>
      <c r="AV90" s="1983"/>
      <c r="AW90" s="1985"/>
      <c r="AX90" s="1985"/>
      <c r="AY90" s="1985"/>
      <c r="AZ90" s="1985"/>
      <c r="BA90" s="1462"/>
      <c r="BB90" s="1462"/>
      <c r="BC90" s="1462"/>
      <c r="BD90" s="1461"/>
      <c r="BE90" s="1462"/>
      <c r="BF90" s="1343"/>
      <c r="BG90" s="1343"/>
      <c r="BH90" s="1343"/>
      <c r="BI90" s="1343"/>
      <c r="BJ90" s="1343"/>
      <c r="BK90" s="1343"/>
      <c r="BL90" s="1343"/>
      <c r="BM90" s="1343"/>
      <c r="BN90" s="1343"/>
      <c r="BO90" s="1343"/>
      <c r="BQ90" s="1184"/>
      <c r="BR90" s="1184"/>
      <c r="BS90" s="1184"/>
      <c r="BT90" s="1184"/>
      <c r="BU90" s="1185"/>
      <c r="BV90" s="1185"/>
      <c r="BW90" s="1184"/>
      <c r="BX90" s="1184"/>
      <c r="BY90" s="1184"/>
      <c r="BZ90" s="1184"/>
      <c r="CA90" s="1184"/>
      <c r="CB90" s="1184"/>
      <c r="CC90" s="1184"/>
      <c r="CD90" s="1184"/>
      <c r="CE90" s="1184"/>
      <c r="CF90" s="1184"/>
      <c r="CG90" s="1184"/>
      <c r="CH90" s="1184"/>
      <c r="CI90" s="1184"/>
      <c r="CJ90" s="1184"/>
      <c r="CK90" s="1184"/>
      <c r="CL90" s="1184"/>
      <c r="CM90" s="1184"/>
      <c r="CN90" s="1184"/>
      <c r="CO90" s="1184"/>
      <c r="CP90" s="1184"/>
      <c r="CQ90" s="1184"/>
      <c r="CR90" s="1184"/>
      <c r="CS90" s="1184"/>
      <c r="CT90" s="1184"/>
      <c r="CU90" s="1184"/>
      <c r="CV90" s="1184"/>
      <c r="CW90" s="1184"/>
      <c r="CX90" s="1184"/>
      <c r="CY90" s="320" t="str">
        <f>Pflanzen!A86</f>
        <v>Rindermist, geringe Einstreu</v>
      </c>
      <c r="CZ90" s="1200">
        <f>IFERROR(MATCH($CY90,Pflanzen!$C$5:$C$114,0),1)</f>
        <v>78</v>
      </c>
      <c r="DA90" s="320" cm="1">
        <f t="array" ref="DA90">INDEX(Pflanzen!$H$5:$H$114,'Lagerhaltung (freiwillig)'!CZ90)</f>
        <v>0</v>
      </c>
      <c r="DB90" s="1200">
        <f t="shared" si="240"/>
        <v>0</v>
      </c>
      <c r="DC90" s="1200">
        <f t="shared" si="240"/>
        <v>0</v>
      </c>
      <c r="DD90" s="1200">
        <f t="shared" si="240"/>
        <v>0</v>
      </c>
      <c r="DE90" s="1200">
        <f t="shared" si="240"/>
        <v>0</v>
      </c>
      <c r="DF90" s="1200">
        <f t="shared" si="240"/>
        <v>0</v>
      </c>
      <c r="DG90" s="1184">
        <f t="shared" si="240"/>
        <v>0</v>
      </c>
      <c r="DH90" s="1184">
        <f t="shared" si="240"/>
        <v>0</v>
      </c>
      <c r="DI90" s="1184">
        <f t="shared" si="240"/>
        <v>0</v>
      </c>
      <c r="DJ90" s="1184">
        <f t="shared" si="240"/>
        <v>0</v>
      </c>
      <c r="DK90" s="1184">
        <f t="shared" si="240"/>
        <v>0</v>
      </c>
      <c r="DL90" s="1184">
        <f t="shared" si="240"/>
        <v>0</v>
      </c>
      <c r="DM90" s="1184">
        <f t="shared" si="240"/>
        <v>0</v>
      </c>
      <c r="DN90" s="1184"/>
      <c r="DO90" s="1184">
        <f t="shared" si="241"/>
        <v>0</v>
      </c>
      <c r="DP90" s="1184">
        <f t="shared" si="241"/>
        <v>0</v>
      </c>
      <c r="DQ90" s="1184">
        <f t="shared" si="241"/>
        <v>0</v>
      </c>
      <c r="DR90" s="1184">
        <f t="shared" si="241"/>
        <v>0</v>
      </c>
      <c r="DS90" s="1184">
        <f t="shared" si="241"/>
        <v>0</v>
      </c>
      <c r="DT90" s="1184">
        <f t="shared" si="241"/>
        <v>0</v>
      </c>
      <c r="DU90" s="1184">
        <f t="shared" si="241"/>
        <v>0</v>
      </c>
      <c r="DV90" s="1184">
        <f t="shared" si="241"/>
        <v>0</v>
      </c>
      <c r="DW90" s="1184">
        <f t="shared" si="241"/>
        <v>0</v>
      </c>
      <c r="DX90" s="1184">
        <f t="shared" si="241"/>
        <v>0</v>
      </c>
      <c r="DY90" s="1184">
        <f t="shared" si="241"/>
        <v>0</v>
      </c>
      <c r="DZ90" s="1184">
        <f t="shared" si="241"/>
        <v>0</v>
      </c>
      <c r="EA90" s="1184"/>
      <c r="EB90" s="1184">
        <f t="shared" si="242"/>
        <v>0</v>
      </c>
      <c r="EC90" s="1184">
        <f t="shared" si="242"/>
        <v>0</v>
      </c>
      <c r="ED90" s="1184">
        <f t="shared" si="242"/>
        <v>0</v>
      </c>
      <c r="EE90" s="1184">
        <f t="shared" si="242"/>
        <v>0</v>
      </c>
      <c r="EF90" s="1184">
        <f t="shared" si="242"/>
        <v>0</v>
      </c>
      <c r="EG90" s="1184">
        <f t="shared" si="242"/>
        <v>0</v>
      </c>
      <c r="EH90" s="1184">
        <f t="shared" si="242"/>
        <v>0</v>
      </c>
      <c r="EI90" s="1184">
        <f t="shared" si="242"/>
        <v>0</v>
      </c>
      <c r="EJ90" s="1184">
        <f t="shared" si="242"/>
        <v>0</v>
      </c>
      <c r="EK90" s="1184">
        <f t="shared" si="242"/>
        <v>0</v>
      </c>
      <c r="EL90" s="1184">
        <f t="shared" si="242"/>
        <v>0</v>
      </c>
      <c r="EM90" s="1184">
        <f t="shared" si="242"/>
        <v>0</v>
      </c>
      <c r="EN90" s="1184"/>
      <c r="EO90" s="1184">
        <f t="shared" si="243"/>
        <v>0</v>
      </c>
      <c r="EP90" s="1184">
        <f t="shared" si="243"/>
        <v>0</v>
      </c>
      <c r="EQ90" s="1184">
        <f t="shared" si="243"/>
        <v>0</v>
      </c>
      <c r="ER90" s="1184">
        <f t="shared" si="243"/>
        <v>0</v>
      </c>
      <c r="ES90" s="1184">
        <f t="shared" si="243"/>
        <v>0</v>
      </c>
      <c r="ET90" s="1184">
        <f t="shared" si="243"/>
        <v>0</v>
      </c>
      <c r="EU90" s="1184">
        <f t="shared" si="243"/>
        <v>0</v>
      </c>
      <c r="EV90" s="1184">
        <f t="shared" si="243"/>
        <v>0</v>
      </c>
      <c r="EW90" s="1184">
        <f t="shared" si="243"/>
        <v>0</v>
      </c>
      <c r="EX90" s="1184">
        <f t="shared" si="243"/>
        <v>0</v>
      </c>
      <c r="EY90" s="1184">
        <f t="shared" si="243"/>
        <v>0</v>
      </c>
      <c r="EZ90" s="1184">
        <f t="shared" si="243"/>
        <v>0</v>
      </c>
      <c r="FA90" s="1184"/>
      <c r="FB90" s="1186">
        <f t="shared" si="182"/>
        <v>0</v>
      </c>
      <c r="FC90" s="1184">
        <f>FB90+DB90+EB90                 -         SUMIF('Nährstoffe und Lagerraum'!$AX$113:$AX$155,$CZ90,'Nährstoffe und Lagerraum'!$U$113:$U$155)/12  -$GD90*$HE90/12</f>
        <v>0</v>
      </c>
      <c r="FD90" s="1184">
        <f>FC90+DC90+EC90                 -         SUMIF('Nährstoffe und Lagerraum'!$AX$113:$AX$155,$CZ90,'Nährstoffe und Lagerraum'!$U$113:$U$155)/12  -$GD90*$HE90/12</f>
        <v>0</v>
      </c>
      <c r="FE90" s="1184">
        <f>FD90+DD90+ED90                 -         SUMIF('Nährstoffe und Lagerraum'!$AX$113:$AX$155,$CZ90,'Nährstoffe und Lagerraum'!$U$113:$U$155)/12  -$GD90*$HE90/12</f>
        <v>0</v>
      </c>
      <c r="FF90" s="1184">
        <f>FE90+DE90+EE90                 -         SUMIF('Nährstoffe und Lagerraum'!$AX$113:$AX$155,$CZ90,'Nährstoffe und Lagerraum'!$U$113:$U$155)/12  -$GD90*$HE90/12</f>
        <v>0</v>
      </c>
      <c r="FG90" s="1184">
        <f>FF90+DF90+EF90                 -         SUMIF('Nährstoffe und Lagerraum'!$AX$113:$AX$155,$CZ90,'Nährstoffe und Lagerraum'!$U$113:$U$155)/12  -$GD90*$HE90/12</f>
        <v>0</v>
      </c>
      <c r="FH90" s="1184">
        <f>FG90+DG90+EG90                 -         SUMIF('Nährstoffe und Lagerraum'!$AX$113:$AX$155,$CZ90,'Nährstoffe und Lagerraum'!$U$113:$U$155)/12  -$GD90*$HE90/12</f>
        <v>0</v>
      </c>
      <c r="FI90" s="1184">
        <f>FH90+DH90+EH90                 -         SUMIF('Nährstoffe und Lagerraum'!$AX$113:$AX$155,$CZ90,'Nährstoffe und Lagerraum'!$U$113:$U$155)/12  -$GD90*$HE90/12</f>
        <v>0</v>
      </c>
      <c r="FJ90" s="1184">
        <f>FI90+DI90+EI90                 -         SUMIF('Nährstoffe und Lagerraum'!$AX$113:$AX$155,$CZ90,'Nährstoffe und Lagerraum'!$U$113:$U$155)/12  -$GD90*$HE90/12</f>
        <v>0</v>
      </c>
      <c r="FK90" s="1184">
        <f>FJ90+DJ90+EJ90                 -         SUMIF('Nährstoffe und Lagerraum'!$AX$113:$AX$155,$CZ90,'Nährstoffe und Lagerraum'!$U$113:$U$155)/12  -$GD90*$HE90/12</f>
        <v>0</v>
      </c>
      <c r="FL90" s="1184">
        <f>FK90+DK90+EK90                 -         SUMIF('Nährstoffe und Lagerraum'!$AX$113:$AX$155,$CZ90,'Nährstoffe und Lagerraum'!$U$113:$U$155)/12  -$GD90*$HE90/12</f>
        <v>0</v>
      </c>
      <c r="FM90" s="1184">
        <f>FL90+DL90+EL90                 -         SUMIF('Nährstoffe und Lagerraum'!$AX$113:$AX$155,$CZ90,'Nährstoffe und Lagerraum'!$U$113:$U$155)/12  -$GD90*$HE90/12</f>
        <v>0</v>
      </c>
      <c r="FN90" s="1184">
        <f>FM90+DM90+EM90                 -         SUMIF('Nährstoffe und Lagerraum'!$AX$113:$AX$155,$CZ90,'Nährstoffe und Lagerraum'!$U$113:$U$155)/12  -$GD90*$HE90/12</f>
        <v>0</v>
      </c>
      <c r="FO90" s="1184"/>
      <c r="FP90" s="1186">
        <f t="shared" si="183"/>
        <v>0</v>
      </c>
      <c r="FQ90" s="1184">
        <f>FP90+DO90+EO90                 -         SUMIF('Nährstoffe und Lagerraum'!$AX$113:$AX$155,$CZ90,'Nährstoffe und Lagerraum'!$V$113:$V$155)/12  -$GE90*$HE90/12</f>
        <v>0</v>
      </c>
      <c r="FR90" s="1184">
        <f>FQ90+DP90+EP90                 -         SUMIF('Nährstoffe und Lagerraum'!$AX$113:$AX$155,$CZ90,'Nährstoffe und Lagerraum'!$V$113:$V$155)/12  -$GE90*$HE90/12</f>
        <v>0</v>
      </c>
      <c r="FS90" s="1184">
        <f>FR90+DQ90+EQ90                 -         SUMIF('Nährstoffe und Lagerraum'!$AX$113:$AX$155,$CZ90,'Nährstoffe und Lagerraum'!$V$113:$V$155)/12  -$GE90*$HE90/12</f>
        <v>0</v>
      </c>
      <c r="FT90" s="1184">
        <f>FS90+DR90+ER90                 -         SUMIF('Nährstoffe und Lagerraum'!$AX$113:$AX$155,$CZ90,'Nährstoffe und Lagerraum'!$V$113:$V$155)/12  -$GE90*$HE90/12</f>
        <v>0</v>
      </c>
      <c r="FU90" s="1184">
        <f>FT90+DS90+ES90                 -         SUMIF('Nährstoffe und Lagerraum'!$AX$113:$AX$155,$CZ90,'Nährstoffe und Lagerraum'!$V$113:$V$155)/12  -$GE90*$HE90/12</f>
        <v>0</v>
      </c>
      <c r="FV90" s="1184">
        <f>FU90+DT90+ET90                 -         SUMIF('Nährstoffe und Lagerraum'!$AX$113:$AX$155,$CZ90,'Nährstoffe und Lagerraum'!$V$113:$V$155)/12  -$GE90*$HE90/12</f>
        <v>0</v>
      </c>
      <c r="FW90" s="1184">
        <f>FV90+DU90+EU90                 -         SUMIF('Nährstoffe und Lagerraum'!$AX$113:$AX$155,$CZ90,'Nährstoffe und Lagerraum'!$V$113:$V$155)/12  -$GE90*$HE90/12</f>
        <v>0</v>
      </c>
      <c r="FX90" s="1184">
        <f>FW90+DV90+EV90                 -         SUMIF('Nährstoffe und Lagerraum'!$AX$113:$AX$155,$CZ90,'Nährstoffe und Lagerraum'!$V$113:$V$155)/12  -$GE90*$HE90/12</f>
        <v>0</v>
      </c>
      <c r="FY90" s="1184">
        <f>FX90+DW90+EW90                 -         SUMIF('Nährstoffe und Lagerraum'!$AX$113:$AX$155,$CZ90,'Nährstoffe und Lagerraum'!$V$113:$V$155)/12  -$GE90*$HE90/12</f>
        <v>0</v>
      </c>
      <c r="FZ90" s="1184">
        <f>FY90+DX90+EX90                 -         SUMIF('Nährstoffe und Lagerraum'!$AX$113:$AX$155,$CZ90,'Nährstoffe und Lagerraum'!$V$113:$V$155)/12  -$GE90*$HE90/12</f>
        <v>0</v>
      </c>
      <c r="GA90" s="1184">
        <f>FZ90+DY90+EY90                 -         SUMIF('Nährstoffe und Lagerraum'!$AX$113:$AX$155,$CZ90,'Nährstoffe und Lagerraum'!$V$113:$V$155)/12  -$GE90*$HE90/12</f>
        <v>0</v>
      </c>
      <c r="GB90" s="1184">
        <f>GA90+DZ90+EZ90                 -         SUMIF('Nährstoffe und Lagerraum'!$AX$113:$AX$155,$CZ90,'Nährstoffe und Lagerraum'!$V$113:$V$155)/12  -$GE90*$HE90/12</f>
        <v>0</v>
      </c>
      <c r="GC90" s="1184"/>
      <c r="GD90" s="1184">
        <f>SUMIFS($CI$14:$CI$68,$BR$14:$BR$68,$CZ90)+SUMIFS($CM$14:$CM$68,$BR$14:$BR$68,$CZ90)+SUMIFS($CR$14:$CR$68,$BR$14:$BR$68,$CZ90)  -         SUMIF('Nährstoffe und Lagerraum'!$AX$113:$AX$155,$CZ90,'Nährstoffe und Lagerraum'!$U$113:$U$155)</f>
        <v>0</v>
      </c>
      <c r="GE90" s="1184">
        <f>SUMIFS($CJ$14:$CJ$68,$BR$14:$BR$68,$CZ90)+SUMIFS($CO$14:$CO$68,$BR$14:$BR$68,$CZ90)+SUMIFS($CT$14:$CT$68,$BR$14:$BR$68,$CZ90)  -         SUMIF('Nährstoffe und Lagerraum'!$AX$113:$AX$155,$CZ90,'Nährstoffe und Lagerraum'!$V$113:$V$155)</f>
        <v>0</v>
      </c>
      <c r="GF90" s="1184"/>
      <c r="GG90" s="1184"/>
      <c r="GH90" s="1184">
        <f>SUMIF('Nährstoffe und Lagerraum'!$AX$113:$AX$155,$CZ90,'Nährstoffe und Lagerraum'!$U$113:$U$155)</f>
        <v>0</v>
      </c>
      <c r="GI90" s="1184">
        <f>SUMIF('Nährstoffe und Lagerraum'!$AX$113:$AX$155,$CZ90,'Nährstoffe und Lagerraum'!$V$113:$V$155)</f>
        <v>0</v>
      </c>
      <c r="GJ90" s="1184">
        <f t="shared" si="221"/>
        <v>0</v>
      </c>
      <c r="GK90" s="1184">
        <f t="shared" si="222"/>
        <v>0</v>
      </c>
      <c r="GL90" s="1184">
        <f t="shared" si="223"/>
        <v>0</v>
      </c>
      <c r="GM90" s="1184">
        <f t="shared" si="224"/>
        <v>0</v>
      </c>
      <c r="GN90" s="1184">
        <f t="shared" si="225"/>
        <v>0</v>
      </c>
      <c r="GO90" s="1184" cm="1">
        <f t="array" ref="GO90">IF(GN90=0,0,(IFERROR(SUMPRODUCT($J$14:$J$68,$CH$14:$CH$68,($BR$14:$BR$68=CZ90)*1)+SUMPRODUCT($L$14:$L$68,$M$14:$M$68,$CK$14:$CK$68,($BR$14:$BR$68=CZ90)*1,($BT$14:$BT$68=FALSE)*1)/10+SUMPRODUCT($R$14:$R$68,$CP$14:$CP$68,($BR$14:$BR$68=CZ90)*1),0))/GN90)</f>
        <v>0</v>
      </c>
      <c r="GP90" s="1184">
        <f t="shared" si="226"/>
        <v>0</v>
      </c>
      <c r="GQ90" s="1184">
        <f>(SUMIF('Nährstoffe und Lagerraum'!$AX$113:$AX$130,'Lagerhaltung (freiwillig)'!CZ90,'Nährstoffe und Lagerraum'!$D$113:$D$130)+SUMIF('Nährstoffe und Lagerraum'!$AX$137:$AX$155,'Lagerhaltung (freiwillig)'!CZ90,'Nährstoffe und Lagerraum'!$E$137:$E$155))</f>
        <v>0</v>
      </c>
      <c r="GR90" s="1184" cm="1">
        <f t="array" ref="GR90">IF(GQ90=0,0,(IFERROR(SUMPRODUCT('Nährstoffe und Lagerraum'!$D$113:$D$130,'Nährstoffe und Lagerraum'!$F$113:$F$130,('Nährstoffe und Lagerraum'!$AX$113:$AX$130='Lagerhaltung (freiwillig)'!CZ90)*1)+SUMPRODUCT('Nährstoffe und Lagerraum'!$E$137:$E$155,'Nährstoffe und Lagerraum'!$F$137:$F$155,('Nährstoffe und Lagerraum'!$AX$137:$AX$155='Lagerhaltung (freiwillig)'!CZ90)*1),0))/GQ90)</f>
        <v>0</v>
      </c>
      <c r="GS90" s="1184">
        <f t="shared" si="227"/>
        <v>0</v>
      </c>
      <c r="GT90" s="1184">
        <f t="shared" si="228"/>
        <v>0</v>
      </c>
      <c r="GU90" s="1184">
        <f t="shared" si="229"/>
        <v>0</v>
      </c>
      <c r="GV90" s="1184">
        <f t="shared" si="230"/>
        <v>0</v>
      </c>
      <c r="GW90" s="1186" t="str">
        <f t="shared" si="177"/>
        <v xml:space="preserve"> </v>
      </c>
      <c r="GX90" s="1186" t="str">
        <f t="shared" si="177"/>
        <v xml:space="preserve"> </v>
      </c>
      <c r="GY90" s="1195">
        <f t="shared" si="231"/>
        <v>0</v>
      </c>
      <c r="GZ90" s="1184">
        <f t="shared" si="232"/>
        <v>0</v>
      </c>
      <c r="HA90" s="1184" t="str">
        <f t="shared" si="176"/>
        <v>a</v>
      </c>
      <c r="HB90" s="1196">
        <f t="shared" si="233"/>
        <v>0</v>
      </c>
      <c r="HC90" s="1196">
        <f t="shared" si="234"/>
        <v>0</v>
      </c>
      <c r="HD90" s="1196"/>
      <c r="HE90" s="1187">
        <f t="shared" si="235"/>
        <v>0</v>
      </c>
      <c r="HF90" s="1196">
        <f t="shared" si="236"/>
        <v>0</v>
      </c>
      <c r="HG90" s="1196">
        <f t="shared" si="237"/>
        <v>0</v>
      </c>
      <c r="HH90" s="1196">
        <f t="shared" si="238"/>
        <v>0</v>
      </c>
      <c r="HI90" s="1328" cm="1">
        <f t="array" ref="HI90">IF(AND(HG90=0,GL90=0),0,IF(HG90=0,1,IF(OR(GL90*1000/HG90/HH90&gt;INDEX(Pflanzen!$W$5:$W$104,CZ90)/INDEX(Pflanzen!$I$5:$I$104,CZ90)*$HI$2,GL90*1000/HG90/HH90&lt;INDEX(Pflanzen!$W$5:$W$104,CZ90)/INDEX(Pflanzen!$I$5:$I$104,CZ90)/$HI$2),1,0)))</f>
        <v>0</v>
      </c>
      <c r="HJ90" s="1866" cm="1">
        <f t="array" ref="HJ90">IF(AND(GM90=0,HG90=0),0,IF(HG90=0,1,IF(OR(GM90*1000/HG90/HH90&gt;INDEX(Pflanzen!$X$5:$X$104,CZ90)/INDEX(Pflanzen!$I$5:$I$104,CZ90)*$HI$2,GM90*1000/HG90/HH90&lt;INDEX(Pflanzen!$X$5:$X$104,CZ90)/INDEX(Pflanzen!$I$5:$I$104,CZ90)/$HI$2),1,0)))</f>
        <v>0</v>
      </c>
      <c r="HK90" s="1184">
        <f t="shared" si="239"/>
        <v>3</v>
      </c>
      <c r="HL90" s="1184"/>
      <c r="HN90" s="1184"/>
      <c r="HO90" s="1184"/>
      <c r="HP90" s="1184"/>
      <c r="HQ90" s="1184"/>
      <c r="HR90" s="1184"/>
      <c r="HS90" s="1184"/>
      <c r="HT90" s="1184"/>
      <c r="HU90" s="1184"/>
      <c r="HV90" s="1184"/>
      <c r="HW90" s="1184"/>
      <c r="HX90" s="1184"/>
      <c r="HY90" s="1184"/>
      <c r="HZ90" s="1184"/>
      <c r="IA90" s="1184"/>
      <c r="IB90" s="1184"/>
      <c r="IC90" s="1184"/>
      <c r="ID90" s="1184"/>
      <c r="IE90" s="1184"/>
      <c r="IF90" s="1184"/>
      <c r="IG90" s="1184"/>
      <c r="IH90" s="1184"/>
      <c r="II90" s="1184"/>
      <c r="IJ90" s="1184"/>
      <c r="IK90" s="1184"/>
      <c r="IL90" s="1184"/>
    </row>
    <row r="91" spans="1:246" ht="13.5" customHeight="1" x14ac:dyDescent="0.2">
      <c r="A91" s="1349" t="s">
        <v>1040</v>
      </c>
      <c r="B91" s="1350"/>
      <c r="C91" s="1350"/>
      <c r="D91" s="1350"/>
      <c r="E91" s="1350"/>
      <c r="F91" s="1350"/>
      <c r="G91" s="1350"/>
      <c r="H91" s="1350"/>
      <c r="I91" s="1350"/>
      <c r="J91" s="1350"/>
      <c r="K91" s="1350"/>
      <c r="L91" s="1920">
        <f>SUMIFS($L$14:$L$68,$CF$14:$CF$68,"Hfru",$CG$14:$CG$68,"&lt;&gt;2")</f>
        <v>0</v>
      </c>
      <c r="M91" s="242"/>
      <c r="N91" s="138" t="str">
        <f>IF(OR(L91&lt;N4-1,L91&gt;N4+1),"Ackerfläche nicht plausibel","")</f>
        <v/>
      </c>
      <c r="O91" s="242"/>
      <c r="P91" s="242"/>
      <c r="Q91" s="242"/>
      <c r="R91" s="242"/>
      <c r="S91" s="242"/>
      <c r="T91" s="242"/>
      <c r="U91" s="242"/>
      <c r="V91" s="242"/>
      <c r="Y91" s="1981"/>
      <c r="Z91" s="1982"/>
      <c r="AA91" s="1982"/>
      <c r="AB91" s="1982"/>
      <c r="AC91" s="1983"/>
      <c r="AD91" s="1983"/>
      <c r="AE91" s="1983"/>
      <c r="AF91" s="1983"/>
      <c r="AG91" s="1983"/>
      <c r="AH91" s="1983"/>
      <c r="AI91" s="1983"/>
      <c r="AJ91" s="1983"/>
      <c r="AK91" s="1983"/>
      <c r="AL91" s="1984"/>
      <c r="AM91" s="1983"/>
      <c r="AN91" s="1983"/>
      <c r="AO91" s="1983"/>
      <c r="AP91" s="1983"/>
      <c r="AQ91" s="1983"/>
      <c r="AR91" s="1983"/>
      <c r="AS91" s="1983"/>
      <c r="AT91" s="1983"/>
      <c r="AU91" s="1983"/>
      <c r="AV91" s="1983"/>
      <c r="AW91" s="1985"/>
      <c r="AX91" s="1985"/>
      <c r="AY91" s="1985"/>
      <c r="AZ91" s="1985"/>
      <c r="BA91" s="1462"/>
      <c r="BB91" s="1462"/>
      <c r="BC91" s="1462"/>
      <c r="BD91" s="1461"/>
      <c r="BE91" s="1462"/>
      <c r="BF91" s="1343"/>
      <c r="BG91" s="1343"/>
      <c r="BH91" s="1343"/>
      <c r="BI91" s="1343"/>
      <c r="BJ91" s="1343"/>
      <c r="BK91" s="1343"/>
      <c r="BL91" s="1343"/>
      <c r="BM91" s="1343"/>
      <c r="BN91" s="1343"/>
      <c r="BO91" s="1343"/>
      <c r="BQ91" s="1184"/>
      <c r="BR91" s="1184"/>
      <c r="BS91" s="1184"/>
      <c r="BT91" s="1184"/>
      <c r="BU91" s="1185"/>
      <c r="BV91" s="1185"/>
      <c r="BW91" s="1184"/>
      <c r="BX91" s="1184"/>
      <c r="BY91" s="1184"/>
      <c r="BZ91" s="1184"/>
      <c r="CA91" s="1184"/>
      <c r="CB91" s="1184"/>
      <c r="CC91" s="1184"/>
      <c r="CD91" s="1184"/>
      <c r="CE91" s="1184"/>
      <c r="CF91" s="1184"/>
      <c r="CG91" s="1184"/>
      <c r="CH91" s="1184"/>
      <c r="CI91" s="1184"/>
      <c r="CJ91" s="1184"/>
      <c r="CK91" s="1184"/>
      <c r="CL91" s="1184"/>
      <c r="CM91" s="1184"/>
      <c r="CN91" s="1184"/>
      <c r="CO91" s="1184"/>
      <c r="CP91" s="1184"/>
      <c r="CQ91" s="1184"/>
      <c r="CR91" s="1184"/>
      <c r="CS91" s="1184"/>
      <c r="CT91" s="1184"/>
      <c r="CU91" s="1184"/>
      <c r="CV91" s="1184"/>
      <c r="CW91" s="1184"/>
      <c r="CX91" s="1184"/>
      <c r="CY91" s="320" t="str">
        <f>Pflanzen!A87</f>
        <v>Rindermist, hohe Einstreu</v>
      </c>
      <c r="CZ91" s="1200">
        <f>IFERROR(MATCH($CY91,Pflanzen!$C$5:$C$114,0),1)</f>
        <v>79</v>
      </c>
      <c r="DA91" s="320" cm="1">
        <f t="array" ref="DA91">INDEX(Pflanzen!$H$5:$H$114,'Lagerhaltung (freiwillig)'!CZ91)</f>
        <v>0</v>
      </c>
      <c r="DB91" s="1200">
        <f t="shared" si="240"/>
        <v>0</v>
      </c>
      <c r="DC91" s="1200">
        <f t="shared" si="240"/>
        <v>0</v>
      </c>
      <c r="DD91" s="1200">
        <f t="shared" si="240"/>
        <v>0</v>
      </c>
      <c r="DE91" s="1200">
        <f t="shared" si="240"/>
        <v>0</v>
      </c>
      <c r="DF91" s="1200">
        <f t="shared" si="240"/>
        <v>0</v>
      </c>
      <c r="DG91" s="1184">
        <f t="shared" si="240"/>
        <v>0</v>
      </c>
      <c r="DH91" s="1184">
        <f t="shared" si="240"/>
        <v>0</v>
      </c>
      <c r="DI91" s="1184">
        <f t="shared" si="240"/>
        <v>0</v>
      </c>
      <c r="DJ91" s="1184">
        <f t="shared" si="240"/>
        <v>0</v>
      </c>
      <c r="DK91" s="1184">
        <f t="shared" si="240"/>
        <v>0</v>
      </c>
      <c r="DL91" s="1184">
        <f t="shared" si="240"/>
        <v>0</v>
      </c>
      <c r="DM91" s="1184">
        <f t="shared" si="240"/>
        <v>0</v>
      </c>
      <c r="DN91" s="1184"/>
      <c r="DO91" s="1184">
        <f t="shared" si="241"/>
        <v>0</v>
      </c>
      <c r="DP91" s="1184">
        <f t="shared" si="241"/>
        <v>0</v>
      </c>
      <c r="DQ91" s="1184">
        <f t="shared" si="241"/>
        <v>0</v>
      </c>
      <c r="DR91" s="1184">
        <f t="shared" si="241"/>
        <v>0</v>
      </c>
      <c r="DS91" s="1184">
        <f t="shared" si="241"/>
        <v>0</v>
      </c>
      <c r="DT91" s="1184">
        <f t="shared" si="241"/>
        <v>0</v>
      </c>
      <c r="DU91" s="1184">
        <f t="shared" si="241"/>
        <v>0</v>
      </c>
      <c r="DV91" s="1184">
        <f t="shared" si="241"/>
        <v>0</v>
      </c>
      <c r="DW91" s="1184">
        <f t="shared" si="241"/>
        <v>0</v>
      </c>
      <c r="DX91" s="1184">
        <f t="shared" si="241"/>
        <v>0</v>
      </c>
      <c r="DY91" s="1184">
        <f t="shared" si="241"/>
        <v>0</v>
      </c>
      <c r="DZ91" s="1184">
        <f t="shared" si="241"/>
        <v>0</v>
      </c>
      <c r="EA91" s="1184"/>
      <c r="EB91" s="1184">
        <f t="shared" si="242"/>
        <v>0</v>
      </c>
      <c r="EC91" s="1184">
        <f t="shared" si="242"/>
        <v>0</v>
      </c>
      <c r="ED91" s="1184">
        <f t="shared" si="242"/>
        <v>0</v>
      </c>
      <c r="EE91" s="1184">
        <f t="shared" si="242"/>
        <v>0</v>
      </c>
      <c r="EF91" s="1184">
        <f t="shared" si="242"/>
        <v>0</v>
      </c>
      <c r="EG91" s="1184">
        <f t="shared" si="242"/>
        <v>0</v>
      </c>
      <c r="EH91" s="1184">
        <f t="shared" si="242"/>
        <v>0</v>
      </c>
      <c r="EI91" s="1184">
        <f t="shared" si="242"/>
        <v>0</v>
      </c>
      <c r="EJ91" s="1184">
        <f t="shared" si="242"/>
        <v>0</v>
      </c>
      <c r="EK91" s="1184">
        <f t="shared" si="242"/>
        <v>0</v>
      </c>
      <c r="EL91" s="1184">
        <f t="shared" si="242"/>
        <v>0</v>
      </c>
      <c r="EM91" s="1184">
        <f t="shared" si="242"/>
        <v>0</v>
      </c>
      <c r="EN91" s="1184"/>
      <c r="EO91" s="1184">
        <f t="shared" si="243"/>
        <v>0</v>
      </c>
      <c r="EP91" s="1184">
        <f t="shared" si="243"/>
        <v>0</v>
      </c>
      <c r="EQ91" s="1184">
        <f t="shared" si="243"/>
        <v>0</v>
      </c>
      <c r="ER91" s="1184">
        <f t="shared" si="243"/>
        <v>0</v>
      </c>
      <c r="ES91" s="1184">
        <f t="shared" si="243"/>
        <v>0</v>
      </c>
      <c r="ET91" s="1184">
        <f t="shared" si="243"/>
        <v>0</v>
      </c>
      <c r="EU91" s="1184">
        <f t="shared" si="243"/>
        <v>0</v>
      </c>
      <c r="EV91" s="1184">
        <f t="shared" si="243"/>
        <v>0</v>
      </c>
      <c r="EW91" s="1184">
        <f t="shared" si="243"/>
        <v>0</v>
      </c>
      <c r="EX91" s="1184">
        <f t="shared" si="243"/>
        <v>0</v>
      </c>
      <c r="EY91" s="1184">
        <f t="shared" si="243"/>
        <v>0</v>
      </c>
      <c r="EZ91" s="1184">
        <f t="shared" si="243"/>
        <v>0</v>
      </c>
      <c r="FA91" s="1184"/>
      <c r="FB91" s="1186">
        <f t="shared" si="182"/>
        <v>0</v>
      </c>
      <c r="FC91" s="1184">
        <f>FB91+DB91+EB91                 -         SUMIF('Nährstoffe und Lagerraum'!$AX$113:$AX$155,$CZ91,'Nährstoffe und Lagerraum'!$U$113:$U$155)/12  -$GD91*$HE91/12</f>
        <v>0</v>
      </c>
      <c r="FD91" s="1184">
        <f>FC91+DC91+EC91                 -         SUMIF('Nährstoffe und Lagerraum'!$AX$113:$AX$155,$CZ91,'Nährstoffe und Lagerraum'!$U$113:$U$155)/12  -$GD91*$HE91/12</f>
        <v>0</v>
      </c>
      <c r="FE91" s="1184">
        <f>FD91+DD91+ED91                 -         SUMIF('Nährstoffe und Lagerraum'!$AX$113:$AX$155,$CZ91,'Nährstoffe und Lagerraum'!$U$113:$U$155)/12  -$GD91*$HE91/12</f>
        <v>0</v>
      </c>
      <c r="FF91" s="1184">
        <f>FE91+DE91+EE91                 -         SUMIF('Nährstoffe und Lagerraum'!$AX$113:$AX$155,$CZ91,'Nährstoffe und Lagerraum'!$U$113:$U$155)/12  -$GD91*$HE91/12</f>
        <v>0</v>
      </c>
      <c r="FG91" s="1184">
        <f>FF91+DF91+EF91                 -         SUMIF('Nährstoffe und Lagerraum'!$AX$113:$AX$155,$CZ91,'Nährstoffe und Lagerraum'!$U$113:$U$155)/12  -$GD91*$HE91/12</f>
        <v>0</v>
      </c>
      <c r="FH91" s="1184">
        <f>FG91+DG91+EG91                 -         SUMIF('Nährstoffe und Lagerraum'!$AX$113:$AX$155,$CZ91,'Nährstoffe und Lagerraum'!$U$113:$U$155)/12  -$GD91*$HE91/12</f>
        <v>0</v>
      </c>
      <c r="FI91" s="1184">
        <f>FH91+DH91+EH91                 -         SUMIF('Nährstoffe und Lagerraum'!$AX$113:$AX$155,$CZ91,'Nährstoffe und Lagerraum'!$U$113:$U$155)/12  -$GD91*$HE91/12</f>
        <v>0</v>
      </c>
      <c r="FJ91" s="1184">
        <f>FI91+DI91+EI91                 -         SUMIF('Nährstoffe und Lagerraum'!$AX$113:$AX$155,$CZ91,'Nährstoffe und Lagerraum'!$U$113:$U$155)/12  -$GD91*$HE91/12</f>
        <v>0</v>
      </c>
      <c r="FK91" s="1184">
        <f>FJ91+DJ91+EJ91                 -         SUMIF('Nährstoffe und Lagerraum'!$AX$113:$AX$155,$CZ91,'Nährstoffe und Lagerraum'!$U$113:$U$155)/12  -$GD91*$HE91/12</f>
        <v>0</v>
      </c>
      <c r="FL91" s="1184">
        <f>FK91+DK91+EK91                 -         SUMIF('Nährstoffe und Lagerraum'!$AX$113:$AX$155,$CZ91,'Nährstoffe und Lagerraum'!$U$113:$U$155)/12  -$GD91*$HE91/12</f>
        <v>0</v>
      </c>
      <c r="FM91" s="1184">
        <f>FL91+DL91+EL91                 -         SUMIF('Nährstoffe und Lagerraum'!$AX$113:$AX$155,$CZ91,'Nährstoffe und Lagerraum'!$U$113:$U$155)/12  -$GD91*$HE91/12</f>
        <v>0</v>
      </c>
      <c r="FN91" s="1184">
        <f>FM91+DM91+EM91                 -         SUMIF('Nährstoffe und Lagerraum'!$AX$113:$AX$155,$CZ91,'Nährstoffe und Lagerraum'!$U$113:$U$155)/12  -$GD91*$HE91/12</f>
        <v>0</v>
      </c>
      <c r="FO91" s="1184"/>
      <c r="FP91" s="1186">
        <f t="shared" si="183"/>
        <v>0</v>
      </c>
      <c r="FQ91" s="1184">
        <f>FP91+DO91+EO91                 -         SUMIF('Nährstoffe und Lagerraum'!$AX$113:$AX$155,$CZ91,'Nährstoffe und Lagerraum'!$V$113:$V$155)/12  -$GE91*$HE91/12</f>
        <v>0</v>
      </c>
      <c r="FR91" s="1184">
        <f>FQ91+DP91+EP91                 -         SUMIF('Nährstoffe und Lagerraum'!$AX$113:$AX$155,$CZ91,'Nährstoffe und Lagerraum'!$V$113:$V$155)/12  -$GE91*$HE91/12</f>
        <v>0</v>
      </c>
      <c r="FS91" s="1184">
        <f>FR91+DQ91+EQ91                 -         SUMIF('Nährstoffe und Lagerraum'!$AX$113:$AX$155,$CZ91,'Nährstoffe und Lagerraum'!$V$113:$V$155)/12  -$GE91*$HE91/12</f>
        <v>0</v>
      </c>
      <c r="FT91" s="1184">
        <f>FS91+DR91+ER91                 -         SUMIF('Nährstoffe und Lagerraum'!$AX$113:$AX$155,$CZ91,'Nährstoffe und Lagerraum'!$V$113:$V$155)/12  -$GE91*$HE91/12</f>
        <v>0</v>
      </c>
      <c r="FU91" s="1184">
        <f>FT91+DS91+ES91                 -         SUMIF('Nährstoffe und Lagerraum'!$AX$113:$AX$155,$CZ91,'Nährstoffe und Lagerraum'!$V$113:$V$155)/12  -$GE91*$HE91/12</f>
        <v>0</v>
      </c>
      <c r="FV91" s="1184">
        <f>FU91+DT91+ET91                 -         SUMIF('Nährstoffe und Lagerraum'!$AX$113:$AX$155,$CZ91,'Nährstoffe und Lagerraum'!$V$113:$V$155)/12  -$GE91*$HE91/12</f>
        <v>0</v>
      </c>
      <c r="FW91" s="1184">
        <f>FV91+DU91+EU91                 -         SUMIF('Nährstoffe und Lagerraum'!$AX$113:$AX$155,$CZ91,'Nährstoffe und Lagerraum'!$V$113:$V$155)/12  -$GE91*$HE91/12</f>
        <v>0</v>
      </c>
      <c r="FX91" s="1184">
        <f>FW91+DV91+EV91                 -         SUMIF('Nährstoffe und Lagerraum'!$AX$113:$AX$155,$CZ91,'Nährstoffe und Lagerraum'!$V$113:$V$155)/12  -$GE91*$HE91/12</f>
        <v>0</v>
      </c>
      <c r="FY91" s="1184">
        <f>FX91+DW91+EW91                 -         SUMIF('Nährstoffe und Lagerraum'!$AX$113:$AX$155,$CZ91,'Nährstoffe und Lagerraum'!$V$113:$V$155)/12  -$GE91*$HE91/12</f>
        <v>0</v>
      </c>
      <c r="FZ91" s="1184">
        <f>FY91+DX91+EX91                 -         SUMIF('Nährstoffe und Lagerraum'!$AX$113:$AX$155,$CZ91,'Nährstoffe und Lagerraum'!$V$113:$V$155)/12  -$GE91*$HE91/12</f>
        <v>0</v>
      </c>
      <c r="GA91" s="1184">
        <f>FZ91+DY91+EY91                 -         SUMIF('Nährstoffe und Lagerraum'!$AX$113:$AX$155,$CZ91,'Nährstoffe und Lagerraum'!$V$113:$V$155)/12  -$GE91*$HE91/12</f>
        <v>0</v>
      </c>
      <c r="GB91" s="1184">
        <f>GA91+DZ91+EZ91                 -         SUMIF('Nährstoffe und Lagerraum'!$AX$113:$AX$155,$CZ91,'Nährstoffe und Lagerraum'!$V$113:$V$155)/12  -$GE91*$HE91/12</f>
        <v>0</v>
      </c>
      <c r="GC91" s="1184"/>
      <c r="GD91" s="1184">
        <f>SUMIFS($CI$14:$CI$68,$BR$14:$BR$68,$CZ91)+SUMIFS($CM$14:$CM$68,$BR$14:$BR$68,$CZ91)+SUMIFS($CR$14:$CR$68,$BR$14:$BR$68,$CZ91)  -         SUMIF('Nährstoffe und Lagerraum'!$AX$113:$AX$155,$CZ91,'Nährstoffe und Lagerraum'!$U$113:$U$155)</f>
        <v>0</v>
      </c>
      <c r="GE91" s="1184">
        <f>SUMIFS($CJ$14:$CJ$68,$BR$14:$BR$68,$CZ91)+SUMIFS($CO$14:$CO$68,$BR$14:$BR$68,$CZ91)+SUMIFS($CT$14:$CT$68,$BR$14:$BR$68,$CZ91)  -         SUMIF('Nährstoffe und Lagerraum'!$AX$113:$AX$155,$CZ91,'Nährstoffe und Lagerraum'!$V$113:$V$155)</f>
        <v>0</v>
      </c>
      <c r="GF91" s="1184"/>
      <c r="GG91" s="1184"/>
      <c r="GH91" s="1184">
        <f>SUMIF('Nährstoffe und Lagerraum'!$AX$113:$AX$155,$CZ91,'Nährstoffe und Lagerraum'!$U$113:$U$155)</f>
        <v>0</v>
      </c>
      <c r="GI91" s="1184">
        <f>SUMIF('Nährstoffe und Lagerraum'!$AX$113:$AX$155,$CZ91,'Nährstoffe und Lagerraum'!$V$113:$V$155)</f>
        <v>0</v>
      </c>
      <c r="GJ91" s="1184">
        <f t="shared" si="221"/>
        <v>0</v>
      </c>
      <c r="GK91" s="1184">
        <f t="shared" si="222"/>
        <v>0</v>
      </c>
      <c r="GL91" s="1184">
        <f t="shared" si="223"/>
        <v>0</v>
      </c>
      <c r="GM91" s="1184">
        <f t="shared" si="224"/>
        <v>0</v>
      </c>
      <c r="GN91" s="1184">
        <f t="shared" si="225"/>
        <v>0</v>
      </c>
      <c r="GO91" s="1184" cm="1">
        <f t="array" ref="GO91">IF(GN91=0,0,(IFERROR(SUMPRODUCT($J$14:$J$68,$CH$14:$CH$68,($BR$14:$BR$68=CZ91)*1)+SUMPRODUCT($L$14:$L$68,$M$14:$M$68,$CK$14:$CK$68,($BR$14:$BR$68=CZ91)*1,($BT$14:$BT$68=FALSE)*1)/10+SUMPRODUCT($R$14:$R$68,$CP$14:$CP$68,($BR$14:$BR$68=CZ91)*1),0))/GN91)</f>
        <v>0</v>
      </c>
      <c r="GP91" s="1184">
        <f t="shared" si="226"/>
        <v>0</v>
      </c>
      <c r="GQ91" s="1184">
        <f>(SUMIF('Nährstoffe und Lagerraum'!$AX$113:$AX$130,'Lagerhaltung (freiwillig)'!CZ91,'Nährstoffe und Lagerraum'!$D$113:$D$130)+SUMIF('Nährstoffe und Lagerraum'!$AX$137:$AX$155,'Lagerhaltung (freiwillig)'!CZ91,'Nährstoffe und Lagerraum'!$E$137:$E$155))</f>
        <v>0</v>
      </c>
      <c r="GR91" s="1184" cm="1">
        <f t="array" ref="GR91">IF(GQ91=0,0,(IFERROR(SUMPRODUCT('Nährstoffe und Lagerraum'!$D$113:$D$130,'Nährstoffe und Lagerraum'!$F$113:$F$130,('Nährstoffe und Lagerraum'!$AX$113:$AX$130='Lagerhaltung (freiwillig)'!CZ91)*1)+SUMPRODUCT('Nährstoffe und Lagerraum'!$E$137:$E$155,'Nährstoffe und Lagerraum'!$F$137:$F$155,('Nährstoffe und Lagerraum'!$AX$137:$AX$155='Lagerhaltung (freiwillig)'!CZ91)*1),0))/GQ91)</f>
        <v>0</v>
      </c>
      <c r="GS91" s="1184">
        <f t="shared" si="227"/>
        <v>0</v>
      </c>
      <c r="GT91" s="1184">
        <f t="shared" si="228"/>
        <v>0</v>
      </c>
      <c r="GU91" s="1184">
        <f t="shared" si="229"/>
        <v>0</v>
      </c>
      <c r="GV91" s="1184">
        <f t="shared" si="230"/>
        <v>0</v>
      </c>
      <c r="GW91" s="1186" t="str">
        <f t="shared" si="177"/>
        <v xml:space="preserve"> </v>
      </c>
      <c r="GX91" s="1186" t="str">
        <f t="shared" si="177"/>
        <v xml:space="preserve"> </v>
      </c>
      <c r="GY91" s="1195">
        <f t="shared" si="231"/>
        <v>0</v>
      </c>
      <c r="GZ91" s="1184">
        <f t="shared" si="232"/>
        <v>0</v>
      </c>
      <c r="HA91" s="1184" t="str">
        <f t="shared" si="176"/>
        <v>a</v>
      </c>
      <c r="HB91" s="1196">
        <f t="shared" si="233"/>
        <v>0</v>
      </c>
      <c r="HC91" s="1196">
        <f t="shared" si="234"/>
        <v>0</v>
      </c>
      <c r="HD91" s="1196"/>
      <c r="HE91" s="1187">
        <f t="shared" si="235"/>
        <v>0</v>
      </c>
      <c r="HF91" s="1196">
        <f t="shared" si="236"/>
        <v>0</v>
      </c>
      <c r="HG91" s="1196">
        <f t="shared" si="237"/>
        <v>0</v>
      </c>
      <c r="HH91" s="1196">
        <f t="shared" si="238"/>
        <v>0</v>
      </c>
      <c r="HI91" s="1328" cm="1">
        <f t="array" ref="HI91">IF(AND(HG91=0,GL91=0),0,IF(HG91=0,1,IF(OR(GL91*1000/HG91/HH91&gt;INDEX(Pflanzen!$W$5:$W$104,CZ91)/INDEX(Pflanzen!$I$5:$I$104,CZ91)*$HI$2,GL91*1000/HG91/HH91&lt;INDEX(Pflanzen!$W$5:$W$104,CZ91)/INDEX(Pflanzen!$I$5:$I$104,CZ91)/$HI$2),1,0)))</f>
        <v>0</v>
      </c>
      <c r="HJ91" s="1866" cm="1">
        <f t="array" ref="HJ91">IF(AND(GM91=0,HG91=0),0,IF(HG91=0,1,IF(OR(GM91*1000/HG91/HH91&gt;INDEX(Pflanzen!$X$5:$X$104,CZ91)/INDEX(Pflanzen!$I$5:$I$104,CZ91)*$HI$2,GM91*1000/HG91/HH91&lt;INDEX(Pflanzen!$X$5:$X$104,CZ91)/INDEX(Pflanzen!$I$5:$I$104,CZ91)/$HI$2),1,0)))</f>
        <v>0</v>
      </c>
      <c r="HK91" s="1184">
        <f t="shared" si="239"/>
        <v>3</v>
      </c>
      <c r="HL91" s="1184"/>
      <c r="HN91" s="1184"/>
      <c r="HO91" s="1184"/>
      <c r="HP91" s="1184"/>
      <c r="HQ91" s="1184"/>
      <c r="HR91" s="1184"/>
      <c r="HS91" s="1184"/>
      <c r="HT91" s="1184"/>
      <c r="HU91" s="1184"/>
      <c r="HV91" s="1184"/>
      <c r="HW91" s="1184"/>
      <c r="HX91" s="1184"/>
      <c r="HY91" s="1184"/>
      <c r="HZ91" s="1184"/>
      <c r="IA91" s="1184"/>
      <c r="IB91" s="1184"/>
      <c r="IC91" s="1184"/>
      <c r="ID91" s="1184"/>
      <c r="IE91" s="1184"/>
      <c r="IF91" s="1184"/>
      <c r="IG91" s="1184"/>
      <c r="IH91" s="1184"/>
      <c r="II91" s="1184"/>
      <c r="IJ91" s="1184"/>
      <c r="IK91" s="1184"/>
      <c r="IL91" s="1184"/>
    </row>
    <row r="92" spans="1:246" ht="13.5" customHeight="1" x14ac:dyDescent="0.2">
      <c r="A92" s="1167" t="s">
        <v>8336</v>
      </c>
      <c r="B92" s="1168"/>
      <c r="C92" s="1168"/>
      <c r="D92" s="1168"/>
      <c r="E92" s="1168"/>
      <c r="F92" s="1168"/>
      <c r="G92" s="1168"/>
      <c r="H92" s="1168"/>
      <c r="I92" s="1168"/>
      <c r="J92" s="1168"/>
      <c r="K92" s="1168"/>
      <c r="L92" s="1921">
        <f>SUMIF($CF$14:$CF$36,"Nfru",L14:L36)+SUMIF(CF44:$CF$68,"Nfru",L44:L68)</f>
        <v>0</v>
      </c>
      <c r="M92" s="242"/>
      <c r="N92" s="138" t="str">
        <f>IF(L92&gt;L91,"Zwischen- und Zweitfrüchte nicht plausibel","")</f>
        <v/>
      </c>
      <c r="O92" s="242"/>
      <c r="P92" s="242"/>
      <c r="Q92" s="242"/>
      <c r="R92" s="242"/>
      <c r="S92" s="242"/>
      <c r="T92" s="242"/>
      <c r="U92" s="242"/>
      <c r="V92" s="242"/>
      <c r="Y92" s="1981"/>
      <c r="Z92" s="1982"/>
      <c r="AA92" s="1982"/>
      <c r="AB92" s="1982"/>
      <c r="AC92" s="1983"/>
      <c r="AD92" s="1983"/>
      <c r="AE92" s="1983"/>
      <c r="AF92" s="1983"/>
      <c r="AG92" s="1983"/>
      <c r="AH92" s="1983"/>
      <c r="AI92" s="1983"/>
      <c r="AJ92" s="1983"/>
      <c r="AK92" s="1983"/>
      <c r="AL92" s="1984"/>
      <c r="AM92" s="1983"/>
      <c r="AN92" s="1983"/>
      <c r="AO92" s="1983"/>
      <c r="AP92" s="1983"/>
      <c r="AQ92" s="1983"/>
      <c r="AR92" s="1983"/>
      <c r="AS92" s="1983"/>
      <c r="AT92" s="1983"/>
      <c r="AU92" s="1983"/>
      <c r="AV92" s="1983"/>
      <c r="AW92" s="1985"/>
      <c r="AX92" s="1985"/>
      <c r="AY92" s="1985"/>
      <c r="AZ92" s="1985"/>
      <c r="BA92" s="1462"/>
      <c r="BB92" s="1462"/>
      <c r="BC92" s="1462"/>
      <c r="BD92" s="1461"/>
      <c r="BE92" s="1462"/>
      <c r="BF92" s="1343"/>
      <c r="BG92" s="1343"/>
      <c r="BH92" s="1343"/>
      <c r="BI92" s="1343"/>
      <c r="BJ92" s="1343"/>
      <c r="BK92" s="1343"/>
      <c r="BL92" s="1343"/>
      <c r="BM92" s="1343"/>
      <c r="BN92" s="1343"/>
      <c r="BO92" s="1343"/>
      <c r="BQ92" s="1184"/>
      <c r="BR92" s="1184"/>
      <c r="BS92" s="1184"/>
      <c r="BT92" s="1184"/>
      <c r="BU92" s="1185"/>
      <c r="BV92" s="1185"/>
      <c r="BW92" s="1184"/>
      <c r="BX92" s="1184"/>
      <c r="BY92" s="1184"/>
      <c r="BZ92" s="1184"/>
      <c r="CA92" s="1184"/>
      <c r="CB92" s="1184"/>
      <c r="CC92" s="1184"/>
      <c r="CD92" s="1184"/>
      <c r="CE92" s="1184"/>
      <c r="CF92" s="1184"/>
      <c r="CG92" s="1184"/>
      <c r="CH92" s="1184"/>
      <c r="CI92" s="1184"/>
      <c r="CJ92" s="1184"/>
      <c r="CK92" s="1184"/>
      <c r="CL92" s="1184"/>
      <c r="CM92" s="1184"/>
      <c r="CN92" s="1184"/>
      <c r="CO92" s="1184"/>
      <c r="CP92" s="1184"/>
      <c r="CQ92" s="1184"/>
      <c r="CR92" s="1184"/>
      <c r="CS92" s="1184"/>
      <c r="CT92" s="1184"/>
      <c r="CU92" s="1184"/>
      <c r="CV92" s="1184"/>
      <c r="CW92" s="1184"/>
      <c r="CX92" s="1184"/>
      <c r="CY92" s="320" t="str">
        <f>Pflanzen!A88</f>
        <v>Rinderjauche</v>
      </c>
      <c r="CZ92" s="1200">
        <f>IFERROR(MATCH($CY92,Pflanzen!$C$5:$C$114,0),1)</f>
        <v>80</v>
      </c>
      <c r="DA92" s="320" cm="1">
        <f t="array" ref="DA92">INDEX(Pflanzen!$H$5:$H$114,'Lagerhaltung (freiwillig)'!CZ92)</f>
        <v>0</v>
      </c>
      <c r="DB92" s="1200">
        <f t="shared" si="240"/>
        <v>0</v>
      </c>
      <c r="DC92" s="1200">
        <f t="shared" si="240"/>
        <v>0</v>
      </c>
      <c r="DD92" s="1200">
        <f t="shared" si="240"/>
        <v>0</v>
      </c>
      <c r="DE92" s="1200">
        <f t="shared" si="240"/>
        <v>0</v>
      </c>
      <c r="DF92" s="1200">
        <f t="shared" si="240"/>
        <v>0</v>
      </c>
      <c r="DG92" s="1184">
        <f t="shared" si="240"/>
        <v>0</v>
      </c>
      <c r="DH92" s="1184">
        <f t="shared" si="240"/>
        <v>0</v>
      </c>
      <c r="DI92" s="1184">
        <f t="shared" si="240"/>
        <v>0</v>
      </c>
      <c r="DJ92" s="1184">
        <f t="shared" si="240"/>
        <v>0</v>
      </c>
      <c r="DK92" s="1184">
        <f t="shared" si="240"/>
        <v>0</v>
      </c>
      <c r="DL92" s="1184">
        <f t="shared" si="240"/>
        <v>0</v>
      </c>
      <c r="DM92" s="1184">
        <f t="shared" si="240"/>
        <v>0</v>
      </c>
      <c r="DN92" s="1184"/>
      <c r="DO92" s="1184">
        <f t="shared" si="241"/>
        <v>0</v>
      </c>
      <c r="DP92" s="1184">
        <f t="shared" si="241"/>
        <v>0</v>
      </c>
      <c r="DQ92" s="1184">
        <f t="shared" si="241"/>
        <v>0</v>
      </c>
      <c r="DR92" s="1184">
        <f t="shared" si="241"/>
        <v>0</v>
      </c>
      <c r="DS92" s="1184">
        <f t="shared" si="241"/>
        <v>0</v>
      </c>
      <c r="DT92" s="1184">
        <f t="shared" si="241"/>
        <v>0</v>
      </c>
      <c r="DU92" s="1184">
        <f t="shared" si="241"/>
        <v>0</v>
      </c>
      <c r="DV92" s="1184">
        <f t="shared" si="241"/>
        <v>0</v>
      </c>
      <c r="DW92" s="1184">
        <f t="shared" si="241"/>
        <v>0</v>
      </c>
      <c r="DX92" s="1184">
        <f t="shared" si="241"/>
        <v>0</v>
      </c>
      <c r="DY92" s="1184">
        <f t="shared" si="241"/>
        <v>0</v>
      </c>
      <c r="DZ92" s="1184">
        <f t="shared" si="241"/>
        <v>0</v>
      </c>
      <c r="EA92" s="1184"/>
      <c r="EB92" s="1184">
        <f t="shared" si="242"/>
        <v>0</v>
      </c>
      <c r="EC92" s="1184">
        <f t="shared" si="242"/>
        <v>0</v>
      </c>
      <c r="ED92" s="1184">
        <f t="shared" si="242"/>
        <v>0</v>
      </c>
      <c r="EE92" s="1184">
        <f t="shared" si="242"/>
        <v>0</v>
      </c>
      <c r="EF92" s="1184">
        <f t="shared" si="242"/>
        <v>0</v>
      </c>
      <c r="EG92" s="1184">
        <f t="shared" si="242"/>
        <v>0</v>
      </c>
      <c r="EH92" s="1184">
        <f t="shared" si="242"/>
        <v>0</v>
      </c>
      <c r="EI92" s="1184">
        <f t="shared" si="242"/>
        <v>0</v>
      </c>
      <c r="EJ92" s="1184">
        <f t="shared" si="242"/>
        <v>0</v>
      </c>
      <c r="EK92" s="1184">
        <f t="shared" si="242"/>
        <v>0</v>
      </c>
      <c r="EL92" s="1184">
        <f t="shared" si="242"/>
        <v>0</v>
      </c>
      <c r="EM92" s="1184">
        <f t="shared" si="242"/>
        <v>0</v>
      </c>
      <c r="EN92" s="1184"/>
      <c r="EO92" s="1184">
        <f t="shared" si="243"/>
        <v>0</v>
      </c>
      <c r="EP92" s="1184">
        <f t="shared" si="243"/>
        <v>0</v>
      </c>
      <c r="EQ92" s="1184">
        <f t="shared" si="243"/>
        <v>0</v>
      </c>
      <c r="ER92" s="1184">
        <f t="shared" si="243"/>
        <v>0</v>
      </c>
      <c r="ES92" s="1184">
        <f t="shared" si="243"/>
        <v>0</v>
      </c>
      <c r="ET92" s="1184">
        <f t="shared" si="243"/>
        <v>0</v>
      </c>
      <c r="EU92" s="1184">
        <f t="shared" si="243"/>
        <v>0</v>
      </c>
      <c r="EV92" s="1184">
        <f t="shared" si="243"/>
        <v>0</v>
      </c>
      <c r="EW92" s="1184">
        <f t="shared" si="243"/>
        <v>0</v>
      </c>
      <c r="EX92" s="1184">
        <f t="shared" si="243"/>
        <v>0</v>
      </c>
      <c r="EY92" s="1184">
        <f t="shared" si="243"/>
        <v>0</v>
      </c>
      <c r="EZ92" s="1184">
        <f t="shared" si="243"/>
        <v>0</v>
      </c>
      <c r="FA92" s="1184"/>
      <c r="FB92" s="1186">
        <f t="shared" si="182"/>
        <v>0</v>
      </c>
      <c r="FC92" s="1184">
        <f>FB92+DB92+EB92                 -         SUMIF('Nährstoffe und Lagerraum'!$AX$113:$AX$155,$CZ92,'Nährstoffe und Lagerraum'!$U$113:$U$155)/12  -$GD92*$HE92/12</f>
        <v>0</v>
      </c>
      <c r="FD92" s="1184">
        <f>FC92+DC92+EC92                 -         SUMIF('Nährstoffe und Lagerraum'!$AX$113:$AX$155,$CZ92,'Nährstoffe und Lagerraum'!$U$113:$U$155)/12  -$GD92*$HE92/12</f>
        <v>0</v>
      </c>
      <c r="FE92" s="1184">
        <f>FD92+DD92+ED92                 -         SUMIF('Nährstoffe und Lagerraum'!$AX$113:$AX$155,$CZ92,'Nährstoffe und Lagerraum'!$U$113:$U$155)/12  -$GD92*$HE92/12</f>
        <v>0</v>
      </c>
      <c r="FF92" s="1184">
        <f>FE92+DE92+EE92                 -         SUMIF('Nährstoffe und Lagerraum'!$AX$113:$AX$155,$CZ92,'Nährstoffe und Lagerraum'!$U$113:$U$155)/12  -$GD92*$HE92/12</f>
        <v>0</v>
      </c>
      <c r="FG92" s="1184">
        <f>FF92+DF92+EF92                 -         SUMIF('Nährstoffe und Lagerraum'!$AX$113:$AX$155,$CZ92,'Nährstoffe und Lagerraum'!$U$113:$U$155)/12  -$GD92*$HE92/12</f>
        <v>0</v>
      </c>
      <c r="FH92" s="1184">
        <f>FG92+DG92+EG92                 -         SUMIF('Nährstoffe und Lagerraum'!$AX$113:$AX$155,$CZ92,'Nährstoffe und Lagerraum'!$U$113:$U$155)/12  -$GD92*$HE92/12</f>
        <v>0</v>
      </c>
      <c r="FI92" s="1184">
        <f>FH92+DH92+EH92                 -         SUMIF('Nährstoffe und Lagerraum'!$AX$113:$AX$155,$CZ92,'Nährstoffe und Lagerraum'!$U$113:$U$155)/12  -$GD92*$HE92/12</f>
        <v>0</v>
      </c>
      <c r="FJ92" s="1184">
        <f>FI92+DI92+EI92                 -         SUMIF('Nährstoffe und Lagerraum'!$AX$113:$AX$155,$CZ92,'Nährstoffe und Lagerraum'!$U$113:$U$155)/12  -$GD92*$HE92/12</f>
        <v>0</v>
      </c>
      <c r="FK92" s="1184">
        <f>FJ92+DJ92+EJ92                 -         SUMIF('Nährstoffe und Lagerraum'!$AX$113:$AX$155,$CZ92,'Nährstoffe und Lagerraum'!$U$113:$U$155)/12  -$GD92*$HE92/12</f>
        <v>0</v>
      </c>
      <c r="FL92" s="1184">
        <f>FK92+DK92+EK92                 -         SUMIF('Nährstoffe und Lagerraum'!$AX$113:$AX$155,$CZ92,'Nährstoffe und Lagerraum'!$U$113:$U$155)/12  -$GD92*$HE92/12</f>
        <v>0</v>
      </c>
      <c r="FM92" s="1184">
        <f>FL92+DL92+EL92                 -         SUMIF('Nährstoffe und Lagerraum'!$AX$113:$AX$155,$CZ92,'Nährstoffe und Lagerraum'!$U$113:$U$155)/12  -$GD92*$HE92/12</f>
        <v>0</v>
      </c>
      <c r="FN92" s="1184">
        <f>FM92+DM92+EM92                 -         SUMIF('Nährstoffe und Lagerraum'!$AX$113:$AX$155,$CZ92,'Nährstoffe und Lagerraum'!$U$113:$U$155)/12  -$GD92*$HE92/12</f>
        <v>0</v>
      </c>
      <c r="FO92" s="1184"/>
      <c r="FP92" s="1186">
        <f t="shared" si="183"/>
        <v>0</v>
      </c>
      <c r="FQ92" s="1184">
        <f>FP92+DO92+EO92                 -         SUMIF('Nährstoffe und Lagerraum'!$AX$113:$AX$155,$CZ92,'Nährstoffe und Lagerraum'!$V$113:$V$155)/12  -$GE92*$HE92/12</f>
        <v>0</v>
      </c>
      <c r="FR92" s="1184">
        <f>FQ92+DP92+EP92                 -         SUMIF('Nährstoffe und Lagerraum'!$AX$113:$AX$155,$CZ92,'Nährstoffe und Lagerraum'!$V$113:$V$155)/12  -$GE92*$HE92/12</f>
        <v>0</v>
      </c>
      <c r="FS92" s="1184">
        <f>FR92+DQ92+EQ92                 -         SUMIF('Nährstoffe und Lagerraum'!$AX$113:$AX$155,$CZ92,'Nährstoffe und Lagerraum'!$V$113:$V$155)/12  -$GE92*$HE92/12</f>
        <v>0</v>
      </c>
      <c r="FT92" s="1184">
        <f>FS92+DR92+ER92                 -         SUMIF('Nährstoffe und Lagerraum'!$AX$113:$AX$155,$CZ92,'Nährstoffe und Lagerraum'!$V$113:$V$155)/12  -$GE92*$HE92/12</f>
        <v>0</v>
      </c>
      <c r="FU92" s="1184">
        <f>FT92+DS92+ES92                 -         SUMIF('Nährstoffe und Lagerraum'!$AX$113:$AX$155,$CZ92,'Nährstoffe und Lagerraum'!$V$113:$V$155)/12  -$GE92*$HE92/12</f>
        <v>0</v>
      </c>
      <c r="FV92" s="1184">
        <f>FU92+DT92+ET92                 -         SUMIF('Nährstoffe und Lagerraum'!$AX$113:$AX$155,$CZ92,'Nährstoffe und Lagerraum'!$V$113:$V$155)/12  -$GE92*$HE92/12</f>
        <v>0</v>
      </c>
      <c r="FW92" s="1184">
        <f>FV92+DU92+EU92                 -         SUMIF('Nährstoffe und Lagerraum'!$AX$113:$AX$155,$CZ92,'Nährstoffe und Lagerraum'!$V$113:$V$155)/12  -$GE92*$HE92/12</f>
        <v>0</v>
      </c>
      <c r="FX92" s="1184">
        <f>FW92+DV92+EV92                 -         SUMIF('Nährstoffe und Lagerraum'!$AX$113:$AX$155,$CZ92,'Nährstoffe und Lagerraum'!$V$113:$V$155)/12  -$GE92*$HE92/12</f>
        <v>0</v>
      </c>
      <c r="FY92" s="1184">
        <f>FX92+DW92+EW92                 -         SUMIF('Nährstoffe und Lagerraum'!$AX$113:$AX$155,$CZ92,'Nährstoffe und Lagerraum'!$V$113:$V$155)/12  -$GE92*$HE92/12</f>
        <v>0</v>
      </c>
      <c r="FZ92" s="1184">
        <f>FY92+DX92+EX92                 -         SUMIF('Nährstoffe und Lagerraum'!$AX$113:$AX$155,$CZ92,'Nährstoffe und Lagerraum'!$V$113:$V$155)/12  -$GE92*$HE92/12</f>
        <v>0</v>
      </c>
      <c r="GA92" s="1184">
        <f>FZ92+DY92+EY92                 -         SUMIF('Nährstoffe und Lagerraum'!$AX$113:$AX$155,$CZ92,'Nährstoffe und Lagerraum'!$V$113:$V$155)/12  -$GE92*$HE92/12</f>
        <v>0</v>
      </c>
      <c r="GB92" s="1184">
        <f>GA92+DZ92+EZ92                 -         SUMIF('Nährstoffe und Lagerraum'!$AX$113:$AX$155,$CZ92,'Nährstoffe und Lagerraum'!$V$113:$V$155)/12  -$GE92*$HE92/12</f>
        <v>0</v>
      </c>
      <c r="GC92" s="1184"/>
      <c r="GD92" s="1184">
        <f>SUMIFS($CI$14:$CI$68,$BR$14:$BR$68,$CZ92)+SUMIFS($CM$14:$CM$68,$BR$14:$BR$68,$CZ92)+SUMIFS($CR$14:$CR$68,$BR$14:$BR$68,$CZ92)  -         SUMIF('Nährstoffe und Lagerraum'!$AX$113:$AX$155,$CZ92,'Nährstoffe und Lagerraum'!$U$113:$U$155)</f>
        <v>0</v>
      </c>
      <c r="GE92" s="1184">
        <f>SUMIFS($CJ$14:$CJ$68,$BR$14:$BR$68,$CZ92)+SUMIFS($CO$14:$CO$68,$BR$14:$BR$68,$CZ92)+SUMIFS($CT$14:$CT$68,$BR$14:$BR$68,$CZ92)  -         SUMIF('Nährstoffe und Lagerraum'!$AX$113:$AX$155,$CZ92,'Nährstoffe und Lagerraum'!$V$113:$V$155)</f>
        <v>0</v>
      </c>
      <c r="GF92" s="1184"/>
      <c r="GG92" s="1184"/>
      <c r="GH92" s="1184">
        <f>SUMIF('Nährstoffe und Lagerraum'!$AX$113:$AX$155,$CZ92,'Nährstoffe und Lagerraum'!$U$113:$U$155)</f>
        <v>0</v>
      </c>
      <c r="GI92" s="1184">
        <f>SUMIF('Nährstoffe und Lagerraum'!$AX$113:$AX$155,$CZ92,'Nährstoffe und Lagerraum'!$V$113:$V$155)</f>
        <v>0</v>
      </c>
      <c r="GJ92" s="1184">
        <f t="shared" si="221"/>
        <v>0</v>
      </c>
      <c r="GK92" s="1184">
        <f t="shared" si="222"/>
        <v>0</v>
      </c>
      <c r="GL92" s="1184">
        <f t="shared" si="223"/>
        <v>0</v>
      </c>
      <c r="GM92" s="1184">
        <f t="shared" si="224"/>
        <v>0</v>
      </c>
      <c r="GN92" s="1184">
        <f t="shared" si="225"/>
        <v>0</v>
      </c>
      <c r="GO92" s="1184" cm="1">
        <f t="array" ref="GO92">IF(GN92=0,0,(IFERROR(SUMPRODUCT($J$14:$J$68,$CH$14:$CH$68,($BR$14:$BR$68=CZ92)*1)+SUMPRODUCT($L$14:$L$68,$M$14:$M$68,$CK$14:$CK$68,($BR$14:$BR$68=CZ92)*1,($BT$14:$BT$68=FALSE)*1)/10+SUMPRODUCT($R$14:$R$68,$CP$14:$CP$68,($BR$14:$BR$68=CZ92)*1),0))/GN92)</f>
        <v>0</v>
      </c>
      <c r="GP92" s="1184">
        <f t="shared" si="226"/>
        <v>0</v>
      </c>
      <c r="GQ92" s="1184">
        <f>(SUMIF('Nährstoffe und Lagerraum'!$AX$113:$AX$130,'Lagerhaltung (freiwillig)'!CZ92,'Nährstoffe und Lagerraum'!$D$113:$D$130)+SUMIF('Nährstoffe und Lagerraum'!$AX$137:$AX$155,'Lagerhaltung (freiwillig)'!CZ92,'Nährstoffe und Lagerraum'!$E$137:$E$155))</f>
        <v>0</v>
      </c>
      <c r="GR92" s="1184" cm="1">
        <f t="array" ref="GR92">IF(GQ92=0,0,(IFERROR(SUMPRODUCT('Nährstoffe und Lagerraum'!$D$113:$D$130,'Nährstoffe und Lagerraum'!$F$113:$F$130,('Nährstoffe und Lagerraum'!$AX$113:$AX$130='Lagerhaltung (freiwillig)'!CZ92)*1)+SUMPRODUCT('Nährstoffe und Lagerraum'!$E$137:$E$155,'Nährstoffe und Lagerraum'!$F$137:$F$155,('Nährstoffe und Lagerraum'!$AX$137:$AX$155='Lagerhaltung (freiwillig)'!CZ92)*1),0))/GQ92)</f>
        <v>0</v>
      </c>
      <c r="GS92" s="1184">
        <f t="shared" si="227"/>
        <v>0</v>
      </c>
      <c r="GT92" s="1184">
        <f t="shared" si="228"/>
        <v>0</v>
      </c>
      <c r="GU92" s="1184">
        <f t="shared" si="229"/>
        <v>0</v>
      </c>
      <c r="GV92" s="1184">
        <f t="shared" si="230"/>
        <v>0</v>
      </c>
      <c r="GW92" s="1186" t="str">
        <f t="shared" si="177"/>
        <v xml:space="preserve"> </v>
      </c>
      <c r="GX92" s="1186" t="str">
        <f t="shared" si="177"/>
        <v xml:space="preserve"> </v>
      </c>
      <c r="GY92" s="1195">
        <f t="shared" si="231"/>
        <v>0</v>
      </c>
      <c r="GZ92" s="1184">
        <f t="shared" si="232"/>
        <v>0</v>
      </c>
      <c r="HA92" s="1184" t="str">
        <f t="shared" si="176"/>
        <v>a</v>
      </c>
      <c r="HB92" s="1196">
        <f t="shared" si="233"/>
        <v>0</v>
      </c>
      <c r="HC92" s="1196">
        <f t="shared" si="234"/>
        <v>0</v>
      </c>
      <c r="HD92" s="1196"/>
      <c r="HE92" s="1187">
        <f t="shared" si="235"/>
        <v>0</v>
      </c>
      <c r="HF92" s="1196">
        <f t="shared" si="236"/>
        <v>0</v>
      </c>
      <c r="HG92" s="1196">
        <f t="shared" si="237"/>
        <v>0</v>
      </c>
      <c r="HH92" s="1196">
        <f t="shared" si="238"/>
        <v>0</v>
      </c>
      <c r="HI92" s="1328" cm="1">
        <f t="array" ref="HI92">IF(AND(HG92=0,GL92=0),0,IF(HG92=0,1,IF(OR(GL92*1000/HG92/HH92&gt;INDEX(Pflanzen!$W$5:$W$104,CZ92)/INDEX(Pflanzen!$I$5:$I$104,CZ92)*$HI$2,GL92*1000/HG92/HH92&lt;INDEX(Pflanzen!$W$5:$W$104,CZ92)/INDEX(Pflanzen!$I$5:$I$104,CZ92)/$HI$2),1,0)))</f>
        <v>0</v>
      </c>
      <c r="HJ92" s="1866" cm="1">
        <f t="array" ref="HJ92">IF(AND(GM92=0,HG92=0),0,IF(HG92=0,1,IF(OR(GM92*1000/HG92/HH92&gt;INDEX(Pflanzen!$X$5:$X$104,CZ92)/INDEX(Pflanzen!$I$5:$I$104,CZ92)*$HI$2,GM92*1000/HG92/HH92&lt;INDEX(Pflanzen!$X$5:$X$104,CZ92)/INDEX(Pflanzen!$I$5:$I$104,CZ92)/$HI$2),1,0)))</f>
        <v>0</v>
      </c>
      <c r="HK92" s="1184">
        <f t="shared" si="239"/>
        <v>3</v>
      </c>
      <c r="HL92" s="1184"/>
      <c r="HN92" s="1184"/>
      <c r="HO92" s="1184"/>
      <c r="HP92" s="1184"/>
      <c r="HQ92" s="1184"/>
      <c r="HR92" s="1184"/>
      <c r="HS92" s="1184"/>
      <c r="HT92" s="1184"/>
      <c r="HU92" s="1184"/>
      <c r="HV92" s="1184"/>
      <c r="HW92" s="1184"/>
      <c r="HX92" s="1184"/>
      <c r="HY92" s="1184"/>
      <c r="HZ92" s="1184"/>
      <c r="IA92" s="1184"/>
      <c r="IB92" s="1184"/>
      <c r="IC92" s="1184"/>
      <c r="ID92" s="1184"/>
      <c r="IE92" s="1184"/>
      <c r="IF92" s="1184"/>
      <c r="IG92" s="1184"/>
      <c r="IH92" s="1184"/>
      <c r="II92" s="1184"/>
      <c r="IJ92" s="1184"/>
      <c r="IK92" s="1184"/>
      <c r="IL92" s="1184"/>
    </row>
    <row r="93" spans="1:246" ht="13.5" customHeight="1" thickBot="1" x14ac:dyDescent="0.25">
      <c r="A93" s="1351" t="s">
        <v>1039</v>
      </c>
      <c r="B93" s="1352"/>
      <c r="C93" s="1352"/>
      <c r="D93" s="1352"/>
      <c r="E93" s="1352"/>
      <c r="F93" s="1352"/>
      <c r="G93" s="1352"/>
      <c r="H93" s="1352"/>
      <c r="I93" s="1352"/>
      <c r="J93" s="1352"/>
      <c r="K93" s="1352"/>
      <c r="L93" s="1922">
        <f>SUMIF($CF$14:$CF$68,"GRL",L14:L68)</f>
        <v>0</v>
      </c>
      <c r="M93" s="242"/>
      <c r="N93" s="138" t="str">
        <f>IF(OR(L93&lt;N5-1,L93&gt;N5+1),"Grünlandfläche nicht plausibel","")</f>
        <v/>
      </c>
      <c r="O93" s="242"/>
      <c r="P93" s="242"/>
      <c r="Q93" s="242"/>
      <c r="R93" s="242"/>
      <c r="S93" s="242"/>
      <c r="T93" s="242"/>
      <c r="U93" s="242"/>
      <c r="V93" s="242"/>
      <c r="Y93" s="1981"/>
      <c r="Z93" s="1982"/>
      <c r="AA93" s="1982"/>
      <c r="AB93" s="1982"/>
      <c r="AC93" s="1983"/>
      <c r="AD93" s="1983"/>
      <c r="AE93" s="1983"/>
      <c r="AF93" s="1983"/>
      <c r="AG93" s="1983"/>
      <c r="AH93" s="1983"/>
      <c r="AI93" s="1983"/>
      <c r="AJ93" s="1983"/>
      <c r="AK93" s="1983"/>
      <c r="AL93" s="1984"/>
      <c r="AM93" s="1983"/>
      <c r="AN93" s="1983"/>
      <c r="AO93" s="1983"/>
      <c r="AP93" s="1983"/>
      <c r="AQ93" s="1983"/>
      <c r="AR93" s="1983"/>
      <c r="AS93" s="1983"/>
      <c r="AT93" s="1983"/>
      <c r="AU93" s="1983"/>
      <c r="AV93" s="1983"/>
      <c r="AW93" s="1985"/>
      <c r="AX93" s="1985"/>
      <c r="AY93" s="1985"/>
      <c r="AZ93" s="1985"/>
      <c r="BA93" s="1462"/>
      <c r="BB93" s="1462"/>
      <c r="BC93" s="1462"/>
      <c r="BD93" s="1461"/>
      <c r="BE93" s="1462"/>
      <c r="BF93" s="1343"/>
      <c r="BG93" s="1343"/>
      <c r="BH93" s="1343"/>
      <c r="BI93" s="1343"/>
      <c r="BJ93" s="1343"/>
      <c r="BK93" s="1343"/>
      <c r="BL93" s="1343"/>
      <c r="BM93" s="1343"/>
      <c r="BN93" s="1343"/>
      <c r="BO93" s="1343"/>
      <c r="BQ93" s="1184"/>
      <c r="BR93" s="1184"/>
      <c r="BS93" s="1184"/>
      <c r="BT93" s="1184"/>
      <c r="BU93" s="1185"/>
      <c r="BV93" s="1185"/>
      <c r="BW93" s="1184"/>
      <c r="BX93" s="1184"/>
      <c r="BY93" s="1184"/>
      <c r="BZ93" s="1184"/>
      <c r="CA93" s="1184"/>
      <c r="CB93" s="1184"/>
      <c r="CC93" s="1184"/>
      <c r="CD93" s="1184"/>
      <c r="CE93" s="1184"/>
      <c r="CF93" s="1184"/>
      <c r="CG93" s="1184"/>
      <c r="CH93" s="1184"/>
      <c r="CI93" s="1184"/>
      <c r="CJ93" s="1184"/>
      <c r="CK93" s="1184"/>
      <c r="CL93" s="1184"/>
      <c r="CM93" s="1184"/>
      <c r="CN93" s="1184"/>
      <c r="CO93" s="1184"/>
      <c r="CP93" s="1184"/>
      <c r="CQ93" s="1184"/>
      <c r="CR93" s="1184"/>
      <c r="CS93" s="1184"/>
      <c r="CT93" s="1184"/>
      <c r="CU93" s="1184"/>
      <c r="CV93" s="1184"/>
      <c r="CW93" s="1184"/>
      <c r="CX93" s="1184"/>
      <c r="CY93" s="320" t="str">
        <f>Pflanzen!A89</f>
        <v>Sonstige Wirtschaftsdünger - Rind</v>
      </c>
      <c r="CZ93" s="1200">
        <f>IFERROR(MATCH($CY93,Pflanzen!$C$5:$C$114,0),1)</f>
        <v>107</v>
      </c>
      <c r="DA93" s="320" cm="1">
        <f t="array" ref="DA93">INDEX(Pflanzen!$H$5:$H$114,'Lagerhaltung (freiwillig)'!CZ93)</f>
        <v>0</v>
      </c>
      <c r="DB93" s="1200">
        <f t="shared" si="240"/>
        <v>0</v>
      </c>
      <c r="DC93" s="1200">
        <f t="shared" si="240"/>
        <v>0</v>
      </c>
      <c r="DD93" s="1200">
        <f t="shared" si="240"/>
        <v>0</v>
      </c>
      <c r="DE93" s="1200">
        <f t="shared" si="240"/>
        <v>0</v>
      </c>
      <c r="DF93" s="1200">
        <f t="shared" si="240"/>
        <v>0</v>
      </c>
      <c r="DG93" s="1184">
        <f t="shared" si="240"/>
        <v>0</v>
      </c>
      <c r="DH93" s="1184">
        <f t="shared" si="240"/>
        <v>0</v>
      </c>
      <c r="DI93" s="1184">
        <f t="shared" si="240"/>
        <v>0</v>
      </c>
      <c r="DJ93" s="1184">
        <f t="shared" si="240"/>
        <v>0</v>
      </c>
      <c r="DK93" s="1184">
        <f t="shared" si="240"/>
        <v>0</v>
      </c>
      <c r="DL93" s="1184">
        <f t="shared" si="240"/>
        <v>0</v>
      </c>
      <c r="DM93" s="1184">
        <f t="shared" si="240"/>
        <v>0</v>
      </c>
      <c r="DN93" s="1184"/>
      <c r="DO93" s="1184">
        <f t="shared" si="241"/>
        <v>0</v>
      </c>
      <c r="DP93" s="1184">
        <f t="shared" si="241"/>
        <v>0</v>
      </c>
      <c r="DQ93" s="1184">
        <f t="shared" si="241"/>
        <v>0</v>
      </c>
      <c r="DR93" s="1184">
        <f t="shared" si="241"/>
        <v>0</v>
      </c>
      <c r="DS93" s="1184">
        <f t="shared" si="241"/>
        <v>0</v>
      </c>
      <c r="DT93" s="1184">
        <f t="shared" si="241"/>
        <v>0</v>
      </c>
      <c r="DU93" s="1184">
        <f t="shared" si="241"/>
        <v>0</v>
      </c>
      <c r="DV93" s="1184">
        <f t="shared" si="241"/>
        <v>0</v>
      </c>
      <c r="DW93" s="1184">
        <f t="shared" si="241"/>
        <v>0</v>
      </c>
      <c r="DX93" s="1184">
        <f t="shared" si="241"/>
        <v>0</v>
      </c>
      <c r="DY93" s="1184">
        <f t="shared" si="241"/>
        <v>0</v>
      </c>
      <c r="DZ93" s="1184">
        <f t="shared" si="241"/>
        <v>0</v>
      </c>
      <c r="EA93" s="1184"/>
      <c r="EB93" s="1184">
        <f t="shared" si="242"/>
        <v>0</v>
      </c>
      <c r="EC93" s="1184">
        <f t="shared" si="242"/>
        <v>0</v>
      </c>
      <c r="ED93" s="1184">
        <f t="shared" si="242"/>
        <v>0</v>
      </c>
      <c r="EE93" s="1184">
        <f t="shared" si="242"/>
        <v>0</v>
      </c>
      <c r="EF93" s="1184">
        <f t="shared" si="242"/>
        <v>0</v>
      </c>
      <c r="EG93" s="1184">
        <f t="shared" si="242"/>
        <v>0</v>
      </c>
      <c r="EH93" s="1184">
        <f t="shared" si="242"/>
        <v>0</v>
      </c>
      <c r="EI93" s="1184">
        <f t="shared" si="242"/>
        <v>0</v>
      </c>
      <c r="EJ93" s="1184">
        <f t="shared" si="242"/>
        <v>0</v>
      </c>
      <c r="EK93" s="1184">
        <f t="shared" si="242"/>
        <v>0</v>
      </c>
      <c r="EL93" s="1184">
        <f t="shared" si="242"/>
        <v>0</v>
      </c>
      <c r="EM93" s="1184">
        <f t="shared" si="242"/>
        <v>0</v>
      </c>
      <c r="EN93" s="1184"/>
      <c r="EO93" s="1184">
        <f t="shared" si="243"/>
        <v>0</v>
      </c>
      <c r="EP93" s="1184">
        <f t="shared" si="243"/>
        <v>0</v>
      </c>
      <c r="EQ93" s="1184">
        <f t="shared" si="243"/>
        <v>0</v>
      </c>
      <c r="ER93" s="1184">
        <f t="shared" si="243"/>
        <v>0</v>
      </c>
      <c r="ES93" s="1184">
        <f t="shared" si="243"/>
        <v>0</v>
      </c>
      <c r="ET93" s="1184">
        <f t="shared" si="243"/>
        <v>0</v>
      </c>
      <c r="EU93" s="1184">
        <f t="shared" si="243"/>
        <v>0</v>
      </c>
      <c r="EV93" s="1184">
        <f t="shared" si="243"/>
        <v>0</v>
      </c>
      <c r="EW93" s="1184">
        <f t="shared" si="243"/>
        <v>0</v>
      </c>
      <c r="EX93" s="1184">
        <f t="shared" si="243"/>
        <v>0</v>
      </c>
      <c r="EY93" s="1184">
        <f t="shared" si="243"/>
        <v>0</v>
      </c>
      <c r="EZ93" s="1184">
        <f t="shared" si="243"/>
        <v>0</v>
      </c>
      <c r="FA93" s="1184"/>
      <c r="FB93" s="1186">
        <f t="shared" si="182"/>
        <v>0</v>
      </c>
      <c r="FC93" s="1184">
        <f>FB93+DB93+EB93                 -         SUMIF('Nährstoffe und Lagerraum'!$AX$113:$AX$155,$CZ93,'Nährstoffe und Lagerraum'!$U$113:$U$155)/12  -$GD93*$HE93/12</f>
        <v>0</v>
      </c>
      <c r="FD93" s="1184">
        <f>FC93+DC93+EC93                 -         SUMIF('Nährstoffe und Lagerraum'!$AX$113:$AX$155,$CZ93,'Nährstoffe und Lagerraum'!$U$113:$U$155)/12  -$GD93*$HE93/12</f>
        <v>0</v>
      </c>
      <c r="FE93" s="1184">
        <f>FD93+DD93+ED93                 -         SUMIF('Nährstoffe und Lagerraum'!$AX$113:$AX$155,$CZ93,'Nährstoffe und Lagerraum'!$U$113:$U$155)/12  -$GD93*$HE93/12</f>
        <v>0</v>
      </c>
      <c r="FF93" s="1184">
        <f>FE93+DE93+EE93                 -         SUMIF('Nährstoffe und Lagerraum'!$AX$113:$AX$155,$CZ93,'Nährstoffe und Lagerraum'!$U$113:$U$155)/12  -$GD93*$HE93/12</f>
        <v>0</v>
      </c>
      <c r="FG93" s="1184">
        <f>FF93+DF93+EF93                 -         SUMIF('Nährstoffe und Lagerraum'!$AX$113:$AX$155,$CZ93,'Nährstoffe und Lagerraum'!$U$113:$U$155)/12  -$GD93*$HE93/12</f>
        <v>0</v>
      </c>
      <c r="FH93" s="1184">
        <f>FG93+DG93+EG93                 -         SUMIF('Nährstoffe und Lagerraum'!$AX$113:$AX$155,$CZ93,'Nährstoffe und Lagerraum'!$U$113:$U$155)/12  -$GD93*$HE93/12</f>
        <v>0</v>
      </c>
      <c r="FI93" s="1184">
        <f>FH93+DH93+EH93                 -         SUMIF('Nährstoffe und Lagerraum'!$AX$113:$AX$155,$CZ93,'Nährstoffe und Lagerraum'!$U$113:$U$155)/12  -$GD93*$HE93/12</f>
        <v>0</v>
      </c>
      <c r="FJ93" s="1184">
        <f>FI93+DI93+EI93                 -         SUMIF('Nährstoffe und Lagerraum'!$AX$113:$AX$155,$CZ93,'Nährstoffe und Lagerraum'!$U$113:$U$155)/12  -$GD93*$HE93/12</f>
        <v>0</v>
      </c>
      <c r="FK93" s="1184">
        <f>FJ93+DJ93+EJ93                 -         SUMIF('Nährstoffe und Lagerraum'!$AX$113:$AX$155,$CZ93,'Nährstoffe und Lagerraum'!$U$113:$U$155)/12  -$GD93*$HE93/12</f>
        <v>0</v>
      </c>
      <c r="FL93" s="1184">
        <f>FK93+DK93+EK93                 -         SUMIF('Nährstoffe und Lagerraum'!$AX$113:$AX$155,$CZ93,'Nährstoffe und Lagerraum'!$U$113:$U$155)/12  -$GD93*$HE93/12</f>
        <v>0</v>
      </c>
      <c r="FM93" s="1184">
        <f>FL93+DL93+EL93                 -         SUMIF('Nährstoffe und Lagerraum'!$AX$113:$AX$155,$CZ93,'Nährstoffe und Lagerraum'!$U$113:$U$155)/12  -$GD93*$HE93/12</f>
        <v>0</v>
      </c>
      <c r="FN93" s="1184">
        <f>FM93+DM93+EM93                 -         SUMIF('Nährstoffe und Lagerraum'!$AX$113:$AX$155,$CZ93,'Nährstoffe und Lagerraum'!$U$113:$U$155)/12  -$GD93*$HE93/12</f>
        <v>0</v>
      </c>
      <c r="FO93" s="1184"/>
      <c r="FP93" s="1186">
        <f t="shared" si="183"/>
        <v>0</v>
      </c>
      <c r="FQ93" s="1184">
        <f>FP93+DO93+EO93                 -         SUMIF('Nährstoffe und Lagerraum'!$AX$113:$AX$155,$CZ93,'Nährstoffe und Lagerraum'!$V$113:$V$155)/12  -$GE93*$HE93/12</f>
        <v>0</v>
      </c>
      <c r="FR93" s="1184">
        <f>FQ93+DP93+EP93                 -         SUMIF('Nährstoffe und Lagerraum'!$AX$113:$AX$155,$CZ93,'Nährstoffe und Lagerraum'!$V$113:$V$155)/12  -$GE93*$HE93/12</f>
        <v>0</v>
      </c>
      <c r="FS93" s="1184">
        <f>FR93+DQ93+EQ93                 -         SUMIF('Nährstoffe und Lagerraum'!$AX$113:$AX$155,$CZ93,'Nährstoffe und Lagerraum'!$V$113:$V$155)/12  -$GE93*$HE93/12</f>
        <v>0</v>
      </c>
      <c r="FT93" s="1184">
        <f>FS93+DR93+ER93                 -         SUMIF('Nährstoffe und Lagerraum'!$AX$113:$AX$155,$CZ93,'Nährstoffe und Lagerraum'!$V$113:$V$155)/12  -$GE93*$HE93/12</f>
        <v>0</v>
      </c>
      <c r="FU93" s="1184">
        <f>FT93+DS93+ES93                 -         SUMIF('Nährstoffe und Lagerraum'!$AX$113:$AX$155,$CZ93,'Nährstoffe und Lagerraum'!$V$113:$V$155)/12  -$GE93*$HE93/12</f>
        <v>0</v>
      </c>
      <c r="FV93" s="1184">
        <f>FU93+DT93+ET93                 -         SUMIF('Nährstoffe und Lagerraum'!$AX$113:$AX$155,$CZ93,'Nährstoffe und Lagerraum'!$V$113:$V$155)/12  -$GE93*$HE93/12</f>
        <v>0</v>
      </c>
      <c r="FW93" s="1184">
        <f>FV93+DU93+EU93                 -         SUMIF('Nährstoffe und Lagerraum'!$AX$113:$AX$155,$CZ93,'Nährstoffe und Lagerraum'!$V$113:$V$155)/12  -$GE93*$HE93/12</f>
        <v>0</v>
      </c>
      <c r="FX93" s="1184">
        <f>FW93+DV93+EV93                 -         SUMIF('Nährstoffe und Lagerraum'!$AX$113:$AX$155,$CZ93,'Nährstoffe und Lagerraum'!$V$113:$V$155)/12  -$GE93*$HE93/12</f>
        <v>0</v>
      </c>
      <c r="FY93" s="1184">
        <f>FX93+DW93+EW93                 -         SUMIF('Nährstoffe und Lagerraum'!$AX$113:$AX$155,$CZ93,'Nährstoffe und Lagerraum'!$V$113:$V$155)/12  -$GE93*$HE93/12</f>
        <v>0</v>
      </c>
      <c r="FZ93" s="1184">
        <f>FY93+DX93+EX93                 -         SUMIF('Nährstoffe und Lagerraum'!$AX$113:$AX$155,$CZ93,'Nährstoffe und Lagerraum'!$V$113:$V$155)/12  -$GE93*$HE93/12</f>
        <v>0</v>
      </c>
      <c r="GA93" s="1184">
        <f>FZ93+DY93+EY93                 -         SUMIF('Nährstoffe und Lagerraum'!$AX$113:$AX$155,$CZ93,'Nährstoffe und Lagerraum'!$V$113:$V$155)/12  -$GE93*$HE93/12</f>
        <v>0</v>
      </c>
      <c r="GB93" s="1184">
        <f>GA93+DZ93+EZ93                 -         SUMIF('Nährstoffe und Lagerraum'!$AX$113:$AX$155,$CZ93,'Nährstoffe und Lagerraum'!$V$113:$V$155)/12  -$GE93*$HE93/12</f>
        <v>0</v>
      </c>
      <c r="GC93" s="1184"/>
      <c r="GD93" s="1184">
        <f>SUMIFS($CI$14:$CI$68,$BR$14:$BR$68,$CZ93)+SUMIFS($CM$14:$CM$68,$BR$14:$BR$68,$CZ93)+SUMIFS($CR$14:$CR$68,$BR$14:$BR$68,$CZ93)  -         SUMIF('Nährstoffe und Lagerraum'!$AX$113:$AX$155,$CZ93,'Nährstoffe und Lagerraum'!$U$113:$U$155)</f>
        <v>0</v>
      </c>
      <c r="GE93" s="1184">
        <f>SUMIFS($CJ$14:$CJ$68,$BR$14:$BR$68,$CZ93)+SUMIFS($CO$14:$CO$68,$BR$14:$BR$68,$CZ93)+SUMIFS($CT$14:$CT$68,$BR$14:$BR$68,$CZ93)  -         SUMIF('Nährstoffe und Lagerraum'!$AX$113:$AX$155,$CZ93,'Nährstoffe und Lagerraum'!$V$113:$V$155)</f>
        <v>0</v>
      </c>
      <c r="GF93" s="1184"/>
      <c r="GG93" s="1184"/>
      <c r="GH93" s="1184">
        <f>SUMIF('Nährstoffe und Lagerraum'!$AX$113:$AX$155,$CZ93,'Nährstoffe und Lagerraum'!$U$113:$U$155)</f>
        <v>0</v>
      </c>
      <c r="GI93" s="1184">
        <f>SUMIF('Nährstoffe und Lagerraum'!$AX$113:$AX$155,$CZ93,'Nährstoffe und Lagerraum'!$V$113:$V$155)</f>
        <v>0</v>
      </c>
      <c r="GJ93" s="1184">
        <f t="shared" si="221"/>
        <v>0</v>
      </c>
      <c r="GK93" s="1184">
        <f t="shared" si="222"/>
        <v>0</v>
      </c>
      <c r="GL93" s="1184">
        <f t="shared" si="223"/>
        <v>0</v>
      </c>
      <c r="GM93" s="1184">
        <f t="shared" si="224"/>
        <v>0</v>
      </c>
      <c r="GN93" s="1184">
        <f t="shared" si="225"/>
        <v>0</v>
      </c>
      <c r="GO93" s="1184" cm="1">
        <f t="array" ref="GO93">IF(GN93=0,0,(IFERROR(SUMPRODUCT($J$14:$J$68,$CH$14:$CH$68,($BR$14:$BR$68=CZ93)*1)+SUMPRODUCT($L$14:$L$68,$M$14:$M$68,$CK$14:$CK$68,($BR$14:$BR$68=CZ93)*1,($BT$14:$BT$68=FALSE)*1)/10+SUMPRODUCT($R$14:$R$68,$CP$14:$CP$68,($BR$14:$BR$68=CZ93)*1),0))/GN93)</f>
        <v>0</v>
      </c>
      <c r="GP93" s="1184">
        <f t="shared" si="226"/>
        <v>0</v>
      </c>
      <c r="GQ93" s="1184">
        <f>(SUMIF('Nährstoffe und Lagerraum'!$AX$113:$AX$130,'Lagerhaltung (freiwillig)'!CZ93,'Nährstoffe und Lagerraum'!$D$113:$D$130)+SUMIF('Nährstoffe und Lagerraum'!$AX$137:$AX$155,'Lagerhaltung (freiwillig)'!CZ93,'Nährstoffe und Lagerraum'!$E$137:$E$155))</f>
        <v>0</v>
      </c>
      <c r="GR93" s="1184" cm="1">
        <f t="array" ref="GR93">IF(GQ93=0,0,(IFERROR(SUMPRODUCT('Nährstoffe und Lagerraum'!$D$113:$D$130,'Nährstoffe und Lagerraum'!$F$113:$F$130,('Nährstoffe und Lagerraum'!$AX$113:$AX$130='Lagerhaltung (freiwillig)'!CZ93)*1)+SUMPRODUCT('Nährstoffe und Lagerraum'!$E$137:$E$155,'Nährstoffe und Lagerraum'!$F$137:$F$155,('Nährstoffe und Lagerraum'!$AX$137:$AX$155='Lagerhaltung (freiwillig)'!CZ93)*1),0))/GQ93)</f>
        <v>0</v>
      </c>
      <c r="GS93" s="1184">
        <f t="shared" si="227"/>
        <v>0</v>
      </c>
      <c r="GT93" s="1184">
        <f t="shared" si="228"/>
        <v>0</v>
      </c>
      <c r="GU93" s="1184">
        <f t="shared" si="229"/>
        <v>0</v>
      </c>
      <c r="GV93" s="1184">
        <f t="shared" si="230"/>
        <v>0</v>
      </c>
      <c r="GW93" s="1186" t="str">
        <f t="shared" si="177"/>
        <v xml:space="preserve"> </v>
      </c>
      <c r="GX93" s="1186" t="str">
        <f t="shared" si="177"/>
        <v xml:space="preserve"> </v>
      </c>
      <c r="GY93" s="1195">
        <f t="shared" si="231"/>
        <v>0</v>
      </c>
      <c r="GZ93" s="1184">
        <f t="shared" si="232"/>
        <v>0</v>
      </c>
      <c r="HA93" s="1184" t="str">
        <f t="shared" si="176"/>
        <v>a</v>
      </c>
      <c r="HB93" s="1196">
        <f t="shared" si="233"/>
        <v>0</v>
      </c>
      <c r="HC93" s="1196">
        <f t="shared" si="234"/>
        <v>0</v>
      </c>
      <c r="HD93" s="1196"/>
      <c r="HE93" s="1187">
        <f t="shared" si="235"/>
        <v>0</v>
      </c>
      <c r="HF93" s="1196">
        <f t="shared" si="236"/>
        <v>0</v>
      </c>
      <c r="HG93" s="1196">
        <f t="shared" si="237"/>
        <v>0</v>
      </c>
      <c r="HH93" s="1196">
        <f t="shared" si="238"/>
        <v>0</v>
      </c>
      <c r="HI93" s="1328" cm="1">
        <f t="array" ref="HI93">IF(AND(HG93=0,GL93=0),0,IF(HG93=0,1,IF(OR(GL93*1000/HG93/HH93&gt;INDEX(Pflanzen!$W$5:$W$104,CZ93)/INDEX(Pflanzen!$I$5:$I$104,CZ93)*$HI$2,GL93*1000/HG93/HH93&lt;INDEX(Pflanzen!$W$5:$W$104,CZ93)/INDEX(Pflanzen!$I$5:$I$104,CZ93)/$HI$2),1,0)))</f>
        <v>0</v>
      </c>
      <c r="HJ93" s="1328" cm="1">
        <f t="array" ref="HJ93">IF(AND(GM93=0,HG93=0),0,IF(HG93=0,1,IF(OR(GM93*1000/HG93/HH93&gt;INDEX(Pflanzen!$X$5:$X$104,CZ93)/INDEX(Pflanzen!$I$5:$I$104,CZ93)*$HI$2,GM93*1000/HG93/HH93&lt;INDEX(Pflanzen!$X$5:$X$104,CZ93)/INDEX(Pflanzen!$I$5:$I$104,CZ93)/$HI$2),1,0)))</f>
        <v>0</v>
      </c>
      <c r="HK93" s="1184">
        <f t="shared" si="239"/>
        <v>3</v>
      </c>
      <c r="HL93" s="1184"/>
      <c r="HN93" s="1184"/>
      <c r="HO93" s="1184"/>
      <c r="HP93" s="1184"/>
      <c r="HQ93" s="1184"/>
      <c r="HR93" s="1184"/>
      <c r="HS93" s="1184"/>
      <c r="HT93" s="1184"/>
      <c r="HU93" s="1184"/>
      <c r="HV93" s="1184"/>
      <c r="HW93" s="1184"/>
      <c r="HX93" s="1184"/>
      <c r="HY93" s="1184"/>
      <c r="HZ93" s="1184"/>
      <c r="IA93" s="1184"/>
      <c r="IB93" s="1184"/>
      <c r="IC93" s="1184"/>
      <c r="ID93" s="1184"/>
      <c r="IE93" s="1184"/>
      <c r="IF93" s="1184"/>
      <c r="IG93" s="1184"/>
      <c r="IH93" s="1184"/>
      <c r="II93" s="1184"/>
      <c r="IJ93" s="1184"/>
      <c r="IK93" s="1184"/>
      <c r="IL93" s="1184"/>
    </row>
    <row r="94" spans="1:246" ht="5.25" customHeight="1" thickBot="1" x14ac:dyDescent="0.25">
      <c r="U94" s="242"/>
      <c r="V94" s="242"/>
      <c r="Y94" s="1981"/>
      <c r="Z94" s="1982"/>
      <c r="AA94" s="1982"/>
      <c r="AB94" s="1982"/>
      <c r="AC94" s="1983"/>
      <c r="AD94" s="1983"/>
      <c r="AE94" s="1983"/>
      <c r="AF94" s="1983"/>
      <c r="AG94" s="1983"/>
      <c r="AH94" s="1983"/>
      <c r="AI94" s="1983"/>
      <c r="AJ94" s="1983"/>
      <c r="AK94" s="1983"/>
      <c r="AL94" s="1984"/>
      <c r="AM94" s="1983"/>
      <c r="AN94" s="1983"/>
      <c r="AO94" s="1983"/>
      <c r="AP94" s="1983"/>
      <c r="AQ94" s="1983"/>
      <c r="AR94" s="1983"/>
      <c r="AS94" s="1983"/>
      <c r="AT94" s="1983"/>
      <c r="AU94" s="1983"/>
      <c r="AV94" s="1983"/>
      <c r="AW94" s="1985"/>
      <c r="AX94" s="1985"/>
      <c r="AY94" s="1985"/>
      <c r="AZ94" s="1985"/>
      <c r="BA94" s="1462"/>
      <c r="BB94" s="1462"/>
      <c r="BC94" s="1462"/>
      <c r="BD94" s="1461"/>
      <c r="BE94" s="1462"/>
      <c r="BF94" s="1343"/>
      <c r="BG94" s="1343"/>
      <c r="BH94" s="1343"/>
      <c r="BI94" s="1343"/>
      <c r="BJ94" s="1343"/>
      <c r="BK94" s="1343"/>
      <c r="BL94" s="1343"/>
      <c r="BM94" s="1343"/>
      <c r="BN94" s="1343"/>
      <c r="BO94" s="1343"/>
      <c r="BQ94" s="1184"/>
      <c r="BR94" s="1184"/>
      <c r="BS94" s="1184"/>
      <c r="BT94" s="1184"/>
      <c r="BU94" s="1185"/>
      <c r="BV94" s="1185"/>
      <c r="BW94" s="1184"/>
      <c r="BX94" s="1184"/>
      <c r="BY94" s="1184"/>
      <c r="BZ94" s="1184"/>
      <c r="CA94" s="1184"/>
      <c r="CB94" s="1184"/>
      <c r="CC94" s="1184"/>
      <c r="CD94" s="1184"/>
      <c r="CE94" s="1184"/>
      <c r="CF94" s="1184"/>
      <c r="CG94" s="1184"/>
      <c r="CH94" s="1184"/>
      <c r="CI94" s="1184"/>
      <c r="CJ94" s="1184"/>
      <c r="CK94" s="1184"/>
      <c r="CL94" s="1184"/>
      <c r="CM94" s="1184"/>
      <c r="CN94" s="1184"/>
      <c r="CO94" s="1184"/>
      <c r="CP94" s="1184"/>
      <c r="CQ94" s="1184"/>
      <c r="CR94" s="1184"/>
      <c r="CS94" s="1184"/>
      <c r="CT94" s="1184"/>
      <c r="CU94" s="1184"/>
      <c r="CV94" s="1184"/>
      <c r="CW94" s="1184"/>
      <c r="CX94" s="1184"/>
      <c r="CY94" s="320" t="str">
        <f>Pflanzen!A90</f>
        <v xml:space="preserve"> +++Schwein, nur Zukauf+++</v>
      </c>
      <c r="CZ94" s="1200">
        <f>IFERROR(MATCH($CY94,Pflanzen!$C$5:$C$114,0),1)</f>
        <v>81</v>
      </c>
      <c r="DA94" s="320" cm="1">
        <f t="array" ref="DA94">INDEX(Pflanzen!$H$5:$H$114,'Lagerhaltung (freiwillig)'!CZ94)</f>
        <v>0</v>
      </c>
      <c r="DB94" s="1200">
        <f t="shared" si="240"/>
        <v>0</v>
      </c>
      <c r="DC94" s="1200">
        <f t="shared" si="240"/>
        <v>0</v>
      </c>
      <c r="DD94" s="1200">
        <f t="shared" si="240"/>
        <v>0</v>
      </c>
      <c r="DE94" s="1200">
        <f t="shared" si="240"/>
        <v>0</v>
      </c>
      <c r="DF94" s="1200">
        <f t="shared" si="240"/>
        <v>0</v>
      </c>
      <c r="DG94" s="1184">
        <f t="shared" si="240"/>
        <v>0</v>
      </c>
      <c r="DH94" s="1184">
        <f t="shared" si="240"/>
        <v>0</v>
      </c>
      <c r="DI94" s="1184">
        <f t="shared" si="240"/>
        <v>0</v>
      </c>
      <c r="DJ94" s="1184">
        <f t="shared" si="240"/>
        <v>0</v>
      </c>
      <c r="DK94" s="1184">
        <f t="shared" si="240"/>
        <v>0</v>
      </c>
      <c r="DL94" s="1184">
        <f t="shared" si="240"/>
        <v>0</v>
      </c>
      <c r="DM94" s="1184">
        <f t="shared" si="240"/>
        <v>0</v>
      </c>
      <c r="DN94" s="1184"/>
      <c r="DO94" s="1184">
        <f t="shared" si="241"/>
        <v>0</v>
      </c>
      <c r="DP94" s="1184">
        <f t="shared" si="241"/>
        <v>0</v>
      </c>
      <c r="DQ94" s="1184">
        <f t="shared" si="241"/>
        <v>0</v>
      </c>
      <c r="DR94" s="1184">
        <f t="shared" si="241"/>
        <v>0</v>
      </c>
      <c r="DS94" s="1184">
        <f t="shared" si="241"/>
        <v>0</v>
      </c>
      <c r="DT94" s="1184">
        <f t="shared" si="241"/>
        <v>0</v>
      </c>
      <c r="DU94" s="1184">
        <f t="shared" si="241"/>
        <v>0</v>
      </c>
      <c r="DV94" s="1184">
        <f t="shared" si="241"/>
        <v>0</v>
      </c>
      <c r="DW94" s="1184">
        <f t="shared" si="241"/>
        <v>0</v>
      </c>
      <c r="DX94" s="1184">
        <f t="shared" si="241"/>
        <v>0</v>
      </c>
      <c r="DY94" s="1184">
        <f t="shared" si="241"/>
        <v>0</v>
      </c>
      <c r="DZ94" s="1184">
        <f t="shared" si="241"/>
        <v>0</v>
      </c>
      <c r="EA94" s="1184"/>
      <c r="EB94" s="1184">
        <f t="shared" si="242"/>
        <v>0</v>
      </c>
      <c r="EC94" s="1184">
        <f t="shared" si="242"/>
        <v>0</v>
      </c>
      <c r="ED94" s="1184">
        <f t="shared" si="242"/>
        <v>0</v>
      </c>
      <c r="EE94" s="1184">
        <f t="shared" si="242"/>
        <v>0</v>
      </c>
      <c r="EF94" s="1184">
        <f t="shared" si="242"/>
        <v>0</v>
      </c>
      <c r="EG94" s="1184">
        <f t="shared" si="242"/>
        <v>0</v>
      </c>
      <c r="EH94" s="1184">
        <f t="shared" si="242"/>
        <v>0</v>
      </c>
      <c r="EI94" s="1184">
        <f t="shared" si="242"/>
        <v>0</v>
      </c>
      <c r="EJ94" s="1184">
        <f t="shared" si="242"/>
        <v>0</v>
      </c>
      <c r="EK94" s="1184">
        <f t="shared" si="242"/>
        <v>0</v>
      </c>
      <c r="EL94" s="1184">
        <f t="shared" si="242"/>
        <v>0</v>
      </c>
      <c r="EM94" s="1184">
        <f t="shared" si="242"/>
        <v>0</v>
      </c>
      <c r="EN94" s="1184"/>
      <c r="EO94" s="1184">
        <f t="shared" si="243"/>
        <v>0</v>
      </c>
      <c r="EP94" s="1184">
        <f t="shared" si="243"/>
        <v>0</v>
      </c>
      <c r="EQ94" s="1184">
        <f t="shared" si="243"/>
        <v>0</v>
      </c>
      <c r="ER94" s="1184">
        <f t="shared" si="243"/>
        <v>0</v>
      </c>
      <c r="ES94" s="1184">
        <f t="shared" si="243"/>
        <v>0</v>
      </c>
      <c r="ET94" s="1184">
        <f t="shared" si="243"/>
        <v>0</v>
      </c>
      <c r="EU94" s="1184">
        <f t="shared" si="243"/>
        <v>0</v>
      </c>
      <c r="EV94" s="1184">
        <f t="shared" si="243"/>
        <v>0</v>
      </c>
      <c r="EW94" s="1184">
        <f t="shared" si="243"/>
        <v>0</v>
      </c>
      <c r="EX94" s="1184">
        <f t="shared" si="243"/>
        <v>0</v>
      </c>
      <c r="EY94" s="1184">
        <f t="shared" si="243"/>
        <v>0</v>
      </c>
      <c r="EZ94" s="1184">
        <f t="shared" si="243"/>
        <v>0</v>
      </c>
      <c r="FA94" s="1184"/>
      <c r="FB94" s="1186">
        <f t="shared" si="182"/>
        <v>0</v>
      </c>
      <c r="FC94" s="1184">
        <f>FB94+DB94+EB94                 -         SUMIF('Nährstoffe und Lagerraum'!$AX$113:$AX$155,$CZ94,'Nährstoffe und Lagerraum'!$U$113:$U$155)/12  -$GD94*$HE94/12</f>
        <v>0</v>
      </c>
      <c r="FD94" s="1184">
        <f>FC94+DC94+EC94                 -         SUMIF('Nährstoffe und Lagerraum'!$AX$113:$AX$155,$CZ94,'Nährstoffe und Lagerraum'!$U$113:$U$155)/12  -$GD94*$HE94/12</f>
        <v>0</v>
      </c>
      <c r="FE94" s="1184">
        <f>FD94+DD94+ED94                 -         SUMIF('Nährstoffe und Lagerraum'!$AX$113:$AX$155,$CZ94,'Nährstoffe und Lagerraum'!$U$113:$U$155)/12  -$GD94*$HE94/12</f>
        <v>0</v>
      </c>
      <c r="FF94" s="1184">
        <f>FE94+DE94+EE94                 -         SUMIF('Nährstoffe und Lagerraum'!$AX$113:$AX$155,$CZ94,'Nährstoffe und Lagerraum'!$U$113:$U$155)/12  -$GD94*$HE94/12</f>
        <v>0</v>
      </c>
      <c r="FG94" s="1184">
        <f>FF94+DF94+EF94                 -         SUMIF('Nährstoffe und Lagerraum'!$AX$113:$AX$155,$CZ94,'Nährstoffe und Lagerraum'!$U$113:$U$155)/12  -$GD94*$HE94/12</f>
        <v>0</v>
      </c>
      <c r="FH94" s="1184">
        <f>FG94+DG94+EG94                 -         SUMIF('Nährstoffe und Lagerraum'!$AX$113:$AX$155,$CZ94,'Nährstoffe und Lagerraum'!$U$113:$U$155)/12  -$GD94*$HE94/12</f>
        <v>0</v>
      </c>
      <c r="FI94" s="1184">
        <f>FH94+DH94+EH94                 -         SUMIF('Nährstoffe und Lagerraum'!$AX$113:$AX$155,$CZ94,'Nährstoffe und Lagerraum'!$U$113:$U$155)/12  -$GD94*$HE94/12</f>
        <v>0</v>
      </c>
      <c r="FJ94" s="1184">
        <f>FI94+DI94+EI94                 -         SUMIF('Nährstoffe und Lagerraum'!$AX$113:$AX$155,$CZ94,'Nährstoffe und Lagerraum'!$U$113:$U$155)/12  -$GD94*$HE94/12</f>
        <v>0</v>
      </c>
      <c r="FK94" s="1184">
        <f>FJ94+DJ94+EJ94                 -         SUMIF('Nährstoffe und Lagerraum'!$AX$113:$AX$155,$CZ94,'Nährstoffe und Lagerraum'!$U$113:$U$155)/12  -$GD94*$HE94/12</f>
        <v>0</v>
      </c>
      <c r="FL94" s="1184">
        <f>FK94+DK94+EK94                 -         SUMIF('Nährstoffe und Lagerraum'!$AX$113:$AX$155,$CZ94,'Nährstoffe und Lagerraum'!$U$113:$U$155)/12  -$GD94*$HE94/12</f>
        <v>0</v>
      </c>
      <c r="FM94" s="1184">
        <f>FL94+DL94+EL94                 -         SUMIF('Nährstoffe und Lagerraum'!$AX$113:$AX$155,$CZ94,'Nährstoffe und Lagerraum'!$U$113:$U$155)/12  -$GD94*$HE94/12</f>
        <v>0</v>
      </c>
      <c r="FN94" s="1184">
        <f>FM94+DM94+EM94                 -         SUMIF('Nährstoffe und Lagerraum'!$AX$113:$AX$155,$CZ94,'Nährstoffe und Lagerraum'!$U$113:$U$155)/12  -$GD94*$HE94/12</f>
        <v>0</v>
      </c>
      <c r="FO94" s="1184"/>
      <c r="FP94" s="1186">
        <f t="shared" si="183"/>
        <v>0</v>
      </c>
      <c r="FQ94" s="1184">
        <f>FP94+DO94+EO94                 -         SUMIF('Nährstoffe und Lagerraum'!$AX$113:$AX$155,$CZ94,'Nährstoffe und Lagerraum'!$V$113:$V$155)/12  -$GE94*$HE94/12</f>
        <v>0</v>
      </c>
      <c r="FR94" s="1184">
        <f>FQ94+DP94+EP94                 -         SUMIF('Nährstoffe und Lagerraum'!$AX$113:$AX$155,$CZ94,'Nährstoffe und Lagerraum'!$V$113:$V$155)/12  -$GE94*$HE94/12</f>
        <v>0</v>
      </c>
      <c r="FS94" s="1184">
        <f>FR94+DQ94+EQ94                 -         SUMIF('Nährstoffe und Lagerraum'!$AX$113:$AX$155,$CZ94,'Nährstoffe und Lagerraum'!$V$113:$V$155)/12  -$GE94*$HE94/12</f>
        <v>0</v>
      </c>
      <c r="FT94" s="1184">
        <f>FS94+DR94+ER94                 -         SUMIF('Nährstoffe und Lagerraum'!$AX$113:$AX$155,$CZ94,'Nährstoffe und Lagerraum'!$V$113:$V$155)/12  -$GE94*$HE94/12</f>
        <v>0</v>
      </c>
      <c r="FU94" s="1184">
        <f>FT94+DS94+ES94                 -         SUMIF('Nährstoffe und Lagerraum'!$AX$113:$AX$155,$CZ94,'Nährstoffe und Lagerraum'!$V$113:$V$155)/12  -$GE94*$HE94/12</f>
        <v>0</v>
      </c>
      <c r="FV94" s="1184">
        <f>FU94+DT94+ET94                 -         SUMIF('Nährstoffe und Lagerraum'!$AX$113:$AX$155,$CZ94,'Nährstoffe und Lagerraum'!$V$113:$V$155)/12  -$GE94*$HE94/12</f>
        <v>0</v>
      </c>
      <c r="FW94" s="1184">
        <f>FV94+DU94+EU94                 -         SUMIF('Nährstoffe und Lagerraum'!$AX$113:$AX$155,$CZ94,'Nährstoffe und Lagerraum'!$V$113:$V$155)/12  -$GE94*$HE94/12</f>
        <v>0</v>
      </c>
      <c r="FX94" s="1184">
        <f>FW94+DV94+EV94                 -         SUMIF('Nährstoffe und Lagerraum'!$AX$113:$AX$155,$CZ94,'Nährstoffe und Lagerraum'!$V$113:$V$155)/12  -$GE94*$HE94/12</f>
        <v>0</v>
      </c>
      <c r="FY94" s="1184">
        <f>FX94+DW94+EW94                 -         SUMIF('Nährstoffe und Lagerraum'!$AX$113:$AX$155,$CZ94,'Nährstoffe und Lagerraum'!$V$113:$V$155)/12  -$GE94*$HE94/12</f>
        <v>0</v>
      </c>
      <c r="FZ94" s="1184">
        <f>FY94+DX94+EX94                 -         SUMIF('Nährstoffe und Lagerraum'!$AX$113:$AX$155,$CZ94,'Nährstoffe und Lagerraum'!$V$113:$V$155)/12  -$GE94*$HE94/12</f>
        <v>0</v>
      </c>
      <c r="GA94" s="1184">
        <f>FZ94+DY94+EY94                 -         SUMIF('Nährstoffe und Lagerraum'!$AX$113:$AX$155,$CZ94,'Nährstoffe und Lagerraum'!$V$113:$V$155)/12  -$GE94*$HE94/12</f>
        <v>0</v>
      </c>
      <c r="GB94" s="1184">
        <f>GA94+DZ94+EZ94                 -         SUMIF('Nährstoffe und Lagerraum'!$AX$113:$AX$155,$CZ94,'Nährstoffe und Lagerraum'!$V$113:$V$155)/12  -$GE94*$HE94/12</f>
        <v>0</v>
      </c>
      <c r="GC94" s="1184"/>
      <c r="GD94" s="1184">
        <f>SUMIFS($CI$14:$CI$68,$BR$14:$BR$68,$CZ94)+SUMIFS($CM$14:$CM$68,$BR$14:$BR$68,$CZ94)+SUMIFS($CR$14:$CR$68,$BR$14:$BR$68,$CZ94)  -         SUMIF('Nährstoffe und Lagerraum'!$AX$113:$AX$155,$CZ94,'Nährstoffe und Lagerraum'!$U$113:$U$155)</f>
        <v>0</v>
      </c>
      <c r="GE94" s="1184">
        <f>SUMIFS($CJ$14:$CJ$68,$BR$14:$BR$68,$CZ94)+SUMIFS($CO$14:$CO$68,$BR$14:$BR$68,$CZ94)+SUMIFS($CT$14:$CT$68,$BR$14:$BR$68,$CZ94)  -         SUMIF('Nährstoffe und Lagerraum'!$AX$113:$AX$155,$CZ94,'Nährstoffe und Lagerraum'!$V$113:$V$155)</f>
        <v>0</v>
      </c>
      <c r="GF94" s="1184"/>
      <c r="GG94" s="1184"/>
      <c r="GH94" s="1184">
        <f>SUMIF('Nährstoffe und Lagerraum'!$AX$113:$AX$155,$CZ94,'Nährstoffe und Lagerraum'!$U$113:$U$155)</f>
        <v>0</v>
      </c>
      <c r="GI94" s="1184">
        <f>SUMIF('Nährstoffe und Lagerraum'!$AX$113:$AX$155,$CZ94,'Nährstoffe und Lagerraum'!$V$113:$V$155)</f>
        <v>0</v>
      </c>
      <c r="GJ94" s="1184">
        <f t="shared" si="221"/>
        <v>0</v>
      </c>
      <c r="GK94" s="1184">
        <f t="shared" si="222"/>
        <v>0</v>
      </c>
      <c r="GL94" s="1184">
        <f t="shared" si="223"/>
        <v>0</v>
      </c>
      <c r="GM94" s="1184">
        <f t="shared" si="224"/>
        <v>0</v>
      </c>
      <c r="GN94" s="1184">
        <f t="shared" si="225"/>
        <v>0</v>
      </c>
      <c r="GO94" s="1184" cm="1">
        <f t="array" ref="GO94">IF(GN94=0,0,(IFERROR(SUMPRODUCT($J$14:$J$68,$CH$14:$CH$68,($BR$14:$BR$68=CZ94)*1)+SUMPRODUCT($L$14:$L$68,$M$14:$M$68,$CK$14:$CK$68,($BR$14:$BR$68=CZ94)*1,($BT$14:$BT$68=FALSE)*1)/10+SUMPRODUCT($R$14:$R$68,$CP$14:$CP$68,($BR$14:$BR$68=CZ94)*1),0))/GN94)</f>
        <v>0</v>
      </c>
      <c r="GP94" s="1184">
        <f t="shared" si="226"/>
        <v>0</v>
      </c>
      <c r="GQ94" s="1184">
        <f>(SUMIF('Nährstoffe und Lagerraum'!$AX$113:$AX$130,'Lagerhaltung (freiwillig)'!CZ94,'Nährstoffe und Lagerraum'!$D$113:$D$130)+SUMIF('Nährstoffe und Lagerraum'!$AX$137:$AX$155,'Lagerhaltung (freiwillig)'!CZ94,'Nährstoffe und Lagerraum'!$E$137:$E$155))</f>
        <v>0</v>
      </c>
      <c r="GR94" s="1184" cm="1">
        <f t="array" ref="GR94">IF(GQ94=0,0,(IFERROR(SUMPRODUCT('Nährstoffe und Lagerraum'!$D$113:$D$130,'Nährstoffe und Lagerraum'!$F$113:$F$130,('Nährstoffe und Lagerraum'!$AX$113:$AX$130='Lagerhaltung (freiwillig)'!CZ94)*1)+SUMPRODUCT('Nährstoffe und Lagerraum'!$E$137:$E$155,'Nährstoffe und Lagerraum'!$F$137:$F$155,('Nährstoffe und Lagerraum'!$AX$137:$AX$155='Lagerhaltung (freiwillig)'!CZ94)*1),0))/GQ94)</f>
        <v>0</v>
      </c>
      <c r="GS94" s="1184">
        <f t="shared" si="227"/>
        <v>0</v>
      </c>
      <c r="GT94" s="1184">
        <f t="shared" si="228"/>
        <v>0</v>
      </c>
      <c r="GU94" s="1184">
        <f t="shared" si="229"/>
        <v>0</v>
      </c>
      <c r="GV94" s="1184">
        <f t="shared" si="230"/>
        <v>0</v>
      </c>
      <c r="GW94" s="1186" t="str">
        <f t="shared" si="177"/>
        <v xml:space="preserve"> </v>
      </c>
      <c r="GX94" s="1186" t="str">
        <f t="shared" si="177"/>
        <v xml:space="preserve"> </v>
      </c>
      <c r="GY94" s="1195">
        <f t="shared" si="231"/>
        <v>0</v>
      </c>
      <c r="GZ94" s="1184">
        <f t="shared" si="232"/>
        <v>0</v>
      </c>
      <c r="HA94" s="1184" t="str">
        <f t="shared" si="176"/>
        <v>a</v>
      </c>
      <c r="HB94" s="1196">
        <f t="shared" si="233"/>
        <v>0</v>
      </c>
      <c r="HC94" s="1196">
        <f t="shared" si="234"/>
        <v>0</v>
      </c>
      <c r="HD94" s="1196"/>
      <c r="HE94" s="1187">
        <f t="shared" si="235"/>
        <v>0</v>
      </c>
      <c r="HF94" s="1196">
        <f t="shared" si="236"/>
        <v>0</v>
      </c>
      <c r="HG94" s="1196">
        <f t="shared" si="237"/>
        <v>0</v>
      </c>
      <c r="HH94" s="1196">
        <f t="shared" si="238"/>
        <v>0</v>
      </c>
      <c r="HI94" s="1328" cm="1">
        <f t="array" ref="HI94">IF(AND(HG94=0,GL94=0),0,IF(HG94=0,1,IF(OR(GL94*1000/HG94/HH94&gt;INDEX(Pflanzen!$W$5:$W$104,CZ94)/INDEX(Pflanzen!$I$5:$I$104,CZ94)*$HI$2,GL94*1000/HG94/HH94&lt;INDEX(Pflanzen!$W$5:$W$104,CZ94)/INDEX(Pflanzen!$I$5:$I$104,CZ94)/$HI$2),1,0)))</f>
        <v>0</v>
      </c>
      <c r="HJ94" s="1328" cm="1">
        <f t="array" ref="HJ94">IF(AND(GM94=0,HG94=0),0,IF(HG94=0,1,IF(OR(GM94*1000/HG94/HH94&gt;INDEX(Pflanzen!$X$5:$X$104,CZ94)/INDEX(Pflanzen!$I$5:$I$104,CZ94)*$HI$2,GM94*1000/HG94/HH94&lt;INDEX(Pflanzen!$X$5:$X$104,CZ94)/INDEX(Pflanzen!$I$5:$I$104,CZ94)/$HI$2),1,0)))</f>
        <v>0</v>
      </c>
      <c r="HK94" s="1184">
        <f t="shared" si="239"/>
        <v>3</v>
      </c>
      <c r="HL94" s="1184"/>
      <c r="HN94" s="1184"/>
      <c r="HO94" s="1184"/>
      <c r="HP94" s="1184"/>
      <c r="HQ94" s="1184"/>
      <c r="HR94" s="1184"/>
      <c r="HS94" s="1184"/>
      <c r="HT94" s="1184"/>
      <c r="HU94" s="1184"/>
      <c r="HV94" s="1184"/>
      <c r="HW94" s="1184"/>
      <c r="HX94" s="1184"/>
      <c r="HY94" s="1184"/>
      <c r="HZ94" s="1184"/>
      <c r="IA94" s="1184"/>
      <c r="IB94" s="1184"/>
      <c r="IC94" s="1184"/>
      <c r="ID94" s="1184"/>
      <c r="IE94" s="1184"/>
      <c r="IF94" s="1184"/>
      <c r="IG94" s="1184"/>
      <c r="IH94" s="1184"/>
      <c r="II94" s="1184"/>
      <c r="IJ94" s="1184"/>
      <c r="IK94" s="1184"/>
      <c r="IL94" s="1184"/>
    </row>
    <row r="95" spans="1:246" ht="12" customHeight="1" x14ac:dyDescent="0.2">
      <c r="A95" s="2997" t="s">
        <v>944</v>
      </c>
      <c r="B95" s="2998"/>
      <c r="C95" s="2998"/>
      <c r="D95" s="2998"/>
      <c r="E95" s="2999"/>
      <c r="F95" s="3114" t="s">
        <v>988</v>
      </c>
      <c r="G95" s="3115"/>
      <c r="H95" s="3115"/>
      <c r="I95" s="3115"/>
      <c r="J95" s="3115"/>
      <c r="K95" s="3116"/>
      <c r="L95" s="3114" t="s">
        <v>8253</v>
      </c>
      <c r="M95" s="3116"/>
      <c r="N95" s="3114" t="s">
        <v>569</v>
      </c>
      <c r="O95" s="3115"/>
      <c r="P95" s="3115"/>
      <c r="Q95" s="3116"/>
      <c r="R95" s="696"/>
      <c r="S95" s="242"/>
      <c r="T95" s="242"/>
      <c r="U95" s="242"/>
      <c r="V95" s="242"/>
      <c r="Y95" s="1981"/>
      <c r="Z95" s="1982"/>
      <c r="AA95" s="1982"/>
      <c r="AB95" s="1982"/>
      <c r="AC95" s="1983"/>
      <c r="AD95" s="1983"/>
      <c r="AE95" s="1983"/>
      <c r="AF95" s="1983"/>
      <c r="AG95" s="1983"/>
      <c r="AH95" s="1983"/>
      <c r="AI95" s="1983"/>
      <c r="AJ95" s="1983"/>
      <c r="AK95" s="1983"/>
      <c r="AL95" s="1984"/>
      <c r="AM95" s="1983"/>
      <c r="AN95" s="1983"/>
      <c r="AO95" s="1983"/>
      <c r="AP95" s="1983"/>
      <c r="AQ95" s="1983"/>
      <c r="AR95" s="1983"/>
      <c r="AS95" s="1983"/>
      <c r="AT95" s="1983"/>
      <c r="AU95" s="1983"/>
      <c r="AV95" s="1983"/>
      <c r="AW95" s="1985"/>
      <c r="AX95" s="1985"/>
      <c r="AY95" s="1985"/>
      <c r="AZ95" s="1985"/>
      <c r="BA95" s="1462"/>
      <c r="BB95" s="1462"/>
      <c r="BC95" s="1462"/>
      <c r="BD95" s="1461"/>
      <c r="BE95" s="1462"/>
      <c r="BF95" s="1343"/>
      <c r="BG95" s="1343"/>
      <c r="BH95" s="1343"/>
      <c r="BI95" s="1343"/>
      <c r="BJ95" s="1343"/>
      <c r="BK95" s="1343"/>
      <c r="BL95" s="1343"/>
      <c r="BM95" s="1343"/>
      <c r="BN95" s="1343"/>
      <c r="BO95" s="1343"/>
      <c r="BQ95" s="1184"/>
      <c r="BR95" s="1184"/>
      <c r="BS95" s="1184"/>
      <c r="BT95" s="1184"/>
      <c r="BU95" s="1185"/>
      <c r="BV95" s="1185"/>
      <c r="BW95" s="1184"/>
      <c r="BX95" s="1184"/>
      <c r="BY95" s="1184"/>
      <c r="BZ95" s="1184"/>
      <c r="CA95" s="1184"/>
      <c r="CB95" s="1184"/>
      <c r="CC95" s="1184"/>
      <c r="CD95" s="1184"/>
      <c r="CE95" s="1184"/>
      <c r="CF95" s="1184"/>
      <c r="CG95" s="1184"/>
      <c r="CH95" s="1184"/>
      <c r="CI95" s="1184"/>
      <c r="CJ95" s="1184"/>
      <c r="CK95" s="1184"/>
      <c r="CL95" s="1184"/>
      <c r="CM95" s="1184"/>
      <c r="CN95" s="1184"/>
      <c r="CO95" s="1184"/>
      <c r="CP95" s="1184"/>
      <c r="CQ95" s="1184"/>
      <c r="CR95" s="1184"/>
      <c r="CS95" s="1184"/>
      <c r="CT95" s="1184"/>
      <c r="CU95" s="1184"/>
      <c r="CV95" s="1184"/>
      <c r="CW95" s="1184"/>
      <c r="CX95" s="1184"/>
      <c r="CY95" s="320" t="str">
        <f>Pflanzen!A91</f>
        <v>Mastschweinegülle, Standardfutter</v>
      </c>
      <c r="CZ95" s="1200">
        <f>IFERROR(MATCH($CY95,Pflanzen!$C$5:$C$114,0),1)</f>
        <v>82</v>
      </c>
      <c r="DA95" s="320" cm="1">
        <f t="array" ref="DA95">INDEX(Pflanzen!$H$5:$H$114,'Lagerhaltung (freiwillig)'!CZ95)</f>
        <v>0</v>
      </c>
      <c r="DB95" s="1200">
        <f t="shared" si="240"/>
        <v>0</v>
      </c>
      <c r="DC95" s="1200">
        <f t="shared" si="240"/>
        <v>0</v>
      </c>
      <c r="DD95" s="1200">
        <f t="shared" si="240"/>
        <v>0</v>
      </c>
      <c r="DE95" s="1200">
        <f t="shared" si="240"/>
        <v>0</v>
      </c>
      <c r="DF95" s="1200">
        <f t="shared" si="240"/>
        <v>0</v>
      </c>
      <c r="DG95" s="1184">
        <f t="shared" si="240"/>
        <v>0</v>
      </c>
      <c r="DH95" s="1184">
        <f t="shared" si="240"/>
        <v>0</v>
      </c>
      <c r="DI95" s="1184">
        <f t="shared" si="240"/>
        <v>0</v>
      </c>
      <c r="DJ95" s="1184">
        <f t="shared" si="240"/>
        <v>0</v>
      </c>
      <c r="DK95" s="1184">
        <f t="shared" si="240"/>
        <v>0</v>
      </c>
      <c r="DL95" s="1184">
        <f t="shared" si="240"/>
        <v>0</v>
      </c>
      <c r="DM95" s="1184">
        <f t="shared" si="240"/>
        <v>0</v>
      </c>
      <c r="DN95" s="1184"/>
      <c r="DO95" s="1184">
        <f t="shared" si="241"/>
        <v>0</v>
      </c>
      <c r="DP95" s="1184">
        <f t="shared" si="241"/>
        <v>0</v>
      </c>
      <c r="DQ95" s="1184">
        <f t="shared" si="241"/>
        <v>0</v>
      </c>
      <c r="DR95" s="1184">
        <f t="shared" si="241"/>
        <v>0</v>
      </c>
      <c r="DS95" s="1184">
        <f t="shared" si="241"/>
        <v>0</v>
      </c>
      <c r="DT95" s="1184">
        <f t="shared" si="241"/>
        <v>0</v>
      </c>
      <c r="DU95" s="1184">
        <f t="shared" si="241"/>
        <v>0</v>
      </c>
      <c r="DV95" s="1184">
        <f t="shared" si="241"/>
        <v>0</v>
      </c>
      <c r="DW95" s="1184">
        <f t="shared" si="241"/>
        <v>0</v>
      </c>
      <c r="DX95" s="1184">
        <f t="shared" si="241"/>
        <v>0</v>
      </c>
      <c r="DY95" s="1184">
        <f t="shared" si="241"/>
        <v>0</v>
      </c>
      <c r="DZ95" s="1184">
        <f t="shared" si="241"/>
        <v>0</v>
      </c>
      <c r="EA95" s="1184"/>
      <c r="EB95" s="1184">
        <f t="shared" si="242"/>
        <v>0</v>
      </c>
      <c r="EC95" s="1184">
        <f t="shared" si="242"/>
        <v>0</v>
      </c>
      <c r="ED95" s="1184">
        <f t="shared" si="242"/>
        <v>0</v>
      </c>
      <c r="EE95" s="1184">
        <f t="shared" si="242"/>
        <v>0</v>
      </c>
      <c r="EF95" s="1184">
        <f t="shared" si="242"/>
        <v>0</v>
      </c>
      <c r="EG95" s="1184">
        <f t="shared" si="242"/>
        <v>0</v>
      </c>
      <c r="EH95" s="1184">
        <f t="shared" si="242"/>
        <v>0</v>
      </c>
      <c r="EI95" s="1184">
        <f t="shared" si="242"/>
        <v>0</v>
      </c>
      <c r="EJ95" s="1184">
        <f t="shared" si="242"/>
        <v>0</v>
      </c>
      <c r="EK95" s="1184">
        <f t="shared" si="242"/>
        <v>0</v>
      </c>
      <c r="EL95" s="1184">
        <f t="shared" si="242"/>
        <v>0</v>
      </c>
      <c r="EM95" s="1184">
        <f t="shared" si="242"/>
        <v>0</v>
      </c>
      <c r="EN95" s="1184"/>
      <c r="EO95" s="1184">
        <f t="shared" si="243"/>
        <v>0</v>
      </c>
      <c r="EP95" s="1184">
        <f t="shared" si="243"/>
        <v>0</v>
      </c>
      <c r="EQ95" s="1184">
        <f t="shared" si="243"/>
        <v>0</v>
      </c>
      <c r="ER95" s="1184">
        <f t="shared" si="243"/>
        <v>0</v>
      </c>
      <c r="ES95" s="1184">
        <f t="shared" si="243"/>
        <v>0</v>
      </c>
      <c r="ET95" s="1184">
        <f t="shared" si="243"/>
        <v>0</v>
      </c>
      <c r="EU95" s="1184">
        <f t="shared" si="243"/>
        <v>0</v>
      </c>
      <c r="EV95" s="1184">
        <f t="shared" si="243"/>
        <v>0</v>
      </c>
      <c r="EW95" s="1184">
        <f t="shared" si="243"/>
        <v>0</v>
      </c>
      <c r="EX95" s="1184">
        <f t="shared" si="243"/>
        <v>0</v>
      </c>
      <c r="EY95" s="1184">
        <f t="shared" si="243"/>
        <v>0</v>
      </c>
      <c r="EZ95" s="1184">
        <f t="shared" si="243"/>
        <v>0</v>
      </c>
      <c r="FA95" s="1184"/>
      <c r="FB95" s="1186">
        <f t="shared" si="182"/>
        <v>0</v>
      </c>
      <c r="FC95" s="1184">
        <f>FB95+DB95+EB95                 -         SUMIF('Nährstoffe und Lagerraum'!$AX$113:$AX$155,$CZ95,'Nährstoffe und Lagerraum'!$U$113:$U$155)/12  -$GD95*$HE95/12</f>
        <v>0</v>
      </c>
      <c r="FD95" s="1184">
        <f>FC95+DC95+EC95                 -         SUMIF('Nährstoffe und Lagerraum'!$AX$113:$AX$155,$CZ95,'Nährstoffe und Lagerraum'!$U$113:$U$155)/12  -$GD95*$HE95/12</f>
        <v>0</v>
      </c>
      <c r="FE95" s="1184">
        <f>FD95+DD95+ED95                 -         SUMIF('Nährstoffe und Lagerraum'!$AX$113:$AX$155,$CZ95,'Nährstoffe und Lagerraum'!$U$113:$U$155)/12  -$GD95*$HE95/12</f>
        <v>0</v>
      </c>
      <c r="FF95" s="1184">
        <f>FE95+DE95+EE95                 -         SUMIF('Nährstoffe und Lagerraum'!$AX$113:$AX$155,$CZ95,'Nährstoffe und Lagerraum'!$U$113:$U$155)/12  -$GD95*$HE95/12</f>
        <v>0</v>
      </c>
      <c r="FG95" s="1184">
        <f>FF95+DF95+EF95                 -         SUMIF('Nährstoffe und Lagerraum'!$AX$113:$AX$155,$CZ95,'Nährstoffe und Lagerraum'!$U$113:$U$155)/12  -$GD95*$HE95/12</f>
        <v>0</v>
      </c>
      <c r="FH95" s="1184">
        <f>FG95+DG95+EG95                 -         SUMIF('Nährstoffe und Lagerraum'!$AX$113:$AX$155,$CZ95,'Nährstoffe und Lagerraum'!$U$113:$U$155)/12  -$GD95*$HE95/12</f>
        <v>0</v>
      </c>
      <c r="FI95" s="1184">
        <f>FH95+DH95+EH95                 -         SUMIF('Nährstoffe und Lagerraum'!$AX$113:$AX$155,$CZ95,'Nährstoffe und Lagerraum'!$U$113:$U$155)/12  -$GD95*$HE95/12</f>
        <v>0</v>
      </c>
      <c r="FJ95" s="1184">
        <f>FI95+DI95+EI95                 -         SUMIF('Nährstoffe und Lagerraum'!$AX$113:$AX$155,$CZ95,'Nährstoffe und Lagerraum'!$U$113:$U$155)/12  -$GD95*$HE95/12</f>
        <v>0</v>
      </c>
      <c r="FK95" s="1184">
        <f>FJ95+DJ95+EJ95                 -         SUMIF('Nährstoffe und Lagerraum'!$AX$113:$AX$155,$CZ95,'Nährstoffe und Lagerraum'!$U$113:$U$155)/12  -$GD95*$HE95/12</f>
        <v>0</v>
      </c>
      <c r="FL95" s="1184">
        <f>FK95+DK95+EK95                 -         SUMIF('Nährstoffe und Lagerraum'!$AX$113:$AX$155,$CZ95,'Nährstoffe und Lagerraum'!$U$113:$U$155)/12  -$GD95*$HE95/12</f>
        <v>0</v>
      </c>
      <c r="FM95" s="1184">
        <f>FL95+DL95+EL95                 -         SUMIF('Nährstoffe und Lagerraum'!$AX$113:$AX$155,$CZ95,'Nährstoffe und Lagerraum'!$U$113:$U$155)/12  -$GD95*$HE95/12</f>
        <v>0</v>
      </c>
      <c r="FN95" s="1184">
        <f>FM95+DM95+EM95                 -         SUMIF('Nährstoffe und Lagerraum'!$AX$113:$AX$155,$CZ95,'Nährstoffe und Lagerraum'!$U$113:$U$155)/12  -$GD95*$HE95/12</f>
        <v>0</v>
      </c>
      <c r="FO95" s="1184"/>
      <c r="FP95" s="1186">
        <f t="shared" si="183"/>
        <v>0</v>
      </c>
      <c r="FQ95" s="1184">
        <f>FP95+DO95+EO95                 -         SUMIF('Nährstoffe und Lagerraum'!$AX$113:$AX$155,$CZ95,'Nährstoffe und Lagerraum'!$V$113:$V$155)/12  -$GE95*$HE95/12</f>
        <v>0</v>
      </c>
      <c r="FR95" s="1184">
        <f>FQ95+DP95+EP95                 -         SUMIF('Nährstoffe und Lagerraum'!$AX$113:$AX$155,$CZ95,'Nährstoffe und Lagerraum'!$V$113:$V$155)/12  -$GE95*$HE95/12</f>
        <v>0</v>
      </c>
      <c r="FS95" s="1184">
        <f>FR95+DQ95+EQ95                 -         SUMIF('Nährstoffe und Lagerraum'!$AX$113:$AX$155,$CZ95,'Nährstoffe und Lagerraum'!$V$113:$V$155)/12  -$GE95*$HE95/12</f>
        <v>0</v>
      </c>
      <c r="FT95" s="1184">
        <f>FS95+DR95+ER95                 -         SUMIF('Nährstoffe und Lagerraum'!$AX$113:$AX$155,$CZ95,'Nährstoffe und Lagerraum'!$V$113:$V$155)/12  -$GE95*$HE95/12</f>
        <v>0</v>
      </c>
      <c r="FU95" s="1184">
        <f>FT95+DS95+ES95                 -         SUMIF('Nährstoffe und Lagerraum'!$AX$113:$AX$155,$CZ95,'Nährstoffe und Lagerraum'!$V$113:$V$155)/12  -$GE95*$HE95/12</f>
        <v>0</v>
      </c>
      <c r="FV95" s="1184">
        <f>FU95+DT95+ET95                 -         SUMIF('Nährstoffe und Lagerraum'!$AX$113:$AX$155,$CZ95,'Nährstoffe und Lagerraum'!$V$113:$V$155)/12  -$GE95*$HE95/12</f>
        <v>0</v>
      </c>
      <c r="FW95" s="1184">
        <f>FV95+DU95+EU95                 -         SUMIF('Nährstoffe und Lagerraum'!$AX$113:$AX$155,$CZ95,'Nährstoffe und Lagerraum'!$V$113:$V$155)/12  -$GE95*$HE95/12</f>
        <v>0</v>
      </c>
      <c r="FX95" s="1184">
        <f>FW95+DV95+EV95                 -         SUMIF('Nährstoffe und Lagerraum'!$AX$113:$AX$155,$CZ95,'Nährstoffe und Lagerraum'!$V$113:$V$155)/12  -$GE95*$HE95/12</f>
        <v>0</v>
      </c>
      <c r="FY95" s="1184">
        <f>FX95+DW95+EW95                 -         SUMIF('Nährstoffe und Lagerraum'!$AX$113:$AX$155,$CZ95,'Nährstoffe und Lagerraum'!$V$113:$V$155)/12  -$GE95*$HE95/12</f>
        <v>0</v>
      </c>
      <c r="FZ95" s="1184">
        <f>FY95+DX95+EX95                 -         SUMIF('Nährstoffe und Lagerraum'!$AX$113:$AX$155,$CZ95,'Nährstoffe und Lagerraum'!$V$113:$V$155)/12  -$GE95*$HE95/12</f>
        <v>0</v>
      </c>
      <c r="GA95" s="1184">
        <f>FZ95+DY95+EY95                 -         SUMIF('Nährstoffe und Lagerraum'!$AX$113:$AX$155,$CZ95,'Nährstoffe und Lagerraum'!$V$113:$V$155)/12  -$GE95*$HE95/12</f>
        <v>0</v>
      </c>
      <c r="GB95" s="1184">
        <f>GA95+DZ95+EZ95                 -         SUMIF('Nährstoffe und Lagerraum'!$AX$113:$AX$155,$CZ95,'Nährstoffe und Lagerraum'!$V$113:$V$155)/12  -$GE95*$HE95/12</f>
        <v>0</v>
      </c>
      <c r="GC95" s="1184"/>
      <c r="GD95" s="1184">
        <f>SUMIFS($CI$14:$CI$68,$BR$14:$BR$68,$CZ95)+SUMIFS($CM$14:$CM$68,$BR$14:$BR$68,$CZ95)+SUMIFS($CR$14:$CR$68,$BR$14:$BR$68,$CZ95)  -         SUMIF('Nährstoffe und Lagerraum'!$AX$113:$AX$155,$CZ95,'Nährstoffe und Lagerraum'!$U$113:$U$155)</f>
        <v>0</v>
      </c>
      <c r="GE95" s="1184">
        <f>SUMIFS($CJ$14:$CJ$68,$BR$14:$BR$68,$CZ95)+SUMIFS($CO$14:$CO$68,$BR$14:$BR$68,$CZ95)+SUMIFS($CT$14:$CT$68,$BR$14:$BR$68,$CZ95)  -         SUMIF('Nährstoffe und Lagerraum'!$AX$113:$AX$155,$CZ95,'Nährstoffe und Lagerraum'!$V$113:$V$155)</f>
        <v>0</v>
      </c>
      <c r="GF95" s="1184"/>
      <c r="GG95" s="1184"/>
      <c r="GH95" s="1184">
        <f>SUMIF('Nährstoffe und Lagerraum'!$AX$113:$AX$155,$CZ95,'Nährstoffe und Lagerraum'!$U$113:$U$155)</f>
        <v>0</v>
      </c>
      <c r="GI95" s="1184">
        <f>SUMIF('Nährstoffe und Lagerraum'!$AX$113:$AX$155,$CZ95,'Nährstoffe und Lagerraum'!$V$113:$V$155)</f>
        <v>0</v>
      </c>
      <c r="GJ95" s="1184">
        <f t="shared" si="221"/>
        <v>0</v>
      </c>
      <c r="GK95" s="1184">
        <f t="shared" si="222"/>
        <v>0</v>
      </c>
      <c r="GL95" s="1184">
        <f t="shared" si="223"/>
        <v>0</v>
      </c>
      <c r="GM95" s="1184">
        <f t="shared" si="224"/>
        <v>0</v>
      </c>
      <c r="GN95" s="1184">
        <f t="shared" si="225"/>
        <v>0</v>
      </c>
      <c r="GO95" s="1184" cm="1">
        <f t="array" ref="GO95">IF(GN95=0,0,(IFERROR(SUMPRODUCT($J$14:$J$68,$CH$14:$CH$68,($BR$14:$BR$68=CZ95)*1)+SUMPRODUCT($L$14:$L$68,$M$14:$M$68,$CK$14:$CK$68,($BR$14:$BR$68=CZ95)*1,($BT$14:$BT$68=FALSE)*1)/10+SUMPRODUCT($R$14:$R$68,$CP$14:$CP$68,($BR$14:$BR$68=CZ95)*1),0))/GN95)</f>
        <v>0</v>
      </c>
      <c r="GP95" s="1184">
        <f t="shared" si="226"/>
        <v>0</v>
      </c>
      <c r="GQ95" s="1184">
        <f>(SUMIF('Nährstoffe und Lagerraum'!$AX$113:$AX$130,'Lagerhaltung (freiwillig)'!CZ95,'Nährstoffe und Lagerraum'!$D$113:$D$130)+SUMIF('Nährstoffe und Lagerraum'!$AX$137:$AX$155,'Lagerhaltung (freiwillig)'!CZ95,'Nährstoffe und Lagerraum'!$E$137:$E$155))</f>
        <v>0</v>
      </c>
      <c r="GR95" s="1184" cm="1">
        <f t="array" ref="GR95">IF(GQ95=0,0,(IFERROR(SUMPRODUCT('Nährstoffe und Lagerraum'!$D$113:$D$130,'Nährstoffe und Lagerraum'!$F$113:$F$130,('Nährstoffe und Lagerraum'!$AX$113:$AX$130='Lagerhaltung (freiwillig)'!CZ95)*1)+SUMPRODUCT('Nährstoffe und Lagerraum'!$E$137:$E$155,'Nährstoffe und Lagerraum'!$F$137:$F$155,('Nährstoffe und Lagerraum'!$AX$137:$AX$155='Lagerhaltung (freiwillig)'!CZ95)*1),0))/GQ95)</f>
        <v>0</v>
      </c>
      <c r="GS95" s="1184">
        <f t="shared" si="227"/>
        <v>0</v>
      </c>
      <c r="GT95" s="1184">
        <f t="shared" si="228"/>
        <v>0</v>
      </c>
      <c r="GU95" s="1184">
        <f t="shared" si="229"/>
        <v>0</v>
      </c>
      <c r="GV95" s="1184">
        <f t="shared" si="230"/>
        <v>0</v>
      </c>
      <c r="GW95" s="1186" t="str">
        <f t="shared" si="177"/>
        <v xml:space="preserve"> </v>
      </c>
      <c r="GX95" s="1186" t="str">
        <f t="shared" si="177"/>
        <v xml:space="preserve"> </v>
      </c>
      <c r="GY95" s="1195">
        <f t="shared" si="231"/>
        <v>0</v>
      </c>
      <c r="GZ95" s="1184">
        <f t="shared" si="232"/>
        <v>0</v>
      </c>
      <c r="HA95" s="1184" t="str">
        <f t="shared" si="176"/>
        <v>a</v>
      </c>
      <c r="HB95" s="1196">
        <f t="shared" si="233"/>
        <v>0</v>
      </c>
      <c r="HC95" s="1196">
        <f t="shared" si="234"/>
        <v>0</v>
      </c>
      <c r="HD95" s="1196"/>
      <c r="HE95" s="1187">
        <f t="shared" si="235"/>
        <v>0</v>
      </c>
      <c r="HF95" s="1196">
        <f t="shared" si="236"/>
        <v>0</v>
      </c>
      <c r="HG95" s="1196">
        <f t="shared" si="237"/>
        <v>0</v>
      </c>
      <c r="HH95" s="1196">
        <f t="shared" si="238"/>
        <v>0</v>
      </c>
      <c r="HI95" s="1328" cm="1">
        <f t="array" ref="HI95">IF(AND(HG95=0,GL95=0),0,IF(HG95=0,1,IF(OR(GL95*1000/HG95/HH95&gt;INDEX(Pflanzen!$W$5:$W$104,CZ95)/INDEX(Pflanzen!$I$5:$I$104,CZ95)*$HI$2,GL95*1000/HG95/HH95&lt;INDEX(Pflanzen!$W$5:$W$104,CZ95)/INDEX(Pflanzen!$I$5:$I$104,CZ95)/$HI$2),1,0)))</f>
        <v>0</v>
      </c>
      <c r="HJ95" s="1328" cm="1">
        <f t="array" ref="HJ95">IF(AND(GM95=0,HG95=0),0,IF(HG95=0,1,IF(OR(GM95*1000/HG95/HH95&gt;INDEX(Pflanzen!$X$5:$X$104,CZ95)/INDEX(Pflanzen!$I$5:$I$104,CZ95)*$HI$2,GM95*1000/HG95/HH95&lt;INDEX(Pflanzen!$X$5:$X$104,CZ95)/INDEX(Pflanzen!$I$5:$I$104,CZ95)/$HI$2),1,0)))</f>
        <v>0</v>
      </c>
      <c r="HK95" s="1184">
        <f t="shared" si="239"/>
        <v>3</v>
      </c>
      <c r="HL95" s="1184"/>
      <c r="HN95" s="1184"/>
      <c r="HO95" s="1184"/>
      <c r="HP95" s="1184"/>
      <c r="HQ95" s="1184"/>
      <c r="HR95" s="1184"/>
      <c r="HS95" s="1184"/>
      <c r="HT95" s="1184"/>
      <c r="HU95" s="1184"/>
      <c r="HV95" s="1184"/>
      <c r="HW95" s="1184"/>
      <c r="HX95" s="1184"/>
      <c r="HY95" s="1184"/>
      <c r="HZ95" s="1184"/>
      <c r="IA95" s="1184"/>
      <c r="IB95" s="1184"/>
      <c r="IC95" s="1184"/>
      <c r="ID95" s="1184"/>
      <c r="IE95" s="1184"/>
      <c r="IF95" s="1184"/>
      <c r="IG95" s="1184"/>
      <c r="IH95" s="1184"/>
      <c r="II95" s="1184"/>
      <c r="IJ95" s="1184"/>
      <c r="IK95" s="1184"/>
      <c r="IL95" s="1184"/>
    </row>
    <row r="96" spans="1:246" ht="12" customHeight="1" x14ac:dyDescent="0.2">
      <c r="A96" s="3000"/>
      <c r="B96" s="3001"/>
      <c r="C96" s="3001"/>
      <c r="D96" s="3001"/>
      <c r="E96" s="3002"/>
      <c r="F96" s="3088"/>
      <c r="G96" s="3117"/>
      <c r="H96" s="3117"/>
      <c r="I96" s="3117"/>
      <c r="J96" s="3117"/>
      <c r="K96" s="3089"/>
      <c r="L96" s="3088" t="s">
        <v>8250</v>
      </c>
      <c r="M96" s="3089"/>
      <c r="N96" s="3088"/>
      <c r="O96" s="3117"/>
      <c r="P96" s="3117"/>
      <c r="Q96" s="3089"/>
      <c r="R96" s="696"/>
      <c r="S96" s="242"/>
      <c r="T96" s="242"/>
      <c r="U96" s="242"/>
      <c r="V96" s="242"/>
      <c r="Y96" s="1981"/>
      <c r="Z96" s="1982"/>
      <c r="AA96" s="1982"/>
      <c r="AB96" s="1982"/>
      <c r="AC96" s="1983"/>
      <c r="AD96" s="1983"/>
      <c r="AE96" s="1983"/>
      <c r="AF96" s="1983"/>
      <c r="AG96" s="1983"/>
      <c r="AH96" s="1983"/>
      <c r="AI96" s="1983"/>
      <c r="AJ96" s="1983"/>
      <c r="AK96" s="1983"/>
      <c r="AL96" s="1984"/>
      <c r="AM96" s="1983"/>
      <c r="AN96" s="1983"/>
      <c r="AO96" s="1983"/>
      <c r="AP96" s="1983"/>
      <c r="AQ96" s="1983"/>
      <c r="AR96" s="1983"/>
      <c r="AS96" s="1983"/>
      <c r="AT96" s="1983"/>
      <c r="AU96" s="1983"/>
      <c r="AV96" s="1983"/>
      <c r="AW96" s="1985"/>
      <c r="AX96" s="1985"/>
      <c r="AY96" s="1985"/>
      <c r="AZ96" s="1985"/>
      <c r="BA96" s="1462"/>
      <c r="BB96" s="1462"/>
      <c r="BC96" s="1462"/>
      <c r="BD96" s="1461"/>
      <c r="BE96" s="1462"/>
      <c r="BF96" s="1343"/>
      <c r="BG96" s="1343"/>
      <c r="BH96" s="1343"/>
      <c r="BI96" s="1343"/>
      <c r="BJ96" s="1343"/>
      <c r="BK96" s="1343"/>
      <c r="BL96" s="1343"/>
      <c r="BM96" s="1343"/>
      <c r="BN96" s="1343"/>
      <c r="BO96" s="1343"/>
      <c r="BQ96" s="1184"/>
      <c r="BR96" s="1184"/>
      <c r="BS96" s="1184"/>
      <c r="BT96" s="1184"/>
      <c r="BU96" s="1200"/>
      <c r="BV96" s="1200"/>
      <c r="BW96" s="1184"/>
      <c r="BX96" s="1184"/>
      <c r="BY96" s="1184"/>
      <c r="BZ96" s="1184"/>
      <c r="CA96" s="1184"/>
      <c r="CB96" s="1184"/>
      <c r="CC96" s="1184"/>
      <c r="CD96" s="1184"/>
      <c r="CE96" s="1184"/>
      <c r="CF96" s="1184"/>
      <c r="CG96" s="1184"/>
      <c r="CH96" s="1184"/>
      <c r="CI96" s="1184"/>
      <c r="CJ96" s="1184"/>
      <c r="CK96" s="1184"/>
      <c r="CL96" s="1184"/>
      <c r="CM96" s="1184"/>
      <c r="CN96" s="1184"/>
      <c r="CO96" s="1184"/>
      <c r="CP96" s="1184"/>
      <c r="CQ96" s="1184"/>
      <c r="CR96" s="1184"/>
      <c r="CS96" s="1184"/>
      <c r="CT96" s="1184"/>
      <c r="CU96" s="1184"/>
      <c r="CV96" s="1184"/>
      <c r="CW96" s="1184"/>
      <c r="CX96" s="1184"/>
      <c r="CY96" s="320" t="str">
        <f>Pflanzen!A92</f>
        <v>Mastschweinegülle, N-/P-red. Fütterung</v>
      </c>
      <c r="CZ96" s="1200">
        <f>IFERROR(MATCH($CY96,Pflanzen!$C$5:$C$114,0),1)</f>
        <v>83</v>
      </c>
      <c r="DA96" s="320" cm="1">
        <f t="array" ref="DA96">INDEX(Pflanzen!$H$5:$H$114,'Lagerhaltung (freiwillig)'!CZ96)</f>
        <v>0</v>
      </c>
      <c r="DB96" s="1200">
        <f t="shared" si="240"/>
        <v>0</v>
      </c>
      <c r="DC96" s="1200">
        <f t="shared" si="240"/>
        <v>0</v>
      </c>
      <c r="DD96" s="1200">
        <f t="shared" si="240"/>
        <v>0</v>
      </c>
      <c r="DE96" s="1200">
        <f t="shared" si="240"/>
        <v>0</v>
      </c>
      <c r="DF96" s="1200">
        <f t="shared" si="240"/>
        <v>0</v>
      </c>
      <c r="DG96" s="1184">
        <f t="shared" si="240"/>
        <v>0</v>
      </c>
      <c r="DH96" s="1184">
        <f t="shared" si="240"/>
        <v>0</v>
      </c>
      <c r="DI96" s="1184">
        <f t="shared" si="240"/>
        <v>0</v>
      </c>
      <c r="DJ96" s="1184">
        <f t="shared" si="240"/>
        <v>0</v>
      </c>
      <c r="DK96" s="1184">
        <f t="shared" si="240"/>
        <v>0</v>
      </c>
      <c r="DL96" s="1184">
        <f t="shared" si="240"/>
        <v>0</v>
      </c>
      <c r="DM96" s="1184">
        <f t="shared" si="240"/>
        <v>0</v>
      </c>
      <c r="DN96" s="1184"/>
      <c r="DO96" s="1184">
        <f t="shared" si="241"/>
        <v>0</v>
      </c>
      <c r="DP96" s="1184">
        <f t="shared" si="241"/>
        <v>0</v>
      </c>
      <c r="DQ96" s="1184">
        <f t="shared" si="241"/>
        <v>0</v>
      </c>
      <c r="DR96" s="1184">
        <f t="shared" si="241"/>
        <v>0</v>
      </c>
      <c r="DS96" s="1184">
        <f t="shared" si="241"/>
        <v>0</v>
      </c>
      <c r="DT96" s="1184">
        <f t="shared" si="241"/>
        <v>0</v>
      </c>
      <c r="DU96" s="1184">
        <f t="shared" si="241"/>
        <v>0</v>
      </c>
      <c r="DV96" s="1184">
        <f t="shared" si="241"/>
        <v>0</v>
      </c>
      <c r="DW96" s="1184">
        <f t="shared" si="241"/>
        <v>0</v>
      </c>
      <c r="DX96" s="1184">
        <f t="shared" si="241"/>
        <v>0</v>
      </c>
      <c r="DY96" s="1184">
        <f t="shared" si="241"/>
        <v>0</v>
      </c>
      <c r="DZ96" s="1184">
        <f t="shared" si="241"/>
        <v>0</v>
      </c>
      <c r="EA96" s="1184"/>
      <c r="EB96" s="1184">
        <f t="shared" si="242"/>
        <v>0</v>
      </c>
      <c r="EC96" s="1184">
        <f t="shared" si="242"/>
        <v>0</v>
      </c>
      <c r="ED96" s="1184">
        <f t="shared" si="242"/>
        <v>0</v>
      </c>
      <c r="EE96" s="1184">
        <f t="shared" si="242"/>
        <v>0</v>
      </c>
      <c r="EF96" s="1184">
        <f t="shared" si="242"/>
        <v>0</v>
      </c>
      <c r="EG96" s="1184">
        <f t="shared" si="242"/>
        <v>0</v>
      </c>
      <c r="EH96" s="1184">
        <f t="shared" si="242"/>
        <v>0</v>
      </c>
      <c r="EI96" s="1184">
        <f t="shared" si="242"/>
        <v>0</v>
      </c>
      <c r="EJ96" s="1184">
        <f t="shared" si="242"/>
        <v>0</v>
      </c>
      <c r="EK96" s="1184">
        <f t="shared" si="242"/>
        <v>0</v>
      </c>
      <c r="EL96" s="1184">
        <f t="shared" si="242"/>
        <v>0</v>
      </c>
      <c r="EM96" s="1184">
        <f t="shared" si="242"/>
        <v>0</v>
      </c>
      <c r="EN96" s="1184"/>
      <c r="EO96" s="1184">
        <f t="shared" si="243"/>
        <v>0</v>
      </c>
      <c r="EP96" s="1184">
        <f t="shared" si="243"/>
        <v>0</v>
      </c>
      <c r="EQ96" s="1184">
        <f t="shared" si="243"/>
        <v>0</v>
      </c>
      <c r="ER96" s="1184">
        <f t="shared" si="243"/>
        <v>0</v>
      </c>
      <c r="ES96" s="1184">
        <f t="shared" si="243"/>
        <v>0</v>
      </c>
      <c r="ET96" s="1184">
        <f t="shared" si="243"/>
        <v>0</v>
      </c>
      <c r="EU96" s="1184">
        <f t="shared" si="243"/>
        <v>0</v>
      </c>
      <c r="EV96" s="1184">
        <f t="shared" si="243"/>
        <v>0</v>
      </c>
      <c r="EW96" s="1184">
        <f t="shared" si="243"/>
        <v>0</v>
      </c>
      <c r="EX96" s="1184">
        <f t="shared" si="243"/>
        <v>0</v>
      </c>
      <c r="EY96" s="1184">
        <f t="shared" si="243"/>
        <v>0</v>
      </c>
      <c r="EZ96" s="1184">
        <f t="shared" si="243"/>
        <v>0</v>
      </c>
      <c r="FA96" s="1184"/>
      <c r="FB96" s="1186">
        <f t="shared" si="182"/>
        <v>0</v>
      </c>
      <c r="FC96" s="1184">
        <f>FB96+DB96+EB96                 -         SUMIF('Nährstoffe und Lagerraum'!$AX$113:$AX$155,$CZ96,'Nährstoffe und Lagerraum'!$U$113:$U$155)/12  -$GD96*$HE96/12</f>
        <v>0</v>
      </c>
      <c r="FD96" s="1184">
        <f>FC96+DC96+EC96                 -         SUMIF('Nährstoffe und Lagerraum'!$AX$113:$AX$155,$CZ96,'Nährstoffe und Lagerraum'!$U$113:$U$155)/12  -$GD96*$HE96/12</f>
        <v>0</v>
      </c>
      <c r="FE96" s="1184">
        <f>FD96+DD96+ED96                 -         SUMIF('Nährstoffe und Lagerraum'!$AX$113:$AX$155,$CZ96,'Nährstoffe und Lagerraum'!$U$113:$U$155)/12  -$GD96*$HE96/12</f>
        <v>0</v>
      </c>
      <c r="FF96" s="1184">
        <f>FE96+DE96+EE96                 -         SUMIF('Nährstoffe und Lagerraum'!$AX$113:$AX$155,$CZ96,'Nährstoffe und Lagerraum'!$U$113:$U$155)/12  -$GD96*$HE96/12</f>
        <v>0</v>
      </c>
      <c r="FG96" s="1184">
        <f>FF96+DF96+EF96                 -         SUMIF('Nährstoffe und Lagerraum'!$AX$113:$AX$155,$CZ96,'Nährstoffe und Lagerraum'!$U$113:$U$155)/12  -$GD96*$HE96/12</f>
        <v>0</v>
      </c>
      <c r="FH96" s="1184">
        <f>FG96+DG96+EG96                 -         SUMIF('Nährstoffe und Lagerraum'!$AX$113:$AX$155,$CZ96,'Nährstoffe und Lagerraum'!$U$113:$U$155)/12  -$GD96*$HE96/12</f>
        <v>0</v>
      </c>
      <c r="FI96" s="1184">
        <f>FH96+DH96+EH96                 -         SUMIF('Nährstoffe und Lagerraum'!$AX$113:$AX$155,$CZ96,'Nährstoffe und Lagerraum'!$U$113:$U$155)/12  -$GD96*$HE96/12</f>
        <v>0</v>
      </c>
      <c r="FJ96" s="1184">
        <f>FI96+DI96+EI96                 -         SUMIF('Nährstoffe und Lagerraum'!$AX$113:$AX$155,$CZ96,'Nährstoffe und Lagerraum'!$U$113:$U$155)/12  -$GD96*$HE96/12</f>
        <v>0</v>
      </c>
      <c r="FK96" s="1184">
        <f>FJ96+DJ96+EJ96                 -         SUMIF('Nährstoffe und Lagerraum'!$AX$113:$AX$155,$CZ96,'Nährstoffe und Lagerraum'!$U$113:$U$155)/12  -$GD96*$HE96/12</f>
        <v>0</v>
      </c>
      <c r="FL96" s="1184">
        <f>FK96+DK96+EK96                 -         SUMIF('Nährstoffe und Lagerraum'!$AX$113:$AX$155,$CZ96,'Nährstoffe und Lagerraum'!$U$113:$U$155)/12  -$GD96*$HE96/12</f>
        <v>0</v>
      </c>
      <c r="FM96" s="1184">
        <f>FL96+DL96+EL96                 -         SUMIF('Nährstoffe und Lagerraum'!$AX$113:$AX$155,$CZ96,'Nährstoffe und Lagerraum'!$U$113:$U$155)/12  -$GD96*$HE96/12</f>
        <v>0</v>
      </c>
      <c r="FN96" s="1184">
        <f>FM96+DM96+EM96                 -         SUMIF('Nährstoffe und Lagerraum'!$AX$113:$AX$155,$CZ96,'Nährstoffe und Lagerraum'!$U$113:$U$155)/12  -$GD96*$HE96/12</f>
        <v>0</v>
      </c>
      <c r="FO96" s="1184"/>
      <c r="FP96" s="1186">
        <f t="shared" si="183"/>
        <v>0</v>
      </c>
      <c r="FQ96" s="1184">
        <f>FP96+DO96+EO96                 -         SUMIF('Nährstoffe und Lagerraum'!$AX$113:$AX$155,$CZ96,'Nährstoffe und Lagerraum'!$V$113:$V$155)/12  -$GE96*$HE96/12</f>
        <v>0</v>
      </c>
      <c r="FR96" s="1184">
        <f>FQ96+DP96+EP96                 -         SUMIF('Nährstoffe und Lagerraum'!$AX$113:$AX$155,$CZ96,'Nährstoffe und Lagerraum'!$V$113:$V$155)/12  -$GE96*$HE96/12</f>
        <v>0</v>
      </c>
      <c r="FS96" s="1184">
        <f>FR96+DQ96+EQ96                 -         SUMIF('Nährstoffe und Lagerraum'!$AX$113:$AX$155,$CZ96,'Nährstoffe und Lagerraum'!$V$113:$V$155)/12  -$GE96*$HE96/12</f>
        <v>0</v>
      </c>
      <c r="FT96" s="1184">
        <f>FS96+DR96+ER96                 -         SUMIF('Nährstoffe und Lagerraum'!$AX$113:$AX$155,$CZ96,'Nährstoffe und Lagerraum'!$V$113:$V$155)/12  -$GE96*$HE96/12</f>
        <v>0</v>
      </c>
      <c r="FU96" s="1184">
        <f>FT96+DS96+ES96                 -         SUMIF('Nährstoffe und Lagerraum'!$AX$113:$AX$155,$CZ96,'Nährstoffe und Lagerraum'!$V$113:$V$155)/12  -$GE96*$HE96/12</f>
        <v>0</v>
      </c>
      <c r="FV96" s="1184">
        <f>FU96+DT96+ET96                 -         SUMIF('Nährstoffe und Lagerraum'!$AX$113:$AX$155,$CZ96,'Nährstoffe und Lagerraum'!$V$113:$V$155)/12  -$GE96*$HE96/12</f>
        <v>0</v>
      </c>
      <c r="FW96" s="1184">
        <f>FV96+DU96+EU96                 -         SUMIF('Nährstoffe und Lagerraum'!$AX$113:$AX$155,$CZ96,'Nährstoffe und Lagerraum'!$V$113:$V$155)/12  -$GE96*$HE96/12</f>
        <v>0</v>
      </c>
      <c r="FX96" s="1184">
        <f>FW96+DV96+EV96                 -         SUMIF('Nährstoffe und Lagerraum'!$AX$113:$AX$155,$CZ96,'Nährstoffe und Lagerraum'!$V$113:$V$155)/12  -$GE96*$HE96/12</f>
        <v>0</v>
      </c>
      <c r="FY96" s="1184">
        <f>FX96+DW96+EW96                 -         SUMIF('Nährstoffe und Lagerraum'!$AX$113:$AX$155,$CZ96,'Nährstoffe und Lagerraum'!$V$113:$V$155)/12  -$GE96*$HE96/12</f>
        <v>0</v>
      </c>
      <c r="FZ96" s="1184">
        <f>FY96+DX96+EX96                 -         SUMIF('Nährstoffe und Lagerraum'!$AX$113:$AX$155,$CZ96,'Nährstoffe und Lagerraum'!$V$113:$V$155)/12  -$GE96*$HE96/12</f>
        <v>0</v>
      </c>
      <c r="GA96" s="1184">
        <f>FZ96+DY96+EY96                 -         SUMIF('Nährstoffe und Lagerraum'!$AX$113:$AX$155,$CZ96,'Nährstoffe und Lagerraum'!$V$113:$V$155)/12  -$GE96*$HE96/12</f>
        <v>0</v>
      </c>
      <c r="GB96" s="1184">
        <f>GA96+DZ96+EZ96                 -         SUMIF('Nährstoffe und Lagerraum'!$AX$113:$AX$155,$CZ96,'Nährstoffe und Lagerraum'!$V$113:$V$155)/12  -$GE96*$HE96/12</f>
        <v>0</v>
      </c>
      <c r="GC96" s="1184"/>
      <c r="GD96" s="1184">
        <f>SUMIFS($CI$14:$CI$68,$BR$14:$BR$68,$CZ96)+SUMIFS($CM$14:$CM$68,$BR$14:$BR$68,$CZ96)+SUMIFS($CR$14:$CR$68,$BR$14:$BR$68,$CZ96)  -         SUMIF('Nährstoffe und Lagerraum'!$AX$113:$AX$155,$CZ96,'Nährstoffe und Lagerraum'!$U$113:$U$155)</f>
        <v>0</v>
      </c>
      <c r="GE96" s="1184">
        <f>SUMIFS($CJ$14:$CJ$68,$BR$14:$BR$68,$CZ96)+SUMIFS($CO$14:$CO$68,$BR$14:$BR$68,$CZ96)+SUMIFS($CT$14:$CT$68,$BR$14:$BR$68,$CZ96)  -         SUMIF('Nährstoffe und Lagerraum'!$AX$113:$AX$155,$CZ96,'Nährstoffe und Lagerraum'!$V$113:$V$155)</f>
        <v>0</v>
      </c>
      <c r="GF96" s="1184"/>
      <c r="GG96" s="1184"/>
      <c r="GH96" s="1184">
        <f>SUMIF('Nährstoffe und Lagerraum'!$AX$113:$AX$155,$CZ96,'Nährstoffe und Lagerraum'!$U$113:$U$155)</f>
        <v>0</v>
      </c>
      <c r="GI96" s="1184">
        <f>SUMIF('Nährstoffe und Lagerraum'!$AX$113:$AX$155,$CZ96,'Nährstoffe und Lagerraum'!$V$113:$V$155)</f>
        <v>0</v>
      </c>
      <c r="GJ96" s="1184">
        <f t="shared" si="221"/>
        <v>0</v>
      </c>
      <c r="GK96" s="1184">
        <f t="shared" si="222"/>
        <v>0</v>
      </c>
      <c r="GL96" s="1184">
        <f t="shared" si="223"/>
        <v>0</v>
      </c>
      <c r="GM96" s="1184">
        <f t="shared" si="224"/>
        <v>0</v>
      </c>
      <c r="GN96" s="1184">
        <f t="shared" si="225"/>
        <v>0</v>
      </c>
      <c r="GO96" s="1184" cm="1">
        <f t="array" ref="GO96">IF(GN96=0,0,(IFERROR(SUMPRODUCT($J$14:$J$68,$CH$14:$CH$68,($BR$14:$BR$68=CZ96)*1)+SUMPRODUCT($L$14:$L$68,$M$14:$M$68,$CK$14:$CK$68,($BR$14:$BR$68=CZ96)*1,($BT$14:$BT$68=FALSE)*1)/10+SUMPRODUCT($R$14:$R$68,$CP$14:$CP$68,($BR$14:$BR$68=CZ96)*1),0))/GN96)</f>
        <v>0</v>
      </c>
      <c r="GP96" s="1184">
        <f t="shared" si="226"/>
        <v>0</v>
      </c>
      <c r="GQ96" s="1184">
        <f>(SUMIF('Nährstoffe und Lagerraum'!$AX$113:$AX$130,'Lagerhaltung (freiwillig)'!CZ96,'Nährstoffe und Lagerraum'!$D$113:$D$130)+SUMIF('Nährstoffe und Lagerraum'!$AX$137:$AX$155,'Lagerhaltung (freiwillig)'!CZ96,'Nährstoffe und Lagerraum'!$E$137:$E$155))</f>
        <v>0</v>
      </c>
      <c r="GR96" s="1184" cm="1">
        <f t="array" ref="GR96">IF(GQ96=0,0,(IFERROR(SUMPRODUCT('Nährstoffe und Lagerraum'!$D$113:$D$130,'Nährstoffe und Lagerraum'!$F$113:$F$130,('Nährstoffe und Lagerraum'!$AX$113:$AX$130='Lagerhaltung (freiwillig)'!CZ96)*1)+SUMPRODUCT('Nährstoffe und Lagerraum'!$E$137:$E$155,'Nährstoffe und Lagerraum'!$F$137:$F$155,('Nährstoffe und Lagerraum'!$AX$137:$AX$155='Lagerhaltung (freiwillig)'!CZ96)*1),0))/GQ96)</f>
        <v>0</v>
      </c>
      <c r="GS96" s="1184">
        <f t="shared" si="227"/>
        <v>0</v>
      </c>
      <c r="GT96" s="1184">
        <f t="shared" si="228"/>
        <v>0</v>
      </c>
      <c r="GU96" s="1184">
        <f t="shared" si="229"/>
        <v>0</v>
      </c>
      <c r="GV96" s="1184">
        <f t="shared" si="230"/>
        <v>0</v>
      </c>
      <c r="GW96" s="1186" t="str">
        <f t="shared" si="177"/>
        <v xml:space="preserve"> </v>
      </c>
      <c r="GX96" s="1186" t="str">
        <f t="shared" si="177"/>
        <v xml:space="preserve"> </v>
      </c>
      <c r="GY96" s="1195">
        <f t="shared" si="231"/>
        <v>0</v>
      </c>
      <c r="GZ96" s="1184">
        <f t="shared" si="232"/>
        <v>0</v>
      </c>
      <c r="HA96" s="1184" t="str">
        <f t="shared" si="176"/>
        <v>a</v>
      </c>
      <c r="HB96" s="1196">
        <f t="shared" si="233"/>
        <v>0</v>
      </c>
      <c r="HC96" s="1196">
        <f t="shared" si="234"/>
        <v>0</v>
      </c>
      <c r="HD96" s="1196"/>
      <c r="HE96" s="1187">
        <f t="shared" si="235"/>
        <v>0</v>
      </c>
      <c r="HF96" s="1196">
        <f t="shared" si="236"/>
        <v>0</v>
      </c>
      <c r="HG96" s="1196">
        <f t="shared" si="237"/>
        <v>0</v>
      </c>
      <c r="HH96" s="1196">
        <f t="shared" si="238"/>
        <v>0</v>
      </c>
      <c r="HI96" s="1328" cm="1">
        <f t="array" ref="HI96">IF(AND(HG96=0,GL96=0),0,IF(HG96=0,1,IF(OR(GL96*1000/HG96/HH96&gt;INDEX(Pflanzen!$W$5:$W$104,CZ96)/INDEX(Pflanzen!$I$5:$I$104,CZ96)*$HI$2,GL96*1000/HG96/HH96&lt;INDEX(Pflanzen!$W$5:$W$104,CZ96)/INDEX(Pflanzen!$I$5:$I$104,CZ96)/$HI$2),1,0)))</f>
        <v>0</v>
      </c>
      <c r="HJ96" s="1328" cm="1">
        <f t="array" ref="HJ96">IF(AND(GM96=0,HG96=0),0,IF(HG96=0,1,IF(OR(GM96*1000/HG96/HH96&gt;INDEX(Pflanzen!$X$5:$X$104,CZ96)/INDEX(Pflanzen!$I$5:$I$104,CZ96)*$HI$2,GM96*1000/HG96/HH96&lt;INDEX(Pflanzen!$X$5:$X$104,CZ96)/INDEX(Pflanzen!$I$5:$I$104,CZ96)/$HI$2),1,0)))</f>
        <v>0</v>
      </c>
      <c r="HK96" s="1184">
        <f t="shared" si="239"/>
        <v>3</v>
      </c>
      <c r="HL96" s="1184"/>
      <c r="HN96" s="1184"/>
      <c r="HO96" s="1184"/>
      <c r="HP96" s="1184"/>
      <c r="HQ96" s="1184"/>
      <c r="HR96" s="1184"/>
      <c r="HS96" s="1184"/>
      <c r="HT96" s="1184"/>
      <c r="HU96" s="1184"/>
      <c r="HV96" s="1184"/>
      <c r="HW96" s="1184"/>
      <c r="HX96" s="1184"/>
      <c r="HY96" s="1184"/>
      <c r="HZ96" s="1184"/>
      <c r="IA96" s="1184"/>
      <c r="IB96" s="1184"/>
      <c r="IC96" s="1184"/>
      <c r="ID96" s="1184"/>
      <c r="IE96" s="1184"/>
      <c r="IF96" s="1184"/>
      <c r="IG96" s="1184"/>
      <c r="IH96" s="1184"/>
      <c r="II96" s="1184"/>
      <c r="IJ96" s="1184"/>
      <c r="IK96" s="1184"/>
      <c r="IL96" s="1184"/>
    </row>
    <row r="97" spans="1:246" ht="12" customHeight="1" thickBot="1" x14ac:dyDescent="0.35">
      <c r="A97" s="3003"/>
      <c r="B97" s="3004"/>
      <c r="C97" s="3004"/>
      <c r="D97" s="3004"/>
      <c r="E97" s="3005"/>
      <c r="F97" s="3151"/>
      <c r="G97" s="3152"/>
      <c r="H97" s="3152"/>
      <c r="I97" s="3152"/>
      <c r="J97" s="3152"/>
      <c r="K97" s="3009"/>
      <c r="L97" s="2181" t="s">
        <v>4</v>
      </c>
      <c r="M97" s="1853" t="s">
        <v>292</v>
      </c>
      <c r="N97" s="3066" t="s">
        <v>4</v>
      </c>
      <c r="O97" s="3067"/>
      <c r="P97" s="3118" t="s">
        <v>292</v>
      </c>
      <c r="Q97" s="3119"/>
      <c r="R97" s="696"/>
      <c r="S97" s="242"/>
      <c r="T97" s="242"/>
      <c r="U97" s="242"/>
      <c r="V97" s="242"/>
      <c r="Y97" s="1981"/>
      <c r="Z97" s="1982"/>
      <c r="AA97" s="1982"/>
      <c r="AB97" s="1982"/>
      <c r="AC97" s="1983"/>
      <c r="AD97" s="1983"/>
      <c r="AE97" s="1983"/>
      <c r="AF97" s="1983"/>
      <c r="AG97" s="1983"/>
      <c r="AH97" s="1983"/>
      <c r="AI97" s="1983"/>
      <c r="AJ97" s="1983"/>
      <c r="AK97" s="1983"/>
      <c r="AL97" s="1984"/>
      <c r="AM97" s="1983"/>
      <c r="AN97" s="1983"/>
      <c r="AO97" s="1983"/>
      <c r="AP97" s="1983"/>
      <c r="AQ97" s="1983"/>
      <c r="AR97" s="1983"/>
      <c r="AS97" s="1983"/>
      <c r="AT97" s="1983"/>
      <c r="AU97" s="1983"/>
      <c r="AV97" s="1983"/>
      <c r="AW97" s="1985"/>
      <c r="AX97" s="1985"/>
      <c r="AY97" s="1985"/>
      <c r="AZ97" s="1985"/>
      <c r="BA97" s="1462"/>
      <c r="BB97" s="1462"/>
      <c r="BC97" s="1462"/>
      <c r="BD97" s="1461"/>
      <c r="BE97" s="1462"/>
      <c r="BF97" s="1343"/>
      <c r="BG97" s="1343"/>
      <c r="BH97" s="1343"/>
      <c r="BI97" s="1343"/>
      <c r="BJ97" s="1343"/>
      <c r="BK97" s="1343"/>
      <c r="BL97" s="1343"/>
      <c r="BM97" s="1343"/>
      <c r="BN97" s="1343"/>
      <c r="BO97" s="1343"/>
      <c r="BQ97" s="1186" t="s">
        <v>1008</v>
      </c>
      <c r="BR97" s="1186" t="s">
        <v>231</v>
      </c>
      <c r="BS97" s="1186"/>
      <c r="BT97" s="1186" t="s">
        <v>8252</v>
      </c>
      <c r="BU97" s="1209" t="s">
        <v>8250</v>
      </c>
      <c r="BV97" s="1200"/>
      <c r="BW97" s="1184"/>
      <c r="BX97" s="1184"/>
      <c r="BY97" s="1184"/>
      <c r="BZ97" s="1184"/>
      <c r="CA97" s="1186" t="s">
        <v>8305</v>
      </c>
      <c r="CB97" s="1184"/>
      <c r="CC97" s="1184"/>
      <c r="CD97" s="1184"/>
      <c r="CE97" s="1184"/>
      <c r="CF97" s="1186" t="s">
        <v>8234</v>
      </c>
      <c r="CG97" s="1186"/>
      <c r="CH97" s="1184"/>
      <c r="CI97" s="1184"/>
      <c r="CJ97" s="1184"/>
      <c r="CK97" s="1184"/>
      <c r="CL97" s="1184"/>
      <c r="CM97" s="1184"/>
      <c r="CN97" s="1184"/>
      <c r="CO97" s="1184"/>
      <c r="CP97" s="1184"/>
      <c r="CQ97" s="1184"/>
      <c r="CR97" s="1184"/>
      <c r="CS97" s="1184"/>
      <c r="CT97" s="1184"/>
      <c r="CU97" s="1184"/>
      <c r="CV97" s="1184"/>
      <c r="CW97" s="1184"/>
      <c r="CX97" s="1184"/>
      <c r="CY97" s="320" t="str">
        <f>Pflanzen!A93</f>
        <v>Mastschweinegülle, stark N-/P-red. Fütterung</v>
      </c>
      <c r="CZ97" s="1200">
        <f>IFERROR(MATCH($CY97,Pflanzen!$C$5:$C$114,0),1)</f>
        <v>84</v>
      </c>
      <c r="DA97" s="320" cm="1">
        <f t="array" ref="DA97">INDEX(Pflanzen!$H$5:$H$114,'Lagerhaltung (freiwillig)'!CZ97)</f>
        <v>0</v>
      </c>
      <c r="DB97" s="1200">
        <f t="shared" si="240"/>
        <v>0</v>
      </c>
      <c r="DC97" s="1200">
        <f t="shared" si="240"/>
        <v>0</v>
      </c>
      <c r="DD97" s="1200">
        <f t="shared" si="240"/>
        <v>0</v>
      </c>
      <c r="DE97" s="1200">
        <f t="shared" si="240"/>
        <v>0</v>
      </c>
      <c r="DF97" s="1200">
        <f t="shared" si="240"/>
        <v>0</v>
      </c>
      <c r="DG97" s="1184">
        <f t="shared" si="240"/>
        <v>0</v>
      </c>
      <c r="DH97" s="1184">
        <f t="shared" si="240"/>
        <v>0</v>
      </c>
      <c r="DI97" s="1184">
        <f t="shared" si="240"/>
        <v>0</v>
      </c>
      <c r="DJ97" s="1184">
        <f t="shared" si="240"/>
        <v>0</v>
      </c>
      <c r="DK97" s="1184">
        <f t="shared" si="240"/>
        <v>0</v>
      </c>
      <c r="DL97" s="1184">
        <f t="shared" si="240"/>
        <v>0</v>
      </c>
      <c r="DM97" s="1184">
        <f t="shared" si="240"/>
        <v>0</v>
      </c>
      <c r="DN97" s="1184"/>
      <c r="DO97" s="1184">
        <f t="shared" si="241"/>
        <v>0</v>
      </c>
      <c r="DP97" s="1184">
        <f t="shared" si="241"/>
        <v>0</v>
      </c>
      <c r="DQ97" s="1184">
        <f t="shared" si="241"/>
        <v>0</v>
      </c>
      <c r="DR97" s="1184">
        <f t="shared" si="241"/>
        <v>0</v>
      </c>
      <c r="DS97" s="1184">
        <f t="shared" si="241"/>
        <v>0</v>
      </c>
      <c r="DT97" s="1184">
        <f t="shared" si="241"/>
        <v>0</v>
      </c>
      <c r="DU97" s="1184">
        <f t="shared" si="241"/>
        <v>0</v>
      </c>
      <c r="DV97" s="1184">
        <f t="shared" si="241"/>
        <v>0</v>
      </c>
      <c r="DW97" s="1184">
        <f t="shared" si="241"/>
        <v>0</v>
      </c>
      <c r="DX97" s="1184">
        <f t="shared" si="241"/>
        <v>0</v>
      </c>
      <c r="DY97" s="1184">
        <f t="shared" si="241"/>
        <v>0</v>
      </c>
      <c r="DZ97" s="1184">
        <f t="shared" si="241"/>
        <v>0</v>
      </c>
      <c r="EA97" s="1184"/>
      <c r="EB97" s="1184">
        <f t="shared" si="242"/>
        <v>0</v>
      </c>
      <c r="EC97" s="1184">
        <f t="shared" si="242"/>
        <v>0</v>
      </c>
      <c r="ED97" s="1184">
        <f t="shared" si="242"/>
        <v>0</v>
      </c>
      <c r="EE97" s="1184">
        <f t="shared" si="242"/>
        <v>0</v>
      </c>
      <c r="EF97" s="1184">
        <f t="shared" si="242"/>
        <v>0</v>
      </c>
      <c r="EG97" s="1184">
        <f t="shared" si="242"/>
        <v>0</v>
      </c>
      <c r="EH97" s="1184">
        <f t="shared" si="242"/>
        <v>0</v>
      </c>
      <c r="EI97" s="1184">
        <f t="shared" si="242"/>
        <v>0</v>
      </c>
      <c r="EJ97" s="1184">
        <f t="shared" si="242"/>
        <v>0</v>
      </c>
      <c r="EK97" s="1184">
        <f t="shared" si="242"/>
        <v>0</v>
      </c>
      <c r="EL97" s="1184">
        <f t="shared" si="242"/>
        <v>0</v>
      </c>
      <c r="EM97" s="1184">
        <f t="shared" si="242"/>
        <v>0</v>
      </c>
      <c r="EN97" s="1184"/>
      <c r="EO97" s="1184">
        <f t="shared" si="243"/>
        <v>0</v>
      </c>
      <c r="EP97" s="1184">
        <f t="shared" si="243"/>
        <v>0</v>
      </c>
      <c r="EQ97" s="1184">
        <f t="shared" si="243"/>
        <v>0</v>
      </c>
      <c r="ER97" s="1184">
        <f t="shared" si="243"/>
        <v>0</v>
      </c>
      <c r="ES97" s="1184">
        <f t="shared" si="243"/>
        <v>0</v>
      </c>
      <c r="ET97" s="1184">
        <f t="shared" si="243"/>
        <v>0</v>
      </c>
      <c r="EU97" s="1184">
        <f t="shared" si="243"/>
        <v>0</v>
      </c>
      <c r="EV97" s="1184">
        <f t="shared" si="243"/>
        <v>0</v>
      </c>
      <c r="EW97" s="1184">
        <f t="shared" si="243"/>
        <v>0</v>
      </c>
      <c r="EX97" s="1184">
        <f t="shared" si="243"/>
        <v>0</v>
      </c>
      <c r="EY97" s="1184">
        <f t="shared" si="243"/>
        <v>0</v>
      </c>
      <c r="EZ97" s="1184">
        <f t="shared" si="243"/>
        <v>0</v>
      </c>
      <c r="FA97" s="1184"/>
      <c r="FB97" s="1186">
        <f t="shared" si="182"/>
        <v>0</v>
      </c>
      <c r="FC97" s="1184">
        <f>FB97+DB97+EB97                 -         SUMIF('Nährstoffe und Lagerraum'!$AX$113:$AX$155,$CZ97,'Nährstoffe und Lagerraum'!$U$113:$U$155)/12  -$GD97*$HE97/12</f>
        <v>0</v>
      </c>
      <c r="FD97" s="1184">
        <f>FC97+DC97+EC97                 -         SUMIF('Nährstoffe und Lagerraum'!$AX$113:$AX$155,$CZ97,'Nährstoffe und Lagerraum'!$U$113:$U$155)/12  -$GD97*$HE97/12</f>
        <v>0</v>
      </c>
      <c r="FE97" s="1184">
        <f>FD97+DD97+ED97                 -         SUMIF('Nährstoffe und Lagerraum'!$AX$113:$AX$155,$CZ97,'Nährstoffe und Lagerraum'!$U$113:$U$155)/12  -$GD97*$HE97/12</f>
        <v>0</v>
      </c>
      <c r="FF97" s="1184">
        <f>FE97+DE97+EE97                 -         SUMIF('Nährstoffe und Lagerraum'!$AX$113:$AX$155,$CZ97,'Nährstoffe und Lagerraum'!$U$113:$U$155)/12  -$GD97*$HE97/12</f>
        <v>0</v>
      </c>
      <c r="FG97" s="1184">
        <f>FF97+DF97+EF97                 -         SUMIF('Nährstoffe und Lagerraum'!$AX$113:$AX$155,$CZ97,'Nährstoffe und Lagerraum'!$U$113:$U$155)/12  -$GD97*$HE97/12</f>
        <v>0</v>
      </c>
      <c r="FH97" s="1184">
        <f>FG97+DG97+EG97                 -         SUMIF('Nährstoffe und Lagerraum'!$AX$113:$AX$155,$CZ97,'Nährstoffe und Lagerraum'!$U$113:$U$155)/12  -$GD97*$HE97/12</f>
        <v>0</v>
      </c>
      <c r="FI97" s="1184">
        <f>FH97+DH97+EH97                 -         SUMIF('Nährstoffe und Lagerraum'!$AX$113:$AX$155,$CZ97,'Nährstoffe und Lagerraum'!$U$113:$U$155)/12  -$GD97*$HE97/12</f>
        <v>0</v>
      </c>
      <c r="FJ97" s="1184">
        <f>FI97+DI97+EI97                 -         SUMIF('Nährstoffe und Lagerraum'!$AX$113:$AX$155,$CZ97,'Nährstoffe und Lagerraum'!$U$113:$U$155)/12  -$GD97*$HE97/12</f>
        <v>0</v>
      </c>
      <c r="FK97" s="1184">
        <f>FJ97+DJ97+EJ97                 -         SUMIF('Nährstoffe und Lagerraum'!$AX$113:$AX$155,$CZ97,'Nährstoffe und Lagerraum'!$U$113:$U$155)/12  -$GD97*$HE97/12</f>
        <v>0</v>
      </c>
      <c r="FL97" s="1184">
        <f>FK97+DK97+EK97                 -         SUMIF('Nährstoffe und Lagerraum'!$AX$113:$AX$155,$CZ97,'Nährstoffe und Lagerraum'!$U$113:$U$155)/12  -$GD97*$HE97/12</f>
        <v>0</v>
      </c>
      <c r="FM97" s="1184">
        <f>FL97+DL97+EL97                 -         SUMIF('Nährstoffe und Lagerraum'!$AX$113:$AX$155,$CZ97,'Nährstoffe und Lagerraum'!$U$113:$U$155)/12  -$GD97*$HE97/12</f>
        <v>0</v>
      </c>
      <c r="FN97" s="1184">
        <f>FM97+DM97+EM97                 -         SUMIF('Nährstoffe und Lagerraum'!$AX$113:$AX$155,$CZ97,'Nährstoffe und Lagerraum'!$U$113:$U$155)/12  -$GD97*$HE97/12</f>
        <v>0</v>
      </c>
      <c r="FO97" s="1184"/>
      <c r="FP97" s="1186">
        <f t="shared" si="183"/>
        <v>0</v>
      </c>
      <c r="FQ97" s="1184">
        <f>FP97+DO97+EO97                 -         SUMIF('Nährstoffe und Lagerraum'!$AX$113:$AX$155,$CZ97,'Nährstoffe und Lagerraum'!$V$113:$V$155)/12  -$GE97*$HE97/12</f>
        <v>0</v>
      </c>
      <c r="FR97" s="1184">
        <f>FQ97+DP97+EP97                 -         SUMIF('Nährstoffe und Lagerraum'!$AX$113:$AX$155,$CZ97,'Nährstoffe und Lagerraum'!$V$113:$V$155)/12  -$GE97*$HE97/12</f>
        <v>0</v>
      </c>
      <c r="FS97" s="1184">
        <f>FR97+DQ97+EQ97                 -         SUMIF('Nährstoffe und Lagerraum'!$AX$113:$AX$155,$CZ97,'Nährstoffe und Lagerraum'!$V$113:$V$155)/12  -$GE97*$HE97/12</f>
        <v>0</v>
      </c>
      <c r="FT97" s="1184">
        <f>FS97+DR97+ER97                 -         SUMIF('Nährstoffe und Lagerraum'!$AX$113:$AX$155,$CZ97,'Nährstoffe und Lagerraum'!$V$113:$V$155)/12  -$GE97*$HE97/12</f>
        <v>0</v>
      </c>
      <c r="FU97" s="1184">
        <f>FT97+DS97+ES97                 -         SUMIF('Nährstoffe und Lagerraum'!$AX$113:$AX$155,$CZ97,'Nährstoffe und Lagerraum'!$V$113:$V$155)/12  -$GE97*$HE97/12</f>
        <v>0</v>
      </c>
      <c r="FV97" s="1184">
        <f>FU97+DT97+ET97                 -         SUMIF('Nährstoffe und Lagerraum'!$AX$113:$AX$155,$CZ97,'Nährstoffe und Lagerraum'!$V$113:$V$155)/12  -$GE97*$HE97/12</f>
        <v>0</v>
      </c>
      <c r="FW97" s="1184">
        <f>FV97+DU97+EU97                 -         SUMIF('Nährstoffe und Lagerraum'!$AX$113:$AX$155,$CZ97,'Nährstoffe und Lagerraum'!$V$113:$V$155)/12  -$GE97*$HE97/12</f>
        <v>0</v>
      </c>
      <c r="FX97" s="1184">
        <f>FW97+DV97+EV97                 -         SUMIF('Nährstoffe und Lagerraum'!$AX$113:$AX$155,$CZ97,'Nährstoffe und Lagerraum'!$V$113:$V$155)/12  -$GE97*$HE97/12</f>
        <v>0</v>
      </c>
      <c r="FY97" s="1184">
        <f>FX97+DW97+EW97                 -         SUMIF('Nährstoffe und Lagerraum'!$AX$113:$AX$155,$CZ97,'Nährstoffe und Lagerraum'!$V$113:$V$155)/12  -$GE97*$HE97/12</f>
        <v>0</v>
      </c>
      <c r="FZ97" s="1184">
        <f>FY97+DX97+EX97                 -         SUMIF('Nährstoffe und Lagerraum'!$AX$113:$AX$155,$CZ97,'Nährstoffe und Lagerraum'!$V$113:$V$155)/12  -$GE97*$HE97/12</f>
        <v>0</v>
      </c>
      <c r="GA97" s="1184">
        <f>FZ97+DY97+EY97                 -         SUMIF('Nährstoffe und Lagerraum'!$AX$113:$AX$155,$CZ97,'Nährstoffe und Lagerraum'!$V$113:$V$155)/12  -$GE97*$HE97/12</f>
        <v>0</v>
      </c>
      <c r="GB97" s="1184">
        <f>GA97+DZ97+EZ97                 -         SUMIF('Nährstoffe und Lagerraum'!$AX$113:$AX$155,$CZ97,'Nährstoffe und Lagerraum'!$V$113:$V$155)/12  -$GE97*$HE97/12</f>
        <v>0</v>
      </c>
      <c r="GC97" s="1184"/>
      <c r="GD97" s="1184">
        <f>SUMIFS($CI$14:$CI$68,$BR$14:$BR$68,$CZ97)+SUMIFS($CM$14:$CM$68,$BR$14:$BR$68,$CZ97)+SUMIFS($CR$14:$CR$68,$BR$14:$BR$68,$CZ97)  -         SUMIF('Nährstoffe und Lagerraum'!$AX$113:$AX$155,$CZ97,'Nährstoffe und Lagerraum'!$U$113:$U$155)</f>
        <v>0</v>
      </c>
      <c r="GE97" s="1184">
        <f>SUMIFS($CJ$14:$CJ$68,$BR$14:$BR$68,$CZ97)+SUMIFS($CO$14:$CO$68,$BR$14:$BR$68,$CZ97)+SUMIFS($CT$14:$CT$68,$BR$14:$BR$68,$CZ97)  -         SUMIF('Nährstoffe und Lagerraum'!$AX$113:$AX$155,$CZ97,'Nährstoffe und Lagerraum'!$V$113:$V$155)</f>
        <v>0</v>
      </c>
      <c r="GF97" s="1184"/>
      <c r="GG97" s="1184"/>
      <c r="GH97" s="1184">
        <f>SUMIF('Nährstoffe und Lagerraum'!$AX$113:$AX$155,$CZ97,'Nährstoffe und Lagerraum'!$U$113:$U$155)</f>
        <v>0</v>
      </c>
      <c r="GI97" s="1184">
        <f>SUMIF('Nährstoffe und Lagerraum'!$AX$113:$AX$155,$CZ97,'Nährstoffe und Lagerraum'!$V$113:$V$155)</f>
        <v>0</v>
      </c>
      <c r="GJ97" s="1184">
        <f t="shared" si="221"/>
        <v>0</v>
      </c>
      <c r="GK97" s="1184">
        <f t="shared" si="222"/>
        <v>0</v>
      </c>
      <c r="GL97" s="1184">
        <f t="shared" si="223"/>
        <v>0</v>
      </c>
      <c r="GM97" s="1184">
        <f t="shared" si="224"/>
        <v>0</v>
      </c>
      <c r="GN97" s="1184">
        <f t="shared" si="225"/>
        <v>0</v>
      </c>
      <c r="GO97" s="1184" cm="1">
        <f t="array" ref="GO97">IF(GN97=0,0,(IFERROR(SUMPRODUCT($J$14:$J$68,$CH$14:$CH$68,($BR$14:$BR$68=CZ97)*1)+SUMPRODUCT($L$14:$L$68,$M$14:$M$68,$CK$14:$CK$68,($BR$14:$BR$68=CZ97)*1,($BT$14:$BT$68=FALSE)*1)/10+SUMPRODUCT($R$14:$R$68,$CP$14:$CP$68,($BR$14:$BR$68=CZ97)*1),0))/GN97)</f>
        <v>0</v>
      </c>
      <c r="GP97" s="1184">
        <f t="shared" si="226"/>
        <v>0</v>
      </c>
      <c r="GQ97" s="1184">
        <f>(SUMIF('Nährstoffe und Lagerraum'!$AX$113:$AX$130,'Lagerhaltung (freiwillig)'!CZ97,'Nährstoffe und Lagerraum'!$D$113:$D$130)+SUMIF('Nährstoffe und Lagerraum'!$AX$137:$AX$155,'Lagerhaltung (freiwillig)'!CZ97,'Nährstoffe und Lagerraum'!$E$137:$E$155))</f>
        <v>0</v>
      </c>
      <c r="GR97" s="1184" cm="1">
        <f t="array" ref="GR97">IF(GQ97=0,0,(IFERROR(SUMPRODUCT('Nährstoffe und Lagerraum'!$D$113:$D$130,'Nährstoffe und Lagerraum'!$F$113:$F$130,('Nährstoffe und Lagerraum'!$AX$113:$AX$130='Lagerhaltung (freiwillig)'!CZ97)*1)+SUMPRODUCT('Nährstoffe und Lagerraum'!$E$137:$E$155,'Nährstoffe und Lagerraum'!$F$137:$F$155,('Nährstoffe und Lagerraum'!$AX$137:$AX$155='Lagerhaltung (freiwillig)'!CZ97)*1),0))/GQ97)</f>
        <v>0</v>
      </c>
      <c r="GS97" s="1184">
        <f t="shared" si="227"/>
        <v>0</v>
      </c>
      <c r="GT97" s="1184">
        <f t="shared" si="228"/>
        <v>0</v>
      </c>
      <c r="GU97" s="1184">
        <f t="shared" si="229"/>
        <v>0</v>
      </c>
      <c r="GV97" s="1184">
        <f t="shared" si="230"/>
        <v>0</v>
      </c>
      <c r="GW97" s="1186" t="str">
        <f t="shared" si="177"/>
        <v xml:space="preserve"> </v>
      </c>
      <c r="GX97" s="1186" t="str">
        <f t="shared" si="177"/>
        <v xml:space="preserve"> </v>
      </c>
      <c r="GY97" s="1195">
        <f t="shared" si="231"/>
        <v>0</v>
      </c>
      <c r="GZ97" s="1184">
        <f t="shared" si="232"/>
        <v>0</v>
      </c>
      <c r="HA97" s="1184" t="str">
        <f t="shared" si="176"/>
        <v>a</v>
      </c>
      <c r="HB97" s="1196">
        <f t="shared" si="233"/>
        <v>0</v>
      </c>
      <c r="HC97" s="1196">
        <f t="shared" si="234"/>
        <v>0</v>
      </c>
      <c r="HD97" s="1196"/>
      <c r="HE97" s="1187">
        <f t="shared" si="235"/>
        <v>0</v>
      </c>
      <c r="HF97" s="1196">
        <f t="shared" si="236"/>
        <v>0</v>
      </c>
      <c r="HG97" s="1196">
        <f t="shared" si="237"/>
        <v>0</v>
      </c>
      <c r="HH97" s="1196">
        <f t="shared" si="238"/>
        <v>0</v>
      </c>
      <c r="HI97" s="1328" cm="1">
        <f t="array" ref="HI97">IF(AND(HG97=0,GL97=0),0,IF(HG97=0,1,IF(OR(GL97*1000/HG97/HH97&gt;INDEX(Pflanzen!$W$5:$W$104,CZ97)/INDEX(Pflanzen!$I$5:$I$104,CZ97)*$HI$2,GL97*1000/HG97/HH97&lt;INDEX(Pflanzen!$W$5:$W$104,CZ97)/INDEX(Pflanzen!$I$5:$I$104,CZ97)/$HI$2),1,0)))</f>
        <v>0</v>
      </c>
      <c r="HJ97" s="1328" cm="1">
        <f t="array" ref="HJ97">IF(AND(GM97=0,HG97=0),0,IF(HG97=0,1,IF(OR(GM97*1000/HG97/HH97&gt;INDEX(Pflanzen!$X$5:$X$104,CZ97)/INDEX(Pflanzen!$I$5:$I$104,CZ97)*$HI$2,GM97*1000/HG97/HH97&lt;INDEX(Pflanzen!$X$5:$X$104,CZ97)/INDEX(Pflanzen!$I$5:$I$104,CZ97)/$HI$2),1,0)))</f>
        <v>0</v>
      </c>
      <c r="HK97" s="1184">
        <f t="shared" si="239"/>
        <v>3</v>
      </c>
      <c r="HL97" s="1184"/>
      <c r="HN97" s="1184"/>
      <c r="HO97" s="1184"/>
      <c r="HP97" s="1184"/>
      <c r="HQ97" s="1184"/>
      <c r="HR97" s="1184"/>
      <c r="HS97" s="1184"/>
      <c r="HT97" s="1184"/>
      <c r="HU97" s="1184"/>
      <c r="HV97" s="1184"/>
      <c r="HW97" s="1184"/>
      <c r="HX97" s="1184"/>
      <c r="HY97" s="1184"/>
      <c r="HZ97" s="1184"/>
      <c r="IA97" s="1184"/>
      <c r="IB97" s="1184"/>
      <c r="IC97" s="1184"/>
      <c r="ID97" s="1184"/>
      <c r="IE97" s="1184"/>
      <c r="IF97" s="1184"/>
      <c r="IG97" s="1184"/>
      <c r="IH97" s="1184"/>
      <c r="II97" s="1184"/>
      <c r="IJ97" s="1184"/>
      <c r="IK97" s="1184"/>
      <c r="IL97" s="1184"/>
    </row>
    <row r="98" spans="1:246" ht="15.6" customHeight="1" x14ac:dyDescent="0.2">
      <c r="A98" s="1365" t="s">
        <v>968</v>
      </c>
      <c r="B98" s="1169"/>
      <c r="C98" s="1169"/>
      <c r="D98" s="1169"/>
      <c r="E98" s="1169"/>
      <c r="F98" s="3104">
        <f>'Nährstoffe und Lagerraum'!B12*'Lagerhaltung (freiwillig)'!HQ6/1000</f>
        <v>0</v>
      </c>
      <c r="G98" s="3105"/>
      <c r="H98" s="3133" t="s">
        <v>993</v>
      </c>
      <c r="I98" s="3134"/>
      <c r="J98" s="3134"/>
      <c r="K98" s="3135"/>
      <c r="L98" s="1480" cm="1">
        <f t="array" ref="L98">INDEX(Tierprodukte!$D$35:$D$41,'Lagerhaltung (freiwillig)'!BQ98)</f>
        <v>5</v>
      </c>
      <c r="M98" s="1481" cm="1">
        <f t="array" ref="M98">INDEX(Tierprodukte!$E$35:$E$41,'Lagerhaltung (freiwillig)'!BQ98)</f>
        <v>2.2999999999999998</v>
      </c>
      <c r="N98" s="3154">
        <f>F98*L98*-1/1000</f>
        <v>0</v>
      </c>
      <c r="O98" s="3155"/>
      <c r="P98" s="3120">
        <f>F98*M98*-1/1000</f>
        <v>0</v>
      </c>
      <c r="Q98" s="3121"/>
      <c r="R98" s="242"/>
      <c r="S98" s="242"/>
      <c r="T98" s="696"/>
      <c r="U98" s="242"/>
      <c r="V98" s="242"/>
      <c r="Y98" s="1981"/>
      <c r="Z98" s="1982"/>
      <c r="AA98" s="1982"/>
      <c r="AB98" s="1982"/>
      <c r="AC98" s="1983"/>
      <c r="AD98" s="1983"/>
      <c r="AE98" s="1983"/>
      <c r="AF98" s="1983"/>
      <c r="AG98" s="1983"/>
      <c r="AH98" s="1983"/>
      <c r="AI98" s="1983"/>
      <c r="AJ98" s="1983"/>
      <c r="AK98" s="1983"/>
      <c r="AL98" s="1984"/>
      <c r="AM98" s="1983"/>
      <c r="AN98" s="1983"/>
      <c r="AO98" s="1983"/>
      <c r="AP98" s="1983"/>
      <c r="AQ98" s="1983"/>
      <c r="AR98" s="1983"/>
      <c r="AS98" s="1983"/>
      <c r="AT98" s="1983"/>
      <c r="AU98" s="1983"/>
      <c r="AV98" s="1983"/>
      <c r="AW98" s="1985"/>
      <c r="AX98" s="1985"/>
      <c r="AY98" s="1985"/>
      <c r="AZ98" s="1985"/>
      <c r="BA98" s="1462"/>
      <c r="BB98" s="1462"/>
      <c r="BC98" s="1462"/>
      <c r="BD98" s="1461"/>
      <c r="BE98" s="1462"/>
      <c r="BF98" s="1343"/>
      <c r="BG98" s="1343"/>
      <c r="BH98" s="1343"/>
      <c r="BI98" s="1343"/>
      <c r="BJ98" s="1343"/>
      <c r="BK98" s="1343"/>
      <c r="BL98" s="1343"/>
      <c r="BM98" s="1343"/>
      <c r="BN98" s="1343"/>
      <c r="BO98" s="1343"/>
      <c r="BQ98" s="1184">
        <v>2</v>
      </c>
      <c r="BR98" s="1184" cm="1">
        <f t="array" ref="BR98">INDEX(Tierprodukte!$L$35:$L$41,'Lagerhaltung (freiwillig)'!BQ98)</f>
        <v>1</v>
      </c>
      <c r="BS98" s="1184"/>
      <c r="BT98" s="1184"/>
      <c r="BU98" s="1200"/>
      <c r="BV98" s="1200"/>
      <c r="BW98" s="1184" t="s">
        <v>8219</v>
      </c>
      <c r="BX98" s="1186" t="s">
        <v>8227</v>
      </c>
      <c r="BY98" s="1184"/>
      <c r="BZ98" s="1184"/>
      <c r="CA98" s="1184"/>
      <c r="CB98" s="1184"/>
      <c r="CC98" s="1184"/>
      <c r="CD98" s="1184"/>
      <c r="CE98" s="1184"/>
      <c r="CF98" s="1186" t="s">
        <v>4</v>
      </c>
      <c r="CG98" s="1186"/>
      <c r="CH98" s="1184"/>
      <c r="CI98" s="1184"/>
      <c r="CJ98" s="1184"/>
      <c r="CK98" s="1184"/>
      <c r="CL98" s="1184"/>
      <c r="CM98" s="1184"/>
      <c r="CN98" s="1184"/>
      <c r="CO98" s="1184"/>
      <c r="CP98" s="1184"/>
      <c r="CQ98" s="1184"/>
      <c r="CR98" s="1184"/>
      <c r="CS98" s="1184"/>
      <c r="CT98" s="1184"/>
      <c r="CU98" s="1184"/>
      <c r="CV98" s="1184"/>
      <c r="CW98" s="1184"/>
      <c r="CX98" s="1184"/>
      <c r="CY98" s="320" t="str">
        <f>Pflanzen!A94</f>
        <v>Zuchtsauengülle, Standardfutter</v>
      </c>
      <c r="CZ98" s="1200">
        <f>IFERROR(MATCH($CY98,Pflanzen!$C$5:$C$114,0),1)</f>
        <v>85</v>
      </c>
      <c r="DA98" s="320" cm="1">
        <f t="array" ref="DA98">INDEX(Pflanzen!$H$5:$H$114,'Lagerhaltung (freiwillig)'!CZ98)</f>
        <v>0</v>
      </c>
      <c r="DB98" s="1200">
        <f t="shared" si="240"/>
        <v>0</v>
      </c>
      <c r="DC98" s="1200">
        <f t="shared" si="240"/>
        <v>0</v>
      </c>
      <c r="DD98" s="1200">
        <f t="shared" si="240"/>
        <v>0</v>
      </c>
      <c r="DE98" s="1200">
        <f t="shared" si="240"/>
        <v>0</v>
      </c>
      <c r="DF98" s="1200">
        <f t="shared" si="240"/>
        <v>0</v>
      </c>
      <c r="DG98" s="1184">
        <f t="shared" si="240"/>
        <v>0</v>
      </c>
      <c r="DH98" s="1184">
        <f t="shared" si="240"/>
        <v>0</v>
      </c>
      <c r="DI98" s="1184">
        <f t="shared" si="240"/>
        <v>0</v>
      </c>
      <c r="DJ98" s="1184">
        <f t="shared" si="240"/>
        <v>0</v>
      </c>
      <c r="DK98" s="1184">
        <f t="shared" si="240"/>
        <v>0</v>
      </c>
      <c r="DL98" s="1184">
        <f t="shared" si="240"/>
        <v>0</v>
      </c>
      <c r="DM98" s="1184">
        <f t="shared" si="240"/>
        <v>0</v>
      </c>
      <c r="DN98" s="1184"/>
      <c r="DO98" s="1184">
        <f t="shared" si="241"/>
        <v>0</v>
      </c>
      <c r="DP98" s="1184">
        <f t="shared" si="241"/>
        <v>0</v>
      </c>
      <c r="DQ98" s="1184">
        <f t="shared" si="241"/>
        <v>0</v>
      </c>
      <c r="DR98" s="1184">
        <f t="shared" si="241"/>
        <v>0</v>
      </c>
      <c r="DS98" s="1184">
        <f t="shared" si="241"/>
        <v>0</v>
      </c>
      <c r="DT98" s="1184">
        <f t="shared" si="241"/>
        <v>0</v>
      </c>
      <c r="DU98" s="1184">
        <f t="shared" si="241"/>
        <v>0</v>
      </c>
      <c r="DV98" s="1184">
        <f t="shared" si="241"/>
        <v>0</v>
      </c>
      <c r="DW98" s="1184">
        <f t="shared" si="241"/>
        <v>0</v>
      </c>
      <c r="DX98" s="1184">
        <f t="shared" si="241"/>
        <v>0</v>
      </c>
      <c r="DY98" s="1184">
        <f t="shared" si="241"/>
        <v>0</v>
      </c>
      <c r="DZ98" s="1184">
        <f t="shared" si="241"/>
        <v>0</v>
      </c>
      <c r="EA98" s="1184"/>
      <c r="EB98" s="1184">
        <f t="shared" si="242"/>
        <v>0</v>
      </c>
      <c r="EC98" s="1184">
        <f t="shared" si="242"/>
        <v>0</v>
      </c>
      <c r="ED98" s="1184">
        <f t="shared" si="242"/>
        <v>0</v>
      </c>
      <c r="EE98" s="1184">
        <f t="shared" si="242"/>
        <v>0</v>
      </c>
      <c r="EF98" s="1184">
        <f t="shared" si="242"/>
        <v>0</v>
      </c>
      <c r="EG98" s="1184">
        <f t="shared" si="242"/>
        <v>0</v>
      </c>
      <c r="EH98" s="1184">
        <f t="shared" si="242"/>
        <v>0</v>
      </c>
      <c r="EI98" s="1184">
        <f t="shared" si="242"/>
        <v>0</v>
      </c>
      <c r="EJ98" s="1184">
        <f t="shared" si="242"/>
        <v>0</v>
      </c>
      <c r="EK98" s="1184">
        <f t="shared" si="242"/>
        <v>0</v>
      </c>
      <c r="EL98" s="1184">
        <f t="shared" si="242"/>
        <v>0</v>
      </c>
      <c r="EM98" s="1184">
        <f t="shared" si="242"/>
        <v>0</v>
      </c>
      <c r="EN98" s="1184"/>
      <c r="EO98" s="1184">
        <f t="shared" si="243"/>
        <v>0</v>
      </c>
      <c r="EP98" s="1184">
        <f t="shared" si="243"/>
        <v>0</v>
      </c>
      <c r="EQ98" s="1184">
        <f t="shared" si="243"/>
        <v>0</v>
      </c>
      <c r="ER98" s="1184">
        <f t="shared" si="243"/>
        <v>0</v>
      </c>
      <c r="ES98" s="1184">
        <f t="shared" si="243"/>
        <v>0</v>
      </c>
      <c r="ET98" s="1184">
        <f t="shared" si="243"/>
        <v>0</v>
      </c>
      <c r="EU98" s="1184">
        <f t="shared" si="243"/>
        <v>0</v>
      </c>
      <c r="EV98" s="1184">
        <f t="shared" si="243"/>
        <v>0</v>
      </c>
      <c r="EW98" s="1184">
        <f t="shared" si="243"/>
        <v>0</v>
      </c>
      <c r="EX98" s="1184">
        <f t="shared" si="243"/>
        <v>0</v>
      </c>
      <c r="EY98" s="1184">
        <f t="shared" si="243"/>
        <v>0</v>
      </c>
      <c r="EZ98" s="1184">
        <f t="shared" si="243"/>
        <v>0</v>
      </c>
      <c r="FA98" s="1184"/>
      <c r="FB98" s="1186">
        <f t="shared" si="182"/>
        <v>0</v>
      </c>
      <c r="FC98" s="1184">
        <f>FB98+DB98+EB98                 -         SUMIF('Nährstoffe und Lagerraum'!$AX$113:$AX$155,$CZ98,'Nährstoffe und Lagerraum'!$U$113:$U$155)/12  -$GD98*$HE98/12</f>
        <v>0</v>
      </c>
      <c r="FD98" s="1184">
        <f>FC98+DC98+EC98                 -         SUMIF('Nährstoffe und Lagerraum'!$AX$113:$AX$155,$CZ98,'Nährstoffe und Lagerraum'!$U$113:$U$155)/12  -$GD98*$HE98/12</f>
        <v>0</v>
      </c>
      <c r="FE98" s="1184">
        <f>FD98+DD98+ED98                 -         SUMIF('Nährstoffe und Lagerraum'!$AX$113:$AX$155,$CZ98,'Nährstoffe und Lagerraum'!$U$113:$U$155)/12  -$GD98*$HE98/12</f>
        <v>0</v>
      </c>
      <c r="FF98" s="1184">
        <f>FE98+DE98+EE98                 -         SUMIF('Nährstoffe und Lagerraum'!$AX$113:$AX$155,$CZ98,'Nährstoffe und Lagerraum'!$U$113:$U$155)/12  -$GD98*$HE98/12</f>
        <v>0</v>
      </c>
      <c r="FG98" s="1184">
        <f>FF98+DF98+EF98                 -         SUMIF('Nährstoffe und Lagerraum'!$AX$113:$AX$155,$CZ98,'Nährstoffe und Lagerraum'!$U$113:$U$155)/12  -$GD98*$HE98/12</f>
        <v>0</v>
      </c>
      <c r="FH98" s="1184">
        <f>FG98+DG98+EG98                 -         SUMIF('Nährstoffe und Lagerraum'!$AX$113:$AX$155,$CZ98,'Nährstoffe und Lagerraum'!$U$113:$U$155)/12  -$GD98*$HE98/12</f>
        <v>0</v>
      </c>
      <c r="FI98" s="1184">
        <f>FH98+DH98+EH98                 -         SUMIF('Nährstoffe und Lagerraum'!$AX$113:$AX$155,$CZ98,'Nährstoffe und Lagerraum'!$U$113:$U$155)/12  -$GD98*$HE98/12</f>
        <v>0</v>
      </c>
      <c r="FJ98" s="1184">
        <f>FI98+DI98+EI98                 -         SUMIF('Nährstoffe und Lagerraum'!$AX$113:$AX$155,$CZ98,'Nährstoffe und Lagerraum'!$U$113:$U$155)/12  -$GD98*$HE98/12</f>
        <v>0</v>
      </c>
      <c r="FK98" s="1184">
        <f>FJ98+DJ98+EJ98                 -         SUMIF('Nährstoffe und Lagerraum'!$AX$113:$AX$155,$CZ98,'Nährstoffe und Lagerraum'!$U$113:$U$155)/12  -$GD98*$HE98/12</f>
        <v>0</v>
      </c>
      <c r="FL98" s="1184">
        <f>FK98+DK98+EK98                 -         SUMIF('Nährstoffe und Lagerraum'!$AX$113:$AX$155,$CZ98,'Nährstoffe und Lagerraum'!$U$113:$U$155)/12  -$GD98*$HE98/12</f>
        <v>0</v>
      </c>
      <c r="FM98" s="1184">
        <f>FL98+DL98+EL98                 -         SUMIF('Nährstoffe und Lagerraum'!$AX$113:$AX$155,$CZ98,'Nährstoffe und Lagerraum'!$U$113:$U$155)/12  -$GD98*$HE98/12</f>
        <v>0</v>
      </c>
      <c r="FN98" s="1184">
        <f>FM98+DM98+EM98                 -         SUMIF('Nährstoffe und Lagerraum'!$AX$113:$AX$155,$CZ98,'Nährstoffe und Lagerraum'!$U$113:$U$155)/12  -$GD98*$HE98/12</f>
        <v>0</v>
      </c>
      <c r="FO98" s="1184"/>
      <c r="FP98" s="1186">
        <f t="shared" si="183"/>
        <v>0</v>
      </c>
      <c r="FQ98" s="1184">
        <f>FP98+DO98+EO98                 -         SUMIF('Nährstoffe und Lagerraum'!$AX$113:$AX$155,$CZ98,'Nährstoffe und Lagerraum'!$V$113:$V$155)/12  -$GE98*$HE98/12</f>
        <v>0</v>
      </c>
      <c r="FR98" s="1184">
        <f>FQ98+DP98+EP98                 -         SUMIF('Nährstoffe und Lagerraum'!$AX$113:$AX$155,$CZ98,'Nährstoffe und Lagerraum'!$V$113:$V$155)/12  -$GE98*$HE98/12</f>
        <v>0</v>
      </c>
      <c r="FS98" s="1184">
        <f>FR98+DQ98+EQ98                 -         SUMIF('Nährstoffe und Lagerraum'!$AX$113:$AX$155,$CZ98,'Nährstoffe und Lagerraum'!$V$113:$V$155)/12  -$GE98*$HE98/12</f>
        <v>0</v>
      </c>
      <c r="FT98" s="1184">
        <f>FS98+DR98+ER98                 -         SUMIF('Nährstoffe und Lagerraum'!$AX$113:$AX$155,$CZ98,'Nährstoffe und Lagerraum'!$V$113:$V$155)/12  -$GE98*$HE98/12</f>
        <v>0</v>
      </c>
      <c r="FU98" s="1184">
        <f>FT98+DS98+ES98                 -         SUMIF('Nährstoffe und Lagerraum'!$AX$113:$AX$155,$CZ98,'Nährstoffe und Lagerraum'!$V$113:$V$155)/12  -$GE98*$HE98/12</f>
        <v>0</v>
      </c>
      <c r="FV98" s="1184">
        <f>FU98+DT98+ET98                 -         SUMIF('Nährstoffe und Lagerraum'!$AX$113:$AX$155,$CZ98,'Nährstoffe und Lagerraum'!$V$113:$V$155)/12  -$GE98*$HE98/12</f>
        <v>0</v>
      </c>
      <c r="FW98" s="1184">
        <f>FV98+DU98+EU98                 -         SUMIF('Nährstoffe und Lagerraum'!$AX$113:$AX$155,$CZ98,'Nährstoffe und Lagerraum'!$V$113:$V$155)/12  -$GE98*$HE98/12</f>
        <v>0</v>
      </c>
      <c r="FX98" s="1184">
        <f>FW98+DV98+EV98                 -         SUMIF('Nährstoffe und Lagerraum'!$AX$113:$AX$155,$CZ98,'Nährstoffe und Lagerraum'!$V$113:$V$155)/12  -$GE98*$HE98/12</f>
        <v>0</v>
      </c>
      <c r="FY98" s="1184">
        <f>FX98+DW98+EW98                 -         SUMIF('Nährstoffe und Lagerraum'!$AX$113:$AX$155,$CZ98,'Nährstoffe und Lagerraum'!$V$113:$V$155)/12  -$GE98*$HE98/12</f>
        <v>0</v>
      </c>
      <c r="FZ98" s="1184">
        <f>FY98+DX98+EX98                 -         SUMIF('Nährstoffe und Lagerraum'!$AX$113:$AX$155,$CZ98,'Nährstoffe und Lagerraum'!$V$113:$V$155)/12  -$GE98*$HE98/12</f>
        <v>0</v>
      </c>
      <c r="GA98" s="1184">
        <f>FZ98+DY98+EY98                 -         SUMIF('Nährstoffe und Lagerraum'!$AX$113:$AX$155,$CZ98,'Nährstoffe und Lagerraum'!$V$113:$V$155)/12  -$GE98*$HE98/12</f>
        <v>0</v>
      </c>
      <c r="GB98" s="1184">
        <f>GA98+DZ98+EZ98                 -         SUMIF('Nährstoffe und Lagerraum'!$AX$113:$AX$155,$CZ98,'Nährstoffe und Lagerraum'!$V$113:$V$155)/12  -$GE98*$HE98/12</f>
        <v>0</v>
      </c>
      <c r="GC98" s="1184"/>
      <c r="GD98" s="1184">
        <f>SUMIFS($CI$14:$CI$68,$BR$14:$BR$68,$CZ98)+SUMIFS($CM$14:$CM$68,$BR$14:$BR$68,$CZ98)+SUMIFS($CR$14:$CR$68,$BR$14:$BR$68,$CZ98)  -         SUMIF('Nährstoffe und Lagerraum'!$AX$113:$AX$155,$CZ98,'Nährstoffe und Lagerraum'!$U$113:$U$155)</f>
        <v>0</v>
      </c>
      <c r="GE98" s="1184">
        <f>SUMIFS($CJ$14:$CJ$68,$BR$14:$BR$68,$CZ98)+SUMIFS($CO$14:$CO$68,$BR$14:$BR$68,$CZ98)+SUMIFS($CT$14:$CT$68,$BR$14:$BR$68,$CZ98)  -         SUMIF('Nährstoffe und Lagerraum'!$AX$113:$AX$155,$CZ98,'Nährstoffe und Lagerraum'!$V$113:$V$155)</f>
        <v>0</v>
      </c>
      <c r="GF98" s="1184"/>
      <c r="GG98" s="1184"/>
      <c r="GH98" s="1184">
        <f>SUMIF('Nährstoffe und Lagerraum'!$AX$113:$AX$155,$CZ98,'Nährstoffe und Lagerraum'!$U$113:$U$155)</f>
        <v>0</v>
      </c>
      <c r="GI98" s="1184">
        <f>SUMIF('Nährstoffe und Lagerraum'!$AX$113:$AX$155,$CZ98,'Nährstoffe und Lagerraum'!$V$113:$V$155)</f>
        <v>0</v>
      </c>
      <c r="GJ98" s="1184">
        <f t="shared" si="221"/>
        <v>0</v>
      </c>
      <c r="GK98" s="1184">
        <f t="shared" si="222"/>
        <v>0</v>
      </c>
      <c r="GL98" s="1184">
        <f t="shared" si="223"/>
        <v>0</v>
      </c>
      <c r="GM98" s="1184">
        <f t="shared" si="224"/>
        <v>0</v>
      </c>
      <c r="GN98" s="1184">
        <f t="shared" si="225"/>
        <v>0</v>
      </c>
      <c r="GO98" s="1184" cm="1">
        <f t="array" ref="GO98">IF(GN98=0,0,(IFERROR(SUMPRODUCT($J$14:$J$68,$CH$14:$CH$68,($BR$14:$BR$68=CZ98)*1)+SUMPRODUCT($L$14:$L$68,$M$14:$M$68,$CK$14:$CK$68,($BR$14:$BR$68=CZ98)*1,($BT$14:$BT$68=FALSE)*1)/10+SUMPRODUCT($R$14:$R$68,$CP$14:$CP$68,($BR$14:$BR$68=CZ98)*1),0))/GN98)</f>
        <v>0</v>
      </c>
      <c r="GP98" s="1184">
        <f t="shared" si="226"/>
        <v>0</v>
      </c>
      <c r="GQ98" s="1184">
        <f>(SUMIF('Nährstoffe und Lagerraum'!$AX$113:$AX$130,'Lagerhaltung (freiwillig)'!CZ98,'Nährstoffe und Lagerraum'!$D$113:$D$130)+SUMIF('Nährstoffe und Lagerraum'!$AX$137:$AX$155,'Lagerhaltung (freiwillig)'!CZ98,'Nährstoffe und Lagerraum'!$E$137:$E$155))</f>
        <v>0</v>
      </c>
      <c r="GR98" s="1184" cm="1">
        <f t="array" ref="GR98">IF(GQ98=0,0,(IFERROR(SUMPRODUCT('Nährstoffe und Lagerraum'!$D$113:$D$130,'Nährstoffe und Lagerraum'!$F$113:$F$130,('Nährstoffe und Lagerraum'!$AX$113:$AX$130='Lagerhaltung (freiwillig)'!CZ98)*1)+SUMPRODUCT('Nährstoffe und Lagerraum'!$E$137:$E$155,'Nährstoffe und Lagerraum'!$F$137:$F$155,('Nährstoffe und Lagerraum'!$AX$137:$AX$155='Lagerhaltung (freiwillig)'!CZ98)*1),0))/GQ98)</f>
        <v>0</v>
      </c>
      <c r="GS98" s="1184">
        <f t="shared" si="227"/>
        <v>0</v>
      </c>
      <c r="GT98" s="1184">
        <f t="shared" si="228"/>
        <v>0</v>
      </c>
      <c r="GU98" s="1184">
        <f t="shared" si="229"/>
        <v>0</v>
      </c>
      <c r="GV98" s="1184">
        <f t="shared" si="230"/>
        <v>0</v>
      </c>
      <c r="GW98" s="1186" t="str">
        <f t="shared" si="177"/>
        <v xml:space="preserve"> </v>
      </c>
      <c r="GX98" s="1186" t="str">
        <f t="shared" si="177"/>
        <v xml:space="preserve"> </v>
      </c>
      <c r="GY98" s="1195">
        <f t="shared" si="231"/>
        <v>0</v>
      </c>
      <c r="GZ98" s="1184">
        <f t="shared" si="232"/>
        <v>0</v>
      </c>
      <c r="HA98" s="1184" t="str">
        <f t="shared" si="176"/>
        <v>a</v>
      </c>
      <c r="HB98" s="1196">
        <f t="shared" si="233"/>
        <v>0</v>
      </c>
      <c r="HC98" s="1196">
        <f t="shared" si="234"/>
        <v>0</v>
      </c>
      <c r="HD98" s="1196"/>
      <c r="HE98" s="1187">
        <f t="shared" si="235"/>
        <v>0</v>
      </c>
      <c r="HF98" s="1196">
        <f t="shared" si="236"/>
        <v>0</v>
      </c>
      <c r="HG98" s="1196">
        <f t="shared" si="237"/>
        <v>0</v>
      </c>
      <c r="HH98" s="1196">
        <f t="shared" si="238"/>
        <v>0</v>
      </c>
      <c r="HI98" s="1328" cm="1">
        <f t="array" ref="HI98">IF(AND(HG98=0,GL98=0),0,IF(HG98=0,1,IF(OR(GL98*1000/HG98/HH98&gt;INDEX(Pflanzen!$W$5:$W$104,CZ98)/INDEX(Pflanzen!$I$5:$I$104,CZ98)*$HI$2,GL98*1000/HG98/HH98&lt;INDEX(Pflanzen!$W$5:$W$104,CZ98)/INDEX(Pflanzen!$I$5:$I$104,CZ98)/$HI$2),1,0)))</f>
        <v>0</v>
      </c>
      <c r="HJ98" s="1328" cm="1">
        <f t="array" ref="HJ98">IF(AND(GM98=0,HG98=0),0,IF(HG98=0,1,IF(OR(GM98*1000/HG98/HH98&gt;INDEX(Pflanzen!$X$5:$X$104,CZ98)/INDEX(Pflanzen!$I$5:$I$104,CZ98)*$HI$2,GM98*1000/HG98/HH98&lt;INDEX(Pflanzen!$X$5:$X$104,CZ98)/INDEX(Pflanzen!$I$5:$I$104,CZ98)/$HI$2),1,0)))</f>
        <v>0</v>
      </c>
      <c r="HK98" s="1184">
        <f t="shared" si="239"/>
        <v>3</v>
      </c>
      <c r="HL98" s="1184"/>
      <c r="HN98" s="1184"/>
      <c r="HO98" s="1184"/>
      <c r="HP98" s="1184"/>
      <c r="HQ98" s="1184"/>
      <c r="HR98" s="1184"/>
      <c r="HS98" s="1184"/>
      <c r="HT98" s="1184"/>
      <c r="HU98" s="1184"/>
      <c r="HV98" s="1184"/>
      <c r="HW98" s="1184"/>
      <c r="HX98" s="1184"/>
      <c r="HY98" s="1184"/>
      <c r="HZ98" s="1184"/>
      <c r="IA98" s="1184"/>
      <c r="IB98" s="1184"/>
      <c r="IC98" s="1184"/>
      <c r="ID98" s="1184"/>
      <c r="IE98" s="1184"/>
      <c r="IF98" s="1184"/>
      <c r="IG98" s="1184"/>
      <c r="IH98" s="1184"/>
      <c r="II98" s="1184"/>
      <c r="IJ98" s="1184"/>
      <c r="IK98" s="1184"/>
      <c r="IL98" s="1184"/>
    </row>
    <row r="99" spans="1:246" ht="15.6" customHeight="1" x14ac:dyDescent="0.2">
      <c r="A99" s="3124" t="s">
        <v>8331</v>
      </c>
      <c r="B99" s="1170"/>
      <c r="C99" s="1170"/>
      <c r="D99" s="1170"/>
      <c r="E99" s="1171"/>
      <c r="F99" s="3106"/>
      <c r="G99" s="3107"/>
      <c r="H99" s="3127" t="s">
        <v>998</v>
      </c>
      <c r="I99" s="3128"/>
      <c r="J99" s="3128"/>
      <c r="K99" s="3129"/>
      <c r="L99" s="1482" cm="1">
        <f t="array" ref="L99">INDEX(Tierprodukte!$C$7:$C$19,BQ99)</f>
        <v>2.7</v>
      </c>
      <c r="M99" s="1483" cm="1">
        <f t="array" ref="M99">INDEX(Tierprodukte!$D$7:$D$19,BQ99)</f>
        <v>1.49</v>
      </c>
      <c r="N99" s="3090">
        <f>IF(BT99=1,F99*L99*-1/1000,F99/BU99*L99*-1/1000)</f>
        <v>0</v>
      </c>
      <c r="O99" s="3091"/>
      <c r="P99" s="3122">
        <f>IF(BT99=1,F99*M99*-1/1000,F99/BU99*M99*-1/1000)</f>
        <v>0</v>
      </c>
      <c r="Q99" s="3123"/>
      <c r="R99" s="138" t="str">
        <f>IF(AND(BT99=2,BU99=1),"Schlachtgewicht nicht möglich","")</f>
        <v/>
      </c>
      <c r="S99" s="138"/>
      <c r="T99" s="696"/>
      <c r="U99" s="242"/>
      <c r="V99" s="242"/>
      <c r="Y99" s="1981"/>
      <c r="Z99" s="1982"/>
      <c r="AA99" s="1982"/>
      <c r="AB99" s="1982"/>
      <c r="AC99" s="1983"/>
      <c r="AD99" s="1983"/>
      <c r="AE99" s="1983"/>
      <c r="AF99" s="1983"/>
      <c r="AG99" s="1983"/>
      <c r="AH99" s="1983"/>
      <c r="AI99" s="1983"/>
      <c r="AJ99" s="1983"/>
      <c r="AK99" s="1983"/>
      <c r="AL99" s="1984"/>
      <c r="AM99" s="1983"/>
      <c r="AN99" s="1983"/>
      <c r="AO99" s="1983"/>
      <c r="AP99" s="1983"/>
      <c r="AQ99" s="1983"/>
      <c r="AR99" s="1983"/>
      <c r="AS99" s="1983"/>
      <c r="AT99" s="1983"/>
      <c r="AU99" s="1983"/>
      <c r="AV99" s="1983"/>
      <c r="AW99" s="1985"/>
      <c r="AX99" s="1985"/>
      <c r="AY99" s="1985"/>
      <c r="AZ99" s="1985"/>
      <c r="BA99" s="1462"/>
      <c r="BB99" s="1462"/>
      <c r="BC99" s="1462"/>
      <c r="BD99" s="1461"/>
      <c r="BE99" s="1462"/>
      <c r="BF99" s="1343"/>
      <c r="BG99" s="1343"/>
      <c r="BH99" s="1343"/>
      <c r="BI99" s="1343"/>
      <c r="BJ99" s="1343"/>
      <c r="BK99" s="1343"/>
      <c r="BL99" s="1343"/>
      <c r="BM99" s="1343"/>
      <c r="BN99" s="1343"/>
      <c r="BO99" s="1343"/>
      <c r="BQ99" s="1184">
        <v>2</v>
      </c>
      <c r="BR99" s="1184" cm="1">
        <f t="array" ref="BR99">INDEX(Tierprodukte!$J$7:$J$19,'Lagerhaltung (freiwillig)'!BQ99)</f>
        <v>1</v>
      </c>
      <c r="BS99" s="1184"/>
      <c r="BT99" s="1186">
        <v>1</v>
      </c>
      <c r="BU99" s="1200" cm="1">
        <f t="array" ref="BU99">INDEX(Tierprodukte!$K$7:$K$19,BQ99)</f>
        <v>0.56000000000000005</v>
      </c>
      <c r="BV99" s="1200"/>
      <c r="BW99" s="1194">
        <f>HQ51+HQ52</f>
        <v>0</v>
      </c>
      <c r="BX99" s="1194">
        <f>HQ66+HQ65</f>
        <v>0</v>
      </c>
      <c r="BY99" s="1184"/>
      <c r="BZ99" s="1184"/>
      <c r="CA99" s="1184" t="s">
        <v>200</v>
      </c>
      <c r="CB99" s="1184" t="s">
        <v>201</v>
      </c>
      <c r="CC99" s="1184" t="s">
        <v>85</v>
      </c>
      <c r="CD99" s="1184" t="s">
        <v>8342</v>
      </c>
      <c r="CE99" s="1184"/>
      <c r="CF99" s="1184" t="s">
        <v>200</v>
      </c>
      <c r="CG99" s="1184"/>
      <c r="CH99" s="1184" t="s">
        <v>201</v>
      </c>
      <c r="CI99" s="1184" t="s">
        <v>85</v>
      </c>
      <c r="CJ99" s="1184" t="s">
        <v>1005</v>
      </c>
      <c r="CL99" s="1184"/>
      <c r="CM99" s="1184"/>
      <c r="CN99" s="1184"/>
      <c r="CO99" s="1184"/>
      <c r="CP99" s="1184"/>
      <c r="CQ99" s="1184"/>
      <c r="CR99" s="1184"/>
      <c r="CS99" s="1184"/>
      <c r="CT99" s="1184"/>
      <c r="CU99" s="1184"/>
      <c r="CV99" s="1184"/>
      <c r="CW99" s="1184"/>
      <c r="CX99" s="1184"/>
      <c r="CY99" s="320" t="str">
        <f>Pflanzen!A95</f>
        <v>Zuchtsauengülle, N-/P-red. Fütterung</v>
      </c>
      <c r="CZ99" s="1200">
        <f>IFERROR(MATCH($CY99,Pflanzen!$C$5:$C$114,0),1)</f>
        <v>86</v>
      </c>
      <c r="DA99" s="320" cm="1">
        <f t="array" ref="DA99">INDEX(Pflanzen!$H$5:$H$114,'Lagerhaltung (freiwillig)'!CZ99)</f>
        <v>0</v>
      </c>
      <c r="DB99" s="1200">
        <f t="shared" ref="DB99:DM108" si="244">SUMIFS($CQ$14:$CQ$68,$BW$14:$BW$68,1,$BX$14:$BX$68,DB$2,$BR$14:$BR$68,$CZ99)+    SUMIFS($CQ$14:$CQ$68,$BW$14:$BW$68,"&gt;1",$BX$14:$BX$68,"&lt;="&amp;DB$2,$BY$14:$BY$68,"&gt;="&amp;DB$2,$BR$14:$BR$68,$CZ99)</f>
        <v>0</v>
      </c>
      <c r="DC99" s="1200">
        <f t="shared" si="244"/>
        <v>0</v>
      </c>
      <c r="DD99" s="1200">
        <f t="shared" si="244"/>
        <v>0</v>
      </c>
      <c r="DE99" s="1200">
        <f t="shared" si="244"/>
        <v>0</v>
      </c>
      <c r="DF99" s="1200">
        <f t="shared" si="244"/>
        <v>0</v>
      </c>
      <c r="DG99" s="1184">
        <f t="shared" si="244"/>
        <v>0</v>
      </c>
      <c r="DH99" s="1184">
        <f t="shared" si="244"/>
        <v>0</v>
      </c>
      <c r="DI99" s="1184">
        <f t="shared" si="244"/>
        <v>0</v>
      </c>
      <c r="DJ99" s="1184">
        <f t="shared" si="244"/>
        <v>0</v>
      </c>
      <c r="DK99" s="1184">
        <f t="shared" si="244"/>
        <v>0</v>
      </c>
      <c r="DL99" s="1184">
        <f t="shared" si="244"/>
        <v>0</v>
      </c>
      <c r="DM99" s="1184">
        <f t="shared" si="244"/>
        <v>0</v>
      </c>
      <c r="DN99" s="1184"/>
      <c r="DO99" s="1184">
        <f t="shared" ref="DO99:DZ108" si="245">SUMIFS($CS$14:$CS$68,$BW$14:$BW$68,1,$BX$14:$BX$68,DO$2,$BR$14:$BR$68,$CZ99)+    SUMIFS($CS$14:$CS$68,$BW$14:$BW$68,"&gt;1",$BX$14:$BX$68,"&lt;="&amp;DO$2,$BY$14:$BY$68,"&gt;="&amp;DO$2,$BR$14:$BR$68,$CZ99)</f>
        <v>0</v>
      </c>
      <c r="DP99" s="1184">
        <f t="shared" si="245"/>
        <v>0</v>
      </c>
      <c r="DQ99" s="1184">
        <f t="shared" si="245"/>
        <v>0</v>
      </c>
      <c r="DR99" s="1184">
        <f t="shared" si="245"/>
        <v>0</v>
      </c>
      <c r="DS99" s="1184">
        <f t="shared" si="245"/>
        <v>0</v>
      </c>
      <c r="DT99" s="1184">
        <f t="shared" si="245"/>
        <v>0</v>
      </c>
      <c r="DU99" s="1184">
        <f t="shared" si="245"/>
        <v>0</v>
      </c>
      <c r="DV99" s="1184">
        <f t="shared" si="245"/>
        <v>0</v>
      </c>
      <c r="DW99" s="1184">
        <f t="shared" si="245"/>
        <v>0</v>
      </c>
      <c r="DX99" s="1184">
        <f t="shared" si="245"/>
        <v>0</v>
      </c>
      <c r="DY99" s="1184">
        <f t="shared" si="245"/>
        <v>0</v>
      </c>
      <c r="DZ99" s="1184">
        <f t="shared" si="245"/>
        <v>0</v>
      </c>
      <c r="EA99" s="1184"/>
      <c r="EB99" s="1184">
        <f t="shared" ref="EB99:EM108" si="246">SUMIFS($CL$14:$CL$68,$CC$14:$CC$68,1,$CD$14:$CD$68,EB$2,$BR$14:$BR$68,$CZ99)+         SUMIFS($CL$14:$CL$68,$CC$14:$CC$68,"&gt;1",$CD$14:$CD$68,"&lt;="&amp;EB$2,$CE$14:$CE$68,"&gt;="&amp;EB$2,$BR$14:$BR$68,$CZ99)</f>
        <v>0</v>
      </c>
      <c r="EC99" s="1184">
        <f t="shared" si="246"/>
        <v>0</v>
      </c>
      <c r="ED99" s="1184">
        <f t="shared" si="246"/>
        <v>0</v>
      </c>
      <c r="EE99" s="1184">
        <f t="shared" si="246"/>
        <v>0</v>
      </c>
      <c r="EF99" s="1184">
        <f t="shared" si="246"/>
        <v>0</v>
      </c>
      <c r="EG99" s="1184">
        <f t="shared" si="246"/>
        <v>0</v>
      </c>
      <c r="EH99" s="1184">
        <f t="shared" si="246"/>
        <v>0</v>
      </c>
      <c r="EI99" s="1184">
        <f t="shared" si="246"/>
        <v>0</v>
      </c>
      <c r="EJ99" s="1184">
        <f t="shared" si="246"/>
        <v>0</v>
      </c>
      <c r="EK99" s="1184">
        <f t="shared" si="246"/>
        <v>0</v>
      </c>
      <c r="EL99" s="1184">
        <f t="shared" si="246"/>
        <v>0</v>
      </c>
      <c r="EM99" s="1184">
        <f t="shared" si="246"/>
        <v>0</v>
      </c>
      <c r="EN99" s="1184"/>
      <c r="EO99" s="1184">
        <f t="shared" ref="EO99:EZ108" si="247">SUMIFS($CN$14:$CN$68,$CC$14:$CC$68,1,$CD$14:$CD$68,EO$2,$BR$14:$BR$68,$CZ99)+         SUMIFS($CN$14:$CN$68,$CC$14:$CC$68,"&gt;1",$CD$14:$CD$68,"&lt;="&amp;EO$2,$CE$14:$CE$68,"&gt;="&amp;EO$2,$BR$14:$BR$68,$CZ99)</f>
        <v>0</v>
      </c>
      <c r="EP99" s="1184">
        <f t="shared" si="247"/>
        <v>0</v>
      </c>
      <c r="EQ99" s="1184">
        <f t="shared" si="247"/>
        <v>0</v>
      </c>
      <c r="ER99" s="1184">
        <f t="shared" si="247"/>
        <v>0</v>
      </c>
      <c r="ES99" s="1184">
        <f t="shared" si="247"/>
        <v>0</v>
      </c>
      <c r="ET99" s="1184">
        <f t="shared" si="247"/>
        <v>0</v>
      </c>
      <c r="EU99" s="1184">
        <f t="shared" si="247"/>
        <v>0</v>
      </c>
      <c r="EV99" s="1184">
        <f t="shared" si="247"/>
        <v>0</v>
      </c>
      <c r="EW99" s="1184">
        <f t="shared" si="247"/>
        <v>0</v>
      </c>
      <c r="EX99" s="1184">
        <f t="shared" si="247"/>
        <v>0</v>
      </c>
      <c r="EY99" s="1184">
        <f t="shared" si="247"/>
        <v>0</v>
      </c>
      <c r="EZ99" s="1184">
        <f t="shared" si="247"/>
        <v>0</v>
      </c>
      <c r="FA99" s="1184"/>
      <c r="FB99" s="1186">
        <f t="shared" si="182"/>
        <v>0</v>
      </c>
      <c r="FC99" s="1184">
        <f>FB99+DB99+EB99                 -         SUMIF('Nährstoffe und Lagerraum'!$AX$113:$AX$155,$CZ99,'Nährstoffe und Lagerraum'!$U$113:$U$155)/12  -$GD99*$HE99/12</f>
        <v>0</v>
      </c>
      <c r="FD99" s="1184">
        <f>FC99+DC99+EC99                 -         SUMIF('Nährstoffe und Lagerraum'!$AX$113:$AX$155,$CZ99,'Nährstoffe und Lagerraum'!$U$113:$U$155)/12  -$GD99*$HE99/12</f>
        <v>0</v>
      </c>
      <c r="FE99" s="1184">
        <f>FD99+DD99+ED99                 -         SUMIF('Nährstoffe und Lagerraum'!$AX$113:$AX$155,$CZ99,'Nährstoffe und Lagerraum'!$U$113:$U$155)/12  -$GD99*$HE99/12</f>
        <v>0</v>
      </c>
      <c r="FF99" s="1184">
        <f>FE99+DE99+EE99                 -         SUMIF('Nährstoffe und Lagerraum'!$AX$113:$AX$155,$CZ99,'Nährstoffe und Lagerraum'!$U$113:$U$155)/12  -$GD99*$HE99/12</f>
        <v>0</v>
      </c>
      <c r="FG99" s="1184">
        <f>FF99+DF99+EF99                 -         SUMIF('Nährstoffe und Lagerraum'!$AX$113:$AX$155,$CZ99,'Nährstoffe und Lagerraum'!$U$113:$U$155)/12  -$GD99*$HE99/12</f>
        <v>0</v>
      </c>
      <c r="FH99" s="1184">
        <f>FG99+DG99+EG99                 -         SUMIF('Nährstoffe und Lagerraum'!$AX$113:$AX$155,$CZ99,'Nährstoffe und Lagerraum'!$U$113:$U$155)/12  -$GD99*$HE99/12</f>
        <v>0</v>
      </c>
      <c r="FI99" s="1184">
        <f>FH99+DH99+EH99                 -         SUMIF('Nährstoffe und Lagerraum'!$AX$113:$AX$155,$CZ99,'Nährstoffe und Lagerraum'!$U$113:$U$155)/12  -$GD99*$HE99/12</f>
        <v>0</v>
      </c>
      <c r="FJ99" s="1184">
        <f>FI99+DI99+EI99                 -         SUMIF('Nährstoffe und Lagerraum'!$AX$113:$AX$155,$CZ99,'Nährstoffe und Lagerraum'!$U$113:$U$155)/12  -$GD99*$HE99/12</f>
        <v>0</v>
      </c>
      <c r="FK99" s="1184">
        <f>FJ99+DJ99+EJ99                 -         SUMIF('Nährstoffe und Lagerraum'!$AX$113:$AX$155,$CZ99,'Nährstoffe und Lagerraum'!$U$113:$U$155)/12  -$GD99*$HE99/12</f>
        <v>0</v>
      </c>
      <c r="FL99" s="1184">
        <f>FK99+DK99+EK99                 -         SUMIF('Nährstoffe und Lagerraum'!$AX$113:$AX$155,$CZ99,'Nährstoffe und Lagerraum'!$U$113:$U$155)/12  -$GD99*$HE99/12</f>
        <v>0</v>
      </c>
      <c r="FM99" s="1184">
        <f>FL99+DL99+EL99                 -         SUMIF('Nährstoffe und Lagerraum'!$AX$113:$AX$155,$CZ99,'Nährstoffe und Lagerraum'!$U$113:$U$155)/12  -$GD99*$HE99/12</f>
        <v>0</v>
      </c>
      <c r="FN99" s="1184">
        <f>FM99+DM99+EM99                 -         SUMIF('Nährstoffe und Lagerraum'!$AX$113:$AX$155,$CZ99,'Nährstoffe und Lagerraum'!$U$113:$U$155)/12  -$GD99*$HE99/12</f>
        <v>0</v>
      </c>
      <c r="FO99" s="1184"/>
      <c r="FP99" s="1186">
        <f t="shared" si="183"/>
        <v>0</v>
      </c>
      <c r="FQ99" s="1184">
        <f>FP99+DO99+EO99                 -         SUMIF('Nährstoffe und Lagerraum'!$AX$113:$AX$155,$CZ99,'Nährstoffe und Lagerraum'!$V$113:$V$155)/12  -$GE99*$HE99/12</f>
        <v>0</v>
      </c>
      <c r="FR99" s="1184">
        <f>FQ99+DP99+EP99                 -         SUMIF('Nährstoffe und Lagerraum'!$AX$113:$AX$155,$CZ99,'Nährstoffe und Lagerraum'!$V$113:$V$155)/12  -$GE99*$HE99/12</f>
        <v>0</v>
      </c>
      <c r="FS99" s="1184">
        <f>FR99+DQ99+EQ99                 -         SUMIF('Nährstoffe und Lagerraum'!$AX$113:$AX$155,$CZ99,'Nährstoffe und Lagerraum'!$V$113:$V$155)/12  -$GE99*$HE99/12</f>
        <v>0</v>
      </c>
      <c r="FT99" s="1184">
        <f>FS99+DR99+ER99                 -         SUMIF('Nährstoffe und Lagerraum'!$AX$113:$AX$155,$CZ99,'Nährstoffe und Lagerraum'!$V$113:$V$155)/12  -$GE99*$HE99/12</f>
        <v>0</v>
      </c>
      <c r="FU99" s="1184">
        <f>FT99+DS99+ES99                 -         SUMIF('Nährstoffe und Lagerraum'!$AX$113:$AX$155,$CZ99,'Nährstoffe und Lagerraum'!$V$113:$V$155)/12  -$GE99*$HE99/12</f>
        <v>0</v>
      </c>
      <c r="FV99" s="1184">
        <f>FU99+DT99+ET99                 -         SUMIF('Nährstoffe und Lagerraum'!$AX$113:$AX$155,$CZ99,'Nährstoffe und Lagerraum'!$V$113:$V$155)/12  -$GE99*$HE99/12</f>
        <v>0</v>
      </c>
      <c r="FW99" s="1184">
        <f>FV99+DU99+EU99                 -         SUMIF('Nährstoffe und Lagerraum'!$AX$113:$AX$155,$CZ99,'Nährstoffe und Lagerraum'!$V$113:$V$155)/12  -$GE99*$HE99/12</f>
        <v>0</v>
      </c>
      <c r="FX99" s="1184">
        <f>FW99+DV99+EV99                 -         SUMIF('Nährstoffe und Lagerraum'!$AX$113:$AX$155,$CZ99,'Nährstoffe und Lagerraum'!$V$113:$V$155)/12  -$GE99*$HE99/12</f>
        <v>0</v>
      </c>
      <c r="FY99" s="1184">
        <f>FX99+DW99+EW99                 -         SUMIF('Nährstoffe und Lagerraum'!$AX$113:$AX$155,$CZ99,'Nährstoffe und Lagerraum'!$V$113:$V$155)/12  -$GE99*$HE99/12</f>
        <v>0</v>
      </c>
      <c r="FZ99" s="1184">
        <f>FY99+DX99+EX99                 -         SUMIF('Nährstoffe und Lagerraum'!$AX$113:$AX$155,$CZ99,'Nährstoffe und Lagerraum'!$V$113:$V$155)/12  -$GE99*$HE99/12</f>
        <v>0</v>
      </c>
      <c r="GA99" s="1184">
        <f>FZ99+DY99+EY99                 -         SUMIF('Nährstoffe und Lagerraum'!$AX$113:$AX$155,$CZ99,'Nährstoffe und Lagerraum'!$V$113:$V$155)/12  -$GE99*$HE99/12</f>
        <v>0</v>
      </c>
      <c r="GB99" s="1184">
        <f>GA99+DZ99+EZ99                 -         SUMIF('Nährstoffe und Lagerraum'!$AX$113:$AX$155,$CZ99,'Nährstoffe und Lagerraum'!$V$113:$V$155)/12  -$GE99*$HE99/12</f>
        <v>0</v>
      </c>
      <c r="GC99" s="1184"/>
      <c r="GD99" s="1184">
        <f>SUMIFS($CI$14:$CI$68,$BR$14:$BR$68,$CZ99)+SUMIFS($CM$14:$CM$68,$BR$14:$BR$68,$CZ99)+SUMIFS($CR$14:$CR$68,$BR$14:$BR$68,$CZ99)  -         SUMIF('Nährstoffe und Lagerraum'!$AX$113:$AX$155,$CZ99,'Nährstoffe und Lagerraum'!$U$113:$U$155)</f>
        <v>0</v>
      </c>
      <c r="GE99" s="1184">
        <f>SUMIFS($CJ$14:$CJ$68,$BR$14:$BR$68,$CZ99)+SUMIFS($CO$14:$CO$68,$BR$14:$BR$68,$CZ99)+SUMIFS($CT$14:$CT$68,$BR$14:$BR$68,$CZ99)  -         SUMIF('Nährstoffe und Lagerraum'!$AX$113:$AX$155,$CZ99,'Nährstoffe und Lagerraum'!$V$113:$V$155)</f>
        <v>0</v>
      </c>
      <c r="GF99" s="1184"/>
      <c r="GG99" s="1184"/>
      <c r="GH99" s="1184">
        <f>SUMIF('Nährstoffe und Lagerraum'!$AX$113:$AX$155,$CZ99,'Nährstoffe und Lagerraum'!$U$113:$U$155)</f>
        <v>0</v>
      </c>
      <c r="GI99" s="1184">
        <f>SUMIF('Nährstoffe und Lagerraum'!$AX$113:$AX$155,$CZ99,'Nährstoffe und Lagerraum'!$V$113:$V$155)</f>
        <v>0</v>
      </c>
      <c r="GJ99" s="1184">
        <f t="shared" si="221"/>
        <v>0</v>
      </c>
      <c r="GK99" s="1184">
        <f t="shared" si="222"/>
        <v>0</v>
      </c>
      <c r="GL99" s="1184">
        <f t="shared" si="223"/>
        <v>0</v>
      </c>
      <c r="GM99" s="1184">
        <f t="shared" si="224"/>
        <v>0</v>
      </c>
      <c r="GN99" s="1184">
        <f t="shared" si="225"/>
        <v>0</v>
      </c>
      <c r="GO99" s="1184" cm="1">
        <f t="array" ref="GO99">IF(GN99=0,0,(IFERROR(SUMPRODUCT($J$14:$J$68,$CH$14:$CH$68,($BR$14:$BR$68=CZ99)*1)+SUMPRODUCT($L$14:$L$68,$M$14:$M$68,$CK$14:$CK$68,($BR$14:$BR$68=CZ99)*1,($BT$14:$BT$68=FALSE)*1)/10+SUMPRODUCT($R$14:$R$68,$CP$14:$CP$68,($BR$14:$BR$68=CZ99)*1),0))/GN99)</f>
        <v>0</v>
      </c>
      <c r="GP99" s="1184">
        <f t="shared" si="226"/>
        <v>0</v>
      </c>
      <c r="GQ99" s="1184">
        <f>(SUMIF('Nährstoffe und Lagerraum'!$AX$113:$AX$130,'Lagerhaltung (freiwillig)'!CZ99,'Nährstoffe und Lagerraum'!$D$113:$D$130)+SUMIF('Nährstoffe und Lagerraum'!$AX$137:$AX$155,'Lagerhaltung (freiwillig)'!CZ99,'Nährstoffe und Lagerraum'!$E$137:$E$155))</f>
        <v>0</v>
      </c>
      <c r="GR99" s="1184" cm="1">
        <f t="array" ref="GR99">IF(GQ99=0,0,(IFERROR(SUMPRODUCT('Nährstoffe und Lagerraum'!$D$113:$D$130,'Nährstoffe und Lagerraum'!$F$113:$F$130,('Nährstoffe und Lagerraum'!$AX$113:$AX$130='Lagerhaltung (freiwillig)'!CZ99)*1)+SUMPRODUCT('Nährstoffe und Lagerraum'!$E$137:$E$155,'Nährstoffe und Lagerraum'!$F$137:$F$155,('Nährstoffe und Lagerraum'!$AX$137:$AX$155='Lagerhaltung (freiwillig)'!CZ99)*1),0))/GQ99)</f>
        <v>0</v>
      </c>
      <c r="GS99" s="1184">
        <f t="shared" si="227"/>
        <v>0</v>
      </c>
      <c r="GT99" s="1184">
        <f t="shared" si="228"/>
        <v>0</v>
      </c>
      <c r="GU99" s="1184">
        <f t="shared" si="229"/>
        <v>0</v>
      </c>
      <c r="GV99" s="1184">
        <f t="shared" si="230"/>
        <v>0</v>
      </c>
      <c r="GW99" s="1186" t="str">
        <f t="shared" si="177"/>
        <v xml:space="preserve"> </v>
      </c>
      <c r="GX99" s="1186" t="str">
        <f t="shared" si="177"/>
        <v xml:space="preserve"> </v>
      </c>
      <c r="GY99" s="1195">
        <f t="shared" si="231"/>
        <v>0</v>
      </c>
      <c r="GZ99" s="1184">
        <f t="shared" si="232"/>
        <v>0</v>
      </c>
      <c r="HA99" s="1184" t="str">
        <f t="shared" si="176"/>
        <v>a</v>
      </c>
      <c r="HB99" s="1196">
        <f t="shared" si="233"/>
        <v>0</v>
      </c>
      <c r="HC99" s="1196">
        <f t="shared" si="234"/>
        <v>0</v>
      </c>
      <c r="HD99" s="1196"/>
      <c r="HE99" s="1187">
        <f t="shared" si="235"/>
        <v>0</v>
      </c>
      <c r="HF99" s="1196">
        <f t="shared" si="236"/>
        <v>0</v>
      </c>
      <c r="HG99" s="1196">
        <f t="shared" si="237"/>
        <v>0</v>
      </c>
      <c r="HH99" s="1196">
        <f t="shared" si="238"/>
        <v>0</v>
      </c>
      <c r="HI99" s="1328" cm="1">
        <f t="array" ref="HI99">IF(AND(HG99=0,GL99=0),0,IF(HG99=0,1,IF(OR(GL99*1000/HG99/HH99&gt;INDEX(Pflanzen!$W$5:$W$104,CZ99)/INDEX(Pflanzen!$I$5:$I$104,CZ99)*$HI$2,GL99*1000/HG99/HH99&lt;INDEX(Pflanzen!$W$5:$W$104,CZ99)/INDEX(Pflanzen!$I$5:$I$104,CZ99)/$HI$2),1,0)))</f>
        <v>0</v>
      </c>
      <c r="HJ99" s="1328" cm="1">
        <f t="array" ref="HJ99">IF(AND(GM99=0,HG99=0),0,IF(HG99=0,1,IF(OR(GM99*1000/HG99/HH99&gt;INDEX(Pflanzen!$X$5:$X$104,CZ99)/INDEX(Pflanzen!$I$5:$I$104,CZ99)*$HI$2,GM99*1000/HG99/HH99&lt;INDEX(Pflanzen!$X$5:$X$104,CZ99)/INDEX(Pflanzen!$I$5:$I$104,CZ99)/$HI$2),1,0)))</f>
        <v>0</v>
      </c>
      <c r="HK99" s="1184">
        <f t="shared" si="239"/>
        <v>3</v>
      </c>
      <c r="HL99" s="1184"/>
      <c r="HN99" s="1184"/>
      <c r="HO99" s="1184"/>
      <c r="HP99" s="1184"/>
      <c r="HQ99" s="1184"/>
      <c r="HR99" s="1184"/>
      <c r="HS99" s="1184"/>
      <c r="HT99" s="1184"/>
      <c r="HU99" s="1184"/>
      <c r="HV99" s="1184"/>
      <c r="HW99" s="1184"/>
      <c r="HX99" s="1184"/>
      <c r="HY99" s="1184"/>
      <c r="HZ99" s="1184"/>
      <c r="IA99" s="1184"/>
      <c r="IB99" s="1184"/>
      <c r="IC99" s="1184"/>
      <c r="ID99" s="1184"/>
      <c r="IE99" s="1184"/>
      <c r="IF99" s="1184"/>
      <c r="IG99" s="1184"/>
      <c r="IH99" s="1184"/>
      <c r="II99" s="1184"/>
      <c r="IJ99" s="1184"/>
      <c r="IK99" s="1184"/>
      <c r="IL99" s="1184"/>
    </row>
    <row r="100" spans="1:246" ht="15.6" customHeight="1" x14ac:dyDescent="0.2">
      <c r="A100" s="3125"/>
      <c r="B100" s="1170"/>
      <c r="C100" s="1170"/>
      <c r="D100" s="1170"/>
      <c r="E100" s="1171"/>
      <c r="F100" s="3106"/>
      <c r="G100" s="3107"/>
      <c r="H100" s="3127" t="s">
        <v>998</v>
      </c>
      <c r="I100" s="3128"/>
      <c r="J100" s="3128"/>
      <c r="K100" s="3129"/>
      <c r="L100" s="1482" cm="1">
        <f t="array" ref="L100">INDEX(Tierprodukte!$C$7:$C$19,BQ100)</f>
        <v>0</v>
      </c>
      <c r="M100" s="1483" cm="1">
        <f t="array" ref="M100">INDEX(Tierprodukte!$D$7:$D$19,BQ100)</f>
        <v>0</v>
      </c>
      <c r="N100" s="3090">
        <f>IF(BT100=1,F100*L100*-1/1000,F100/BU100*L100*-1/1000)</f>
        <v>0</v>
      </c>
      <c r="O100" s="3091"/>
      <c r="P100" s="3122">
        <f>IF(BT100=1,F100*M100*-1/1000,F100/BU100*M100*-1/1000)</f>
        <v>0</v>
      </c>
      <c r="Q100" s="3123"/>
      <c r="R100" s="138" t="str">
        <f>IF(AND(BT100=2,BU100=1),"Schlachtgewicht nicht möglich","")</f>
        <v/>
      </c>
      <c r="S100" s="138"/>
      <c r="T100" s="696"/>
      <c r="U100" s="242"/>
      <c r="V100" s="242"/>
      <c r="Y100" s="1981"/>
      <c r="Z100" s="1982"/>
      <c r="AA100" s="1982"/>
      <c r="AB100" s="1982"/>
      <c r="AC100" s="1983"/>
      <c r="AD100" s="1983"/>
      <c r="AE100" s="1983"/>
      <c r="AF100" s="1983"/>
      <c r="AG100" s="1983"/>
      <c r="AH100" s="1983"/>
      <c r="AI100" s="1983"/>
      <c r="AJ100" s="1983"/>
      <c r="AK100" s="1983"/>
      <c r="AL100" s="1984"/>
      <c r="AM100" s="1983"/>
      <c r="AN100" s="1983"/>
      <c r="AO100" s="1983"/>
      <c r="AP100" s="1983"/>
      <c r="AQ100" s="1983"/>
      <c r="AR100" s="1983"/>
      <c r="AS100" s="1983"/>
      <c r="AT100" s="1983"/>
      <c r="AU100" s="1983"/>
      <c r="AV100" s="1983"/>
      <c r="AW100" s="1985"/>
      <c r="AX100" s="1985"/>
      <c r="AY100" s="1985"/>
      <c r="AZ100" s="1985"/>
      <c r="BA100" s="1462"/>
      <c r="BB100" s="1462"/>
      <c r="BC100" s="1462"/>
      <c r="BD100" s="1461"/>
      <c r="BE100" s="1462"/>
      <c r="BF100" s="1343"/>
      <c r="BG100" s="1343"/>
      <c r="BH100" s="1343"/>
      <c r="BI100" s="1343"/>
      <c r="BJ100" s="1343"/>
      <c r="BK100" s="1343"/>
      <c r="BL100" s="1343"/>
      <c r="BM100" s="1343"/>
      <c r="BN100" s="1343"/>
      <c r="BO100" s="1343"/>
      <c r="BQ100" s="1184">
        <v>1</v>
      </c>
      <c r="BR100" s="1184" cm="1">
        <f t="array" ref="BR100">INDEX(Tierprodukte!$J$7:$J$19,'Lagerhaltung (freiwillig)'!BQ100)</f>
        <v>0</v>
      </c>
      <c r="BS100" s="1184"/>
      <c r="BT100" s="1184">
        <v>1</v>
      </c>
      <c r="BU100" s="1200" cm="1">
        <f t="array" ref="BU100">INDEX(Tierprodukte!$K$7:$K$19,BQ100)</f>
        <v>0.5</v>
      </c>
      <c r="BV100" s="1200"/>
      <c r="BW100" s="1205" t="s">
        <v>8221</v>
      </c>
      <c r="BX100" s="1186" t="s">
        <v>8228</v>
      </c>
      <c r="BY100" s="1184"/>
      <c r="BZ100" s="1184" t="s">
        <v>914</v>
      </c>
      <c r="CA100" s="1184">
        <f>SUMIF($HR$4:$HR$88,IE5,$HX$4:$HX$88)</f>
        <v>0</v>
      </c>
      <c r="CB100" s="1184">
        <f>SUMIF($HR$4:$HR$88,IE6,$HX$4:$HX$88)</f>
        <v>0</v>
      </c>
      <c r="CC100" s="1184">
        <f>SUMIF($HR$4:$HR$88,IE7,$HX$4:$HX$88)</f>
        <v>0</v>
      </c>
      <c r="CD100" s="1184">
        <f>SUMIF($HR$4:$HR$88,IE8,$HX$4:$HX$88)</f>
        <v>0</v>
      </c>
      <c r="CE100" s="1184"/>
      <c r="CF100" s="1325">
        <f>CA102-N98</f>
        <v>0</v>
      </c>
      <c r="CG100" s="1325"/>
      <c r="CH100" s="1186">
        <f>CB102</f>
        <v>0</v>
      </c>
      <c r="CI100" s="1325">
        <f>CC102-N102</f>
        <v>0</v>
      </c>
      <c r="CJ100" s="1325">
        <f>CD102-N103</f>
        <v>0</v>
      </c>
      <c r="CL100" s="1184"/>
      <c r="CM100" s="1184"/>
      <c r="CN100" s="1184"/>
      <c r="CO100" s="1184"/>
      <c r="CP100" s="1184"/>
      <c r="CQ100" s="1184"/>
      <c r="CR100" s="1184"/>
      <c r="CS100" s="1184"/>
      <c r="CT100" s="1184"/>
      <c r="CU100" s="1184"/>
      <c r="CV100" s="1184"/>
      <c r="CW100" s="1184"/>
      <c r="CX100" s="1184"/>
      <c r="CY100" s="320" t="str">
        <f>Pflanzen!A96</f>
        <v>Zuchtsauengülle, stark N-/P-red. Fütterung</v>
      </c>
      <c r="CZ100" s="1200">
        <f>IFERROR(MATCH($CY100,Pflanzen!$C$5:$C$114,0),1)</f>
        <v>87</v>
      </c>
      <c r="DA100" s="320" cm="1">
        <f t="array" ref="DA100">INDEX(Pflanzen!$H$5:$H$114,'Lagerhaltung (freiwillig)'!CZ100)</f>
        <v>0</v>
      </c>
      <c r="DB100" s="1200">
        <f t="shared" si="244"/>
        <v>0</v>
      </c>
      <c r="DC100" s="1200">
        <f t="shared" si="244"/>
        <v>0</v>
      </c>
      <c r="DD100" s="1200">
        <f t="shared" si="244"/>
        <v>0</v>
      </c>
      <c r="DE100" s="1200">
        <f t="shared" si="244"/>
        <v>0</v>
      </c>
      <c r="DF100" s="1200">
        <f t="shared" si="244"/>
        <v>0</v>
      </c>
      <c r="DG100" s="1184">
        <f t="shared" si="244"/>
        <v>0</v>
      </c>
      <c r="DH100" s="1184">
        <f t="shared" si="244"/>
        <v>0</v>
      </c>
      <c r="DI100" s="1184">
        <f t="shared" si="244"/>
        <v>0</v>
      </c>
      <c r="DJ100" s="1184">
        <f t="shared" si="244"/>
        <v>0</v>
      </c>
      <c r="DK100" s="1184">
        <f t="shared" si="244"/>
        <v>0</v>
      </c>
      <c r="DL100" s="1184">
        <f t="shared" si="244"/>
        <v>0</v>
      </c>
      <c r="DM100" s="1184">
        <f t="shared" si="244"/>
        <v>0</v>
      </c>
      <c r="DN100" s="1184"/>
      <c r="DO100" s="1184">
        <f t="shared" si="245"/>
        <v>0</v>
      </c>
      <c r="DP100" s="1184">
        <f t="shared" si="245"/>
        <v>0</v>
      </c>
      <c r="DQ100" s="1184">
        <f t="shared" si="245"/>
        <v>0</v>
      </c>
      <c r="DR100" s="1184">
        <f t="shared" si="245"/>
        <v>0</v>
      </c>
      <c r="DS100" s="1184">
        <f t="shared" si="245"/>
        <v>0</v>
      </c>
      <c r="DT100" s="1184">
        <f t="shared" si="245"/>
        <v>0</v>
      </c>
      <c r="DU100" s="1184">
        <f t="shared" si="245"/>
        <v>0</v>
      </c>
      <c r="DV100" s="1184">
        <f t="shared" si="245"/>
        <v>0</v>
      </c>
      <c r="DW100" s="1184">
        <f t="shared" si="245"/>
        <v>0</v>
      </c>
      <c r="DX100" s="1184">
        <f t="shared" si="245"/>
        <v>0</v>
      </c>
      <c r="DY100" s="1184">
        <f t="shared" si="245"/>
        <v>0</v>
      </c>
      <c r="DZ100" s="1184">
        <f t="shared" si="245"/>
        <v>0</v>
      </c>
      <c r="EA100" s="1184"/>
      <c r="EB100" s="1184">
        <f t="shared" si="246"/>
        <v>0</v>
      </c>
      <c r="EC100" s="1184">
        <f t="shared" si="246"/>
        <v>0</v>
      </c>
      <c r="ED100" s="1184">
        <f t="shared" si="246"/>
        <v>0</v>
      </c>
      <c r="EE100" s="1184">
        <f t="shared" si="246"/>
        <v>0</v>
      </c>
      <c r="EF100" s="1184">
        <f t="shared" si="246"/>
        <v>0</v>
      </c>
      <c r="EG100" s="1184">
        <f t="shared" si="246"/>
        <v>0</v>
      </c>
      <c r="EH100" s="1184">
        <f t="shared" si="246"/>
        <v>0</v>
      </c>
      <c r="EI100" s="1184">
        <f t="shared" si="246"/>
        <v>0</v>
      </c>
      <c r="EJ100" s="1184">
        <f t="shared" si="246"/>
        <v>0</v>
      </c>
      <c r="EK100" s="1184">
        <f t="shared" si="246"/>
        <v>0</v>
      </c>
      <c r="EL100" s="1184">
        <f t="shared" si="246"/>
        <v>0</v>
      </c>
      <c r="EM100" s="1184">
        <f t="shared" si="246"/>
        <v>0</v>
      </c>
      <c r="EN100" s="1184"/>
      <c r="EO100" s="1184">
        <f t="shared" si="247"/>
        <v>0</v>
      </c>
      <c r="EP100" s="1184">
        <f t="shared" si="247"/>
        <v>0</v>
      </c>
      <c r="EQ100" s="1184">
        <f t="shared" si="247"/>
        <v>0</v>
      </c>
      <c r="ER100" s="1184">
        <f t="shared" si="247"/>
        <v>0</v>
      </c>
      <c r="ES100" s="1184">
        <f t="shared" si="247"/>
        <v>0</v>
      </c>
      <c r="ET100" s="1184">
        <f t="shared" si="247"/>
        <v>0</v>
      </c>
      <c r="EU100" s="1184">
        <f t="shared" si="247"/>
        <v>0</v>
      </c>
      <c r="EV100" s="1184">
        <f t="shared" si="247"/>
        <v>0</v>
      </c>
      <c r="EW100" s="1184">
        <f t="shared" si="247"/>
        <v>0</v>
      </c>
      <c r="EX100" s="1184">
        <f t="shared" si="247"/>
        <v>0</v>
      </c>
      <c r="EY100" s="1184">
        <f t="shared" si="247"/>
        <v>0</v>
      </c>
      <c r="EZ100" s="1184">
        <f t="shared" si="247"/>
        <v>0</v>
      </c>
      <c r="FA100" s="1184"/>
      <c r="FB100" s="1186">
        <f t="shared" si="182"/>
        <v>0</v>
      </c>
      <c r="FC100" s="1184">
        <f>FB100+DB100+EB100                 -         SUMIF('Nährstoffe und Lagerraum'!$AX$113:$AX$155,$CZ100,'Nährstoffe und Lagerraum'!$U$113:$U$155)/12  -$GD100*$HE100/12</f>
        <v>0</v>
      </c>
      <c r="FD100" s="1184">
        <f>FC100+DC100+EC100                 -         SUMIF('Nährstoffe und Lagerraum'!$AX$113:$AX$155,$CZ100,'Nährstoffe und Lagerraum'!$U$113:$U$155)/12  -$GD100*$HE100/12</f>
        <v>0</v>
      </c>
      <c r="FE100" s="1184">
        <f>FD100+DD100+ED100                 -         SUMIF('Nährstoffe und Lagerraum'!$AX$113:$AX$155,$CZ100,'Nährstoffe und Lagerraum'!$U$113:$U$155)/12  -$GD100*$HE100/12</f>
        <v>0</v>
      </c>
      <c r="FF100" s="1184">
        <f>FE100+DE100+EE100                 -         SUMIF('Nährstoffe und Lagerraum'!$AX$113:$AX$155,$CZ100,'Nährstoffe und Lagerraum'!$U$113:$U$155)/12  -$GD100*$HE100/12</f>
        <v>0</v>
      </c>
      <c r="FG100" s="1184">
        <f>FF100+DF100+EF100                 -         SUMIF('Nährstoffe und Lagerraum'!$AX$113:$AX$155,$CZ100,'Nährstoffe und Lagerraum'!$U$113:$U$155)/12  -$GD100*$HE100/12</f>
        <v>0</v>
      </c>
      <c r="FH100" s="1184">
        <f>FG100+DG100+EG100                 -         SUMIF('Nährstoffe und Lagerraum'!$AX$113:$AX$155,$CZ100,'Nährstoffe und Lagerraum'!$U$113:$U$155)/12  -$GD100*$HE100/12</f>
        <v>0</v>
      </c>
      <c r="FI100" s="1184">
        <f>FH100+DH100+EH100                 -         SUMIF('Nährstoffe und Lagerraum'!$AX$113:$AX$155,$CZ100,'Nährstoffe und Lagerraum'!$U$113:$U$155)/12  -$GD100*$HE100/12</f>
        <v>0</v>
      </c>
      <c r="FJ100" s="1184">
        <f>FI100+DI100+EI100                 -         SUMIF('Nährstoffe und Lagerraum'!$AX$113:$AX$155,$CZ100,'Nährstoffe und Lagerraum'!$U$113:$U$155)/12  -$GD100*$HE100/12</f>
        <v>0</v>
      </c>
      <c r="FK100" s="1184">
        <f>FJ100+DJ100+EJ100                 -         SUMIF('Nährstoffe und Lagerraum'!$AX$113:$AX$155,$CZ100,'Nährstoffe und Lagerraum'!$U$113:$U$155)/12  -$GD100*$HE100/12</f>
        <v>0</v>
      </c>
      <c r="FL100" s="1184">
        <f>FK100+DK100+EK100                 -         SUMIF('Nährstoffe und Lagerraum'!$AX$113:$AX$155,$CZ100,'Nährstoffe und Lagerraum'!$U$113:$U$155)/12  -$GD100*$HE100/12</f>
        <v>0</v>
      </c>
      <c r="FM100" s="1184">
        <f>FL100+DL100+EL100                 -         SUMIF('Nährstoffe und Lagerraum'!$AX$113:$AX$155,$CZ100,'Nährstoffe und Lagerraum'!$U$113:$U$155)/12  -$GD100*$HE100/12</f>
        <v>0</v>
      </c>
      <c r="FN100" s="1184">
        <f>FM100+DM100+EM100                 -         SUMIF('Nährstoffe und Lagerraum'!$AX$113:$AX$155,$CZ100,'Nährstoffe und Lagerraum'!$U$113:$U$155)/12  -$GD100*$HE100/12</f>
        <v>0</v>
      </c>
      <c r="FO100" s="1184"/>
      <c r="FP100" s="1186">
        <f t="shared" si="183"/>
        <v>0</v>
      </c>
      <c r="FQ100" s="1184">
        <f>FP100+DO100+EO100                 -         SUMIF('Nährstoffe und Lagerraum'!$AX$113:$AX$155,$CZ100,'Nährstoffe und Lagerraum'!$V$113:$V$155)/12  -$GE100*$HE100/12</f>
        <v>0</v>
      </c>
      <c r="FR100" s="1184">
        <f>FQ100+DP100+EP100                 -         SUMIF('Nährstoffe und Lagerraum'!$AX$113:$AX$155,$CZ100,'Nährstoffe und Lagerraum'!$V$113:$V$155)/12  -$GE100*$HE100/12</f>
        <v>0</v>
      </c>
      <c r="FS100" s="1184">
        <f>FR100+DQ100+EQ100                 -         SUMIF('Nährstoffe und Lagerraum'!$AX$113:$AX$155,$CZ100,'Nährstoffe und Lagerraum'!$V$113:$V$155)/12  -$GE100*$HE100/12</f>
        <v>0</v>
      </c>
      <c r="FT100" s="1184">
        <f>FS100+DR100+ER100                 -         SUMIF('Nährstoffe und Lagerraum'!$AX$113:$AX$155,$CZ100,'Nährstoffe und Lagerraum'!$V$113:$V$155)/12  -$GE100*$HE100/12</f>
        <v>0</v>
      </c>
      <c r="FU100" s="1184">
        <f>FT100+DS100+ES100                 -         SUMIF('Nährstoffe und Lagerraum'!$AX$113:$AX$155,$CZ100,'Nährstoffe und Lagerraum'!$V$113:$V$155)/12  -$GE100*$HE100/12</f>
        <v>0</v>
      </c>
      <c r="FV100" s="1184">
        <f>FU100+DT100+ET100                 -         SUMIF('Nährstoffe und Lagerraum'!$AX$113:$AX$155,$CZ100,'Nährstoffe und Lagerraum'!$V$113:$V$155)/12  -$GE100*$HE100/12</f>
        <v>0</v>
      </c>
      <c r="FW100" s="1184">
        <f>FV100+DU100+EU100                 -         SUMIF('Nährstoffe und Lagerraum'!$AX$113:$AX$155,$CZ100,'Nährstoffe und Lagerraum'!$V$113:$V$155)/12  -$GE100*$HE100/12</f>
        <v>0</v>
      </c>
      <c r="FX100" s="1184">
        <f>FW100+DV100+EV100                 -         SUMIF('Nährstoffe und Lagerraum'!$AX$113:$AX$155,$CZ100,'Nährstoffe und Lagerraum'!$V$113:$V$155)/12  -$GE100*$HE100/12</f>
        <v>0</v>
      </c>
      <c r="FY100" s="1184">
        <f>FX100+DW100+EW100                 -         SUMIF('Nährstoffe und Lagerraum'!$AX$113:$AX$155,$CZ100,'Nährstoffe und Lagerraum'!$V$113:$V$155)/12  -$GE100*$HE100/12</f>
        <v>0</v>
      </c>
      <c r="FZ100" s="1184">
        <f>FY100+DX100+EX100                 -         SUMIF('Nährstoffe und Lagerraum'!$AX$113:$AX$155,$CZ100,'Nährstoffe und Lagerraum'!$V$113:$V$155)/12  -$GE100*$HE100/12</f>
        <v>0</v>
      </c>
      <c r="GA100" s="1184">
        <f>FZ100+DY100+EY100                 -         SUMIF('Nährstoffe und Lagerraum'!$AX$113:$AX$155,$CZ100,'Nährstoffe und Lagerraum'!$V$113:$V$155)/12  -$GE100*$HE100/12</f>
        <v>0</v>
      </c>
      <c r="GB100" s="1184">
        <f>GA100+DZ100+EZ100                 -         SUMIF('Nährstoffe und Lagerraum'!$AX$113:$AX$155,$CZ100,'Nährstoffe und Lagerraum'!$V$113:$V$155)/12  -$GE100*$HE100/12</f>
        <v>0</v>
      </c>
      <c r="GC100" s="1184"/>
      <c r="GD100" s="1184">
        <f>SUMIFS($CI$14:$CI$68,$BR$14:$BR$68,$CZ100)+SUMIFS($CM$14:$CM$68,$BR$14:$BR$68,$CZ100)+SUMIFS($CR$14:$CR$68,$BR$14:$BR$68,$CZ100)  -         SUMIF('Nährstoffe und Lagerraum'!$AX$113:$AX$155,$CZ100,'Nährstoffe und Lagerraum'!$U$113:$U$155)</f>
        <v>0</v>
      </c>
      <c r="GE100" s="1184">
        <f>SUMIFS($CJ$14:$CJ$68,$BR$14:$BR$68,$CZ100)+SUMIFS($CO$14:$CO$68,$BR$14:$BR$68,$CZ100)+SUMIFS($CT$14:$CT$68,$BR$14:$BR$68,$CZ100)  -         SUMIF('Nährstoffe und Lagerraum'!$AX$113:$AX$155,$CZ100,'Nährstoffe und Lagerraum'!$V$113:$V$155)</f>
        <v>0</v>
      </c>
      <c r="GF100" s="1184"/>
      <c r="GG100" s="1184"/>
      <c r="GH100" s="1184">
        <f>SUMIF('Nährstoffe und Lagerraum'!$AX$113:$AX$155,$CZ100,'Nährstoffe und Lagerraum'!$U$113:$U$155)</f>
        <v>0</v>
      </c>
      <c r="GI100" s="1184">
        <f>SUMIF('Nährstoffe und Lagerraum'!$AX$113:$AX$155,$CZ100,'Nährstoffe und Lagerraum'!$V$113:$V$155)</f>
        <v>0</v>
      </c>
      <c r="GJ100" s="1184">
        <f t="shared" si="221"/>
        <v>0</v>
      </c>
      <c r="GK100" s="1184">
        <f t="shared" si="222"/>
        <v>0</v>
      </c>
      <c r="GL100" s="1184">
        <f t="shared" si="223"/>
        <v>0</v>
      </c>
      <c r="GM100" s="1184">
        <f t="shared" si="224"/>
        <v>0</v>
      </c>
      <c r="GN100" s="1184">
        <f t="shared" si="225"/>
        <v>0</v>
      </c>
      <c r="GO100" s="1184" cm="1">
        <f t="array" ref="GO100">IF(GN100=0,0,(IFERROR(SUMPRODUCT($J$14:$J$68,$CH$14:$CH$68,($BR$14:$BR$68=CZ100)*1)+SUMPRODUCT($L$14:$L$68,$M$14:$M$68,$CK$14:$CK$68,($BR$14:$BR$68=CZ100)*1,($BT$14:$BT$68=FALSE)*1)/10+SUMPRODUCT($R$14:$R$68,$CP$14:$CP$68,($BR$14:$BR$68=CZ100)*1),0))/GN100)</f>
        <v>0</v>
      </c>
      <c r="GP100" s="1184">
        <f t="shared" si="226"/>
        <v>0</v>
      </c>
      <c r="GQ100" s="1184">
        <f>(SUMIF('Nährstoffe und Lagerraum'!$AX$113:$AX$130,'Lagerhaltung (freiwillig)'!CZ100,'Nährstoffe und Lagerraum'!$D$113:$D$130)+SUMIF('Nährstoffe und Lagerraum'!$AX$137:$AX$155,'Lagerhaltung (freiwillig)'!CZ100,'Nährstoffe und Lagerraum'!$E$137:$E$155))</f>
        <v>0</v>
      </c>
      <c r="GR100" s="1184" cm="1">
        <f t="array" ref="GR100">IF(GQ100=0,0,(IFERROR(SUMPRODUCT('Nährstoffe und Lagerraum'!$D$113:$D$130,'Nährstoffe und Lagerraum'!$F$113:$F$130,('Nährstoffe und Lagerraum'!$AX$113:$AX$130='Lagerhaltung (freiwillig)'!CZ100)*1)+SUMPRODUCT('Nährstoffe und Lagerraum'!$E$137:$E$155,'Nährstoffe und Lagerraum'!$F$137:$F$155,('Nährstoffe und Lagerraum'!$AX$137:$AX$155='Lagerhaltung (freiwillig)'!CZ100)*1),0))/GQ100)</f>
        <v>0</v>
      </c>
      <c r="GS100" s="1184">
        <f t="shared" si="227"/>
        <v>0</v>
      </c>
      <c r="GT100" s="1184">
        <f t="shared" si="228"/>
        <v>0</v>
      </c>
      <c r="GU100" s="1184">
        <f t="shared" si="229"/>
        <v>0</v>
      </c>
      <c r="GV100" s="1184">
        <f t="shared" si="230"/>
        <v>0</v>
      </c>
      <c r="GW100" s="1186" t="str">
        <f t="shared" si="177"/>
        <v xml:space="preserve"> </v>
      </c>
      <c r="GX100" s="1186" t="str">
        <f t="shared" si="177"/>
        <v xml:space="preserve"> </v>
      </c>
      <c r="GY100" s="1195">
        <f t="shared" si="231"/>
        <v>0</v>
      </c>
      <c r="GZ100" s="1184">
        <f t="shared" si="232"/>
        <v>0</v>
      </c>
      <c r="HA100" s="1184" t="str">
        <f t="shared" si="176"/>
        <v>a</v>
      </c>
      <c r="HB100" s="1196">
        <f t="shared" si="233"/>
        <v>0</v>
      </c>
      <c r="HC100" s="1196">
        <f t="shared" si="234"/>
        <v>0</v>
      </c>
      <c r="HD100" s="1196"/>
      <c r="HE100" s="1187">
        <f t="shared" si="235"/>
        <v>0</v>
      </c>
      <c r="HF100" s="1196">
        <f t="shared" si="236"/>
        <v>0</v>
      </c>
      <c r="HG100" s="1196">
        <f t="shared" si="237"/>
        <v>0</v>
      </c>
      <c r="HH100" s="1196">
        <f t="shared" si="238"/>
        <v>0</v>
      </c>
      <c r="HI100" s="1328" cm="1">
        <f t="array" ref="HI100">IF(AND(HG100=0,GL100=0),0,IF(HG100=0,1,IF(OR(GL100*1000/HG100/HH100&gt;INDEX(Pflanzen!$W$5:$W$104,CZ100)/INDEX(Pflanzen!$I$5:$I$104,CZ100)*$HI$2,GL100*1000/HG100/HH100&lt;INDEX(Pflanzen!$W$5:$W$104,CZ100)/INDEX(Pflanzen!$I$5:$I$104,CZ100)/$HI$2),1,0)))</f>
        <v>0</v>
      </c>
      <c r="HJ100" s="1328" cm="1">
        <f t="array" ref="HJ100">IF(AND(GM100=0,HG100=0),0,IF(HG100=0,1,IF(OR(GM100*1000/HG100/HH100&gt;INDEX(Pflanzen!$X$5:$X$104,CZ100)/INDEX(Pflanzen!$I$5:$I$104,CZ100)*$HI$2,GM100*1000/HG100/HH100&lt;INDEX(Pflanzen!$X$5:$X$104,CZ100)/INDEX(Pflanzen!$I$5:$I$104,CZ100)/$HI$2),1,0)))</f>
        <v>0</v>
      </c>
      <c r="HK100" s="1184">
        <f t="shared" si="239"/>
        <v>3</v>
      </c>
      <c r="HL100" s="1184"/>
      <c r="HN100" s="1184"/>
      <c r="HO100" s="1184"/>
      <c r="HP100" s="1184"/>
      <c r="HQ100" s="1184"/>
      <c r="HR100" s="1184"/>
      <c r="HS100" s="1184"/>
      <c r="HT100" s="1184"/>
      <c r="HU100" s="1184"/>
      <c r="HV100" s="1184"/>
      <c r="HW100" s="1184"/>
      <c r="HX100" s="1184"/>
      <c r="HY100" s="1184"/>
      <c r="HZ100" s="1184"/>
      <c r="IA100" s="1184"/>
      <c r="IB100" s="1184"/>
      <c r="IC100" s="1184"/>
      <c r="ID100" s="1184"/>
      <c r="IE100" s="1184"/>
      <c r="IF100" s="1184"/>
      <c r="IG100" s="1184"/>
      <c r="IH100" s="1184"/>
      <c r="II100" s="1184"/>
      <c r="IJ100" s="1184"/>
      <c r="IK100" s="1184"/>
      <c r="IL100" s="1184"/>
    </row>
    <row r="101" spans="1:246" ht="15.6" customHeight="1" x14ac:dyDescent="0.2">
      <c r="A101" s="3126"/>
      <c r="B101" s="1170"/>
      <c r="C101" s="1170"/>
      <c r="D101" s="1170"/>
      <c r="E101" s="1171"/>
      <c r="F101" s="3106"/>
      <c r="G101" s="3107"/>
      <c r="H101" s="3127" t="s">
        <v>998</v>
      </c>
      <c r="I101" s="3128"/>
      <c r="J101" s="3128"/>
      <c r="K101" s="3129"/>
      <c r="L101" s="1482" cm="1">
        <f t="array" ref="L101">INDEX(Tierprodukte!$C$7:$C$19,BQ101)</f>
        <v>0</v>
      </c>
      <c r="M101" s="1483" cm="1">
        <f t="array" ref="M101">INDEX(Tierprodukte!$D$7:$D$19,BQ101)</f>
        <v>0</v>
      </c>
      <c r="N101" s="3090">
        <f>IF(BT101=1,F101*L101*-1/1000,F101/BU101*L101*-1/1000)</f>
        <v>0</v>
      </c>
      <c r="O101" s="3091"/>
      <c r="P101" s="3122">
        <f>IF(BT101=1,F101*M101*-1/1000,F101/BU101*M101*-1/1000)</f>
        <v>0</v>
      </c>
      <c r="Q101" s="3123"/>
      <c r="R101" s="138" t="str">
        <f>IF(AND(BT101=2,BU101=1),"Schlachtgewicht nicht möglich","")</f>
        <v/>
      </c>
      <c r="S101" s="138"/>
      <c r="T101" s="696"/>
      <c r="U101" s="242"/>
      <c r="V101" s="242"/>
      <c r="Y101" s="1981"/>
      <c r="Z101" s="1982"/>
      <c r="AA101" s="1982"/>
      <c r="AB101" s="1982"/>
      <c r="AC101" s="1983"/>
      <c r="AD101" s="1983"/>
      <c r="AE101" s="1983"/>
      <c r="AF101" s="1983"/>
      <c r="AG101" s="1983"/>
      <c r="AH101" s="1983"/>
      <c r="AI101" s="1983"/>
      <c r="AJ101" s="1983"/>
      <c r="AK101" s="1983"/>
      <c r="AL101" s="1984"/>
      <c r="AM101" s="1983"/>
      <c r="AN101" s="1983"/>
      <c r="AO101" s="1983"/>
      <c r="AP101" s="1983"/>
      <c r="AQ101" s="1983"/>
      <c r="AR101" s="1983"/>
      <c r="AS101" s="1983"/>
      <c r="AT101" s="1983"/>
      <c r="AU101" s="1983"/>
      <c r="AV101" s="1983"/>
      <c r="AW101" s="1985"/>
      <c r="AX101" s="1985"/>
      <c r="AY101" s="1985"/>
      <c r="AZ101" s="1985"/>
      <c r="BA101" s="1462"/>
      <c r="BB101" s="1462"/>
      <c r="BC101" s="1462"/>
      <c r="BD101" s="1461"/>
      <c r="BE101" s="1462"/>
      <c r="BF101" s="1343"/>
      <c r="BG101" s="1343"/>
      <c r="BH101" s="1343"/>
      <c r="BI101" s="1343"/>
      <c r="BJ101" s="1343"/>
      <c r="BK101" s="1343"/>
      <c r="BL101" s="1343"/>
      <c r="BM101" s="1343"/>
      <c r="BN101" s="1343"/>
      <c r="BO101" s="1343"/>
      <c r="BQ101" s="1184">
        <v>1</v>
      </c>
      <c r="BR101" s="1184" cm="1">
        <f t="array" ref="BR101">INDEX(Tierprodukte!$J$7:$J$19,'Lagerhaltung (freiwillig)'!BQ101)</f>
        <v>0</v>
      </c>
      <c r="BS101" s="1184"/>
      <c r="BT101" s="1186">
        <v>1</v>
      </c>
      <c r="BU101" s="1200" cm="1">
        <f t="array" ref="BU101">INDEX(Tierprodukte!$K$7:$K$19,BQ101)</f>
        <v>0.5</v>
      </c>
      <c r="BV101" s="1200"/>
      <c r="BW101" s="1184">
        <f>Tierprodukte!L52</f>
        <v>240</v>
      </c>
      <c r="BX101" s="1184">
        <f>Tierprodukte!L60</f>
        <v>4</v>
      </c>
      <c r="BY101" s="1184"/>
      <c r="BZ101" s="1184" t="s">
        <v>8233</v>
      </c>
      <c r="CA101" s="1184">
        <f>SUMIF($BR$99:$BR$101,1,$N$99:$O$101)*-1</f>
        <v>0</v>
      </c>
      <c r="CB101" s="1184">
        <f>SUMIF($BR$99:$BR$101,2,$N$99:$O$101)*-1</f>
        <v>0</v>
      </c>
      <c r="CC101" s="1184">
        <f>SUMIF($BR$99:$BR$101,3,$N$99:$O$101)*-1</f>
        <v>0</v>
      </c>
      <c r="CD101" s="1184">
        <f>SUMIF($BR$99:$BR$101,IE8,$N$99:$O$101)*-1</f>
        <v>0</v>
      </c>
      <c r="CE101" s="1184"/>
      <c r="CF101" s="1184"/>
      <c r="CG101" s="1184"/>
      <c r="CH101" s="1184"/>
      <c r="CI101" s="1184"/>
      <c r="CJ101" s="1184"/>
      <c r="CK101" s="1184"/>
      <c r="CL101" s="1184"/>
      <c r="CM101" s="1184"/>
      <c r="CN101" s="1184"/>
      <c r="CO101" s="1184"/>
      <c r="CP101" s="1184"/>
      <c r="CQ101" s="1184"/>
      <c r="CR101" s="1184"/>
      <c r="CS101" s="1184"/>
      <c r="CT101" s="1184"/>
      <c r="CU101" s="1184"/>
      <c r="CV101" s="1184"/>
      <c r="CW101" s="1184"/>
      <c r="CX101" s="1184"/>
      <c r="CY101" s="320" t="str">
        <f>Pflanzen!A97</f>
        <v>Schweinemist, geringe Einstreu</v>
      </c>
      <c r="CZ101" s="1200">
        <f>IFERROR(MATCH($CY101,Pflanzen!$C$5:$C$114,0),1)</f>
        <v>88</v>
      </c>
      <c r="DA101" s="320" cm="1">
        <f t="array" ref="DA101">INDEX(Pflanzen!$H$5:$H$114,'Lagerhaltung (freiwillig)'!CZ101)</f>
        <v>0</v>
      </c>
      <c r="DB101" s="1200">
        <f t="shared" si="244"/>
        <v>0</v>
      </c>
      <c r="DC101" s="1200">
        <f t="shared" si="244"/>
        <v>0</v>
      </c>
      <c r="DD101" s="1200">
        <f t="shared" si="244"/>
        <v>0</v>
      </c>
      <c r="DE101" s="1200">
        <f t="shared" si="244"/>
        <v>0</v>
      </c>
      <c r="DF101" s="1200">
        <f t="shared" si="244"/>
        <v>0</v>
      </c>
      <c r="DG101" s="1184">
        <f t="shared" si="244"/>
        <v>0</v>
      </c>
      <c r="DH101" s="1184">
        <f t="shared" si="244"/>
        <v>0</v>
      </c>
      <c r="DI101" s="1184">
        <f t="shared" si="244"/>
        <v>0</v>
      </c>
      <c r="DJ101" s="1184">
        <f t="shared" si="244"/>
        <v>0</v>
      </c>
      <c r="DK101" s="1184">
        <f t="shared" si="244"/>
        <v>0</v>
      </c>
      <c r="DL101" s="1184">
        <f t="shared" si="244"/>
        <v>0</v>
      </c>
      <c r="DM101" s="1184">
        <f t="shared" si="244"/>
        <v>0</v>
      </c>
      <c r="DN101" s="1184"/>
      <c r="DO101" s="1184">
        <f t="shared" si="245"/>
        <v>0</v>
      </c>
      <c r="DP101" s="1184">
        <f t="shared" si="245"/>
        <v>0</v>
      </c>
      <c r="DQ101" s="1184">
        <f t="shared" si="245"/>
        <v>0</v>
      </c>
      <c r="DR101" s="1184">
        <f t="shared" si="245"/>
        <v>0</v>
      </c>
      <c r="DS101" s="1184">
        <f t="shared" si="245"/>
        <v>0</v>
      </c>
      <c r="DT101" s="1184">
        <f t="shared" si="245"/>
        <v>0</v>
      </c>
      <c r="DU101" s="1184">
        <f t="shared" si="245"/>
        <v>0</v>
      </c>
      <c r="DV101" s="1184">
        <f t="shared" si="245"/>
        <v>0</v>
      </c>
      <c r="DW101" s="1184">
        <f t="shared" si="245"/>
        <v>0</v>
      </c>
      <c r="DX101" s="1184">
        <f t="shared" si="245"/>
        <v>0</v>
      </c>
      <c r="DY101" s="1184">
        <f t="shared" si="245"/>
        <v>0</v>
      </c>
      <c r="DZ101" s="1184">
        <f t="shared" si="245"/>
        <v>0</v>
      </c>
      <c r="EA101" s="1184"/>
      <c r="EB101" s="1184">
        <f t="shared" si="246"/>
        <v>0</v>
      </c>
      <c r="EC101" s="1184">
        <f t="shared" si="246"/>
        <v>0</v>
      </c>
      <c r="ED101" s="1184">
        <f t="shared" si="246"/>
        <v>0</v>
      </c>
      <c r="EE101" s="1184">
        <f t="shared" si="246"/>
        <v>0</v>
      </c>
      <c r="EF101" s="1184">
        <f t="shared" si="246"/>
        <v>0</v>
      </c>
      <c r="EG101" s="1184">
        <f t="shared" si="246"/>
        <v>0</v>
      </c>
      <c r="EH101" s="1184">
        <f t="shared" si="246"/>
        <v>0</v>
      </c>
      <c r="EI101" s="1184">
        <f t="shared" si="246"/>
        <v>0</v>
      </c>
      <c r="EJ101" s="1184">
        <f t="shared" si="246"/>
        <v>0</v>
      </c>
      <c r="EK101" s="1184">
        <f t="shared" si="246"/>
        <v>0</v>
      </c>
      <c r="EL101" s="1184">
        <f t="shared" si="246"/>
        <v>0</v>
      </c>
      <c r="EM101" s="1184">
        <f t="shared" si="246"/>
        <v>0</v>
      </c>
      <c r="EN101" s="1184"/>
      <c r="EO101" s="1184">
        <f t="shared" si="247"/>
        <v>0</v>
      </c>
      <c r="EP101" s="1184">
        <f t="shared" si="247"/>
        <v>0</v>
      </c>
      <c r="EQ101" s="1184">
        <f t="shared" si="247"/>
        <v>0</v>
      </c>
      <c r="ER101" s="1184">
        <f t="shared" si="247"/>
        <v>0</v>
      </c>
      <c r="ES101" s="1184">
        <f t="shared" si="247"/>
        <v>0</v>
      </c>
      <c r="ET101" s="1184">
        <f t="shared" si="247"/>
        <v>0</v>
      </c>
      <c r="EU101" s="1184">
        <f t="shared" si="247"/>
        <v>0</v>
      </c>
      <c r="EV101" s="1184">
        <f t="shared" si="247"/>
        <v>0</v>
      </c>
      <c r="EW101" s="1184">
        <f t="shared" si="247"/>
        <v>0</v>
      </c>
      <c r="EX101" s="1184">
        <f t="shared" si="247"/>
        <v>0</v>
      </c>
      <c r="EY101" s="1184">
        <f t="shared" si="247"/>
        <v>0</v>
      </c>
      <c r="EZ101" s="1184">
        <f t="shared" si="247"/>
        <v>0</v>
      </c>
      <c r="FA101" s="1184"/>
      <c r="FB101" s="1186">
        <f t="shared" si="182"/>
        <v>0</v>
      </c>
      <c r="FC101" s="1184">
        <f>FB101+DB101+EB101                 -         SUMIF('Nährstoffe und Lagerraum'!$AX$113:$AX$155,$CZ101,'Nährstoffe und Lagerraum'!$U$113:$U$155)/12  -$GD101*$HE101/12</f>
        <v>0</v>
      </c>
      <c r="FD101" s="1184">
        <f>FC101+DC101+EC101                 -         SUMIF('Nährstoffe und Lagerraum'!$AX$113:$AX$155,$CZ101,'Nährstoffe und Lagerraum'!$U$113:$U$155)/12  -$GD101*$HE101/12</f>
        <v>0</v>
      </c>
      <c r="FE101" s="1184">
        <f>FD101+DD101+ED101                 -         SUMIF('Nährstoffe und Lagerraum'!$AX$113:$AX$155,$CZ101,'Nährstoffe und Lagerraum'!$U$113:$U$155)/12  -$GD101*$HE101/12</f>
        <v>0</v>
      </c>
      <c r="FF101" s="1184">
        <f>FE101+DE101+EE101                 -         SUMIF('Nährstoffe und Lagerraum'!$AX$113:$AX$155,$CZ101,'Nährstoffe und Lagerraum'!$U$113:$U$155)/12  -$GD101*$HE101/12</f>
        <v>0</v>
      </c>
      <c r="FG101" s="1184">
        <f>FF101+DF101+EF101                 -         SUMIF('Nährstoffe und Lagerraum'!$AX$113:$AX$155,$CZ101,'Nährstoffe und Lagerraum'!$U$113:$U$155)/12  -$GD101*$HE101/12</f>
        <v>0</v>
      </c>
      <c r="FH101" s="1184">
        <f>FG101+DG101+EG101                 -         SUMIF('Nährstoffe und Lagerraum'!$AX$113:$AX$155,$CZ101,'Nährstoffe und Lagerraum'!$U$113:$U$155)/12  -$GD101*$HE101/12</f>
        <v>0</v>
      </c>
      <c r="FI101" s="1184">
        <f>FH101+DH101+EH101                 -         SUMIF('Nährstoffe und Lagerraum'!$AX$113:$AX$155,$CZ101,'Nährstoffe und Lagerraum'!$U$113:$U$155)/12  -$GD101*$HE101/12</f>
        <v>0</v>
      </c>
      <c r="FJ101" s="1184">
        <f>FI101+DI101+EI101                 -         SUMIF('Nährstoffe und Lagerraum'!$AX$113:$AX$155,$CZ101,'Nährstoffe und Lagerraum'!$U$113:$U$155)/12  -$GD101*$HE101/12</f>
        <v>0</v>
      </c>
      <c r="FK101" s="1184">
        <f>FJ101+DJ101+EJ101                 -         SUMIF('Nährstoffe und Lagerraum'!$AX$113:$AX$155,$CZ101,'Nährstoffe und Lagerraum'!$U$113:$U$155)/12  -$GD101*$HE101/12</f>
        <v>0</v>
      </c>
      <c r="FL101" s="1184">
        <f>FK101+DK101+EK101                 -         SUMIF('Nährstoffe und Lagerraum'!$AX$113:$AX$155,$CZ101,'Nährstoffe und Lagerraum'!$U$113:$U$155)/12  -$GD101*$HE101/12</f>
        <v>0</v>
      </c>
      <c r="FM101" s="1184">
        <f>FL101+DL101+EL101                 -         SUMIF('Nährstoffe und Lagerraum'!$AX$113:$AX$155,$CZ101,'Nährstoffe und Lagerraum'!$U$113:$U$155)/12  -$GD101*$HE101/12</f>
        <v>0</v>
      </c>
      <c r="FN101" s="1184">
        <f>FM101+DM101+EM101                 -         SUMIF('Nährstoffe und Lagerraum'!$AX$113:$AX$155,$CZ101,'Nährstoffe und Lagerraum'!$U$113:$U$155)/12  -$GD101*$HE101/12</f>
        <v>0</v>
      </c>
      <c r="FO101" s="1184"/>
      <c r="FP101" s="1186">
        <f t="shared" si="183"/>
        <v>0</v>
      </c>
      <c r="FQ101" s="1184">
        <f>FP101+DO101+EO101                 -         SUMIF('Nährstoffe und Lagerraum'!$AX$113:$AX$155,$CZ101,'Nährstoffe und Lagerraum'!$V$113:$V$155)/12  -$GE101*$HE101/12</f>
        <v>0</v>
      </c>
      <c r="FR101" s="1184">
        <f>FQ101+DP101+EP101                 -         SUMIF('Nährstoffe und Lagerraum'!$AX$113:$AX$155,$CZ101,'Nährstoffe und Lagerraum'!$V$113:$V$155)/12  -$GE101*$HE101/12</f>
        <v>0</v>
      </c>
      <c r="FS101" s="1184">
        <f>FR101+DQ101+EQ101                 -         SUMIF('Nährstoffe und Lagerraum'!$AX$113:$AX$155,$CZ101,'Nährstoffe und Lagerraum'!$V$113:$V$155)/12  -$GE101*$HE101/12</f>
        <v>0</v>
      </c>
      <c r="FT101" s="1184">
        <f>FS101+DR101+ER101                 -         SUMIF('Nährstoffe und Lagerraum'!$AX$113:$AX$155,$CZ101,'Nährstoffe und Lagerraum'!$V$113:$V$155)/12  -$GE101*$HE101/12</f>
        <v>0</v>
      </c>
      <c r="FU101" s="1184">
        <f>FT101+DS101+ES101                 -         SUMIF('Nährstoffe und Lagerraum'!$AX$113:$AX$155,$CZ101,'Nährstoffe und Lagerraum'!$V$113:$V$155)/12  -$GE101*$HE101/12</f>
        <v>0</v>
      </c>
      <c r="FV101" s="1184">
        <f>FU101+DT101+ET101                 -         SUMIF('Nährstoffe und Lagerraum'!$AX$113:$AX$155,$CZ101,'Nährstoffe und Lagerraum'!$V$113:$V$155)/12  -$GE101*$HE101/12</f>
        <v>0</v>
      </c>
      <c r="FW101" s="1184">
        <f>FV101+DU101+EU101                 -         SUMIF('Nährstoffe und Lagerraum'!$AX$113:$AX$155,$CZ101,'Nährstoffe und Lagerraum'!$V$113:$V$155)/12  -$GE101*$HE101/12</f>
        <v>0</v>
      </c>
      <c r="FX101" s="1184">
        <f>FW101+DV101+EV101                 -         SUMIF('Nährstoffe und Lagerraum'!$AX$113:$AX$155,$CZ101,'Nährstoffe und Lagerraum'!$V$113:$V$155)/12  -$GE101*$HE101/12</f>
        <v>0</v>
      </c>
      <c r="FY101" s="1184">
        <f>FX101+DW101+EW101                 -         SUMIF('Nährstoffe und Lagerraum'!$AX$113:$AX$155,$CZ101,'Nährstoffe und Lagerraum'!$V$113:$V$155)/12  -$GE101*$HE101/12</f>
        <v>0</v>
      </c>
      <c r="FZ101" s="1184">
        <f>FY101+DX101+EX101                 -         SUMIF('Nährstoffe und Lagerraum'!$AX$113:$AX$155,$CZ101,'Nährstoffe und Lagerraum'!$V$113:$V$155)/12  -$GE101*$HE101/12</f>
        <v>0</v>
      </c>
      <c r="GA101" s="1184">
        <f>FZ101+DY101+EY101                 -         SUMIF('Nährstoffe und Lagerraum'!$AX$113:$AX$155,$CZ101,'Nährstoffe und Lagerraum'!$V$113:$V$155)/12  -$GE101*$HE101/12</f>
        <v>0</v>
      </c>
      <c r="GB101" s="1184">
        <f>GA101+DZ101+EZ101                 -         SUMIF('Nährstoffe und Lagerraum'!$AX$113:$AX$155,$CZ101,'Nährstoffe und Lagerraum'!$V$113:$V$155)/12  -$GE101*$HE101/12</f>
        <v>0</v>
      </c>
      <c r="GC101" s="1184"/>
      <c r="GD101" s="1184">
        <f>SUMIFS($CI$14:$CI$68,$BR$14:$BR$68,$CZ101)+SUMIFS($CM$14:$CM$68,$BR$14:$BR$68,$CZ101)+SUMIFS($CR$14:$CR$68,$BR$14:$BR$68,$CZ101)  -         SUMIF('Nährstoffe und Lagerraum'!$AX$113:$AX$155,$CZ101,'Nährstoffe und Lagerraum'!$U$113:$U$155)</f>
        <v>0</v>
      </c>
      <c r="GE101" s="1184">
        <f>SUMIFS($CJ$14:$CJ$68,$BR$14:$BR$68,$CZ101)+SUMIFS($CO$14:$CO$68,$BR$14:$BR$68,$CZ101)+SUMIFS($CT$14:$CT$68,$BR$14:$BR$68,$CZ101)  -         SUMIF('Nährstoffe und Lagerraum'!$AX$113:$AX$155,$CZ101,'Nährstoffe und Lagerraum'!$V$113:$V$155)</f>
        <v>0</v>
      </c>
      <c r="GF101" s="1184"/>
      <c r="GG101" s="1184"/>
      <c r="GH101" s="1184">
        <f>SUMIF('Nährstoffe und Lagerraum'!$AX$113:$AX$155,$CZ101,'Nährstoffe und Lagerraum'!$U$113:$U$155)</f>
        <v>0</v>
      </c>
      <c r="GI101" s="1184">
        <f>SUMIF('Nährstoffe und Lagerraum'!$AX$113:$AX$155,$CZ101,'Nährstoffe und Lagerraum'!$V$113:$V$155)</f>
        <v>0</v>
      </c>
      <c r="GJ101" s="1184">
        <f t="shared" si="221"/>
        <v>0</v>
      </c>
      <c r="GK101" s="1184">
        <f t="shared" si="222"/>
        <v>0</v>
      </c>
      <c r="GL101" s="1184">
        <f t="shared" si="223"/>
        <v>0</v>
      </c>
      <c r="GM101" s="1184">
        <f t="shared" si="224"/>
        <v>0</v>
      </c>
      <c r="GN101" s="1184">
        <f t="shared" si="225"/>
        <v>0</v>
      </c>
      <c r="GO101" s="1184" cm="1">
        <f t="array" ref="GO101">IF(GN101=0,0,(IFERROR(SUMPRODUCT($J$14:$J$68,$CH$14:$CH$68,($BR$14:$BR$68=CZ101)*1)+SUMPRODUCT($L$14:$L$68,$M$14:$M$68,$CK$14:$CK$68,($BR$14:$BR$68=CZ101)*1,($BT$14:$BT$68=FALSE)*1)/10+SUMPRODUCT($R$14:$R$68,$CP$14:$CP$68,($BR$14:$BR$68=CZ101)*1),0))/GN101)</f>
        <v>0</v>
      </c>
      <c r="GP101" s="1184">
        <f t="shared" si="226"/>
        <v>0</v>
      </c>
      <c r="GQ101" s="1184">
        <f>(SUMIF('Nährstoffe und Lagerraum'!$AX$113:$AX$130,'Lagerhaltung (freiwillig)'!CZ101,'Nährstoffe und Lagerraum'!$D$113:$D$130)+SUMIF('Nährstoffe und Lagerraum'!$AX$137:$AX$155,'Lagerhaltung (freiwillig)'!CZ101,'Nährstoffe und Lagerraum'!$E$137:$E$155))</f>
        <v>0</v>
      </c>
      <c r="GR101" s="1184" cm="1">
        <f t="array" ref="GR101">IF(GQ101=0,0,(IFERROR(SUMPRODUCT('Nährstoffe und Lagerraum'!$D$113:$D$130,'Nährstoffe und Lagerraum'!$F$113:$F$130,('Nährstoffe und Lagerraum'!$AX$113:$AX$130='Lagerhaltung (freiwillig)'!CZ101)*1)+SUMPRODUCT('Nährstoffe und Lagerraum'!$E$137:$E$155,'Nährstoffe und Lagerraum'!$F$137:$F$155,('Nährstoffe und Lagerraum'!$AX$137:$AX$155='Lagerhaltung (freiwillig)'!CZ101)*1),0))/GQ101)</f>
        <v>0</v>
      </c>
      <c r="GS101" s="1184">
        <f t="shared" si="227"/>
        <v>0</v>
      </c>
      <c r="GT101" s="1184">
        <f t="shared" si="228"/>
        <v>0</v>
      </c>
      <c r="GU101" s="1184">
        <f t="shared" si="229"/>
        <v>0</v>
      </c>
      <c r="GV101" s="1184">
        <f t="shared" si="230"/>
        <v>0</v>
      </c>
      <c r="GW101" s="1186" t="str">
        <f t="shared" si="177"/>
        <v xml:space="preserve"> </v>
      </c>
      <c r="GX101" s="1186" t="str">
        <f t="shared" si="177"/>
        <v xml:space="preserve"> </v>
      </c>
      <c r="GY101" s="1195">
        <f t="shared" si="231"/>
        <v>0</v>
      </c>
      <c r="GZ101" s="1184">
        <f t="shared" si="232"/>
        <v>0</v>
      </c>
      <c r="HA101" s="1184" t="str">
        <f t="shared" si="176"/>
        <v>a</v>
      </c>
      <c r="HB101" s="1196">
        <f t="shared" si="233"/>
        <v>0</v>
      </c>
      <c r="HC101" s="1196">
        <f t="shared" si="234"/>
        <v>0</v>
      </c>
      <c r="HD101" s="1196"/>
      <c r="HE101" s="1187">
        <f t="shared" si="235"/>
        <v>0</v>
      </c>
      <c r="HF101" s="1196">
        <f t="shared" si="236"/>
        <v>0</v>
      </c>
      <c r="HG101" s="1196">
        <f t="shared" si="237"/>
        <v>0</v>
      </c>
      <c r="HH101" s="1196">
        <f t="shared" si="238"/>
        <v>0</v>
      </c>
      <c r="HI101" s="1328" cm="1">
        <f t="array" ref="HI101">IF(AND(HG101=0,GL101=0),0,IF(HG101=0,1,IF(OR(GL101*1000/HG101/HH101&gt;INDEX(Pflanzen!$W$5:$W$104,CZ101)/INDEX(Pflanzen!$I$5:$I$104,CZ101)*$HI$2,GL101*1000/HG101/HH101&lt;INDEX(Pflanzen!$W$5:$W$104,CZ101)/INDEX(Pflanzen!$I$5:$I$104,CZ101)/$HI$2),1,0)))</f>
        <v>0</v>
      </c>
      <c r="HJ101" s="1328" cm="1">
        <f t="array" ref="HJ101">IF(AND(GM101=0,HG101=0),0,IF(HG101=0,1,IF(OR(GM101*1000/HG101/HH101&gt;INDEX(Pflanzen!$X$5:$X$104,CZ101)/INDEX(Pflanzen!$I$5:$I$104,CZ101)*$HI$2,GM101*1000/HG101/HH101&lt;INDEX(Pflanzen!$X$5:$X$104,CZ101)/INDEX(Pflanzen!$I$5:$I$104,CZ101)/$HI$2),1,0)))</f>
        <v>0</v>
      </c>
      <c r="HK101" s="1184">
        <f t="shared" si="239"/>
        <v>3</v>
      </c>
      <c r="HL101" s="1184"/>
      <c r="HN101" s="1184"/>
      <c r="HO101" s="1184"/>
      <c r="HP101" s="1184"/>
      <c r="HQ101" s="1184"/>
      <c r="HR101" s="1184"/>
      <c r="HS101" s="1184"/>
      <c r="HT101" s="1184"/>
      <c r="HU101" s="1184"/>
      <c r="HV101" s="1184"/>
      <c r="HW101" s="1184"/>
      <c r="HX101" s="1184"/>
      <c r="HY101" s="1184"/>
      <c r="HZ101" s="1184"/>
      <c r="IA101" s="1184"/>
      <c r="IB101" s="1184"/>
      <c r="IC101" s="1184"/>
      <c r="ID101" s="1184"/>
      <c r="IE101" s="1184"/>
      <c r="IF101" s="1184"/>
      <c r="IG101" s="1184"/>
      <c r="IH101" s="1184"/>
      <c r="II101" s="1184"/>
      <c r="IJ101" s="1184"/>
      <c r="IK101" s="1184"/>
      <c r="IL101" s="1184"/>
    </row>
    <row r="102" spans="1:246" ht="15.6" customHeight="1" x14ac:dyDescent="0.2">
      <c r="A102" s="1366" t="s">
        <v>989</v>
      </c>
      <c r="B102" s="1171"/>
      <c r="C102" s="1171"/>
      <c r="D102" s="1171"/>
      <c r="E102" s="1171"/>
      <c r="F102" s="3106"/>
      <c r="G102" s="3107"/>
      <c r="H102" s="3130" t="s">
        <v>8264</v>
      </c>
      <c r="I102" s="3131"/>
      <c r="J102" s="3131"/>
      <c r="K102" s="3132"/>
      <c r="L102" s="1482" cm="1">
        <f t="array" ref="L102">INDEX(Tierprodukte!C51:C52,BQ102)</f>
        <v>1.19</v>
      </c>
      <c r="M102" s="1483" cm="1">
        <f t="array" ref="M102">INDEX(Tierprodukte!D51:D52,BQ102)</f>
        <v>0.26</v>
      </c>
      <c r="N102" s="3090">
        <f>F102*L102*-1/1000</f>
        <v>0</v>
      </c>
      <c r="O102" s="3091"/>
      <c r="P102" s="3122">
        <f t="shared" ref="P102:P103" si="248">F102*M102*-1/1000</f>
        <v>0</v>
      </c>
      <c r="Q102" s="3123"/>
      <c r="R102" s="1174" t="str">
        <f>IF(BW111=2,"",IF(AND(BW99&gt;0,F102=""),"Leistung angeben",IF(F102&lt;BW107,"Leistung zu gering",IF(F102&gt;BW109,"Leistung zu hoch",""))))</f>
        <v/>
      </c>
      <c r="S102" s="242"/>
      <c r="T102" s="696"/>
      <c r="U102" s="242"/>
      <c r="V102" s="242"/>
      <c r="Y102" s="1981"/>
      <c r="Z102" s="1982"/>
      <c r="AA102" s="1982"/>
      <c r="AB102" s="1982"/>
      <c r="AC102" s="1983"/>
      <c r="AD102" s="1983"/>
      <c r="AE102" s="1983"/>
      <c r="AF102" s="1983"/>
      <c r="AG102" s="1983"/>
      <c r="AH102" s="1983"/>
      <c r="AI102" s="1983"/>
      <c r="AJ102" s="1983"/>
      <c r="AK102" s="1983"/>
      <c r="AL102" s="1984"/>
      <c r="AM102" s="1983"/>
      <c r="AN102" s="1983"/>
      <c r="AO102" s="1983"/>
      <c r="AP102" s="1983"/>
      <c r="AQ102" s="1983"/>
      <c r="AR102" s="1983"/>
      <c r="AS102" s="1983"/>
      <c r="AT102" s="1983"/>
      <c r="AU102" s="1983"/>
      <c r="AV102" s="1983"/>
      <c r="AW102" s="1985"/>
      <c r="AX102" s="1985"/>
      <c r="AY102" s="1985"/>
      <c r="AZ102" s="1985"/>
      <c r="BA102" s="1462"/>
      <c r="BB102" s="1462"/>
      <c r="BC102" s="1462"/>
      <c r="BD102" s="1461"/>
      <c r="BE102" s="1462"/>
      <c r="BF102" s="1343"/>
      <c r="BG102" s="1343"/>
      <c r="BH102" s="1343"/>
      <c r="BI102" s="1343"/>
      <c r="BJ102" s="1343"/>
      <c r="BK102" s="1343"/>
      <c r="BL102" s="1343"/>
      <c r="BM102" s="1343"/>
      <c r="BN102" s="1343"/>
      <c r="BO102" s="1343"/>
      <c r="BQ102" s="1184">
        <v>2</v>
      </c>
      <c r="BR102" s="1184" cm="1">
        <f t="array" ref="BR102">INDEX(Tierprodukte!$J$51:$J$52,'Lagerhaltung (freiwillig)'!BQ102)</f>
        <v>3</v>
      </c>
      <c r="BS102" s="1184"/>
      <c r="BT102" s="1184"/>
      <c r="BU102" s="1200"/>
      <c r="BV102" s="1200"/>
      <c r="BW102" s="1186" t="s">
        <v>8225</v>
      </c>
      <c r="BX102" s="1186" t="s">
        <v>8229</v>
      </c>
      <c r="BY102" s="1184"/>
      <c r="BZ102" s="1186" t="s">
        <v>8260</v>
      </c>
      <c r="CA102" s="1184">
        <f>CA101</f>
        <v>0</v>
      </c>
      <c r="CB102" s="1184">
        <f t="shared" ref="CB102:CD102" si="249">CB101</f>
        <v>0</v>
      </c>
      <c r="CC102" s="1184">
        <f t="shared" si="249"/>
        <v>0</v>
      </c>
      <c r="CD102" s="1184">
        <f t="shared" si="249"/>
        <v>0</v>
      </c>
      <c r="CE102" s="1184"/>
      <c r="CF102" s="1186" t="s">
        <v>895</v>
      </c>
      <c r="CG102" s="1186"/>
      <c r="CH102" s="1184"/>
      <c r="CI102" s="1184"/>
      <c r="CJ102" s="1184"/>
      <c r="CK102" s="1184"/>
      <c r="CL102" s="1184"/>
      <c r="CM102" s="1184"/>
      <c r="CN102" s="1184"/>
      <c r="CO102" s="1184"/>
      <c r="CP102" s="1184"/>
      <c r="CQ102" s="1184"/>
      <c r="CR102" s="1184"/>
      <c r="CS102" s="1184"/>
      <c r="CT102" s="1184"/>
      <c r="CU102" s="1184"/>
      <c r="CV102" s="1184"/>
      <c r="CW102" s="1184"/>
      <c r="CX102" s="1184"/>
      <c r="CY102" s="320" t="str">
        <f>Pflanzen!A98</f>
        <v>Schweinemist, hohe Einstreu</v>
      </c>
      <c r="CZ102" s="1200">
        <f>IFERROR(MATCH($CY102,Pflanzen!$C$5:$C$114,0),1)</f>
        <v>89</v>
      </c>
      <c r="DA102" s="320" cm="1">
        <f t="array" ref="DA102">INDEX(Pflanzen!$H$5:$H$114,'Lagerhaltung (freiwillig)'!CZ102)</f>
        <v>0</v>
      </c>
      <c r="DB102" s="1200">
        <f t="shared" si="244"/>
        <v>0</v>
      </c>
      <c r="DC102" s="1200">
        <f t="shared" si="244"/>
        <v>0</v>
      </c>
      <c r="DD102" s="1200">
        <f t="shared" si="244"/>
        <v>0</v>
      </c>
      <c r="DE102" s="1200">
        <f t="shared" si="244"/>
        <v>0</v>
      </c>
      <c r="DF102" s="1200">
        <f t="shared" si="244"/>
        <v>0</v>
      </c>
      <c r="DG102" s="1184">
        <f t="shared" si="244"/>
        <v>0</v>
      </c>
      <c r="DH102" s="1184">
        <f t="shared" si="244"/>
        <v>0</v>
      </c>
      <c r="DI102" s="1184">
        <f t="shared" si="244"/>
        <v>0</v>
      </c>
      <c r="DJ102" s="1184">
        <f t="shared" si="244"/>
        <v>0</v>
      </c>
      <c r="DK102" s="1184">
        <f t="shared" si="244"/>
        <v>0</v>
      </c>
      <c r="DL102" s="1184">
        <f t="shared" si="244"/>
        <v>0</v>
      </c>
      <c r="DM102" s="1184">
        <f t="shared" si="244"/>
        <v>0</v>
      </c>
      <c r="DN102" s="1184"/>
      <c r="DO102" s="1184">
        <f t="shared" si="245"/>
        <v>0</v>
      </c>
      <c r="DP102" s="1184">
        <f t="shared" si="245"/>
        <v>0</v>
      </c>
      <c r="DQ102" s="1184">
        <f t="shared" si="245"/>
        <v>0</v>
      </c>
      <c r="DR102" s="1184">
        <f t="shared" si="245"/>
        <v>0</v>
      </c>
      <c r="DS102" s="1184">
        <f t="shared" si="245"/>
        <v>0</v>
      </c>
      <c r="DT102" s="1184">
        <f t="shared" si="245"/>
        <v>0</v>
      </c>
      <c r="DU102" s="1184">
        <f t="shared" si="245"/>
        <v>0</v>
      </c>
      <c r="DV102" s="1184">
        <f t="shared" si="245"/>
        <v>0</v>
      </c>
      <c r="DW102" s="1184">
        <f t="shared" si="245"/>
        <v>0</v>
      </c>
      <c r="DX102" s="1184">
        <f t="shared" si="245"/>
        <v>0</v>
      </c>
      <c r="DY102" s="1184">
        <f t="shared" si="245"/>
        <v>0</v>
      </c>
      <c r="DZ102" s="1184">
        <f t="shared" si="245"/>
        <v>0</v>
      </c>
      <c r="EA102" s="1184"/>
      <c r="EB102" s="1184">
        <f t="shared" si="246"/>
        <v>0</v>
      </c>
      <c r="EC102" s="1184">
        <f t="shared" si="246"/>
        <v>0</v>
      </c>
      <c r="ED102" s="1184">
        <f t="shared" si="246"/>
        <v>0</v>
      </c>
      <c r="EE102" s="1184">
        <f t="shared" si="246"/>
        <v>0</v>
      </c>
      <c r="EF102" s="1184">
        <f t="shared" si="246"/>
        <v>0</v>
      </c>
      <c r="EG102" s="1184">
        <f t="shared" si="246"/>
        <v>0</v>
      </c>
      <c r="EH102" s="1184">
        <f t="shared" si="246"/>
        <v>0</v>
      </c>
      <c r="EI102" s="1184">
        <f t="shared" si="246"/>
        <v>0</v>
      </c>
      <c r="EJ102" s="1184">
        <f t="shared" si="246"/>
        <v>0</v>
      </c>
      <c r="EK102" s="1184">
        <f t="shared" si="246"/>
        <v>0</v>
      </c>
      <c r="EL102" s="1184">
        <f t="shared" si="246"/>
        <v>0</v>
      </c>
      <c r="EM102" s="1184">
        <f t="shared" si="246"/>
        <v>0</v>
      </c>
      <c r="EN102" s="1184"/>
      <c r="EO102" s="1184">
        <f t="shared" si="247"/>
        <v>0</v>
      </c>
      <c r="EP102" s="1184">
        <f t="shared" si="247"/>
        <v>0</v>
      </c>
      <c r="EQ102" s="1184">
        <f t="shared" si="247"/>
        <v>0</v>
      </c>
      <c r="ER102" s="1184">
        <f t="shared" si="247"/>
        <v>0</v>
      </c>
      <c r="ES102" s="1184">
        <f t="shared" si="247"/>
        <v>0</v>
      </c>
      <c r="ET102" s="1184">
        <f t="shared" si="247"/>
        <v>0</v>
      </c>
      <c r="EU102" s="1184">
        <f t="shared" si="247"/>
        <v>0</v>
      </c>
      <c r="EV102" s="1184">
        <f t="shared" si="247"/>
        <v>0</v>
      </c>
      <c r="EW102" s="1184">
        <f t="shared" si="247"/>
        <v>0</v>
      </c>
      <c r="EX102" s="1184">
        <f t="shared" si="247"/>
        <v>0</v>
      </c>
      <c r="EY102" s="1184">
        <f t="shared" si="247"/>
        <v>0</v>
      </c>
      <c r="EZ102" s="1184">
        <f t="shared" si="247"/>
        <v>0</v>
      </c>
      <c r="FA102" s="1184"/>
      <c r="FB102" s="1186">
        <f t="shared" si="182"/>
        <v>0</v>
      </c>
      <c r="FC102" s="1184">
        <f>FB102+DB102+EB102                 -         SUMIF('Nährstoffe und Lagerraum'!$AX$113:$AX$155,$CZ102,'Nährstoffe und Lagerraum'!$U$113:$U$155)/12  -$GD102*$HE102/12</f>
        <v>0</v>
      </c>
      <c r="FD102" s="1184">
        <f>FC102+DC102+EC102                 -         SUMIF('Nährstoffe und Lagerraum'!$AX$113:$AX$155,$CZ102,'Nährstoffe und Lagerraum'!$U$113:$U$155)/12  -$GD102*$HE102/12</f>
        <v>0</v>
      </c>
      <c r="FE102" s="1184">
        <f>FD102+DD102+ED102                 -         SUMIF('Nährstoffe und Lagerraum'!$AX$113:$AX$155,$CZ102,'Nährstoffe und Lagerraum'!$U$113:$U$155)/12  -$GD102*$HE102/12</f>
        <v>0</v>
      </c>
      <c r="FF102" s="1184">
        <f>FE102+DE102+EE102                 -         SUMIF('Nährstoffe und Lagerraum'!$AX$113:$AX$155,$CZ102,'Nährstoffe und Lagerraum'!$U$113:$U$155)/12  -$GD102*$HE102/12</f>
        <v>0</v>
      </c>
      <c r="FG102" s="1184">
        <f>FF102+DF102+EF102                 -         SUMIF('Nährstoffe und Lagerraum'!$AX$113:$AX$155,$CZ102,'Nährstoffe und Lagerraum'!$U$113:$U$155)/12  -$GD102*$HE102/12</f>
        <v>0</v>
      </c>
      <c r="FH102" s="1184">
        <f>FG102+DG102+EG102                 -         SUMIF('Nährstoffe und Lagerraum'!$AX$113:$AX$155,$CZ102,'Nährstoffe und Lagerraum'!$U$113:$U$155)/12  -$GD102*$HE102/12</f>
        <v>0</v>
      </c>
      <c r="FI102" s="1184">
        <f>FH102+DH102+EH102                 -         SUMIF('Nährstoffe und Lagerraum'!$AX$113:$AX$155,$CZ102,'Nährstoffe und Lagerraum'!$U$113:$U$155)/12  -$GD102*$HE102/12</f>
        <v>0</v>
      </c>
      <c r="FJ102" s="1184">
        <f>FI102+DI102+EI102                 -         SUMIF('Nährstoffe und Lagerraum'!$AX$113:$AX$155,$CZ102,'Nährstoffe und Lagerraum'!$U$113:$U$155)/12  -$GD102*$HE102/12</f>
        <v>0</v>
      </c>
      <c r="FK102" s="1184">
        <f>FJ102+DJ102+EJ102                 -         SUMIF('Nährstoffe und Lagerraum'!$AX$113:$AX$155,$CZ102,'Nährstoffe und Lagerraum'!$U$113:$U$155)/12  -$GD102*$HE102/12</f>
        <v>0</v>
      </c>
      <c r="FL102" s="1184">
        <f>FK102+DK102+EK102                 -         SUMIF('Nährstoffe und Lagerraum'!$AX$113:$AX$155,$CZ102,'Nährstoffe und Lagerraum'!$U$113:$U$155)/12  -$GD102*$HE102/12</f>
        <v>0</v>
      </c>
      <c r="FM102" s="1184">
        <f>FL102+DL102+EL102                 -         SUMIF('Nährstoffe und Lagerraum'!$AX$113:$AX$155,$CZ102,'Nährstoffe und Lagerraum'!$U$113:$U$155)/12  -$GD102*$HE102/12</f>
        <v>0</v>
      </c>
      <c r="FN102" s="1184">
        <f>FM102+DM102+EM102                 -         SUMIF('Nährstoffe und Lagerraum'!$AX$113:$AX$155,$CZ102,'Nährstoffe und Lagerraum'!$U$113:$U$155)/12  -$GD102*$HE102/12</f>
        <v>0</v>
      </c>
      <c r="FO102" s="1184"/>
      <c r="FP102" s="1186">
        <f t="shared" si="183"/>
        <v>0</v>
      </c>
      <c r="FQ102" s="1184">
        <f>FP102+DO102+EO102                 -         SUMIF('Nährstoffe und Lagerraum'!$AX$113:$AX$155,$CZ102,'Nährstoffe und Lagerraum'!$V$113:$V$155)/12  -$GE102*$HE102/12</f>
        <v>0</v>
      </c>
      <c r="FR102" s="1184">
        <f>FQ102+DP102+EP102                 -         SUMIF('Nährstoffe und Lagerraum'!$AX$113:$AX$155,$CZ102,'Nährstoffe und Lagerraum'!$V$113:$V$155)/12  -$GE102*$HE102/12</f>
        <v>0</v>
      </c>
      <c r="FS102" s="1184">
        <f>FR102+DQ102+EQ102                 -         SUMIF('Nährstoffe und Lagerraum'!$AX$113:$AX$155,$CZ102,'Nährstoffe und Lagerraum'!$V$113:$V$155)/12  -$GE102*$HE102/12</f>
        <v>0</v>
      </c>
      <c r="FT102" s="1184">
        <f>FS102+DR102+ER102                 -         SUMIF('Nährstoffe und Lagerraum'!$AX$113:$AX$155,$CZ102,'Nährstoffe und Lagerraum'!$V$113:$V$155)/12  -$GE102*$HE102/12</f>
        <v>0</v>
      </c>
      <c r="FU102" s="1184">
        <f>FT102+DS102+ES102                 -         SUMIF('Nährstoffe und Lagerraum'!$AX$113:$AX$155,$CZ102,'Nährstoffe und Lagerraum'!$V$113:$V$155)/12  -$GE102*$HE102/12</f>
        <v>0</v>
      </c>
      <c r="FV102" s="1184">
        <f>FU102+DT102+ET102                 -         SUMIF('Nährstoffe und Lagerraum'!$AX$113:$AX$155,$CZ102,'Nährstoffe und Lagerraum'!$V$113:$V$155)/12  -$GE102*$HE102/12</f>
        <v>0</v>
      </c>
      <c r="FW102" s="1184">
        <f>FV102+DU102+EU102                 -         SUMIF('Nährstoffe und Lagerraum'!$AX$113:$AX$155,$CZ102,'Nährstoffe und Lagerraum'!$V$113:$V$155)/12  -$GE102*$HE102/12</f>
        <v>0</v>
      </c>
      <c r="FX102" s="1184">
        <f>FW102+DV102+EV102                 -         SUMIF('Nährstoffe und Lagerraum'!$AX$113:$AX$155,$CZ102,'Nährstoffe und Lagerraum'!$V$113:$V$155)/12  -$GE102*$HE102/12</f>
        <v>0</v>
      </c>
      <c r="FY102" s="1184">
        <f>FX102+DW102+EW102                 -         SUMIF('Nährstoffe und Lagerraum'!$AX$113:$AX$155,$CZ102,'Nährstoffe und Lagerraum'!$V$113:$V$155)/12  -$GE102*$HE102/12</f>
        <v>0</v>
      </c>
      <c r="FZ102" s="1184">
        <f>FY102+DX102+EX102                 -         SUMIF('Nährstoffe und Lagerraum'!$AX$113:$AX$155,$CZ102,'Nährstoffe und Lagerraum'!$V$113:$V$155)/12  -$GE102*$HE102/12</f>
        <v>0</v>
      </c>
      <c r="GA102" s="1184">
        <f>FZ102+DY102+EY102                 -         SUMIF('Nährstoffe und Lagerraum'!$AX$113:$AX$155,$CZ102,'Nährstoffe und Lagerraum'!$V$113:$V$155)/12  -$GE102*$HE102/12</f>
        <v>0</v>
      </c>
      <c r="GB102" s="1184">
        <f>GA102+DZ102+EZ102                 -         SUMIF('Nährstoffe und Lagerraum'!$AX$113:$AX$155,$CZ102,'Nährstoffe und Lagerraum'!$V$113:$V$155)/12  -$GE102*$HE102/12</f>
        <v>0</v>
      </c>
      <c r="GC102" s="1184"/>
      <c r="GD102" s="1184">
        <f>SUMIFS($CI$14:$CI$68,$BR$14:$BR$68,$CZ102)+SUMIFS($CM$14:$CM$68,$BR$14:$BR$68,$CZ102)+SUMIFS($CR$14:$CR$68,$BR$14:$BR$68,$CZ102)  -         SUMIF('Nährstoffe und Lagerraum'!$AX$113:$AX$155,$CZ102,'Nährstoffe und Lagerraum'!$U$113:$U$155)</f>
        <v>0</v>
      </c>
      <c r="GE102" s="1184">
        <f>SUMIFS($CJ$14:$CJ$68,$BR$14:$BR$68,$CZ102)+SUMIFS($CO$14:$CO$68,$BR$14:$BR$68,$CZ102)+SUMIFS($CT$14:$CT$68,$BR$14:$BR$68,$CZ102)  -         SUMIF('Nährstoffe und Lagerraum'!$AX$113:$AX$155,$CZ102,'Nährstoffe und Lagerraum'!$V$113:$V$155)</f>
        <v>0</v>
      </c>
      <c r="GF102" s="1184"/>
      <c r="GG102" s="1184"/>
      <c r="GH102" s="1184">
        <f>SUMIF('Nährstoffe und Lagerraum'!$AX$113:$AX$155,$CZ102,'Nährstoffe und Lagerraum'!$U$113:$U$155)</f>
        <v>0</v>
      </c>
      <c r="GI102" s="1184">
        <f>SUMIF('Nährstoffe und Lagerraum'!$AX$113:$AX$155,$CZ102,'Nährstoffe und Lagerraum'!$V$113:$V$155)</f>
        <v>0</v>
      </c>
      <c r="GJ102" s="1184">
        <f t="shared" si="221"/>
        <v>0</v>
      </c>
      <c r="GK102" s="1184">
        <f t="shared" si="222"/>
        <v>0</v>
      </c>
      <c r="GL102" s="1184">
        <f t="shared" si="223"/>
        <v>0</v>
      </c>
      <c r="GM102" s="1184">
        <f t="shared" si="224"/>
        <v>0</v>
      </c>
      <c r="GN102" s="1184">
        <f t="shared" si="225"/>
        <v>0</v>
      </c>
      <c r="GO102" s="1184" cm="1">
        <f t="array" ref="GO102">IF(GN102=0,0,(IFERROR(SUMPRODUCT($J$14:$J$68,$CH$14:$CH$68,($BR$14:$BR$68=CZ102)*1)+SUMPRODUCT($L$14:$L$68,$M$14:$M$68,$CK$14:$CK$68,($BR$14:$BR$68=CZ102)*1,($BT$14:$BT$68=FALSE)*1)/10+SUMPRODUCT($R$14:$R$68,$CP$14:$CP$68,($BR$14:$BR$68=CZ102)*1),0))/GN102)</f>
        <v>0</v>
      </c>
      <c r="GP102" s="1184">
        <f t="shared" si="226"/>
        <v>0</v>
      </c>
      <c r="GQ102" s="1184">
        <f>(SUMIF('Nährstoffe und Lagerraum'!$AX$113:$AX$130,'Lagerhaltung (freiwillig)'!CZ102,'Nährstoffe und Lagerraum'!$D$113:$D$130)+SUMIF('Nährstoffe und Lagerraum'!$AX$137:$AX$155,'Lagerhaltung (freiwillig)'!CZ102,'Nährstoffe und Lagerraum'!$E$137:$E$155))</f>
        <v>0</v>
      </c>
      <c r="GR102" s="1184" cm="1">
        <f t="array" ref="GR102">IF(GQ102=0,0,(IFERROR(SUMPRODUCT('Nährstoffe und Lagerraum'!$D$113:$D$130,'Nährstoffe und Lagerraum'!$F$113:$F$130,('Nährstoffe und Lagerraum'!$AX$113:$AX$130='Lagerhaltung (freiwillig)'!CZ102)*1)+SUMPRODUCT('Nährstoffe und Lagerraum'!$E$137:$E$155,'Nährstoffe und Lagerraum'!$F$137:$F$155,('Nährstoffe und Lagerraum'!$AX$137:$AX$155='Lagerhaltung (freiwillig)'!CZ102)*1),0))/GQ102)</f>
        <v>0</v>
      </c>
      <c r="GS102" s="1184">
        <f t="shared" si="227"/>
        <v>0</v>
      </c>
      <c r="GT102" s="1184">
        <f t="shared" si="228"/>
        <v>0</v>
      </c>
      <c r="GU102" s="1184">
        <f t="shared" si="229"/>
        <v>0</v>
      </c>
      <c r="GV102" s="1184">
        <f t="shared" si="230"/>
        <v>0</v>
      </c>
      <c r="GW102" s="1186" t="str">
        <f t="shared" si="177"/>
        <v xml:space="preserve"> </v>
      </c>
      <c r="GX102" s="1186" t="str">
        <f t="shared" si="177"/>
        <v xml:space="preserve"> </v>
      </c>
      <c r="GY102" s="1195">
        <f t="shared" si="231"/>
        <v>0</v>
      </c>
      <c r="GZ102" s="1184">
        <f t="shared" si="232"/>
        <v>0</v>
      </c>
      <c r="HA102" s="1184" t="str">
        <f t="shared" si="176"/>
        <v>a</v>
      </c>
      <c r="HB102" s="1196">
        <f t="shared" si="233"/>
        <v>0</v>
      </c>
      <c r="HC102" s="1196">
        <f t="shared" si="234"/>
        <v>0</v>
      </c>
      <c r="HD102" s="1196"/>
      <c r="HE102" s="1187">
        <f t="shared" si="235"/>
        <v>0</v>
      </c>
      <c r="HF102" s="1196">
        <f t="shared" si="236"/>
        <v>0</v>
      </c>
      <c r="HG102" s="1196">
        <f t="shared" si="237"/>
        <v>0</v>
      </c>
      <c r="HH102" s="1196">
        <f t="shared" si="238"/>
        <v>0</v>
      </c>
      <c r="HI102" s="1328" cm="1">
        <f t="array" ref="HI102">IF(AND(HG102=0,GL102=0),0,IF(HG102=0,1,IF(OR(GL102*1000/HG102/HH102&gt;INDEX(Pflanzen!$W$5:$W$104,CZ102)/INDEX(Pflanzen!$I$5:$I$104,CZ102)*$HI$2,GL102*1000/HG102/HH102&lt;INDEX(Pflanzen!$W$5:$W$104,CZ102)/INDEX(Pflanzen!$I$5:$I$104,CZ102)/$HI$2),1,0)))</f>
        <v>0</v>
      </c>
      <c r="HJ102" s="1328" cm="1">
        <f t="array" ref="HJ102">IF(AND(GM102=0,HG102=0),0,IF(HG102=0,1,IF(OR(GM102*1000/HG102/HH102&gt;INDEX(Pflanzen!$X$5:$X$104,CZ102)/INDEX(Pflanzen!$I$5:$I$104,CZ102)*$HI$2,GM102*1000/HG102/HH102&lt;INDEX(Pflanzen!$X$5:$X$104,CZ102)/INDEX(Pflanzen!$I$5:$I$104,CZ102)/$HI$2),1,0)))</f>
        <v>0</v>
      </c>
      <c r="HK102" s="1184">
        <f t="shared" si="239"/>
        <v>3</v>
      </c>
      <c r="HL102" s="1184"/>
      <c r="HN102" s="1184"/>
      <c r="HO102" s="1184"/>
      <c r="HP102" s="1184"/>
      <c r="HQ102" s="1184"/>
      <c r="HR102" s="1184"/>
      <c r="HS102" s="1184"/>
      <c r="HT102" s="1184"/>
      <c r="HU102" s="1184"/>
      <c r="HV102" s="1184"/>
      <c r="HW102" s="1184"/>
      <c r="HX102" s="1184"/>
      <c r="HY102" s="1184"/>
      <c r="HZ102" s="1184"/>
      <c r="IA102" s="1184"/>
      <c r="IB102" s="1184"/>
      <c r="IC102" s="1184"/>
      <c r="ID102" s="1184"/>
      <c r="IE102" s="1184"/>
      <c r="IF102" s="1184"/>
      <c r="IG102" s="1184"/>
      <c r="IH102" s="1184"/>
      <c r="II102" s="1184"/>
      <c r="IJ102" s="1184"/>
      <c r="IK102" s="1184"/>
      <c r="IL102" s="1184"/>
    </row>
    <row r="103" spans="1:246" ht="15" customHeight="1" thickBot="1" x14ac:dyDescent="0.25">
      <c r="A103" s="1367" t="s">
        <v>983</v>
      </c>
      <c r="B103" s="1273"/>
      <c r="C103" s="1273"/>
      <c r="D103" s="1273"/>
      <c r="E103" s="1273"/>
      <c r="F103" s="3024"/>
      <c r="G103" s="3153"/>
      <c r="H103" s="3156" t="s">
        <v>993</v>
      </c>
      <c r="I103" s="3157"/>
      <c r="J103" s="3157"/>
      <c r="K103" s="3158"/>
      <c r="L103" s="1484" cm="1">
        <f t="array" ref="L103">INDEX(Tierprodukte!C59:C60,BQ103)</f>
        <v>128</v>
      </c>
      <c r="M103" s="1485" cm="1">
        <f t="array" ref="M103">INDEX(Tierprodukte!D59:D60,BQ103)</f>
        <v>0.9</v>
      </c>
      <c r="N103" s="3159">
        <f>F103*L103*-1/1000</f>
        <v>0</v>
      </c>
      <c r="O103" s="3160"/>
      <c r="P103" s="3136">
        <f t="shared" si="248"/>
        <v>0</v>
      </c>
      <c r="Q103" s="3137"/>
      <c r="R103" s="1174" t="str">
        <f>IF(BX111=2,"",IF(F103&lt;BX107,"Leistung zu gering",IF(F103&gt;BX109,"Leistung zu hoch","")))</f>
        <v/>
      </c>
      <c r="S103" s="242"/>
      <c r="T103" s="696"/>
      <c r="U103" s="242"/>
      <c r="V103" s="242"/>
      <c r="Y103" s="1981"/>
      <c r="Z103" s="1982"/>
      <c r="AA103" s="1982"/>
      <c r="AB103" s="1982"/>
      <c r="AC103" s="1983"/>
      <c r="AD103" s="1983"/>
      <c r="AE103" s="1983"/>
      <c r="AF103" s="1983"/>
      <c r="AG103" s="1983"/>
      <c r="AH103" s="1983"/>
      <c r="AI103" s="1983"/>
      <c r="AJ103" s="1983"/>
      <c r="AK103" s="1983"/>
      <c r="AL103" s="1984"/>
      <c r="AM103" s="1983"/>
      <c r="AN103" s="1983"/>
      <c r="AO103" s="1983"/>
      <c r="AP103" s="1983"/>
      <c r="AQ103" s="1983"/>
      <c r="AR103" s="1983"/>
      <c r="AS103" s="1983"/>
      <c r="AT103" s="1983"/>
      <c r="AU103" s="1983"/>
      <c r="AV103" s="1983"/>
      <c r="AW103" s="1985"/>
      <c r="AX103" s="1985"/>
      <c r="AY103" s="1985"/>
      <c r="AZ103" s="1985"/>
      <c r="BA103" s="1462"/>
      <c r="BB103" s="1462"/>
      <c r="BC103" s="1462"/>
      <c r="BD103" s="1461"/>
      <c r="BE103" s="1462"/>
      <c r="BF103" s="1343"/>
      <c r="BG103" s="1343"/>
      <c r="BH103" s="1343"/>
      <c r="BI103" s="1343"/>
      <c r="BJ103" s="1343"/>
      <c r="BK103" s="1343"/>
      <c r="BL103" s="1343"/>
      <c r="BM103" s="1343"/>
      <c r="BN103" s="1343"/>
      <c r="BO103" s="1343"/>
      <c r="BQ103" s="1184">
        <v>2</v>
      </c>
      <c r="BR103" s="1184" cm="1">
        <f t="array" ref="BR103">INDEX(Tierprodukte!$J$59:$J$60,'Lagerhaltung (freiwillig)'!BQ103)</f>
        <v>4</v>
      </c>
      <c r="BS103" s="1184"/>
      <c r="BT103" s="1184"/>
      <c r="BU103" s="1200"/>
      <c r="BV103" s="1200"/>
      <c r="BW103" s="1184">
        <f>BW99*BW101/1000</f>
        <v>0</v>
      </c>
      <c r="BX103" s="1184">
        <f>BX99*BX101/1000</f>
        <v>0</v>
      </c>
      <c r="BY103" s="1184"/>
      <c r="BZ103" s="1184"/>
      <c r="CA103" s="1184" t="s">
        <v>1087</v>
      </c>
      <c r="CB103" s="1206">
        <v>0.5</v>
      </c>
      <c r="CC103" s="1184">
        <v>0.1</v>
      </c>
      <c r="CD103" s="1186" t="s">
        <v>8259</v>
      </c>
      <c r="CE103" s="1184"/>
      <c r="CF103" s="1184" t="s">
        <v>200</v>
      </c>
      <c r="CG103" s="1184"/>
      <c r="CH103" s="1184" t="s">
        <v>201</v>
      </c>
      <c r="CI103" s="1184" t="s">
        <v>85</v>
      </c>
      <c r="CJ103" s="1184" t="s">
        <v>1005</v>
      </c>
      <c r="CK103" s="1184"/>
      <c r="CL103" s="1184"/>
      <c r="CM103" s="1184"/>
      <c r="CN103" s="1184"/>
      <c r="CO103" s="1184"/>
      <c r="CP103" s="1184"/>
      <c r="CQ103" s="1184"/>
      <c r="CR103" s="1184"/>
      <c r="CS103" s="1184"/>
      <c r="CT103" s="1184"/>
      <c r="CU103" s="1184"/>
      <c r="CV103" s="1184"/>
      <c r="CW103" s="1184"/>
      <c r="CX103" s="1184"/>
      <c r="CY103" s="320" t="str">
        <f>Pflanzen!A99</f>
        <v>Schweinejauche</v>
      </c>
      <c r="CZ103" s="1200">
        <f>IFERROR(MATCH($CY103,Pflanzen!$C$5:$C$114,0),1)</f>
        <v>90</v>
      </c>
      <c r="DA103" s="320" cm="1">
        <f t="array" ref="DA103">INDEX(Pflanzen!$H$5:$H$114,'Lagerhaltung (freiwillig)'!CZ103)</f>
        <v>0</v>
      </c>
      <c r="DB103" s="1200">
        <f t="shared" si="244"/>
        <v>0</v>
      </c>
      <c r="DC103" s="1200">
        <f t="shared" si="244"/>
        <v>0</v>
      </c>
      <c r="DD103" s="1200">
        <f t="shared" si="244"/>
        <v>0</v>
      </c>
      <c r="DE103" s="1200">
        <f t="shared" si="244"/>
        <v>0</v>
      </c>
      <c r="DF103" s="1200">
        <f t="shared" si="244"/>
        <v>0</v>
      </c>
      <c r="DG103" s="1184">
        <f t="shared" si="244"/>
        <v>0</v>
      </c>
      <c r="DH103" s="1184">
        <f t="shared" si="244"/>
        <v>0</v>
      </c>
      <c r="DI103" s="1184">
        <f t="shared" si="244"/>
        <v>0</v>
      </c>
      <c r="DJ103" s="1184">
        <f t="shared" si="244"/>
        <v>0</v>
      </c>
      <c r="DK103" s="1184">
        <f t="shared" si="244"/>
        <v>0</v>
      </c>
      <c r="DL103" s="1184">
        <f t="shared" si="244"/>
        <v>0</v>
      </c>
      <c r="DM103" s="1184">
        <f t="shared" si="244"/>
        <v>0</v>
      </c>
      <c r="DN103" s="1184"/>
      <c r="DO103" s="1184">
        <f t="shared" si="245"/>
        <v>0</v>
      </c>
      <c r="DP103" s="1184">
        <f t="shared" si="245"/>
        <v>0</v>
      </c>
      <c r="DQ103" s="1184">
        <f t="shared" si="245"/>
        <v>0</v>
      </c>
      <c r="DR103" s="1184">
        <f t="shared" si="245"/>
        <v>0</v>
      </c>
      <c r="DS103" s="1184">
        <f t="shared" si="245"/>
        <v>0</v>
      </c>
      <c r="DT103" s="1184">
        <f t="shared" si="245"/>
        <v>0</v>
      </c>
      <c r="DU103" s="1184">
        <f t="shared" si="245"/>
        <v>0</v>
      </c>
      <c r="DV103" s="1184">
        <f t="shared" si="245"/>
        <v>0</v>
      </c>
      <c r="DW103" s="1184">
        <f t="shared" si="245"/>
        <v>0</v>
      </c>
      <c r="DX103" s="1184">
        <f t="shared" si="245"/>
        <v>0</v>
      </c>
      <c r="DY103" s="1184">
        <f t="shared" si="245"/>
        <v>0</v>
      </c>
      <c r="DZ103" s="1184">
        <f t="shared" si="245"/>
        <v>0</v>
      </c>
      <c r="EA103" s="1184"/>
      <c r="EB103" s="1184">
        <f t="shared" si="246"/>
        <v>0</v>
      </c>
      <c r="EC103" s="1184">
        <f t="shared" si="246"/>
        <v>0</v>
      </c>
      <c r="ED103" s="1184">
        <f t="shared" si="246"/>
        <v>0</v>
      </c>
      <c r="EE103" s="1184">
        <f t="shared" si="246"/>
        <v>0</v>
      </c>
      <c r="EF103" s="1184">
        <f t="shared" si="246"/>
        <v>0</v>
      </c>
      <c r="EG103" s="1184">
        <f t="shared" si="246"/>
        <v>0</v>
      </c>
      <c r="EH103" s="1184">
        <f t="shared" si="246"/>
        <v>0</v>
      </c>
      <c r="EI103" s="1184">
        <f t="shared" si="246"/>
        <v>0</v>
      </c>
      <c r="EJ103" s="1184">
        <f t="shared" si="246"/>
        <v>0</v>
      </c>
      <c r="EK103" s="1184">
        <f t="shared" si="246"/>
        <v>0</v>
      </c>
      <c r="EL103" s="1184">
        <f t="shared" si="246"/>
        <v>0</v>
      </c>
      <c r="EM103" s="1184">
        <f t="shared" si="246"/>
        <v>0</v>
      </c>
      <c r="EN103" s="1184"/>
      <c r="EO103" s="1184">
        <f t="shared" si="247"/>
        <v>0</v>
      </c>
      <c r="EP103" s="1184">
        <f t="shared" si="247"/>
        <v>0</v>
      </c>
      <c r="EQ103" s="1184">
        <f t="shared" si="247"/>
        <v>0</v>
      </c>
      <c r="ER103" s="1184">
        <f t="shared" si="247"/>
        <v>0</v>
      </c>
      <c r="ES103" s="1184">
        <f t="shared" si="247"/>
        <v>0</v>
      </c>
      <c r="ET103" s="1184">
        <f t="shared" si="247"/>
        <v>0</v>
      </c>
      <c r="EU103" s="1184">
        <f t="shared" si="247"/>
        <v>0</v>
      </c>
      <c r="EV103" s="1184">
        <f t="shared" si="247"/>
        <v>0</v>
      </c>
      <c r="EW103" s="1184">
        <f t="shared" si="247"/>
        <v>0</v>
      </c>
      <c r="EX103" s="1184">
        <f t="shared" si="247"/>
        <v>0</v>
      </c>
      <c r="EY103" s="1184">
        <f t="shared" si="247"/>
        <v>0</v>
      </c>
      <c r="EZ103" s="1184">
        <f t="shared" si="247"/>
        <v>0</v>
      </c>
      <c r="FA103" s="1184"/>
      <c r="FB103" s="1186">
        <f t="shared" si="182"/>
        <v>0</v>
      </c>
      <c r="FC103" s="1184">
        <f>FB103+DB103+EB103                 -         SUMIF('Nährstoffe und Lagerraum'!$AX$113:$AX$155,$CZ103,'Nährstoffe und Lagerraum'!$U$113:$U$155)/12  -$GD103*$HE103/12</f>
        <v>0</v>
      </c>
      <c r="FD103" s="1184">
        <f>FC103+DC103+EC103                 -         SUMIF('Nährstoffe und Lagerraum'!$AX$113:$AX$155,$CZ103,'Nährstoffe und Lagerraum'!$U$113:$U$155)/12  -$GD103*$HE103/12</f>
        <v>0</v>
      </c>
      <c r="FE103" s="1184">
        <f>FD103+DD103+ED103                 -         SUMIF('Nährstoffe und Lagerraum'!$AX$113:$AX$155,$CZ103,'Nährstoffe und Lagerraum'!$U$113:$U$155)/12  -$GD103*$HE103/12</f>
        <v>0</v>
      </c>
      <c r="FF103" s="1184">
        <f>FE103+DE103+EE103                 -         SUMIF('Nährstoffe und Lagerraum'!$AX$113:$AX$155,$CZ103,'Nährstoffe und Lagerraum'!$U$113:$U$155)/12  -$GD103*$HE103/12</f>
        <v>0</v>
      </c>
      <c r="FG103" s="1184">
        <f>FF103+DF103+EF103                 -         SUMIF('Nährstoffe und Lagerraum'!$AX$113:$AX$155,$CZ103,'Nährstoffe und Lagerraum'!$U$113:$U$155)/12  -$GD103*$HE103/12</f>
        <v>0</v>
      </c>
      <c r="FH103" s="1184">
        <f>FG103+DG103+EG103                 -         SUMIF('Nährstoffe und Lagerraum'!$AX$113:$AX$155,$CZ103,'Nährstoffe und Lagerraum'!$U$113:$U$155)/12  -$GD103*$HE103/12</f>
        <v>0</v>
      </c>
      <c r="FI103" s="1184">
        <f>FH103+DH103+EH103                 -         SUMIF('Nährstoffe und Lagerraum'!$AX$113:$AX$155,$CZ103,'Nährstoffe und Lagerraum'!$U$113:$U$155)/12  -$GD103*$HE103/12</f>
        <v>0</v>
      </c>
      <c r="FJ103" s="1184">
        <f>FI103+DI103+EI103                 -         SUMIF('Nährstoffe und Lagerraum'!$AX$113:$AX$155,$CZ103,'Nährstoffe und Lagerraum'!$U$113:$U$155)/12  -$GD103*$HE103/12</f>
        <v>0</v>
      </c>
      <c r="FK103" s="1184">
        <f>FJ103+DJ103+EJ103                 -         SUMIF('Nährstoffe und Lagerraum'!$AX$113:$AX$155,$CZ103,'Nährstoffe und Lagerraum'!$U$113:$U$155)/12  -$GD103*$HE103/12</f>
        <v>0</v>
      </c>
      <c r="FL103" s="1184">
        <f>FK103+DK103+EK103                 -         SUMIF('Nährstoffe und Lagerraum'!$AX$113:$AX$155,$CZ103,'Nährstoffe und Lagerraum'!$U$113:$U$155)/12  -$GD103*$HE103/12</f>
        <v>0</v>
      </c>
      <c r="FM103" s="1184">
        <f>FL103+DL103+EL103                 -         SUMIF('Nährstoffe und Lagerraum'!$AX$113:$AX$155,$CZ103,'Nährstoffe und Lagerraum'!$U$113:$U$155)/12  -$GD103*$HE103/12</f>
        <v>0</v>
      </c>
      <c r="FN103" s="1184">
        <f>FM103+DM103+EM103                 -         SUMIF('Nährstoffe und Lagerraum'!$AX$113:$AX$155,$CZ103,'Nährstoffe und Lagerraum'!$U$113:$U$155)/12  -$GD103*$HE103/12</f>
        <v>0</v>
      </c>
      <c r="FO103" s="1184"/>
      <c r="FP103" s="1186">
        <f t="shared" si="183"/>
        <v>0</v>
      </c>
      <c r="FQ103" s="1184">
        <f>FP103+DO103+EO103                 -         SUMIF('Nährstoffe und Lagerraum'!$AX$113:$AX$155,$CZ103,'Nährstoffe und Lagerraum'!$V$113:$V$155)/12  -$GE103*$HE103/12</f>
        <v>0</v>
      </c>
      <c r="FR103" s="1184">
        <f>FQ103+DP103+EP103                 -         SUMIF('Nährstoffe und Lagerraum'!$AX$113:$AX$155,$CZ103,'Nährstoffe und Lagerraum'!$V$113:$V$155)/12  -$GE103*$HE103/12</f>
        <v>0</v>
      </c>
      <c r="FS103" s="1184">
        <f>FR103+DQ103+EQ103                 -         SUMIF('Nährstoffe und Lagerraum'!$AX$113:$AX$155,$CZ103,'Nährstoffe und Lagerraum'!$V$113:$V$155)/12  -$GE103*$HE103/12</f>
        <v>0</v>
      </c>
      <c r="FT103" s="1184">
        <f>FS103+DR103+ER103                 -         SUMIF('Nährstoffe und Lagerraum'!$AX$113:$AX$155,$CZ103,'Nährstoffe und Lagerraum'!$V$113:$V$155)/12  -$GE103*$HE103/12</f>
        <v>0</v>
      </c>
      <c r="FU103" s="1184">
        <f>FT103+DS103+ES103                 -         SUMIF('Nährstoffe und Lagerraum'!$AX$113:$AX$155,$CZ103,'Nährstoffe und Lagerraum'!$V$113:$V$155)/12  -$GE103*$HE103/12</f>
        <v>0</v>
      </c>
      <c r="FV103" s="1184">
        <f>FU103+DT103+ET103                 -         SUMIF('Nährstoffe und Lagerraum'!$AX$113:$AX$155,$CZ103,'Nährstoffe und Lagerraum'!$V$113:$V$155)/12  -$GE103*$HE103/12</f>
        <v>0</v>
      </c>
      <c r="FW103" s="1184">
        <f>FV103+DU103+EU103                 -         SUMIF('Nährstoffe und Lagerraum'!$AX$113:$AX$155,$CZ103,'Nährstoffe und Lagerraum'!$V$113:$V$155)/12  -$GE103*$HE103/12</f>
        <v>0</v>
      </c>
      <c r="FX103" s="1184">
        <f>FW103+DV103+EV103                 -         SUMIF('Nährstoffe und Lagerraum'!$AX$113:$AX$155,$CZ103,'Nährstoffe und Lagerraum'!$V$113:$V$155)/12  -$GE103*$HE103/12</f>
        <v>0</v>
      </c>
      <c r="FY103" s="1184">
        <f>FX103+DW103+EW103                 -         SUMIF('Nährstoffe und Lagerraum'!$AX$113:$AX$155,$CZ103,'Nährstoffe und Lagerraum'!$V$113:$V$155)/12  -$GE103*$HE103/12</f>
        <v>0</v>
      </c>
      <c r="FZ103" s="1184">
        <f>FY103+DX103+EX103                 -         SUMIF('Nährstoffe und Lagerraum'!$AX$113:$AX$155,$CZ103,'Nährstoffe und Lagerraum'!$V$113:$V$155)/12  -$GE103*$HE103/12</f>
        <v>0</v>
      </c>
      <c r="GA103" s="1184">
        <f>FZ103+DY103+EY103                 -         SUMIF('Nährstoffe und Lagerraum'!$AX$113:$AX$155,$CZ103,'Nährstoffe und Lagerraum'!$V$113:$V$155)/12  -$GE103*$HE103/12</f>
        <v>0</v>
      </c>
      <c r="GB103" s="1184">
        <f>GA103+DZ103+EZ103                 -         SUMIF('Nährstoffe und Lagerraum'!$AX$113:$AX$155,$CZ103,'Nährstoffe und Lagerraum'!$V$113:$V$155)/12  -$GE103*$HE103/12</f>
        <v>0</v>
      </c>
      <c r="GC103" s="1184"/>
      <c r="GD103" s="1184">
        <f>SUMIFS($CI$14:$CI$68,$BR$14:$BR$68,$CZ103)+SUMIFS($CM$14:$CM$68,$BR$14:$BR$68,$CZ103)+SUMIFS($CR$14:$CR$68,$BR$14:$BR$68,$CZ103)  -         SUMIF('Nährstoffe und Lagerraum'!$AX$113:$AX$155,$CZ103,'Nährstoffe und Lagerraum'!$U$113:$U$155)</f>
        <v>0</v>
      </c>
      <c r="GE103" s="1184">
        <f>SUMIFS($CJ$14:$CJ$68,$BR$14:$BR$68,$CZ103)+SUMIFS($CO$14:$CO$68,$BR$14:$BR$68,$CZ103)+SUMIFS($CT$14:$CT$68,$BR$14:$BR$68,$CZ103)  -         SUMIF('Nährstoffe und Lagerraum'!$AX$113:$AX$155,$CZ103,'Nährstoffe und Lagerraum'!$V$113:$V$155)</f>
        <v>0</v>
      </c>
      <c r="GF103" s="1184"/>
      <c r="GG103" s="1184"/>
      <c r="GH103" s="1184">
        <f>SUMIF('Nährstoffe und Lagerraum'!$AX$113:$AX$155,$CZ103,'Nährstoffe und Lagerraum'!$U$113:$U$155)</f>
        <v>0</v>
      </c>
      <c r="GI103" s="1184">
        <f>SUMIF('Nährstoffe und Lagerraum'!$AX$113:$AX$155,$CZ103,'Nährstoffe und Lagerraum'!$V$113:$V$155)</f>
        <v>0</v>
      </c>
      <c r="GJ103" s="1184">
        <f t="shared" si="221"/>
        <v>0</v>
      </c>
      <c r="GK103" s="1184">
        <f t="shared" si="222"/>
        <v>0</v>
      </c>
      <c r="GL103" s="1184">
        <f t="shared" si="223"/>
        <v>0</v>
      </c>
      <c r="GM103" s="1184">
        <f t="shared" si="224"/>
        <v>0</v>
      </c>
      <c r="GN103" s="1184">
        <f t="shared" si="225"/>
        <v>0</v>
      </c>
      <c r="GO103" s="1184" cm="1">
        <f t="array" ref="GO103">IF(GN103=0,0,(IFERROR(SUMPRODUCT($J$14:$J$68,$CH$14:$CH$68,($BR$14:$BR$68=CZ103)*1)+SUMPRODUCT($L$14:$L$68,$M$14:$M$68,$CK$14:$CK$68,($BR$14:$BR$68=CZ103)*1,($BT$14:$BT$68=FALSE)*1)/10+SUMPRODUCT($R$14:$R$68,$CP$14:$CP$68,($BR$14:$BR$68=CZ103)*1),0))/GN103)</f>
        <v>0</v>
      </c>
      <c r="GP103" s="1184">
        <f t="shared" si="226"/>
        <v>0</v>
      </c>
      <c r="GQ103" s="1184">
        <f>(SUMIF('Nährstoffe und Lagerraum'!$AX$113:$AX$130,'Lagerhaltung (freiwillig)'!CZ103,'Nährstoffe und Lagerraum'!$D$113:$D$130)+SUMIF('Nährstoffe und Lagerraum'!$AX$137:$AX$155,'Lagerhaltung (freiwillig)'!CZ103,'Nährstoffe und Lagerraum'!$E$137:$E$155))</f>
        <v>0</v>
      </c>
      <c r="GR103" s="1184" cm="1">
        <f t="array" ref="GR103">IF(GQ103=0,0,(IFERROR(SUMPRODUCT('Nährstoffe und Lagerraum'!$D$113:$D$130,'Nährstoffe und Lagerraum'!$F$113:$F$130,('Nährstoffe und Lagerraum'!$AX$113:$AX$130='Lagerhaltung (freiwillig)'!CZ103)*1)+SUMPRODUCT('Nährstoffe und Lagerraum'!$E$137:$E$155,'Nährstoffe und Lagerraum'!$F$137:$F$155,('Nährstoffe und Lagerraum'!$AX$137:$AX$155='Lagerhaltung (freiwillig)'!CZ103)*1),0))/GQ103)</f>
        <v>0</v>
      </c>
      <c r="GS103" s="1184">
        <f t="shared" si="227"/>
        <v>0</v>
      </c>
      <c r="GT103" s="1184">
        <f t="shared" si="228"/>
        <v>0</v>
      </c>
      <c r="GU103" s="1184">
        <f t="shared" si="229"/>
        <v>0</v>
      </c>
      <c r="GV103" s="1184">
        <f t="shared" si="230"/>
        <v>0</v>
      </c>
      <c r="GW103" s="1186" t="str">
        <f t="shared" si="177"/>
        <v xml:space="preserve"> </v>
      </c>
      <c r="GX103" s="1186" t="str">
        <f t="shared" si="177"/>
        <v xml:space="preserve"> </v>
      </c>
      <c r="GY103" s="1195">
        <f t="shared" si="231"/>
        <v>0</v>
      </c>
      <c r="GZ103" s="1184">
        <f t="shared" si="232"/>
        <v>0</v>
      </c>
      <c r="HA103" s="1184" t="str">
        <f t="shared" si="176"/>
        <v>a</v>
      </c>
      <c r="HB103" s="1196">
        <f t="shared" si="233"/>
        <v>0</v>
      </c>
      <c r="HC103" s="1196">
        <f t="shared" si="234"/>
        <v>0</v>
      </c>
      <c r="HD103" s="1196"/>
      <c r="HE103" s="1187">
        <f t="shared" si="235"/>
        <v>0</v>
      </c>
      <c r="HF103" s="1196">
        <f t="shared" si="236"/>
        <v>0</v>
      </c>
      <c r="HG103" s="1196">
        <f t="shared" si="237"/>
        <v>0</v>
      </c>
      <c r="HH103" s="1196">
        <f t="shared" si="238"/>
        <v>0</v>
      </c>
      <c r="HI103" s="1328" cm="1">
        <f t="array" ref="HI103">IF(AND(HG103=0,GL103=0),0,IF(HG103=0,1,IF(OR(GL103*1000/HG103/HH103&gt;INDEX(Pflanzen!$W$5:$W$104,CZ103)/INDEX(Pflanzen!$I$5:$I$104,CZ103)*$HI$2,GL103*1000/HG103/HH103&lt;INDEX(Pflanzen!$W$5:$W$104,CZ103)/INDEX(Pflanzen!$I$5:$I$104,CZ103)/$HI$2),1,0)))</f>
        <v>0</v>
      </c>
      <c r="HJ103" s="1328" cm="1">
        <f t="array" ref="HJ103">IF(AND(GM103=0,HG103=0),0,IF(HG103=0,1,IF(OR(GM103*1000/HG103/HH103&gt;INDEX(Pflanzen!$X$5:$X$104,CZ103)/INDEX(Pflanzen!$I$5:$I$104,CZ103)*$HI$2,GM103*1000/HG103/HH103&lt;INDEX(Pflanzen!$X$5:$X$104,CZ103)/INDEX(Pflanzen!$I$5:$I$104,CZ103)/$HI$2),1,0)))</f>
        <v>0</v>
      </c>
      <c r="HK103" s="1184">
        <f t="shared" si="239"/>
        <v>3</v>
      </c>
      <c r="HL103" s="1297"/>
      <c r="HN103" s="1184"/>
      <c r="HO103" s="1184"/>
      <c r="HP103" s="1184"/>
      <c r="HQ103" s="1184"/>
      <c r="HR103" s="1184"/>
      <c r="HS103" s="1184"/>
      <c r="HT103" s="1184"/>
      <c r="HU103" s="1184"/>
      <c r="HV103" s="1184"/>
      <c r="HW103" s="1184"/>
      <c r="HX103" s="1184"/>
      <c r="HY103" s="1184"/>
      <c r="HZ103" s="1184"/>
      <c r="IA103" s="1184"/>
      <c r="IB103" s="1184"/>
      <c r="IC103" s="1184"/>
      <c r="ID103" s="1184"/>
      <c r="IE103" s="1184"/>
      <c r="IF103" s="1184"/>
      <c r="IG103" s="1184"/>
      <c r="IH103" s="1184"/>
      <c r="II103" s="1184"/>
      <c r="IJ103" s="1184"/>
      <c r="IK103" s="1184"/>
      <c r="IL103" s="1184"/>
    </row>
    <row r="104" spans="1:246" ht="15.6" customHeight="1" thickBot="1" x14ac:dyDescent="0.25">
      <c r="A104" s="1172" t="s">
        <v>996</v>
      </c>
      <c r="B104" s="1173"/>
      <c r="C104" s="2178"/>
      <c r="D104" s="713"/>
      <c r="E104" s="713"/>
      <c r="F104" s="713"/>
      <c r="G104" s="713"/>
      <c r="H104" s="713"/>
      <c r="I104" s="3161"/>
      <c r="J104" s="3161"/>
      <c r="K104" s="3161"/>
      <c r="L104" s="2183"/>
      <c r="M104" s="1274"/>
      <c r="N104" s="3165">
        <f>SUM(N98:N103)</f>
        <v>0</v>
      </c>
      <c r="O104" s="3166"/>
      <c r="P104" s="3138">
        <f>SUM(P98:P103)</f>
        <v>0</v>
      </c>
      <c r="Q104" s="3139"/>
      <c r="R104" s="1276"/>
      <c r="T104" s="696"/>
      <c r="U104" s="242"/>
      <c r="V104" s="242"/>
      <c r="Y104" s="1981"/>
      <c r="Z104" s="1982"/>
      <c r="AA104" s="1982"/>
      <c r="AB104" s="1982"/>
      <c r="AC104" s="1983"/>
      <c r="AD104" s="1983"/>
      <c r="AE104" s="1983"/>
      <c r="AF104" s="1983"/>
      <c r="AG104" s="1983"/>
      <c r="AH104" s="1983"/>
      <c r="AI104" s="1983"/>
      <c r="AJ104" s="1983"/>
      <c r="AK104" s="1983"/>
      <c r="AL104" s="1984"/>
      <c r="AM104" s="1983"/>
      <c r="AN104" s="1983"/>
      <c r="AO104" s="1983"/>
      <c r="AP104" s="1983"/>
      <c r="AQ104" s="1983"/>
      <c r="AR104" s="1983"/>
      <c r="AS104" s="1983"/>
      <c r="AT104" s="1983"/>
      <c r="AU104" s="1983"/>
      <c r="AV104" s="1983"/>
      <c r="AW104" s="1985"/>
      <c r="AX104" s="1985"/>
      <c r="AY104" s="1985"/>
      <c r="AZ104" s="1985"/>
      <c r="BA104" s="1462"/>
      <c r="BB104" s="1462"/>
      <c r="BC104" s="1462"/>
      <c r="BD104" s="1461"/>
      <c r="BE104" s="1462"/>
      <c r="BF104" s="1343"/>
      <c r="BG104" s="1343"/>
      <c r="BH104" s="1343"/>
      <c r="BI104" s="1343"/>
      <c r="BJ104" s="1343"/>
      <c r="BK104" s="1343"/>
      <c r="BL104" s="1343"/>
      <c r="BM104" s="1343"/>
      <c r="BN104" s="1343"/>
      <c r="BO104" s="1343"/>
      <c r="BU104" s="1200"/>
      <c r="BV104" s="1200"/>
      <c r="BW104" s="1184" t="s">
        <v>8220</v>
      </c>
      <c r="BX104" s="1186" t="s">
        <v>8220</v>
      </c>
      <c r="BY104" s="1184"/>
      <c r="BZ104" s="1184" t="s">
        <v>1087</v>
      </c>
      <c r="CA104" s="1184">
        <f>CA100*$CB$103+$CC$103</f>
        <v>0.1</v>
      </c>
      <c r="CB104" s="1184">
        <f t="shared" ref="CB104:CC104" si="250">CB100*$CB$103+$CC$103</f>
        <v>0.1</v>
      </c>
      <c r="CC104" s="1184">
        <f t="shared" si="250"/>
        <v>0.1</v>
      </c>
      <c r="CD104" s="1184">
        <f>CD100*$CB$103+$CC$103</f>
        <v>0.1</v>
      </c>
      <c r="CE104" s="1184"/>
      <c r="CF104" s="1325">
        <f>CA107-P98</f>
        <v>0</v>
      </c>
      <c r="CG104" s="1325"/>
      <c r="CH104" s="1184">
        <f>CB107</f>
        <v>0</v>
      </c>
      <c r="CI104" s="1325">
        <f>CC107-P102</f>
        <v>0</v>
      </c>
      <c r="CJ104" s="1325">
        <f>CD107-P103</f>
        <v>0</v>
      </c>
      <c r="CK104" s="1184"/>
      <c r="CL104" s="1184"/>
      <c r="CM104" s="1184"/>
      <c r="CN104" s="1184"/>
      <c r="CO104" s="1184"/>
      <c r="CP104" s="1184"/>
      <c r="CQ104" s="1184"/>
      <c r="CR104" s="1184"/>
      <c r="CS104" s="1184"/>
      <c r="CT104" s="1184"/>
      <c r="CU104" s="1184"/>
      <c r="CV104" s="1184"/>
      <c r="CW104" s="1184"/>
      <c r="CX104" s="1184"/>
      <c r="CY104" s="320" t="str">
        <f>Pflanzen!A100</f>
        <v>Sonstige Wirtschaftsdünger - Schwein</v>
      </c>
      <c r="CZ104" s="1867">
        <f>IFERROR(MATCH($CY104,Pflanzen!$C$5:$C$114,0),1)</f>
        <v>108</v>
      </c>
      <c r="DA104" s="1364" cm="1">
        <f t="array" ref="DA104">INDEX(Pflanzen!$H$5:$H$114,'Lagerhaltung (freiwillig)'!CZ104)</f>
        <v>0</v>
      </c>
      <c r="DB104" s="1867">
        <f t="shared" si="244"/>
        <v>0</v>
      </c>
      <c r="DC104" s="1867">
        <f t="shared" si="244"/>
        <v>0</v>
      </c>
      <c r="DD104" s="1867">
        <f t="shared" si="244"/>
        <v>0</v>
      </c>
      <c r="DE104" s="1867">
        <f t="shared" si="244"/>
        <v>0</v>
      </c>
      <c r="DF104" s="1867">
        <f t="shared" si="244"/>
        <v>0</v>
      </c>
      <c r="DG104" s="1297">
        <f t="shared" si="244"/>
        <v>0</v>
      </c>
      <c r="DH104" s="1297">
        <f t="shared" si="244"/>
        <v>0</v>
      </c>
      <c r="DI104" s="1297">
        <f t="shared" si="244"/>
        <v>0</v>
      </c>
      <c r="DJ104" s="1297">
        <f t="shared" si="244"/>
        <v>0</v>
      </c>
      <c r="DK104" s="1297">
        <f t="shared" si="244"/>
        <v>0</v>
      </c>
      <c r="DL104" s="1297">
        <f t="shared" si="244"/>
        <v>0</v>
      </c>
      <c r="DM104" s="1297">
        <f t="shared" si="244"/>
        <v>0</v>
      </c>
      <c r="DN104" s="1297"/>
      <c r="DO104" s="1297">
        <f t="shared" si="245"/>
        <v>0</v>
      </c>
      <c r="DP104" s="1297">
        <f t="shared" si="245"/>
        <v>0</v>
      </c>
      <c r="DQ104" s="1297">
        <f t="shared" si="245"/>
        <v>0</v>
      </c>
      <c r="DR104" s="1297">
        <f t="shared" si="245"/>
        <v>0</v>
      </c>
      <c r="DS104" s="1297">
        <f t="shared" si="245"/>
        <v>0</v>
      </c>
      <c r="DT104" s="1297">
        <f t="shared" si="245"/>
        <v>0</v>
      </c>
      <c r="DU104" s="1297">
        <f t="shared" si="245"/>
        <v>0</v>
      </c>
      <c r="DV104" s="1297">
        <f t="shared" si="245"/>
        <v>0</v>
      </c>
      <c r="DW104" s="1297">
        <f t="shared" si="245"/>
        <v>0</v>
      </c>
      <c r="DX104" s="1297">
        <f t="shared" si="245"/>
        <v>0</v>
      </c>
      <c r="DY104" s="1297">
        <f t="shared" si="245"/>
        <v>0</v>
      </c>
      <c r="DZ104" s="1297">
        <f t="shared" si="245"/>
        <v>0</v>
      </c>
      <c r="EA104" s="1297"/>
      <c r="EB104" s="1297">
        <f t="shared" si="246"/>
        <v>0</v>
      </c>
      <c r="EC104" s="1297">
        <f t="shared" si="246"/>
        <v>0</v>
      </c>
      <c r="ED104" s="1297">
        <f t="shared" si="246"/>
        <v>0</v>
      </c>
      <c r="EE104" s="1297">
        <f t="shared" si="246"/>
        <v>0</v>
      </c>
      <c r="EF104" s="1297">
        <f t="shared" si="246"/>
        <v>0</v>
      </c>
      <c r="EG104" s="1297">
        <f t="shared" si="246"/>
        <v>0</v>
      </c>
      <c r="EH104" s="1297">
        <f t="shared" si="246"/>
        <v>0</v>
      </c>
      <c r="EI104" s="1297">
        <f t="shared" si="246"/>
        <v>0</v>
      </c>
      <c r="EJ104" s="1297">
        <f t="shared" si="246"/>
        <v>0</v>
      </c>
      <c r="EK104" s="1297">
        <f t="shared" si="246"/>
        <v>0</v>
      </c>
      <c r="EL104" s="1297">
        <f t="shared" si="246"/>
        <v>0</v>
      </c>
      <c r="EM104" s="1297">
        <f t="shared" si="246"/>
        <v>0</v>
      </c>
      <c r="EN104" s="1297"/>
      <c r="EO104" s="1297">
        <f t="shared" si="247"/>
        <v>0</v>
      </c>
      <c r="EP104" s="1297">
        <f t="shared" si="247"/>
        <v>0</v>
      </c>
      <c r="EQ104" s="1297">
        <f t="shared" si="247"/>
        <v>0</v>
      </c>
      <c r="ER104" s="1297">
        <f t="shared" si="247"/>
        <v>0</v>
      </c>
      <c r="ES104" s="1297">
        <f t="shared" si="247"/>
        <v>0</v>
      </c>
      <c r="ET104" s="1297">
        <f t="shared" si="247"/>
        <v>0</v>
      </c>
      <c r="EU104" s="1297">
        <f t="shared" si="247"/>
        <v>0</v>
      </c>
      <c r="EV104" s="1297">
        <f t="shared" si="247"/>
        <v>0</v>
      </c>
      <c r="EW104" s="1297">
        <f t="shared" si="247"/>
        <v>0</v>
      </c>
      <c r="EX104" s="1297">
        <f t="shared" si="247"/>
        <v>0</v>
      </c>
      <c r="EY104" s="1297">
        <f t="shared" si="247"/>
        <v>0</v>
      </c>
      <c r="EZ104" s="1297">
        <f t="shared" si="247"/>
        <v>0</v>
      </c>
      <c r="FA104" s="1297"/>
      <c r="FB104" s="1317">
        <f t="shared" si="182"/>
        <v>0</v>
      </c>
      <c r="FC104" s="1297">
        <f>FB104+DB104+EB104                 -         SUMIF('Nährstoffe und Lagerraum'!$AX$113:$AX$155,$CZ104,'Nährstoffe und Lagerraum'!$U$113:$U$155)/12  -$GD104*$HE104/12</f>
        <v>0</v>
      </c>
      <c r="FD104" s="1297">
        <f>FC104+DC104+EC104                 -         SUMIF('Nährstoffe und Lagerraum'!$AX$113:$AX$155,$CZ104,'Nährstoffe und Lagerraum'!$U$113:$U$155)/12  -$GD104*$HE104/12</f>
        <v>0</v>
      </c>
      <c r="FE104" s="1297">
        <f>FD104+DD104+ED104                 -         SUMIF('Nährstoffe und Lagerraum'!$AX$113:$AX$155,$CZ104,'Nährstoffe und Lagerraum'!$U$113:$U$155)/12  -$GD104*$HE104/12</f>
        <v>0</v>
      </c>
      <c r="FF104" s="1297">
        <f>FE104+DE104+EE104                 -         SUMIF('Nährstoffe und Lagerraum'!$AX$113:$AX$155,$CZ104,'Nährstoffe und Lagerraum'!$U$113:$U$155)/12  -$GD104*$HE104/12</f>
        <v>0</v>
      </c>
      <c r="FG104" s="1297">
        <f>FF104+DF104+EF104                 -         SUMIF('Nährstoffe und Lagerraum'!$AX$113:$AX$155,$CZ104,'Nährstoffe und Lagerraum'!$U$113:$U$155)/12  -$GD104*$HE104/12</f>
        <v>0</v>
      </c>
      <c r="FH104" s="1297">
        <f>FG104+DG104+EG104                 -         SUMIF('Nährstoffe und Lagerraum'!$AX$113:$AX$155,$CZ104,'Nährstoffe und Lagerraum'!$U$113:$U$155)/12  -$GD104*$HE104/12</f>
        <v>0</v>
      </c>
      <c r="FI104" s="1297">
        <f>FH104+DH104+EH104                 -         SUMIF('Nährstoffe und Lagerraum'!$AX$113:$AX$155,$CZ104,'Nährstoffe und Lagerraum'!$U$113:$U$155)/12  -$GD104*$HE104/12</f>
        <v>0</v>
      </c>
      <c r="FJ104" s="1297">
        <f>FI104+DI104+EI104                 -         SUMIF('Nährstoffe und Lagerraum'!$AX$113:$AX$155,$CZ104,'Nährstoffe und Lagerraum'!$U$113:$U$155)/12  -$GD104*$HE104/12</f>
        <v>0</v>
      </c>
      <c r="FK104" s="1297">
        <f>FJ104+DJ104+EJ104                 -         SUMIF('Nährstoffe und Lagerraum'!$AX$113:$AX$155,$CZ104,'Nährstoffe und Lagerraum'!$U$113:$U$155)/12  -$GD104*$HE104/12</f>
        <v>0</v>
      </c>
      <c r="FL104" s="1297">
        <f>FK104+DK104+EK104                 -         SUMIF('Nährstoffe und Lagerraum'!$AX$113:$AX$155,$CZ104,'Nährstoffe und Lagerraum'!$U$113:$U$155)/12  -$GD104*$HE104/12</f>
        <v>0</v>
      </c>
      <c r="FM104" s="1297">
        <f>FL104+DL104+EL104                 -         SUMIF('Nährstoffe und Lagerraum'!$AX$113:$AX$155,$CZ104,'Nährstoffe und Lagerraum'!$U$113:$U$155)/12  -$GD104*$HE104/12</f>
        <v>0</v>
      </c>
      <c r="FN104" s="1297">
        <f>FM104+DM104+EM104                 -         SUMIF('Nährstoffe und Lagerraum'!$AX$113:$AX$155,$CZ104,'Nährstoffe und Lagerraum'!$U$113:$U$155)/12  -$GD104*$HE104/12</f>
        <v>0</v>
      </c>
      <c r="FO104" s="1297"/>
      <c r="FP104" s="1317">
        <f t="shared" si="183"/>
        <v>0</v>
      </c>
      <c r="FQ104" s="1297">
        <f>FP104+DO104+EO104                 -         SUMIF('Nährstoffe und Lagerraum'!$AX$113:$AX$155,$CZ104,'Nährstoffe und Lagerraum'!$V$113:$V$155)/12  -$GE104*$HE104/12</f>
        <v>0</v>
      </c>
      <c r="FR104" s="1297">
        <f>FQ104+DP104+EP104                 -         SUMIF('Nährstoffe und Lagerraum'!$AX$113:$AX$155,$CZ104,'Nährstoffe und Lagerraum'!$V$113:$V$155)/12  -$GE104*$HE104/12</f>
        <v>0</v>
      </c>
      <c r="FS104" s="1297">
        <f>FR104+DQ104+EQ104                 -         SUMIF('Nährstoffe und Lagerraum'!$AX$113:$AX$155,$CZ104,'Nährstoffe und Lagerraum'!$V$113:$V$155)/12  -$GE104*$HE104/12</f>
        <v>0</v>
      </c>
      <c r="FT104" s="1297">
        <f>FS104+DR104+ER104                 -         SUMIF('Nährstoffe und Lagerraum'!$AX$113:$AX$155,$CZ104,'Nährstoffe und Lagerraum'!$V$113:$V$155)/12  -$GE104*$HE104/12</f>
        <v>0</v>
      </c>
      <c r="FU104" s="1297">
        <f>FT104+DS104+ES104                 -         SUMIF('Nährstoffe und Lagerraum'!$AX$113:$AX$155,$CZ104,'Nährstoffe und Lagerraum'!$V$113:$V$155)/12  -$GE104*$HE104/12</f>
        <v>0</v>
      </c>
      <c r="FV104" s="1297">
        <f>FU104+DT104+ET104                 -         SUMIF('Nährstoffe und Lagerraum'!$AX$113:$AX$155,$CZ104,'Nährstoffe und Lagerraum'!$V$113:$V$155)/12  -$GE104*$HE104/12</f>
        <v>0</v>
      </c>
      <c r="FW104" s="1297">
        <f>FV104+DU104+EU104                 -         SUMIF('Nährstoffe und Lagerraum'!$AX$113:$AX$155,$CZ104,'Nährstoffe und Lagerraum'!$V$113:$V$155)/12  -$GE104*$HE104/12</f>
        <v>0</v>
      </c>
      <c r="FX104" s="1297">
        <f>FW104+DV104+EV104                 -         SUMIF('Nährstoffe und Lagerraum'!$AX$113:$AX$155,$CZ104,'Nährstoffe und Lagerraum'!$V$113:$V$155)/12  -$GE104*$HE104/12</f>
        <v>0</v>
      </c>
      <c r="FY104" s="1297">
        <f>FX104+DW104+EW104                 -         SUMIF('Nährstoffe und Lagerraum'!$AX$113:$AX$155,$CZ104,'Nährstoffe und Lagerraum'!$V$113:$V$155)/12  -$GE104*$HE104/12</f>
        <v>0</v>
      </c>
      <c r="FZ104" s="1297">
        <f>FY104+DX104+EX104                 -         SUMIF('Nährstoffe und Lagerraum'!$AX$113:$AX$155,$CZ104,'Nährstoffe und Lagerraum'!$V$113:$V$155)/12  -$GE104*$HE104/12</f>
        <v>0</v>
      </c>
      <c r="GA104" s="1297">
        <f>FZ104+DY104+EY104                 -         SUMIF('Nährstoffe und Lagerraum'!$AX$113:$AX$155,$CZ104,'Nährstoffe und Lagerraum'!$V$113:$V$155)/12  -$GE104*$HE104/12</f>
        <v>0</v>
      </c>
      <c r="GB104" s="1297">
        <f>GA104+DZ104+EZ104                 -         SUMIF('Nährstoffe und Lagerraum'!$AX$113:$AX$155,$CZ104,'Nährstoffe und Lagerraum'!$V$113:$V$155)/12  -$GE104*$HE104/12</f>
        <v>0</v>
      </c>
      <c r="GC104" s="1297"/>
      <c r="GD104" s="1297">
        <f>SUMIFS($CI$14:$CI$68,$BR$14:$BR$68,$CZ104)+SUMIFS($CM$14:$CM$68,$BR$14:$BR$68,$CZ104)+SUMIFS($CR$14:$CR$68,$BR$14:$BR$68,$CZ104)  -         SUMIF('Nährstoffe und Lagerraum'!$AX$113:$AX$155,$CZ104,'Nährstoffe und Lagerraum'!$U$113:$U$155)</f>
        <v>0</v>
      </c>
      <c r="GE104" s="1297">
        <f>SUMIFS($CJ$14:$CJ$68,$BR$14:$BR$68,$CZ104)+SUMIFS($CO$14:$CO$68,$BR$14:$BR$68,$CZ104)+SUMIFS($CT$14:$CT$68,$BR$14:$BR$68,$CZ104)  -         SUMIF('Nährstoffe und Lagerraum'!$AX$113:$AX$155,$CZ104,'Nährstoffe und Lagerraum'!$V$113:$V$155)</f>
        <v>0</v>
      </c>
      <c r="GF104" s="1297"/>
      <c r="GG104" s="1297"/>
      <c r="GH104" s="1297">
        <f>SUMIF('Nährstoffe und Lagerraum'!$AX$113:$AX$155,$CZ104,'Nährstoffe und Lagerraum'!$U$113:$U$155)</f>
        <v>0</v>
      </c>
      <c r="GI104" s="1184">
        <f>SUMIF('Nährstoffe und Lagerraum'!$AX$113:$AX$155,$CZ104,'Nährstoffe und Lagerraum'!$V$113:$V$155)</f>
        <v>0</v>
      </c>
      <c r="GJ104" s="1297">
        <f t="shared" si="221"/>
        <v>0</v>
      </c>
      <c r="GK104" s="1297">
        <f t="shared" si="222"/>
        <v>0</v>
      </c>
      <c r="GL104" s="1297">
        <f t="shared" si="223"/>
        <v>0</v>
      </c>
      <c r="GM104" s="1297">
        <f t="shared" si="224"/>
        <v>0</v>
      </c>
      <c r="GN104" s="1297">
        <f t="shared" si="225"/>
        <v>0</v>
      </c>
      <c r="GO104" s="1297" cm="1">
        <f t="array" ref="GO104">IF(GN104=0,0,(IFERROR(SUMPRODUCT($J$14:$J$68,$CH$14:$CH$68,($BR$14:$BR$68=CZ104)*1)+SUMPRODUCT($L$14:$L$68,$M$14:$M$68,$CK$14:$CK$68,($BR$14:$BR$68=CZ104)*1,($BT$14:$BT$68=FALSE)*1)/10+SUMPRODUCT($R$14:$R$68,$CP$14:$CP$68,($BR$14:$BR$68=CZ104)*1),0))/GN104)</f>
        <v>0</v>
      </c>
      <c r="GP104" s="1297">
        <f t="shared" si="226"/>
        <v>0</v>
      </c>
      <c r="GQ104" s="1297">
        <f>(SUMIF('Nährstoffe und Lagerraum'!$AX$113:$AX$130,'Lagerhaltung (freiwillig)'!CZ104,'Nährstoffe und Lagerraum'!$D$113:$D$130)+SUMIF('Nährstoffe und Lagerraum'!$AX$137:$AX$155,'Lagerhaltung (freiwillig)'!CZ104,'Nährstoffe und Lagerraum'!$E$137:$E$155))</f>
        <v>0</v>
      </c>
      <c r="GR104" s="1297" cm="1">
        <f t="array" ref="GR104">IF(GQ104=0,0,(IFERROR(SUMPRODUCT('Nährstoffe und Lagerraum'!$D$113:$D$130,'Nährstoffe und Lagerraum'!$F$113:$F$130,('Nährstoffe und Lagerraum'!$AX$113:$AX$130='Lagerhaltung (freiwillig)'!CZ104)*1)+SUMPRODUCT('Nährstoffe und Lagerraum'!$E$137:$E$155,'Nährstoffe und Lagerraum'!$F$137:$F$155,('Nährstoffe und Lagerraum'!$AX$137:$AX$155='Lagerhaltung (freiwillig)'!CZ104)*1),0))/GQ104)</f>
        <v>0</v>
      </c>
      <c r="GS104" s="1297">
        <f t="shared" si="227"/>
        <v>0</v>
      </c>
      <c r="GT104" s="1297">
        <f t="shared" si="228"/>
        <v>0</v>
      </c>
      <c r="GU104" s="1297">
        <f t="shared" si="229"/>
        <v>0</v>
      </c>
      <c r="GV104" s="1297">
        <f t="shared" si="230"/>
        <v>0</v>
      </c>
      <c r="GW104" s="1317" t="str">
        <f t="shared" si="177"/>
        <v xml:space="preserve"> </v>
      </c>
      <c r="GX104" s="1317" t="str">
        <f t="shared" si="177"/>
        <v xml:space="preserve"> </v>
      </c>
      <c r="GY104" s="1868">
        <f t="shared" si="231"/>
        <v>0</v>
      </c>
      <c r="GZ104" s="1297">
        <f t="shared" si="232"/>
        <v>0</v>
      </c>
      <c r="HA104" s="1297" t="str">
        <f t="shared" si="176"/>
        <v>a</v>
      </c>
      <c r="HB104" s="1318">
        <f t="shared" si="233"/>
        <v>0</v>
      </c>
      <c r="HC104" s="1318">
        <f t="shared" si="234"/>
        <v>0</v>
      </c>
      <c r="HD104" s="1318"/>
      <c r="HE104" s="1869">
        <f t="shared" si="235"/>
        <v>0</v>
      </c>
      <c r="HF104" s="1318">
        <f t="shared" si="236"/>
        <v>0</v>
      </c>
      <c r="HG104" s="1318">
        <f t="shared" si="237"/>
        <v>0</v>
      </c>
      <c r="HH104" s="1318">
        <f t="shared" si="238"/>
        <v>0</v>
      </c>
      <c r="HI104" s="1330" cm="1">
        <f t="array" ref="HI104">IF(AND(HG104=0,GL104=0),0,IF(HG104=0,1,IF(OR(GL104*1000/HG104/HH104&gt;INDEX(Pflanzen!$W$5:$W$104,CZ104)/INDEX(Pflanzen!$I$5:$I$104,CZ104)*$HI$2,GL104*1000/HG104/HH104&lt;INDEX(Pflanzen!$W$5:$W$104,CZ104)/INDEX(Pflanzen!$I$5:$I$104,CZ104)/$HI$2),1,0)))</f>
        <v>0</v>
      </c>
      <c r="HJ104" s="1330" cm="1">
        <f t="array" ref="HJ104">IF(AND(GM104=0,HG104=0),0,IF(HG104=0,1,IF(OR(GM104*1000/HG104/HH104&gt;INDEX(Pflanzen!$X$5:$X$104,CZ104)/INDEX(Pflanzen!$I$5:$I$104,CZ104)*$HI$2,GM104*1000/HG104/HH104&lt;INDEX(Pflanzen!$X$5:$X$104,CZ104)/INDEX(Pflanzen!$I$5:$I$104,CZ104)/$HI$2),1,0)))</f>
        <v>0</v>
      </c>
      <c r="HK104" s="1297">
        <f t="shared" si="239"/>
        <v>3</v>
      </c>
      <c r="HL104" s="1297"/>
      <c r="HN104" s="1184"/>
      <c r="HO104" s="1184"/>
      <c r="HP104" s="1184"/>
      <c r="HQ104" s="1184"/>
      <c r="HR104" s="1184"/>
      <c r="HS104" s="1184"/>
      <c r="HT104" s="1184"/>
      <c r="HU104" s="1184"/>
      <c r="HV104" s="1184"/>
      <c r="HW104" s="1184"/>
      <c r="HX104" s="1184"/>
      <c r="HY104" s="1184"/>
      <c r="HZ104" s="1184"/>
      <c r="IA104" s="1184"/>
      <c r="IB104" s="1184"/>
      <c r="IC104" s="1184"/>
      <c r="ID104" s="1184"/>
      <c r="IE104" s="1184"/>
      <c r="IF104" s="1184"/>
      <c r="IG104" s="1184"/>
      <c r="IH104" s="1184"/>
      <c r="II104" s="1184"/>
      <c r="IJ104" s="1184"/>
      <c r="IK104" s="1184"/>
      <c r="IL104" s="1184"/>
    </row>
    <row r="105" spans="1:246" ht="15" customHeight="1" x14ac:dyDescent="0.2">
      <c r="G105" s="1174" t="str">
        <f>IF(AND(BZ112=1,BZ113=1),CONCATENATE("Leistung ",CE112," ",BY112,"; Leistung ",CE113," ",BY113),IF(BZ112=1,CONCATENATE("Leistung ",CE112," ",BY112),IF(BZ113=1,CONCATENATE("Leistung ",CE113," ",BY113),"")))</f>
        <v/>
      </c>
      <c r="Y105" s="1981"/>
      <c r="Z105" s="1982"/>
      <c r="AA105" s="1982"/>
      <c r="AB105" s="1982"/>
      <c r="AC105" s="1983"/>
      <c r="AD105" s="1983"/>
      <c r="AE105" s="1983"/>
      <c r="AF105" s="1983"/>
      <c r="AG105" s="1983"/>
      <c r="AH105" s="1983"/>
      <c r="AI105" s="1983"/>
      <c r="AJ105" s="1983"/>
      <c r="AK105" s="1983"/>
      <c r="AL105" s="1984"/>
      <c r="AM105" s="1983"/>
      <c r="AN105" s="1983"/>
      <c r="AO105" s="1983"/>
      <c r="AP105" s="1983"/>
      <c r="AQ105" s="1983"/>
      <c r="AR105" s="1983"/>
      <c r="AS105" s="1983"/>
      <c r="AT105" s="1983"/>
      <c r="AU105" s="1983"/>
      <c r="AV105" s="1983"/>
      <c r="AW105" s="1985"/>
      <c r="AX105" s="1985"/>
      <c r="AY105" s="1985"/>
      <c r="AZ105" s="1985"/>
      <c r="BA105" s="1462"/>
      <c r="BB105" s="1462"/>
      <c r="BC105" s="1462"/>
      <c r="BD105" s="1461"/>
      <c r="BE105" s="1462"/>
      <c r="BF105" s="1343"/>
      <c r="BG105" s="1343"/>
      <c r="BH105" s="1343"/>
      <c r="BI105" s="1343"/>
      <c r="BJ105" s="1343"/>
      <c r="BK105" s="1343"/>
      <c r="BL105" s="1343"/>
      <c r="BM105" s="1343"/>
      <c r="BN105" s="1343"/>
      <c r="BO105" s="1343"/>
      <c r="BQ105" s="1184"/>
      <c r="BR105" s="1184"/>
      <c r="BS105" s="1184"/>
      <c r="BT105" s="1184"/>
      <c r="BU105" s="1200"/>
      <c r="BV105" s="1200"/>
      <c r="BW105" s="1207">
        <v>1</v>
      </c>
      <c r="BX105" s="1187">
        <v>1</v>
      </c>
      <c r="BY105" s="1184"/>
      <c r="BZ105" s="1184" t="s">
        <v>8339</v>
      </c>
      <c r="CC105" s="1184">
        <f>IF(OR(CA101&lt;CA100-CA104,CA101&gt;CA100+CA104,CB101&lt;CB100-CB104,CB101&gt;CB100+CB104,CC101&lt;CC100-CC104,CC101&gt;CC100+CC104,CD101&lt;CD100-CD104,CD101&gt;CD100+CD104),2,1)</f>
        <v>1</v>
      </c>
      <c r="CE105" s="1184"/>
      <c r="CF105" s="1184"/>
      <c r="CG105" s="1184"/>
      <c r="CH105" s="1184"/>
      <c r="CI105" s="1184"/>
      <c r="CJ105" s="1184"/>
      <c r="CK105" s="1184"/>
      <c r="CL105" s="1184"/>
      <c r="CM105" s="1184"/>
      <c r="CN105" s="1184"/>
      <c r="CO105" s="1184"/>
      <c r="CP105" s="1184"/>
      <c r="CQ105" s="1184"/>
      <c r="CR105" s="1184"/>
      <c r="CS105" s="1184"/>
      <c r="CT105" s="1184"/>
      <c r="CU105" s="1184"/>
      <c r="CV105" s="1184"/>
      <c r="CW105" s="1184"/>
      <c r="CX105" s="1184"/>
      <c r="CY105" s="320" t="str">
        <f>Pflanzen!A101</f>
        <v xml:space="preserve"> +++Geflügel, nur Zukauf+++</v>
      </c>
      <c r="CZ105" s="1867">
        <f>IFERROR(MATCH($CY105,Pflanzen!$C$5:$C$114,0),1)</f>
        <v>91</v>
      </c>
      <c r="DA105" s="1364" cm="1">
        <f t="array" ref="DA105">INDEX(Pflanzen!$H$5:$H$114,'Lagerhaltung (freiwillig)'!CZ105)</f>
        <v>0</v>
      </c>
      <c r="DB105" s="1867">
        <f t="shared" si="244"/>
        <v>0</v>
      </c>
      <c r="DC105" s="1867">
        <f t="shared" si="244"/>
        <v>0</v>
      </c>
      <c r="DD105" s="1867">
        <f t="shared" si="244"/>
        <v>0</v>
      </c>
      <c r="DE105" s="1867">
        <f t="shared" si="244"/>
        <v>0</v>
      </c>
      <c r="DF105" s="1867">
        <f t="shared" si="244"/>
        <v>0</v>
      </c>
      <c r="DG105" s="1297">
        <f t="shared" si="244"/>
        <v>0</v>
      </c>
      <c r="DH105" s="1297">
        <f t="shared" si="244"/>
        <v>0</v>
      </c>
      <c r="DI105" s="1297">
        <f t="shared" si="244"/>
        <v>0</v>
      </c>
      <c r="DJ105" s="1297">
        <f t="shared" si="244"/>
        <v>0</v>
      </c>
      <c r="DK105" s="1297">
        <f t="shared" si="244"/>
        <v>0</v>
      </c>
      <c r="DL105" s="1297">
        <f t="shared" si="244"/>
        <v>0</v>
      </c>
      <c r="DM105" s="1297">
        <f t="shared" si="244"/>
        <v>0</v>
      </c>
      <c r="DN105" s="1297"/>
      <c r="DO105" s="1297">
        <f t="shared" si="245"/>
        <v>0</v>
      </c>
      <c r="DP105" s="1297">
        <f t="shared" si="245"/>
        <v>0</v>
      </c>
      <c r="DQ105" s="1297">
        <f t="shared" si="245"/>
        <v>0</v>
      </c>
      <c r="DR105" s="1297">
        <f t="shared" si="245"/>
        <v>0</v>
      </c>
      <c r="DS105" s="1297">
        <f t="shared" si="245"/>
        <v>0</v>
      </c>
      <c r="DT105" s="1297">
        <f t="shared" si="245"/>
        <v>0</v>
      </c>
      <c r="DU105" s="1297">
        <f t="shared" si="245"/>
        <v>0</v>
      </c>
      <c r="DV105" s="1297">
        <f t="shared" si="245"/>
        <v>0</v>
      </c>
      <c r="DW105" s="1297">
        <f t="shared" si="245"/>
        <v>0</v>
      </c>
      <c r="DX105" s="1297">
        <f t="shared" si="245"/>
        <v>0</v>
      </c>
      <c r="DY105" s="1297">
        <f t="shared" si="245"/>
        <v>0</v>
      </c>
      <c r="DZ105" s="1297">
        <f t="shared" si="245"/>
        <v>0</v>
      </c>
      <c r="EA105" s="1297"/>
      <c r="EB105" s="1297">
        <f t="shared" si="246"/>
        <v>0</v>
      </c>
      <c r="EC105" s="1297">
        <f t="shared" si="246"/>
        <v>0</v>
      </c>
      <c r="ED105" s="1297">
        <f t="shared" si="246"/>
        <v>0</v>
      </c>
      <c r="EE105" s="1297">
        <f t="shared" si="246"/>
        <v>0</v>
      </c>
      <c r="EF105" s="1297">
        <f t="shared" si="246"/>
        <v>0</v>
      </c>
      <c r="EG105" s="1297">
        <f t="shared" si="246"/>
        <v>0</v>
      </c>
      <c r="EH105" s="1297">
        <f t="shared" si="246"/>
        <v>0</v>
      </c>
      <c r="EI105" s="1297">
        <f t="shared" si="246"/>
        <v>0</v>
      </c>
      <c r="EJ105" s="1297">
        <f t="shared" si="246"/>
        <v>0</v>
      </c>
      <c r="EK105" s="1297">
        <f t="shared" si="246"/>
        <v>0</v>
      </c>
      <c r="EL105" s="1297">
        <f t="shared" si="246"/>
        <v>0</v>
      </c>
      <c r="EM105" s="1297">
        <f t="shared" si="246"/>
        <v>0</v>
      </c>
      <c r="EN105" s="1297"/>
      <c r="EO105" s="1297">
        <f t="shared" si="247"/>
        <v>0</v>
      </c>
      <c r="EP105" s="1297">
        <f t="shared" si="247"/>
        <v>0</v>
      </c>
      <c r="EQ105" s="1297">
        <f t="shared" si="247"/>
        <v>0</v>
      </c>
      <c r="ER105" s="1297">
        <f t="shared" si="247"/>
        <v>0</v>
      </c>
      <c r="ES105" s="1297">
        <f t="shared" si="247"/>
        <v>0</v>
      </c>
      <c r="ET105" s="1297">
        <f t="shared" si="247"/>
        <v>0</v>
      </c>
      <c r="EU105" s="1297">
        <f t="shared" si="247"/>
        <v>0</v>
      </c>
      <c r="EV105" s="1297">
        <f t="shared" si="247"/>
        <v>0</v>
      </c>
      <c r="EW105" s="1297">
        <f t="shared" si="247"/>
        <v>0</v>
      </c>
      <c r="EX105" s="1297">
        <f t="shared" si="247"/>
        <v>0</v>
      </c>
      <c r="EY105" s="1297">
        <f t="shared" si="247"/>
        <v>0</v>
      </c>
      <c r="EZ105" s="1297">
        <f t="shared" si="247"/>
        <v>0</v>
      </c>
      <c r="FA105" s="1297"/>
      <c r="FB105" s="1317">
        <f t="shared" si="182"/>
        <v>0</v>
      </c>
      <c r="FC105" s="1297">
        <f>FB105+DB105+EB105                 -         SUMIF('Nährstoffe und Lagerraum'!$AX$113:$AX$155,$CZ105,'Nährstoffe und Lagerraum'!$U$113:$U$155)/12  -$GD105*$HE105/12</f>
        <v>0</v>
      </c>
      <c r="FD105" s="1297">
        <f>FC105+DC105+EC105                 -         SUMIF('Nährstoffe und Lagerraum'!$AX$113:$AX$155,$CZ105,'Nährstoffe und Lagerraum'!$U$113:$U$155)/12  -$GD105*$HE105/12</f>
        <v>0</v>
      </c>
      <c r="FE105" s="1297">
        <f>FD105+DD105+ED105                 -         SUMIF('Nährstoffe und Lagerraum'!$AX$113:$AX$155,$CZ105,'Nährstoffe und Lagerraum'!$U$113:$U$155)/12  -$GD105*$HE105/12</f>
        <v>0</v>
      </c>
      <c r="FF105" s="1297">
        <f>FE105+DE105+EE105                 -         SUMIF('Nährstoffe und Lagerraum'!$AX$113:$AX$155,$CZ105,'Nährstoffe und Lagerraum'!$U$113:$U$155)/12  -$GD105*$HE105/12</f>
        <v>0</v>
      </c>
      <c r="FG105" s="1297">
        <f>FF105+DF105+EF105                 -         SUMIF('Nährstoffe und Lagerraum'!$AX$113:$AX$155,$CZ105,'Nährstoffe und Lagerraum'!$U$113:$U$155)/12  -$GD105*$HE105/12</f>
        <v>0</v>
      </c>
      <c r="FH105" s="1297">
        <f>FG105+DG105+EG105                 -         SUMIF('Nährstoffe und Lagerraum'!$AX$113:$AX$155,$CZ105,'Nährstoffe und Lagerraum'!$U$113:$U$155)/12  -$GD105*$HE105/12</f>
        <v>0</v>
      </c>
      <c r="FI105" s="1297">
        <f>FH105+DH105+EH105                 -         SUMIF('Nährstoffe und Lagerraum'!$AX$113:$AX$155,$CZ105,'Nährstoffe und Lagerraum'!$U$113:$U$155)/12  -$GD105*$HE105/12</f>
        <v>0</v>
      </c>
      <c r="FJ105" s="1297">
        <f>FI105+DI105+EI105                 -         SUMIF('Nährstoffe und Lagerraum'!$AX$113:$AX$155,$CZ105,'Nährstoffe und Lagerraum'!$U$113:$U$155)/12  -$GD105*$HE105/12</f>
        <v>0</v>
      </c>
      <c r="FK105" s="1297">
        <f>FJ105+DJ105+EJ105                 -         SUMIF('Nährstoffe und Lagerraum'!$AX$113:$AX$155,$CZ105,'Nährstoffe und Lagerraum'!$U$113:$U$155)/12  -$GD105*$HE105/12</f>
        <v>0</v>
      </c>
      <c r="FL105" s="1297">
        <f>FK105+DK105+EK105                 -         SUMIF('Nährstoffe und Lagerraum'!$AX$113:$AX$155,$CZ105,'Nährstoffe und Lagerraum'!$U$113:$U$155)/12  -$GD105*$HE105/12</f>
        <v>0</v>
      </c>
      <c r="FM105" s="1297">
        <f>FL105+DL105+EL105                 -         SUMIF('Nährstoffe und Lagerraum'!$AX$113:$AX$155,$CZ105,'Nährstoffe und Lagerraum'!$U$113:$U$155)/12  -$GD105*$HE105/12</f>
        <v>0</v>
      </c>
      <c r="FN105" s="1297">
        <f>FM105+DM105+EM105                 -         SUMIF('Nährstoffe und Lagerraum'!$AX$113:$AX$155,$CZ105,'Nährstoffe und Lagerraum'!$U$113:$U$155)/12  -$GD105*$HE105/12</f>
        <v>0</v>
      </c>
      <c r="FO105" s="1297"/>
      <c r="FP105" s="1317">
        <f t="shared" si="183"/>
        <v>0</v>
      </c>
      <c r="FQ105" s="1297">
        <f>FP105+DO105+EO105                 -         SUMIF('Nährstoffe und Lagerraum'!$AX$113:$AX$155,$CZ105,'Nährstoffe und Lagerraum'!$V$113:$V$155)/12  -$GE105*$HE105/12</f>
        <v>0</v>
      </c>
      <c r="FR105" s="1297">
        <f>FQ105+DP105+EP105                 -         SUMIF('Nährstoffe und Lagerraum'!$AX$113:$AX$155,$CZ105,'Nährstoffe und Lagerraum'!$V$113:$V$155)/12  -$GE105*$HE105/12</f>
        <v>0</v>
      </c>
      <c r="FS105" s="1297">
        <f>FR105+DQ105+EQ105                 -         SUMIF('Nährstoffe und Lagerraum'!$AX$113:$AX$155,$CZ105,'Nährstoffe und Lagerraum'!$V$113:$V$155)/12  -$GE105*$HE105/12</f>
        <v>0</v>
      </c>
      <c r="FT105" s="1297">
        <f>FS105+DR105+ER105                 -         SUMIF('Nährstoffe und Lagerraum'!$AX$113:$AX$155,$CZ105,'Nährstoffe und Lagerraum'!$V$113:$V$155)/12  -$GE105*$HE105/12</f>
        <v>0</v>
      </c>
      <c r="FU105" s="1297">
        <f>FT105+DS105+ES105                 -         SUMIF('Nährstoffe und Lagerraum'!$AX$113:$AX$155,$CZ105,'Nährstoffe und Lagerraum'!$V$113:$V$155)/12  -$GE105*$HE105/12</f>
        <v>0</v>
      </c>
      <c r="FV105" s="1297">
        <f>FU105+DT105+ET105                 -         SUMIF('Nährstoffe und Lagerraum'!$AX$113:$AX$155,$CZ105,'Nährstoffe und Lagerraum'!$V$113:$V$155)/12  -$GE105*$HE105/12</f>
        <v>0</v>
      </c>
      <c r="FW105" s="1297">
        <f>FV105+DU105+EU105                 -         SUMIF('Nährstoffe und Lagerraum'!$AX$113:$AX$155,$CZ105,'Nährstoffe und Lagerraum'!$V$113:$V$155)/12  -$GE105*$HE105/12</f>
        <v>0</v>
      </c>
      <c r="FX105" s="1297">
        <f>FW105+DV105+EV105                 -         SUMIF('Nährstoffe und Lagerraum'!$AX$113:$AX$155,$CZ105,'Nährstoffe und Lagerraum'!$V$113:$V$155)/12  -$GE105*$HE105/12</f>
        <v>0</v>
      </c>
      <c r="FY105" s="1297">
        <f>FX105+DW105+EW105                 -         SUMIF('Nährstoffe und Lagerraum'!$AX$113:$AX$155,$CZ105,'Nährstoffe und Lagerraum'!$V$113:$V$155)/12  -$GE105*$HE105/12</f>
        <v>0</v>
      </c>
      <c r="FZ105" s="1297">
        <f>FY105+DX105+EX105                 -         SUMIF('Nährstoffe und Lagerraum'!$AX$113:$AX$155,$CZ105,'Nährstoffe und Lagerraum'!$V$113:$V$155)/12  -$GE105*$HE105/12</f>
        <v>0</v>
      </c>
      <c r="GA105" s="1297">
        <f>FZ105+DY105+EY105                 -         SUMIF('Nährstoffe und Lagerraum'!$AX$113:$AX$155,$CZ105,'Nährstoffe und Lagerraum'!$V$113:$V$155)/12  -$GE105*$HE105/12</f>
        <v>0</v>
      </c>
      <c r="GB105" s="1297">
        <f>GA105+DZ105+EZ105                 -         SUMIF('Nährstoffe und Lagerraum'!$AX$113:$AX$155,$CZ105,'Nährstoffe und Lagerraum'!$V$113:$V$155)/12  -$GE105*$HE105/12</f>
        <v>0</v>
      </c>
      <c r="GC105" s="1297"/>
      <c r="GD105" s="1297">
        <f>SUMIFS($CI$14:$CI$68,$BR$14:$BR$68,$CZ105)+SUMIFS($CM$14:$CM$68,$BR$14:$BR$68,$CZ105)+SUMIFS($CR$14:$CR$68,$BR$14:$BR$68,$CZ105)  -         SUMIF('Nährstoffe und Lagerraum'!$AX$113:$AX$155,$CZ105,'Nährstoffe und Lagerraum'!$U$113:$U$155)</f>
        <v>0</v>
      </c>
      <c r="GE105" s="1297">
        <f>SUMIFS($CJ$14:$CJ$68,$BR$14:$BR$68,$CZ105)+SUMIFS($CO$14:$CO$68,$BR$14:$BR$68,$CZ105)+SUMIFS($CT$14:$CT$68,$BR$14:$BR$68,$CZ105)  -         SUMIF('Nährstoffe und Lagerraum'!$AX$113:$AX$155,$CZ105,'Nährstoffe und Lagerraum'!$V$113:$V$155)</f>
        <v>0</v>
      </c>
      <c r="GF105" s="1297"/>
      <c r="GG105" s="1297"/>
      <c r="GH105" s="1297">
        <f>SUMIF('Nährstoffe und Lagerraum'!$AX$113:$AX$155,$CZ105,'Nährstoffe und Lagerraum'!$U$113:$U$155)</f>
        <v>0</v>
      </c>
      <c r="GI105" s="1184">
        <f>SUMIF('Nährstoffe und Lagerraum'!$AX$113:$AX$155,$CZ105,'Nährstoffe und Lagerraum'!$V$113:$V$155)</f>
        <v>0</v>
      </c>
      <c r="GJ105" s="1297">
        <f t="shared" si="221"/>
        <v>0</v>
      </c>
      <c r="GK105" s="1297">
        <f t="shared" si="222"/>
        <v>0</v>
      </c>
      <c r="GL105" s="1297">
        <f t="shared" si="223"/>
        <v>0</v>
      </c>
      <c r="GM105" s="1297">
        <f t="shared" si="224"/>
        <v>0</v>
      </c>
      <c r="GN105" s="1297">
        <f t="shared" si="225"/>
        <v>0</v>
      </c>
      <c r="GO105" s="1297" cm="1">
        <f t="array" ref="GO105">IF(GN105=0,0,(IFERROR(SUMPRODUCT($J$14:$J$68,$CH$14:$CH$68,($BR$14:$BR$68=CZ105)*1)+SUMPRODUCT($L$14:$L$68,$M$14:$M$68,$CK$14:$CK$68,($BR$14:$BR$68=CZ105)*1,($BT$14:$BT$68=FALSE)*1)/10+SUMPRODUCT($R$14:$R$68,$CP$14:$CP$68,($BR$14:$BR$68=CZ105)*1),0))/GN105)</f>
        <v>0</v>
      </c>
      <c r="GP105" s="1297">
        <f t="shared" si="226"/>
        <v>0</v>
      </c>
      <c r="GQ105" s="1297">
        <f>(SUMIF('Nährstoffe und Lagerraum'!$AX$113:$AX$130,'Lagerhaltung (freiwillig)'!CZ105,'Nährstoffe und Lagerraum'!$D$113:$D$130)+SUMIF('Nährstoffe und Lagerraum'!$AX$137:$AX$155,'Lagerhaltung (freiwillig)'!CZ105,'Nährstoffe und Lagerraum'!$E$137:$E$155))</f>
        <v>0</v>
      </c>
      <c r="GR105" s="1297" cm="1">
        <f t="array" ref="GR105">IF(GQ105=0,0,(IFERROR(SUMPRODUCT('Nährstoffe und Lagerraum'!$D$113:$D$130,'Nährstoffe und Lagerraum'!$F$113:$F$130,('Nährstoffe und Lagerraum'!$AX$113:$AX$130='Lagerhaltung (freiwillig)'!CZ105)*1)+SUMPRODUCT('Nährstoffe und Lagerraum'!$E$137:$E$155,'Nährstoffe und Lagerraum'!$F$137:$F$155,('Nährstoffe und Lagerraum'!$AX$137:$AX$155='Lagerhaltung (freiwillig)'!CZ105)*1),0))/GQ105)</f>
        <v>0</v>
      </c>
      <c r="GS105" s="1297">
        <f t="shared" si="227"/>
        <v>0</v>
      </c>
      <c r="GT105" s="1297">
        <f t="shared" si="228"/>
        <v>0</v>
      </c>
      <c r="GU105" s="1297">
        <f t="shared" si="229"/>
        <v>0</v>
      </c>
      <c r="GV105" s="1297">
        <f t="shared" si="230"/>
        <v>0</v>
      </c>
      <c r="GW105" s="1317" t="str">
        <f t="shared" si="177"/>
        <v xml:space="preserve"> </v>
      </c>
      <c r="GX105" s="1317" t="str">
        <f t="shared" si="177"/>
        <v xml:space="preserve"> </v>
      </c>
      <c r="GY105" s="1868">
        <f t="shared" si="231"/>
        <v>0</v>
      </c>
      <c r="GZ105" s="1297">
        <f t="shared" si="232"/>
        <v>0</v>
      </c>
      <c r="HA105" s="1297" t="str">
        <f t="shared" ref="HA105:HA136" si="251">IF(HK105=3,"a",VLOOKUP(CY105,$Y$13:$AZ$131,COLUMN($AZ$1)-COLUMN($Y$1)+1,FALSE))</f>
        <v>a</v>
      </c>
      <c r="HB105" s="1318">
        <f t="shared" si="233"/>
        <v>0</v>
      </c>
      <c r="HC105" s="1318">
        <f t="shared" si="234"/>
        <v>0</v>
      </c>
      <c r="HD105" s="1318"/>
      <c r="HE105" s="1869">
        <f t="shared" si="235"/>
        <v>0</v>
      </c>
      <c r="HF105" s="1318">
        <f t="shared" si="236"/>
        <v>0</v>
      </c>
      <c r="HG105" s="1318">
        <f t="shared" si="237"/>
        <v>0</v>
      </c>
      <c r="HH105" s="1318">
        <f t="shared" si="238"/>
        <v>0</v>
      </c>
      <c r="HI105" s="1330" cm="1">
        <f t="array" ref="HI105">IF(AND(HG105=0,GL105=0),0,IF(HG105=0,1,IF(OR(GL105*1000/HG105/HH105&gt;INDEX(Pflanzen!$W$5:$W$104,CZ105)/INDEX(Pflanzen!$I$5:$I$104,CZ105)*$HI$2,GL105*1000/HG105/HH105&lt;INDEX(Pflanzen!$W$5:$W$104,CZ105)/INDEX(Pflanzen!$I$5:$I$104,CZ105)/$HI$2),1,0)))</f>
        <v>0</v>
      </c>
      <c r="HJ105" s="1330" cm="1">
        <f t="array" ref="HJ105">IF(AND(GM105=0,HG105=0),0,IF(HG105=0,1,IF(OR(GM105*1000/HG105/HH105&gt;INDEX(Pflanzen!$X$5:$X$104,CZ105)/INDEX(Pflanzen!$I$5:$I$104,CZ105)*$HI$2,GM105*1000/HG105/HH105&lt;INDEX(Pflanzen!$X$5:$X$104,CZ105)/INDEX(Pflanzen!$I$5:$I$104,CZ105)/$HI$2),1,0)))</f>
        <v>0</v>
      </c>
      <c r="HK105" s="1297">
        <f t="shared" si="239"/>
        <v>3</v>
      </c>
      <c r="HL105" s="1297"/>
      <c r="HN105" s="1184"/>
      <c r="HO105" s="1184"/>
      <c r="HP105" s="1184"/>
      <c r="HQ105" s="1184"/>
      <c r="HR105" s="1184"/>
      <c r="HS105" s="1184"/>
      <c r="HT105" s="1184"/>
      <c r="HU105" s="1184"/>
      <c r="HV105" s="1184"/>
      <c r="HW105" s="1184"/>
      <c r="HX105" s="1184"/>
      <c r="HY105" s="1184"/>
      <c r="HZ105" s="1184"/>
      <c r="IA105" s="1184"/>
      <c r="IB105" s="1184"/>
      <c r="IC105" s="1184"/>
      <c r="ID105" s="1184"/>
      <c r="IE105" s="1184"/>
      <c r="IF105" s="1184"/>
      <c r="IG105" s="1184"/>
      <c r="IH105" s="1184"/>
      <c r="II105" s="1184"/>
      <c r="IJ105" s="1184"/>
      <c r="IK105" s="1184"/>
      <c r="IL105" s="1184"/>
    </row>
    <row r="106" spans="1:246" ht="6.6" customHeight="1" x14ac:dyDescent="0.2">
      <c r="Y106" s="1981"/>
      <c r="Z106" s="1982"/>
      <c r="AA106" s="1982"/>
      <c r="AB106" s="1982"/>
      <c r="AC106" s="1983"/>
      <c r="AD106" s="1983"/>
      <c r="AE106" s="1983"/>
      <c r="AF106" s="1983"/>
      <c r="AG106" s="1983"/>
      <c r="AH106" s="1983"/>
      <c r="AI106" s="1983"/>
      <c r="AJ106" s="1983"/>
      <c r="AK106" s="1983"/>
      <c r="AL106" s="1984"/>
      <c r="AM106" s="1983"/>
      <c r="AN106" s="1983"/>
      <c r="AO106" s="1983"/>
      <c r="AP106" s="1983"/>
      <c r="AQ106" s="1983"/>
      <c r="AR106" s="1983"/>
      <c r="AS106" s="1983"/>
      <c r="AT106" s="1983"/>
      <c r="AU106" s="1983"/>
      <c r="AV106" s="1983"/>
      <c r="AW106" s="1985"/>
      <c r="AX106" s="1985"/>
      <c r="AY106" s="1985"/>
      <c r="AZ106" s="1985"/>
      <c r="BA106" s="1462"/>
      <c r="BB106" s="1462"/>
      <c r="BC106" s="1462"/>
      <c r="BD106" s="1461"/>
      <c r="BE106" s="1462"/>
      <c r="BF106" s="1343"/>
      <c r="BG106" s="1343"/>
      <c r="BH106" s="1343"/>
      <c r="BI106" s="1343"/>
      <c r="BJ106" s="1343"/>
      <c r="BK106" s="1343"/>
      <c r="BL106" s="1343"/>
      <c r="BM106" s="1343"/>
      <c r="BN106" s="1343"/>
      <c r="BO106" s="1343"/>
      <c r="BQ106" s="1184"/>
      <c r="BR106" s="1184"/>
      <c r="BS106" s="1184"/>
      <c r="BT106" s="1184"/>
      <c r="BU106" s="1200"/>
      <c r="BV106" s="1200"/>
      <c r="BW106" s="1186" t="s">
        <v>8223</v>
      </c>
      <c r="BX106" s="1186" t="s">
        <v>8230</v>
      </c>
      <c r="BY106" s="1184"/>
      <c r="CA106" s="1184">
        <f>IF(CA101&lt;CA100-CA104,3,IF(AND(CA101&gt;CA100+CA104,SUMIF(HR84:HR88,1,HQ84:HQ88)=0),2,1))</f>
        <v>1</v>
      </c>
      <c r="CB106" s="1184">
        <f>IF(CB101&lt;CB100-CB104,3,IF(AND(CB101&gt;CB100+CB104,SUMIF(HR84:HR88,2,HQ84:HQ88)=0),2,1))</f>
        <v>1</v>
      </c>
      <c r="CC106" s="1184">
        <f>IF(CC101&lt;CC100-CC104,3,IF(AND(CC101&gt;CC100+CC104,SUMIF(HR84:HR88,3,HQ84:HQ88)=0),2,1))</f>
        <v>1</v>
      </c>
      <c r="CD106" s="1184">
        <f>IF(CD101&lt;CD100-CD104,3,IF(AND(CD101&gt;CD100+CD104,SUMIF(HR84:HR88,4,HQ84:HQ88)=0),2,1))</f>
        <v>1</v>
      </c>
      <c r="CE106" s="1184"/>
      <c r="CF106" s="1184"/>
      <c r="CG106" s="1184"/>
      <c r="CH106" s="1184"/>
      <c r="CI106" s="1184"/>
      <c r="CJ106" s="1184"/>
      <c r="CK106" s="1184"/>
      <c r="CL106" s="1184"/>
      <c r="CM106" s="1184"/>
      <c r="CN106" s="1184"/>
      <c r="CO106" s="1184"/>
      <c r="CP106" s="1184"/>
      <c r="CQ106" s="1184"/>
      <c r="CR106" s="1184"/>
      <c r="CS106" s="1184"/>
      <c r="CT106" s="1184"/>
      <c r="CU106" s="1184"/>
      <c r="CV106" s="1184"/>
      <c r="CW106" s="1184"/>
      <c r="CX106" s="1184"/>
      <c r="CY106" s="320" t="str">
        <f>Pflanzen!A102</f>
        <v>Hühnermist</v>
      </c>
      <c r="CZ106" s="1867">
        <f>IFERROR(MATCH($CY106,Pflanzen!$C$5:$C$114,0),1)</f>
        <v>92</v>
      </c>
      <c r="DA106" s="1364" cm="1">
        <f t="array" ref="DA106">INDEX(Pflanzen!$H$5:$H$114,'Lagerhaltung (freiwillig)'!CZ106)</f>
        <v>0</v>
      </c>
      <c r="DB106" s="1867">
        <f t="shared" si="244"/>
        <v>0</v>
      </c>
      <c r="DC106" s="1867">
        <f t="shared" si="244"/>
        <v>0</v>
      </c>
      <c r="DD106" s="1867">
        <f t="shared" si="244"/>
        <v>0</v>
      </c>
      <c r="DE106" s="1867">
        <f t="shared" si="244"/>
        <v>0</v>
      </c>
      <c r="DF106" s="1867">
        <f t="shared" si="244"/>
        <v>0</v>
      </c>
      <c r="DG106" s="1297">
        <f t="shared" si="244"/>
        <v>0</v>
      </c>
      <c r="DH106" s="1297">
        <f t="shared" si="244"/>
        <v>0</v>
      </c>
      <c r="DI106" s="1297">
        <f t="shared" si="244"/>
        <v>0</v>
      </c>
      <c r="DJ106" s="1297">
        <f t="shared" si="244"/>
        <v>0</v>
      </c>
      <c r="DK106" s="1297">
        <f t="shared" si="244"/>
        <v>0</v>
      </c>
      <c r="DL106" s="1297">
        <f t="shared" si="244"/>
        <v>0</v>
      </c>
      <c r="DM106" s="1297">
        <f t="shared" si="244"/>
        <v>0</v>
      </c>
      <c r="DN106" s="1297"/>
      <c r="DO106" s="1297">
        <f t="shared" si="245"/>
        <v>0</v>
      </c>
      <c r="DP106" s="1297">
        <f t="shared" si="245"/>
        <v>0</v>
      </c>
      <c r="DQ106" s="1297">
        <f t="shared" si="245"/>
        <v>0</v>
      </c>
      <c r="DR106" s="1297">
        <f t="shared" si="245"/>
        <v>0</v>
      </c>
      <c r="DS106" s="1297">
        <f t="shared" si="245"/>
        <v>0</v>
      </c>
      <c r="DT106" s="1297">
        <f t="shared" si="245"/>
        <v>0</v>
      </c>
      <c r="DU106" s="1297">
        <f t="shared" si="245"/>
        <v>0</v>
      </c>
      <c r="DV106" s="1297">
        <f t="shared" si="245"/>
        <v>0</v>
      </c>
      <c r="DW106" s="1297">
        <f t="shared" si="245"/>
        <v>0</v>
      </c>
      <c r="DX106" s="1297">
        <f t="shared" si="245"/>
        <v>0</v>
      </c>
      <c r="DY106" s="1297">
        <f t="shared" si="245"/>
        <v>0</v>
      </c>
      <c r="DZ106" s="1297">
        <f t="shared" si="245"/>
        <v>0</v>
      </c>
      <c r="EA106" s="1297"/>
      <c r="EB106" s="1297">
        <f t="shared" si="246"/>
        <v>0</v>
      </c>
      <c r="EC106" s="1297">
        <f t="shared" si="246"/>
        <v>0</v>
      </c>
      <c r="ED106" s="1297">
        <f t="shared" si="246"/>
        <v>0</v>
      </c>
      <c r="EE106" s="1297">
        <f t="shared" si="246"/>
        <v>0</v>
      </c>
      <c r="EF106" s="1297">
        <f t="shared" si="246"/>
        <v>0</v>
      </c>
      <c r="EG106" s="1297">
        <f t="shared" si="246"/>
        <v>0</v>
      </c>
      <c r="EH106" s="1297">
        <f t="shared" si="246"/>
        <v>0</v>
      </c>
      <c r="EI106" s="1297">
        <f t="shared" si="246"/>
        <v>0</v>
      </c>
      <c r="EJ106" s="1297">
        <f t="shared" si="246"/>
        <v>0</v>
      </c>
      <c r="EK106" s="1297">
        <f t="shared" si="246"/>
        <v>0</v>
      </c>
      <c r="EL106" s="1297">
        <f t="shared" si="246"/>
        <v>0</v>
      </c>
      <c r="EM106" s="1297">
        <f t="shared" si="246"/>
        <v>0</v>
      </c>
      <c r="EN106" s="1297"/>
      <c r="EO106" s="1297">
        <f t="shared" si="247"/>
        <v>0</v>
      </c>
      <c r="EP106" s="1297">
        <f t="shared" si="247"/>
        <v>0</v>
      </c>
      <c r="EQ106" s="1297">
        <f t="shared" si="247"/>
        <v>0</v>
      </c>
      <c r="ER106" s="1297">
        <f t="shared" si="247"/>
        <v>0</v>
      </c>
      <c r="ES106" s="1297">
        <f t="shared" si="247"/>
        <v>0</v>
      </c>
      <c r="ET106" s="1297">
        <f t="shared" si="247"/>
        <v>0</v>
      </c>
      <c r="EU106" s="1297">
        <f t="shared" si="247"/>
        <v>0</v>
      </c>
      <c r="EV106" s="1297">
        <f t="shared" si="247"/>
        <v>0</v>
      </c>
      <c r="EW106" s="1297">
        <f t="shared" si="247"/>
        <v>0</v>
      </c>
      <c r="EX106" s="1297">
        <f t="shared" si="247"/>
        <v>0</v>
      </c>
      <c r="EY106" s="1297">
        <f t="shared" si="247"/>
        <v>0</v>
      </c>
      <c r="EZ106" s="1297">
        <f t="shared" si="247"/>
        <v>0</v>
      </c>
      <c r="FA106" s="1297"/>
      <c r="FB106" s="1317">
        <f t="shared" si="182"/>
        <v>0</v>
      </c>
      <c r="FC106" s="1297">
        <f>FB106+DB106+EB106                 -         SUMIF('Nährstoffe und Lagerraum'!$AX$113:$AX$155,$CZ106,'Nährstoffe und Lagerraum'!$U$113:$U$155)/12  -$GD106*$HE106/12</f>
        <v>0</v>
      </c>
      <c r="FD106" s="1297">
        <f>FC106+DC106+EC106                 -         SUMIF('Nährstoffe und Lagerraum'!$AX$113:$AX$155,$CZ106,'Nährstoffe und Lagerraum'!$U$113:$U$155)/12  -$GD106*$HE106/12</f>
        <v>0</v>
      </c>
      <c r="FE106" s="1297">
        <f>FD106+DD106+ED106                 -         SUMIF('Nährstoffe und Lagerraum'!$AX$113:$AX$155,$CZ106,'Nährstoffe und Lagerraum'!$U$113:$U$155)/12  -$GD106*$HE106/12</f>
        <v>0</v>
      </c>
      <c r="FF106" s="1297">
        <f>FE106+DE106+EE106                 -         SUMIF('Nährstoffe und Lagerraum'!$AX$113:$AX$155,$CZ106,'Nährstoffe und Lagerraum'!$U$113:$U$155)/12  -$GD106*$HE106/12</f>
        <v>0</v>
      </c>
      <c r="FG106" s="1297">
        <f>FF106+DF106+EF106                 -         SUMIF('Nährstoffe und Lagerraum'!$AX$113:$AX$155,$CZ106,'Nährstoffe und Lagerraum'!$U$113:$U$155)/12  -$GD106*$HE106/12</f>
        <v>0</v>
      </c>
      <c r="FH106" s="1297">
        <f>FG106+DG106+EG106                 -         SUMIF('Nährstoffe und Lagerraum'!$AX$113:$AX$155,$CZ106,'Nährstoffe und Lagerraum'!$U$113:$U$155)/12  -$GD106*$HE106/12</f>
        <v>0</v>
      </c>
      <c r="FI106" s="1297">
        <f>FH106+DH106+EH106                 -         SUMIF('Nährstoffe und Lagerraum'!$AX$113:$AX$155,$CZ106,'Nährstoffe und Lagerraum'!$U$113:$U$155)/12  -$GD106*$HE106/12</f>
        <v>0</v>
      </c>
      <c r="FJ106" s="1297">
        <f>FI106+DI106+EI106                 -         SUMIF('Nährstoffe und Lagerraum'!$AX$113:$AX$155,$CZ106,'Nährstoffe und Lagerraum'!$U$113:$U$155)/12  -$GD106*$HE106/12</f>
        <v>0</v>
      </c>
      <c r="FK106" s="1297">
        <f>FJ106+DJ106+EJ106                 -         SUMIF('Nährstoffe und Lagerraum'!$AX$113:$AX$155,$CZ106,'Nährstoffe und Lagerraum'!$U$113:$U$155)/12  -$GD106*$HE106/12</f>
        <v>0</v>
      </c>
      <c r="FL106" s="1297">
        <f>FK106+DK106+EK106                 -         SUMIF('Nährstoffe und Lagerraum'!$AX$113:$AX$155,$CZ106,'Nährstoffe und Lagerraum'!$U$113:$U$155)/12  -$GD106*$HE106/12</f>
        <v>0</v>
      </c>
      <c r="FM106" s="1297">
        <f>FL106+DL106+EL106                 -         SUMIF('Nährstoffe und Lagerraum'!$AX$113:$AX$155,$CZ106,'Nährstoffe und Lagerraum'!$U$113:$U$155)/12  -$GD106*$HE106/12</f>
        <v>0</v>
      </c>
      <c r="FN106" s="1297">
        <f>FM106+DM106+EM106                 -         SUMIF('Nährstoffe und Lagerraum'!$AX$113:$AX$155,$CZ106,'Nährstoffe und Lagerraum'!$U$113:$U$155)/12  -$GD106*$HE106/12</f>
        <v>0</v>
      </c>
      <c r="FO106" s="1297"/>
      <c r="FP106" s="1317">
        <f t="shared" si="183"/>
        <v>0</v>
      </c>
      <c r="FQ106" s="1297">
        <f>FP106+DO106+EO106                 -         SUMIF('Nährstoffe und Lagerraum'!$AX$113:$AX$155,$CZ106,'Nährstoffe und Lagerraum'!$V$113:$V$155)/12  -$GE106*$HE106/12</f>
        <v>0</v>
      </c>
      <c r="FR106" s="1297">
        <f>FQ106+DP106+EP106                 -         SUMIF('Nährstoffe und Lagerraum'!$AX$113:$AX$155,$CZ106,'Nährstoffe und Lagerraum'!$V$113:$V$155)/12  -$GE106*$HE106/12</f>
        <v>0</v>
      </c>
      <c r="FS106" s="1297">
        <f>FR106+DQ106+EQ106                 -         SUMIF('Nährstoffe und Lagerraum'!$AX$113:$AX$155,$CZ106,'Nährstoffe und Lagerraum'!$V$113:$V$155)/12  -$GE106*$HE106/12</f>
        <v>0</v>
      </c>
      <c r="FT106" s="1297">
        <f>FS106+DR106+ER106                 -         SUMIF('Nährstoffe und Lagerraum'!$AX$113:$AX$155,$CZ106,'Nährstoffe und Lagerraum'!$V$113:$V$155)/12  -$GE106*$HE106/12</f>
        <v>0</v>
      </c>
      <c r="FU106" s="1297">
        <f>FT106+DS106+ES106                 -         SUMIF('Nährstoffe und Lagerraum'!$AX$113:$AX$155,$CZ106,'Nährstoffe und Lagerraum'!$V$113:$V$155)/12  -$GE106*$HE106/12</f>
        <v>0</v>
      </c>
      <c r="FV106" s="1297">
        <f>FU106+DT106+ET106                 -         SUMIF('Nährstoffe und Lagerraum'!$AX$113:$AX$155,$CZ106,'Nährstoffe und Lagerraum'!$V$113:$V$155)/12  -$GE106*$HE106/12</f>
        <v>0</v>
      </c>
      <c r="FW106" s="1297">
        <f>FV106+DU106+EU106                 -         SUMIF('Nährstoffe und Lagerraum'!$AX$113:$AX$155,$CZ106,'Nährstoffe und Lagerraum'!$V$113:$V$155)/12  -$GE106*$HE106/12</f>
        <v>0</v>
      </c>
      <c r="FX106" s="1297">
        <f>FW106+DV106+EV106                 -         SUMIF('Nährstoffe und Lagerraum'!$AX$113:$AX$155,$CZ106,'Nährstoffe und Lagerraum'!$V$113:$V$155)/12  -$GE106*$HE106/12</f>
        <v>0</v>
      </c>
      <c r="FY106" s="1297">
        <f>FX106+DW106+EW106                 -         SUMIF('Nährstoffe und Lagerraum'!$AX$113:$AX$155,$CZ106,'Nährstoffe und Lagerraum'!$V$113:$V$155)/12  -$GE106*$HE106/12</f>
        <v>0</v>
      </c>
      <c r="FZ106" s="1297">
        <f>FY106+DX106+EX106                 -         SUMIF('Nährstoffe und Lagerraum'!$AX$113:$AX$155,$CZ106,'Nährstoffe und Lagerraum'!$V$113:$V$155)/12  -$GE106*$HE106/12</f>
        <v>0</v>
      </c>
      <c r="GA106" s="1297">
        <f>FZ106+DY106+EY106                 -         SUMIF('Nährstoffe und Lagerraum'!$AX$113:$AX$155,$CZ106,'Nährstoffe und Lagerraum'!$V$113:$V$155)/12  -$GE106*$HE106/12</f>
        <v>0</v>
      </c>
      <c r="GB106" s="1297">
        <f>GA106+DZ106+EZ106                 -         SUMIF('Nährstoffe und Lagerraum'!$AX$113:$AX$155,$CZ106,'Nährstoffe und Lagerraum'!$V$113:$V$155)/12  -$GE106*$HE106/12</f>
        <v>0</v>
      </c>
      <c r="GC106" s="1297"/>
      <c r="GD106" s="1297">
        <f>SUMIFS($CI$14:$CI$68,$BR$14:$BR$68,$CZ106)+SUMIFS($CM$14:$CM$68,$BR$14:$BR$68,$CZ106)+SUMIFS($CR$14:$CR$68,$BR$14:$BR$68,$CZ106)  -         SUMIF('Nährstoffe und Lagerraum'!$AX$113:$AX$155,$CZ106,'Nährstoffe und Lagerraum'!$U$113:$U$155)</f>
        <v>0</v>
      </c>
      <c r="GE106" s="1297">
        <f>SUMIFS($CJ$14:$CJ$68,$BR$14:$BR$68,$CZ106)+SUMIFS($CO$14:$CO$68,$BR$14:$BR$68,$CZ106)+SUMIFS($CT$14:$CT$68,$BR$14:$BR$68,$CZ106)  -         SUMIF('Nährstoffe und Lagerraum'!$AX$113:$AX$155,$CZ106,'Nährstoffe und Lagerraum'!$V$113:$V$155)</f>
        <v>0</v>
      </c>
      <c r="GF106" s="1297"/>
      <c r="GG106" s="1297"/>
      <c r="GH106" s="1297">
        <f>SUMIF('Nährstoffe und Lagerraum'!$AX$113:$AX$155,$CZ106,'Nährstoffe und Lagerraum'!$U$113:$U$155)</f>
        <v>0</v>
      </c>
      <c r="GI106" s="1184">
        <f>SUMIF('Nährstoffe und Lagerraum'!$AX$113:$AX$155,$CZ106,'Nährstoffe und Lagerraum'!$V$113:$V$155)</f>
        <v>0</v>
      </c>
      <c r="GJ106" s="1297">
        <f t="shared" si="221"/>
        <v>0</v>
      </c>
      <c r="GK106" s="1297">
        <f t="shared" si="222"/>
        <v>0</v>
      </c>
      <c r="GL106" s="1297">
        <f t="shared" si="223"/>
        <v>0</v>
      </c>
      <c r="GM106" s="1297">
        <f t="shared" si="224"/>
        <v>0</v>
      </c>
      <c r="GN106" s="1297">
        <f t="shared" si="225"/>
        <v>0</v>
      </c>
      <c r="GO106" s="1297" cm="1">
        <f t="array" ref="GO106">IF(GN106=0,0,(IFERROR(SUMPRODUCT($J$14:$J$68,$CH$14:$CH$68,($BR$14:$BR$68=CZ106)*1)+SUMPRODUCT($L$14:$L$68,$M$14:$M$68,$CK$14:$CK$68,($BR$14:$BR$68=CZ106)*1,($BT$14:$BT$68=FALSE)*1)/10+SUMPRODUCT($R$14:$R$68,$CP$14:$CP$68,($BR$14:$BR$68=CZ106)*1),0))/GN106)</f>
        <v>0</v>
      </c>
      <c r="GP106" s="1297">
        <f t="shared" si="226"/>
        <v>0</v>
      </c>
      <c r="GQ106" s="1297">
        <f>(SUMIF('Nährstoffe und Lagerraum'!$AX$113:$AX$130,'Lagerhaltung (freiwillig)'!CZ106,'Nährstoffe und Lagerraum'!$D$113:$D$130)+SUMIF('Nährstoffe und Lagerraum'!$AX$137:$AX$155,'Lagerhaltung (freiwillig)'!CZ106,'Nährstoffe und Lagerraum'!$E$137:$E$155))</f>
        <v>0</v>
      </c>
      <c r="GR106" s="1297" cm="1">
        <f t="array" ref="GR106">IF(GQ106=0,0,(IFERROR(SUMPRODUCT('Nährstoffe und Lagerraum'!$D$113:$D$130,'Nährstoffe und Lagerraum'!$F$113:$F$130,('Nährstoffe und Lagerraum'!$AX$113:$AX$130='Lagerhaltung (freiwillig)'!CZ106)*1)+SUMPRODUCT('Nährstoffe und Lagerraum'!$E$137:$E$155,'Nährstoffe und Lagerraum'!$F$137:$F$155,('Nährstoffe und Lagerraum'!$AX$137:$AX$155='Lagerhaltung (freiwillig)'!CZ106)*1),0))/GQ106)</f>
        <v>0</v>
      </c>
      <c r="GS106" s="1297">
        <f t="shared" si="227"/>
        <v>0</v>
      </c>
      <c r="GT106" s="1297">
        <f t="shared" si="228"/>
        <v>0</v>
      </c>
      <c r="GU106" s="1297">
        <f t="shared" si="229"/>
        <v>0</v>
      </c>
      <c r="GV106" s="1297">
        <f t="shared" si="230"/>
        <v>0</v>
      </c>
      <c r="GW106" s="1317" t="str">
        <f t="shared" si="177"/>
        <v xml:space="preserve"> </v>
      </c>
      <c r="GX106" s="1317" t="str">
        <f t="shared" si="177"/>
        <v xml:space="preserve"> </v>
      </c>
      <c r="GY106" s="1868">
        <f t="shared" si="231"/>
        <v>0</v>
      </c>
      <c r="GZ106" s="1297">
        <f t="shared" si="232"/>
        <v>0</v>
      </c>
      <c r="HA106" s="1297" t="str">
        <f t="shared" si="251"/>
        <v>a</v>
      </c>
      <c r="HB106" s="1318">
        <f t="shared" si="233"/>
        <v>0</v>
      </c>
      <c r="HC106" s="1318">
        <f t="shared" si="234"/>
        <v>0</v>
      </c>
      <c r="HD106" s="1318"/>
      <c r="HE106" s="1869">
        <f t="shared" si="235"/>
        <v>0</v>
      </c>
      <c r="HF106" s="1318">
        <f t="shared" si="236"/>
        <v>0</v>
      </c>
      <c r="HG106" s="1318">
        <f t="shared" si="237"/>
        <v>0</v>
      </c>
      <c r="HH106" s="1318">
        <f t="shared" si="238"/>
        <v>0</v>
      </c>
      <c r="HI106" s="1330" cm="1">
        <f t="array" ref="HI106">IF(AND(HG106=0,GL106=0),0,IF(HG106=0,1,IF(OR(GL106*1000/HG106/HH106&gt;INDEX(Pflanzen!$W$5:$W$104,CZ106)/INDEX(Pflanzen!$I$5:$I$104,CZ106)*$HI$2,GL106*1000/HG106/HH106&lt;INDEX(Pflanzen!$W$5:$W$104,CZ106)/INDEX(Pflanzen!$I$5:$I$104,CZ106)/$HI$2),1,0)))</f>
        <v>0</v>
      </c>
      <c r="HJ106" s="1330" cm="1">
        <f t="array" ref="HJ106">IF(AND(GM106=0,HG106=0),0,IF(HG106=0,1,IF(OR(GM106*1000/HG106/HH106&gt;INDEX(Pflanzen!$X$5:$X$104,CZ106)/INDEX(Pflanzen!$I$5:$I$104,CZ106)*$HI$2,GM106*1000/HG106/HH106&lt;INDEX(Pflanzen!$X$5:$X$104,CZ106)/INDEX(Pflanzen!$I$5:$I$104,CZ106)/$HI$2),1,0)))</f>
        <v>0</v>
      </c>
      <c r="HK106" s="1297">
        <f t="shared" si="239"/>
        <v>3</v>
      </c>
      <c r="HL106" s="1297"/>
      <c r="HN106" s="1184"/>
      <c r="HO106" s="1184"/>
      <c r="HP106" s="1184"/>
      <c r="HQ106" s="1184"/>
      <c r="HR106" s="1184"/>
      <c r="HS106" s="1184"/>
      <c r="HT106" s="1184"/>
      <c r="HU106" s="1184"/>
      <c r="HV106" s="1184"/>
      <c r="HW106" s="1184"/>
      <c r="HX106" s="1184"/>
      <c r="HY106" s="1184"/>
      <c r="HZ106" s="1184"/>
      <c r="IA106" s="1184"/>
      <c r="IB106" s="1184"/>
      <c r="IC106" s="1184"/>
      <c r="ID106" s="1184"/>
      <c r="IE106" s="1184"/>
      <c r="IF106" s="1184"/>
      <c r="IG106" s="1184"/>
      <c r="IH106" s="1184"/>
      <c r="II106" s="1184"/>
      <c r="IJ106" s="1184"/>
      <c r="IK106" s="1184"/>
      <c r="IL106" s="1184"/>
    </row>
    <row r="107" spans="1:246" ht="15.75" customHeight="1" x14ac:dyDescent="0.2">
      <c r="Y107" s="1981"/>
      <c r="Z107" s="1982"/>
      <c r="AA107" s="1982"/>
      <c r="AB107" s="1982"/>
      <c r="AC107" s="1983"/>
      <c r="AD107" s="1983"/>
      <c r="AE107" s="1983"/>
      <c r="AF107" s="1983"/>
      <c r="AG107" s="1983"/>
      <c r="AH107" s="1983"/>
      <c r="AI107" s="1983"/>
      <c r="AJ107" s="1983"/>
      <c r="AK107" s="1983"/>
      <c r="AL107" s="1984"/>
      <c r="AM107" s="1983"/>
      <c r="AN107" s="1983"/>
      <c r="AO107" s="1983"/>
      <c r="AP107" s="1983"/>
      <c r="AQ107" s="1983"/>
      <c r="AR107" s="1983"/>
      <c r="AS107" s="1983"/>
      <c r="AT107" s="1983"/>
      <c r="AU107" s="1983"/>
      <c r="AV107" s="1983"/>
      <c r="AW107" s="1985"/>
      <c r="AX107" s="1985"/>
      <c r="AY107" s="1985"/>
      <c r="AZ107" s="1985"/>
      <c r="BA107" s="1462"/>
      <c r="BB107" s="1462"/>
      <c r="BC107" s="1462"/>
      <c r="BD107" s="1461"/>
      <c r="BE107" s="1462"/>
      <c r="BF107" s="1343"/>
      <c r="BG107" s="1343"/>
      <c r="BH107" s="1343"/>
      <c r="BI107" s="1343"/>
      <c r="BJ107" s="1343"/>
      <c r="BK107" s="1343"/>
      <c r="BL107" s="1343"/>
      <c r="BM107" s="1343"/>
      <c r="BN107" s="1343"/>
      <c r="BO107" s="1343"/>
      <c r="BQ107" s="1184"/>
      <c r="BR107" s="1184"/>
      <c r="BS107" s="1184"/>
      <c r="BT107" s="1184"/>
      <c r="BU107" s="1200"/>
      <c r="BV107" s="1200"/>
      <c r="BW107" s="1184">
        <f>BW103-BW103*BW105</f>
        <v>0</v>
      </c>
      <c r="BX107" s="1184">
        <f>BX103-BX103*BX105</f>
        <v>0</v>
      </c>
      <c r="BY107" s="1184"/>
      <c r="BZ107" s="1186" t="s">
        <v>8306</v>
      </c>
      <c r="CA107" s="1184">
        <f>SUMIF($BR$99:$BR$101,1,$P$99:$Q$101)*-1</f>
        <v>0</v>
      </c>
      <c r="CB107" s="1184">
        <f>SUMIF($BR$99:$BR$101,2,$P$99:$Q$101)*-1</f>
        <v>0</v>
      </c>
      <c r="CC107" s="1184">
        <f>SUMIF($BR$99:$BR$101,3,$P$99:$Q$101)*-1</f>
        <v>0</v>
      </c>
      <c r="CD107" s="1184">
        <f>SUMIF($BR$99:$BR$101,4,$P$99:$Q$101)*-1</f>
        <v>0</v>
      </c>
      <c r="CE107" s="1184"/>
      <c r="CF107" s="1184"/>
      <c r="CG107" s="1184"/>
      <c r="CH107" s="1186"/>
      <c r="CI107" s="1184"/>
      <c r="CJ107" s="1184"/>
      <c r="CK107" s="1184"/>
      <c r="CL107" s="1184"/>
      <c r="CM107" s="1184"/>
      <c r="CN107" s="1184"/>
      <c r="CO107" s="1184"/>
      <c r="CP107" s="1184"/>
      <c r="CQ107" s="1184"/>
      <c r="CR107" s="1184"/>
      <c r="CS107" s="1184"/>
      <c r="CT107" s="1184"/>
      <c r="CU107" s="1184"/>
      <c r="CV107" s="1184"/>
      <c r="CW107" s="1184"/>
      <c r="CX107" s="1184"/>
      <c r="CY107" s="320" t="str">
        <f>Pflanzen!A103</f>
        <v>Hühnerkot</v>
      </c>
      <c r="CZ107" s="1867">
        <f>IFERROR(MATCH($CY107,Pflanzen!$C$5:$C$114,0),1)</f>
        <v>93</v>
      </c>
      <c r="DA107" s="1364" cm="1">
        <f t="array" ref="DA107">INDEX(Pflanzen!$H$5:$H$114,'Lagerhaltung (freiwillig)'!CZ107)</f>
        <v>0</v>
      </c>
      <c r="DB107" s="1867">
        <f t="shared" si="244"/>
        <v>0</v>
      </c>
      <c r="DC107" s="1867">
        <f t="shared" si="244"/>
        <v>0</v>
      </c>
      <c r="DD107" s="1867">
        <f t="shared" si="244"/>
        <v>0</v>
      </c>
      <c r="DE107" s="1867">
        <f t="shared" si="244"/>
        <v>0</v>
      </c>
      <c r="DF107" s="1867">
        <f t="shared" si="244"/>
        <v>0</v>
      </c>
      <c r="DG107" s="1297">
        <f t="shared" si="244"/>
        <v>0</v>
      </c>
      <c r="DH107" s="1297">
        <f t="shared" si="244"/>
        <v>0</v>
      </c>
      <c r="DI107" s="1297">
        <f t="shared" si="244"/>
        <v>0</v>
      </c>
      <c r="DJ107" s="1297">
        <f t="shared" si="244"/>
        <v>0</v>
      </c>
      <c r="DK107" s="1297">
        <f t="shared" si="244"/>
        <v>0</v>
      </c>
      <c r="DL107" s="1297">
        <f t="shared" si="244"/>
        <v>0</v>
      </c>
      <c r="DM107" s="1297">
        <f t="shared" si="244"/>
        <v>0</v>
      </c>
      <c r="DN107" s="1297"/>
      <c r="DO107" s="1297">
        <f t="shared" si="245"/>
        <v>0</v>
      </c>
      <c r="DP107" s="1297">
        <f t="shared" si="245"/>
        <v>0</v>
      </c>
      <c r="DQ107" s="1297">
        <f t="shared" si="245"/>
        <v>0</v>
      </c>
      <c r="DR107" s="1297">
        <f t="shared" si="245"/>
        <v>0</v>
      </c>
      <c r="DS107" s="1297">
        <f t="shared" si="245"/>
        <v>0</v>
      </c>
      <c r="DT107" s="1297">
        <f t="shared" si="245"/>
        <v>0</v>
      </c>
      <c r="DU107" s="1297">
        <f t="shared" si="245"/>
        <v>0</v>
      </c>
      <c r="DV107" s="1297">
        <f t="shared" si="245"/>
        <v>0</v>
      </c>
      <c r="DW107" s="1297">
        <f t="shared" si="245"/>
        <v>0</v>
      </c>
      <c r="DX107" s="1297">
        <f t="shared" si="245"/>
        <v>0</v>
      </c>
      <c r="DY107" s="1297">
        <f t="shared" si="245"/>
        <v>0</v>
      </c>
      <c r="DZ107" s="1297">
        <f t="shared" si="245"/>
        <v>0</v>
      </c>
      <c r="EA107" s="1297"/>
      <c r="EB107" s="1297">
        <f t="shared" si="246"/>
        <v>0</v>
      </c>
      <c r="EC107" s="1297">
        <f t="shared" si="246"/>
        <v>0</v>
      </c>
      <c r="ED107" s="1297">
        <f t="shared" si="246"/>
        <v>0</v>
      </c>
      <c r="EE107" s="1297">
        <f t="shared" si="246"/>
        <v>0</v>
      </c>
      <c r="EF107" s="1297">
        <f t="shared" si="246"/>
        <v>0</v>
      </c>
      <c r="EG107" s="1297">
        <f t="shared" si="246"/>
        <v>0</v>
      </c>
      <c r="EH107" s="1297">
        <f t="shared" si="246"/>
        <v>0</v>
      </c>
      <c r="EI107" s="1297">
        <f t="shared" si="246"/>
        <v>0</v>
      </c>
      <c r="EJ107" s="1297">
        <f t="shared" si="246"/>
        <v>0</v>
      </c>
      <c r="EK107" s="1297">
        <f t="shared" si="246"/>
        <v>0</v>
      </c>
      <c r="EL107" s="1297">
        <f t="shared" si="246"/>
        <v>0</v>
      </c>
      <c r="EM107" s="1297">
        <f t="shared" si="246"/>
        <v>0</v>
      </c>
      <c r="EN107" s="1297"/>
      <c r="EO107" s="1297">
        <f t="shared" si="247"/>
        <v>0</v>
      </c>
      <c r="EP107" s="1297">
        <f t="shared" si="247"/>
        <v>0</v>
      </c>
      <c r="EQ107" s="1297">
        <f t="shared" si="247"/>
        <v>0</v>
      </c>
      <c r="ER107" s="1297">
        <f t="shared" si="247"/>
        <v>0</v>
      </c>
      <c r="ES107" s="1297">
        <f t="shared" si="247"/>
        <v>0</v>
      </c>
      <c r="ET107" s="1297">
        <f t="shared" si="247"/>
        <v>0</v>
      </c>
      <c r="EU107" s="1297">
        <f t="shared" si="247"/>
        <v>0</v>
      </c>
      <c r="EV107" s="1297">
        <f t="shared" si="247"/>
        <v>0</v>
      </c>
      <c r="EW107" s="1297">
        <f t="shared" si="247"/>
        <v>0</v>
      </c>
      <c r="EX107" s="1297">
        <f t="shared" si="247"/>
        <v>0</v>
      </c>
      <c r="EY107" s="1297">
        <f t="shared" si="247"/>
        <v>0</v>
      </c>
      <c r="EZ107" s="1297">
        <f t="shared" si="247"/>
        <v>0</v>
      </c>
      <c r="FA107" s="1297"/>
      <c r="FB107" s="1317">
        <f t="shared" si="182"/>
        <v>0</v>
      </c>
      <c r="FC107" s="1297">
        <f>FB107+DB107+EB107                 -         SUMIF('Nährstoffe und Lagerraum'!$AX$113:$AX$155,$CZ107,'Nährstoffe und Lagerraum'!$U$113:$U$155)/12  -$GD107*$HE107/12</f>
        <v>0</v>
      </c>
      <c r="FD107" s="1297">
        <f>FC107+DC107+EC107                 -         SUMIF('Nährstoffe und Lagerraum'!$AX$113:$AX$155,$CZ107,'Nährstoffe und Lagerraum'!$U$113:$U$155)/12  -$GD107*$HE107/12</f>
        <v>0</v>
      </c>
      <c r="FE107" s="1297">
        <f>FD107+DD107+ED107                 -         SUMIF('Nährstoffe und Lagerraum'!$AX$113:$AX$155,$CZ107,'Nährstoffe und Lagerraum'!$U$113:$U$155)/12  -$GD107*$HE107/12</f>
        <v>0</v>
      </c>
      <c r="FF107" s="1297">
        <f>FE107+DE107+EE107                 -         SUMIF('Nährstoffe und Lagerraum'!$AX$113:$AX$155,$CZ107,'Nährstoffe und Lagerraum'!$U$113:$U$155)/12  -$GD107*$HE107/12</f>
        <v>0</v>
      </c>
      <c r="FG107" s="1297">
        <f>FF107+DF107+EF107                 -         SUMIF('Nährstoffe und Lagerraum'!$AX$113:$AX$155,$CZ107,'Nährstoffe und Lagerraum'!$U$113:$U$155)/12  -$GD107*$HE107/12</f>
        <v>0</v>
      </c>
      <c r="FH107" s="1297">
        <f>FG107+DG107+EG107                 -         SUMIF('Nährstoffe und Lagerraum'!$AX$113:$AX$155,$CZ107,'Nährstoffe und Lagerraum'!$U$113:$U$155)/12  -$GD107*$HE107/12</f>
        <v>0</v>
      </c>
      <c r="FI107" s="1297">
        <f>FH107+DH107+EH107                 -         SUMIF('Nährstoffe und Lagerraum'!$AX$113:$AX$155,$CZ107,'Nährstoffe und Lagerraum'!$U$113:$U$155)/12  -$GD107*$HE107/12</f>
        <v>0</v>
      </c>
      <c r="FJ107" s="1297">
        <f>FI107+DI107+EI107                 -         SUMIF('Nährstoffe und Lagerraum'!$AX$113:$AX$155,$CZ107,'Nährstoffe und Lagerraum'!$U$113:$U$155)/12  -$GD107*$HE107/12</f>
        <v>0</v>
      </c>
      <c r="FK107" s="1297">
        <f>FJ107+DJ107+EJ107                 -         SUMIF('Nährstoffe und Lagerraum'!$AX$113:$AX$155,$CZ107,'Nährstoffe und Lagerraum'!$U$113:$U$155)/12  -$GD107*$HE107/12</f>
        <v>0</v>
      </c>
      <c r="FL107" s="1297">
        <f>FK107+DK107+EK107                 -         SUMIF('Nährstoffe und Lagerraum'!$AX$113:$AX$155,$CZ107,'Nährstoffe und Lagerraum'!$U$113:$U$155)/12  -$GD107*$HE107/12</f>
        <v>0</v>
      </c>
      <c r="FM107" s="1297">
        <f>FL107+DL107+EL107                 -         SUMIF('Nährstoffe und Lagerraum'!$AX$113:$AX$155,$CZ107,'Nährstoffe und Lagerraum'!$U$113:$U$155)/12  -$GD107*$HE107/12</f>
        <v>0</v>
      </c>
      <c r="FN107" s="1297">
        <f>FM107+DM107+EM107                 -         SUMIF('Nährstoffe und Lagerraum'!$AX$113:$AX$155,$CZ107,'Nährstoffe und Lagerraum'!$U$113:$U$155)/12  -$GD107*$HE107/12</f>
        <v>0</v>
      </c>
      <c r="FO107" s="1297"/>
      <c r="FP107" s="1317">
        <f t="shared" si="183"/>
        <v>0</v>
      </c>
      <c r="FQ107" s="1297">
        <f>FP107+DO107+EO107                 -         SUMIF('Nährstoffe und Lagerraum'!$AX$113:$AX$155,$CZ107,'Nährstoffe und Lagerraum'!$V$113:$V$155)/12  -$GE107*$HE107/12</f>
        <v>0</v>
      </c>
      <c r="FR107" s="1297">
        <f>FQ107+DP107+EP107                 -         SUMIF('Nährstoffe und Lagerraum'!$AX$113:$AX$155,$CZ107,'Nährstoffe und Lagerraum'!$V$113:$V$155)/12  -$GE107*$HE107/12</f>
        <v>0</v>
      </c>
      <c r="FS107" s="1297">
        <f>FR107+DQ107+EQ107                 -         SUMIF('Nährstoffe und Lagerraum'!$AX$113:$AX$155,$CZ107,'Nährstoffe und Lagerraum'!$V$113:$V$155)/12  -$GE107*$HE107/12</f>
        <v>0</v>
      </c>
      <c r="FT107" s="1297">
        <f>FS107+DR107+ER107                 -         SUMIF('Nährstoffe und Lagerraum'!$AX$113:$AX$155,$CZ107,'Nährstoffe und Lagerraum'!$V$113:$V$155)/12  -$GE107*$HE107/12</f>
        <v>0</v>
      </c>
      <c r="FU107" s="1297">
        <f>FT107+DS107+ES107                 -         SUMIF('Nährstoffe und Lagerraum'!$AX$113:$AX$155,$CZ107,'Nährstoffe und Lagerraum'!$V$113:$V$155)/12  -$GE107*$HE107/12</f>
        <v>0</v>
      </c>
      <c r="FV107" s="1297">
        <f>FU107+DT107+ET107                 -         SUMIF('Nährstoffe und Lagerraum'!$AX$113:$AX$155,$CZ107,'Nährstoffe und Lagerraum'!$V$113:$V$155)/12  -$GE107*$HE107/12</f>
        <v>0</v>
      </c>
      <c r="FW107" s="1297">
        <f>FV107+DU107+EU107                 -         SUMIF('Nährstoffe und Lagerraum'!$AX$113:$AX$155,$CZ107,'Nährstoffe und Lagerraum'!$V$113:$V$155)/12  -$GE107*$HE107/12</f>
        <v>0</v>
      </c>
      <c r="FX107" s="1297">
        <f>FW107+DV107+EV107                 -         SUMIF('Nährstoffe und Lagerraum'!$AX$113:$AX$155,$CZ107,'Nährstoffe und Lagerraum'!$V$113:$V$155)/12  -$GE107*$HE107/12</f>
        <v>0</v>
      </c>
      <c r="FY107" s="1297">
        <f>FX107+DW107+EW107                 -         SUMIF('Nährstoffe und Lagerraum'!$AX$113:$AX$155,$CZ107,'Nährstoffe und Lagerraum'!$V$113:$V$155)/12  -$GE107*$HE107/12</f>
        <v>0</v>
      </c>
      <c r="FZ107" s="1297">
        <f>FY107+DX107+EX107                 -         SUMIF('Nährstoffe und Lagerraum'!$AX$113:$AX$155,$CZ107,'Nährstoffe und Lagerraum'!$V$113:$V$155)/12  -$GE107*$HE107/12</f>
        <v>0</v>
      </c>
      <c r="GA107" s="1297">
        <f>FZ107+DY107+EY107                 -         SUMIF('Nährstoffe und Lagerraum'!$AX$113:$AX$155,$CZ107,'Nährstoffe und Lagerraum'!$V$113:$V$155)/12  -$GE107*$HE107/12</f>
        <v>0</v>
      </c>
      <c r="GB107" s="1297">
        <f>GA107+DZ107+EZ107                 -         SUMIF('Nährstoffe und Lagerraum'!$AX$113:$AX$155,$CZ107,'Nährstoffe und Lagerraum'!$V$113:$V$155)/12  -$GE107*$HE107/12</f>
        <v>0</v>
      </c>
      <c r="GC107" s="1297"/>
      <c r="GD107" s="1297">
        <f>SUMIFS($CI$14:$CI$68,$BR$14:$BR$68,$CZ107)+SUMIFS($CM$14:$CM$68,$BR$14:$BR$68,$CZ107)+SUMIFS($CR$14:$CR$68,$BR$14:$BR$68,$CZ107)  -         SUMIF('Nährstoffe und Lagerraum'!$AX$113:$AX$155,$CZ107,'Nährstoffe und Lagerraum'!$U$113:$U$155)</f>
        <v>0</v>
      </c>
      <c r="GE107" s="1297">
        <f>SUMIFS($CJ$14:$CJ$68,$BR$14:$BR$68,$CZ107)+SUMIFS($CO$14:$CO$68,$BR$14:$BR$68,$CZ107)+SUMIFS($CT$14:$CT$68,$BR$14:$BR$68,$CZ107)  -         SUMIF('Nährstoffe und Lagerraum'!$AX$113:$AX$155,$CZ107,'Nährstoffe und Lagerraum'!$V$113:$V$155)</f>
        <v>0</v>
      </c>
      <c r="GF107" s="1297"/>
      <c r="GG107" s="1297"/>
      <c r="GH107" s="1297">
        <f>SUMIF('Nährstoffe und Lagerraum'!$AX$113:$AX$155,$CZ107,'Nährstoffe und Lagerraum'!$U$113:$U$155)</f>
        <v>0</v>
      </c>
      <c r="GI107" s="1184">
        <f>SUMIF('Nährstoffe und Lagerraum'!$AX$113:$AX$155,$CZ107,'Nährstoffe und Lagerraum'!$V$113:$V$155)</f>
        <v>0</v>
      </c>
      <c r="GJ107" s="1297">
        <f t="shared" si="221"/>
        <v>0</v>
      </c>
      <c r="GK107" s="1297">
        <f t="shared" si="222"/>
        <v>0</v>
      </c>
      <c r="GL107" s="1297">
        <f t="shared" si="223"/>
        <v>0</v>
      </c>
      <c r="GM107" s="1297">
        <f t="shared" si="224"/>
        <v>0</v>
      </c>
      <c r="GN107" s="1297">
        <f t="shared" si="225"/>
        <v>0</v>
      </c>
      <c r="GO107" s="1297" cm="1">
        <f t="array" ref="GO107">IF(GN107=0,0,(IFERROR(SUMPRODUCT($J$14:$J$68,$CH$14:$CH$68,($BR$14:$BR$68=CZ107)*1)+SUMPRODUCT($L$14:$L$68,$M$14:$M$68,$CK$14:$CK$68,($BR$14:$BR$68=CZ107)*1,($BT$14:$BT$68=FALSE)*1)/10+SUMPRODUCT($R$14:$R$68,$CP$14:$CP$68,($BR$14:$BR$68=CZ107)*1),0))/GN107)</f>
        <v>0</v>
      </c>
      <c r="GP107" s="1297">
        <f t="shared" si="226"/>
        <v>0</v>
      </c>
      <c r="GQ107" s="1297">
        <f>(SUMIF('Nährstoffe und Lagerraum'!$AX$113:$AX$130,'Lagerhaltung (freiwillig)'!CZ107,'Nährstoffe und Lagerraum'!$D$113:$D$130)+SUMIF('Nährstoffe und Lagerraum'!$AX$137:$AX$155,'Lagerhaltung (freiwillig)'!CZ107,'Nährstoffe und Lagerraum'!$E$137:$E$155))</f>
        <v>0</v>
      </c>
      <c r="GR107" s="1297" cm="1">
        <f t="array" ref="GR107">IF(GQ107=0,0,(IFERROR(SUMPRODUCT('Nährstoffe und Lagerraum'!$D$113:$D$130,'Nährstoffe und Lagerraum'!$F$113:$F$130,('Nährstoffe und Lagerraum'!$AX$113:$AX$130='Lagerhaltung (freiwillig)'!CZ107)*1)+SUMPRODUCT('Nährstoffe und Lagerraum'!$E$137:$E$155,'Nährstoffe und Lagerraum'!$F$137:$F$155,('Nährstoffe und Lagerraum'!$AX$137:$AX$155='Lagerhaltung (freiwillig)'!CZ107)*1),0))/GQ107)</f>
        <v>0</v>
      </c>
      <c r="GS107" s="1297">
        <f t="shared" si="227"/>
        <v>0</v>
      </c>
      <c r="GT107" s="1297">
        <f t="shared" si="228"/>
        <v>0</v>
      </c>
      <c r="GU107" s="1297">
        <f t="shared" si="229"/>
        <v>0</v>
      </c>
      <c r="GV107" s="1297">
        <f t="shared" si="230"/>
        <v>0</v>
      </c>
      <c r="GW107" s="1317" t="str">
        <f t="shared" si="177"/>
        <v xml:space="preserve"> </v>
      </c>
      <c r="GX107" s="1317" t="str">
        <f t="shared" si="177"/>
        <v xml:space="preserve"> </v>
      </c>
      <c r="GY107" s="1868">
        <f t="shared" si="231"/>
        <v>0</v>
      </c>
      <c r="GZ107" s="1297">
        <f t="shared" si="232"/>
        <v>0</v>
      </c>
      <c r="HA107" s="1297" t="str">
        <f t="shared" si="251"/>
        <v>a</v>
      </c>
      <c r="HB107" s="1318">
        <f t="shared" si="233"/>
        <v>0</v>
      </c>
      <c r="HC107" s="1318">
        <f t="shared" si="234"/>
        <v>0</v>
      </c>
      <c r="HD107" s="1318"/>
      <c r="HE107" s="1869">
        <f t="shared" si="235"/>
        <v>0</v>
      </c>
      <c r="HF107" s="1318">
        <f t="shared" si="236"/>
        <v>0</v>
      </c>
      <c r="HG107" s="1318">
        <f t="shared" si="237"/>
        <v>0</v>
      </c>
      <c r="HH107" s="1318">
        <f t="shared" si="238"/>
        <v>0</v>
      </c>
      <c r="HI107" s="1330" cm="1">
        <f t="array" ref="HI107">IF(AND(HG107=0,GL107=0),0,IF(HG107=0,1,IF(OR(GL107*1000/HG107/HH107&gt;INDEX(Pflanzen!$W$5:$W$104,CZ107)/INDEX(Pflanzen!$I$5:$I$104,CZ107)*$HI$2,GL107*1000/HG107/HH107&lt;INDEX(Pflanzen!$W$5:$W$104,CZ107)/INDEX(Pflanzen!$I$5:$I$104,CZ107)/$HI$2),1,0)))</f>
        <v>0</v>
      </c>
      <c r="HJ107" s="1330" cm="1">
        <f t="array" ref="HJ107">IF(AND(GM107=0,HG107=0),0,IF(HG107=0,1,IF(OR(GM107*1000/HG107/HH107&gt;INDEX(Pflanzen!$X$5:$X$104,CZ107)/INDEX(Pflanzen!$I$5:$I$104,CZ107)*$HI$2,GM107*1000/HG107/HH107&lt;INDEX(Pflanzen!$X$5:$X$104,CZ107)/INDEX(Pflanzen!$I$5:$I$104,CZ107)/$HI$2),1,0)))</f>
        <v>0</v>
      </c>
      <c r="HK107" s="1297">
        <f t="shared" si="239"/>
        <v>3</v>
      </c>
      <c r="HL107" s="1297"/>
      <c r="HN107" s="1184"/>
      <c r="HO107" s="1184"/>
      <c r="HP107" s="1184"/>
      <c r="HQ107" s="1184"/>
      <c r="HR107" s="1184"/>
      <c r="HS107" s="1184"/>
      <c r="HT107" s="1184"/>
      <c r="HU107" s="1184"/>
      <c r="HV107" s="1184"/>
      <c r="HW107" s="1184"/>
      <c r="HX107" s="1184"/>
      <c r="HY107" s="1184"/>
      <c r="HZ107" s="1184"/>
      <c r="IA107" s="1184"/>
      <c r="IB107" s="1184"/>
      <c r="IC107" s="1184"/>
      <c r="ID107" s="1184"/>
      <c r="IE107" s="1184"/>
      <c r="IF107" s="1184"/>
      <c r="IG107" s="1184"/>
      <c r="IH107" s="1184"/>
      <c r="II107" s="1184"/>
      <c r="IJ107" s="1184"/>
      <c r="IK107" s="1184"/>
      <c r="IL107" s="1184"/>
    </row>
    <row r="108" spans="1:246" ht="15.75" customHeight="1" x14ac:dyDescent="0.2">
      <c r="Y108" s="1981"/>
      <c r="Z108" s="1982"/>
      <c r="AA108" s="1982"/>
      <c r="AB108" s="1982"/>
      <c r="AC108" s="1983"/>
      <c r="AD108" s="1983"/>
      <c r="AE108" s="1983"/>
      <c r="AF108" s="1983"/>
      <c r="AG108" s="1983"/>
      <c r="AH108" s="1983"/>
      <c r="AI108" s="1983"/>
      <c r="AJ108" s="1983"/>
      <c r="AK108" s="1983"/>
      <c r="AL108" s="1984"/>
      <c r="AM108" s="1983"/>
      <c r="AN108" s="1983"/>
      <c r="AO108" s="1983"/>
      <c r="AP108" s="1983"/>
      <c r="AQ108" s="1983"/>
      <c r="AR108" s="1983"/>
      <c r="AS108" s="1983"/>
      <c r="AT108" s="1983"/>
      <c r="AU108" s="1983"/>
      <c r="AV108" s="1983"/>
      <c r="AW108" s="1985"/>
      <c r="AX108" s="1985"/>
      <c r="AY108" s="1985"/>
      <c r="AZ108" s="1985"/>
      <c r="BA108" s="1462"/>
      <c r="BB108" s="1462"/>
      <c r="BC108" s="1462"/>
      <c r="BD108" s="1461"/>
      <c r="BE108" s="1462"/>
      <c r="BF108" s="1343"/>
      <c r="BG108" s="1343"/>
      <c r="BH108" s="1343"/>
      <c r="BI108" s="1343"/>
      <c r="BJ108" s="1343"/>
      <c r="BK108" s="1343"/>
      <c r="BL108" s="1343"/>
      <c r="BM108" s="1343"/>
      <c r="BN108" s="1343"/>
      <c r="BO108" s="1343"/>
      <c r="BQ108" s="1184"/>
      <c r="BR108" s="1184"/>
      <c r="BS108" s="1184"/>
      <c r="BT108" s="1184"/>
      <c r="BU108" s="1200"/>
      <c r="BV108" s="1200"/>
      <c r="BW108" s="1186" t="s">
        <v>8224</v>
      </c>
      <c r="BX108" s="1186" t="s">
        <v>8231</v>
      </c>
      <c r="BY108" s="1184"/>
      <c r="BZ108" s="1184"/>
      <c r="CA108" s="1184"/>
      <c r="CB108" s="1184"/>
      <c r="CC108" s="1184"/>
      <c r="CD108" s="1184"/>
      <c r="CE108" s="1184"/>
      <c r="CF108" s="1184"/>
      <c r="CG108" s="1184"/>
      <c r="CH108" s="1184"/>
      <c r="CI108" s="1184"/>
      <c r="CJ108" s="1184"/>
      <c r="CK108" s="1184"/>
      <c r="CL108" s="1184"/>
      <c r="CM108" s="1200"/>
      <c r="CN108" s="1200"/>
      <c r="CO108" s="1200"/>
      <c r="CP108" s="1200"/>
      <c r="CQ108" s="1184"/>
      <c r="CR108" s="1184"/>
      <c r="CS108" s="1184"/>
      <c r="CT108" s="1184"/>
      <c r="CU108" s="1184"/>
      <c r="CV108" s="1184"/>
      <c r="CW108" s="1184"/>
      <c r="CX108" s="1184"/>
      <c r="CY108" s="320" t="str">
        <f>Pflanzen!A104</f>
        <v>Putenmist</v>
      </c>
      <c r="CZ108" s="1867">
        <f>IFERROR(MATCH($CY108,Pflanzen!$C$5:$C$114,0),1)</f>
        <v>94</v>
      </c>
      <c r="DA108" s="1364" cm="1">
        <f t="array" ref="DA108">INDEX(Pflanzen!$H$5:$H$114,'Lagerhaltung (freiwillig)'!CZ108)</f>
        <v>0</v>
      </c>
      <c r="DB108" s="1867">
        <f t="shared" si="244"/>
        <v>0</v>
      </c>
      <c r="DC108" s="1867">
        <f t="shared" si="244"/>
        <v>0</v>
      </c>
      <c r="DD108" s="1867">
        <f t="shared" si="244"/>
        <v>0</v>
      </c>
      <c r="DE108" s="1867">
        <f t="shared" si="244"/>
        <v>0</v>
      </c>
      <c r="DF108" s="1867">
        <f t="shared" si="244"/>
        <v>0</v>
      </c>
      <c r="DG108" s="1297">
        <f t="shared" si="244"/>
        <v>0</v>
      </c>
      <c r="DH108" s="1297">
        <f t="shared" si="244"/>
        <v>0</v>
      </c>
      <c r="DI108" s="1297">
        <f t="shared" si="244"/>
        <v>0</v>
      </c>
      <c r="DJ108" s="1297">
        <f t="shared" si="244"/>
        <v>0</v>
      </c>
      <c r="DK108" s="1297">
        <f t="shared" si="244"/>
        <v>0</v>
      </c>
      <c r="DL108" s="1297">
        <f t="shared" si="244"/>
        <v>0</v>
      </c>
      <c r="DM108" s="1297">
        <f t="shared" si="244"/>
        <v>0</v>
      </c>
      <c r="DN108" s="1297"/>
      <c r="DO108" s="1297">
        <f t="shared" si="245"/>
        <v>0</v>
      </c>
      <c r="DP108" s="1297">
        <f t="shared" si="245"/>
        <v>0</v>
      </c>
      <c r="DQ108" s="1297">
        <f t="shared" si="245"/>
        <v>0</v>
      </c>
      <c r="DR108" s="1297">
        <f t="shared" si="245"/>
        <v>0</v>
      </c>
      <c r="DS108" s="1297">
        <f t="shared" si="245"/>
        <v>0</v>
      </c>
      <c r="DT108" s="1297">
        <f t="shared" si="245"/>
        <v>0</v>
      </c>
      <c r="DU108" s="1297">
        <f t="shared" si="245"/>
        <v>0</v>
      </c>
      <c r="DV108" s="1297">
        <f t="shared" si="245"/>
        <v>0</v>
      </c>
      <c r="DW108" s="1297">
        <f t="shared" si="245"/>
        <v>0</v>
      </c>
      <c r="DX108" s="1297">
        <f t="shared" si="245"/>
        <v>0</v>
      </c>
      <c r="DY108" s="1297">
        <f t="shared" si="245"/>
        <v>0</v>
      </c>
      <c r="DZ108" s="1297">
        <f t="shared" si="245"/>
        <v>0</v>
      </c>
      <c r="EA108" s="1297"/>
      <c r="EB108" s="1297">
        <f t="shared" si="246"/>
        <v>0</v>
      </c>
      <c r="EC108" s="1297">
        <f t="shared" si="246"/>
        <v>0</v>
      </c>
      <c r="ED108" s="1297">
        <f t="shared" si="246"/>
        <v>0</v>
      </c>
      <c r="EE108" s="1297">
        <f t="shared" si="246"/>
        <v>0</v>
      </c>
      <c r="EF108" s="1297">
        <f t="shared" si="246"/>
        <v>0</v>
      </c>
      <c r="EG108" s="1297">
        <f t="shared" si="246"/>
        <v>0</v>
      </c>
      <c r="EH108" s="1297">
        <f t="shared" si="246"/>
        <v>0</v>
      </c>
      <c r="EI108" s="1297">
        <f t="shared" si="246"/>
        <v>0</v>
      </c>
      <c r="EJ108" s="1297">
        <f t="shared" si="246"/>
        <v>0</v>
      </c>
      <c r="EK108" s="1297">
        <f t="shared" si="246"/>
        <v>0</v>
      </c>
      <c r="EL108" s="1297">
        <f t="shared" si="246"/>
        <v>0</v>
      </c>
      <c r="EM108" s="1297">
        <f t="shared" si="246"/>
        <v>0</v>
      </c>
      <c r="EN108" s="1297"/>
      <c r="EO108" s="1297">
        <f t="shared" si="247"/>
        <v>0</v>
      </c>
      <c r="EP108" s="1297">
        <f t="shared" si="247"/>
        <v>0</v>
      </c>
      <c r="EQ108" s="1297">
        <f t="shared" si="247"/>
        <v>0</v>
      </c>
      <c r="ER108" s="1297">
        <f t="shared" si="247"/>
        <v>0</v>
      </c>
      <c r="ES108" s="1297">
        <f t="shared" si="247"/>
        <v>0</v>
      </c>
      <c r="ET108" s="1297">
        <f t="shared" si="247"/>
        <v>0</v>
      </c>
      <c r="EU108" s="1297">
        <f t="shared" si="247"/>
        <v>0</v>
      </c>
      <c r="EV108" s="1297">
        <f t="shared" si="247"/>
        <v>0</v>
      </c>
      <c r="EW108" s="1297">
        <f t="shared" si="247"/>
        <v>0</v>
      </c>
      <c r="EX108" s="1297">
        <f t="shared" si="247"/>
        <v>0</v>
      </c>
      <c r="EY108" s="1297">
        <f t="shared" si="247"/>
        <v>0</v>
      </c>
      <c r="EZ108" s="1297">
        <f t="shared" si="247"/>
        <v>0</v>
      </c>
      <c r="FA108" s="1297"/>
      <c r="FB108" s="1317">
        <f t="shared" si="182"/>
        <v>0</v>
      </c>
      <c r="FC108" s="1297">
        <f>FB108+DB108+EB108                 -         SUMIF('Nährstoffe und Lagerraum'!$AX$113:$AX$155,$CZ108,'Nährstoffe und Lagerraum'!$U$113:$U$155)/12  -$GD108*$HE108/12</f>
        <v>0</v>
      </c>
      <c r="FD108" s="1297">
        <f>FC108+DC108+EC108                 -         SUMIF('Nährstoffe und Lagerraum'!$AX$113:$AX$155,$CZ108,'Nährstoffe und Lagerraum'!$U$113:$U$155)/12  -$GD108*$HE108/12</f>
        <v>0</v>
      </c>
      <c r="FE108" s="1297">
        <f>FD108+DD108+ED108                 -         SUMIF('Nährstoffe und Lagerraum'!$AX$113:$AX$155,$CZ108,'Nährstoffe und Lagerraum'!$U$113:$U$155)/12  -$GD108*$HE108/12</f>
        <v>0</v>
      </c>
      <c r="FF108" s="1297">
        <f>FE108+DE108+EE108                 -         SUMIF('Nährstoffe und Lagerraum'!$AX$113:$AX$155,$CZ108,'Nährstoffe und Lagerraum'!$U$113:$U$155)/12  -$GD108*$HE108/12</f>
        <v>0</v>
      </c>
      <c r="FG108" s="1297">
        <f>FF108+DF108+EF108                 -         SUMIF('Nährstoffe und Lagerraum'!$AX$113:$AX$155,$CZ108,'Nährstoffe und Lagerraum'!$U$113:$U$155)/12  -$GD108*$HE108/12</f>
        <v>0</v>
      </c>
      <c r="FH108" s="1297">
        <f>FG108+DG108+EG108                 -         SUMIF('Nährstoffe und Lagerraum'!$AX$113:$AX$155,$CZ108,'Nährstoffe und Lagerraum'!$U$113:$U$155)/12  -$GD108*$HE108/12</f>
        <v>0</v>
      </c>
      <c r="FI108" s="1297">
        <f>FH108+DH108+EH108                 -         SUMIF('Nährstoffe und Lagerraum'!$AX$113:$AX$155,$CZ108,'Nährstoffe und Lagerraum'!$U$113:$U$155)/12  -$GD108*$HE108/12</f>
        <v>0</v>
      </c>
      <c r="FJ108" s="1297">
        <f>FI108+DI108+EI108                 -         SUMIF('Nährstoffe und Lagerraum'!$AX$113:$AX$155,$CZ108,'Nährstoffe und Lagerraum'!$U$113:$U$155)/12  -$GD108*$HE108/12</f>
        <v>0</v>
      </c>
      <c r="FK108" s="1297">
        <f>FJ108+DJ108+EJ108                 -         SUMIF('Nährstoffe und Lagerraum'!$AX$113:$AX$155,$CZ108,'Nährstoffe und Lagerraum'!$U$113:$U$155)/12  -$GD108*$HE108/12</f>
        <v>0</v>
      </c>
      <c r="FL108" s="1297">
        <f>FK108+DK108+EK108                 -         SUMIF('Nährstoffe und Lagerraum'!$AX$113:$AX$155,$CZ108,'Nährstoffe und Lagerraum'!$U$113:$U$155)/12  -$GD108*$HE108/12</f>
        <v>0</v>
      </c>
      <c r="FM108" s="1297">
        <f>FL108+DL108+EL108                 -         SUMIF('Nährstoffe und Lagerraum'!$AX$113:$AX$155,$CZ108,'Nährstoffe und Lagerraum'!$U$113:$U$155)/12  -$GD108*$HE108/12</f>
        <v>0</v>
      </c>
      <c r="FN108" s="1297">
        <f>FM108+DM108+EM108                 -         SUMIF('Nährstoffe und Lagerraum'!$AX$113:$AX$155,$CZ108,'Nährstoffe und Lagerraum'!$U$113:$U$155)/12  -$GD108*$HE108/12</f>
        <v>0</v>
      </c>
      <c r="FO108" s="1297"/>
      <c r="FP108" s="1317">
        <f t="shared" si="183"/>
        <v>0</v>
      </c>
      <c r="FQ108" s="1297">
        <f>FP108+DO108+EO108                 -         SUMIF('Nährstoffe und Lagerraum'!$AX$113:$AX$155,$CZ108,'Nährstoffe und Lagerraum'!$V$113:$V$155)/12  -$GE108*$HE108/12</f>
        <v>0</v>
      </c>
      <c r="FR108" s="1297">
        <f>FQ108+DP108+EP108                 -         SUMIF('Nährstoffe und Lagerraum'!$AX$113:$AX$155,$CZ108,'Nährstoffe und Lagerraum'!$V$113:$V$155)/12  -$GE108*$HE108/12</f>
        <v>0</v>
      </c>
      <c r="FS108" s="1297">
        <f>FR108+DQ108+EQ108                 -         SUMIF('Nährstoffe und Lagerraum'!$AX$113:$AX$155,$CZ108,'Nährstoffe und Lagerraum'!$V$113:$V$155)/12  -$GE108*$HE108/12</f>
        <v>0</v>
      </c>
      <c r="FT108" s="1297">
        <f>FS108+DR108+ER108                 -         SUMIF('Nährstoffe und Lagerraum'!$AX$113:$AX$155,$CZ108,'Nährstoffe und Lagerraum'!$V$113:$V$155)/12  -$GE108*$HE108/12</f>
        <v>0</v>
      </c>
      <c r="FU108" s="1297">
        <f>FT108+DS108+ES108                 -         SUMIF('Nährstoffe und Lagerraum'!$AX$113:$AX$155,$CZ108,'Nährstoffe und Lagerraum'!$V$113:$V$155)/12  -$GE108*$HE108/12</f>
        <v>0</v>
      </c>
      <c r="FV108" s="1297">
        <f>FU108+DT108+ET108                 -         SUMIF('Nährstoffe und Lagerraum'!$AX$113:$AX$155,$CZ108,'Nährstoffe und Lagerraum'!$V$113:$V$155)/12  -$GE108*$HE108/12</f>
        <v>0</v>
      </c>
      <c r="FW108" s="1297">
        <f>FV108+DU108+EU108                 -         SUMIF('Nährstoffe und Lagerraum'!$AX$113:$AX$155,$CZ108,'Nährstoffe und Lagerraum'!$V$113:$V$155)/12  -$GE108*$HE108/12</f>
        <v>0</v>
      </c>
      <c r="FX108" s="1297">
        <f>FW108+DV108+EV108                 -         SUMIF('Nährstoffe und Lagerraum'!$AX$113:$AX$155,$CZ108,'Nährstoffe und Lagerraum'!$V$113:$V$155)/12  -$GE108*$HE108/12</f>
        <v>0</v>
      </c>
      <c r="FY108" s="1297">
        <f>FX108+DW108+EW108                 -         SUMIF('Nährstoffe und Lagerraum'!$AX$113:$AX$155,$CZ108,'Nährstoffe und Lagerraum'!$V$113:$V$155)/12  -$GE108*$HE108/12</f>
        <v>0</v>
      </c>
      <c r="FZ108" s="1297">
        <f>FY108+DX108+EX108                 -         SUMIF('Nährstoffe und Lagerraum'!$AX$113:$AX$155,$CZ108,'Nährstoffe und Lagerraum'!$V$113:$V$155)/12  -$GE108*$HE108/12</f>
        <v>0</v>
      </c>
      <c r="GA108" s="1297">
        <f>FZ108+DY108+EY108                 -         SUMIF('Nährstoffe und Lagerraum'!$AX$113:$AX$155,$CZ108,'Nährstoffe und Lagerraum'!$V$113:$V$155)/12  -$GE108*$HE108/12</f>
        <v>0</v>
      </c>
      <c r="GB108" s="1297">
        <f>GA108+DZ108+EZ108                 -         SUMIF('Nährstoffe und Lagerraum'!$AX$113:$AX$155,$CZ108,'Nährstoffe und Lagerraum'!$V$113:$V$155)/12  -$GE108*$HE108/12</f>
        <v>0</v>
      </c>
      <c r="GC108" s="1297"/>
      <c r="GD108" s="1297">
        <f>SUMIFS($CI$14:$CI$68,$BR$14:$BR$68,$CZ108)+SUMIFS($CM$14:$CM$68,$BR$14:$BR$68,$CZ108)+SUMIFS($CR$14:$CR$68,$BR$14:$BR$68,$CZ108)  -         SUMIF('Nährstoffe und Lagerraum'!$AX$113:$AX$155,$CZ108,'Nährstoffe und Lagerraum'!$U$113:$U$155)</f>
        <v>0</v>
      </c>
      <c r="GE108" s="1297">
        <f>SUMIFS($CJ$14:$CJ$68,$BR$14:$BR$68,$CZ108)+SUMIFS($CO$14:$CO$68,$BR$14:$BR$68,$CZ108)+SUMIFS($CT$14:$CT$68,$BR$14:$BR$68,$CZ108)  -         SUMIF('Nährstoffe und Lagerraum'!$AX$113:$AX$155,$CZ108,'Nährstoffe und Lagerraum'!$V$113:$V$155)</f>
        <v>0</v>
      </c>
      <c r="GF108" s="1297"/>
      <c r="GG108" s="1297"/>
      <c r="GH108" s="1297">
        <f>SUMIF('Nährstoffe und Lagerraum'!$AX$113:$AX$155,$CZ108,'Nährstoffe und Lagerraum'!$U$113:$U$155)</f>
        <v>0</v>
      </c>
      <c r="GI108" s="1184">
        <f>SUMIF('Nährstoffe und Lagerraum'!$AX$113:$AX$155,$CZ108,'Nährstoffe und Lagerraum'!$V$113:$V$155)</f>
        <v>0</v>
      </c>
      <c r="GJ108" s="1297">
        <f t="shared" si="221"/>
        <v>0</v>
      </c>
      <c r="GK108" s="1297">
        <f t="shared" si="222"/>
        <v>0</v>
      </c>
      <c r="GL108" s="1297">
        <f t="shared" si="223"/>
        <v>0</v>
      </c>
      <c r="GM108" s="1297">
        <f t="shared" si="224"/>
        <v>0</v>
      </c>
      <c r="GN108" s="1297">
        <f t="shared" si="225"/>
        <v>0</v>
      </c>
      <c r="GO108" s="1297" cm="1">
        <f t="array" ref="GO108">IF(GN108=0,0,(IFERROR(SUMPRODUCT($J$14:$J$68,$CH$14:$CH$68,($BR$14:$BR$68=CZ108)*1)+SUMPRODUCT($L$14:$L$68,$M$14:$M$68,$CK$14:$CK$68,($BR$14:$BR$68=CZ108)*1,($BT$14:$BT$68=FALSE)*1)/10+SUMPRODUCT($R$14:$R$68,$CP$14:$CP$68,($BR$14:$BR$68=CZ108)*1),0))/GN108)</f>
        <v>0</v>
      </c>
      <c r="GP108" s="1297">
        <f t="shared" si="226"/>
        <v>0</v>
      </c>
      <c r="GQ108" s="1297">
        <f>(SUMIF('Nährstoffe und Lagerraum'!$AX$113:$AX$130,'Lagerhaltung (freiwillig)'!CZ108,'Nährstoffe und Lagerraum'!$D$113:$D$130)+SUMIF('Nährstoffe und Lagerraum'!$AX$137:$AX$155,'Lagerhaltung (freiwillig)'!CZ108,'Nährstoffe und Lagerraum'!$E$137:$E$155))</f>
        <v>0</v>
      </c>
      <c r="GR108" s="1297" cm="1">
        <f t="array" ref="GR108">IF(GQ108=0,0,(IFERROR(SUMPRODUCT('Nährstoffe und Lagerraum'!$D$113:$D$130,'Nährstoffe und Lagerraum'!$F$113:$F$130,('Nährstoffe und Lagerraum'!$AX$113:$AX$130='Lagerhaltung (freiwillig)'!CZ108)*1)+SUMPRODUCT('Nährstoffe und Lagerraum'!$E$137:$E$155,'Nährstoffe und Lagerraum'!$F$137:$F$155,('Nährstoffe und Lagerraum'!$AX$137:$AX$155='Lagerhaltung (freiwillig)'!CZ108)*1),0))/GQ108)</f>
        <v>0</v>
      </c>
      <c r="GS108" s="1297">
        <f>GQ108*GR108/100</f>
        <v>0</v>
      </c>
      <c r="GT108" s="1297">
        <f t="shared" si="228"/>
        <v>0</v>
      </c>
      <c r="GU108" s="1297">
        <f t="shared" si="229"/>
        <v>0</v>
      </c>
      <c r="GV108" s="1297">
        <f t="shared" si="230"/>
        <v>0</v>
      </c>
      <c r="GW108" s="1317" t="str">
        <f t="shared" si="177"/>
        <v xml:space="preserve"> </v>
      </c>
      <c r="GX108" s="1317" t="str">
        <f t="shared" si="177"/>
        <v xml:space="preserve"> </v>
      </c>
      <c r="GY108" s="1868">
        <f t="shared" si="231"/>
        <v>0</v>
      </c>
      <c r="GZ108" s="1297">
        <f t="shared" si="232"/>
        <v>0</v>
      </c>
      <c r="HA108" s="1297" t="str">
        <f t="shared" si="251"/>
        <v>a</v>
      </c>
      <c r="HB108" s="1318">
        <f t="shared" si="233"/>
        <v>0</v>
      </c>
      <c r="HC108" s="1318">
        <f t="shared" si="234"/>
        <v>0</v>
      </c>
      <c r="HD108" s="1318"/>
      <c r="HE108" s="1869">
        <f t="shared" si="235"/>
        <v>0</v>
      </c>
      <c r="HF108" s="1318">
        <f t="shared" si="236"/>
        <v>0</v>
      </c>
      <c r="HG108" s="1318">
        <f t="shared" si="237"/>
        <v>0</v>
      </c>
      <c r="HH108" s="1318">
        <f t="shared" si="238"/>
        <v>0</v>
      </c>
      <c r="HI108" s="1330" cm="1">
        <f t="array" ref="HI108">IF(AND(HG108=0,GL108=0),0,IF(HG108=0,1,IF(OR(GL108*1000/HG108/HH108&gt;INDEX(Pflanzen!$W$5:$W$104,CZ108)/INDEX(Pflanzen!$I$5:$I$104,CZ108)*$HI$2,GL108*1000/HG108/HH108&lt;INDEX(Pflanzen!$W$5:$W$104,CZ108)/INDEX(Pflanzen!$I$5:$I$104,CZ108)/$HI$2),1,0)))</f>
        <v>0</v>
      </c>
      <c r="HJ108" s="1330" cm="1">
        <f t="array" ref="HJ108">IF(AND(GM108=0,HG108=0),0,IF(HG108=0,1,IF(OR(GM108*1000/HG108/HH108&gt;INDEX(Pflanzen!$X$5:$X$104,CZ108)/INDEX(Pflanzen!$I$5:$I$104,CZ108)*$HI$2,GM108*1000/HG108/HH108&lt;INDEX(Pflanzen!$X$5:$X$104,CZ108)/INDEX(Pflanzen!$I$5:$I$104,CZ108)/$HI$2),1,0)))</f>
        <v>0</v>
      </c>
      <c r="HK108" s="1297">
        <f t="shared" si="239"/>
        <v>3</v>
      </c>
      <c r="HL108" s="1297"/>
      <c r="HN108" s="1184"/>
      <c r="HO108" s="1184"/>
      <c r="HP108" s="1184"/>
      <c r="HQ108" s="1184"/>
      <c r="HR108" s="1184"/>
      <c r="HS108" s="1184"/>
      <c r="HT108" s="1184"/>
      <c r="HU108" s="1184"/>
      <c r="HV108" s="1184"/>
      <c r="HW108" s="1184"/>
      <c r="HX108" s="1184"/>
      <c r="HY108" s="1184"/>
      <c r="HZ108" s="1184"/>
      <c r="IA108" s="1184"/>
      <c r="IB108" s="1184"/>
      <c r="IC108" s="1184"/>
      <c r="ID108" s="1184"/>
      <c r="IE108" s="1184"/>
      <c r="IF108" s="1184"/>
      <c r="IG108" s="1184"/>
      <c r="IH108" s="1184"/>
      <c r="II108" s="1184"/>
      <c r="IJ108" s="1184"/>
      <c r="IK108" s="1184"/>
      <c r="IL108" s="1184"/>
    </row>
    <row r="109" spans="1:246" ht="15.75" customHeight="1" x14ac:dyDescent="0.2">
      <c r="Y109" s="1981"/>
      <c r="Z109" s="1982"/>
      <c r="AA109" s="1982"/>
      <c r="AB109" s="1982"/>
      <c r="AC109" s="1983"/>
      <c r="AD109" s="1983"/>
      <c r="AE109" s="1983"/>
      <c r="AF109" s="1983"/>
      <c r="AG109" s="1983"/>
      <c r="AH109" s="1983"/>
      <c r="AI109" s="1983"/>
      <c r="AJ109" s="1983"/>
      <c r="AK109" s="1983"/>
      <c r="AL109" s="1984"/>
      <c r="AM109" s="1983"/>
      <c r="AN109" s="1983"/>
      <c r="AO109" s="1983"/>
      <c r="AP109" s="1983"/>
      <c r="AQ109" s="1983"/>
      <c r="AR109" s="1983"/>
      <c r="AS109" s="1983"/>
      <c r="AT109" s="1983"/>
      <c r="AU109" s="1983"/>
      <c r="AV109" s="1983"/>
      <c r="AW109" s="1985"/>
      <c r="AX109" s="1985"/>
      <c r="AY109" s="1985"/>
      <c r="AZ109" s="1985"/>
      <c r="BA109" s="1462"/>
      <c r="BB109" s="1462"/>
      <c r="BC109" s="1462"/>
      <c r="BD109" s="1461"/>
      <c r="BE109" s="1462"/>
      <c r="BF109" s="1343"/>
      <c r="BG109" s="1343"/>
      <c r="BH109" s="1343"/>
      <c r="BI109" s="1343"/>
      <c r="BJ109" s="1343"/>
      <c r="BK109" s="1343"/>
      <c r="BL109" s="1343"/>
      <c r="BM109" s="1343"/>
      <c r="BN109" s="1343"/>
      <c r="BO109" s="1343"/>
      <c r="BQ109" s="1184"/>
      <c r="BR109" s="1184"/>
      <c r="BS109" s="1184"/>
      <c r="BT109" s="1184"/>
      <c r="BU109" s="1200"/>
      <c r="BV109" s="1209"/>
      <c r="BW109" s="1209">
        <f>BW103+BW103*BW105</f>
        <v>0</v>
      </c>
      <c r="BX109" s="1209">
        <f>BX103+BX103*BX105</f>
        <v>0</v>
      </c>
      <c r="BY109" s="1209"/>
      <c r="BZ109" s="1209"/>
      <c r="CA109" s="1209"/>
      <c r="CB109" s="1209"/>
      <c r="CC109" s="1209"/>
      <c r="CD109" s="1209"/>
      <c r="CE109" s="1209"/>
      <c r="CF109" s="1209"/>
      <c r="CG109" s="1209"/>
      <c r="CH109" s="1209"/>
      <c r="CI109" s="1209"/>
      <c r="CJ109" s="1209"/>
      <c r="CK109" s="1209"/>
      <c r="CL109" s="1184"/>
      <c r="CM109" s="1209"/>
      <c r="CN109" s="1209"/>
      <c r="CO109" s="1209"/>
      <c r="CP109" s="1209"/>
      <c r="CQ109" s="1184"/>
      <c r="CR109" s="1184"/>
      <c r="CS109" s="1184"/>
      <c r="CT109" s="1184"/>
      <c r="CU109" s="1184"/>
      <c r="CV109" s="1184"/>
      <c r="CW109" s="1184"/>
      <c r="CX109" s="1184"/>
      <c r="CY109" s="320" t="str">
        <f>Pflanzen!A105</f>
        <v>Masthähnchenmist</v>
      </c>
      <c r="CZ109" s="1867">
        <f>IFERROR(MATCH($CY109,Pflanzen!$C$5:$C$114,0),1)</f>
        <v>95</v>
      </c>
      <c r="DA109" s="1364" cm="1">
        <f t="array" ref="DA109">INDEX(Pflanzen!$H$5:$H$114,'Lagerhaltung (freiwillig)'!CZ109)</f>
        <v>0</v>
      </c>
      <c r="DB109" s="1867">
        <f t="shared" ref="DB109:DM116" si="252">SUMIFS($CQ$14:$CQ$68,$BW$14:$BW$68,1,$BX$14:$BX$68,DB$2,$BR$14:$BR$68,$CZ109)+    SUMIFS($CQ$14:$CQ$68,$BW$14:$BW$68,"&gt;1",$BX$14:$BX$68,"&lt;="&amp;DB$2,$BY$14:$BY$68,"&gt;="&amp;DB$2,$BR$14:$BR$68,$CZ109)</f>
        <v>0</v>
      </c>
      <c r="DC109" s="1867">
        <f t="shared" si="252"/>
        <v>0</v>
      </c>
      <c r="DD109" s="1867">
        <f t="shared" si="252"/>
        <v>0</v>
      </c>
      <c r="DE109" s="1867">
        <f t="shared" si="252"/>
        <v>0</v>
      </c>
      <c r="DF109" s="1867">
        <f t="shared" si="252"/>
        <v>0</v>
      </c>
      <c r="DG109" s="1297">
        <f t="shared" si="252"/>
        <v>0</v>
      </c>
      <c r="DH109" s="1297">
        <f t="shared" si="252"/>
        <v>0</v>
      </c>
      <c r="DI109" s="1297">
        <f t="shared" si="252"/>
        <v>0</v>
      </c>
      <c r="DJ109" s="1297">
        <f t="shared" si="252"/>
        <v>0</v>
      </c>
      <c r="DK109" s="1297">
        <f t="shared" si="252"/>
        <v>0</v>
      </c>
      <c r="DL109" s="1297">
        <f t="shared" si="252"/>
        <v>0</v>
      </c>
      <c r="DM109" s="1297">
        <f t="shared" si="252"/>
        <v>0</v>
      </c>
      <c r="DN109" s="1297"/>
      <c r="DO109" s="1297">
        <f t="shared" ref="DO109:DZ116" si="253">SUMIFS($CS$14:$CS$68,$BW$14:$BW$68,1,$BX$14:$BX$68,DO$2,$BR$14:$BR$68,$CZ109)+    SUMIFS($CS$14:$CS$68,$BW$14:$BW$68,"&gt;1",$BX$14:$BX$68,"&lt;="&amp;DO$2,$BY$14:$BY$68,"&gt;="&amp;DO$2,$BR$14:$BR$68,$CZ109)</f>
        <v>0</v>
      </c>
      <c r="DP109" s="1297">
        <f t="shared" si="253"/>
        <v>0</v>
      </c>
      <c r="DQ109" s="1297">
        <f t="shared" si="253"/>
        <v>0</v>
      </c>
      <c r="DR109" s="1297">
        <f t="shared" si="253"/>
        <v>0</v>
      </c>
      <c r="DS109" s="1297">
        <f t="shared" si="253"/>
        <v>0</v>
      </c>
      <c r="DT109" s="1297">
        <f t="shared" si="253"/>
        <v>0</v>
      </c>
      <c r="DU109" s="1297">
        <f t="shared" si="253"/>
        <v>0</v>
      </c>
      <c r="DV109" s="1297">
        <f t="shared" si="253"/>
        <v>0</v>
      </c>
      <c r="DW109" s="1297">
        <f t="shared" si="253"/>
        <v>0</v>
      </c>
      <c r="DX109" s="1297">
        <f t="shared" si="253"/>
        <v>0</v>
      </c>
      <c r="DY109" s="1297">
        <f t="shared" si="253"/>
        <v>0</v>
      </c>
      <c r="DZ109" s="1297">
        <f t="shared" si="253"/>
        <v>0</v>
      </c>
      <c r="EA109" s="1297"/>
      <c r="EB109" s="1297">
        <f t="shared" ref="EB109:EM116" si="254">SUMIFS($CL$14:$CL$68,$CC$14:$CC$68,1,$CD$14:$CD$68,EB$2,$BR$14:$BR$68,$CZ109)+         SUMIFS($CL$14:$CL$68,$CC$14:$CC$68,"&gt;1",$CD$14:$CD$68,"&lt;="&amp;EB$2,$CE$14:$CE$68,"&gt;="&amp;EB$2,$BR$14:$BR$68,$CZ109)</f>
        <v>0</v>
      </c>
      <c r="EC109" s="1297">
        <f t="shared" si="254"/>
        <v>0</v>
      </c>
      <c r="ED109" s="1297">
        <f t="shared" si="254"/>
        <v>0</v>
      </c>
      <c r="EE109" s="1297">
        <f t="shared" si="254"/>
        <v>0</v>
      </c>
      <c r="EF109" s="1297">
        <f t="shared" si="254"/>
        <v>0</v>
      </c>
      <c r="EG109" s="1297">
        <f t="shared" si="254"/>
        <v>0</v>
      </c>
      <c r="EH109" s="1297">
        <f t="shared" si="254"/>
        <v>0</v>
      </c>
      <c r="EI109" s="1297">
        <f t="shared" si="254"/>
        <v>0</v>
      </c>
      <c r="EJ109" s="1297">
        <f t="shared" si="254"/>
        <v>0</v>
      </c>
      <c r="EK109" s="1297">
        <f t="shared" si="254"/>
        <v>0</v>
      </c>
      <c r="EL109" s="1297">
        <f t="shared" si="254"/>
        <v>0</v>
      </c>
      <c r="EM109" s="1297">
        <f t="shared" si="254"/>
        <v>0</v>
      </c>
      <c r="EN109" s="1297"/>
      <c r="EO109" s="1297">
        <f t="shared" ref="EO109:EZ116" si="255">SUMIFS($CN$14:$CN$68,$CC$14:$CC$68,1,$CD$14:$CD$68,EO$2,$BR$14:$BR$68,$CZ109)+         SUMIFS($CN$14:$CN$68,$CC$14:$CC$68,"&gt;1",$CD$14:$CD$68,"&lt;="&amp;EO$2,$CE$14:$CE$68,"&gt;="&amp;EO$2,$BR$14:$BR$68,$CZ109)</f>
        <v>0</v>
      </c>
      <c r="EP109" s="1297">
        <f t="shared" si="255"/>
        <v>0</v>
      </c>
      <c r="EQ109" s="1297">
        <f t="shared" si="255"/>
        <v>0</v>
      </c>
      <c r="ER109" s="1297">
        <f t="shared" si="255"/>
        <v>0</v>
      </c>
      <c r="ES109" s="1297">
        <f t="shared" si="255"/>
        <v>0</v>
      </c>
      <c r="ET109" s="1297">
        <f t="shared" si="255"/>
        <v>0</v>
      </c>
      <c r="EU109" s="1297">
        <f t="shared" si="255"/>
        <v>0</v>
      </c>
      <c r="EV109" s="1297">
        <f t="shared" si="255"/>
        <v>0</v>
      </c>
      <c r="EW109" s="1297">
        <f t="shared" si="255"/>
        <v>0</v>
      </c>
      <c r="EX109" s="1297">
        <f t="shared" si="255"/>
        <v>0</v>
      </c>
      <c r="EY109" s="1297">
        <f t="shared" si="255"/>
        <v>0</v>
      </c>
      <c r="EZ109" s="1297">
        <f t="shared" si="255"/>
        <v>0</v>
      </c>
      <c r="FA109" s="1297"/>
      <c r="FB109" s="1317">
        <f t="shared" si="182"/>
        <v>0</v>
      </c>
      <c r="FC109" s="1297">
        <f>FB109+DB109+EB109                 -         SUMIF('Nährstoffe und Lagerraum'!$AX$113:$AX$155,$CZ109,'Nährstoffe und Lagerraum'!$U$113:$U$155)/12  -$GD109*$HE109/12</f>
        <v>0</v>
      </c>
      <c r="FD109" s="1297">
        <f>FC109+DC109+EC109                 -         SUMIF('Nährstoffe und Lagerraum'!$AX$113:$AX$155,$CZ109,'Nährstoffe und Lagerraum'!$U$113:$U$155)/12  -$GD109*$HE109/12</f>
        <v>0</v>
      </c>
      <c r="FE109" s="1297">
        <f>FD109+DD109+ED109                 -         SUMIF('Nährstoffe und Lagerraum'!$AX$113:$AX$155,$CZ109,'Nährstoffe und Lagerraum'!$U$113:$U$155)/12  -$GD109*$HE109/12</f>
        <v>0</v>
      </c>
      <c r="FF109" s="1297">
        <f>FE109+DE109+EE109                 -         SUMIF('Nährstoffe und Lagerraum'!$AX$113:$AX$155,$CZ109,'Nährstoffe und Lagerraum'!$U$113:$U$155)/12  -$GD109*$HE109/12</f>
        <v>0</v>
      </c>
      <c r="FG109" s="1297">
        <f>FF109+DF109+EF109                 -         SUMIF('Nährstoffe und Lagerraum'!$AX$113:$AX$155,$CZ109,'Nährstoffe und Lagerraum'!$U$113:$U$155)/12  -$GD109*$HE109/12</f>
        <v>0</v>
      </c>
      <c r="FH109" s="1297">
        <f>FG109+DG109+EG109                 -         SUMIF('Nährstoffe und Lagerraum'!$AX$113:$AX$155,$CZ109,'Nährstoffe und Lagerraum'!$U$113:$U$155)/12  -$GD109*$HE109/12</f>
        <v>0</v>
      </c>
      <c r="FI109" s="1297">
        <f>FH109+DH109+EH109                 -         SUMIF('Nährstoffe und Lagerraum'!$AX$113:$AX$155,$CZ109,'Nährstoffe und Lagerraum'!$U$113:$U$155)/12  -$GD109*$HE109/12</f>
        <v>0</v>
      </c>
      <c r="FJ109" s="1297">
        <f>FI109+DI109+EI109                 -         SUMIF('Nährstoffe und Lagerraum'!$AX$113:$AX$155,$CZ109,'Nährstoffe und Lagerraum'!$U$113:$U$155)/12  -$GD109*$HE109/12</f>
        <v>0</v>
      </c>
      <c r="FK109" s="1297">
        <f>FJ109+DJ109+EJ109                 -         SUMIF('Nährstoffe und Lagerraum'!$AX$113:$AX$155,$CZ109,'Nährstoffe und Lagerraum'!$U$113:$U$155)/12  -$GD109*$HE109/12</f>
        <v>0</v>
      </c>
      <c r="FL109" s="1297">
        <f>FK109+DK109+EK109                 -         SUMIF('Nährstoffe und Lagerraum'!$AX$113:$AX$155,$CZ109,'Nährstoffe und Lagerraum'!$U$113:$U$155)/12  -$GD109*$HE109/12</f>
        <v>0</v>
      </c>
      <c r="FM109" s="1297">
        <f>FL109+DL109+EL109                 -         SUMIF('Nährstoffe und Lagerraum'!$AX$113:$AX$155,$CZ109,'Nährstoffe und Lagerraum'!$U$113:$U$155)/12  -$GD109*$HE109/12</f>
        <v>0</v>
      </c>
      <c r="FN109" s="1297">
        <f>FM109+DM109+EM109                 -         SUMIF('Nährstoffe und Lagerraum'!$AX$113:$AX$155,$CZ109,'Nährstoffe und Lagerraum'!$U$113:$U$155)/12  -$GD109*$HE109/12</f>
        <v>0</v>
      </c>
      <c r="FO109" s="1297"/>
      <c r="FP109" s="1317">
        <f t="shared" si="183"/>
        <v>0</v>
      </c>
      <c r="FQ109" s="1297">
        <f>FP109+DO109+EO109                 -         SUMIF('Nährstoffe und Lagerraum'!$AX$113:$AX$155,$CZ109,'Nährstoffe und Lagerraum'!$V$113:$V$155)/12  -$GE109*$HE109/12</f>
        <v>0</v>
      </c>
      <c r="FR109" s="1297">
        <f>FQ109+DP109+EP109                 -         SUMIF('Nährstoffe und Lagerraum'!$AX$113:$AX$155,$CZ109,'Nährstoffe und Lagerraum'!$V$113:$V$155)/12  -$GE109*$HE109/12</f>
        <v>0</v>
      </c>
      <c r="FS109" s="1297">
        <f>FR109+DQ109+EQ109                 -         SUMIF('Nährstoffe und Lagerraum'!$AX$113:$AX$155,$CZ109,'Nährstoffe und Lagerraum'!$V$113:$V$155)/12  -$GE109*$HE109/12</f>
        <v>0</v>
      </c>
      <c r="FT109" s="1297">
        <f>FS109+DR109+ER109                 -         SUMIF('Nährstoffe und Lagerraum'!$AX$113:$AX$155,$CZ109,'Nährstoffe und Lagerraum'!$V$113:$V$155)/12  -$GE109*$HE109/12</f>
        <v>0</v>
      </c>
      <c r="FU109" s="1297">
        <f>FT109+DS109+ES109                 -         SUMIF('Nährstoffe und Lagerraum'!$AX$113:$AX$155,$CZ109,'Nährstoffe und Lagerraum'!$V$113:$V$155)/12  -$GE109*$HE109/12</f>
        <v>0</v>
      </c>
      <c r="FV109" s="1297">
        <f>FU109+DT109+ET109                 -         SUMIF('Nährstoffe und Lagerraum'!$AX$113:$AX$155,$CZ109,'Nährstoffe und Lagerraum'!$V$113:$V$155)/12  -$GE109*$HE109/12</f>
        <v>0</v>
      </c>
      <c r="FW109" s="1297">
        <f>FV109+DU109+EU109                 -         SUMIF('Nährstoffe und Lagerraum'!$AX$113:$AX$155,$CZ109,'Nährstoffe und Lagerraum'!$V$113:$V$155)/12  -$GE109*$HE109/12</f>
        <v>0</v>
      </c>
      <c r="FX109" s="1297">
        <f>FW109+DV109+EV109                 -         SUMIF('Nährstoffe und Lagerraum'!$AX$113:$AX$155,$CZ109,'Nährstoffe und Lagerraum'!$V$113:$V$155)/12  -$GE109*$HE109/12</f>
        <v>0</v>
      </c>
      <c r="FY109" s="1297">
        <f>FX109+DW109+EW109                 -         SUMIF('Nährstoffe und Lagerraum'!$AX$113:$AX$155,$CZ109,'Nährstoffe und Lagerraum'!$V$113:$V$155)/12  -$GE109*$HE109/12</f>
        <v>0</v>
      </c>
      <c r="FZ109" s="1297">
        <f>FY109+DX109+EX109                 -         SUMIF('Nährstoffe und Lagerraum'!$AX$113:$AX$155,$CZ109,'Nährstoffe und Lagerraum'!$V$113:$V$155)/12  -$GE109*$HE109/12</f>
        <v>0</v>
      </c>
      <c r="GA109" s="1297">
        <f>FZ109+DY109+EY109                 -         SUMIF('Nährstoffe und Lagerraum'!$AX$113:$AX$155,$CZ109,'Nährstoffe und Lagerraum'!$V$113:$V$155)/12  -$GE109*$HE109/12</f>
        <v>0</v>
      </c>
      <c r="GB109" s="1297">
        <f>GA109+DZ109+EZ109                 -         SUMIF('Nährstoffe und Lagerraum'!$AX$113:$AX$155,$CZ109,'Nährstoffe und Lagerraum'!$V$113:$V$155)/12  -$GE109*$HE109/12</f>
        <v>0</v>
      </c>
      <c r="GC109" s="1297"/>
      <c r="GD109" s="1297">
        <f>SUMIFS($CI$14:$CI$68,$BR$14:$BR$68,$CZ109)+SUMIFS($CM$14:$CM$68,$BR$14:$BR$68,$CZ109)+SUMIFS($CR$14:$CR$68,$BR$14:$BR$68,$CZ109)  -         SUMIF('Nährstoffe und Lagerraum'!$AX$113:$AX$155,$CZ109,'Nährstoffe und Lagerraum'!$U$113:$U$155)</f>
        <v>0</v>
      </c>
      <c r="GE109" s="1297">
        <f>SUMIFS($CJ$14:$CJ$68,$BR$14:$BR$68,$CZ109)+SUMIFS($CO$14:$CO$68,$BR$14:$BR$68,$CZ109)+SUMIFS($CT$14:$CT$68,$BR$14:$BR$68,$CZ109)  -         SUMIF('Nährstoffe und Lagerraum'!$AX$113:$AX$155,$CZ109,'Nährstoffe und Lagerraum'!$V$113:$V$155)</f>
        <v>0</v>
      </c>
      <c r="GF109" s="1297"/>
      <c r="GG109" s="1297"/>
      <c r="GH109" s="1297">
        <f>SUMIF('Nährstoffe und Lagerraum'!$AX$113:$AX$155,$CZ109,'Nährstoffe und Lagerraum'!$U$113:$U$155)</f>
        <v>0</v>
      </c>
      <c r="GI109" s="1184">
        <f>SUMIF('Nährstoffe und Lagerraum'!$AX$113:$AX$155,$CZ109,'Nährstoffe und Lagerraum'!$V$113:$V$155)</f>
        <v>0</v>
      </c>
      <c r="GJ109" s="1297">
        <f t="shared" si="221"/>
        <v>0</v>
      </c>
      <c r="GK109" s="1297">
        <f t="shared" si="222"/>
        <v>0</v>
      </c>
      <c r="GL109" s="1297">
        <f t="shared" si="223"/>
        <v>0</v>
      </c>
      <c r="GM109" s="1297">
        <f t="shared" si="224"/>
        <v>0</v>
      </c>
      <c r="GN109" s="1297">
        <f t="shared" si="225"/>
        <v>0</v>
      </c>
      <c r="GO109" s="1297" cm="1">
        <f t="array" ref="GO109">IF(GN109=0,0,(IFERROR(SUMPRODUCT($J$14:$J$68,$CH$14:$CH$68,($BR$14:$BR$68=CZ109)*1)+SUMPRODUCT($L$14:$L$68,$M$14:$M$68,$CK$14:$CK$68,($BR$14:$BR$68=CZ109)*1,($BT$14:$BT$68=FALSE)*1)/10+SUMPRODUCT($R$14:$R$68,$CP$14:$CP$68,($BR$14:$BR$68=CZ109)*1),0))/GN109)</f>
        <v>0</v>
      </c>
      <c r="GP109" s="1297">
        <f t="shared" si="226"/>
        <v>0</v>
      </c>
      <c r="GQ109" s="1297">
        <f>(SUMIF('Nährstoffe und Lagerraum'!$AX$113:$AX$130,'Lagerhaltung (freiwillig)'!CZ109,'Nährstoffe und Lagerraum'!$D$113:$D$130)+SUMIF('Nährstoffe und Lagerraum'!$AX$137:$AX$155,'Lagerhaltung (freiwillig)'!CZ109,'Nährstoffe und Lagerraum'!$E$137:$E$155))</f>
        <v>0</v>
      </c>
      <c r="GR109" s="1297" cm="1">
        <f t="array" ref="GR109">IF(GQ109=0,0,(IFERROR(SUMPRODUCT('Nährstoffe und Lagerraum'!$D$113:$D$130,'Nährstoffe und Lagerraum'!$F$113:$F$130,('Nährstoffe und Lagerraum'!$AX$113:$AX$130='Lagerhaltung (freiwillig)'!CZ109)*1)+SUMPRODUCT('Nährstoffe und Lagerraum'!$E$137:$E$155,'Nährstoffe und Lagerraum'!$F$137:$F$155,('Nährstoffe und Lagerraum'!$AX$137:$AX$155='Lagerhaltung (freiwillig)'!CZ109)*1),0))/GQ109)</f>
        <v>0</v>
      </c>
      <c r="GS109" s="1297">
        <f>GQ109*GR109/100</f>
        <v>0</v>
      </c>
      <c r="GT109" s="1297">
        <f t="shared" si="228"/>
        <v>0</v>
      </c>
      <c r="GU109" s="1297">
        <f t="shared" si="229"/>
        <v>0</v>
      </c>
      <c r="GV109" s="1297">
        <f t="shared" si="230"/>
        <v>0</v>
      </c>
      <c r="GW109" s="1317" t="str">
        <f t="shared" si="177"/>
        <v xml:space="preserve"> </v>
      </c>
      <c r="GX109" s="1317" t="str">
        <f t="shared" si="177"/>
        <v xml:space="preserve"> </v>
      </c>
      <c r="GY109" s="1868">
        <f t="shared" si="231"/>
        <v>0</v>
      </c>
      <c r="GZ109" s="1297">
        <f t="shared" si="232"/>
        <v>0</v>
      </c>
      <c r="HA109" s="1297" t="str">
        <f t="shared" si="251"/>
        <v>a</v>
      </c>
      <c r="HB109" s="1318">
        <f t="shared" si="233"/>
        <v>0</v>
      </c>
      <c r="HC109" s="1318">
        <f t="shared" si="234"/>
        <v>0</v>
      </c>
      <c r="HD109" s="1318"/>
      <c r="HE109" s="1869">
        <f t="shared" si="235"/>
        <v>0</v>
      </c>
      <c r="HF109" s="1318">
        <f t="shared" si="236"/>
        <v>0</v>
      </c>
      <c r="HG109" s="1318">
        <f t="shared" si="237"/>
        <v>0</v>
      </c>
      <c r="HH109" s="1318">
        <f t="shared" si="238"/>
        <v>0</v>
      </c>
      <c r="HI109" s="1330" cm="1">
        <f t="array" ref="HI109">IF(AND(HG109=0,GL109=0),0,IF(HG109=0,1,IF(OR(GL109*1000/HG109/HH109&gt;INDEX(Pflanzen!$W$5:$W$104,CZ109)/INDEX(Pflanzen!$I$5:$I$104,CZ109)*$HI$2,GL109*1000/HG109/HH109&lt;INDEX(Pflanzen!$W$5:$W$104,CZ109)/INDEX(Pflanzen!$I$5:$I$104,CZ109)/$HI$2),1,0)))</f>
        <v>0</v>
      </c>
      <c r="HJ109" s="1330" cm="1">
        <f t="array" ref="HJ109">IF(AND(GM109=0,HG109=0),0,IF(HG109=0,1,IF(OR(GM109*1000/HG109/HH109&gt;INDEX(Pflanzen!$X$5:$X$104,CZ109)/INDEX(Pflanzen!$I$5:$I$104,CZ109)*$HI$2,GM109*1000/HG109/HH109&lt;INDEX(Pflanzen!$X$5:$X$104,CZ109)/INDEX(Pflanzen!$I$5:$I$104,CZ109)/$HI$2),1,0)))</f>
        <v>0</v>
      </c>
      <c r="HK109" s="1297">
        <f t="shared" si="239"/>
        <v>3</v>
      </c>
      <c r="HL109" s="1297"/>
      <c r="HN109" s="1184"/>
      <c r="HO109" s="1184"/>
      <c r="HP109" s="1184"/>
      <c r="HQ109" s="1184"/>
      <c r="HR109" s="1184"/>
      <c r="HS109" s="1184"/>
      <c r="HT109" s="1184"/>
      <c r="HU109" s="1184"/>
      <c r="HV109" s="1184"/>
      <c r="HW109" s="1184"/>
      <c r="HX109" s="1184"/>
      <c r="HY109" s="1184"/>
      <c r="HZ109" s="1184"/>
      <c r="IA109" s="1184"/>
      <c r="IB109" s="1184"/>
      <c r="IC109" s="1184"/>
      <c r="ID109" s="1184"/>
      <c r="IE109" s="1184"/>
      <c r="IF109" s="1184"/>
      <c r="IG109" s="1184"/>
      <c r="IH109" s="1184"/>
      <c r="II109" s="1184"/>
      <c r="IJ109" s="1184"/>
      <c r="IK109" s="1184"/>
      <c r="IL109" s="1184"/>
    </row>
    <row r="110" spans="1:246" ht="15.75" customHeight="1" x14ac:dyDescent="0.2">
      <c r="Y110" s="1981"/>
      <c r="Z110" s="1982"/>
      <c r="AA110" s="1982"/>
      <c r="AB110" s="1982"/>
      <c r="AC110" s="1983"/>
      <c r="AD110" s="1983"/>
      <c r="AE110" s="1983"/>
      <c r="AF110" s="1983"/>
      <c r="AG110" s="1983"/>
      <c r="AH110" s="1983"/>
      <c r="AI110" s="1983"/>
      <c r="AJ110" s="1983"/>
      <c r="AK110" s="1983"/>
      <c r="AL110" s="1984"/>
      <c r="AM110" s="1983"/>
      <c r="AN110" s="1983"/>
      <c r="AO110" s="1983"/>
      <c r="AP110" s="1983"/>
      <c r="AQ110" s="1983"/>
      <c r="AR110" s="1983"/>
      <c r="AS110" s="1983"/>
      <c r="AT110" s="1983"/>
      <c r="AU110" s="1983"/>
      <c r="AV110" s="1983"/>
      <c r="AW110" s="1985"/>
      <c r="AX110" s="1985"/>
      <c r="AY110" s="1985"/>
      <c r="AZ110" s="1985"/>
      <c r="BA110" s="1462"/>
      <c r="BB110" s="1462"/>
      <c r="BC110" s="1462"/>
      <c r="BD110" s="1461"/>
      <c r="BE110" s="1462"/>
      <c r="BF110" s="1343"/>
      <c r="BG110" s="1343"/>
      <c r="BH110" s="1343"/>
      <c r="BI110" s="1343"/>
      <c r="BJ110" s="1343"/>
      <c r="BK110" s="1343"/>
      <c r="BL110" s="1343"/>
      <c r="BM110" s="1343"/>
      <c r="BN110" s="1343"/>
      <c r="BO110" s="1343"/>
      <c r="BQ110" s="1184"/>
      <c r="BR110" s="1184"/>
      <c r="BS110" s="1184"/>
      <c r="BT110" s="1184"/>
      <c r="BU110" s="1200"/>
      <c r="BV110" s="1326"/>
      <c r="BW110" s="1995" t="s">
        <v>8687</v>
      </c>
      <c r="BX110" s="1995"/>
      <c r="BY110" s="1326"/>
      <c r="BZ110" s="1184" t="s">
        <v>8339</v>
      </c>
      <c r="CA110" s="1326"/>
      <c r="CB110" s="1326"/>
      <c r="CC110" s="1326"/>
      <c r="CD110" s="1326"/>
      <c r="CE110" s="1326"/>
      <c r="CF110" s="1326"/>
      <c r="CG110" s="1326"/>
      <c r="CH110" s="1326"/>
      <c r="CI110" s="1326"/>
      <c r="CJ110" s="1326"/>
      <c r="CK110" s="1326"/>
      <c r="CL110" s="1184"/>
      <c r="CM110" s="1184"/>
      <c r="CN110" s="1184"/>
      <c r="CO110" s="1184"/>
      <c r="CP110" s="1184"/>
      <c r="CQ110" s="1184"/>
      <c r="CR110" s="1184"/>
      <c r="CS110" s="1184"/>
      <c r="CT110" s="1184"/>
      <c r="CU110" s="1184"/>
      <c r="CV110" s="1184"/>
      <c r="CW110" s="1184"/>
      <c r="CX110" s="1184"/>
      <c r="CY110" s="320" t="str">
        <f>Pflanzen!A106</f>
        <v>Pekingenten- und Gänsemist</v>
      </c>
      <c r="CZ110" s="1867">
        <f>IFERROR(MATCH($CY110,Pflanzen!$C$5:$C$114,0),1)</f>
        <v>96</v>
      </c>
      <c r="DA110" s="1364" cm="1">
        <f t="array" ref="DA110">INDEX(Pflanzen!$H$5:$H$114,'Lagerhaltung (freiwillig)'!CZ110)</f>
        <v>0</v>
      </c>
      <c r="DB110" s="1867">
        <f t="shared" si="252"/>
        <v>0</v>
      </c>
      <c r="DC110" s="1867">
        <f t="shared" si="252"/>
        <v>0</v>
      </c>
      <c r="DD110" s="1867">
        <f t="shared" si="252"/>
        <v>0</v>
      </c>
      <c r="DE110" s="1867">
        <f t="shared" si="252"/>
        <v>0</v>
      </c>
      <c r="DF110" s="1867">
        <f t="shared" si="252"/>
        <v>0</v>
      </c>
      <c r="DG110" s="1297">
        <f t="shared" si="252"/>
        <v>0</v>
      </c>
      <c r="DH110" s="1297">
        <f t="shared" si="252"/>
        <v>0</v>
      </c>
      <c r="DI110" s="1297">
        <f t="shared" si="252"/>
        <v>0</v>
      </c>
      <c r="DJ110" s="1297">
        <f t="shared" si="252"/>
        <v>0</v>
      </c>
      <c r="DK110" s="1297">
        <f t="shared" si="252"/>
        <v>0</v>
      </c>
      <c r="DL110" s="1297">
        <f t="shared" si="252"/>
        <v>0</v>
      </c>
      <c r="DM110" s="1297">
        <f t="shared" si="252"/>
        <v>0</v>
      </c>
      <c r="DN110" s="1297"/>
      <c r="DO110" s="1297">
        <f t="shared" si="253"/>
        <v>0</v>
      </c>
      <c r="DP110" s="1297">
        <f t="shared" si="253"/>
        <v>0</v>
      </c>
      <c r="DQ110" s="1297">
        <f t="shared" si="253"/>
        <v>0</v>
      </c>
      <c r="DR110" s="1297">
        <f t="shared" si="253"/>
        <v>0</v>
      </c>
      <c r="DS110" s="1297">
        <f t="shared" si="253"/>
        <v>0</v>
      </c>
      <c r="DT110" s="1297">
        <f t="shared" si="253"/>
        <v>0</v>
      </c>
      <c r="DU110" s="1297">
        <f t="shared" si="253"/>
        <v>0</v>
      </c>
      <c r="DV110" s="1297">
        <f t="shared" si="253"/>
        <v>0</v>
      </c>
      <c r="DW110" s="1297">
        <f t="shared" si="253"/>
        <v>0</v>
      </c>
      <c r="DX110" s="1297">
        <f t="shared" si="253"/>
        <v>0</v>
      </c>
      <c r="DY110" s="1297">
        <f t="shared" si="253"/>
        <v>0</v>
      </c>
      <c r="DZ110" s="1297">
        <f t="shared" si="253"/>
        <v>0</v>
      </c>
      <c r="EA110" s="1297"/>
      <c r="EB110" s="1297">
        <f t="shared" si="254"/>
        <v>0</v>
      </c>
      <c r="EC110" s="1297">
        <f t="shared" si="254"/>
        <v>0</v>
      </c>
      <c r="ED110" s="1297">
        <f t="shared" si="254"/>
        <v>0</v>
      </c>
      <c r="EE110" s="1297">
        <f t="shared" si="254"/>
        <v>0</v>
      </c>
      <c r="EF110" s="1297">
        <f t="shared" si="254"/>
        <v>0</v>
      </c>
      <c r="EG110" s="1297">
        <f t="shared" si="254"/>
        <v>0</v>
      </c>
      <c r="EH110" s="1297">
        <f t="shared" si="254"/>
        <v>0</v>
      </c>
      <c r="EI110" s="1297">
        <f t="shared" si="254"/>
        <v>0</v>
      </c>
      <c r="EJ110" s="1297">
        <f t="shared" si="254"/>
        <v>0</v>
      </c>
      <c r="EK110" s="1297">
        <f t="shared" si="254"/>
        <v>0</v>
      </c>
      <c r="EL110" s="1297">
        <f t="shared" si="254"/>
        <v>0</v>
      </c>
      <c r="EM110" s="1297">
        <f t="shared" si="254"/>
        <v>0</v>
      </c>
      <c r="EN110" s="1297"/>
      <c r="EO110" s="1297">
        <f t="shared" si="255"/>
        <v>0</v>
      </c>
      <c r="EP110" s="1297">
        <f t="shared" si="255"/>
        <v>0</v>
      </c>
      <c r="EQ110" s="1297">
        <f t="shared" si="255"/>
        <v>0</v>
      </c>
      <c r="ER110" s="1297">
        <f t="shared" si="255"/>
        <v>0</v>
      </c>
      <c r="ES110" s="1297">
        <f t="shared" si="255"/>
        <v>0</v>
      </c>
      <c r="ET110" s="1297">
        <f t="shared" si="255"/>
        <v>0</v>
      </c>
      <c r="EU110" s="1297">
        <f t="shared" si="255"/>
        <v>0</v>
      </c>
      <c r="EV110" s="1297">
        <f t="shared" si="255"/>
        <v>0</v>
      </c>
      <c r="EW110" s="1297">
        <f t="shared" si="255"/>
        <v>0</v>
      </c>
      <c r="EX110" s="1297">
        <f t="shared" si="255"/>
        <v>0</v>
      </c>
      <c r="EY110" s="1297">
        <f t="shared" si="255"/>
        <v>0</v>
      </c>
      <c r="EZ110" s="1297">
        <f t="shared" si="255"/>
        <v>0</v>
      </c>
      <c r="FA110" s="1297"/>
      <c r="FB110" s="1317">
        <f t="shared" si="182"/>
        <v>0</v>
      </c>
      <c r="FC110" s="1297">
        <f>FB110+DB110+EB110                 -         SUMIF('Nährstoffe und Lagerraum'!$AX$113:$AX$155,$CZ110,'Nährstoffe und Lagerraum'!$U$113:$U$155)/12  -$GD110*$HE110/12</f>
        <v>0</v>
      </c>
      <c r="FD110" s="1297">
        <f>FC110+DC110+EC110                 -         SUMIF('Nährstoffe und Lagerraum'!$AX$113:$AX$155,$CZ110,'Nährstoffe und Lagerraum'!$U$113:$U$155)/12  -$GD110*$HE110/12</f>
        <v>0</v>
      </c>
      <c r="FE110" s="1297">
        <f>FD110+DD110+ED110                 -         SUMIF('Nährstoffe und Lagerraum'!$AX$113:$AX$155,$CZ110,'Nährstoffe und Lagerraum'!$U$113:$U$155)/12  -$GD110*$HE110/12</f>
        <v>0</v>
      </c>
      <c r="FF110" s="1297">
        <f>FE110+DE110+EE110                 -         SUMIF('Nährstoffe und Lagerraum'!$AX$113:$AX$155,$CZ110,'Nährstoffe und Lagerraum'!$U$113:$U$155)/12  -$GD110*$HE110/12</f>
        <v>0</v>
      </c>
      <c r="FG110" s="1297">
        <f>FF110+DF110+EF110                 -         SUMIF('Nährstoffe und Lagerraum'!$AX$113:$AX$155,$CZ110,'Nährstoffe und Lagerraum'!$U$113:$U$155)/12  -$GD110*$HE110/12</f>
        <v>0</v>
      </c>
      <c r="FH110" s="1297">
        <f>FG110+DG110+EG110                 -         SUMIF('Nährstoffe und Lagerraum'!$AX$113:$AX$155,$CZ110,'Nährstoffe und Lagerraum'!$U$113:$U$155)/12  -$GD110*$HE110/12</f>
        <v>0</v>
      </c>
      <c r="FI110" s="1297">
        <f>FH110+DH110+EH110                 -         SUMIF('Nährstoffe und Lagerraum'!$AX$113:$AX$155,$CZ110,'Nährstoffe und Lagerraum'!$U$113:$U$155)/12  -$GD110*$HE110/12</f>
        <v>0</v>
      </c>
      <c r="FJ110" s="1297">
        <f>FI110+DI110+EI110                 -         SUMIF('Nährstoffe und Lagerraum'!$AX$113:$AX$155,$CZ110,'Nährstoffe und Lagerraum'!$U$113:$U$155)/12  -$GD110*$HE110/12</f>
        <v>0</v>
      </c>
      <c r="FK110" s="1297">
        <f>FJ110+DJ110+EJ110                 -         SUMIF('Nährstoffe und Lagerraum'!$AX$113:$AX$155,$CZ110,'Nährstoffe und Lagerraum'!$U$113:$U$155)/12  -$GD110*$HE110/12</f>
        <v>0</v>
      </c>
      <c r="FL110" s="1297">
        <f>FK110+DK110+EK110                 -         SUMIF('Nährstoffe und Lagerraum'!$AX$113:$AX$155,$CZ110,'Nährstoffe und Lagerraum'!$U$113:$U$155)/12  -$GD110*$HE110/12</f>
        <v>0</v>
      </c>
      <c r="FM110" s="1297">
        <f>FL110+DL110+EL110                 -         SUMIF('Nährstoffe und Lagerraum'!$AX$113:$AX$155,$CZ110,'Nährstoffe und Lagerraum'!$U$113:$U$155)/12  -$GD110*$HE110/12</f>
        <v>0</v>
      </c>
      <c r="FN110" s="1297">
        <f>FM110+DM110+EM110                 -         SUMIF('Nährstoffe und Lagerraum'!$AX$113:$AX$155,$CZ110,'Nährstoffe und Lagerraum'!$U$113:$U$155)/12  -$GD110*$HE110/12</f>
        <v>0</v>
      </c>
      <c r="FO110" s="1297"/>
      <c r="FP110" s="1317">
        <f t="shared" si="183"/>
        <v>0</v>
      </c>
      <c r="FQ110" s="1297">
        <f>FP110+DO110+EO110                 -         SUMIF('Nährstoffe und Lagerraum'!$AX$113:$AX$155,$CZ110,'Nährstoffe und Lagerraum'!$V$113:$V$155)/12  -$GE110*$HE110/12</f>
        <v>0</v>
      </c>
      <c r="FR110" s="1297">
        <f>FQ110+DP110+EP110                 -         SUMIF('Nährstoffe und Lagerraum'!$AX$113:$AX$155,$CZ110,'Nährstoffe und Lagerraum'!$V$113:$V$155)/12  -$GE110*$HE110/12</f>
        <v>0</v>
      </c>
      <c r="FS110" s="1297">
        <f>FR110+DQ110+EQ110                 -         SUMIF('Nährstoffe und Lagerraum'!$AX$113:$AX$155,$CZ110,'Nährstoffe und Lagerraum'!$V$113:$V$155)/12  -$GE110*$HE110/12</f>
        <v>0</v>
      </c>
      <c r="FT110" s="1297">
        <f>FS110+DR110+ER110                 -         SUMIF('Nährstoffe und Lagerraum'!$AX$113:$AX$155,$CZ110,'Nährstoffe und Lagerraum'!$V$113:$V$155)/12  -$GE110*$HE110/12</f>
        <v>0</v>
      </c>
      <c r="FU110" s="1297">
        <f>FT110+DS110+ES110                 -         SUMIF('Nährstoffe und Lagerraum'!$AX$113:$AX$155,$CZ110,'Nährstoffe und Lagerraum'!$V$113:$V$155)/12  -$GE110*$HE110/12</f>
        <v>0</v>
      </c>
      <c r="FV110" s="1297">
        <f>FU110+DT110+ET110                 -         SUMIF('Nährstoffe und Lagerraum'!$AX$113:$AX$155,$CZ110,'Nährstoffe und Lagerraum'!$V$113:$V$155)/12  -$GE110*$HE110/12</f>
        <v>0</v>
      </c>
      <c r="FW110" s="1297">
        <f>FV110+DU110+EU110                 -         SUMIF('Nährstoffe und Lagerraum'!$AX$113:$AX$155,$CZ110,'Nährstoffe und Lagerraum'!$V$113:$V$155)/12  -$GE110*$HE110/12</f>
        <v>0</v>
      </c>
      <c r="FX110" s="1297">
        <f>FW110+DV110+EV110                 -         SUMIF('Nährstoffe und Lagerraum'!$AX$113:$AX$155,$CZ110,'Nährstoffe und Lagerraum'!$V$113:$V$155)/12  -$GE110*$HE110/12</f>
        <v>0</v>
      </c>
      <c r="FY110" s="1297">
        <f>FX110+DW110+EW110                 -         SUMIF('Nährstoffe und Lagerraum'!$AX$113:$AX$155,$CZ110,'Nährstoffe und Lagerraum'!$V$113:$V$155)/12  -$GE110*$HE110/12</f>
        <v>0</v>
      </c>
      <c r="FZ110" s="1297">
        <f>FY110+DX110+EX110                 -         SUMIF('Nährstoffe und Lagerraum'!$AX$113:$AX$155,$CZ110,'Nährstoffe und Lagerraum'!$V$113:$V$155)/12  -$GE110*$HE110/12</f>
        <v>0</v>
      </c>
      <c r="GA110" s="1297">
        <f>FZ110+DY110+EY110                 -         SUMIF('Nährstoffe und Lagerraum'!$AX$113:$AX$155,$CZ110,'Nährstoffe und Lagerraum'!$V$113:$V$155)/12  -$GE110*$HE110/12</f>
        <v>0</v>
      </c>
      <c r="GB110" s="1297">
        <f>GA110+DZ110+EZ110                 -         SUMIF('Nährstoffe und Lagerraum'!$AX$113:$AX$155,$CZ110,'Nährstoffe und Lagerraum'!$V$113:$V$155)/12  -$GE110*$HE110/12</f>
        <v>0</v>
      </c>
      <c r="GC110" s="1297"/>
      <c r="GD110" s="1297">
        <f>SUMIFS($CI$14:$CI$68,$BR$14:$BR$68,$CZ110)+SUMIFS($CM$14:$CM$68,$BR$14:$BR$68,$CZ110)+SUMIFS($CR$14:$CR$68,$BR$14:$BR$68,$CZ110)  -         SUMIF('Nährstoffe und Lagerraum'!$AX$113:$AX$155,$CZ110,'Nährstoffe und Lagerraum'!$U$113:$U$155)</f>
        <v>0</v>
      </c>
      <c r="GE110" s="1297">
        <f>SUMIFS($CJ$14:$CJ$68,$BR$14:$BR$68,$CZ110)+SUMIFS($CO$14:$CO$68,$BR$14:$BR$68,$CZ110)+SUMIFS($CT$14:$CT$68,$BR$14:$BR$68,$CZ110)  -         SUMIF('Nährstoffe und Lagerraum'!$AX$113:$AX$155,$CZ110,'Nährstoffe und Lagerraum'!$V$113:$V$155)</f>
        <v>0</v>
      </c>
      <c r="GF110" s="1297"/>
      <c r="GG110" s="1297"/>
      <c r="GH110" s="1297">
        <f>SUMIF('Nährstoffe und Lagerraum'!$AX$113:$AX$155,$CZ110,'Nährstoffe und Lagerraum'!$U$113:$U$155)</f>
        <v>0</v>
      </c>
      <c r="GI110" s="1184">
        <f>SUMIF('Nährstoffe und Lagerraum'!$AX$113:$AX$155,$CZ110,'Nährstoffe und Lagerraum'!$V$113:$V$155)</f>
        <v>0</v>
      </c>
      <c r="GJ110" s="1297">
        <f t="shared" si="221"/>
        <v>0</v>
      </c>
      <c r="GK110" s="1297">
        <f t="shared" si="222"/>
        <v>0</v>
      </c>
      <c r="GL110" s="1297">
        <f t="shared" si="223"/>
        <v>0</v>
      </c>
      <c r="GM110" s="1297">
        <f t="shared" si="224"/>
        <v>0</v>
      </c>
      <c r="GN110" s="1297">
        <f t="shared" si="225"/>
        <v>0</v>
      </c>
      <c r="GO110" s="1297" cm="1">
        <f t="array" ref="GO110">IF(GN110=0,0,(IFERROR(SUMPRODUCT($J$14:$J$68,$CH$14:$CH$68,($BR$14:$BR$68=CZ110)*1)+SUMPRODUCT($L$14:$L$68,$M$14:$M$68,$CK$14:$CK$68,($BR$14:$BR$68=CZ110)*1,($BT$14:$BT$68=FALSE)*1)/10+SUMPRODUCT($R$14:$R$68,$CP$14:$CP$68,($BR$14:$BR$68=CZ110)*1),0))/GN110)</f>
        <v>0</v>
      </c>
      <c r="GP110" s="1297">
        <f t="shared" si="226"/>
        <v>0</v>
      </c>
      <c r="GQ110" s="1297">
        <f>(SUMIF('Nährstoffe und Lagerraum'!$AX$113:$AX$130,'Lagerhaltung (freiwillig)'!CZ110,'Nährstoffe und Lagerraum'!$D$113:$D$130)+SUMIF('Nährstoffe und Lagerraum'!$AX$137:$AX$155,'Lagerhaltung (freiwillig)'!CZ110,'Nährstoffe und Lagerraum'!$E$137:$E$155))</f>
        <v>0</v>
      </c>
      <c r="GR110" s="1297" cm="1">
        <f t="array" ref="GR110">IF(GQ110=0,0,(IFERROR(SUMPRODUCT('Nährstoffe und Lagerraum'!$D$113:$D$130,'Nährstoffe und Lagerraum'!$F$113:$F$130,('Nährstoffe und Lagerraum'!$AX$113:$AX$130='Lagerhaltung (freiwillig)'!CZ110)*1)+SUMPRODUCT('Nährstoffe und Lagerraum'!$E$137:$E$155,'Nährstoffe und Lagerraum'!$F$137:$F$155,('Nährstoffe und Lagerraum'!$AX$137:$AX$155='Lagerhaltung (freiwillig)'!CZ110)*1),0))/GQ110)</f>
        <v>0</v>
      </c>
      <c r="GS110" s="1297">
        <f t="shared" si="227"/>
        <v>0</v>
      </c>
      <c r="GT110" s="1297">
        <f t="shared" si="228"/>
        <v>0</v>
      </c>
      <c r="GU110" s="1297">
        <f t="shared" si="229"/>
        <v>0</v>
      </c>
      <c r="GV110" s="1297">
        <f t="shared" si="230"/>
        <v>0</v>
      </c>
      <c r="GW110" s="1317" t="str">
        <f t="shared" si="177"/>
        <v xml:space="preserve"> </v>
      </c>
      <c r="GX110" s="1317" t="str">
        <f t="shared" si="177"/>
        <v xml:space="preserve"> </v>
      </c>
      <c r="GY110" s="1868">
        <f t="shared" si="231"/>
        <v>0</v>
      </c>
      <c r="GZ110" s="1297">
        <f t="shared" si="232"/>
        <v>0</v>
      </c>
      <c r="HA110" s="1297" t="str">
        <f t="shared" si="251"/>
        <v>a</v>
      </c>
      <c r="HB110" s="1318">
        <f t="shared" si="233"/>
        <v>0</v>
      </c>
      <c r="HC110" s="1318">
        <f t="shared" si="234"/>
        <v>0</v>
      </c>
      <c r="HD110" s="1318"/>
      <c r="HE110" s="1869">
        <f t="shared" si="235"/>
        <v>0</v>
      </c>
      <c r="HF110" s="1318">
        <f t="shared" si="236"/>
        <v>0</v>
      </c>
      <c r="HG110" s="1318">
        <f t="shared" si="237"/>
        <v>0</v>
      </c>
      <c r="HH110" s="1318">
        <f t="shared" si="238"/>
        <v>0</v>
      </c>
      <c r="HI110" s="1330" cm="1">
        <f t="array" ref="HI110">IF(AND(HG110=0,GL110=0),0,IF(HG110=0,1,IF(OR(GL110*1000/HG110/HH110&gt;INDEX(Pflanzen!$W$5:$W$104,CZ110)/INDEX(Pflanzen!$I$5:$I$104,CZ110)*$HI$2,GL110*1000/HG110/HH110&lt;INDEX(Pflanzen!$W$5:$W$104,CZ110)/INDEX(Pflanzen!$I$5:$I$104,CZ110)/$HI$2),1,0)))</f>
        <v>0</v>
      </c>
      <c r="HJ110" s="1330" cm="1">
        <f t="array" ref="HJ110">IF(AND(GM110=0,HG110=0),0,IF(HG110=0,1,IF(OR(GM110*1000/HG110/HH110&gt;INDEX(Pflanzen!$X$5:$X$104,CZ110)/INDEX(Pflanzen!$I$5:$I$104,CZ110)*$HI$2,GM110*1000/HG110/HH110&lt;INDEX(Pflanzen!$X$5:$X$104,CZ110)/INDEX(Pflanzen!$I$5:$I$104,CZ110)/$HI$2),1,0)))</f>
        <v>0</v>
      </c>
      <c r="HK110" s="1297">
        <f t="shared" si="239"/>
        <v>3</v>
      </c>
      <c r="HL110" s="1297"/>
      <c r="HN110" s="1184"/>
      <c r="HO110" s="1184"/>
      <c r="HP110" s="1184"/>
      <c r="HQ110" s="1184"/>
      <c r="HR110" s="1184"/>
      <c r="HS110" s="1184"/>
      <c r="HT110" s="1184"/>
      <c r="HU110" s="1184"/>
      <c r="HV110" s="1184"/>
      <c r="HW110" s="1184"/>
      <c r="HX110" s="1184"/>
      <c r="HY110" s="1184"/>
      <c r="HZ110" s="1184"/>
      <c r="IA110" s="1184"/>
      <c r="IB110" s="1184"/>
      <c r="IC110" s="1184"/>
      <c r="ID110" s="1184"/>
      <c r="IE110" s="1184"/>
      <c r="IF110" s="1184"/>
      <c r="IG110" s="1184"/>
      <c r="IH110" s="1184"/>
      <c r="II110" s="1184"/>
      <c r="IJ110" s="1184"/>
      <c r="IK110" s="1184"/>
      <c r="IL110" s="1184"/>
    </row>
    <row r="111" spans="1:246" ht="15.75" customHeight="1" x14ac:dyDescent="0.2">
      <c r="Y111" s="1981"/>
      <c r="Z111" s="1982"/>
      <c r="AA111" s="1982"/>
      <c r="AB111" s="1982"/>
      <c r="AC111" s="1983"/>
      <c r="AD111" s="1983"/>
      <c r="AE111" s="1983"/>
      <c r="AF111" s="1983"/>
      <c r="AG111" s="1983"/>
      <c r="AH111" s="1983"/>
      <c r="AI111" s="1983"/>
      <c r="AJ111" s="1983"/>
      <c r="AK111" s="1983"/>
      <c r="AL111" s="1984"/>
      <c r="AM111" s="1983"/>
      <c r="AN111" s="1983"/>
      <c r="AO111" s="1983"/>
      <c r="AP111" s="1983"/>
      <c r="AQ111" s="1983"/>
      <c r="AR111" s="1983"/>
      <c r="AS111" s="1983"/>
      <c r="AT111" s="1983"/>
      <c r="AU111" s="1983"/>
      <c r="AV111" s="1983"/>
      <c r="AW111" s="1985"/>
      <c r="AX111" s="1985"/>
      <c r="AY111" s="1985"/>
      <c r="AZ111" s="1985"/>
      <c r="BA111" s="1462"/>
      <c r="BB111" s="1462"/>
      <c r="BC111" s="1462"/>
      <c r="BD111" s="1461"/>
      <c r="BE111" s="1462"/>
      <c r="BF111" s="1343"/>
      <c r="BG111" s="1343"/>
      <c r="BH111" s="1343"/>
      <c r="BI111" s="1343"/>
      <c r="BJ111" s="1343"/>
      <c r="BK111" s="1343"/>
      <c r="BL111" s="1343"/>
      <c r="BM111" s="1343"/>
      <c r="BN111" s="1343"/>
      <c r="BO111" s="1343"/>
      <c r="BQ111" s="1184"/>
      <c r="BR111" s="1184"/>
      <c r="BS111" s="1184"/>
      <c r="BT111" s="1184"/>
      <c r="BU111" s="1200"/>
      <c r="BV111" s="1326"/>
      <c r="BW111" s="1995">
        <f>IF(SUMIF($HR$84:$HR$88,3,$HQ$84:$HQ$88)&gt;0,2,1)</f>
        <v>1</v>
      </c>
      <c r="BX111" s="1995">
        <f>IF(SUMIF($HR$84:$HR$88,"&gt;3",$HQ$84:$HQ$88)&gt;0,2,1)</f>
        <v>1</v>
      </c>
      <c r="BY111" s="1326"/>
      <c r="BZ111" s="1557" t="s">
        <v>8341</v>
      </c>
      <c r="CA111" s="1326"/>
      <c r="CB111" s="1326"/>
      <c r="CC111" s="1326"/>
      <c r="CD111" s="1326"/>
      <c r="CE111" s="1326"/>
      <c r="CF111" s="1326"/>
      <c r="CG111" s="1326"/>
      <c r="CH111" s="1326"/>
      <c r="CI111" s="1326"/>
      <c r="CJ111" s="1326"/>
      <c r="CK111" s="1326"/>
      <c r="CL111" s="1184"/>
      <c r="CM111" s="1184"/>
      <c r="CN111" s="1184"/>
      <c r="CO111" s="1184"/>
      <c r="CP111" s="1184"/>
      <c r="CQ111" s="1184"/>
      <c r="CR111" s="1184"/>
      <c r="CS111" s="1184"/>
      <c r="CT111" s="1184"/>
      <c r="CU111" s="1184"/>
      <c r="CV111" s="1184"/>
      <c r="CW111" s="1184"/>
      <c r="CX111" s="1184"/>
      <c r="CY111" s="320" t="str">
        <f>Pflanzen!A107</f>
        <v>Flugentenmist</v>
      </c>
      <c r="CZ111" s="1867">
        <f>IFERROR(MATCH($CY111,Pflanzen!$C$5:$C$114,0),1)</f>
        <v>97</v>
      </c>
      <c r="DA111" s="1364" cm="1">
        <f t="array" ref="DA111">INDEX(Pflanzen!$H$5:$H$114,'Lagerhaltung (freiwillig)'!CZ111)</f>
        <v>0</v>
      </c>
      <c r="DB111" s="1867">
        <f t="shared" si="252"/>
        <v>0</v>
      </c>
      <c r="DC111" s="1867">
        <f t="shared" si="252"/>
        <v>0</v>
      </c>
      <c r="DD111" s="1867">
        <f t="shared" si="252"/>
        <v>0</v>
      </c>
      <c r="DE111" s="1867">
        <f t="shared" si="252"/>
        <v>0</v>
      </c>
      <c r="DF111" s="1867">
        <f t="shared" si="252"/>
        <v>0</v>
      </c>
      <c r="DG111" s="1297">
        <f t="shared" si="252"/>
        <v>0</v>
      </c>
      <c r="DH111" s="1297">
        <f t="shared" si="252"/>
        <v>0</v>
      </c>
      <c r="DI111" s="1297">
        <f t="shared" si="252"/>
        <v>0</v>
      </c>
      <c r="DJ111" s="1297">
        <f t="shared" si="252"/>
        <v>0</v>
      </c>
      <c r="DK111" s="1297">
        <f t="shared" si="252"/>
        <v>0</v>
      </c>
      <c r="DL111" s="1297">
        <f t="shared" si="252"/>
        <v>0</v>
      </c>
      <c r="DM111" s="1297">
        <f t="shared" si="252"/>
        <v>0</v>
      </c>
      <c r="DN111" s="1297"/>
      <c r="DO111" s="1297">
        <f t="shared" si="253"/>
        <v>0</v>
      </c>
      <c r="DP111" s="1297">
        <f t="shared" si="253"/>
        <v>0</v>
      </c>
      <c r="DQ111" s="1297">
        <f t="shared" si="253"/>
        <v>0</v>
      </c>
      <c r="DR111" s="1297">
        <f t="shared" si="253"/>
        <v>0</v>
      </c>
      <c r="DS111" s="1297">
        <f t="shared" si="253"/>
        <v>0</v>
      </c>
      <c r="DT111" s="1297">
        <f t="shared" si="253"/>
        <v>0</v>
      </c>
      <c r="DU111" s="1297">
        <f t="shared" si="253"/>
        <v>0</v>
      </c>
      <c r="DV111" s="1297">
        <f t="shared" si="253"/>
        <v>0</v>
      </c>
      <c r="DW111" s="1297">
        <f t="shared" si="253"/>
        <v>0</v>
      </c>
      <c r="DX111" s="1297">
        <f t="shared" si="253"/>
        <v>0</v>
      </c>
      <c r="DY111" s="1297">
        <f t="shared" si="253"/>
        <v>0</v>
      </c>
      <c r="DZ111" s="1297">
        <f t="shared" si="253"/>
        <v>0</v>
      </c>
      <c r="EA111" s="1297"/>
      <c r="EB111" s="1297">
        <f t="shared" si="254"/>
        <v>0</v>
      </c>
      <c r="EC111" s="1297">
        <f t="shared" si="254"/>
        <v>0</v>
      </c>
      <c r="ED111" s="1297">
        <f t="shared" si="254"/>
        <v>0</v>
      </c>
      <c r="EE111" s="1297">
        <f t="shared" si="254"/>
        <v>0</v>
      </c>
      <c r="EF111" s="1297">
        <f t="shared" si="254"/>
        <v>0</v>
      </c>
      <c r="EG111" s="1297">
        <f t="shared" si="254"/>
        <v>0</v>
      </c>
      <c r="EH111" s="1297">
        <f t="shared" si="254"/>
        <v>0</v>
      </c>
      <c r="EI111" s="1297">
        <f t="shared" si="254"/>
        <v>0</v>
      </c>
      <c r="EJ111" s="1297">
        <f t="shared" si="254"/>
        <v>0</v>
      </c>
      <c r="EK111" s="1297">
        <f t="shared" si="254"/>
        <v>0</v>
      </c>
      <c r="EL111" s="1297">
        <f t="shared" si="254"/>
        <v>0</v>
      </c>
      <c r="EM111" s="1297">
        <f t="shared" si="254"/>
        <v>0</v>
      </c>
      <c r="EN111" s="1297"/>
      <c r="EO111" s="1297">
        <f t="shared" si="255"/>
        <v>0</v>
      </c>
      <c r="EP111" s="1297">
        <f t="shared" si="255"/>
        <v>0</v>
      </c>
      <c r="EQ111" s="1297">
        <f t="shared" si="255"/>
        <v>0</v>
      </c>
      <c r="ER111" s="1297">
        <f t="shared" si="255"/>
        <v>0</v>
      </c>
      <c r="ES111" s="1297">
        <f t="shared" si="255"/>
        <v>0</v>
      </c>
      <c r="ET111" s="1297">
        <f t="shared" si="255"/>
        <v>0</v>
      </c>
      <c r="EU111" s="1297">
        <f t="shared" si="255"/>
        <v>0</v>
      </c>
      <c r="EV111" s="1297">
        <f t="shared" si="255"/>
        <v>0</v>
      </c>
      <c r="EW111" s="1297">
        <f t="shared" si="255"/>
        <v>0</v>
      </c>
      <c r="EX111" s="1297">
        <f t="shared" si="255"/>
        <v>0</v>
      </c>
      <c r="EY111" s="1297">
        <f t="shared" si="255"/>
        <v>0</v>
      </c>
      <c r="EZ111" s="1297">
        <f t="shared" si="255"/>
        <v>0</v>
      </c>
      <c r="FA111" s="1297"/>
      <c r="FB111" s="1317">
        <f t="shared" si="182"/>
        <v>0</v>
      </c>
      <c r="FC111" s="1297">
        <f>FB111+DB111+EB111                 -         SUMIF('Nährstoffe und Lagerraum'!$AX$113:$AX$155,$CZ111,'Nährstoffe und Lagerraum'!$U$113:$U$155)/12  -$GD111*$HE111/12</f>
        <v>0</v>
      </c>
      <c r="FD111" s="1297">
        <f>FC111+DC111+EC111                 -         SUMIF('Nährstoffe und Lagerraum'!$AX$113:$AX$155,$CZ111,'Nährstoffe und Lagerraum'!$U$113:$U$155)/12  -$GD111*$HE111/12</f>
        <v>0</v>
      </c>
      <c r="FE111" s="1297">
        <f>FD111+DD111+ED111                 -         SUMIF('Nährstoffe und Lagerraum'!$AX$113:$AX$155,$CZ111,'Nährstoffe und Lagerraum'!$U$113:$U$155)/12  -$GD111*$HE111/12</f>
        <v>0</v>
      </c>
      <c r="FF111" s="1297">
        <f>FE111+DE111+EE111                 -         SUMIF('Nährstoffe und Lagerraum'!$AX$113:$AX$155,$CZ111,'Nährstoffe und Lagerraum'!$U$113:$U$155)/12  -$GD111*$HE111/12</f>
        <v>0</v>
      </c>
      <c r="FG111" s="1297">
        <f>FF111+DF111+EF111                 -         SUMIF('Nährstoffe und Lagerraum'!$AX$113:$AX$155,$CZ111,'Nährstoffe und Lagerraum'!$U$113:$U$155)/12  -$GD111*$HE111/12</f>
        <v>0</v>
      </c>
      <c r="FH111" s="1297">
        <f>FG111+DG111+EG111                 -         SUMIF('Nährstoffe und Lagerraum'!$AX$113:$AX$155,$CZ111,'Nährstoffe und Lagerraum'!$U$113:$U$155)/12  -$GD111*$HE111/12</f>
        <v>0</v>
      </c>
      <c r="FI111" s="1297">
        <f>FH111+DH111+EH111                 -         SUMIF('Nährstoffe und Lagerraum'!$AX$113:$AX$155,$CZ111,'Nährstoffe und Lagerraum'!$U$113:$U$155)/12  -$GD111*$HE111/12</f>
        <v>0</v>
      </c>
      <c r="FJ111" s="1297">
        <f>FI111+DI111+EI111                 -         SUMIF('Nährstoffe und Lagerraum'!$AX$113:$AX$155,$CZ111,'Nährstoffe und Lagerraum'!$U$113:$U$155)/12  -$GD111*$HE111/12</f>
        <v>0</v>
      </c>
      <c r="FK111" s="1297">
        <f>FJ111+DJ111+EJ111                 -         SUMIF('Nährstoffe und Lagerraum'!$AX$113:$AX$155,$CZ111,'Nährstoffe und Lagerraum'!$U$113:$U$155)/12  -$GD111*$HE111/12</f>
        <v>0</v>
      </c>
      <c r="FL111" s="1297">
        <f>FK111+DK111+EK111                 -         SUMIF('Nährstoffe und Lagerraum'!$AX$113:$AX$155,$CZ111,'Nährstoffe und Lagerraum'!$U$113:$U$155)/12  -$GD111*$HE111/12</f>
        <v>0</v>
      </c>
      <c r="FM111" s="1297">
        <f>FL111+DL111+EL111                 -         SUMIF('Nährstoffe und Lagerraum'!$AX$113:$AX$155,$CZ111,'Nährstoffe und Lagerraum'!$U$113:$U$155)/12  -$GD111*$HE111/12</f>
        <v>0</v>
      </c>
      <c r="FN111" s="1297">
        <f>FM111+DM111+EM111                 -         SUMIF('Nährstoffe und Lagerraum'!$AX$113:$AX$155,$CZ111,'Nährstoffe und Lagerraum'!$U$113:$U$155)/12  -$GD111*$HE111/12</f>
        <v>0</v>
      </c>
      <c r="FO111" s="1297"/>
      <c r="FP111" s="1317">
        <f t="shared" si="183"/>
        <v>0</v>
      </c>
      <c r="FQ111" s="1297">
        <f>FP111+DO111+EO111                 -         SUMIF('Nährstoffe und Lagerraum'!$AX$113:$AX$155,$CZ111,'Nährstoffe und Lagerraum'!$V$113:$V$155)/12  -$GE111*$HE111/12</f>
        <v>0</v>
      </c>
      <c r="FR111" s="1297">
        <f>FQ111+DP111+EP111                 -         SUMIF('Nährstoffe und Lagerraum'!$AX$113:$AX$155,$CZ111,'Nährstoffe und Lagerraum'!$V$113:$V$155)/12  -$GE111*$HE111/12</f>
        <v>0</v>
      </c>
      <c r="FS111" s="1297">
        <f>FR111+DQ111+EQ111                 -         SUMIF('Nährstoffe und Lagerraum'!$AX$113:$AX$155,$CZ111,'Nährstoffe und Lagerraum'!$V$113:$V$155)/12  -$GE111*$HE111/12</f>
        <v>0</v>
      </c>
      <c r="FT111" s="1297">
        <f>FS111+DR111+ER111                 -         SUMIF('Nährstoffe und Lagerraum'!$AX$113:$AX$155,$CZ111,'Nährstoffe und Lagerraum'!$V$113:$V$155)/12  -$GE111*$HE111/12</f>
        <v>0</v>
      </c>
      <c r="FU111" s="1297">
        <f>FT111+DS111+ES111                 -         SUMIF('Nährstoffe und Lagerraum'!$AX$113:$AX$155,$CZ111,'Nährstoffe und Lagerraum'!$V$113:$V$155)/12  -$GE111*$HE111/12</f>
        <v>0</v>
      </c>
      <c r="FV111" s="1297">
        <f>FU111+DT111+ET111                 -         SUMIF('Nährstoffe und Lagerraum'!$AX$113:$AX$155,$CZ111,'Nährstoffe und Lagerraum'!$V$113:$V$155)/12  -$GE111*$HE111/12</f>
        <v>0</v>
      </c>
      <c r="FW111" s="1297">
        <f>FV111+DU111+EU111                 -         SUMIF('Nährstoffe und Lagerraum'!$AX$113:$AX$155,$CZ111,'Nährstoffe und Lagerraum'!$V$113:$V$155)/12  -$GE111*$HE111/12</f>
        <v>0</v>
      </c>
      <c r="FX111" s="1297">
        <f>FW111+DV111+EV111                 -         SUMIF('Nährstoffe und Lagerraum'!$AX$113:$AX$155,$CZ111,'Nährstoffe und Lagerraum'!$V$113:$V$155)/12  -$GE111*$HE111/12</f>
        <v>0</v>
      </c>
      <c r="FY111" s="1297">
        <f>FX111+DW111+EW111                 -         SUMIF('Nährstoffe und Lagerraum'!$AX$113:$AX$155,$CZ111,'Nährstoffe und Lagerraum'!$V$113:$V$155)/12  -$GE111*$HE111/12</f>
        <v>0</v>
      </c>
      <c r="FZ111" s="1297">
        <f>FY111+DX111+EX111                 -         SUMIF('Nährstoffe und Lagerraum'!$AX$113:$AX$155,$CZ111,'Nährstoffe und Lagerraum'!$V$113:$V$155)/12  -$GE111*$HE111/12</f>
        <v>0</v>
      </c>
      <c r="GA111" s="1297">
        <f>FZ111+DY111+EY111                 -         SUMIF('Nährstoffe und Lagerraum'!$AX$113:$AX$155,$CZ111,'Nährstoffe und Lagerraum'!$V$113:$V$155)/12  -$GE111*$HE111/12</f>
        <v>0</v>
      </c>
      <c r="GB111" s="1297">
        <f>GA111+DZ111+EZ111                 -         SUMIF('Nährstoffe und Lagerraum'!$AX$113:$AX$155,$CZ111,'Nährstoffe und Lagerraum'!$V$113:$V$155)/12  -$GE111*$HE111/12</f>
        <v>0</v>
      </c>
      <c r="GC111" s="1297"/>
      <c r="GD111" s="1297">
        <f>SUMIFS($CI$14:$CI$68,$BR$14:$BR$68,$CZ111)+SUMIFS($CM$14:$CM$68,$BR$14:$BR$68,$CZ111)+SUMIFS($CR$14:$CR$68,$BR$14:$BR$68,$CZ111)  -         SUMIF('Nährstoffe und Lagerraum'!$AX$113:$AX$155,$CZ111,'Nährstoffe und Lagerraum'!$U$113:$U$155)</f>
        <v>0</v>
      </c>
      <c r="GE111" s="1297">
        <f>SUMIFS($CJ$14:$CJ$68,$BR$14:$BR$68,$CZ111)+SUMIFS($CO$14:$CO$68,$BR$14:$BR$68,$CZ111)+SUMIFS($CT$14:$CT$68,$BR$14:$BR$68,$CZ111)  -         SUMIF('Nährstoffe und Lagerraum'!$AX$113:$AX$155,$CZ111,'Nährstoffe und Lagerraum'!$V$113:$V$155)</f>
        <v>0</v>
      </c>
      <c r="GF111" s="1297"/>
      <c r="GG111" s="1297"/>
      <c r="GH111" s="1297">
        <f>SUMIF('Nährstoffe und Lagerraum'!$AX$113:$AX$155,$CZ111,'Nährstoffe und Lagerraum'!$U$113:$U$155)</f>
        <v>0</v>
      </c>
      <c r="GI111" s="1184">
        <f>SUMIF('Nährstoffe und Lagerraum'!$AX$113:$AX$155,$CZ111,'Nährstoffe und Lagerraum'!$V$113:$V$155)</f>
        <v>0</v>
      </c>
      <c r="GJ111" s="1297">
        <f t="shared" si="221"/>
        <v>0</v>
      </c>
      <c r="GK111" s="1297">
        <f t="shared" si="222"/>
        <v>0</v>
      </c>
      <c r="GL111" s="1297">
        <f t="shared" si="223"/>
        <v>0</v>
      </c>
      <c r="GM111" s="1297">
        <f t="shared" si="224"/>
        <v>0</v>
      </c>
      <c r="GN111" s="1297">
        <f t="shared" si="225"/>
        <v>0</v>
      </c>
      <c r="GO111" s="1297" cm="1">
        <f t="array" ref="GO111">IF(GN111=0,0,(IFERROR(SUMPRODUCT($J$14:$J$68,$CH$14:$CH$68,($BR$14:$BR$68=CZ111)*1)+SUMPRODUCT($L$14:$L$68,$M$14:$M$68,$CK$14:$CK$68,($BR$14:$BR$68=CZ111)*1,($BT$14:$BT$68=FALSE)*1)/10+SUMPRODUCT($R$14:$R$68,$CP$14:$CP$68,($BR$14:$BR$68=CZ111)*1),0))/GN111)</f>
        <v>0</v>
      </c>
      <c r="GP111" s="1297">
        <f t="shared" si="226"/>
        <v>0</v>
      </c>
      <c r="GQ111" s="1297">
        <f>(SUMIF('Nährstoffe und Lagerraum'!$AX$113:$AX$130,'Lagerhaltung (freiwillig)'!CZ111,'Nährstoffe und Lagerraum'!$D$113:$D$130)+SUMIF('Nährstoffe und Lagerraum'!$AX$137:$AX$155,'Lagerhaltung (freiwillig)'!CZ111,'Nährstoffe und Lagerraum'!$E$137:$E$155))</f>
        <v>0</v>
      </c>
      <c r="GR111" s="1297" cm="1">
        <f t="array" ref="GR111">IF(GQ111=0,0,(IFERROR(SUMPRODUCT('Nährstoffe und Lagerraum'!$D$113:$D$130,'Nährstoffe und Lagerraum'!$F$113:$F$130,('Nährstoffe und Lagerraum'!$AX$113:$AX$130='Lagerhaltung (freiwillig)'!CZ111)*1)+SUMPRODUCT('Nährstoffe und Lagerraum'!$E$137:$E$155,'Nährstoffe und Lagerraum'!$F$137:$F$155,('Nährstoffe und Lagerraum'!$AX$137:$AX$155='Lagerhaltung (freiwillig)'!CZ111)*1),0))/GQ111)</f>
        <v>0</v>
      </c>
      <c r="GS111" s="1297">
        <f t="shared" si="227"/>
        <v>0</v>
      </c>
      <c r="GT111" s="1297">
        <f t="shared" si="228"/>
        <v>0</v>
      </c>
      <c r="GU111" s="1297">
        <f t="shared" si="229"/>
        <v>0</v>
      </c>
      <c r="GV111" s="1297">
        <f t="shared" si="230"/>
        <v>0</v>
      </c>
      <c r="GW111" s="1317" t="str">
        <f t="shared" si="177"/>
        <v xml:space="preserve"> </v>
      </c>
      <c r="GX111" s="1317" t="str">
        <f t="shared" si="177"/>
        <v xml:space="preserve"> </v>
      </c>
      <c r="GY111" s="1868">
        <f t="shared" si="231"/>
        <v>0</v>
      </c>
      <c r="GZ111" s="1297">
        <f t="shared" si="232"/>
        <v>0</v>
      </c>
      <c r="HA111" s="1297" t="str">
        <f t="shared" si="251"/>
        <v>a</v>
      </c>
      <c r="HB111" s="1318">
        <f t="shared" si="233"/>
        <v>0</v>
      </c>
      <c r="HC111" s="1318">
        <f t="shared" si="234"/>
        <v>0</v>
      </c>
      <c r="HD111" s="1318"/>
      <c r="HE111" s="1869">
        <f t="shared" si="235"/>
        <v>0</v>
      </c>
      <c r="HF111" s="1318">
        <f t="shared" si="236"/>
        <v>0</v>
      </c>
      <c r="HG111" s="1318">
        <f t="shared" si="237"/>
        <v>0</v>
      </c>
      <c r="HH111" s="1318">
        <f t="shared" si="238"/>
        <v>0</v>
      </c>
      <c r="HI111" s="1330" cm="1">
        <f t="array" ref="HI111">IF(AND(HG111=0,GL111=0),0,IF(HG111=0,1,IF(OR(GL111*1000/HG111/HH111&gt;INDEX(Pflanzen!$W$5:$W$104,CZ111)/INDEX(Pflanzen!$I$5:$I$104,CZ111)*$HI$2,GL111*1000/HG111/HH111&lt;INDEX(Pflanzen!$W$5:$W$104,CZ111)/INDEX(Pflanzen!$I$5:$I$104,CZ111)/$HI$2),1,0)))</f>
        <v>0</v>
      </c>
      <c r="HJ111" s="1330" cm="1">
        <f t="array" ref="HJ111">IF(AND(GM111=0,HG111=0),0,IF(HG111=0,1,IF(OR(GM111*1000/HG111/HH111&gt;INDEX(Pflanzen!$X$5:$X$104,CZ111)/INDEX(Pflanzen!$I$5:$I$104,CZ111)*$HI$2,GM111*1000/HG111/HH111&lt;INDEX(Pflanzen!$X$5:$X$104,CZ111)/INDEX(Pflanzen!$I$5:$I$104,CZ111)/$HI$2),1,0)))</f>
        <v>0</v>
      </c>
      <c r="HK111" s="1297">
        <f t="shared" si="239"/>
        <v>3</v>
      </c>
      <c r="HL111" s="1297"/>
      <c r="HN111" s="1184"/>
      <c r="HO111" s="1184"/>
      <c r="HP111" s="1184"/>
      <c r="HQ111" s="1184"/>
      <c r="HR111" s="1184"/>
      <c r="HS111" s="1184"/>
      <c r="HT111" s="1184"/>
      <c r="HU111" s="1184"/>
      <c r="HV111" s="1184"/>
      <c r="HW111" s="1184"/>
      <c r="HX111" s="1184"/>
      <c r="HY111" s="1184"/>
      <c r="HZ111" s="1184"/>
      <c r="IA111" s="1184"/>
      <c r="IB111" s="1184"/>
      <c r="IC111" s="1184"/>
      <c r="ID111" s="1184"/>
      <c r="IE111" s="1184"/>
      <c r="IF111" s="1184"/>
      <c r="IG111" s="1184"/>
      <c r="IH111" s="1184"/>
      <c r="II111" s="1184"/>
      <c r="IJ111" s="1184"/>
      <c r="IK111" s="1184"/>
      <c r="IL111" s="1184"/>
    </row>
    <row r="112" spans="1:246" ht="15.75" customHeight="1" x14ac:dyDescent="0.2">
      <c r="Y112" s="1981"/>
      <c r="Z112" s="1982"/>
      <c r="AA112" s="1982"/>
      <c r="AB112" s="1982"/>
      <c r="AC112" s="1983"/>
      <c r="AD112" s="1983"/>
      <c r="AE112" s="1983"/>
      <c r="AF112" s="1983"/>
      <c r="AG112" s="1983"/>
      <c r="AH112" s="1983"/>
      <c r="AI112" s="1983"/>
      <c r="AJ112" s="1983"/>
      <c r="AK112" s="1983"/>
      <c r="AL112" s="1984"/>
      <c r="AM112" s="1983"/>
      <c r="AN112" s="1983"/>
      <c r="AO112" s="1983"/>
      <c r="AP112" s="1983"/>
      <c r="AQ112" s="1983"/>
      <c r="AR112" s="1983"/>
      <c r="AS112" s="1983"/>
      <c r="AT112" s="1983"/>
      <c r="AU112" s="1983"/>
      <c r="AV112" s="1983"/>
      <c r="AW112" s="1985"/>
      <c r="AX112" s="1985"/>
      <c r="AY112" s="1985"/>
      <c r="AZ112" s="1985"/>
      <c r="BA112" s="1462"/>
      <c r="BB112" s="1462"/>
      <c r="BC112" s="1462"/>
      <c r="BD112" s="1461"/>
      <c r="BE112" s="1462"/>
      <c r="BF112" s="1343"/>
      <c r="BG112" s="1343"/>
      <c r="BH112" s="1343"/>
      <c r="BI112" s="1343"/>
      <c r="BJ112" s="1343"/>
      <c r="BK112" s="1343"/>
      <c r="BL112" s="1343"/>
      <c r="BM112" s="1343"/>
      <c r="BN112" s="1343"/>
      <c r="BO112" s="1343"/>
      <c r="BQ112" s="1184"/>
      <c r="BR112" s="1184"/>
      <c r="BS112" s="1184"/>
      <c r="BT112" s="1184"/>
      <c r="BU112" s="1200"/>
      <c r="BV112" s="1326"/>
      <c r="BW112" s="1326"/>
      <c r="BX112" s="1326"/>
      <c r="BY112" s="1557" t="s">
        <v>1113</v>
      </c>
      <c r="BZ112">
        <f>IF(COUNTIF(CA106:CD106,2)&gt;0,1,2)</f>
        <v>2</v>
      </c>
      <c r="CA112" s="1326" t="str">
        <f>IF(CA106=2,CA99,"")</f>
        <v/>
      </c>
      <c r="CB112" s="1326" t="str">
        <f t="shared" ref="CB112:CD112" si="256">IF(CB106=2,CB99,"")</f>
        <v/>
      </c>
      <c r="CC112" s="1326" t="str">
        <f t="shared" si="256"/>
        <v/>
      </c>
      <c r="CD112" s="1326" t="str">
        <f t="shared" si="256"/>
        <v/>
      </c>
      <c r="CE112" s="1326" t="str">
        <f>TRIM(CONCATENATE(CA112," ",CB112," ",CC112," ",CD112))</f>
        <v/>
      </c>
      <c r="CF112" s="1326"/>
      <c r="CG112" s="1326"/>
      <c r="CH112" s="1326"/>
      <c r="CI112" s="1326"/>
      <c r="CJ112" s="1326"/>
      <c r="CK112" s="1326"/>
      <c r="CL112" s="1184"/>
      <c r="CM112" s="1184"/>
      <c r="CN112" s="1184"/>
      <c r="CO112" s="1184"/>
      <c r="CP112" s="1184"/>
      <c r="CQ112" s="1184"/>
      <c r="CR112" s="1184"/>
      <c r="CS112" s="1184"/>
      <c r="CT112" s="1184"/>
      <c r="CU112" s="1184"/>
      <c r="CV112" s="1184"/>
      <c r="CW112" s="1184"/>
      <c r="CX112" s="1184"/>
      <c r="CY112" s="320" t="str">
        <f>Pflanzen!A108</f>
        <v>Sonstige Wirtschaftsdünger - Geflügel</v>
      </c>
      <c r="CZ112" s="1867">
        <f>IFERROR(MATCH($CY112,Pflanzen!$C$5:$C$114,0),1)</f>
        <v>109</v>
      </c>
      <c r="DA112" s="1364" cm="1">
        <f t="array" ref="DA112">INDEX(Pflanzen!$H$5:$H$114,'Lagerhaltung (freiwillig)'!CZ112)</f>
        <v>0</v>
      </c>
      <c r="DB112" s="1867">
        <f t="shared" si="252"/>
        <v>0</v>
      </c>
      <c r="DC112" s="1867">
        <f t="shared" si="252"/>
        <v>0</v>
      </c>
      <c r="DD112" s="1867">
        <f t="shared" si="252"/>
        <v>0</v>
      </c>
      <c r="DE112" s="1867">
        <f t="shared" si="252"/>
        <v>0</v>
      </c>
      <c r="DF112" s="1867">
        <f t="shared" si="252"/>
        <v>0</v>
      </c>
      <c r="DG112" s="1297">
        <f t="shared" si="252"/>
        <v>0</v>
      </c>
      <c r="DH112" s="1297">
        <f t="shared" si="252"/>
        <v>0</v>
      </c>
      <c r="DI112" s="1297">
        <f t="shared" si="252"/>
        <v>0</v>
      </c>
      <c r="DJ112" s="1297">
        <f t="shared" si="252"/>
        <v>0</v>
      </c>
      <c r="DK112" s="1297">
        <f t="shared" si="252"/>
        <v>0</v>
      </c>
      <c r="DL112" s="1297">
        <f t="shared" si="252"/>
        <v>0</v>
      </c>
      <c r="DM112" s="1297">
        <f t="shared" si="252"/>
        <v>0</v>
      </c>
      <c r="DN112" s="1297"/>
      <c r="DO112" s="1297">
        <f t="shared" si="253"/>
        <v>0</v>
      </c>
      <c r="DP112" s="1297">
        <f t="shared" si="253"/>
        <v>0</v>
      </c>
      <c r="DQ112" s="1297">
        <f t="shared" si="253"/>
        <v>0</v>
      </c>
      <c r="DR112" s="1297">
        <f t="shared" si="253"/>
        <v>0</v>
      </c>
      <c r="DS112" s="1297">
        <f t="shared" si="253"/>
        <v>0</v>
      </c>
      <c r="DT112" s="1297">
        <f t="shared" si="253"/>
        <v>0</v>
      </c>
      <c r="DU112" s="1297">
        <f t="shared" si="253"/>
        <v>0</v>
      </c>
      <c r="DV112" s="1297">
        <f t="shared" si="253"/>
        <v>0</v>
      </c>
      <c r="DW112" s="1297">
        <f t="shared" si="253"/>
        <v>0</v>
      </c>
      <c r="DX112" s="1297">
        <f t="shared" si="253"/>
        <v>0</v>
      </c>
      <c r="DY112" s="1297">
        <f t="shared" si="253"/>
        <v>0</v>
      </c>
      <c r="DZ112" s="1297">
        <f t="shared" si="253"/>
        <v>0</v>
      </c>
      <c r="EA112" s="1297"/>
      <c r="EB112" s="1297">
        <f t="shared" si="254"/>
        <v>0</v>
      </c>
      <c r="EC112" s="1297">
        <f t="shared" si="254"/>
        <v>0</v>
      </c>
      <c r="ED112" s="1297">
        <f t="shared" si="254"/>
        <v>0</v>
      </c>
      <c r="EE112" s="1297">
        <f t="shared" si="254"/>
        <v>0</v>
      </c>
      <c r="EF112" s="1297">
        <f t="shared" si="254"/>
        <v>0</v>
      </c>
      <c r="EG112" s="1297">
        <f t="shared" si="254"/>
        <v>0</v>
      </c>
      <c r="EH112" s="1297">
        <f t="shared" si="254"/>
        <v>0</v>
      </c>
      <c r="EI112" s="1297">
        <f t="shared" si="254"/>
        <v>0</v>
      </c>
      <c r="EJ112" s="1297">
        <f t="shared" si="254"/>
        <v>0</v>
      </c>
      <c r="EK112" s="1297">
        <f t="shared" si="254"/>
        <v>0</v>
      </c>
      <c r="EL112" s="1297">
        <f t="shared" si="254"/>
        <v>0</v>
      </c>
      <c r="EM112" s="1297">
        <f t="shared" si="254"/>
        <v>0</v>
      </c>
      <c r="EN112" s="1297"/>
      <c r="EO112" s="1297">
        <f t="shared" si="255"/>
        <v>0</v>
      </c>
      <c r="EP112" s="1297">
        <f t="shared" si="255"/>
        <v>0</v>
      </c>
      <c r="EQ112" s="1297">
        <f t="shared" si="255"/>
        <v>0</v>
      </c>
      <c r="ER112" s="1297">
        <f t="shared" si="255"/>
        <v>0</v>
      </c>
      <c r="ES112" s="1297">
        <f t="shared" si="255"/>
        <v>0</v>
      </c>
      <c r="ET112" s="1297">
        <f t="shared" si="255"/>
        <v>0</v>
      </c>
      <c r="EU112" s="1297">
        <f t="shared" si="255"/>
        <v>0</v>
      </c>
      <c r="EV112" s="1297">
        <f t="shared" si="255"/>
        <v>0</v>
      </c>
      <c r="EW112" s="1297">
        <f t="shared" si="255"/>
        <v>0</v>
      </c>
      <c r="EX112" s="1297">
        <f t="shared" si="255"/>
        <v>0</v>
      </c>
      <c r="EY112" s="1297">
        <f t="shared" si="255"/>
        <v>0</v>
      </c>
      <c r="EZ112" s="1297">
        <f t="shared" si="255"/>
        <v>0</v>
      </c>
      <c r="FA112" s="1297"/>
      <c r="FB112" s="1317">
        <f t="shared" si="182"/>
        <v>0</v>
      </c>
      <c r="FC112" s="1297">
        <f>FB112+DB112+EB112                 -         SUMIF('Nährstoffe und Lagerraum'!$AX$113:$AX$155,$CZ112,'Nährstoffe und Lagerraum'!$U$113:$U$155)/12  -$GD112*$HE112/12</f>
        <v>0</v>
      </c>
      <c r="FD112" s="1297">
        <f>FC112+DC112+EC112                 -         SUMIF('Nährstoffe und Lagerraum'!$AX$113:$AX$155,$CZ112,'Nährstoffe und Lagerraum'!$U$113:$U$155)/12  -$GD112*$HE112/12</f>
        <v>0</v>
      </c>
      <c r="FE112" s="1297">
        <f>FD112+DD112+ED112                 -         SUMIF('Nährstoffe und Lagerraum'!$AX$113:$AX$155,$CZ112,'Nährstoffe und Lagerraum'!$U$113:$U$155)/12  -$GD112*$HE112/12</f>
        <v>0</v>
      </c>
      <c r="FF112" s="1297">
        <f>FE112+DE112+EE112                 -         SUMIF('Nährstoffe und Lagerraum'!$AX$113:$AX$155,$CZ112,'Nährstoffe und Lagerraum'!$U$113:$U$155)/12  -$GD112*$HE112/12</f>
        <v>0</v>
      </c>
      <c r="FG112" s="1297">
        <f>FF112+DF112+EF112                 -         SUMIF('Nährstoffe und Lagerraum'!$AX$113:$AX$155,$CZ112,'Nährstoffe und Lagerraum'!$U$113:$U$155)/12  -$GD112*$HE112/12</f>
        <v>0</v>
      </c>
      <c r="FH112" s="1297">
        <f>FG112+DG112+EG112                 -         SUMIF('Nährstoffe und Lagerraum'!$AX$113:$AX$155,$CZ112,'Nährstoffe und Lagerraum'!$U$113:$U$155)/12  -$GD112*$HE112/12</f>
        <v>0</v>
      </c>
      <c r="FI112" s="1297">
        <f>FH112+DH112+EH112                 -         SUMIF('Nährstoffe und Lagerraum'!$AX$113:$AX$155,$CZ112,'Nährstoffe und Lagerraum'!$U$113:$U$155)/12  -$GD112*$HE112/12</f>
        <v>0</v>
      </c>
      <c r="FJ112" s="1297">
        <f>FI112+DI112+EI112                 -         SUMIF('Nährstoffe und Lagerraum'!$AX$113:$AX$155,$CZ112,'Nährstoffe und Lagerraum'!$U$113:$U$155)/12  -$GD112*$HE112/12</f>
        <v>0</v>
      </c>
      <c r="FK112" s="1297">
        <f>FJ112+DJ112+EJ112                 -         SUMIF('Nährstoffe und Lagerraum'!$AX$113:$AX$155,$CZ112,'Nährstoffe und Lagerraum'!$U$113:$U$155)/12  -$GD112*$HE112/12</f>
        <v>0</v>
      </c>
      <c r="FL112" s="1297">
        <f>FK112+DK112+EK112                 -         SUMIF('Nährstoffe und Lagerraum'!$AX$113:$AX$155,$CZ112,'Nährstoffe und Lagerraum'!$U$113:$U$155)/12  -$GD112*$HE112/12</f>
        <v>0</v>
      </c>
      <c r="FM112" s="1297">
        <f>FL112+DL112+EL112                 -         SUMIF('Nährstoffe und Lagerraum'!$AX$113:$AX$155,$CZ112,'Nährstoffe und Lagerraum'!$U$113:$U$155)/12  -$GD112*$HE112/12</f>
        <v>0</v>
      </c>
      <c r="FN112" s="1297">
        <f>FM112+DM112+EM112                 -         SUMIF('Nährstoffe und Lagerraum'!$AX$113:$AX$155,$CZ112,'Nährstoffe und Lagerraum'!$U$113:$U$155)/12  -$GD112*$HE112/12</f>
        <v>0</v>
      </c>
      <c r="FO112" s="1297"/>
      <c r="FP112" s="1317">
        <f t="shared" si="183"/>
        <v>0</v>
      </c>
      <c r="FQ112" s="1297">
        <f>FP112+DO112+EO112                 -         SUMIF('Nährstoffe und Lagerraum'!$AX$113:$AX$155,$CZ112,'Nährstoffe und Lagerraum'!$V$113:$V$155)/12  -$GE112*$HE112/12</f>
        <v>0</v>
      </c>
      <c r="FR112" s="1297">
        <f>FQ112+DP112+EP112                 -         SUMIF('Nährstoffe und Lagerraum'!$AX$113:$AX$155,$CZ112,'Nährstoffe und Lagerraum'!$V$113:$V$155)/12  -$GE112*$HE112/12</f>
        <v>0</v>
      </c>
      <c r="FS112" s="1297">
        <f>FR112+DQ112+EQ112                 -         SUMIF('Nährstoffe und Lagerraum'!$AX$113:$AX$155,$CZ112,'Nährstoffe und Lagerraum'!$V$113:$V$155)/12  -$GE112*$HE112/12</f>
        <v>0</v>
      </c>
      <c r="FT112" s="1297">
        <f>FS112+DR112+ER112                 -         SUMIF('Nährstoffe und Lagerraum'!$AX$113:$AX$155,$CZ112,'Nährstoffe und Lagerraum'!$V$113:$V$155)/12  -$GE112*$HE112/12</f>
        <v>0</v>
      </c>
      <c r="FU112" s="1297">
        <f>FT112+DS112+ES112                 -         SUMIF('Nährstoffe und Lagerraum'!$AX$113:$AX$155,$CZ112,'Nährstoffe und Lagerraum'!$V$113:$V$155)/12  -$GE112*$HE112/12</f>
        <v>0</v>
      </c>
      <c r="FV112" s="1297">
        <f>FU112+DT112+ET112                 -         SUMIF('Nährstoffe und Lagerraum'!$AX$113:$AX$155,$CZ112,'Nährstoffe und Lagerraum'!$V$113:$V$155)/12  -$GE112*$HE112/12</f>
        <v>0</v>
      </c>
      <c r="FW112" s="1297">
        <f>FV112+DU112+EU112                 -         SUMIF('Nährstoffe und Lagerraum'!$AX$113:$AX$155,$CZ112,'Nährstoffe und Lagerraum'!$V$113:$V$155)/12  -$GE112*$HE112/12</f>
        <v>0</v>
      </c>
      <c r="FX112" s="1297">
        <f>FW112+DV112+EV112                 -         SUMIF('Nährstoffe und Lagerraum'!$AX$113:$AX$155,$CZ112,'Nährstoffe und Lagerraum'!$V$113:$V$155)/12  -$GE112*$HE112/12</f>
        <v>0</v>
      </c>
      <c r="FY112" s="1297">
        <f>FX112+DW112+EW112                 -         SUMIF('Nährstoffe und Lagerraum'!$AX$113:$AX$155,$CZ112,'Nährstoffe und Lagerraum'!$V$113:$V$155)/12  -$GE112*$HE112/12</f>
        <v>0</v>
      </c>
      <c r="FZ112" s="1297">
        <f>FY112+DX112+EX112                 -         SUMIF('Nährstoffe und Lagerraum'!$AX$113:$AX$155,$CZ112,'Nährstoffe und Lagerraum'!$V$113:$V$155)/12  -$GE112*$HE112/12</f>
        <v>0</v>
      </c>
      <c r="GA112" s="1297">
        <f>FZ112+DY112+EY112                 -         SUMIF('Nährstoffe und Lagerraum'!$AX$113:$AX$155,$CZ112,'Nährstoffe und Lagerraum'!$V$113:$V$155)/12  -$GE112*$HE112/12</f>
        <v>0</v>
      </c>
      <c r="GB112" s="1297">
        <f>GA112+DZ112+EZ112                 -         SUMIF('Nährstoffe und Lagerraum'!$AX$113:$AX$155,$CZ112,'Nährstoffe und Lagerraum'!$V$113:$V$155)/12  -$GE112*$HE112/12</f>
        <v>0</v>
      </c>
      <c r="GC112" s="1297"/>
      <c r="GD112" s="1297">
        <f>SUMIFS($CI$14:$CI$68,$BR$14:$BR$68,$CZ112)+SUMIFS($CM$14:$CM$68,$BR$14:$BR$68,$CZ112)+SUMIFS($CR$14:$CR$68,$BR$14:$BR$68,$CZ112)  -         SUMIF('Nährstoffe und Lagerraum'!$AX$113:$AX$155,$CZ112,'Nährstoffe und Lagerraum'!$U$113:$U$155)</f>
        <v>0</v>
      </c>
      <c r="GE112" s="1297">
        <f>SUMIFS($CJ$14:$CJ$68,$BR$14:$BR$68,$CZ112)+SUMIFS($CO$14:$CO$68,$BR$14:$BR$68,$CZ112)+SUMIFS($CT$14:$CT$68,$BR$14:$BR$68,$CZ112)  -         SUMIF('Nährstoffe und Lagerraum'!$AX$113:$AX$155,$CZ112,'Nährstoffe und Lagerraum'!$V$113:$V$155)</f>
        <v>0</v>
      </c>
      <c r="GF112" s="1297"/>
      <c r="GG112" s="1297"/>
      <c r="GH112" s="1297">
        <f>SUMIF('Nährstoffe und Lagerraum'!$AX$113:$AX$155,$CZ112,'Nährstoffe und Lagerraum'!$U$113:$U$155)</f>
        <v>0</v>
      </c>
      <c r="GI112" s="1184">
        <f>SUMIF('Nährstoffe und Lagerraum'!$AX$113:$AX$155,$CZ112,'Nährstoffe und Lagerraum'!$V$113:$V$155)</f>
        <v>0</v>
      </c>
      <c r="GJ112" s="1297">
        <f t="shared" si="221"/>
        <v>0</v>
      </c>
      <c r="GK112" s="1297">
        <f t="shared" si="222"/>
        <v>0</v>
      </c>
      <c r="GL112" s="1297">
        <f t="shared" si="223"/>
        <v>0</v>
      </c>
      <c r="GM112" s="1297">
        <f t="shared" si="224"/>
        <v>0</v>
      </c>
      <c r="GN112" s="1297">
        <f t="shared" si="225"/>
        <v>0</v>
      </c>
      <c r="GO112" s="1297" cm="1">
        <f t="array" ref="GO112">IF(GN112=0,0,(IFERROR(SUMPRODUCT($J$14:$J$68,$CH$14:$CH$68,($BR$14:$BR$68=CZ112)*1)+SUMPRODUCT($L$14:$L$68,$M$14:$M$68,$CK$14:$CK$68,($BR$14:$BR$68=CZ112)*1,($BT$14:$BT$68=FALSE)*1)/10+SUMPRODUCT($R$14:$R$68,$CP$14:$CP$68,($BR$14:$BR$68=CZ112)*1),0))/GN112)</f>
        <v>0</v>
      </c>
      <c r="GP112" s="1297">
        <f t="shared" si="226"/>
        <v>0</v>
      </c>
      <c r="GQ112" s="1297">
        <f>(SUMIF('Nährstoffe und Lagerraum'!$AX$113:$AX$130,'Lagerhaltung (freiwillig)'!CZ112,'Nährstoffe und Lagerraum'!$D$113:$D$130)+SUMIF('Nährstoffe und Lagerraum'!$AX$137:$AX$155,'Lagerhaltung (freiwillig)'!CZ112,'Nährstoffe und Lagerraum'!$E$137:$E$155))</f>
        <v>0</v>
      </c>
      <c r="GR112" s="1297" cm="1">
        <f t="array" ref="GR112">IF(GQ112=0,0,(IFERROR(SUMPRODUCT('Nährstoffe und Lagerraum'!$D$113:$D$130,'Nährstoffe und Lagerraum'!$F$113:$F$130,('Nährstoffe und Lagerraum'!$AX$113:$AX$130='Lagerhaltung (freiwillig)'!CZ112)*1)+SUMPRODUCT('Nährstoffe und Lagerraum'!$E$137:$E$155,'Nährstoffe und Lagerraum'!$F$137:$F$155,('Nährstoffe und Lagerraum'!$AX$137:$AX$155='Lagerhaltung (freiwillig)'!CZ112)*1),0))/GQ112)</f>
        <v>0</v>
      </c>
      <c r="GS112" s="1297">
        <f t="shared" si="227"/>
        <v>0</v>
      </c>
      <c r="GT112" s="1297">
        <f t="shared" si="228"/>
        <v>0</v>
      </c>
      <c r="GU112" s="1297">
        <f t="shared" si="229"/>
        <v>0</v>
      </c>
      <c r="GV112" s="1297">
        <f t="shared" si="230"/>
        <v>0</v>
      </c>
      <c r="GW112" s="1317" t="str">
        <f t="shared" si="177"/>
        <v xml:space="preserve"> </v>
      </c>
      <c r="GX112" s="1317" t="str">
        <f t="shared" si="177"/>
        <v xml:space="preserve"> </v>
      </c>
      <c r="GY112" s="1868">
        <f t="shared" si="231"/>
        <v>0</v>
      </c>
      <c r="GZ112" s="1297">
        <f t="shared" si="232"/>
        <v>0</v>
      </c>
      <c r="HA112" s="1297" t="str">
        <f t="shared" si="251"/>
        <v>a</v>
      </c>
      <c r="HB112" s="1318">
        <f t="shared" si="233"/>
        <v>0</v>
      </c>
      <c r="HC112" s="1318">
        <f t="shared" si="234"/>
        <v>0</v>
      </c>
      <c r="HD112" s="1318"/>
      <c r="HE112" s="1869">
        <f t="shared" si="235"/>
        <v>0</v>
      </c>
      <c r="HF112" s="1318">
        <f t="shared" si="236"/>
        <v>0</v>
      </c>
      <c r="HG112" s="1318">
        <f t="shared" si="237"/>
        <v>0</v>
      </c>
      <c r="HH112" s="1318">
        <f t="shared" si="238"/>
        <v>0</v>
      </c>
      <c r="HI112" s="1330" cm="1">
        <f t="array" ref="HI112">IF(AND(HG112=0,GL112=0),0,IF(HG112=0,1,IF(OR(GL112*1000/HG112/HH112&gt;INDEX(Pflanzen!$W$5:$W$104,CZ112)/INDEX(Pflanzen!$I$5:$I$104,CZ112)*$HI$2,GL112*1000/HG112/HH112&lt;INDEX(Pflanzen!$W$5:$W$104,CZ112)/INDEX(Pflanzen!$I$5:$I$104,CZ112)/$HI$2),1,0)))</f>
        <v>0</v>
      </c>
      <c r="HJ112" s="1330" cm="1">
        <f t="array" ref="HJ112">IF(AND(GM112=0,HG112=0),0,IF(HG112=0,1,IF(OR(GM112*1000/HG112/HH112&gt;INDEX(Pflanzen!$X$5:$X$104,CZ112)/INDEX(Pflanzen!$I$5:$I$104,CZ112)*$HI$2,GM112*1000/HG112/HH112&lt;INDEX(Pflanzen!$X$5:$X$104,CZ112)/INDEX(Pflanzen!$I$5:$I$104,CZ112)/$HI$2),1,0)))</f>
        <v>0</v>
      </c>
      <c r="HK112" s="1297">
        <f t="shared" si="239"/>
        <v>3</v>
      </c>
      <c r="HL112" s="1297"/>
      <c r="HN112" s="1184"/>
      <c r="HO112" s="1184"/>
      <c r="HP112" s="1184"/>
      <c r="HQ112" s="1184"/>
      <c r="HR112" s="1184"/>
      <c r="HS112" s="1184"/>
      <c r="HT112" s="1184"/>
      <c r="HU112" s="1184"/>
      <c r="HV112" s="1184"/>
      <c r="HW112" s="1184"/>
      <c r="HX112" s="1184"/>
      <c r="HY112" s="1184"/>
      <c r="HZ112" s="1184"/>
      <c r="IA112" s="1184"/>
      <c r="IB112" s="1184"/>
      <c r="IC112" s="1184"/>
      <c r="ID112" s="1184"/>
      <c r="IE112" s="1184"/>
      <c r="IF112" s="1184"/>
      <c r="IG112" s="1184"/>
      <c r="IH112" s="1184"/>
      <c r="II112" s="1184"/>
      <c r="IJ112" s="1184"/>
      <c r="IK112" s="1184"/>
      <c r="IL112" s="1184"/>
    </row>
    <row r="113" spans="25:246" ht="15.75" customHeight="1" x14ac:dyDescent="0.2">
      <c r="Y113" s="1981"/>
      <c r="Z113" s="1982"/>
      <c r="AA113" s="1982"/>
      <c r="AB113" s="1982"/>
      <c r="AC113" s="1983"/>
      <c r="AD113" s="1983"/>
      <c r="AE113" s="1983"/>
      <c r="AF113" s="1983"/>
      <c r="AG113" s="1983"/>
      <c r="AH113" s="1983"/>
      <c r="AI113" s="1983"/>
      <c r="AJ113" s="1983"/>
      <c r="AK113" s="1983"/>
      <c r="AL113" s="1984"/>
      <c r="AM113" s="1983"/>
      <c r="AN113" s="1983"/>
      <c r="AO113" s="1983"/>
      <c r="AP113" s="1983"/>
      <c r="AQ113" s="1983"/>
      <c r="AR113" s="1983"/>
      <c r="AS113" s="1983"/>
      <c r="AT113" s="1983"/>
      <c r="AU113" s="1983"/>
      <c r="AV113" s="1983"/>
      <c r="AW113" s="1985"/>
      <c r="AX113" s="1985"/>
      <c r="AY113" s="1985"/>
      <c r="AZ113" s="1985"/>
      <c r="BA113" s="1462"/>
      <c r="BB113" s="1462"/>
      <c r="BC113" s="1462"/>
      <c r="BD113" s="1461"/>
      <c r="BE113" s="1462"/>
      <c r="BF113" s="1343"/>
      <c r="BG113" s="1343"/>
      <c r="BH113" s="1343"/>
      <c r="BI113" s="1343"/>
      <c r="BJ113" s="1343"/>
      <c r="BK113" s="1343"/>
      <c r="BL113" s="1343"/>
      <c r="BM113" s="1343"/>
      <c r="BN113" s="1343"/>
      <c r="BO113" s="1343"/>
      <c r="BQ113" s="1184"/>
      <c r="BR113" s="1184"/>
      <c r="BS113" s="1184"/>
      <c r="BT113" s="1184"/>
      <c r="BU113" s="1200"/>
      <c r="BV113" s="1326"/>
      <c r="BW113" s="1326"/>
      <c r="BX113" s="1326"/>
      <c r="BY113" s="1557" t="s">
        <v>8340</v>
      </c>
      <c r="BZ113">
        <f>IF(COUNTIF(CA106:CD106,3)&gt;0,1,2)</f>
        <v>2</v>
      </c>
      <c r="CA113" s="1326" t="str">
        <f>IF(CA106=3,CA99,"")</f>
        <v/>
      </c>
      <c r="CB113" s="1326" t="str">
        <f t="shared" ref="CB113:CD113" si="257">IF(CB106=3,CB99,"")</f>
        <v/>
      </c>
      <c r="CC113" s="1326" t="str">
        <f t="shared" si="257"/>
        <v/>
      </c>
      <c r="CD113" s="1326" t="str">
        <f t="shared" si="257"/>
        <v/>
      </c>
      <c r="CE113" s="1326" t="str">
        <f>TRIM(CONCATENATE(CA113," ",CB113," ",CC113," ",CD113))</f>
        <v/>
      </c>
      <c r="CF113" s="1326"/>
      <c r="CG113" s="1326"/>
      <c r="CH113" s="1326"/>
      <c r="CI113" s="1326"/>
      <c r="CJ113" s="1326"/>
      <c r="CK113" s="1326"/>
      <c r="CL113" s="1184"/>
      <c r="CM113" s="1184"/>
      <c r="CN113" s="1184"/>
      <c r="CO113" s="1184"/>
      <c r="CP113" s="1184"/>
      <c r="CQ113" s="1184"/>
      <c r="CR113" s="1184"/>
      <c r="CS113" s="1184"/>
      <c r="CT113" s="1184"/>
      <c r="CU113" s="1184"/>
      <c r="CV113" s="1184"/>
      <c r="CW113" s="1184"/>
      <c r="CX113" s="1184"/>
      <c r="CY113" s="320" t="str">
        <f>Pflanzen!A109</f>
        <v xml:space="preserve"> +++sonstige tier. Herk. nur Zukauf+++</v>
      </c>
      <c r="CZ113" s="1867">
        <f>IFERROR(MATCH($CY113,Pflanzen!$C$5:$C$114,0),1)</f>
        <v>98</v>
      </c>
      <c r="DA113" s="1364" cm="1">
        <f t="array" ref="DA113">INDEX(Pflanzen!$H$5:$H$114,'Lagerhaltung (freiwillig)'!CZ113)</f>
        <v>0</v>
      </c>
      <c r="DB113" s="1867">
        <f t="shared" si="252"/>
        <v>0</v>
      </c>
      <c r="DC113" s="1867">
        <f t="shared" si="252"/>
        <v>0</v>
      </c>
      <c r="DD113" s="1867">
        <f t="shared" si="252"/>
        <v>0</v>
      </c>
      <c r="DE113" s="1867">
        <f t="shared" si="252"/>
        <v>0</v>
      </c>
      <c r="DF113" s="1867">
        <f t="shared" si="252"/>
        <v>0</v>
      </c>
      <c r="DG113" s="1297">
        <f t="shared" si="252"/>
        <v>0</v>
      </c>
      <c r="DH113" s="1297">
        <f t="shared" si="252"/>
        <v>0</v>
      </c>
      <c r="DI113" s="1297">
        <f t="shared" si="252"/>
        <v>0</v>
      </c>
      <c r="DJ113" s="1297">
        <f t="shared" si="252"/>
        <v>0</v>
      </c>
      <c r="DK113" s="1297">
        <f t="shared" si="252"/>
        <v>0</v>
      </c>
      <c r="DL113" s="1297">
        <f t="shared" si="252"/>
        <v>0</v>
      </c>
      <c r="DM113" s="1297">
        <f t="shared" si="252"/>
        <v>0</v>
      </c>
      <c r="DN113" s="1297"/>
      <c r="DO113" s="1297">
        <f t="shared" si="253"/>
        <v>0</v>
      </c>
      <c r="DP113" s="1297">
        <f t="shared" si="253"/>
        <v>0</v>
      </c>
      <c r="DQ113" s="1297">
        <f t="shared" si="253"/>
        <v>0</v>
      </c>
      <c r="DR113" s="1297">
        <f t="shared" si="253"/>
        <v>0</v>
      </c>
      <c r="DS113" s="1297">
        <f t="shared" si="253"/>
        <v>0</v>
      </c>
      <c r="DT113" s="1297">
        <f t="shared" si="253"/>
        <v>0</v>
      </c>
      <c r="DU113" s="1297">
        <f t="shared" si="253"/>
        <v>0</v>
      </c>
      <c r="DV113" s="1297">
        <f t="shared" si="253"/>
        <v>0</v>
      </c>
      <c r="DW113" s="1297">
        <f t="shared" si="253"/>
        <v>0</v>
      </c>
      <c r="DX113" s="1297">
        <f t="shared" si="253"/>
        <v>0</v>
      </c>
      <c r="DY113" s="1297">
        <f t="shared" si="253"/>
        <v>0</v>
      </c>
      <c r="DZ113" s="1297">
        <f t="shared" si="253"/>
        <v>0</v>
      </c>
      <c r="EA113" s="1297"/>
      <c r="EB113" s="1297">
        <f t="shared" si="254"/>
        <v>0</v>
      </c>
      <c r="EC113" s="1297">
        <f t="shared" si="254"/>
        <v>0</v>
      </c>
      <c r="ED113" s="1297">
        <f t="shared" si="254"/>
        <v>0</v>
      </c>
      <c r="EE113" s="1297">
        <f t="shared" si="254"/>
        <v>0</v>
      </c>
      <c r="EF113" s="1297">
        <f t="shared" si="254"/>
        <v>0</v>
      </c>
      <c r="EG113" s="1297">
        <f t="shared" si="254"/>
        <v>0</v>
      </c>
      <c r="EH113" s="1297">
        <f t="shared" si="254"/>
        <v>0</v>
      </c>
      <c r="EI113" s="1297">
        <f t="shared" si="254"/>
        <v>0</v>
      </c>
      <c r="EJ113" s="1297">
        <f t="shared" si="254"/>
        <v>0</v>
      </c>
      <c r="EK113" s="1297">
        <f t="shared" si="254"/>
        <v>0</v>
      </c>
      <c r="EL113" s="1297">
        <f t="shared" si="254"/>
        <v>0</v>
      </c>
      <c r="EM113" s="1297">
        <f t="shared" si="254"/>
        <v>0</v>
      </c>
      <c r="EN113" s="1297"/>
      <c r="EO113" s="1297">
        <f t="shared" si="255"/>
        <v>0</v>
      </c>
      <c r="EP113" s="1297">
        <f t="shared" si="255"/>
        <v>0</v>
      </c>
      <c r="EQ113" s="1297">
        <f t="shared" si="255"/>
        <v>0</v>
      </c>
      <c r="ER113" s="1297">
        <f t="shared" si="255"/>
        <v>0</v>
      </c>
      <c r="ES113" s="1297">
        <f t="shared" si="255"/>
        <v>0</v>
      </c>
      <c r="ET113" s="1297">
        <f t="shared" si="255"/>
        <v>0</v>
      </c>
      <c r="EU113" s="1297">
        <f t="shared" si="255"/>
        <v>0</v>
      </c>
      <c r="EV113" s="1297">
        <f t="shared" si="255"/>
        <v>0</v>
      </c>
      <c r="EW113" s="1297">
        <f t="shared" si="255"/>
        <v>0</v>
      </c>
      <c r="EX113" s="1297">
        <f t="shared" si="255"/>
        <v>0</v>
      </c>
      <c r="EY113" s="1297">
        <f t="shared" si="255"/>
        <v>0</v>
      </c>
      <c r="EZ113" s="1297">
        <f t="shared" si="255"/>
        <v>0</v>
      </c>
      <c r="FA113" s="1297"/>
      <c r="FB113" s="1317">
        <f t="shared" si="182"/>
        <v>0</v>
      </c>
      <c r="FC113" s="1297">
        <f>FB113+DB113+EB113                 -         SUMIF('Nährstoffe und Lagerraum'!$AX$113:$AX$155,$CZ113,'Nährstoffe und Lagerraum'!$U$113:$U$155)/12  -$GD113*$HE113/12</f>
        <v>0</v>
      </c>
      <c r="FD113" s="1297">
        <f>FC113+DC113+EC113                 -         SUMIF('Nährstoffe und Lagerraum'!$AX$113:$AX$155,$CZ113,'Nährstoffe und Lagerraum'!$U$113:$U$155)/12  -$GD113*$HE113/12</f>
        <v>0</v>
      </c>
      <c r="FE113" s="1297">
        <f>FD113+DD113+ED113                 -         SUMIF('Nährstoffe und Lagerraum'!$AX$113:$AX$155,$CZ113,'Nährstoffe und Lagerraum'!$U$113:$U$155)/12  -$GD113*$HE113/12</f>
        <v>0</v>
      </c>
      <c r="FF113" s="1297">
        <f>FE113+DE113+EE113                 -         SUMIF('Nährstoffe und Lagerraum'!$AX$113:$AX$155,$CZ113,'Nährstoffe und Lagerraum'!$U$113:$U$155)/12  -$GD113*$HE113/12</f>
        <v>0</v>
      </c>
      <c r="FG113" s="1297">
        <f>FF113+DF113+EF113                 -         SUMIF('Nährstoffe und Lagerraum'!$AX$113:$AX$155,$CZ113,'Nährstoffe und Lagerraum'!$U$113:$U$155)/12  -$GD113*$HE113/12</f>
        <v>0</v>
      </c>
      <c r="FH113" s="1297">
        <f>FG113+DG113+EG113                 -         SUMIF('Nährstoffe und Lagerraum'!$AX$113:$AX$155,$CZ113,'Nährstoffe und Lagerraum'!$U$113:$U$155)/12  -$GD113*$HE113/12</f>
        <v>0</v>
      </c>
      <c r="FI113" s="1297">
        <f>FH113+DH113+EH113                 -         SUMIF('Nährstoffe und Lagerraum'!$AX$113:$AX$155,$CZ113,'Nährstoffe und Lagerraum'!$U$113:$U$155)/12  -$GD113*$HE113/12</f>
        <v>0</v>
      </c>
      <c r="FJ113" s="1297">
        <f>FI113+DI113+EI113                 -         SUMIF('Nährstoffe und Lagerraum'!$AX$113:$AX$155,$CZ113,'Nährstoffe und Lagerraum'!$U$113:$U$155)/12  -$GD113*$HE113/12</f>
        <v>0</v>
      </c>
      <c r="FK113" s="1297">
        <f>FJ113+DJ113+EJ113                 -         SUMIF('Nährstoffe und Lagerraum'!$AX$113:$AX$155,$CZ113,'Nährstoffe und Lagerraum'!$U$113:$U$155)/12  -$GD113*$HE113/12</f>
        <v>0</v>
      </c>
      <c r="FL113" s="1297">
        <f>FK113+DK113+EK113                 -         SUMIF('Nährstoffe und Lagerraum'!$AX$113:$AX$155,$CZ113,'Nährstoffe und Lagerraum'!$U$113:$U$155)/12  -$GD113*$HE113/12</f>
        <v>0</v>
      </c>
      <c r="FM113" s="1297">
        <f>FL113+DL113+EL113                 -         SUMIF('Nährstoffe und Lagerraum'!$AX$113:$AX$155,$CZ113,'Nährstoffe und Lagerraum'!$U$113:$U$155)/12  -$GD113*$HE113/12</f>
        <v>0</v>
      </c>
      <c r="FN113" s="1297">
        <f>FM113+DM113+EM113                 -         SUMIF('Nährstoffe und Lagerraum'!$AX$113:$AX$155,$CZ113,'Nährstoffe und Lagerraum'!$U$113:$U$155)/12  -$GD113*$HE113/12</f>
        <v>0</v>
      </c>
      <c r="FO113" s="1297"/>
      <c r="FP113" s="1317">
        <f t="shared" si="183"/>
        <v>0</v>
      </c>
      <c r="FQ113" s="1297">
        <f>FP113+DO113+EO113                 -         SUMIF('Nährstoffe und Lagerraum'!$AX$113:$AX$155,$CZ113,'Nährstoffe und Lagerraum'!$V$113:$V$155)/12  -$GE113*$HE113/12</f>
        <v>0</v>
      </c>
      <c r="FR113" s="1297">
        <f>FQ113+DP113+EP113                 -         SUMIF('Nährstoffe und Lagerraum'!$AX$113:$AX$155,$CZ113,'Nährstoffe und Lagerraum'!$V$113:$V$155)/12  -$GE113*$HE113/12</f>
        <v>0</v>
      </c>
      <c r="FS113" s="1297">
        <f>FR113+DQ113+EQ113                 -         SUMIF('Nährstoffe und Lagerraum'!$AX$113:$AX$155,$CZ113,'Nährstoffe und Lagerraum'!$V$113:$V$155)/12  -$GE113*$HE113/12</f>
        <v>0</v>
      </c>
      <c r="FT113" s="1297">
        <f>FS113+DR113+ER113                 -         SUMIF('Nährstoffe und Lagerraum'!$AX$113:$AX$155,$CZ113,'Nährstoffe und Lagerraum'!$V$113:$V$155)/12  -$GE113*$HE113/12</f>
        <v>0</v>
      </c>
      <c r="FU113" s="1297">
        <f>FT113+DS113+ES113                 -         SUMIF('Nährstoffe und Lagerraum'!$AX$113:$AX$155,$CZ113,'Nährstoffe und Lagerraum'!$V$113:$V$155)/12  -$GE113*$HE113/12</f>
        <v>0</v>
      </c>
      <c r="FV113" s="1297">
        <f>FU113+DT113+ET113                 -         SUMIF('Nährstoffe und Lagerraum'!$AX$113:$AX$155,$CZ113,'Nährstoffe und Lagerraum'!$V$113:$V$155)/12  -$GE113*$HE113/12</f>
        <v>0</v>
      </c>
      <c r="FW113" s="1297">
        <f>FV113+DU113+EU113                 -         SUMIF('Nährstoffe und Lagerraum'!$AX$113:$AX$155,$CZ113,'Nährstoffe und Lagerraum'!$V$113:$V$155)/12  -$GE113*$HE113/12</f>
        <v>0</v>
      </c>
      <c r="FX113" s="1297">
        <f>FW113+DV113+EV113                 -         SUMIF('Nährstoffe und Lagerraum'!$AX$113:$AX$155,$CZ113,'Nährstoffe und Lagerraum'!$V$113:$V$155)/12  -$GE113*$HE113/12</f>
        <v>0</v>
      </c>
      <c r="FY113" s="1297">
        <f>FX113+DW113+EW113                 -         SUMIF('Nährstoffe und Lagerraum'!$AX$113:$AX$155,$CZ113,'Nährstoffe und Lagerraum'!$V$113:$V$155)/12  -$GE113*$HE113/12</f>
        <v>0</v>
      </c>
      <c r="FZ113" s="1297">
        <f>FY113+DX113+EX113                 -         SUMIF('Nährstoffe und Lagerraum'!$AX$113:$AX$155,$CZ113,'Nährstoffe und Lagerraum'!$V$113:$V$155)/12  -$GE113*$HE113/12</f>
        <v>0</v>
      </c>
      <c r="GA113" s="1297">
        <f>FZ113+DY113+EY113                 -         SUMIF('Nährstoffe und Lagerraum'!$AX$113:$AX$155,$CZ113,'Nährstoffe und Lagerraum'!$V$113:$V$155)/12  -$GE113*$HE113/12</f>
        <v>0</v>
      </c>
      <c r="GB113" s="1297">
        <f>GA113+DZ113+EZ113                 -         SUMIF('Nährstoffe und Lagerraum'!$AX$113:$AX$155,$CZ113,'Nährstoffe und Lagerraum'!$V$113:$V$155)/12  -$GE113*$HE113/12</f>
        <v>0</v>
      </c>
      <c r="GC113" s="1297"/>
      <c r="GD113" s="1297">
        <f>SUMIFS($CI$14:$CI$68,$BR$14:$BR$68,$CZ113)+SUMIFS($CM$14:$CM$68,$BR$14:$BR$68,$CZ113)+SUMIFS($CR$14:$CR$68,$BR$14:$BR$68,$CZ113)  -         SUMIF('Nährstoffe und Lagerraum'!$AX$113:$AX$155,$CZ113,'Nährstoffe und Lagerraum'!$U$113:$U$155)</f>
        <v>0</v>
      </c>
      <c r="GE113" s="1297">
        <f>SUMIFS($CJ$14:$CJ$68,$BR$14:$BR$68,$CZ113)+SUMIFS($CO$14:$CO$68,$BR$14:$BR$68,$CZ113)+SUMIFS($CT$14:$CT$68,$BR$14:$BR$68,$CZ113)  -         SUMIF('Nährstoffe und Lagerraum'!$AX$113:$AX$155,$CZ113,'Nährstoffe und Lagerraum'!$V$113:$V$155)</f>
        <v>0</v>
      </c>
      <c r="GF113" s="1297"/>
      <c r="GG113" s="1297"/>
      <c r="GH113" s="1297">
        <f>SUMIF('Nährstoffe und Lagerraum'!$AX$113:$AX$155,$CZ113,'Nährstoffe und Lagerraum'!$U$113:$U$155)</f>
        <v>0</v>
      </c>
      <c r="GI113" s="1184">
        <f>SUMIF('Nährstoffe und Lagerraum'!$AX$113:$AX$155,$CZ113,'Nährstoffe und Lagerraum'!$V$113:$V$155)</f>
        <v>0</v>
      </c>
      <c r="GJ113" s="1297">
        <f t="shared" si="221"/>
        <v>0</v>
      </c>
      <c r="GK113" s="1297">
        <f t="shared" si="222"/>
        <v>0</v>
      </c>
      <c r="GL113" s="1297">
        <f t="shared" si="223"/>
        <v>0</v>
      </c>
      <c r="GM113" s="1297">
        <f t="shared" si="224"/>
        <v>0</v>
      </c>
      <c r="GN113" s="1297">
        <f t="shared" si="225"/>
        <v>0</v>
      </c>
      <c r="GO113" s="1297" cm="1">
        <f t="array" ref="GO113">IF(GN113=0,0,(IFERROR(SUMPRODUCT($J$14:$J$68,$CH$14:$CH$68,($BR$14:$BR$68=CZ113)*1)+SUMPRODUCT($L$14:$L$68,$M$14:$M$68,$CK$14:$CK$68,($BR$14:$BR$68=CZ113)*1,($BT$14:$BT$68=FALSE)*1)/10+SUMPRODUCT($R$14:$R$68,$CP$14:$CP$68,($BR$14:$BR$68=CZ113)*1),0))/GN113)</f>
        <v>0</v>
      </c>
      <c r="GP113" s="1297">
        <f t="shared" si="226"/>
        <v>0</v>
      </c>
      <c r="GQ113" s="1297">
        <f>(SUMIF('Nährstoffe und Lagerraum'!$AX$113:$AX$130,'Lagerhaltung (freiwillig)'!CZ113,'Nährstoffe und Lagerraum'!$D$113:$D$130)+SUMIF('Nährstoffe und Lagerraum'!$AX$137:$AX$155,'Lagerhaltung (freiwillig)'!CZ113,'Nährstoffe und Lagerraum'!$E$137:$E$155))</f>
        <v>0</v>
      </c>
      <c r="GR113" s="1297" cm="1">
        <f t="array" ref="GR113">IF(GQ113=0,0,(IFERROR(SUMPRODUCT('Nährstoffe und Lagerraum'!$D$113:$D$130,'Nährstoffe und Lagerraum'!$F$113:$F$130,('Nährstoffe und Lagerraum'!$AX$113:$AX$130='Lagerhaltung (freiwillig)'!CZ113)*1)+SUMPRODUCT('Nährstoffe und Lagerraum'!$E$137:$E$155,'Nährstoffe und Lagerraum'!$F$137:$F$155,('Nährstoffe und Lagerraum'!$AX$137:$AX$155='Lagerhaltung (freiwillig)'!CZ113)*1),0))/GQ113)</f>
        <v>0</v>
      </c>
      <c r="GS113" s="1297">
        <f t="shared" si="227"/>
        <v>0</v>
      </c>
      <c r="GT113" s="1297">
        <f t="shared" si="228"/>
        <v>0</v>
      </c>
      <c r="GU113" s="1297">
        <f t="shared" si="229"/>
        <v>0</v>
      </c>
      <c r="GV113" s="1297">
        <f t="shared" si="230"/>
        <v>0</v>
      </c>
      <c r="GW113" s="1317" t="str">
        <f t="shared" si="177"/>
        <v xml:space="preserve"> </v>
      </c>
      <c r="GX113" s="1317" t="str">
        <f t="shared" si="177"/>
        <v xml:space="preserve"> </v>
      </c>
      <c r="GY113" s="1868">
        <f t="shared" si="231"/>
        <v>0</v>
      </c>
      <c r="GZ113" s="1297">
        <f t="shared" si="232"/>
        <v>0</v>
      </c>
      <c r="HA113" s="1297" t="str">
        <f t="shared" si="251"/>
        <v>a</v>
      </c>
      <c r="HB113" s="1318">
        <f t="shared" si="233"/>
        <v>0</v>
      </c>
      <c r="HC113" s="1318">
        <f t="shared" si="234"/>
        <v>0</v>
      </c>
      <c r="HD113" s="1318"/>
      <c r="HE113" s="1869">
        <f t="shared" si="235"/>
        <v>0</v>
      </c>
      <c r="HF113" s="1318">
        <f t="shared" si="236"/>
        <v>0</v>
      </c>
      <c r="HG113" s="1318">
        <f t="shared" si="237"/>
        <v>0</v>
      </c>
      <c r="HH113" s="1318">
        <f t="shared" si="238"/>
        <v>0</v>
      </c>
      <c r="HI113" s="1330" cm="1">
        <f t="array" ref="HI113">IF(AND(HG113=0,GL113=0),0,IF(HG113=0,1,IF(OR(GL113*1000/HG113/HH113&gt;INDEX(Pflanzen!$W$5:$W$104,CZ113)/INDEX(Pflanzen!$I$5:$I$104,CZ113)*$HI$2,GL113*1000/HG113/HH113&lt;INDEX(Pflanzen!$W$5:$W$104,CZ113)/INDEX(Pflanzen!$I$5:$I$104,CZ113)/$HI$2),1,0)))</f>
        <v>0</v>
      </c>
      <c r="HJ113" s="1330" cm="1">
        <f t="array" ref="HJ113">IF(AND(GM113=0,HG113=0),0,IF(HG113=0,1,IF(OR(GM113*1000/HG113/HH113&gt;INDEX(Pflanzen!$X$5:$X$104,CZ113)/INDEX(Pflanzen!$I$5:$I$104,CZ113)*$HI$2,GM113*1000/HG113/HH113&lt;INDEX(Pflanzen!$X$5:$X$104,CZ113)/INDEX(Pflanzen!$I$5:$I$104,CZ113)/$HI$2),1,0)))</f>
        <v>0</v>
      </c>
      <c r="HK113" s="1297">
        <f t="shared" si="239"/>
        <v>3</v>
      </c>
      <c r="HL113" s="1297"/>
      <c r="HN113" s="1184"/>
      <c r="HO113" s="1184"/>
      <c r="HP113" s="1184"/>
      <c r="HQ113" s="1184"/>
      <c r="HR113" s="1184"/>
      <c r="HS113" s="1184"/>
      <c r="HT113" s="1184"/>
      <c r="HU113" s="1184"/>
      <c r="HV113" s="1184"/>
      <c r="HW113" s="1184"/>
      <c r="HX113" s="1184"/>
      <c r="HY113" s="1184"/>
      <c r="HZ113" s="1184"/>
      <c r="IA113" s="1184"/>
      <c r="IB113" s="1184"/>
      <c r="IC113" s="1184"/>
      <c r="ID113" s="1184"/>
      <c r="IE113" s="1184"/>
      <c r="IF113" s="1184"/>
      <c r="IG113" s="1184"/>
      <c r="IH113" s="1184"/>
      <c r="II113" s="1184"/>
      <c r="IJ113" s="1184"/>
      <c r="IK113" s="1184"/>
      <c r="IL113" s="1184"/>
    </row>
    <row r="114" spans="25:246" ht="15.75" customHeight="1" x14ac:dyDescent="0.2">
      <c r="Y114" s="1981"/>
      <c r="Z114" s="1982"/>
      <c r="AA114" s="1982"/>
      <c r="AB114" s="1982"/>
      <c r="AC114" s="1983"/>
      <c r="AD114" s="1983"/>
      <c r="AE114" s="1983"/>
      <c r="AF114" s="1983"/>
      <c r="AG114" s="1983"/>
      <c r="AH114" s="1983"/>
      <c r="AI114" s="1983"/>
      <c r="AJ114" s="1983"/>
      <c r="AK114" s="1983"/>
      <c r="AL114" s="1984"/>
      <c r="AM114" s="1983"/>
      <c r="AN114" s="1983"/>
      <c r="AO114" s="1983"/>
      <c r="AP114" s="1983"/>
      <c r="AQ114" s="1983"/>
      <c r="AR114" s="1983"/>
      <c r="AS114" s="1983"/>
      <c r="AT114" s="1983"/>
      <c r="AU114" s="1983"/>
      <c r="AV114" s="1983"/>
      <c r="AW114" s="1985"/>
      <c r="AX114" s="1985"/>
      <c r="AY114" s="1985"/>
      <c r="AZ114" s="1985"/>
      <c r="BA114" s="1462"/>
      <c r="BB114" s="1462"/>
      <c r="BC114" s="1462"/>
      <c r="BD114" s="1461"/>
      <c r="BE114" s="1462"/>
      <c r="BF114" s="1343"/>
      <c r="BG114" s="1343"/>
      <c r="BH114" s="1343"/>
      <c r="BI114" s="1343"/>
      <c r="BJ114" s="1343"/>
      <c r="BK114" s="1343"/>
      <c r="BL114" s="1343"/>
      <c r="BM114" s="1343"/>
      <c r="BN114" s="1343"/>
      <c r="BO114" s="1343"/>
      <c r="BQ114" s="1184"/>
      <c r="BR114" s="1184"/>
      <c r="BS114" s="1184"/>
      <c r="BT114" s="1184"/>
      <c r="BU114" s="1200"/>
      <c r="BV114" s="1326"/>
      <c r="BW114" s="1326"/>
      <c r="BX114" s="1326"/>
      <c r="BY114" s="1326"/>
      <c r="BZ114" s="1326"/>
      <c r="CA114" s="1326"/>
      <c r="CB114" s="1326"/>
      <c r="CC114" s="1326"/>
      <c r="CD114" s="1326"/>
      <c r="CE114" s="1326"/>
      <c r="CF114" s="1326"/>
      <c r="CG114" s="1326"/>
      <c r="CH114" s="1326"/>
      <c r="CI114" s="1326"/>
      <c r="CJ114" s="1326"/>
      <c r="CK114" s="1326"/>
      <c r="CL114" s="1184"/>
      <c r="CM114" s="1184"/>
      <c r="CN114" s="1184"/>
      <c r="CO114" s="1184"/>
      <c r="CP114" s="1184"/>
      <c r="CQ114" s="1184"/>
      <c r="CR114" s="1184"/>
      <c r="CS114" s="1184"/>
      <c r="CT114" s="1184"/>
      <c r="CU114" s="1184"/>
      <c r="CV114" s="1184"/>
      <c r="CW114" s="1184"/>
      <c r="CX114" s="1184"/>
      <c r="CY114" s="320" t="str">
        <f>Pflanzen!A110</f>
        <v>Pferdemist</v>
      </c>
      <c r="CZ114" s="1867">
        <f>IFERROR(MATCH($CY114,Pflanzen!$C$5:$C$114,0),1)</f>
        <v>99</v>
      </c>
      <c r="DA114" s="1364" cm="1">
        <f t="array" ref="DA114">INDEX(Pflanzen!$H$5:$H$114,'Lagerhaltung (freiwillig)'!CZ114)</f>
        <v>0</v>
      </c>
      <c r="DB114" s="1867">
        <f t="shared" si="252"/>
        <v>0</v>
      </c>
      <c r="DC114" s="1867">
        <f t="shared" si="252"/>
        <v>0</v>
      </c>
      <c r="DD114" s="1867">
        <f t="shared" si="252"/>
        <v>0</v>
      </c>
      <c r="DE114" s="1867">
        <f t="shared" si="252"/>
        <v>0</v>
      </c>
      <c r="DF114" s="1867">
        <f t="shared" si="252"/>
        <v>0</v>
      </c>
      <c r="DG114" s="1297">
        <f t="shared" si="252"/>
        <v>0</v>
      </c>
      <c r="DH114" s="1297">
        <f t="shared" si="252"/>
        <v>0</v>
      </c>
      <c r="DI114" s="1297">
        <f t="shared" si="252"/>
        <v>0</v>
      </c>
      <c r="DJ114" s="1297">
        <f t="shared" si="252"/>
        <v>0</v>
      </c>
      <c r="DK114" s="1297">
        <f t="shared" si="252"/>
        <v>0</v>
      </c>
      <c r="DL114" s="1297">
        <f t="shared" si="252"/>
        <v>0</v>
      </c>
      <c r="DM114" s="1297">
        <f t="shared" si="252"/>
        <v>0</v>
      </c>
      <c r="DN114" s="1297"/>
      <c r="DO114" s="1297">
        <f t="shared" si="253"/>
        <v>0</v>
      </c>
      <c r="DP114" s="1297">
        <f t="shared" si="253"/>
        <v>0</v>
      </c>
      <c r="DQ114" s="1297">
        <f t="shared" si="253"/>
        <v>0</v>
      </c>
      <c r="DR114" s="1297">
        <f t="shared" si="253"/>
        <v>0</v>
      </c>
      <c r="DS114" s="1297">
        <f t="shared" si="253"/>
        <v>0</v>
      </c>
      <c r="DT114" s="1297">
        <f t="shared" si="253"/>
        <v>0</v>
      </c>
      <c r="DU114" s="1297">
        <f t="shared" si="253"/>
        <v>0</v>
      </c>
      <c r="DV114" s="1297">
        <f t="shared" si="253"/>
        <v>0</v>
      </c>
      <c r="DW114" s="1297">
        <f t="shared" si="253"/>
        <v>0</v>
      </c>
      <c r="DX114" s="1297">
        <f t="shared" si="253"/>
        <v>0</v>
      </c>
      <c r="DY114" s="1297">
        <f t="shared" si="253"/>
        <v>0</v>
      </c>
      <c r="DZ114" s="1297">
        <f t="shared" si="253"/>
        <v>0</v>
      </c>
      <c r="EA114" s="1297"/>
      <c r="EB114" s="1297">
        <f t="shared" si="254"/>
        <v>0</v>
      </c>
      <c r="EC114" s="1297">
        <f t="shared" si="254"/>
        <v>0</v>
      </c>
      <c r="ED114" s="1297">
        <f t="shared" si="254"/>
        <v>0</v>
      </c>
      <c r="EE114" s="1297">
        <f t="shared" si="254"/>
        <v>0</v>
      </c>
      <c r="EF114" s="1297">
        <f t="shared" si="254"/>
        <v>0</v>
      </c>
      <c r="EG114" s="1297">
        <f t="shared" si="254"/>
        <v>0</v>
      </c>
      <c r="EH114" s="1297">
        <f t="shared" si="254"/>
        <v>0</v>
      </c>
      <c r="EI114" s="1297">
        <f t="shared" si="254"/>
        <v>0</v>
      </c>
      <c r="EJ114" s="1297">
        <f t="shared" si="254"/>
        <v>0</v>
      </c>
      <c r="EK114" s="1297">
        <f t="shared" si="254"/>
        <v>0</v>
      </c>
      <c r="EL114" s="1297">
        <f t="shared" si="254"/>
        <v>0</v>
      </c>
      <c r="EM114" s="1297">
        <f t="shared" si="254"/>
        <v>0</v>
      </c>
      <c r="EN114" s="1297"/>
      <c r="EO114" s="1297">
        <f t="shared" si="255"/>
        <v>0</v>
      </c>
      <c r="EP114" s="1297">
        <f t="shared" si="255"/>
        <v>0</v>
      </c>
      <c r="EQ114" s="1297">
        <f t="shared" si="255"/>
        <v>0</v>
      </c>
      <c r="ER114" s="1297">
        <f t="shared" si="255"/>
        <v>0</v>
      </c>
      <c r="ES114" s="1297">
        <f t="shared" si="255"/>
        <v>0</v>
      </c>
      <c r="ET114" s="1297">
        <f t="shared" si="255"/>
        <v>0</v>
      </c>
      <c r="EU114" s="1297">
        <f t="shared" si="255"/>
        <v>0</v>
      </c>
      <c r="EV114" s="1297">
        <f t="shared" si="255"/>
        <v>0</v>
      </c>
      <c r="EW114" s="1297">
        <f t="shared" si="255"/>
        <v>0</v>
      </c>
      <c r="EX114" s="1297">
        <f t="shared" si="255"/>
        <v>0</v>
      </c>
      <c r="EY114" s="1297">
        <f t="shared" si="255"/>
        <v>0</v>
      </c>
      <c r="EZ114" s="1297">
        <f t="shared" si="255"/>
        <v>0</v>
      </c>
      <c r="FA114" s="1297"/>
      <c r="FB114" s="1317">
        <f t="shared" si="182"/>
        <v>0</v>
      </c>
      <c r="FC114" s="1297">
        <f>FB114+DB114+EB114                 -         SUMIF('Nährstoffe und Lagerraum'!$AX$113:$AX$155,$CZ114,'Nährstoffe und Lagerraum'!$U$113:$U$155)/12  -$GD114*$HE114/12</f>
        <v>0</v>
      </c>
      <c r="FD114" s="1297">
        <f>FC114+DC114+EC114                 -         SUMIF('Nährstoffe und Lagerraum'!$AX$113:$AX$155,$CZ114,'Nährstoffe und Lagerraum'!$U$113:$U$155)/12  -$GD114*$HE114/12</f>
        <v>0</v>
      </c>
      <c r="FE114" s="1297">
        <f>FD114+DD114+ED114                 -         SUMIF('Nährstoffe und Lagerraum'!$AX$113:$AX$155,$CZ114,'Nährstoffe und Lagerraum'!$U$113:$U$155)/12  -$GD114*$HE114/12</f>
        <v>0</v>
      </c>
      <c r="FF114" s="1297">
        <f>FE114+DE114+EE114                 -         SUMIF('Nährstoffe und Lagerraum'!$AX$113:$AX$155,$CZ114,'Nährstoffe und Lagerraum'!$U$113:$U$155)/12  -$GD114*$HE114/12</f>
        <v>0</v>
      </c>
      <c r="FG114" s="1297">
        <f>FF114+DF114+EF114                 -         SUMIF('Nährstoffe und Lagerraum'!$AX$113:$AX$155,$CZ114,'Nährstoffe und Lagerraum'!$U$113:$U$155)/12  -$GD114*$HE114/12</f>
        <v>0</v>
      </c>
      <c r="FH114" s="1297">
        <f>FG114+DG114+EG114                 -         SUMIF('Nährstoffe und Lagerraum'!$AX$113:$AX$155,$CZ114,'Nährstoffe und Lagerraum'!$U$113:$U$155)/12  -$GD114*$HE114/12</f>
        <v>0</v>
      </c>
      <c r="FI114" s="1297">
        <f>FH114+DH114+EH114                 -         SUMIF('Nährstoffe und Lagerraum'!$AX$113:$AX$155,$CZ114,'Nährstoffe und Lagerraum'!$U$113:$U$155)/12  -$GD114*$HE114/12</f>
        <v>0</v>
      </c>
      <c r="FJ114" s="1297">
        <f>FI114+DI114+EI114                 -         SUMIF('Nährstoffe und Lagerraum'!$AX$113:$AX$155,$CZ114,'Nährstoffe und Lagerraum'!$U$113:$U$155)/12  -$GD114*$HE114/12</f>
        <v>0</v>
      </c>
      <c r="FK114" s="1297">
        <f>FJ114+DJ114+EJ114                 -         SUMIF('Nährstoffe und Lagerraum'!$AX$113:$AX$155,$CZ114,'Nährstoffe und Lagerraum'!$U$113:$U$155)/12  -$GD114*$HE114/12</f>
        <v>0</v>
      </c>
      <c r="FL114" s="1297">
        <f>FK114+DK114+EK114                 -         SUMIF('Nährstoffe und Lagerraum'!$AX$113:$AX$155,$CZ114,'Nährstoffe und Lagerraum'!$U$113:$U$155)/12  -$GD114*$HE114/12</f>
        <v>0</v>
      </c>
      <c r="FM114" s="1297">
        <f>FL114+DL114+EL114                 -         SUMIF('Nährstoffe und Lagerraum'!$AX$113:$AX$155,$CZ114,'Nährstoffe und Lagerraum'!$U$113:$U$155)/12  -$GD114*$HE114/12</f>
        <v>0</v>
      </c>
      <c r="FN114" s="1297">
        <f>FM114+DM114+EM114                 -         SUMIF('Nährstoffe und Lagerraum'!$AX$113:$AX$155,$CZ114,'Nährstoffe und Lagerraum'!$U$113:$U$155)/12  -$GD114*$HE114/12</f>
        <v>0</v>
      </c>
      <c r="FO114" s="1297"/>
      <c r="FP114" s="1317">
        <f t="shared" si="183"/>
        <v>0</v>
      </c>
      <c r="FQ114" s="1297">
        <f>FP114+DO114+EO114                 -         SUMIF('Nährstoffe und Lagerraum'!$AX$113:$AX$155,$CZ114,'Nährstoffe und Lagerraum'!$V$113:$V$155)/12  -$GE114*$HE114/12</f>
        <v>0</v>
      </c>
      <c r="FR114" s="1297">
        <f>FQ114+DP114+EP114                 -         SUMIF('Nährstoffe und Lagerraum'!$AX$113:$AX$155,$CZ114,'Nährstoffe und Lagerraum'!$V$113:$V$155)/12  -$GE114*$HE114/12</f>
        <v>0</v>
      </c>
      <c r="FS114" s="1297">
        <f>FR114+DQ114+EQ114                 -         SUMIF('Nährstoffe und Lagerraum'!$AX$113:$AX$155,$CZ114,'Nährstoffe und Lagerraum'!$V$113:$V$155)/12  -$GE114*$HE114/12</f>
        <v>0</v>
      </c>
      <c r="FT114" s="1297">
        <f>FS114+DR114+ER114                 -         SUMIF('Nährstoffe und Lagerraum'!$AX$113:$AX$155,$CZ114,'Nährstoffe und Lagerraum'!$V$113:$V$155)/12  -$GE114*$HE114/12</f>
        <v>0</v>
      </c>
      <c r="FU114" s="1297">
        <f>FT114+DS114+ES114                 -         SUMIF('Nährstoffe und Lagerraum'!$AX$113:$AX$155,$CZ114,'Nährstoffe und Lagerraum'!$V$113:$V$155)/12  -$GE114*$HE114/12</f>
        <v>0</v>
      </c>
      <c r="FV114" s="1297">
        <f>FU114+DT114+ET114                 -         SUMIF('Nährstoffe und Lagerraum'!$AX$113:$AX$155,$CZ114,'Nährstoffe und Lagerraum'!$V$113:$V$155)/12  -$GE114*$HE114/12</f>
        <v>0</v>
      </c>
      <c r="FW114" s="1297">
        <f>FV114+DU114+EU114                 -         SUMIF('Nährstoffe und Lagerraum'!$AX$113:$AX$155,$CZ114,'Nährstoffe und Lagerraum'!$V$113:$V$155)/12  -$GE114*$HE114/12</f>
        <v>0</v>
      </c>
      <c r="FX114" s="1297">
        <f>FW114+DV114+EV114                 -         SUMIF('Nährstoffe und Lagerraum'!$AX$113:$AX$155,$CZ114,'Nährstoffe und Lagerraum'!$V$113:$V$155)/12  -$GE114*$HE114/12</f>
        <v>0</v>
      </c>
      <c r="FY114" s="1297">
        <f>FX114+DW114+EW114                 -         SUMIF('Nährstoffe und Lagerraum'!$AX$113:$AX$155,$CZ114,'Nährstoffe und Lagerraum'!$V$113:$V$155)/12  -$GE114*$HE114/12</f>
        <v>0</v>
      </c>
      <c r="FZ114" s="1297">
        <f>FY114+DX114+EX114                 -         SUMIF('Nährstoffe und Lagerraum'!$AX$113:$AX$155,$CZ114,'Nährstoffe und Lagerraum'!$V$113:$V$155)/12  -$GE114*$HE114/12</f>
        <v>0</v>
      </c>
      <c r="GA114" s="1297">
        <f>FZ114+DY114+EY114                 -         SUMIF('Nährstoffe und Lagerraum'!$AX$113:$AX$155,$CZ114,'Nährstoffe und Lagerraum'!$V$113:$V$155)/12  -$GE114*$HE114/12</f>
        <v>0</v>
      </c>
      <c r="GB114" s="1297">
        <f>GA114+DZ114+EZ114                 -         SUMIF('Nährstoffe und Lagerraum'!$AX$113:$AX$155,$CZ114,'Nährstoffe und Lagerraum'!$V$113:$V$155)/12  -$GE114*$HE114/12</f>
        <v>0</v>
      </c>
      <c r="GC114" s="1297"/>
      <c r="GD114" s="1297">
        <f>SUMIFS($CI$14:$CI$68,$BR$14:$BR$68,$CZ114)+SUMIFS($CM$14:$CM$68,$BR$14:$BR$68,$CZ114)+SUMIFS($CR$14:$CR$68,$BR$14:$BR$68,$CZ114)  -         SUMIF('Nährstoffe und Lagerraum'!$AX$113:$AX$155,$CZ114,'Nährstoffe und Lagerraum'!$U$113:$U$155)</f>
        <v>0</v>
      </c>
      <c r="GE114" s="1297">
        <f>SUMIFS($CJ$14:$CJ$68,$BR$14:$BR$68,$CZ114)+SUMIFS($CO$14:$CO$68,$BR$14:$BR$68,$CZ114)+SUMIFS($CT$14:$CT$68,$BR$14:$BR$68,$CZ114)  -         SUMIF('Nährstoffe und Lagerraum'!$AX$113:$AX$155,$CZ114,'Nährstoffe und Lagerraum'!$V$113:$V$155)</f>
        <v>0</v>
      </c>
      <c r="GF114" s="1297"/>
      <c r="GG114" s="1297"/>
      <c r="GH114" s="1297">
        <f>SUMIF('Nährstoffe und Lagerraum'!$AX$113:$AX$155,$CZ114,'Nährstoffe und Lagerraum'!$U$113:$U$155)</f>
        <v>0</v>
      </c>
      <c r="GI114" s="1184">
        <f>SUMIF('Nährstoffe und Lagerraum'!$AX$113:$AX$155,$CZ114,'Nährstoffe und Lagerraum'!$V$113:$V$155)</f>
        <v>0</v>
      </c>
      <c r="GJ114" s="1297">
        <f t="shared" si="221"/>
        <v>0</v>
      </c>
      <c r="GK114" s="1297">
        <f t="shared" si="222"/>
        <v>0</v>
      </c>
      <c r="GL114" s="1297">
        <f t="shared" si="223"/>
        <v>0</v>
      </c>
      <c r="GM114" s="1297">
        <f t="shared" si="224"/>
        <v>0</v>
      </c>
      <c r="GN114" s="1297">
        <f t="shared" si="225"/>
        <v>0</v>
      </c>
      <c r="GO114" s="1297" cm="1">
        <f t="array" ref="GO114">IF(GN114=0,0,(IFERROR(SUMPRODUCT($J$14:$J$68,$CH$14:$CH$68,($BR$14:$BR$68=CZ114)*1)+SUMPRODUCT($L$14:$L$68,$M$14:$M$68,$CK$14:$CK$68,($BR$14:$BR$68=CZ114)*1,($BT$14:$BT$68=FALSE)*1)/10+SUMPRODUCT($R$14:$R$68,$CP$14:$CP$68,($BR$14:$BR$68=CZ114)*1),0))/GN114)</f>
        <v>0</v>
      </c>
      <c r="GP114" s="1297">
        <f t="shared" si="226"/>
        <v>0</v>
      </c>
      <c r="GQ114" s="1297">
        <f>(SUMIF('Nährstoffe und Lagerraum'!$AX$113:$AX$130,'Lagerhaltung (freiwillig)'!CZ114,'Nährstoffe und Lagerraum'!$D$113:$D$130)+SUMIF('Nährstoffe und Lagerraum'!$AX$137:$AX$155,'Lagerhaltung (freiwillig)'!CZ114,'Nährstoffe und Lagerraum'!$E$137:$E$155))</f>
        <v>0</v>
      </c>
      <c r="GR114" s="1297" cm="1">
        <f t="array" ref="GR114">IF(GQ114=0,0,(IFERROR(SUMPRODUCT('Nährstoffe und Lagerraum'!$D$113:$D$130,'Nährstoffe und Lagerraum'!$F$113:$F$130,('Nährstoffe und Lagerraum'!$AX$113:$AX$130='Lagerhaltung (freiwillig)'!CZ114)*1)+SUMPRODUCT('Nährstoffe und Lagerraum'!$E$137:$E$155,'Nährstoffe und Lagerraum'!$F$137:$F$155,('Nährstoffe und Lagerraum'!$AX$137:$AX$155='Lagerhaltung (freiwillig)'!CZ114)*1),0))/GQ114)</f>
        <v>0</v>
      </c>
      <c r="GS114" s="1297">
        <f t="shared" si="227"/>
        <v>0</v>
      </c>
      <c r="GT114" s="1297">
        <f t="shared" si="228"/>
        <v>0</v>
      </c>
      <c r="GU114" s="1297">
        <f t="shared" si="229"/>
        <v>0</v>
      </c>
      <c r="GV114" s="1297">
        <f t="shared" si="230"/>
        <v>0</v>
      </c>
      <c r="GW114" s="1317" t="str">
        <f t="shared" si="177"/>
        <v xml:space="preserve"> </v>
      </c>
      <c r="GX114" s="1317" t="str">
        <f t="shared" si="177"/>
        <v xml:space="preserve"> </v>
      </c>
      <c r="GY114" s="1868">
        <f t="shared" si="231"/>
        <v>0</v>
      </c>
      <c r="GZ114" s="1297">
        <f t="shared" si="232"/>
        <v>0</v>
      </c>
      <c r="HA114" s="1297" t="str">
        <f t="shared" si="251"/>
        <v>a</v>
      </c>
      <c r="HB114" s="1318">
        <f t="shared" si="233"/>
        <v>0</v>
      </c>
      <c r="HC114" s="1318">
        <f t="shared" si="234"/>
        <v>0</v>
      </c>
      <c r="HD114" s="1318"/>
      <c r="HE114" s="1869">
        <f t="shared" si="235"/>
        <v>0</v>
      </c>
      <c r="HF114" s="1318">
        <f t="shared" si="236"/>
        <v>0</v>
      </c>
      <c r="HG114" s="1318">
        <f t="shared" si="237"/>
        <v>0</v>
      </c>
      <c r="HH114" s="1318">
        <f t="shared" si="238"/>
        <v>0</v>
      </c>
      <c r="HI114" s="1330" cm="1">
        <f t="array" ref="HI114">IF(AND(HG114=0,GL114=0),0,IF(HG114=0,1,IF(OR(GL114*1000/HG114/HH114&gt;INDEX(Pflanzen!$W$5:$W$104,CZ114)/INDEX(Pflanzen!$I$5:$I$104,CZ114)*$HI$2,GL114*1000/HG114/HH114&lt;INDEX(Pflanzen!$W$5:$W$104,CZ114)/INDEX(Pflanzen!$I$5:$I$104,CZ114)/$HI$2),1,0)))</f>
        <v>0</v>
      </c>
      <c r="HJ114" s="1330" cm="1">
        <f t="array" ref="HJ114">IF(AND(GM114=0,HG114=0),0,IF(HG114=0,1,IF(OR(GM114*1000/HG114/HH114&gt;INDEX(Pflanzen!$X$5:$X$104,CZ114)/INDEX(Pflanzen!$I$5:$I$104,CZ114)*$HI$2,GM114*1000/HG114/HH114&lt;INDEX(Pflanzen!$X$5:$X$104,CZ114)/INDEX(Pflanzen!$I$5:$I$104,CZ114)/$HI$2),1,0)))</f>
        <v>0</v>
      </c>
      <c r="HK114" s="1297">
        <f t="shared" si="239"/>
        <v>3</v>
      </c>
      <c r="HL114" s="1297"/>
      <c r="HN114" s="1184"/>
      <c r="HO114" s="1184"/>
      <c r="HP114" s="1184"/>
      <c r="HQ114" s="1184"/>
      <c r="HR114" s="1184"/>
      <c r="HS114" s="1184"/>
      <c r="HT114" s="1184"/>
      <c r="HU114" s="1184"/>
      <c r="HV114" s="1184"/>
      <c r="HW114" s="1184"/>
      <c r="HX114" s="1184"/>
      <c r="HY114" s="1184"/>
      <c r="HZ114" s="1184"/>
      <c r="IA114" s="1184"/>
      <c r="IB114" s="1184"/>
      <c r="IC114" s="1184"/>
      <c r="ID114" s="1184"/>
      <c r="IE114" s="1184"/>
      <c r="IF114" s="1184"/>
      <c r="IG114" s="1184"/>
      <c r="IH114" s="1184"/>
      <c r="II114" s="1184"/>
      <c r="IJ114" s="1184"/>
      <c r="IK114" s="1184"/>
      <c r="IL114" s="1184"/>
    </row>
    <row r="115" spans="25:246" ht="15.75" customHeight="1" x14ac:dyDescent="0.2">
      <c r="Y115" s="1981"/>
      <c r="Z115" s="1982"/>
      <c r="AA115" s="1982"/>
      <c r="AB115" s="1982"/>
      <c r="AC115" s="1983"/>
      <c r="AD115" s="1983"/>
      <c r="AE115" s="1983"/>
      <c r="AF115" s="1983"/>
      <c r="AG115" s="1983"/>
      <c r="AH115" s="1983"/>
      <c r="AI115" s="1983"/>
      <c r="AJ115" s="1983"/>
      <c r="AK115" s="1983"/>
      <c r="AL115" s="1984"/>
      <c r="AM115" s="1983"/>
      <c r="AN115" s="1983"/>
      <c r="AO115" s="1983"/>
      <c r="AP115" s="1983"/>
      <c r="AQ115" s="1983"/>
      <c r="AR115" s="1983"/>
      <c r="AS115" s="1983"/>
      <c r="AT115" s="1983"/>
      <c r="AU115" s="1983"/>
      <c r="AV115" s="1983"/>
      <c r="AW115" s="1985"/>
      <c r="AX115" s="1985"/>
      <c r="AY115" s="1985"/>
      <c r="AZ115" s="1985"/>
      <c r="BA115" s="1462"/>
      <c r="BB115" s="1462"/>
      <c r="BC115" s="1462"/>
      <c r="BD115" s="1461"/>
      <c r="BE115" s="1462"/>
      <c r="BF115" s="1343"/>
      <c r="BG115" s="1343"/>
      <c r="BH115" s="1343"/>
      <c r="BI115" s="1343"/>
      <c r="BJ115" s="1343"/>
      <c r="BK115" s="1343"/>
      <c r="BL115" s="1343"/>
      <c r="BM115" s="1343"/>
      <c r="BN115" s="1343"/>
      <c r="BO115" s="1343"/>
      <c r="BQ115" s="1184"/>
      <c r="BR115" s="1184"/>
      <c r="BS115" s="1184"/>
      <c r="BT115" s="1184"/>
      <c r="BU115" s="1200"/>
      <c r="BV115" s="1326"/>
      <c r="BW115" s="1326"/>
      <c r="BX115" s="1326"/>
      <c r="BY115" s="1326"/>
      <c r="BZ115" s="1326"/>
      <c r="CA115" s="1326"/>
      <c r="CB115" s="1326"/>
      <c r="CC115" s="1326"/>
      <c r="CD115" s="1326"/>
      <c r="CE115" s="1326"/>
      <c r="CF115" s="1326"/>
      <c r="CG115" s="1326"/>
      <c r="CH115" s="1326"/>
      <c r="CI115" s="1326"/>
      <c r="CJ115" s="1326"/>
      <c r="CK115" s="1326"/>
      <c r="CL115" s="1184"/>
      <c r="CM115" s="1184"/>
      <c r="CN115" s="1184"/>
      <c r="CO115" s="1184"/>
      <c r="CP115" s="1184"/>
      <c r="CQ115" s="1184"/>
      <c r="CR115" s="1184"/>
      <c r="CS115" s="1184"/>
      <c r="CT115" s="1184"/>
      <c r="CU115" s="1184"/>
      <c r="CV115" s="1184"/>
      <c r="CW115" s="1184"/>
      <c r="CX115" s="1184"/>
      <c r="CY115" s="320" t="str">
        <f>Pflanzen!A111</f>
        <v>Schaf-, Lama-, Alpaka- und Ziegenmist</v>
      </c>
      <c r="CZ115" s="1867">
        <f>IFERROR(MATCH($CY115,Pflanzen!$C$5:$C$114,0),1)</f>
        <v>100</v>
      </c>
      <c r="DA115" s="1364" cm="1">
        <f t="array" ref="DA115">INDEX(Pflanzen!$H$5:$H$114,'Lagerhaltung (freiwillig)'!CZ115)</f>
        <v>0</v>
      </c>
      <c r="DB115" s="1867">
        <f t="shared" si="252"/>
        <v>0</v>
      </c>
      <c r="DC115" s="1867">
        <f t="shared" si="252"/>
        <v>0</v>
      </c>
      <c r="DD115" s="1867">
        <f t="shared" si="252"/>
        <v>0</v>
      </c>
      <c r="DE115" s="1867">
        <f t="shared" si="252"/>
        <v>0</v>
      </c>
      <c r="DF115" s="1867">
        <f t="shared" si="252"/>
        <v>0</v>
      </c>
      <c r="DG115" s="1297">
        <f t="shared" si="252"/>
        <v>0</v>
      </c>
      <c r="DH115" s="1297">
        <f t="shared" si="252"/>
        <v>0</v>
      </c>
      <c r="DI115" s="1297">
        <f t="shared" si="252"/>
        <v>0</v>
      </c>
      <c r="DJ115" s="1297">
        <f t="shared" si="252"/>
        <v>0</v>
      </c>
      <c r="DK115" s="1297">
        <f t="shared" si="252"/>
        <v>0</v>
      </c>
      <c r="DL115" s="1297">
        <f t="shared" si="252"/>
        <v>0</v>
      </c>
      <c r="DM115" s="1297">
        <f t="shared" si="252"/>
        <v>0</v>
      </c>
      <c r="DN115" s="1297"/>
      <c r="DO115" s="1297">
        <f t="shared" si="253"/>
        <v>0</v>
      </c>
      <c r="DP115" s="1297">
        <f t="shared" si="253"/>
        <v>0</v>
      </c>
      <c r="DQ115" s="1297">
        <f t="shared" si="253"/>
        <v>0</v>
      </c>
      <c r="DR115" s="1297">
        <f t="shared" si="253"/>
        <v>0</v>
      </c>
      <c r="DS115" s="1297">
        <f t="shared" si="253"/>
        <v>0</v>
      </c>
      <c r="DT115" s="1297">
        <f t="shared" si="253"/>
        <v>0</v>
      </c>
      <c r="DU115" s="1297">
        <f t="shared" si="253"/>
        <v>0</v>
      </c>
      <c r="DV115" s="1297">
        <f t="shared" si="253"/>
        <v>0</v>
      </c>
      <c r="DW115" s="1297">
        <f t="shared" si="253"/>
        <v>0</v>
      </c>
      <c r="DX115" s="1297">
        <f t="shared" si="253"/>
        <v>0</v>
      </c>
      <c r="DY115" s="1297">
        <f t="shared" si="253"/>
        <v>0</v>
      </c>
      <c r="DZ115" s="1297">
        <f t="shared" si="253"/>
        <v>0</v>
      </c>
      <c r="EA115" s="1297"/>
      <c r="EB115" s="1297">
        <f t="shared" si="254"/>
        <v>0</v>
      </c>
      <c r="EC115" s="1297">
        <f t="shared" si="254"/>
        <v>0</v>
      </c>
      <c r="ED115" s="1297">
        <f t="shared" si="254"/>
        <v>0</v>
      </c>
      <c r="EE115" s="1297">
        <f t="shared" si="254"/>
        <v>0</v>
      </c>
      <c r="EF115" s="1297">
        <f t="shared" si="254"/>
        <v>0</v>
      </c>
      <c r="EG115" s="1297">
        <f t="shared" si="254"/>
        <v>0</v>
      </c>
      <c r="EH115" s="1297">
        <f t="shared" si="254"/>
        <v>0</v>
      </c>
      <c r="EI115" s="1297">
        <f t="shared" si="254"/>
        <v>0</v>
      </c>
      <c r="EJ115" s="1297">
        <f t="shared" si="254"/>
        <v>0</v>
      </c>
      <c r="EK115" s="1297">
        <f t="shared" si="254"/>
        <v>0</v>
      </c>
      <c r="EL115" s="1297">
        <f t="shared" si="254"/>
        <v>0</v>
      </c>
      <c r="EM115" s="1297">
        <f t="shared" si="254"/>
        <v>0</v>
      </c>
      <c r="EN115" s="1297"/>
      <c r="EO115" s="1297">
        <f t="shared" si="255"/>
        <v>0</v>
      </c>
      <c r="EP115" s="1297">
        <f t="shared" si="255"/>
        <v>0</v>
      </c>
      <c r="EQ115" s="1297">
        <f t="shared" si="255"/>
        <v>0</v>
      </c>
      <c r="ER115" s="1297">
        <f t="shared" si="255"/>
        <v>0</v>
      </c>
      <c r="ES115" s="1297">
        <f t="shared" si="255"/>
        <v>0</v>
      </c>
      <c r="ET115" s="1297">
        <f t="shared" si="255"/>
        <v>0</v>
      </c>
      <c r="EU115" s="1297">
        <f t="shared" si="255"/>
        <v>0</v>
      </c>
      <c r="EV115" s="1297">
        <f t="shared" si="255"/>
        <v>0</v>
      </c>
      <c r="EW115" s="1297">
        <f t="shared" si="255"/>
        <v>0</v>
      </c>
      <c r="EX115" s="1297">
        <f t="shared" si="255"/>
        <v>0</v>
      </c>
      <c r="EY115" s="1297">
        <f t="shared" si="255"/>
        <v>0</v>
      </c>
      <c r="EZ115" s="1297">
        <f t="shared" si="255"/>
        <v>0</v>
      </c>
      <c r="FA115" s="1297"/>
      <c r="FB115" s="1317">
        <f t="shared" si="182"/>
        <v>0</v>
      </c>
      <c r="FC115" s="1297">
        <f>FB115+DB115+EB115                 -         SUMIF('Nährstoffe und Lagerraum'!$AX$113:$AX$155,$CZ115,'Nährstoffe und Lagerraum'!$U$113:$U$155)/12  -$GD115*$HE115/12</f>
        <v>0</v>
      </c>
      <c r="FD115" s="1297">
        <f>FC115+DC115+EC115                 -         SUMIF('Nährstoffe und Lagerraum'!$AX$113:$AX$155,$CZ115,'Nährstoffe und Lagerraum'!$U$113:$U$155)/12  -$GD115*$HE115/12</f>
        <v>0</v>
      </c>
      <c r="FE115" s="1297">
        <f>FD115+DD115+ED115                 -         SUMIF('Nährstoffe und Lagerraum'!$AX$113:$AX$155,$CZ115,'Nährstoffe und Lagerraum'!$U$113:$U$155)/12  -$GD115*$HE115/12</f>
        <v>0</v>
      </c>
      <c r="FF115" s="1297">
        <f>FE115+DE115+EE115                 -         SUMIF('Nährstoffe und Lagerraum'!$AX$113:$AX$155,$CZ115,'Nährstoffe und Lagerraum'!$U$113:$U$155)/12  -$GD115*$HE115/12</f>
        <v>0</v>
      </c>
      <c r="FG115" s="1297">
        <f>FF115+DF115+EF115                 -         SUMIF('Nährstoffe und Lagerraum'!$AX$113:$AX$155,$CZ115,'Nährstoffe und Lagerraum'!$U$113:$U$155)/12  -$GD115*$HE115/12</f>
        <v>0</v>
      </c>
      <c r="FH115" s="1297">
        <f>FG115+DG115+EG115                 -         SUMIF('Nährstoffe und Lagerraum'!$AX$113:$AX$155,$CZ115,'Nährstoffe und Lagerraum'!$U$113:$U$155)/12  -$GD115*$HE115/12</f>
        <v>0</v>
      </c>
      <c r="FI115" s="1297">
        <f>FH115+DH115+EH115                 -         SUMIF('Nährstoffe und Lagerraum'!$AX$113:$AX$155,$CZ115,'Nährstoffe und Lagerraum'!$U$113:$U$155)/12  -$GD115*$HE115/12</f>
        <v>0</v>
      </c>
      <c r="FJ115" s="1297">
        <f>FI115+DI115+EI115                 -         SUMIF('Nährstoffe und Lagerraum'!$AX$113:$AX$155,$CZ115,'Nährstoffe und Lagerraum'!$U$113:$U$155)/12  -$GD115*$HE115/12</f>
        <v>0</v>
      </c>
      <c r="FK115" s="1297">
        <f>FJ115+DJ115+EJ115                 -         SUMIF('Nährstoffe und Lagerraum'!$AX$113:$AX$155,$CZ115,'Nährstoffe und Lagerraum'!$U$113:$U$155)/12  -$GD115*$HE115/12</f>
        <v>0</v>
      </c>
      <c r="FL115" s="1297">
        <f>FK115+DK115+EK115                 -         SUMIF('Nährstoffe und Lagerraum'!$AX$113:$AX$155,$CZ115,'Nährstoffe und Lagerraum'!$U$113:$U$155)/12  -$GD115*$HE115/12</f>
        <v>0</v>
      </c>
      <c r="FM115" s="1297">
        <f>FL115+DL115+EL115                 -         SUMIF('Nährstoffe und Lagerraum'!$AX$113:$AX$155,$CZ115,'Nährstoffe und Lagerraum'!$U$113:$U$155)/12  -$GD115*$HE115/12</f>
        <v>0</v>
      </c>
      <c r="FN115" s="1297">
        <f>FM115+DM115+EM115                 -         SUMIF('Nährstoffe und Lagerraum'!$AX$113:$AX$155,$CZ115,'Nährstoffe und Lagerraum'!$U$113:$U$155)/12  -$GD115*$HE115/12</f>
        <v>0</v>
      </c>
      <c r="FO115" s="1297"/>
      <c r="FP115" s="1317">
        <f t="shared" si="183"/>
        <v>0</v>
      </c>
      <c r="FQ115" s="1297">
        <f>FP115+DO115+EO115                 -         SUMIF('Nährstoffe und Lagerraum'!$AX$113:$AX$155,$CZ115,'Nährstoffe und Lagerraum'!$V$113:$V$155)/12  -$GE115*$HE115/12</f>
        <v>0</v>
      </c>
      <c r="FR115" s="1297">
        <f>FQ115+DP115+EP115                 -         SUMIF('Nährstoffe und Lagerraum'!$AX$113:$AX$155,$CZ115,'Nährstoffe und Lagerraum'!$V$113:$V$155)/12  -$GE115*$HE115/12</f>
        <v>0</v>
      </c>
      <c r="FS115" s="1297">
        <f>FR115+DQ115+EQ115                 -         SUMIF('Nährstoffe und Lagerraum'!$AX$113:$AX$155,$CZ115,'Nährstoffe und Lagerraum'!$V$113:$V$155)/12  -$GE115*$HE115/12</f>
        <v>0</v>
      </c>
      <c r="FT115" s="1297">
        <f>FS115+DR115+ER115                 -         SUMIF('Nährstoffe und Lagerraum'!$AX$113:$AX$155,$CZ115,'Nährstoffe und Lagerraum'!$V$113:$V$155)/12  -$GE115*$HE115/12</f>
        <v>0</v>
      </c>
      <c r="FU115" s="1297">
        <f>FT115+DS115+ES115                 -         SUMIF('Nährstoffe und Lagerraum'!$AX$113:$AX$155,$CZ115,'Nährstoffe und Lagerraum'!$V$113:$V$155)/12  -$GE115*$HE115/12</f>
        <v>0</v>
      </c>
      <c r="FV115" s="1297">
        <f>FU115+DT115+ET115                 -         SUMIF('Nährstoffe und Lagerraum'!$AX$113:$AX$155,$CZ115,'Nährstoffe und Lagerraum'!$V$113:$V$155)/12  -$GE115*$HE115/12</f>
        <v>0</v>
      </c>
      <c r="FW115" s="1297">
        <f>FV115+DU115+EU115                 -         SUMIF('Nährstoffe und Lagerraum'!$AX$113:$AX$155,$CZ115,'Nährstoffe und Lagerraum'!$V$113:$V$155)/12  -$GE115*$HE115/12</f>
        <v>0</v>
      </c>
      <c r="FX115" s="1297">
        <f>FW115+DV115+EV115                 -         SUMIF('Nährstoffe und Lagerraum'!$AX$113:$AX$155,$CZ115,'Nährstoffe und Lagerraum'!$V$113:$V$155)/12  -$GE115*$HE115/12</f>
        <v>0</v>
      </c>
      <c r="FY115" s="1297">
        <f>FX115+DW115+EW115                 -         SUMIF('Nährstoffe und Lagerraum'!$AX$113:$AX$155,$CZ115,'Nährstoffe und Lagerraum'!$V$113:$V$155)/12  -$GE115*$HE115/12</f>
        <v>0</v>
      </c>
      <c r="FZ115" s="1297">
        <f>FY115+DX115+EX115                 -         SUMIF('Nährstoffe und Lagerraum'!$AX$113:$AX$155,$CZ115,'Nährstoffe und Lagerraum'!$V$113:$V$155)/12  -$GE115*$HE115/12</f>
        <v>0</v>
      </c>
      <c r="GA115" s="1297">
        <f>FZ115+DY115+EY115                 -         SUMIF('Nährstoffe und Lagerraum'!$AX$113:$AX$155,$CZ115,'Nährstoffe und Lagerraum'!$V$113:$V$155)/12  -$GE115*$HE115/12</f>
        <v>0</v>
      </c>
      <c r="GB115" s="1297">
        <f>GA115+DZ115+EZ115                 -         SUMIF('Nährstoffe und Lagerraum'!$AX$113:$AX$155,$CZ115,'Nährstoffe und Lagerraum'!$V$113:$V$155)/12  -$GE115*$HE115/12</f>
        <v>0</v>
      </c>
      <c r="GC115" s="1297"/>
      <c r="GD115" s="1297">
        <f>SUMIFS($CI$14:$CI$68,$BR$14:$BR$68,$CZ115)+SUMIFS($CM$14:$CM$68,$BR$14:$BR$68,$CZ115)+SUMIFS($CR$14:$CR$68,$BR$14:$BR$68,$CZ115)  -         SUMIF('Nährstoffe und Lagerraum'!$AX$113:$AX$155,$CZ115,'Nährstoffe und Lagerraum'!$U$113:$U$155)</f>
        <v>0</v>
      </c>
      <c r="GE115" s="1297">
        <f>SUMIFS($CJ$14:$CJ$68,$BR$14:$BR$68,$CZ115)+SUMIFS($CO$14:$CO$68,$BR$14:$BR$68,$CZ115)+SUMIFS($CT$14:$CT$68,$BR$14:$BR$68,$CZ115)  -         SUMIF('Nährstoffe und Lagerraum'!$AX$113:$AX$155,$CZ115,'Nährstoffe und Lagerraum'!$V$113:$V$155)</f>
        <v>0</v>
      </c>
      <c r="GF115" s="1297"/>
      <c r="GG115" s="1297"/>
      <c r="GH115" s="1297">
        <f>SUMIF('Nährstoffe und Lagerraum'!$AX$113:$AX$155,$CZ115,'Nährstoffe und Lagerraum'!$U$113:$U$155)</f>
        <v>0</v>
      </c>
      <c r="GI115" s="1184">
        <f>SUMIF('Nährstoffe und Lagerraum'!$AX$113:$AX$155,$CZ115,'Nährstoffe und Lagerraum'!$V$113:$V$155)</f>
        <v>0</v>
      </c>
      <c r="GJ115" s="1297">
        <f t="shared" si="221"/>
        <v>0</v>
      </c>
      <c r="GK115" s="1297">
        <f t="shared" si="222"/>
        <v>0</v>
      </c>
      <c r="GL115" s="1297">
        <f t="shared" si="223"/>
        <v>0</v>
      </c>
      <c r="GM115" s="1297">
        <f t="shared" si="224"/>
        <v>0</v>
      </c>
      <c r="GN115" s="1297">
        <f t="shared" si="225"/>
        <v>0</v>
      </c>
      <c r="GO115" s="1297" cm="1">
        <f t="array" ref="GO115">IF(GN115=0,0,(IFERROR(SUMPRODUCT($J$14:$J$68,$CH$14:$CH$68,($BR$14:$BR$68=CZ115)*1)+SUMPRODUCT($L$14:$L$68,$M$14:$M$68,$CK$14:$CK$68,($BR$14:$BR$68=CZ115)*1,($BT$14:$BT$68=FALSE)*1)/10+SUMPRODUCT($R$14:$R$68,$CP$14:$CP$68,($BR$14:$BR$68=CZ115)*1),0))/GN115)</f>
        <v>0</v>
      </c>
      <c r="GP115" s="1297">
        <f t="shared" si="226"/>
        <v>0</v>
      </c>
      <c r="GQ115" s="1297">
        <f>(SUMIF('Nährstoffe und Lagerraum'!$AX$113:$AX$130,'Lagerhaltung (freiwillig)'!CZ115,'Nährstoffe und Lagerraum'!$D$113:$D$130)+SUMIF('Nährstoffe und Lagerraum'!$AX$137:$AX$155,'Lagerhaltung (freiwillig)'!CZ115,'Nährstoffe und Lagerraum'!$E$137:$E$155))</f>
        <v>0</v>
      </c>
      <c r="GR115" s="1297" cm="1">
        <f t="array" ref="GR115">IF(GQ115=0,0,(IFERROR(SUMPRODUCT('Nährstoffe und Lagerraum'!$D$113:$D$130,'Nährstoffe und Lagerraum'!$F$113:$F$130,('Nährstoffe und Lagerraum'!$AX$113:$AX$130='Lagerhaltung (freiwillig)'!CZ115)*1)+SUMPRODUCT('Nährstoffe und Lagerraum'!$E$137:$E$155,'Nährstoffe und Lagerraum'!$F$137:$F$155,('Nährstoffe und Lagerraum'!$AX$137:$AX$155='Lagerhaltung (freiwillig)'!CZ115)*1),0))/GQ115)</f>
        <v>0</v>
      </c>
      <c r="GS115" s="1297">
        <f t="shared" si="227"/>
        <v>0</v>
      </c>
      <c r="GT115" s="1297">
        <f t="shared" si="228"/>
        <v>0</v>
      </c>
      <c r="GU115" s="1297">
        <f t="shared" si="229"/>
        <v>0</v>
      </c>
      <c r="GV115" s="1297">
        <f t="shared" si="230"/>
        <v>0</v>
      </c>
      <c r="GW115" s="1317" t="str">
        <f t="shared" si="177"/>
        <v xml:space="preserve"> </v>
      </c>
      <c r="GX115" s="1317" t="str">
        <f t="shared" si="177"/>
        <v xml:space="preserve"> </v>
      </c>
      <c r="GY115" s="1868">
        <f t="shared" si="231"/>
        <v>0</v>
      </c>
      <c r="GZ115" s="1297">
        <f t="shared" si="232"/>
        <v>0</v>
      </c>
      <c r="HA115" s="1297" t="str">
        <f t="shared" si="251"/>
        <v>a</v>
      </c>
      <c r="HB115" s="1318">
        <f t="shared" si="233"/>
        <v>0</v>
      </c>
      <c r="HC115" s="1318">
        <f t="shared" si="234"/>
        <v>0</v>
      </c>
      <c r="HD115" s="1318"/>
      <c r="HE115" s="1869">
        <f t="shared" si="235"/>
        <v>0</v>
      </c>
      <c r="HF115" s="1318">
        <f t="shared" si="236"/>
        <v>0</v>
      </c>
      <c r="HG115" s="1318">
        <f t="shared" si="237"/>
        <v>0</v>
      </c>
      <c r="HH115" s="1318">
        <f t="shared" si="238"/>
        <v>0</v>
      </c>
      <c r="HI115" s="1330" cm="1">
        <f t="array" ref="HI115">IF(AND(HG115=0,GL115=0),0,IF(HG115=0,1,IF(OR(GL115*1000/HG115/HH115&gt;INDEX(Pflanzen!$W$5:$W$104,CZ115)/INDEX(Pflanzen!$I$5:$I$104,CZ115)*$HI$2,GL115*1000/HG115/HH115&lt;INDEX(Pflanzen!$W$5:$W$104,CZ115)/INDEX(Pflanzen!$I$5:$I$104,CZ115)/$HI$2),1,0)))</f>
        <v>0</v>
      </c>
      <c r="HJ115" s="1330" cm="1">
        <f t="array" ref="HJ115">IF(AND(GM115=0,HG115=0),0,IF(HG115=0,1,IF(OR(GM115*1000/HG115/HH115&gt;INDEX(Pflanzen!$X$5:$X$104,CZ115)/INDEX(Pflanzen!$I$5:$I$104,CZ115)*$HI$2,GM115*1000/HG115/HH115&lt;INDEX(Pflanzen!$X$5:$X$104,CZ115)/INDEX(Pflanzen!$I$5:$I$104,CZ115)/$HI$2),1,0)))</f>
        <v>0</v>
      </c>
      <c r="HK115" s="1297">
        <f t="shared" si="239"/>
        <v>3</v>
      </c>
      <c r="HL115" s="1297"/>
      <c r="HM115" s="726"/>
      <c r="HN115" s="1297"/>
      <c r="HO115" s="1184"/>
      <c r="HP115" s="1184"/>
      <c r="HQ115" s="1184"/>
      <c r="HR115" s="1184"/>
      <c r="HS115" s="1184"/>
      <c r="HT115" s="1184"/>
      <c r="HU115" s="1184"/>
      <c r="HV115" s="1184"/>
      <c r="HW115" s="1184"/>
      <c r="HX115" s="1184"/>
      <c r="HY115" s="1184"/>
      <c r="HZ115" s="1184"/>
      <c r="IA115" s="1184"/>
      <c r="IB115" s="1184"/>
      <c r="IC115" s="1184"/>
      <c r="ID115" s="1184"/>
      <c r="IE115" s="1184"/>
      <c r="IF115" s="1184"/>
      <c r="IG115" s="1184"/>
      <c r="IH115" s="1184"/>
      <c r="II115" s="1184"/>
      <c r="IJ115" s="1184"/>
      <c r="IK115" s="1184"/>
      <c r="IL115" s="1184"/>
    </row>
    <row r="116" spans="25:246" ht="15.75" customHeight="1" thickBot="1" x14ac:dyDescent="0.25">
      <c r="Y116" s="1981"/>
      <c r="Z116" s="1982"/>
      <c r="AA116" s="1982"/>
      <c r="AB116" s="1982"/>
      <c r="AC116" s="1983"/>
      <c r="AD116" s="1983"/>
      <c r="AE116" s="1983"/>
      <c r="AF116" s="1983"/>
      <c r="AG116" s="1983"/>
      <c r="AH116" s="1983"/>
      <c r="AI116" s="1983"/>
      <c r="AJ116" s="1983"/>
      <c r="AK116" s="1983"/>
      <c r="AL116" s="1984"/>
      <c r="AM116" s="1983"/>
      <c r="AN116" s="1983"/>
      <c r="AO116" s="1983"/>
      <c r="AP116" s="1983"/>
      <c r="AQ116" s="1983"/>
      <c r="AR116" s="1983"/>
      <c r="AS116" s="1983"/>
      <c r="AT116" s="1983"/>
      <c r="AU116" s="1983"/>
      <c r="AV116" s="1983"/>
      <c r="AW116" s="1985"/>
      <c r="AX116" s="1985"/>
      <c r="AY116" s="1985"/>
      <c r="AZ116" s="1985"/>
      <c r="BA116" s="1462"/>
      <c r="BB116" s="1462"/>
      <c r="BC116" s="1462"/>
      <c r="BD116" s="1461"/>
      <c r="BE116" s="1462"/>
      <c r="BF116" s="1343"/>
      <c r="BG116" s="1343"/>
      <c r="BH116" s="1343"/>
      <c r="BI116" s="1343"/>
      <c r="BJ116" s="1343"/>
      <c r="BK116" s="1343"/>
      <c r="BL116" s="1343"/>
      <c r="BM116" s="1343"/>
      <c r="BN116" s="1343"/>
      <c r="BO116" s="1343"/>
      <c r="BQ116" s="1184"/>
      <c r="BR116" s="1184"/>
      <c r="BS116" s="1184"/>
      <c r="BT116" s="1184"/>
      <c r="BU116" s="1200"/>
      <c r="BV116" s="1326"/>
      <c r="BW116" s="1326"/>
      <c r="BX116" s="1326"/>
      <c r="BY116" s="1326"/>
      <c r="BZ116" s="1326"/>
      <c r="CA116" s="1326"/>
      <c r="CB116" s="1326"/>
      <c r="CC116" s="1326"/>
      <c r="CD116" s="1326"/>
      <c r="CE116" s="1326"/>
      <c r="CF116" s="1326"/>
      <c r="CG116" s="1326"/>
      <c r="CH116" s="1326"/>
      <c r="CI116" s="1326"/>
      <c r="CJ116" s="1326"/>
      <c r="CK116" s="1326"/>
      <c r="CL116" s="1184"/>
      <c r="CM116" s="1184"/>
      <c r="CN116" s="1184"/>
      <c r="CO116" s="1184"/>
      <c r="CP116" s="1184"/>
      <c r="CQ116" s="1184"/>
      <c r="CR116" s="1184"/>
      <c r="CS116" s="1184"/>
      <c r="CT116" s="1184"/>
      <c r="CU116" s="1184"/>
      <c r="CV116" s="1184"/>
      <c r="CW116" s="1184"/>
      <c r="CX116" s="1184"/>
      <c r="CY116" s="1856" t="str">
        <f>Pflanzen!A112</f>
        <v>Sonstige Wirtschaftsdünger - sonstige Tiere</v>
      </c>
      <c r="CZ116" s="1862">
        <f>IFERROR(MATCH($CY116,Pflanzen!$C$5:$C$114,0),1)</f>
        <v>110</v>
      </c>
      <c r="DA116" s="1856" cm="1">
        <f t="array" ref="DA116">INDEX(Pflanzen!$H$5:$H$114,'Lagerhaltung (freiwillig)'!CZ116)</f>
        <v>0</v>
      </c>
      <c r="DB116" s="1862">
        <f t="shared" si="252"/>
        <v>0</v>
      </c>
      <c r="DC116" s="1862">
        <f t="shared" si="252"/>
        <v>0</v>
      </c>
      <c r="DD116" s="1862">
        <f t="shared" si="252"/>
        <v>0</v>
      </c>
      <c r="DE116" s="1862">
        <f t="shared" si="252"/>
        <v>0</v>
      </c>
      <c r="DF116" s="1862">
        <f t="shared" si="252"/>
        <v>0</v>
      </c>
      <c r="DG116" s="1855">
        <f t="shared" si="252"/>
        <v>0</v>
      </c>
      <c r="DH116" s="1855">
        <f t="shared" si="252"/>
        <v>0</v>
      </c>
      <c r="DI116" s="1855">
        <f t="shared" si="252"/>
        <v>0</v>
      </c>
      <c r="DJ116" s="1855">
        <f t="shared" si="252"/>
        <v>0</v>
      </c>
      <c r="DK116" s="1855">
        <f t="shared" si="252"/>
        <v>0</v>
      </c>
      <c r="DL116" s="1855">
        <f t="shared" si="252"/>
        <v>0</v>
      </c>
      <c r="DM116" s="1855">
        <f t="shared" si="252"/>
        <v>0</v>
      </c>
      <c r="DN116" s="1855"/>
      <c r="DO116" s="1855">
        <f t="shared" si="253"/>
        <v>0</v>
      </c>
      <c r="DP116" s="1855">
        <f t="shared" si="253"/>
        <v>0</v>
      </c>
      <c r="DQ116" s="1855">
        <f t="shared" si="253"/>
        <v>0</v>
      </c>
      <c r="DR116" s="1855">
        <f t="shared" si="253"/>
        <v>0</v>
      </c>
      <c r="DS116" s="1855">
        <f t="shared" si="253"/>
        <v>0</v>
      </c>
      <c r="DT116" s="1855">
        <f t="shared" si="253"/>
        <v>0</v>
      </c>
      <c r="DU116" s="1855">
        <f t="shared" si="253"/>
        <v>0</v>
      </c>
      <c r="DV116" s="1855">
        <f t="shared" si="253"/>
        <v>0</v>
      </c>
      <c r="DW116" s="1855">
        <f t="shared" si="253"/>
        <v>0</v>
      </c>
      <c r="DX116" s="1855">
        <f t="shared" si="253"/>
        <v>0</v>
      </c>
      <c r="DY116" s="1855">
        <f t="shared" si="253"/>
        <v>0</v>
      </c>
      <c r="DZ116" s="1855">
        <f t="shared" si="253"/>
        <v>0</v>
      </c>
      <c r="EA116" s="1855"/>
      <c r="EB116" s="1855">
        <f t="shared" si="254"/>
        <v>0</v>
      </c>
      <c r="EC116" s="1855">
        <f t="shared" si="254"/>
        <v>0</v>
      </c>
      <c r="ED116" s="1855">
        <f t="shared" si="254"/>
        <v>0</v>
      </c>
      <c r="EE116" s="1855">
        <f t="shared" si="254"/>
        <v>0</v>
      </c>
      <c r="EF116" s="1855">
        <f t="shared" si="254"/>
        <v>0</v>
      </c>
      <c r="EG116" s="1855">
        <f t="shared" si="254"/>
        <v>0</v>
      </c>
      <c r="EH116" s="1855">
        <f t="shared" si="254"/>
        <v>0</v>
      </c>
      <c r="EI116" s="1855">
        <f t="shared" si="254"/>
        <v>0</v>
      </c>
      <c r="EJ116" s="1855">
        <f t="shared" si="254"/>
        <v>0</v>
      </c>
      <c r="EK116" s="1855">
        <f t="shared" si="254"/>
        <v>0</v>
      </c>
      <c r="EL116" s="1855">
        <f t="shared" si="254"/>
        <v>0</v>
      </c>
      <c r="EM116" s="1855">
        <f t="shared" si="254"/>
        <v>0</v>
      </c>
      <c r="EN116" s="1855"/>
      <c r="EO116" s="1855">
        <f t="shared" si="255"/>
        <v>0</v>
      </c>
      <c r="EP116" s="1855">
        <f t="shared" si="255"/>
        <v>0</v>
      </c>
      <c r="EQ116" s="1855">
        <f t="shared" si="255"/>
        <v>0</v>
      </c>
      <c r="ER116" s="1855">
        <f t="shared" si="255"/>
        <v>0</v>
      </c>
      <c r="ES116" s="1855">
        <f t="shared" si="255"/>
        <v>0</v>
      </c>
      <c r="ET116" s="1855">
        <f t="shared" si="255"/>
        <v>0</v>
      </c>
      <c r="EU116" s="1855">
        <f t="shared" si="255"/>
        <v>0</v>
      </c>
      <c r="EV116" s="1855">
        <f t="shared" si="255"/>
        <v>0</v>
      </c>
      <c r="EW116" s="1855">
        <f t="shared" si="255"/>
        <v>0</v>
      </c>
      <c r="EX116" s="1855">
        <f t="shared" si="255"/>
        <v>0</v>
      </c>
      <c r="EY116" s="1855">
        <f t="shared" si="255"/>
        <v>0</v>
      </c>
      <c r="EZ116" s="1855">
        <f t="shared" si="255"/>
        <v>0</v>
      </c>
      <c r="FA116" s="1855"/>
      <c r="FB116" s="1857">
        <f t="shared" si="182"/>
        <v>0</v>
      </c>
      <c r="FC116" s="1855">
        <f>FB116+DB116+EB116                 -         SUMIF('Nährstoffe und Lagerraum'!$AX$113:$AX$155,$CZ116,'Nährstoffe und Lagerraum'!$U$113:$U$155)/12  -$GD116*$HE116/12</f>
        <v>0</v>
      </c>
      <c r="FD116" s="1855">
        <f>FC116+DC116+EC116                 -         SUMIF('Nährstoffe und Lagerraum'!$AX$113:$AX$155,$CZ116,'Nährstoffe und Lagerraum'!$U$113:$U$155)/12  -$GD116*$HE116/12</f>
        <v>0</v>
      </c>
      <c r="FE116" s="1855">
        <f>FD116+DD116+ED116                 -         SUMIF('Nährstoffe und Lagerraum'!$AX$113:$AX$155,$CZ116,'Nährstoffe und Lagerraum'!$U$113:$U$155)/12  -$GD116*$HE116/12</f>
        <v>0</v>
      </c>
      <c r="FF116" s="1855">
        <f>FE116+DE116+EE116                 -         SUMIF('Nährstoffe und Lagerraum'!$AX$113:$AX$155,$CZ116,'Nährstoffe und Lagerraum'!$U$113:$U$155)/12  -$GD116*$HE116/12</f>
        <v>0</v>
      </c>
      <c r="FG116" s="1855">
        <f>FF116+DF116+EF116                 -         SUMIF('Nährstoffe und Lagerraum'!$AX$113:$AX$155,$CZ116,'Nährstoffe und Lagerraum'!$U$113:$U$155)/12  -$GD116*$HE116/12</f>
        <v>0</v>
      </c>
      <c r="FH116" s="1855">
        <f>FG116+DG116+EG116                 -         SUMIF('Nährstoffe und Lagerraum'!$AX$113:$AX$155,$CZ116,'Nährstoffe und Lagerraum'!$U$113:$U$155)/12  -$GD116*$HE116/12</f>
        <v>0</v>
      </c>
      <c r="FI116" s="1855">
        <f>FH116+DH116+EH116                 -         SUMIF('Nährstoffe und Lagerraum'!$AX$113:$AX$155,$CZ116,'Nährstoffe und Lagerraum'!$U$113:$U$155)/12  -$GD116*$HE116/12</f>
        <v>0</v>
      </c>
      <c r="FJ116" s="1855">
        <f>FI116+DI116+EI116                 -         SUMIF('Nährstoffe und Lagerraum'!$AX$113:$AX$155,$CZ116,'Nährstoffe und Lagerraum'!$U$113:$U$155)/12  -$GD116*$HE116/12</f>
        <v>0</v>
      </c>
      <c r="FK116" s="1855">
        <f>FJ116+DJ116+EJ116                 -         SUMIF('Nährstoffe und Lagerraum'!$AX$113:$AX$155,$CZ116,'Nährstoffe und Lagerraum'!$U$113:$U$155)/12  -$GD116*$HE116/12</f>
        <v>0</v>
      </c>
      <c r="FL116" s="1855">
        <f>FK116+DK116+EK116                 -         SUMIF('Nährstoffe und Lagerraum'!$AX$113:$AX$155,$CZ116,'Nährstoffe und Lagerraum'!$U$113:$U$155)/12  -$GD116*$HE116/12</f>
        <v>0</v>
      </c>
      <c r="FM116" s="1855">
        <f>FL116+DL116+EL116                 -         SUMIF('Nährstoffe und Lagerraum'!$AX$113:$AX$155,$CZ116,'Nährstoffe und Lagerraum'!$U$113:$U$155)/12  -$GD116*$HE116/12</f>
        <v>0</v>
      </c>
      <c r="FN116" s="1855">
        <f>FM116+DM116+EM116                 -         SUMIF('Nährstoffe und Lagerraum'!$AX$113:$AX$155,$CZ116,'Nährstoffe und Lagerraum'!$U$113:$U$155)/12  -$GD116*$HE116/12</f>
        <v>0</v>
      </c>
      <c r="FO116" s="1855"/>
      <c r="FP116" s="1857">
        <f t="shared" si="183"/>
        <v>0</v>
      </c>
      <c r="FQ116" s="1855">
        <f>FP116+DO116+EO116                 -         SUMIF('Nährstoffe und Lagerraum'!$AX$113:$AX$155,$CZ116,'Nährstoffe und Lagerraum'!$V$113:$V$155)/12  -$GE116*$HE116/12</f>
        <v>0</v>
      </c>
      <c r="FR116" s="1855">
        <f>FQ116+DP116+EP116                 -         SUMIF('Nährstoffe und Lagerraum'!$AX$113:$AX$155,$CZ116,'Nährstoffe und Lagerraum'!$V$113:$V$155)/12  -$GE116*$HE116/12</f>
        <v>0</v>
      </c>
      <c r="FS116" s="1855">
        <f>FR116+DQ116+EQ116                 -         SUMIF('Nährstoffe und Lagerraum'!$AX$113:$AX$155,$CZ116,'Nährstoffe und Lagerraum'!$V$113:$V$155)/12  -$GE116*$HE116/12</f>
        <v>0</v>
      </c>
      <c r="FT116" s="1855">
        <f>FS116+DR116+ER116                 -         SUMIF('Nährstoffe und Lagerraum'!$AX$113:$AX$155,$CZ116,'Nährstoffe und Lagerraum'!$V$113:$V$155)/12  -$GE116*$HE116/12</f>
        <v>0</v>
      </c>
      <c r="FU116" s="1855">
        <f>FT116+DS116+ES116                 -         SUMIF('Nährstoffe und Lagerraum'!$AX$113:$AX$155,$CZ116,'Nährstoffe und Lagerraum'!$V$113:$V$155)/12  -$GE116*$HE116/12</f>
        <v>0</v>
      </c>
      <c r="FV116" s="1855">
        <f>FU116+DT116+ET116                 -         SUMIF('Nährstoffe und Lagerraum'!$AX$113:$AX$155,$CZ116,'Nährstoffe und Lagerraum'!$V$113:$V$155)/12  -$GE116*$HE116/12</f>
        <v>0</v>
      </c>
      <c r="FW116" s="1855">
        <f>FV116+DU116+EU116                 -         SUMIF('Nährstoffe und Lagerraum'!$AX$113:$AX$155,$CZ116,'Nährstoffe und Lagerraum'!$V$113:$V$155)/12  -$GE116*$HE116/12</f>
        <v>0</v>
      </c>
      <c r="FX116" s="1855">
        <f>FW116+DV116+EV116                 -         SUMIF('Nährstoffe und Lagerraum'!$AX$113:$AX$155,$CZ116,'Nährstoffe und Lagerraum'!$V$113:$V$155)/12  -$GE116*$HE116/12</f>
        <v>0</v>
      </c>
      <c r="FY116" s="1855">
        <f>FX116+DW116+EW116                 -         SUMIF('Nährstoffe und Lagerraum'!$AX$113:$AX$155,$CZ116,'Nährstoffe und Lagerraum'!$V$113:$V$155)/12  -$GE116*$HE116/12</f>
        <v>0</v>
      </c>
      <c r="FZ116" s="1855">
        <f>FY116+DX116+EX116                 -         SUMIF('Nährstoffe und Lagerraum'!$AX$113:$AX$155,$CZ116,'Nährstoffe und Lagerraum'!$V$113:$V$155)/12  -$GE116*$HE116/12</f>
        <v>0</v>
      </c>
      <c r="GA116" s="1855">
        <f>FZ116+DY116+EY116                 -         SUMIF('Nährstoffe und Lagerraum'!$AX$113:$AX$155,$CZ116,'Nährstoffe und Lagerraum'!$V$113:$V$155)/12  -$GE116*$HE116/12</f>
        <v>0</v>
      </c>
      <c r="GB116" s="1855">
        <f>GA116+DZ116+EZ116                 -         SUMIF('Nährstoffe und Lagerraum'!$AX$113:$AX$155,$CZ116,'Nährstoffe und Lagerraum'!$V$113:$V$155)/12  -$GE116*$HE116/12</f>
        <v>0</v>
      </c>
      <c r="GC116" s="1855"/>
      <c r="GD116" s="1855">
        <f>SUMIFS($CI$14:$CI$68,$BR$14:$BR$68,$CZ116)+SUMIFS($CM$14:$CM$68,$BR$14:$BR$68,$CZ116)+SUMIFS($CR$14:$CR$68,$BR$14:$BR$68,$CZ116)  -         SUMIF('Nährstoffe und Lagerraum'!$AX$113:$AX$155,$CZ116,'Nährstoffe und Lagerraum'!$U$113:$U$155)</f>
        <v>0</v>
      </c>
      <c r="GE116" s="1855">
        <f>SUMIFS($CJ$14:$CJ$68,$BR$14:$BR$68,$CZ116)+SUMIFS($CO$14:$CO$68,$BR$14:$BR$68,$CZ116)+SUMIFS($CT$14:$CT$68,$BR$14:$BR$68,$CZ116)  -         SUMIF('Nährstoffe und Lagerraum'!$AX$113:$AX$155,$CZ116,'Nährstoffe und Lagerraum'!$V$113:$V$155)</f>
        <v>0</v>
      </c>
      <c r="GF116" s="1855"/>
      <c r="GG116" s="1855"/>
      <c r="GH116" s="1855">
        <f>SUMIF('Nährstoffe und Lagerraum'!$AX$113:$AX$155,$CZ116,'Nährstoffe und Lagerraum'!$U$113:$U$155)</f>
        <v>0</v>
      </c>
      <c r="GI116" s="1184">
        <f>SUMIF('Nährstoffe und Lagerraum'!$AX$113:$AX$155,$CZ116,'Nährstoffe und Lagerraum'!$V$113:$V$155)</f>
        <v>0</v>
      </c>
      <c r="GJ116" s="1855">
        <f t="shared" si="221"/>
        <v>0</v>
      </c>
      <c r="GK116" s="1855">
        <f t="shared" si="222"/>
        <v>0</v>
      </c>
      <c r="GL116" s="1855">
        <f t="shared" si="223"/>
        <v>0</v>
      </c>
      <c r="GM116" s="1855">
        <f t="shared" si="224"/>
        <v>0</v>
      </c>
      <c r="GN116" s="1855">
        <f t="shared" si="225"/>
        <v>0</v>
      </c>
      <c r="GO116" s="1855" cm="1">
        <f t="array" ref="GO116">IF(GN116=0,0,(IFERROR(SUMPRODUCT($J$14:$J$68,$CH$14:$CH$68,($BR$14:$BR$68=CZ116)*1)+SUMPRODUCT($L$14:$L$68,$M$14:$M$68,$CK$14:$CK$68,($BR$14:$BR$68=CZ116)*1,($BT$14:$BT$68=FALSE)*1)/10+SUMPRODUCT($R$14:$R$68,$CP$14:$CP$68,($BR$14:$BR$68=CZ116)*1),0))/GN116)</f>
        <v>0</v>
      </c>
      <c r="GP116" s="1855">
        <f t="shared" si="226"/>
        <v>0</v>
      </c>
      <c r="GQ116" s="1855">
        <f>(SUMIF('Nährstoffe und Lagerraum'!$AX$113:$AX$130,'Lagerhaltung (freiwillig)'!CZ116,'Nährstoffe und Lagerraum'!$D$113:$D$130)+SUMIF('Nährstoffe und Lagerraum'!$AX$137:$AX$155,'Lagerhaltung (freiwillig)'!CZ116,'Nährstoffe und Lagerraum'!$E$137:$E$155))</f>
        <v>0</v>
      </c>
      <c r="GR116" s="1855" cm="1">
        <f t="array" ref="GR116">IF(GQ116=0,0,(IFERROR(SUMPRODUCT('Nährstoffe und Lagerraum'!$D$113:$D$130,'Nährstoffe und Lagerraum'!$F$113:$F$130,('Nährstoffe und Lagerraum'!$AX$113:$AX$130='Lagerhaltung (freiwillig)'!CZ116)*1)+SUMPRODUCT('Nährstoffe und Lagerraum'!$E$137:$E$155,'Nährstoffe und Lagerraum'!$F$137:$F$155,('Nährstoffe und Lagerraum'!$AX$137:$AX$155='Lagerhaltung (freiwillig)'!CZ116)*1),0))/GQ116)</f>
        <v>0</v>
      </c>
      <c r="GS116" s="1855">
        <f t="shared" si="227"/>
        <v>0</v>
      </c>
      <c r="GT116" s="1855">
        <f t="shared" si="228"/>
        <v>0</v>
      </c>
      <c r="GU116" s="1855">
        <f t="shared" si="229"/>
        <v>0</v>
      </c>
      <c r="GV116" s="1855">
        <f t="shared" si="230"/>
        <v>0</v>
      </c>
      <c r="GW116" s="1857" t="str">
        <f t="shared" si="177"/>
        <v xml:space="preserve"> </v>
      </c>
      <c r="GX116" s="1857" t="str">
        <f t="shared" si="177"/>
        <v xml:space="preserve"> </v>
      </c>
      <c r="GY116" s="1858">
        <f t="shared" si="231"/>
        <v>0</v>
      </c>
      <c r="GZ116" s="1855">
        <f t="shared" si="232"/>
        <v>0</v>
      </c>
      <c r="HA116" s="1855" t="str">
        <f t="shared" si="251"/>
        <v>a</v>
      </c>
      <c r="HB116" s="1859">
        <f t="shared" si="233"/>
        <v>0</v>
      </c>
      <c r="HC116" s="1859">
        <f t="shared" si="234"/>
        <v>0</v>
      </c>
      <c r="HD116" s="1859"/>
      <c r="HE116" s="1860">
        <f t="shared" si="235"/>
        <v>0</v>
      </c>
      <c r="HF116" s="1859">
        <f t="shared" si="236"/>
        <v>0</v>
      </c>
      <c r="HG116" s="1859">
        <f t="shared" si="237"/>
        <v>0</v>
      </c>
      <c r="HH116" s="1859">
        <f t="shared" si="238"/>
        <v>0</v>
      </c>
      <c r="HI116" s="1861" cm="1">
        <f t="array" ref="HI116">IF(AND(HG116=0,GL116=0),0,IF(HG116=0,1,IF(OR(GL116*1000/HG116/HH116&gt;INDEX(Pflanzen!$W$5:$W$104,CZ116)/INDEX(Pflanzen!$I$5:$I$104,CZ116)*$HI$2,GL116*1000/HG116/HH116&lt;INDEX(Pflanzen!$W$5:$W$104,CZ116)/INDEX(Pflanzen!$I$5:$I$104,CZ116)/$HI$2),1,0)))</f>
        <v>0</v>
      </c>
      <c r="HJ116" s="1861" cm="1">
        <f t="array" ref="HJ116">IF(AND(GM116=0,HG116=0),0,IF(HG116=0,1,IF(OR(GM116*1000/HG116/HH116&gt;INDEX(Pflanzen!$X$5:$X$104,CZ116)/INDEX(Pflanzen!$I$5:$I$104,CZ116)*$HI$2,GM116*1000/HG116/HH116&lt;INDEX(Pflanzen!$X$5:$X$104,CZ116)/INDEX(Pflanzen!$I$5:$I$104,CZ116)/$HI$2),1,0)))</f>
        <v>0</v>
      </c>
      <c r="HK116" s="1855">
        <f t="shared" si="239"/>
        <v>3</v>
      </c>
      <c r="HL116" s="1184"/>
      <c r="HM116" s="726"/>
      <c r="HN116" s="1297"/>
      <c r="HO116" s="1184"/>
      <c r="HP116" s="1184"/>
      <c r="HQ116" s="1184"/>
      <c r="HR116" s="1184"/>
      <c r="HS116" s="1184"/>
      <c r="HT116" s="1184"/>
      <c r="HU116" s="1184"/>
      <c r="HV116" s="1184"/>
      <c r="HW116" s="1184"/>
      <c r="HX116" s="1184"/>
      <c r="HY116" s="1184"/>
      <c r="HZ116" s="1184"/>
      <c r="IA116" s="1184"/>
      <c r="IB116" s="1184"/>
      <c r="IC116" s="1184"/>
      <c r="ID116" s="1184"/>
      <c r="IE116" s="1184"/>
      <c r="IF116" s="1184"/>
      <c r="IG116" s="1184"/>
      <c r="IH116" s="1184"/>
      <c r="II116" s="1184"/>
      <c r="IJ116" s="1184"/>
      <c r="IK116" s="1184"/>
      <c r="IL116" s="1184"/>
    </row>
    <row r="117" spans="25:246" ht="15.75" customHeight="1" x14ac:dyDescent="0.2">
      <c r="Y117" s="1981"/>
      <c r="Z117" s="1982"/>
      <c r="AA117" s="1982"/>
      <c r="AB117" s="1982"/>
      <c r="AC117" s="1983"/>
      <c r="AD117" s="1983"/>
      <c r="AE117" s="1983"/>
      <c r="AF117" s="1983"/>
      <c r="AG117" s="1983"/>
      <c r="AH117" s="1983"/>
      <c r="AI117" s="1983"/>
      <c r="AJ117" s="1983"/>
      <c r="AK117" s="1983"/>
      <c r="AL117" s="1984"/>
      <c r="AM117" s="1983"/>
      <c r="AN117" s="1983"/>
      <c r="AO117" s="1983"/>
      <c r="AP117" s="1983"/>
      <c r="AQ117" s="1983"/>
      <c r="AR117" s="1983"/>
      <c r="AS117" s="1983"/>
      <c r="AT117" s="1983"/>
      <c r="AU117" s="1983"/>
      <c r="AV117" s="1983"/>
      <c r="AW117" s="1985"/>
      <c r="AX117" s="1985"/>
      <c r="AY117" s="1985"/>
      <c r="AZ117" s="1985"/>
      <c r="BA117" s="1462"/>
      <c r="BB117" s="1462"/>
      <c r="BC117" s="1462"/>
      <c r="BD117" s="1461"/>
      <c r="BE117" s="1462"/>
      <c r="BF117" s="1343"/>
      <c r="BG117" s="1343"/>
      <c r="BH117" s="1343"/>
      <c r="BI117" s="1343"/>
      <c r="BJ117" s="1343"/>
      <c r="BK117" s="1343"/>
      <c r="BL117" s="1343"/>
      <c r="BM117" s="1343"/>
      <c r="BN117" s="1343"/>
      <c r="BO117" s="1343"/>
      <c r="BQ117" s="1184"/>
      <c r="BR117" s="1184"/>
      <c r="BS117" s="1184"/>
      <c r="BT117" s="1184"/>
      <c r="BU117" s="1200"/>
      <c r="BV117" s="1326"/>
      <c r="BW117" s="1326"/>
      <c r="BX117" s="1326"/>
      <c r="BY117" s="1326"/>
      <c r="BZ117" s="1326"/>
      <c r="CA117" s="1326"/>
      <c r="CB117" s="1326"/>
      <c r="CC117" s="1326"/>
      <c r="CD117" s="1326"/>
      <c r="CE117" s="1326"/>
      <c r="CF117" s="1326"/>
      <c r="CG117" s="1326"/>
      <c r="CH117" s="1326"/>
      <c r="CI117" s="1326"/>
      <c r="CJ117" s="1326"/>
      <c r="CK117" s="1326"/>
      <c r="CL117" s="1184"/>
      <c r="CM117" s="1184"/>
      <c r="CN117" s="1184"/>
      <c r="CO117" s="1184"/>
      <c r="CP117" s="1184"/>
      <c r="CQ117" s="1184"/>
      <c r="CR117" s="1184"/>
      <c r="CS117" s="1184"/>
      <c r="CT117" s="1184"/>
      <c r="CU117" s="1184"/>
      <c r="CV117" s="1184"/>
      <c r="CW117" s="1184"/>
      <c r="CX117" s="1184"/>
      <c r="CY117" s="1208" t="str">
        <f>Pflanzen!C118</f>
        <v>Altbrot</v>
      </c>
      <c r="CZ117" s="1184">
        <f>IFERROR(MATCH($CY117,Pflanzen!$C$117:$C$154,0),1)</f>
        <v>2</v>
      </c>
      <c r="DA117" s="1208">
        <f>Pflanzen!H118</f>
        <v>2</v>
      </c>
      <c r="DB117" s="1202">
        <f t="shared" ref="DB117:DM125" si="258">SUMIFS($CQ$75:$CQ$79,$BW$75:$BW$79,1,$BX$75:$BX$79,DB$2,$BR$75:$BR$79,$CZ117)+   SUMIFS($CQ$75:$CQ$79,$BW$75:$BW$79,"&gt;1",$BX$75:$BX$79,"&lt;="&amp;DB$2,$BY$75:$BY$79,"&gt;="&amp;DB$2,$BR$75:$BR$79,$CZ117)</f>
        <v>0</v>
      </c>
      <c r="DC117" s="1202">
        <f t="shared" si="258"/>
        <v>0</v>
      </c>
      <c r="DD117" s="1202">
        <f t="shared" si="258"/>
        <v>0</v>
      </c>
      <c r="DE117" s="1202">
        <f t="shared" si="258"/>
        <v>0</v>
      </c>
      <c r="DF117" s="1202">
        <f t="shared" si="258"/>
        <v>0</v>
      </c>
      <c r="DG117" s="1202">
        <f t="shared" si="258"/>
        <v>0</v>
      </c>
      <c r="DH117" s="1202">
        <f t="shared" si="258"/>
        <v>0</v>
      </c>
      <c r="DI117" s="1202">
        <f t="shared" si="258"/>
        <v>0</v>
      </c>
      <c r="DJ117" s="1202">
        <f t="shared" si="258"/>
        <v>0</v>
      </c>
      <c r="DK117" s="1202">
        <f t="shared" si="258"/>
        <v>0</v>
      </c>
      <c r="DL117" s="1202">
        <f t="shared" si="258"/>
        <v>0</v>
      </c>
      <c r="DM117" s="1202">
        <f t="shared" si="258"/>
        <v>0</v>
      </c>
      <c r="DN117" s="1184"/>
      <c r="DO117" s="1202">
        <f t="shared" ref="DO117:DZ125" si="259">SUMIFS($CS$75:$CS$79,$BW$75:$BW$79,1,$BX$75:$BX$79,DO$2,$BR$75:$BR$79,$CZ117)+   SUMIFS($CS$75:$CS$79,$BW$75:$BW$79,"&gt;1",$BX$75:$BX$79,"&lt;="&amp;DO$2,$BY$75:$BY$79,"&gt;="&amp;DO$2,$BR$75:$BR$79,$CZ117)</f>
        <v>0</v>
      </c>
      <c r="DP117" s="1202">
        <f t="shared" si="259"/>
        <v>0</v>
      </c>
      <c r="DQ117" s="1202">
        <f t="shared" si="259"/>
        <v>0</v>
      </c>
      <c r="DR117" s="1202">
        <f t="shared" si="259"/>
        <v>0</v>
      </c>
      <c r="DS117" s="1202">
        <f t="shared" si="259"/>
        <v>0</v>
      </c>
      <c r="DT117" s="1202">
        <f t="shared" si="259"/>
        <v>0</v>
      </c>
      <c r="DU117" s="1202">
        <f t="shared" si="259"/>
        <v>0</v>
      </c>
      <c r="DV117" s="1202">
        <f t="shared" si="259"/>
        <v>0</v>
      </c>
      <c r="DW117" s="1202">
        <f t="shared" si="259"/>
        <v>0</v>
      </c>
      <c r="DX117" s="1202">
        <f t="shared" si="259"/>
        <v>0</v>
      </c>
      <c r="DY117" s="1202">
        <f t="shared" si="259"/>
        <v>0</v>
      </c>
      <c r="DZ117" s="1202">
        <f t="shared" si="259"/>
        <v>0</v>
      </c>
      <c r="EA117" s="1184"/>
      <c r="EB117" s="1184"/>
      <c r="EC117" s="1184"/>
      <c r="ED117" s="1184"/>
      <c r="EE117" s="1184"/>
      <c r="EF117" s="1184"/>
      <c r="EG117" s="1184"/>
      <c r="EH117" s="1184"/>
      <c r="EI117" s="1184"/>
      <c r="EJ117" s="1184"/>
      <c r="EK117" s="1184"/>
      <c r="EL117" s="1184"/>
      <c r="EM117" s="1184"/>
      <c r="EN117" s="1184"/>
      <c r="EO117" s="1184"/>
      <c r="EP117" s="1184"/>
      <c r="EQ117" s="1184"/>
      <c r="ER117" s="1184"/>
      <c r="ES117" s="1184"/>
      <c r="ET117" s="1184"/>
      <c r="EU117" s="1184"/>
      <c r="EV117" s="1184"/>
      <c r="EW117" s="1184"/>
      <c r="EX117" s="1184"/>
      <c r="EY117" s="1184"/>
      <c r="EZ117" s="1184"/>
      <c r="FA117" s="1184"/>
      <c r="FB117" s="1186">
        <f>SUMIF($BR$75:$BR$79,$CZ117,$CI$75:$CI$79)</f>
        <v>0</v>
      </c>
      <c r="FC117" s="1297">
        <f t="shared" ref="FC117" si="260">FB117+DB117  -$GD117*$HE117/12</f>
        <v>0</v>
      </c>
      <c r="FD117" s="1297">
        <f t="shared" ref="FD117" si="261">FC117+DC117  -$GD117*$HE117/12</f>
        <v>0</v>
      </c>
      <c r="FE117" s="1297">
        <f t="shared" ref="FE117" si="262">FD117+DD117  -$GD117*$HE117/12</f>
        <v>0</v>
      </c>
      <c r="FF117" s="1297">
        <f t="shared" ref="FF117" si="263">FE117+DE117  -$GD117*$HE117/12</f>
        <v>0</v>
      </c>
      <c r="FG117" s="1297">
        <f t="shared" ref="FG117" si="264">FF117+DF117  -$GD117*$HE117/12</f>
        <v>0</v>
      </c>
      <c r="FH117" s="1297">
        <f t="shared" ref="FH117" si="265">FG117+DG117  -$GD117*$HE117/12</f>
        <v>0</v>
      </c>
      <c r="FI117" s="1297">
        <f t="shared" ref="FI117" si="266">FH117+DH117  -$GD117*$HE117/12</f>
        <v>0</v>
      </c>
      <c r="FJ117" s="1297">
        <f t="shared" ref="FJ117" si="267">FI117+DI117  -$GD117*$HE117/12</f>
        <v>0</v>
      </c>
      <c r="FK117" s="1297">
        <f t="shared" ref="FK117" si="268">FJ117+DJ117  -$GD117*$HE117/12</f>
        <v>0</v>
      </c>
      <c r="FL117" s="1297">
        <f t="shared" ref="FL117" si="269">FK117+DK117  -$GD117*$HE117/12</f>
        <v>0</v>
      </c>
      <c r="FM117" s="1297">
        <f t="shared" ref="FM117" si="270">FL117+DL117  -$GD117*$HE117/12</f>
        <v>0</v>
      </c>
      <c r="FN117" s="1297">
        <f t="shared" ref="FN117" si="271">FM117+DM117  -$GD117*$HE117/12</f>
        <v>0</v>
      </c>
      <c r="FO117" s="1184"/>
      <c r="FP117" s="1186">
        <f>SUMIF($BR$75:$BR$79,$CZ117,$CJ$75:$CJ$79)</f>
        <v>0</v>
      </c>
      <c r="FQ117" s="1297">
        <f t="shared" ref="FQ117:FQ154" si="272">FP117+DO117  -$GE117*$HE117/12</f>
        <v>0</v>
      </c>
      <c r="FR117" s="1297">
        <f t="shared" ref="FR117:FR154" si="273">FQ117+DP117  -$GE117*$HE117/12</f>
        <v>0</v>
      </c>
      <c r="FS117" s="1297">
        <f t="shared" ref="FS117:FS154" si="274">FR117+DQ117  -$GE117*$HE117/12</f>
        <v>0</v>
      </c>
      <c r="FT117" s="1297">
        <f t="shared" ref="FT117:FT154" si="275">FS117+DR117  -$GE117*$HE117/12</f>
        <v>0</v>
      </c>
      <c r="FU117" s="1297">
        <f t="shared" ref="FU117:FU154" si="276">FT117+DS117  -$GE117*$HE117/12</f>
        <v>0</v>
      </c>
      <c r="FV117" s="1297">
        <f t="shared" ref="FV117:FV154" si="277">FU117+DT117  -$GE117*$HE117/12</f>
        <v>0</v>
      </c>
      <c r="FW117" s="1297">
        <f t="shared" ref="FW117:FW154" si="278">FV117+DU117  -$GE117*$HE117/12</f>
        <v>0</v>
      </c>
      <c r="FX117" s="1297">
        <f t="shared" ref="FX117:FX154" si="279">FW117+DV117  -$GE117*$HE117/12</f>
        <v>0</v>
      </c>
      <c r="FY117" s="1297">
        <f t="shared" ref="FY117:FY154" si="280">FX117+DW117  -$GE117*$HE117/12</f>
        <v>0</v>
      </c>
      <c r="FZ117" s="1297">
        <f t="shared" ref="FZ117:FZ154" si="281">FY117+DX117  -$GE117*$HE117/12</f>
        <v>0</v>
      </c>
      <c r="GA117" s="1297">
        <f t="shared" ref="GA117:GA154" si="282">FZ117+DY117  -$GE117*$HE117/12</f>
        <v>0</v>
      </c>
      <c r="GB117" s="1297">
        <f t="shared" ref="GB117:GB154" si="283">GA117+DZ117  -$GE117*$HE117/12</f>
        <v>0</v>
      </c>
      <c r="GC117" s="1184"/>
      <c r="GD117" s="1184">
        <f xml:space="preserve">  SUMIFS($CI$75:$CI$79,$BR$75:$BR$79,$CZ117)+SUMIFS($CR$75:$CR$79,$BR$75:$BR$79,$CZ117)</f>
        <v>0</v>
      </c>
      <c r="GE117" s="1184">
        <f xml:space="preserve">  SUMIFS($CJ$75:$CJ$79,$BR$75:$BR$79,$CZ117)+SUMIFS($CT$75:$CT$79,$BR$75:$BR$79,$CZ117)</f>
        <v>0</v>
      </c>
      <c r="GF117" s="1184"/>
      <c r="GG117" s="1184"/>
      <c r="GH117" s="1184"/>
      <c r="GI117" s="1184"/>
      <c r="GJ117" s="1184">
        <f>GD117</f>
        <v>0</v>
      </c>
      <c r="GK117" s="1184">
        <f>GE117</f>
        <v>0</v>
      </c>
      <c r="GL117" s="1184">
        <f t="shared" ref="GL117" si="284">GD117-GD117*HE117</f>
        <v>0</v>
      </c>
      <c r="GM117" s="1184">
        <f t="shared" ref="GM117" si="285">GE117-GE117*HE117</f>
        <v>0</v>
      </c>
      <c r="GN117" s="1184">
        <f t="shared" ref="GN117" si="286">SUMIF($BR$75:$BR$79,CZ117,$CW$75:$CW$79)</f>
        <v>0</v>
      </c>
      <c r="GO117" s="1184" cm="1">
        <f t="array" ref="GO117">IF(GN117=0,0,(SUMPRODUCT($J$75:$J$79,$CH$75:$CH$79,($BR$75:$BR$79=CZ117)*1)+SUMPRODUCT($R$75:$R$79,$CP$75:$CP$79,($BR$75:$BR$79=CZ117)*1))/GN117)</f>
        <v>0</v>
      </c>
      <c r="GP117" s="1184">
        <f t="shared" ref="GP117" si="287">GN117*GO117/100</f>
        <v>0</v>
      </c>
      <c r="GQ117" s="1184"/>
      <c r="GR117" s="1184"/>
      <c r="GS117" s="1184">
        <f t="shared" ref="GS117" si="288">GQ117*GR117/100</f>
        <v>0</v>
      </c>
      <c r="GT117" s="1184">
        <f t="shared" ref="GT117" si="289">GP117-GS117</f>
        <v>0</v>
      </c>
      <c r="GU117" s="1184">
        <f t="shared" ref="GU117" si="290">IF(AND(GO117=0,GR117=0),0,IF(GO117=0,GT117/(GR117/100),GT117/(GO117/100)))</f>
        <v>0</v>
      </c>
      <c r="GV117" s="1184">
        <f t="shared" ref="GV117" si="291">IF(OR(GO117=0,GR117=0),MAX(GO117,GR117),GO117)</f>
        <v>0</v>
      </c>
      <c r="GW117" s="1186" t="str">
        <f t="shared" ref="GW117:GX165" si="292">" "</f>
        <v xml:space="preserve"> </v>
      </c>
      <c r="GX117" s="1186" t="str">
        <f t="shared" si="292"/>
        <v xml:space="preserve"> </v>
      </c>
      <c r="GY117" s="1195">
        <f t="shared" ref="GY117" si="293">IF(OR(HK117=3,GU117&lt;=0),0,IF(DA117=$DA$4,$GX$4/$GG$4,IF(DA117=$DA$6,$GX$6/$GG$6,0)))</f>
        <v>0</v>
      </c>
      <c r="GZ117" s="1184">
        <f t="shared" ref="GZ117" si="294">GU117*GY117</f>
        <v>0</v>
      </c>
      <c r="HA117" s="1184" t="str">
        <f t="shared" si="251"/>
        <v>a</v>
      </c>
      <c r="HB117" s="1196">
        <f t="shared" ref="HB117" si="295">IF(HA117="a",0,GD117*HE117)</f>
        <v>0</v>
      </c>
      <c r="HC117" s="1196">
        <f t="shared" ref="HC117" si="296">IF(HA117="a",0,GD117*(1-HE117))</f>
        <v>0</v>
      </c>
      <c r="HD117" s="1196"/>
      <c r="HE117" s="1187">
        <f t="shared" ref="HE117" si="297">IF(OR(HK117=3,GU117&lt;=0),0,IF(HA117&lt;&gt;"a",IF(GU117=0,0,MIN(1,HA117/GU117)),IF(DA117=$DA$4,IF($GG$4-$HC$4-$HB$4=0,0,$HD$4/($GG$4-$HC$4-$HB$4)),IF(DA117=$DA$6,IF($GG$6-$HC$6-$HB$6=0,0,$HD$6/($GG$6-$HC$6-$HB$6)),0))))</f>
        <v>0</v>
      </c>
      <c r="HF117" s="1196">
        <f t="shared" ref="HF117" si="298">MAX(0,GU117*HE117)</f>
        <v>0</v>
      </c>
      <c r="HG117" s="1196">
        <f t="shared" ref="HG117" si="299">GU117-HF117</f>
        <v>0</v>
      </c>
      <c r="HH117" s="1196">
        <f t="shared" ref="HH117" si="300">GO117</f>
        <v>0</v>
      </c>
      <c r="HI117" s="1328" cm="1">
        <f t="array" ref="HI117">IF(AND(HG117=0,GL117=0),0,IF(HG117=0,1,IF(OR(GL117*1000/HG117/HH117&gt;INDEX(Pflanzen!$W$117:$W$154,CZ117)/INDEX(Pflanzen!$I$117:$I$154,CZ117)*$HI$1,GL117*1000/HG117/HH117&lt;INDEX(Pflanzen!$W$117:$W$154,CZ117)/INDEX(Pflanzen!$I$117:$I$154,CZ117)/$HI$1),1,0)))</f>
        <v>0</v>
      </c>
      <c r="HJ117" s="1330" cm="1">
        <f t="array" ref="HJ117">IF(AND(GM117=0,HG117=0),0,IF(HG117=0,1,IF(OR(GM117*1000/HG117/HH117&gt;INDEX(Pflanzen!$X$117:$X$154,CZ117)/INDEX(Pflanzen!$I$117:$I$154,CZ117)*$HI$2,GM117*1000/HG117/HH117&lt;INDEX(Pflanzen!$X$117:$X$154,CZ117)/INDEX(Pflanzen!$I$117:$I$154,CZ117)/$HI$2),1,0)))</f>
        <v>0</v>
      </c>
      <c r="HK117" s="1184">
        <f t="shared" ref="HK117" si="301">IF(AND(GD117=0,GE117=0,GH117=0,GI117=0,GJ117=0,GK117=0),3,DA117)</f>
        <v>3</v>
      </c>
      <c r="HL117" s="1184"/>
      <c r="HM117" s="726"/>
      <c r="HN117" s="1297"/>
      <c r="HO117" s="1184"/>
      <c r="HP117" s="1184"/>
      <c r="HQ117" s="1184"/>
      <c r="HR117" s="1184"/>
      <c r="HS117" s="1184"/>
      <c r="HT117" s="1184"/>
      <c r="HU117" s="1184"/>
      <c r="HV117" s="1184"/>
      <c r="HW117" s="1184"/>
      <c r="HX117" s="1184"/>
      <c r="HY117" s="1184"/>
      <c r="HZ117" s="1184"/>
      <c r="IA117" s="1184"/>
      <c r="IB117" s="1184"/>
      <c r="IC117" s="1184"/>
      <c r="ID117" s="1184"/>
      <c r="IE117" s="1184"/>
      <c r="IF117" s="1184"/>
      <c r="IG117" s="1184"/>
      <c r="IH117" s="1184"/>
      <c r="II117" s="1184"/>
      <c r="IJ117" s="1184"/>
      <c r="IK117" s="1184"/>
      <c r="IL117" s="1184"/>
    </row>
    <row r="118" spans="25:246" ht="15.75" customHeight="1" x14ac:dyDescent="0.2">
      <c r="Y118" s="1981"/>
      <c r="Z118" s="1982"/>
      <c r="AA118" s="1982"/>
      <c r="AB118" s="1982"/>
      <c r="AC118" s="1983"/>
      <c r="AD118" s="1983"/>
      <c r="AE118" s="1983"/>
      <c r="AF118" s="1983"/>
      <c r="AG118" s="1983"/>
      <c r="AH118" s="1983"/>
      <c r="AI118" s="1983"/>
      <c r="AJ118" s="1983"/>
      <c r="AK118" s="1983"/>
      <c r="AL118" s="1984"/>
      <c r="AM118" s="1983"/>
      <c r="AN118" s="1983"/>
      <c r="AO118" s="1983"/>
      <c r="AP118" s="1983"/>
      <c r="AQ118" s="1983"/>
      <c r="AR118" s="1983"/>
      <c r="AS118" s="1983"/>
      <c r="AT118" s="1983"/>
      <c r="AU118" s="1983"/>
      <c r="AV118" s="1983"/>
      <c r="AW118" s="1985"/>
      <c r="AX118" s="1985"/>
      <c r="AY118" s="1985"/>
      <c r="AZ118" s="1985"/>
      <c r="BA118" s="1462"/>
      <c r="BB118" s="1462"/>
      <c r="BC118" s="1462"/>
      <c r="BD118" s="1461"/>
      <c r="BE118" s="1462"/>
      <c r="BF118" s="1343"/>
      <c r="BG118" s="1343"/>
      <c r="BH118" s="1343"/>
      <c r="BI118" s="1343"/>
      <c r="BJ118" s="1343"/>
      <c r="BK118" s="1343"/>
      <c r="BL118" s="1343"/>
      <c r="BM118" s="1343"/>
      <c r="BN118" s="1343"/>
      <c r="BO118" s="1343"/>
      <c r="BQ118" s="1184"/>
      <c r="BR118" s="1184"/>
      <c r="BS118" s="1184"/>
      <c r="BT118" s="1184"/>
      <c r="BU118" s="1200"/>
      <c r="BV118" s="1326"/>
      <c r="BW118" s="1326"/>
      <c r="BX118" s="1326"/>
      <c r="BY118" s="1326"/>
      <c r="BZ118" s="1326"/>
      <c r="CA118" s="1326"/>
      <c r="CB118" s="1326"/>
      <c r="CC118" s="1326"/>
      <c r="CD118" s="1326"/>
      <c r="CE118" s="1326"/>
      <c r="CF118" s="1326"/>
      <c r="CG118" s="1326"/>
      <c r="CH118" s="1326"/>
      <c r="CI118" s="1326"/>
      <c r="CJ118" s="1326"/>
      <c r="CK118" s="1326"/>
      <c r="CL118" s="1184"/>
      <c r="CM118" s="1184"/>
      <c r="CN118" s="1184"/>
      <c r="CO118" s="1184"/>
      <c r="CP118" s="1184"/>
      <c r="CQ118" s="1184"/>
      <c r="CR118" s="1184"/>
      <c r="CS118" s="1184"/>
      <c r="CT118" s="1184"/>
      <c r="CU118" s="1184"/>
      <c r="CV118" s="1184"/>
      <c r="CW118" s="1184"/>
      <c r="CY118" s="1208" t="str">
        <f>Pflanzen!C119</f>
        <v>Apfeltrester</v>
      </c>
      <c r="CZ118" s="1184">
        <f>IFERROR(MATCH($CY118,Pflanzen!$C$117:$C$154,0),1)</f>
        <v>3</v>
      </c>
      <c r="DA118" s="1208">
        <f>Pflanzen!H119</f>
        <v>2</v>
      </c>
      <c r="DB118" s="1184">
        <f t="shared" si="258"/>
        <v>0</v>
      </c>
      <c r="DC118" s="1184">
        <f t="shared" si="258"/>
        <v>0</v>
      </c>
      <c r="DD118" s="1184">
        <f t="shared" si="258"/>
        <v>0</v>
      </c>
      <c r="DE118" s="1184">
        <f t="shared" si="258"/>
        <v>0</v>
      </c>
      <c r="DF118" s="1184">
        <f t="shared" si="258"/>
        <v>0</v>
      </c>
      <c r="DG118" s="1184">
        <f t="shared" si="258"/>
        <v>0</v>
      </c>
      <c r="DH118" s="1184">
        <f t="shared" si="258"/>
        <v>0</v>
      </c>
      <c r="DI118" s="1184">
        <f t="shared" si="258"/>
        <v>0</v>
      </c>
      <c r="DJ118" s="1184">
        <f t="shared" si="258"/>
        <v>0</v>
      </c>
      <c r="DK118" s="1184">
        <f t="shared" si="258"/>
        <v>0</v>
      </c>
      <c r="DL118" s="1184">
        <f t="shared" si="258"/>
        <v>0</v>
      </c>
      <c r="DM118" s="1184">
        <f t="shared" si="258"/>
        <v>0</v>
      </c>
      <c r="DN118" s="1184"/>
      <c r="DO118" s="1184">
        <f t="shared" si="259"/>
        <v>0</v>
      </c>
      <c r="DP118" s="1184">
        <f t="shared" si="259"/>
        <v>0</v>
      </c>
      <c r="DQ118" s="1184">
        <f t="shared" si="259"/>
        <v>0</v>
      </c>
      <c r="DR118" s="1184">
        <f t="shared" si="259"/>
        <v>0</v>
      </c>
      <c r="DS118" s="1184">
        <f t="shared" si="259"/>
        <v>0</v>
      </c>
      <c r="DT118" s="1184">
        <f t="shared" si="259"/>
        <v>0</v>
      </c>
      <c r="DU118" s="1184">
        <f t="shared" si="259"/>
        <v>0</v>
      </c>
      <c r="DV118" s="1184">
        <f t="shared" si="259"/>
        <v>0</v>
      </c>
      <c r="DW118" s="1184">
        <f t="shared" si="259"/>
        <v>0</v>
      </c>
      <c r="DX118" s="1184">
        <f t="shared" si="259"/>
        <v>0</v>
      </c>
      <c r="DY118" s="1184">
        <f t="shared" si="259"/>
        <v>0</v>
      </c>
      <c r="DZ118" s="1184">
        <f t="shared" si="259"/>
        <v>0</v>
      </c>
      <c r="EA118" s="1184"/>
      <c r="EB118" s="1184"/>
      <c r="EC118" s="1184"/>
      <c r="ED118" s="1184"/>
      <c r="EE118" s="1184"/>
      <c r="EF118" s="1184"/>
      <c r="EG118" s="1184"/>
      <c r="EH118" s="1184"/>
      <c r="EI118" s="1184"/>
      <c r="EJ118" s="1184"/>
      <c r="EK118" s="1184"/>
      <c r="EL118" s="1184"/>
      <c r="EM118" s="1184"/>
      <c r="EN118" s="1184"/>
      <c r="EO118" s="1184"/>
      <c r="EP118" s="1184"/>
      <c r="EQ118" s="1184"/>
      <c r="ER118" s="1184"/>
      <c r="ES118" s="1184"/>
      <c r="ET118" s="1184"/>
      <c r="EU118" s="1184"/>
      <c r="EV118" s="1184"/>
      <c r="EW118" s="1184"/>
      <c r="EX118" s="1184"/>
      <c r="EY118" s="1184"/>
      <c r="EZ118" s="1184"/>
      <c r="FA118" s="1184"/>
      <c r="FB118" s="1186">
        <f t="shared" ref="FB118:FB153" si="302">SUMIF($BR$75:$BR$79,$CZ118,$CI$75:$CI$79)</f>
        <v>0</v>
      </c>
      <c r="FC118" s="1297">
        <f t="shared" ref="FC118:FC153" si="303">FB118+DB118  -$GD118*$HE118/12</f>
        <v>0</v>
      </c>
      <c r="FD118" s="1297">
        <f t="shared" ref="FD118:FD153" si="304">FC118+DC118  -$GD118*$HE118/12</f>
        <v>0</v>
      </c>
      <c r="FE118" s="1297">
        <f t="shared" ref="FE118:FE153" si="305">FD118+DD118  -$GD118*$HE118/12</f>
        <v>0</v>
      </c>
      <c r="FF118" s="1297">
        <f t="shared" ref="FF118:FF153" si="306">FE118+DE118  -$GD118*$HE118/12</f>
        <v>0</v>
      </c>
      <c r="FG118" s="1297">
        <f t="shared" ref="FG118:FG153" si="307">FF118+DF118  -$GD118*$HE118/12</f>
        <v>0</v>
      </c>
      <c r="FH118" s="1297">
        <f t="shared" ref="FH118:FH153" si="308">FG118+DG118  -$GD118*$HE118/12</f>
        <v>0</v>
      </c>
      <c r="FI118" s="1297">
        <f t="shared" ref="FI118:FI153" si="309">FH118+DH118  -$GD118*$HE118/12</f>
        <v>0</v>
      </c>
      <c r="FJ118" s="1297">
        <f t="shared" ref="FJ118:FJ153" si="310">FI118+DI118  -$GD118*$HE118/12</f>
        <v>0</v>
      </c>
      <c r="FK118" s="1297">
        <f t="shared" ref="FK118:FK153" si="311">FJ118+DJ118  -$GD118*$HE118/12</f>
        <v>0</v>
      </c>
      <c r="FL118" s="1297">
        <f t="shared" ref="FL118:FL153" si="312">FK118+DK118  -$GD118*$HE118/12</f>
        <v>0</v>
      </c>
      <c r="FM118" s="1297">
        <f t="shared" ref="FM118:FM153" si="313">FL118+DL118  -$GD118*$HE118/12</f>
        <v>0</v>
      </c>
      <c r="FN118" s="1297">
        <f t="shared" ref="FN118:FN153" si="314">FM118+DM118  -$GD118*$HE118/12</f>
        <v>0</v>
      </c>
      <c r="FO118" s="1184"/>
      <c r="FP118" s="1186">
        <f t="shared" ref="FP118:FP153" si="315">SUMIF($BR$75:$BR$79,$CZ118,$CJ$75:$CJ$79)</f>
        <v>0</v>
      </c>
      <c r="FQ118" s="1297">
        <f t="shared" ref="FQ118:FQ153" si="316">FP118+DO118  -$GE118*$HE118/12</f>
        <v>0</v>
      </c>
      <c r="FR118" s="1297">
        <f t="shared" ref="FR118:FR153" si="317">FQ118+DP118  -$GE118*$HE118/12</f>
        <v>0</v>
      </c>
      <c r="FS118" s="1297">
        <f t="shared" ref="FS118:FS153" si="318">FR118+DQ118  -$GE118*$HE118/12</f>
        <v>0</v>
      </c>
      <c r="FT118" s="1297">
        <f t="shared" ref="FT118:FT153" si="319">FS118+DR118  -$GE118*$HE118/12</f>
        <v>0</v>
      </c>
      <c r="FU118" s="1297">
        <f t="shared" ref="FU118:FU153" si="320">FT118+DS118  -$GE118*$HE118/12</f>
        <v>0</v>
      </c>
      <c r="FV118" s="1297">
        <f t="shared" ref="FV118:FV153" si="321">FU118+DT118  -$GE118*$HE118/12</f>
        <v>0</v>
      </c>
      <c r="FW118" s="1297">
        <f t="shared" ref="FW118:FW153" si="322">FV118+DU118  -$GE118*$HE118/12</f>
        <v>0</v>
      </c>
      <c r="FX118" s="1297">
        <f t="shared" ref="FX118:FX153" si="323">FW118+DV118  -$GE118*$HE118/12</f>
        <v>0</v>
      </c>
      <c r="FY118" s="1297">
        <f t="shared" ref="FY118:FY153" si="324">FX118+DW118  -$GE118*$HE118/12</f>
        <v>0</v>
      </c>
      <c r="FZ118" s="1297">
        <f t="shared" ref="FZ118:FZ153" si="325">FY118+DX118  -$GE118*$HE118/12</f>
        <v>0</v>
      </c>
      <c r="GA118" s="1297">
        <f t="shared" ref="GA118:GA153" si="326">FZ118+DY118  -$GE118*$HE118/12</f>
        <v>0</v>
      </c>
      <c r="GB118" s="1297">
        <f t="shared" ref="GB118:GB153" si="327">GA118+DZ118  -$GE118*$HE118/12</f>
        <v>0</v>
      </c>
      <c r="GC118" s="1184"/>
      <c r="GD118" s="1184">
        <f t="shared" ref="GD118:GD153" si="328" xml:space="preserve">  SUMIFS($CI$75:$CI$79,$BR$75:$BR$79,$CZ118)+SUMIFS($CR$75:$CR$79,$BR$75:$BR$79,$CZ118)</f>
        <v>0</v>
      </c>
      <c r="GE118" s="1184">
        <f t="shared" ref="GE118:GE153" si="329" xml:space="preserve">  SUMIFS($CJ$75:$CJ$79,$BR$75:$BR$79,$CZ118)+SUMIFS($CT$75:$CT$79,$BR$75:$BR$79,$CZ118)</f>
        <v>0</v>
      </c>
      <c r="GF118" s="1184"/>
      <c r="GG118" s="1184"/>
      <c r="GH118" s="1184"/>
      <c r="GI118" s="1184"/>
      <c r="GJ118" s="1184">
        <f t="shared" ref="GJ118:GJ153" si="330">GD118</f>
        <v>0</v>
      </c>
      <c r="GK118" s="1184">
        <f t="shared" ref="GK118:GK153" si="331">GE118</f>
        <v>0</v>
      </c>
      <c r="GL118" s="1184">
        <f t="shared" ref="GL118:GL153" si="332">GD118-GD118*HE118</f>
        <v>0</v>
      </c>
      <c r="GM118" s="1184">
        <f t="shared" ref="GM118:GM153" si="333">GE118-GE118*HE118</f>
        <v>0</v>
      </c>
      <c r="GN118" s="1184">
        <f t="shared" ref="GN118:GN153" si="334">SUMIF($BR$75:$BR$79,CZ118,$CW$75:$CW$79)</f>
        <v>0</v>
      </c>
      <c r="GO118" s="1184" cm="1">
        <f t="array" ref="GO118">IF(GN118=0,0,(SUMPRODUCT($J$75:$J$79,$CH$75:$CH$79,($BR$75:$BR$79=CZ118)*1)+SUMPRODUCT($R$75:$R$79,$CP$75:$CP$79,($BR$75:$BR$79=CZ118)*1))/GN118)</f>
        <v>0</v>
      </c>
      <c r="GP118" s="1184">
        <f t="shared" ref="GP118:GP153" si="335">GN118*GO118/100</f>
        <v>0</v>
      </c>
      <c r="GQ118" s="1184"/>
      <c r="GR118" s="1184"/>
      <c r="GS118" s="1184">
        <f t="shared" ref="GS118:GS153" si="336">GQ118*GR118/100</f>
        <v>0</v>
      </c>
      <c r="GT118" s="1184">
        <f t="shared" ref="GT118:GT153" si="337">GP118-GS118</f>
        <v>0</v>
      </c>
      <c r="GU118" s="1184">
        <f t="shared" ref="GU118:GU153" si="338">IF(AND(GO118=0,GR118=0),0,IF(GO118=0,GT118/(GR118/100),GT118/(GO118/100)))</f>
        <v>0</v>
      </c>
      <c r="GV118" s="1184">
        <f t="shared" ref="GV118:GV153" si="339">IF(OR(GO118=0,GR118=0),MAX(GO118,GR118),GO118)</f>
        <v>0</v>
      </c>
      <c r="GW118" s="1186" t="str">
        <f t="shared" si="292"/>
        <v xml:space="preserve"> </v>
      </c>
      <c r="GX118" s="1186" t="str">
        <f t="shared" si="292"/>
        <v xml:space="preserve"> </v>
      </c>
      <c r="GY118" s="1195">
        <f t="shared" ref="GY118:GY153" si="340">IF(OR(HK118=3,GU118&lt;=0),0,IF(DA118=$DA$4,$GX$4/$GG$4,IF(DA118=$DA$6,$GX$6/$GG$6,0)))</f>
        <v>0</v>
      </c>
      <c r="GZ118" s="1184">
        <f t="shared" ref="GZ118:GZ153" si="341">GU118*GY118</f>
        <v>0</v>
      </c>
      <c r="HA118" s="1184" t="str">
        <f t="shared" si="251"/>
        <v>a</v>
      </c>
      <c r="HB118" s="1196">
        <f t="shared" ref="HB118:HB153" si="342">IF(HA118="a",0,GD118*HE118)</f>
        <v>0</v>
      </c>
      <c r="HC118" s="1196">
        <f t="shared" ref="HC118:HC153" si="343">IF(HA118="a",0,GD118*(1-HE118))</f>
        <v>0</v>
      </c>
      <c r="HD118" s="1196"/>
      <c r="HE118" s="1187">
        <f t="shared" ref="HE118:HE153" si="344">IF(OR(HK118=3,GU118&lt;=0),0,IF(HA118&lt;&gt;"a",IF(GU118=0,0,MIN(1,HA118/GU118)),IF(DA118=$DA$4,IF($GG$4-$HC$4-$HB$4=0,0,$HD$4/($GG$4-$HC$4-$HB$4)),IF(DA118=$DA$6,IF($GG$6-$HC$6-$HB$6=0,0,$HD$6/($GG$6-$HC$6-$HB$6)),0))))</f>
        <v>0</v>
      </c>
      <c r="HF118" s="1196">
        <f t="shared" ref="HF118:HF153" si="345">MAX(0,GU118*HE118)</f>
        <v>0</v>
      </c>
      <c r="HG118" s="1196">
        <f t="shared" ref="HG118:HG153" si="346">GU118-HF118</f>
        <v>0</v>
      </c>
      <c r="HH118" s="1196">
        <f t="shared" ref="HH118:HH153" si="347">GO118</f>
        <v>0</v>
      </c>
      <c r="HI118" s="1328" cm="1">
        <f t="array" ref="HI118">IF(AND(HG118=0,GL118=0),0,IF(HG118=0,1,IF(OR(GL118*1000/HG118/HH118&gt;INDEX(Pflanzen!$W$117:$W$154,CZ118)/INDEX(Pflanzen!$I$117:$I$154,CZ118)*$HI$1,GL118*1000/HG118/HH118&lt;INDEX(Pflanzen!$W$117:$W$154,CZ118)/INDEX(Pflanzen!$I$117:$I$154,CZ118)/$HI$1),1,0)))</f>
        <v>0</v>
      </c>
      <c r="HJ118" s="1330" cm="1">
        <f t="array" ref="HJ118">IF(AND(GM118=0,HG118=0),0,IF(HG118=0,1,IF(OR(GM118*1000/HG118/HH118&gt;INDEX(Pflanzen!$X$117:$X$154,CZ118)/INDEX(Pflanzen!$I$117:$I$154,CZ118)*$HI$2,GM118*1000/HG118/HH118&lt;INDEX(Pflanzen!$X$117:$X$154,CZ118)/INDEX(Pflanzen!$I$117:$I$154,CZ118)/$HI$2),1,0)))</f>
        <v>0</v>
      </c>
      <c r="HK118" s="1184">
        <f t="shared" ref="HK118:HK153" si="348">IF(AND(GD118=0,GE118=0,GH118=0,GI118=0,GJ118=0,GK118=0),3,DA118)</f>
        <v>3</v>
      </c>
      <c r="HL118" s="1184"/>
      <c r="HN118" s="1184"/>
      <c r="HO118" s="1184"/>
      <c r="HP118" s="1184"/>
      <c r="HQ118" s="1184"/>
      <c r="HR118" s="1184"/>
      <c r="HS118" s="1184"/>
      <c r="HT118" s="1184"/>
      <c r="HU118" s="1184"/>
      <c r="HV118" s="1184"/>
      <c r="HW118" s="1184"/>
      <c r="HX118" s="1184"/>
      <c r="HY118" s="1184"/>
      <c r="HZ118" s="1184"/>
      <c r="IA118" s="1184"/>
      <c r="IB118" s="1184"/>
      <c r="IC118" s="1184"/>
      <c r="ID118" s="1184"/>
      <c r="IE118" s="1184"/>
      <c r="IF118" s="1184"/>
      <c r="IG118" s="1184"/>
      <c r="IH118" s="1184"/>
      <c r="II118" s="1184"/>
      <c r="IJ118" s="1184"/>
      <c r="IK118" s="1184"/>
      <c r="IL118" s="1184"/>
    </row>
    <row r="119" spans="25:246" ht="15.75" customHeight="1" x14ac:dyDescent="0.2">
      <c r="Y119" s="1981"/>
      <c r="Z119" s="1982"/>
      <c r="AA119" s="1982"/>
      <c r="AB119" s="1982"/>
      <c r="AC119" s="1983"/>
      <c r="AD119" s="1983"/>
      <c r="AE119" s="1983"/>
      <c r="AF119" s="1983"/>
      <c r="AG119" s="1983"/>
      <c r="AH119" s="1983"/>
      <c r="AI119" s="1983"/>
      <c r="AJ119" s="1983"/>
      <c r="AK119" s="1983"/>
      <c r="AL119" s="1984"/>
      <c r="AM119" s="1983"/>
      <c r="AN119" s="1983"/>
      <c r="AO119" s="1983"/>
      <c r="AP119" s="1983"/>
      <c r="AQ119" s="1983"/>
      <c r="AR119" s="1983"/>
      <c r="AS119" s="1983"/>
      <c r="AT119" s="1983"/>
      <c r="AU119" s="1983"/>
      <c r="AV119" s="1983"/>
      <c r="AW119" s="1985"/>
      <c r="AX119" s="1985"/>
      <c r="AY119" s="1985"/>
      <c r="AZ119" s="1985"/>
      <c r="BA119" s="1462"/>
      <c r="BB119" s="1462"/>
      <c r="BC119" s="1462"/>
      <c r="BD119" s="1461"/>
      <c r="BE119" s="1462"/>
      <c r="BF119" s="1343"/>
      <c r="BG119" s="1343"/>
      <c r="BH119" s="1343"/>
      <c r="BI119" s="1343"/>
      <c r="BJ119" s="1343"/>
      <c r="BK119" s="1343"/>
      <c r="BL119" s="1343"/>
      <c r="BM119" s="1343"/>
      <c r="BN119" s="1343"/>
      <c r="BO119" s="1343"/>
      <c r="BQ119" s="1184"/>
      <c r="BR119" s="1184"/>
      <c r="BS119" s="1184"/>
      <c r="BT119" s="1184"/>
      <c r="BU119" s="1200"/>
      <c r="BV119" s="1326"/>
      <c r="BW119" s="1326"/>
      <c r="BX119" s="1326"/>
      <c r="BY119" s="1326"/>
      <c r="BZ119" s="1326"/>
      <c r="CA119" s="1326"/>
      <c r="CB119" s="1326"/>
      <c r="CC119" s="1326"/>
      <c r="CD119" s="1326"/>
      <c r="CE119" s="1326"/>
      <c r="CF119" s="1326"/>
      <c r="CG119" s="1326"/>
      <c r="CH119" s="1326"/>
      <c r="CI119" s="1326"/>
      <c r="CJ119" s="1326"/>
      <c r="CK119" s="1326"/>
      <c r="CL119" s="1184"/>
      <c r="CM119" s="1184"/>
      <c r="CN119" s="1184"/>
      <c r="CO119" s="1184"/>
      <c r="CP119" s="1184"/>
      <c r="CQ119" s="1184"/>
      <c r="CR119" s="1184"/>
      <c r="CS119" s="1184"/>
      <c r="CT119" s="1184"/>
      <c r="CU119" s="1184"/>
      <c r="CV119" s="1184"/>
      <c r="CW119" s="1184"/>
      <c r="CX119" s="1184"/>
      <c r="CY119" s="1208" t="str">
        <f>Pflanzen!C120</f>
        <v>Bierhefe, flüssig</v>
      </c>
      <c r="CZ119" s="1184">
        <f>IFERROR(MATCH($CY119,Pflanzen!$C$117:$C$154,0),1)</f>
        <v>4</v>
      </c>
      <c r="DA119" s="1208">
        <f>Pflanzen!H120</f>
        <v>2</v>
      </c>
      <c r="DB119" s="1184">
        <f t="shared" si="258"/>
        <v>0</v>
      </c>
      <c r="DC119" s="1184">
        <f t="shared" si="258"/>
        <v>0</v>
      </c>
      <c r="DD119" s="1184">
        <f t="shared" si="258"/>
        <v>0</v>
      </c>
      <c r="DE119" s="1184">
        <f t="shared" si="258"/>
        <v>0</v>
      </c>
      <c r="DF119" s="1184">
        <f t="shared" si="258"/>
        <v>0</v>
      </c>
      <c r="DG119" s="1184">
        <f t="shared" si="258"/>
        <v>0</v>
      </c>
      <c r="DH119" s="1184">
        <f t="shared" si="258"/>
        <v>0</v>
      </c>
      <c r="DI119" s="1184">
        <f t="shared" si="258"/>
        <v>0</v>
      </c>
      <c r="DJ119" s="1184">
        <f t="shared" si="258"/>
        <v>0</v>
      </c>
      <c r="DK119" s="1184">
        <f t="shared" si="258"/>
        <v>0</v>
      </c>
      <c r="DL119" s="1184">
        <f t="shared" si="258"/>
        <v>0</v>
      </c>
      <c r="DM119" s="1184">
        <f t="shared" si="258"/>
        <v>0</v>
      </c>
      <c r="DN119" s="1184"/>
      <c r="DO119" s="1184">
        <f t="shared" si="259"/>
        <v>0</v>
      </c>
      <c r="DP119" s="1184">
        <f t="shared" si="259"/>
        <v>0</v>
      </c>
      <c r="DQ119" s="1184">
        <f t="shared" si="259"/>
        <v>0</v>
      </c>
      <c r="DR119" s="1184">
        <f t="shared" si="259"/>
        <v>0</v>
      </c>
      <c r="DS119" s="1184">
        <f t="shared" si="259"/>
        <v>0</v>
      </c>
      <c r="DT119" s="1184">
        <f t="shared" si="259"/>
        <v>0</v>
      </c>
      <c r="DU119" s="1184">
        <f t="shared" si="259"/>
        <v>0</v>
      </c>
      <c r="DV119" s="1184">
        <f t="shared" si="259"/>
        <v>0</v>
      </c>
      <c r="DW119" s="1184">
        <f t="shared" si="259"/>
        <v>0</v>
      </c>
      <c r="DX119" s="1184">
        <f t="shared" si="259"/>
        <v>0</v>
      </c>
      <c r="DY119" s="1184">
        <f t="shared" si="259"/>
        <v>0</v>
      </c>
      <c r="DZ119" s="1184">
        <f t="shared" si="259"/>
        <v>0</v>
      </c>
      <c r="EA119" s="1184"/>
      <c r="EB119" s="1184"/>
      <c r="EC119" s="1184"/>
      <c r="ED119" s="1184"/>
      <c r="EE119" s="1184"/>
      <c r="EF119" s="1184"/>
      <c r="EG119" s="1184"/>
      <c r="EH119" s="1184"/>
      <c r="EI119" s="1184"/>
      <c r="EJ119" s="1184"/>
      <c r="EK119" s="1184"/>
      <c r="EL119" s="1184"/>
      <c r="EM119" s="1184"/>
      <c r="EN119" s="1184"/>
      <c r="EO119" s="1184"/>
      <c r="EP119" s="1184"/>
      <c r="EQ119" s="1184"/>
      <c r="ER119" s="1184"/>
      <c r="ES119" s="1184"/>
      <c r="ET119" s="1184"/>
      <c r="EU119" s="1184"/>
      <c r="EV119" s="1184"/>
      <c r="EW119" s="1184"/>
      <c r="EX119" s="1184"/>
      <c r="EY119" s="1184"/>
      <c r="EZ119" s="1184"/>
      <c r="FA119" s="1184"/>
      <c r="FB119" s="1186">
        <f t="shared" si="302"/>
        <v>0</v>
      </c>
      <c r="FC119" s="1297">
        <f t="shared" si="303"/>
        <v>0</v>
      </c>
      <c r="FD119" s="1297">
        <f t="shared" si="304"/>
        <v>0</v>
      </c>
      <c r="FE119" s="1297">
        <f t="shared" si="305"/>
        <v>0</v>
      </c>
      <c r="FF119" s="1297">
        <f t="shared" si="306"/>
        <v>0</v>
      </c>
      <c r="FG119" s="1297">
        <f t="shared" si="307"/>
        <v>0</v>
      </c>
      <c r="FH119" s="1297">
        <f t="shared" si="308"/>
        <v>0</v>
      </c>
      <c r="FI119" s="1297">
        <f t="shared" si="309"/>
        <v>0</v>
      </c>
      <c r="FJ119" s="1297">
        <f t="shared" si="310"/>
        <v>0</v>
      </c>
      <c r="FK119" s="1297">
        <f t="shared" si="311"/>
        <v>0</v>
      </c>
      <c r="FL119" s="1297">
        <f t="shared" si="312"/>
        <v>0</v>
      </c>
      <c r="FM119" s="1297">
        <f t="shared" si="313"/>
        <v>0</v>
      </c>
      <c r="FN119" s="1297">
        <f t="shared" si="314"/>
        <v>0</v>
      </c>
      <c r="FO119" s="1184"/>
      <c r="FP119" s="1186">
        <f t="shared" si="315"/>
        <v>0</v>
      </c>
      <c r="FQ119" s="1297">
        <f t="shared" si="316"/>
        <v>0</v>
      </c>
      <c r="FR119" s="1297">
        <f t="shared" si="317"/>
        <v>0</v>
      </c>
      <c r="FS119" s="1297">
        <f t="shared" si="318"/>
        <v>0</v>
      </c>
      <c r="FT119" s="1297">
        <f t="shared" si="319"/>
        <v>0</v>
      </c>
      <c r="FU119" s="1297">
        <f t="shared" si="320"/>
        <v>0</v>
      </c>
      <c r="FV119" s="1297">
        <f t="shared" si="321"/>
        <v>0</v>
      </c>
      <c r="FW119" s="1297">
        <f t="shared" si="322"/>
        <v>0</v>
      </c>
      <c r="FX119" s="1297">
        <f t="shared" si="323"/>
        <v>0</v>
      </c>
      <c r="FY119" s="1297">
        <f t="shared" si="324"/>
        <v>0</v>
      </c>
      <c r="FZ119" s="1297">
        <f t="shared" si="325"/>
        <v>0</v>
      </c>
      <c r="GA119" s="1297">
        <f t="shared" si="326"/>
        <v>0</v>
      </c>
      <c r="GB119" s="1297">
        <f t="shared" si="327"/>
        <v>0</v>
      </c>
      <c r="GC119" s="1184"/>
      <c r="GD119" s="1184">
        <f t="shared" si="328"/>
        <v>0</v>
      </c>
      <c r="GE119" s="1184">
        <f t="shared" si="329"/>
        <v>0</v>
      </c>
      <c r="GF119" s="1184"/>
      <c r="GG119" s="1184"/>
      <c r="GH119" s="1184"/>
      <c r="GI119" s="1184"/>
      <c r="GJ119" s="1184">
        <f t="shared" si="330"/>
        <v>0</v>
      </c>
      <c r="GK119" s="1184">
        <f t="shared" si="331"/>
        <v>0</v>
      </c>
      <c r="GL119" s="1184">
        <f t="shared" si="332"/>
        <v>0</v>
      </c>
      <c r="GM119" s="1184">
        <f t="shared" si="333"/>
        <v>0</v>
      </c>
      <c r="GN119" s="1184">
        <f t="shared" si="334"/>
        <v>0</v>
      </c>
      <c r="GO119" s="1184" cm="1">
        <f t="array" ref="GO119">IF(GN119=0,0,(SUMPRODUCT($J$75:$J$79,$CH$75:$CH$79,($BR$75:$BR$79=CZ119)*1)+SUMPRODUCT($R$75:$R$79,$CP$75:$CP$79,($BR$75:$BR$79=CZ119)*1))/GN119)</f>
        <v>0</v>
      </c>
      <c r="GP119" s="1184">
        <f t="shared" si="335"/>
        <v>0</v>
      </c>
      <c r="GQ119" s="1184"/>
      <c r="GR119" s="1184"/>
      <c r="GS119" s="1184">
        <f t="shared" si="336"/>
        <v>0</v>
      </c>
      <c r="GT119" s="1184">
        <f t="shared" si="337"/>
        <v>0</v>
      </c>
      <c r="GU119" s="1184">
        <f t="shared" si="338"/>
        <v>0</v>
      </c>
      <c r="GV119" s="1184">
        <f t="shared" si="339"/>
        <v>0</v>
      </c>
      <c r="GW119" s="1186" t="str">
        <f t="shared" si="292"/>
        <v xml:space="preserve"> </v>
      </c>
      <c r="GX119" s="1186" t="str">
        <f t="shared" si="292"/>
        <v xml:space="preserve"> </v>
      </c>
      <c r="GY119" s="1195">
        <f t="shared" si="340"/>
        <v>0</v>
      </c>
      <c r="GZ119" s="1184">
        <f t="shared" si="341"/>
        <v>0</v>
      </c>
      <c r="HA119" s="1184" t="str">
        <f t="shared" si="251"/>
        <v>a</v>
      </c>
      <c r="HB119" s="1196">
        <f t="shared" si="342"/>
        <v>0</v>
      </c>
      <c r="HC119" s="1196">
        <f t="shared" si="343"/>
        <v>0</v>
      </c>
      <c r="HD119" s="1196"/>
      <c r="HE119" s="1187">
        <f t="shared" si="344"/>
        <v>0</v>
      </c>
      <c r="HF119" s="1196">
        <f t="shared" si="345"/>
        <v>0</v>
      </c>
      <c r="HG119" s="1196">
        <f t="shared" si="346"/>
        <v>0</v>
      </c>
      <c r="HH119" s="1196">
        <f t="shared" si="347"/>
        <v>0</v>
      </c>
      <c r="HI119" s="1328" cm="1">
        <f t="array" ref="HI119">IF(AND(HG119=0,GL119=0),0,IF(HG119=0,1,IF(OR(GL119*1000/HG119/HH119&gt;INDEX(Pflanzen!$W$117:$W$154,CZ119)/INDEX(Pflanzen!$I$117:$I$154,CZ119)*$HI$1,GL119*1000/HG119/HH119&lt;INDEX(Pflanzen!$W$117:$W$154,CZ119)/INDEX(Pflanzen!$I$117:$I$154,CZ119)/$HI$1),1,0)))</f>
        <v>0</v>
      </c>
      <c r="HJ119" s="1330" cm="1">
        <f t="array" ref="HJ119">IF(AND(GM119=0,HG119=0),0,IF(HG119=0,1,IF(OR(GM119*1000/HG119/HH119&gt;INDEX(Pflanzen!$X$117:$X$154,CZ119)/INDEX(Pflanzen!$I$117:$I$154,CZ119)*$HI$2,GM119*1000/HG119/HH119&lt;INDEX(Pflanzen!$X$117:$X$154,CZ119)/INDEX(Pflanzen!$I$117:$I$154,CZ119)/$HI$2),1,0)))</f>
        <v>0</v>
      </c>
      <c r="HK119" s="1184">
        <f t="shared" si="348"/>
        <v>3</v>
      </c>
      <c r="HL119" s="1184"/>
      <c r="HN119" s="1184"/>
      <c r="HO119" s="1184"/>
      <c r="HP119" s="1184"/>
      <c r="HQ119" s="1184"/>
      <c r="HR119" s="1184"/>
      <c r="HS119" s="1184"/>
      <c r="HT119" s="1184"/>
      <c r="HU119" s="1184"/>
      <c r="HV119" s="1184"/>
      <c r="HW119" s="1184"/>
      <c r="HX119" s="1184"/>
      <c r="HY119" s="1184"/>
      <c r="HZ119" s="1184"/>
      <c r="IA119" s="1184"/>
      <c r="IB119" s="1184"/>
      <c r="IC119" s="1184"/>
      <c r="ID119" s="1184"/>
      <c r="IE119" s="1184"/>
      <c r="IF119" s="1184"/>
      <c r="IG119" s="1184"/>
      <c r="IH119" s="1184"/>
      <c r="II119" s="1184"/>
      <c r="IJ119" s="1184"/>
      <c r="IK119" s="1184"/>
      <c r="IL119" s="1184"/>
    </row>
    <row r="120" spans="25:246" ht="15.75" customHeight="1" x14ac:dyDescent="0.2">
      <c r="Y120" s="1981"/>
      <c r="Z120" s="1982"/>
      <c r="AA120" s="1982"/>
      <c r="AB120" s="1982"/>
      <c r="AC120" s="1983"/>
      <c r="AD120" s="1983"/>
      <c r="AE120" s="1983"/>
      <c r="AF120" s="1983"/>
      <c r="AG120" s="1983"/>
      <c r="AH120" s="1983"/>
      <c r="AI120" s="1983"/>
      <c r="AJ120" s="1983"/>
      <c r="AK120" s="1983"/>
      <c r="AL120" s="1984"/>
      <c r="AM120" s="1983"/>
      <c r="AN120" s="1983"/>
      <c r="AO120" s="1983"/>
      <c r="AP120" s="1983"/>
      <c r="AQ120" s="1983"/>
      <c r="AR120" s="1983"/>
      <c r="AS120" s="1983"/>
      <c r="AT120" s="1983"/>
      <c r="AU120" s="1983"/>
      <c r="AV120" s="1983"/>
      <c r="AW120" s="1985"/>
      <c r="AX120" s="1985"/>
      <c r="AY120" s="1985"/>
      <c r="AZ120" s="1985"/>
      <c r="BA120" s="1462"/>
      <c r="BB120" s="1462"/>
      <c r="BC120" s="1462"/>
      <c r="BD120" s="1461"/>
      <c r="BE120" s="1462"/>
      <c r="BF120" s="1343"/>
      <c r="BG120" s="1343"/>
      <c r="BH120" s="1343"/>
      <c r="BI120" s="1343"/>
      <c r="BJ120" s="1343"/>
      <c r="BK120" s="1343"/>
      <c r="BL120" s="1343"/>
      <c r="BM120" s="1343"/>
      <c r="BN120" s="1343"/>
      <c r="BO120" s="1343"/>
      <c r="BQ120" s="1184"/>
      <c r="BR120" s="1184"/>
      <c r="BS120" s="1184"/>
      <c r="BT120" s="1184"/>
      <c r="BU120" s="1200"/>
      <c r="BV120" s="1326"/>
      <c r="BW120" s="1326"/>
      <c r="BX120" s="1326"/>
      <c r="BY120" s="1326"/>
      <c r="BZ120" s="1326"/>
      <c r="CA120" s="1326"/>
      <c r="CB120" s="1326"/>
      <c r="CC120" s="1326"/>
      <c r="CD120" s="1326"/>
      <c r="CE120" s="1326"/>
      <c r="CF120" s="1326"/>
      <c r="CG120" s="1326"/>
      <c r="CH120" s="1326"/>
      <c r="CI120" s="1326"/>
      <c r="CJ120" s="1326"/>
      <c r="CK120" s="1326"/>
      <c r="CL120" s="1184"/>
      <c r="CM120" s="1184"/>
      <c r="CN120" s="1184"/>
      <c r="CO120" s="1184"/>
      <c r="CP120" s="1184"/>
      <c r="CQ120" s="1184"/>
      <c r="CR120" s="1184"/>
      <c r="CS120" s="1184"/>
      <c r="CT120" s="1184"/>
      <c r="CU120" s="1184"/>
      <c r="CV120" s="1184"/>
      <c r="CW120" s="1184"/>
      <c r="CX120" s="1184" t="s">
        <v>466</v>
      </c>
      <c r="CY120" s="1208" t="str">
        <f>Pflanzen!C121</f>
        <v>Biertreber, siliert</v>
      </c>
      <c r="CZ120" s="1184">
        <f>IFERROR(MATCH($CY120,Pflanzen!$C$117:$C$154,0),1)</f>
        <v>5</v>
      </c>
      <c r="DA120" s="1208">
        <f>Pflanzen!H121</f>
        <v>2</v>
      </c>
      <c r="DB120" s="1184">
        <f t="shared" si="258"/>
        <v>0</v>
      </c>
      <c r="DC120" s="1184">
        <f t="shared" si="258"/>
        <v>0</v>
      </c>
      <c r="DD120" s="1184">
        <f t="shared" si="258"/>
        <v>0</v>
      </c>
      <c r="DE120" s="1184">
        <f t="shared" si="258"/>
        <v>0</v>
      </c>
      <c r="DF120" s="1184">
        <f t="shared" si="258"/>
        <v>0</v>
      </c>
      <c r="DG120" s="1184">
        <f t="shared" si="258"/>
        <v>0</v>
      </c>
      <c r="DH120" s="1184">
        <f t="shared" si="258"/>
        <v>0</v>
      </c>
      <c r="DI120" s="1184">
        <f t="shared" si="258"/>
        <v>0</v>
      </c>
      <c r="DJ120" s="1184">
        <f t="shared" si="258"/>
        <v>0</v>
      </c>
      <c r="DK120" s="1184">
        <f t="shared" si="258"/>
        <v>0</v>
      </c>
      <c r="DL120" s="1184">
        <f t="shared" si="258"/>
        <v>0</v>
      </c>
      <c r="DM120" s="1184">
        <f t="shared" si="258"/>
        <v>0</v>
      </c>
      <c r="DN120" s="1184"/>
      <c r="DO120" s="1184">
        <f t="shared" si="259"/>
        <v>0</v>
      </c>
      <c r="DP120" s="1184">
        <f t="shared" si="259"/>
        <v>0</v>
      </c>
      <c r="DQ120" s="1184">
        <f t="shared" si="259"/>
        <v>0</v>
      </c>
      <c r="DR120" s="1184">
        <f t="shared" si="259"/>
        <v>0</v>
      </c>
      <c r="DS120" s="1184">
        <f t="shared" si="259"/>
        <v>0</v>
      </c>
      <c r="DT120" s="1184">
        <f t="shared" si="259"/>
        <v>0</v>
      </c>
      <c r="DU120" s="1184">
        <f t="shared" si="259"/>
        <v>0</v>
      </c>
      <c r="DV120" s="1184">
        <f t="shared" si="259"/>
        <v>0</v>
      </c>
      <c r="DW120" s="1184">
        <f t="shared" si="259"/>
        <v>0</v>
      </c>
      <c r="DX120" s="1184">
        <f t="shared" si="259"/>
        <v>0</v>
      </c>
      <c r="DY120" s="1184">
        <f t="shared" si="259"/>
        <v>0</v>
      </c>
      <c r="DZ120" s="1184">
        <f t="shared" si="259"/>
        <v>0</v>
      </c>
      <c r="EA120" s="1184"/>
      <c r="EB120" s="1184"/>
      <c r="EC120" s="1184"/>
      <c r="ED120" s="1184"/>
      <c r="EE120" s="1184"/>
      <c r="EF120" s="1184"/>
      <c r="EG120" s="1184"/>
      <c r="EH120" s="1184"/>
      <c r="EI120" s="1184"/>
      <c r="EJ120" s="1184"/>
      <c r="EK120" s="1184"/>
      <c r="EL120" s="1184"/>
      <c r="EM120" s="1184"/>
      <c r="EN120" s="1184"/>
      <c r="EO120" s="1184"/>
      <c r="EP120" s="1184"/>
      <c r="EQ120" s="1184"/>
      <c r="ER120" s="1184"/>
      <c r="ES120" s="1184"/>
      <c r="ET120" s="1184"/>
      <c r="EU120" s="1184"/>
      <c r="EV120" s="1184"/>
      <c r="EW120" s="1184"/>
      <c r="EX120" s="1184"/>
      <c r="EY120" s="1184"/>
      <c r="EZ120" s="1184"/>
      <c r="FA120" s="1184"/>
      <c r="FB120" s="1186">
        <f t="shared" si="302"/>
        <v>0</v>
      </c>
      <c r="FC120" s="1297">
        <f t="shared" si="303"/>
        <v>0</v>
      </c>
      <c r="FD120" s="1297">
        <f t="shared" si="304"/>
        <v>0</v>
      </c>
      <c r="FE120" s="1297">
        <f t="shared" si="305"/>
        <v>0</v>
      </c>
      <c r="FF120" s="1297">
        <f t="shared" si="306"/>
        <v>0</v>
      </c>
      <c r="FG120" s="1297">
        <f t="shared" si="307"/>
        <v>0</v>
      </c>
      <c r="FH120" s="1297">
        <f t="shared" si="308"/>
        <v>0</v>
      </c>
      <c r="FI120" s="1297">
        <f t="shared" si="309"/>
        <v>0</v>
      </c>
      <c r="FJ120" s="1297">
        <f t="shared" si="310"/>
        <v>0</v>
      </c>
      <c r="FK120" s="1297">
        <f t="shared" si="311"/>
        <v>0</v>
      </c>
      <c r="FL120" s="1297">
        <f t="shared" si="312"/>
        <v>0</v>
      </c>
      <c r="FM120" s="1297">
        <f t="shared" si="313"/>
        <v>0</v>
      </c>
      <c r="FN120" s="1297">
        <f t="shared" si="314"/>
        <v>0</v>
      </c>
      <c r="FO120" s="1184"/>
      <c r="FP120" s="1186">
        <f t="shared" si="315"/>
        <v>0</v>
      </c>
      <c r="FQ120" s="1297">
        <f t="shared" si="316"/>
        <v>0</v>
      </c>
      <c r="FR120" s="1297">
        <f t="shared" si="317"/>
        <v>0</v>
      </c>
      <c r="FS120" s="1297">
        <f t="shared" si="318"/>
        <v>0</v>
      </c>
      <c r="FT120" s="1297">
        <f t="shared" si="319"/>
        <v>0</v>
      </c>
      <c r="FU120" s="1297">
        <f t="shared" si="320"/>
        <v>0</v>
      </c>
      <c r="FV120" s="1297">
        <f t="shared" si="321"/>
        <v>0</v>
      </c>
      <c r="FW120" s="1297">
        <f t="shared" si="322"/>
        <v>0</v>
      </c>
      <c r="FX120" s="1297">
        <f t="shared" si="323"/>
        <v>0</v>
      </c>
      <c r="FY120" s="1297">
        <f t="shared" si="324"/>
        <v>0</v>
      </c>
      <c r="FZ120" s="1297">
        <f t="shared" si="325"/>
        <v>0</v>
      </c>
      <c r="GA120" s="1297">
        <f t="shared" si="326"/>
        <v>0</v>
      </c>
      <c r="GB120" s="1297">
        <f t="shared" si="327"/>
        <v>0</v>
      </c>
      <c r="GC120" s="1184"/>
      <c r="GD120" s="1184">
        <f t="shared" si="328"/>
        <v>0</v>
      </c>
      <c r="GE120" s="1184">
        <f t="shared" si="329"/>
        <v>0</v>
      </c>
      <c r="GF120" s="1184"/>
      <c r="GG120" s="1184"/>
      <c r="GH120" s="1184"/>
      <c r="GI120" s="1184"/>
      <c r="GJ120" s="1184">
        <f t="shared" si="330"/>
        <v>0</v>
      </c>
      <c r="GK120" s="1184">
        <f t="shared" si="331"/>
        <v>0</v>
      </c>
      <c r="GL120" s="1184">
        <f t="shared" si="332"/>
        <v>0</v>
      </c>
      <c r="GM120" s="1184">
        <f t="shared" si="333"/>
        <v>0</v>
      </c>
      <c r="GN120" s="1184">
        <f t="shared" si="334"/>
        <v>0</v>
      </c>
      <c r="GO120" s="1184" cm="1">
        <f t="array" ref="GO120">IF(GN120=0,0,(SUMPRODUCT($J$75:$J$79,$CH$75:$CH$79,($BR$75:$BR$79=CZ120)*1)+SUMPRODUCT($R$75:$R$79,$CP$75:$CP$79,($BR$75:$BR$79=CZ120)*1))/GN120)</f>
        <v>0</v>
      </c>
      <c r="GP120" s="1184">
        <f t="shared" si="335"/>
        <v>0</v>
      </c>
      <c r="GQ120" s="1184"/>
      <c r="GR120" s="1184"/>
      <c r="GS120" s="1184">
        <f t="shared" si="336"/>
        <v>0</v>
      </c>
      <c r="GT120" s="1184">
        <f t="shared" si="337"/>
        <v>0</v>
      </c>
      <c r="GU120" s="1184">
        <f t="shared" si="338"/>
        <v>0</v>
      </c>
      <c r="GV120" s="1184">
        <f t="shared" si="339"/>
        <v>0</v>
      </c>
      <c r="GW120" s="1186" t="str">
        <f t="shared" si="292"/>
        <v xml:space="preserve"> </v>
      </c>
      <c r="GX120" s="1186" t="str">
        <f t="shared" si="292"/>
        <v xml:space="preserve"> </v>
      </c>
      <c r="GY120" s="1195">
        <f t="shared" si="340"/>
        <v>0</v>
      </c>
      <c r="GZ120" s="1184">
        <f t="shared" si="341"/>
        <v>0</v>
      </c>
      <c r="HA120" s="1184" t="str">
        <f t="shared" si="251"/>
        <v>a</v>
      </c>
      <c r="HB120" s="1196">
        <f t="shared" si="342"/>
        <v>0</v>
      </c>
      <c r="HC120" s="1196">
        <f t="shared" si="343"/>
        <v>0</v>
      </c>
      <c r="HD120" s="1196"/>
      <c r="HE120" s="1187">
        <f t="shared" si="344"/>
        <v>0</v>
      </c>
      <c r="HF120" s="1196">
        <f t="shared" si="345"/>
        <v>0</v>
      </c>
      <c r="HG120" s="1196">
        <f t="shared" si="346"/>
        <v>0</v>
      </c>
      <c r="HH120" s="1196">
        <f t="shared" si="347"/>
        <v>0</v>
      </c>
      <c r="HI120" s="1328" cm="1">
        <f t="array" ref="HI120">IF(AND(HG120=0,GL120=0),0,IF(HG120=0,1,IF(OR(GL120*1000/HG120/HH120&gt;INDEX(Pflanzen!$W$117:$W$154,CZ120)/INDEX(Pflanzen!$I$117:$I$154,CZ120)*$HI$1,GL120*1000/HG120/HH120&lt;INDEX(Pflanzen!$W$117:$W$154,CZ120)/INDEX(Pflanzen!$I$117:$I$154,CZ120)/$HI$1),1,0)))</f>
        <v>0</v>
      </c>
      <c r="HJ120" s="1330" cm="1">
        <f t="array" ref="HJ120">IF(AND(GM120=0,HG120=0),0,IF(HG120=0,1,IF(OR(GM120*1000/HG120/HH120&gt;INDEX(Pflanzen!$X$117:$X$154,CZ120)/INDEX(Pflanzen!$I$117:$I$154,CZ120)*$HI$2,GM120*1000/HG120/HH120&lt;INDEX(Pflanzen!$X$117:$X$154,CZ120)/INDEX(Pflanzen!$I$117:$I$154,CZ120)/$HI$2),1,0)))</f>
        <v>0</v>
      </c>
      <c r="HK120" s="1184">
        <f t="shared" si="348"/>
        <v>3</v>
      </c>
      <c r="HL120" s="1184"/>
      <c r="HN120" s="1184"/>
      <c r="HO120" s="1184"/>
      <c r="HP120" s="1184"/>
      <c r="HQ120" s="1184"/>
      <c r="HR120" s="1184"/>
      <c r="HS120" s="1184"/>
      <c r="HT120" s="1184"/>
      <c r="HU120" s="1184"/>
      <c r="HV120" s="1184"/>
      <c r="HW120" s="1184"/>
      <c r="HX120" s="1184"/>
      <c r="HY120" s="1184"/>
      <c r="HZ120" s="1184"/>
      <c r="IA120" s="1184"/>
      <c r="IB120" s="1184"/>
      <c r="IC120" s="1184"/>
      <c r="ID120" s="1184"/>
      <c r="IE120" s="1184"/>
      <c r="IF120" s="1184"/>
      <c r="IG120" s="1184"/>
      <c r="IH120" s="1184"/>
      <c r="II120" s="1184"/>
      <c r="IJ120" s="1184"/>
      <c r="IK120" s="1184"/>
      <c r="IL120" s="1184"/>
    </row>
    <row r="121" spans="25:246" ht="15.75" customHeight="1" x14ac:dyDescent="0.2">
      <c r="Y121" s="1981"/>
      <c r="Z121" s="1982"/>
      <c r="AA121" s="1982"/>
      <c r="AB121" s="1982"/>
      <c r="AC121" s="1983"/>
      <c r="AD121" s="1983"/>
      <c r="AE121" s="1983"/>
      <c r="AF121" s="1983"/>
      <c r="AG121" s="1983"/>
      <c r="AH121" s="1983"/>
      <c r="AI121" s="1983"/>
      <c r="AJ121" s="1983"/>
      <c r="AK121" s="1983"/>
      <c r="AL121" s="1984"/>
      <c r="AM121" s="1983"/>
      <c r="AN121" s="1983"/>
      <c r="AO121" s="1983"/>
      <c r="AP121" s="1983"/>
      <c r="AQ121" s="1983"/>
      <c r="AR121" s="1983"/>
      <c r="AS121" s="1983"/>
      <c r="AT121" s="1983"/>
      <c r="AU121" s="1983"/>
      <c r="AV121" s="1983"/>
      <c r="AW121" s="1985"/>
      <c r="AX121" s="1985"/>
      <c r="AY121" s="1985"/>
      <c r="AZ121" s="1985"/>
      <c r="BA121" s="1462"/>
      <c r="BB121" s="1462"/>
      <c r="BC121" s="1462"/>
      <c r="BD121" s="1461"/>
      <c r="BE121" s="1462"/>
      <c r="BF121" s="1343"/>
      <c r="BG121" s="1343"/>
      <c r="BH121" s="1343"/>
      <c r="BI121" s="1343"/>
      <c r="BJ121" s="1343"/>
      <c r="BK121" s="1343"/>
      <c r="BL121" s="1343"/>
      <c r="BM121" s="1343"/>
      <c r="BN121" s="1343"/>
      <c r="BO121" s="1343"/>
      <c r="BQ121" s="1184"/>
      <c r="BR121" s="1184"/>
      <c r="BS121" s="1184"/>
      <c r="BT121" s="1184"/>
      <c r="BU121" s="1200"/>
      <c r="BV121" s="1326"/>
      <c r="BW121" s="1326"/>
      <c r="BX121" s="1326"/>
      <c r="BY121" s="1326"/>
      <c r="BZ121" s="1326"/>
      <c r="CA121" s="1326"/>
      <c r="CB121" s="1326"/>
      <c r="CC121" s="1326"/>
      <c r="CD121" s="1326"/>
      <c r="CE121" s="1326"/>
      <c r="CF121" s="1326"/>
      <c r="CG121" s="1326"/>
      <c r="CH121" s="1326"/>
      <c r="CI121" s="1326"/>
      <c r="CJ121" s="1326"/>
      <c r="CK121" s="1326"/>
      <c r="CL121" s="1184"/>
      <c r="CM121" s="1184"/>
      <c r="CN121" s="1184"/>
      <c r="CO121" s="1184"/>
      <c r="CP121" s="1184"/>
      <c r="CQ121" s="1184"/>
      <c r="CR121" s="1184"/>
      <c r="CS121" s="1184"/>
      <c r="CT121" s="1184"/>
      <c r="CU121" s="1184"/>
      <c r="CV121" s="1184"/>
      <c r="CW121" s="1184"/>
      <c r="CX121" s="1184"/>
      <c r="CY121" s="1208" t="str">
        <f>Pflanzen!C122</f>
        <v>Fischmehl</v>
      </c>
      <c r="CZ121" s="1184">
        <f>IFERROR(MATCH($CY121,Pflanzen!$C$117:$C$154,0),1)</f>
        <v>6</v>
      </c>
      <c r="DA121" s="1208">
        <f>Pflanzen!H122</f>
        <v>2</v>
      </c>
      <c r="DB121" s="1184">
        <f t="shared" si="258"/>
        <v>0</v>
      </c>
      <c r="DC121" s="1184">
        <f t="shared" si="258"/>
        <v>0</v>
      </c>
      <c r="DD121" s="1184">
        <f t="shared" si="258"/>
        <v>0</v>
      </c>
      <c r="DE121" s="1184">
        <f t="shared" si="258"/>
        <v>0</v>
      </c>
      <c r="DF121" s="1184">
        <f t="shared" si="258"/>
        <v>0</v>
      </c>
      <c r="DG121" s="1184">
        <f t="shared" si="258"/>
        <v>0</v>
      </c>
      <c r="DH121" s="1184">
        <f t="shared" si="258"/>
        <v>0</v>
      </c>
      <c r="DI121" s="1184">
        <f t="shared" si="258"/>
        <v>0</v>
      </c>
      <c r="DJ121" s="1184">
        <f t="shared" si="258"/>
        <v>0</v>
      </c>
      <c r="DK121" s="1184">
        <f t="shared" si="258"/>
        <v>0</v>
      </c>
      <c r="DL121" s="1184">
        <f t="shared" si="258"/>
        <v>0</v>
      </c>
      <c r="DM121" s="1184">
        <f t="shared" si="258"/>
        <v>0</v>
      </c>
      <c r="DN121" s="1184"/>
      <c r="DO121" s="1184">
        <f t="shared" si="259"/>
        <v>0</v>
      </c>
      <c r="DP121" s="1184">
        <f t="shared" si="259"/>
        <v>0</v>
      </c>
      <c r="DQ121" s="1184">
        <f t="shared" si="259"/>
        <v>0</v>
      </c>
      <c r="DR121" s="1184">
        <f t="shared" si="259"/>
        <v>0</v>
      </c>
      <c r="DS121" s="1184">
        <f t="shared" si="259"/>
        <v>0</v>
      </c>
      <c r="DT121" s="1184">
        <f t="shared" si="259"/>
        <v>0</v>
      </c>
      <c r="DU121" s="1184">
        <f t="shared" si="259"/>
        <v>0</v>
      </c>
      <c r="DV121" s="1184">
        <f t="shared" si="259"/>
        <v>0</v>
      </c>
      <c r="DW121" s="1184">
        <f t="shared" si="259"/>
        <v>0</v>
      </c>
      <c r="DX121" s="1184">
        <f t="shared" si="259"/>
        <v>0</v>
      </c>
      <c r="DY121" s="1184">
        <f t="shared" si="259"/>
        <v>0</v>
      </c>
      <c r="DZ121" s="1184">
        <f t="shared" si="259"/>
        <v>0</v>
      </c>
      <c r="EA121" s="1184"/>
      <c r="EB121" s="1184"/>
      <c r="EC121" s="1184"/>
      <c r="ED121" s="1184"/>
      <c r="EE121" s="1184"/>
      <c r="EF121" s="1184"/>
      <c r="EG121" s="1184"/>
      <c r="EH121" s="1184"/>
      <c r="EI121" s="1184"/>
      <c r="EJ121" s="1184"/>
      <c r="EK121" s="1184"/>
      <c r="EL121" s="1184"/>
      <c r="EM121" s="1184"/>
      <c r="EN121" s="1184"/>
      <c r="EO121" s="1184"/>
      <c r="EP121" s="1184"/>
      <c r="EQ121" s="1184"/>
      <c r="ER121" s="1184"/>
      <c r="ES121" s="1184"/>
      <c r="ET121" s="1184"/>
      <c r="EU121" s="1184"/>
      <c r="EV121" s="1184"/>
      <c r="EW121" s="1184"/>
      <c r="EX121" s="1184"/>
      <c r="EY121" s="1184"/>
      <c r="EZ121" s="1184"/>
      <c r="FA121" s="1184"/>
      <c r="FB121" s="1186">
        <f t="shared" si="302"/>
        <v>0</v>
      </c>
      <c r="FC121" s="1297">
        <f t="shared" si="303"/>
        <v>0</v>
      </c>
      <c r="FD121" s="1297">
        <f t="shared" si="304"/>
        <v>0</v>
      </c>
      <c r="FE121" s="1297">
        <f t="shared" si="305"/>
        <v>0</v>
      </c>
      <c r="FF121" s="1297">
        <f t="shared" si="306"/>
        <v>0</v>
      </c>
      <c r="FG121" s="1297">
        <f t="shared" si="307"/>
        <v>0</v>
      </c>
      <c r="FH121" s="1297">
        <f t="shared" si="308"/>
        <v>0</v>
      </c>
      <c r="FI121" s="1297">
        <f t="shared" si="309"/>
        <v>0</v>
      </c>
      <c r="FJ121" s="1297">
        <f t="shared" si="310"/>
        <v>0</v>
      </c>
      <c r="FK121" s="1297">
        <f t="shared" si="311"/>
        <v>0</v>
      </c>
      <c r="FL121" s="1297">
        <f t="shared" si="312"/>
        <v>0</v>
      </c>
      <c r="FM121" s="1297">
        <f t="shared" si="313"/>
        <v>0</v>
      </c>
      <c r="FN121" s="1297">
        <f t="shared" si="314"/>
        <v>0</v>
      </c>
      <c r="FO121" s="1184"/>
      <c r="FP121" s="1186">
        <f t="shared" si="315"/>
        <v>0</v>
      </c>
      <c r="FQ121" s="1297">
        <f t="shared" si="316"/>
        <v>0</v>
      </c>
      <c r="FR121" s="1297">
        <f t="shared" si="317"/>
        <v>0</v>
      </c>
      <c r="FS121" s="1297">
        <f t="shared" si="318"/>
        <v>0</v>
      </c>
      <c r="FT121" s="1297">
        <f t="shared" si="319"/>
        <v>0</v>
      </c>
      <c r="FU121" s="1297">
        <f t="shared" si="320"/>
        <v>0</v>
      </c>
      <c r="FV121" s="1297">
        <f t="shared" si="321"/>
        <v>0</v>
      </c>
      <c r="FW121" s="1297">
        <f t="shared" si="322"/>
        <v>0</v>
      </c>
      <c r="FX121" s="1297">
        <f t="shared" si="323"/>
        <v>0</v>
      </c>
      <c r="FY121" s="1297">
        <f t="shared" si="324"/>
        <v>0</v>
      </c>
      <c r="FZ121" s="1297">
        <f t="shared" si="325"/>
        <v>0</v>
      </c>
      <c r="GA121" s="1297">
        <f t="shared" si="326"/>
        <v>0</v>
      </c>
      <c r="GB121" s="1297">
        <f t="shared" si="327"/>
        <v>0</v>
      </c>
      <c r="GC121" s="1184"/>
      <c r="GD121" s="1184">
        <f t="shared" si="328"/>
        <v>0</v>
      </c>
      <c r="GE121" s="1184">
        <f t="shared" si="329"/>
        <v>0</v>
      </c>
      <c r="GF121" s="1184"/>
      <c r="GG121" s="1184"/>
      <c r="GH121" s="1184"/>
      <c r="GI121" s="1184"/>
      <c r="GJ121" s="1184">
        <f t="shared" si="330"/>
        <v>0</v>
      </c>
      <c r="GK121" s="1184">
        <f t="shared" si="331"/>
        <v>0</v>
      </c>
      <c r="GL121" s="1184">
        <f t="shared" si="332"/>
        <v>0</v>
      </c>
      <c r="GM121" s="1184">
        <f t="shared" si="333"/>
        <v>0</v>
      </c>
      <c r="GN121" s="1184">
        <f t="shared" si="334"/>
        <v>0</v>
      </c>
      <c r="GO121" s="1184" cm="1">
        <f t="array" ref="GO121">IF(GN121=0,0,(SUMPRODUCT($J$75:$J$79,$CH$75:$CH$79,($BR$75:$BR$79=CZ121)*1)+SUMPRODUCT($R$75:$R$79,$CP$75:$CP$79,($BR$75:$BR$79=CZ121)*1))/GN121)</f>
        <v>0</v>
      </c>
      <c r="GP121" s="1184">
        <f t="shared" si="335"/>
        <v>0</v>
      </c>
      <c r="GQ121" s="1184"/>
      <c r="GR121" s="1184"/>
      <c r="GS121" s="1184">
        <f t="shared" si="336"/>
        <v>0</v>
      </c>
      <c r="GT121" s="1184">
        <f t="shared" si="337"/>
        <v>0</v>
      </c>
      <c r="GU121" s="1184">
        <f t="shared" si="338"/>
        <v>0</v>
      </c>
      <c r="GV121" s="1184">
        <f t="shared" si="339"/>
        <v>0</v>
      </c>
      <c r="GW121" s="1186" t="str">
        <f t="shared" si="292"/>
        <v xml:space="preserve"> </v>
      </c>
      <c r="GX121" s="1186" t="str">
        <f t="shared" si="292"/>
        <v xml:space="preserve"> </v>
      </c>
      <c r="GY121" s="1195">
        <f t="shared" si="340"/>
        <v>0</v>
      </c>
      <c r="GZ121" s="1184">
        <f t="shared" si="341"/>
        <v>0</v>
      </c>
      <c r="HA121" s="1184" t="str">
        <f t="shared" si="251"/>
        <v>a</v>
      </c>
      <c r="HB121" s="1196">
        <f t="shared" si="342"/>
        <v>0</v>
      </c>
      <c r="HC121" s="1196">
        <f t="shared" si="343"/>
        <v>0</v>
      </c>
      <c r="HD121" s="1196"/>
      <c r="HE121" s="1187">
        <f t="shared" si="344"/>
        <v>0</v>
      </c>
      <c r="HF121" s="1196">
        <f t="shared" si="345"/>
        <v>0</v>
      </c>
      <c r="HG121" s="1196">
        <f t="shared" si="346"/>
        <v>0</v>
      </c>
      <c r="HH121" s="1196">
        <f t="shared" si="347"/>
        <v>0</v>
      </c>
      <c r="HI121" s="1328" cm="1">
        <f t="array" ref="HI121">IF(AND(HG121=0,GL121=0),0,IF(HG121=0,1,IF(OR(GL121*1000/HG121/HH121&gt;INDEX(Pflanzen!$W$117:$W$154,CZ121)/INDEX(Pflanzen!$I$117:$I$154,CZ121)*$HI$1,GL121*1000/HG121/HH121&lt;INDEX(Pflanzen!$W$117:$W$154,CZ121)/INDEX(Pflanzen!$I$117:$I$154,CZ121)/$HI$1),1,0)))</f>
        <v>0</v>
      </c>
      <c r="HJ121" s="1330" cm="1">
        <f t="array" ref="HJ121">IF(AND(GM121=0,HG121=0),0,IF(HG121=0,1,IF(OR(GM121*1000/HG121/HH121&gt;INDEX(Pflanzen!$X$117:$X$154,CZ121)/INDEX(Pflanzen!$I$117:$I$154,CZ121)*$HI$2,GM121*1000/HG121/HH121&lt;INDEX(Pflanzen!$X$117:$X$154,CZ121)/INDEX(Pflanzen!$I$117:$I$154,CZ121)/$HI$2),1,0)))</f>
        <v>0</v>
      </c>
      <c r="HK121" s="1184">
        <f t="shared" si="348"/>
        <v>3</v>
      </c>
      <c r="HL121" s="1184"/>
      <c r="HN121" s="1184"/>
      <c r="HO121" s="1184"/>
      <c r="HP121" s="1184"/>
      <c r="HQ121" s="1184"/>
      <c r="HR121" s="1184"/>
      <c r="HS121" s="1184"/>
      <c r="HT121" s="1184"/>
      <c r="HU121" s="1184"/>
      <c r="HV121" s="1184"/>
      <c r="HW121" s="1184"/>
      <c r="HX121" s="1184"/>
      <c r="HY121" s="1184"/>
      <c r="HZ121" s="1184"/>
      <c r="IA121" s="1184"/>
      <c r="IB121" s="1184"/>
      <c r="IC121" s="1184"/>
      <c r="ID121" s="1184"/>
      <c r="IE121" s="1184"/>
      <c r="IF121" s="1184"/>
      <c r="IG121" s="1184"/>
      <c r="IH121" s="1184"/>
      <c r="II121" s="1184"/>
      <c r="IJ121" s="1184"/>
      <c r="IK121" s="1184"/>
      <c r="IL121" s="1184"/>
    </row>
    <row r="122" spans="25:246" ht="15.75" customHeight="1" x14ac:dyDescent="0.2">
      <c r="Y122" s="1981"/>
      <c r="Z122" s="1982"/>
      <c r="AA122" s="1982"/>
      <c r="AB122" s="1982"/>
      <c r="AC122" s="1983"/>
      <c r="AD122" s="1983"/>
      <c r="AE122" s="1983"/>
      <c r="AF122" s="1983"/>
      <c r="AG122" s="1983"/>
      <c r="AH122" s="1983"/>
      <c r="AI122" s="1983"/>
      <c r="AJ122" s="1983"/>
      <c r="AK122" s="1983"/>
      <c r="AL122" s="1984"/>
      <c r="AM122" s="1983"/>
      <c r="AN122" s="1983"/>
      <c r="AO122" s="1983"/>
      <c r="AP122" s="1983"/>
      <c r="AQ122" s="1983"/>
      <c r="AR122" s="1983"/>
      <c r="AS122" s="1983"/>
      <c r="AT122" s="1983"/>
      <c r="AU122" s="1983"/>
      <c r="AV122" s="1983"/>
      <c r="AW122" s="1985"/>
      <c r="AX122" s="1985"/>
      <c r="AY122" s="1985"/>
      <c r="AZ122" s="1985"/>
      <c r="BA122" s="1462"/>
      <c r="BB122" s="1462"/>
      <c r="BC122" s="1462"/>
      <c r="BD122" s="1461"/>
      <c r="BE122" s="1462"/>
      <c r="BF122" s="1343"/>
      <c r="BG122" s="1343"/>
      <c r="BH122" s="1343"/>
      <c r="BI122" s="1343"/>
      <c r="BJ122" s="1343"/>
      <c r="BK122" s="1343"/>
      <c r="BL122" s="1343"/>
      <c r="BM122" s="1343"/>
      <c r="BN122" s="1343"/>
      <c r="BO122" s="1343"/>
      <c r="BQ122" s="1184"/>
      <c r="BR122" s="1184"/>
      <c r="BS122" s="1184"/>
      <c r="BT122" s="1184"/>
      <c r="BU122" s="1200"/>
      <c r="BV122" s="1326"/>
      <c r="BW122" s="1326"/>
      <c r="BX122" s="1326"/>
      <c r="BY122" s="1326"/>
      <c r="BZ122" s="1326"/>
      <c r="CA122" s="1326"/>
      <c r="CB122" s="1326"/>
      <c r="CC122" s="1326"/>
      <c r="CD122" s="1326"/>
      <c r="CE122" s="1326"/>
      <c r="CF122" s="1326"/>
      <c r="CG122" s="1326"/>
      <c r="CH122" s="1326"/>
      <c r="CI122" s="1326"/>
      <c r="CJ122" s="1326"/>
      <c r="CK122" s="1326"/>
      <c r="CL122" s="1184"/>
      <c r="CM122" s="1184"/>
      <c r="CN122" s="1184"/>
      <c r="CO122" s="1184"/>
      <c r="CP122" s="1184"/>
      <c r="CQ122" s="1184"/>
      <c r="CR122" s="1184"/>
      <c r="CS122" s="1184"/>
      <c r="CT122" s="1184"/>
      <c r="CU122" s="1184"/>
      <c r="CV122" s="1184"/>
      <c r="CW122" s="1184"/>
      <c r="CX122" s="1184"/>
      <c r="CY122" s="1208" t="str">
        <f>Pflanzen!C123</f>
        <v>Getreideschlempe, frisch (Weizen)</v>
      </c>
      <c r="CZ122" s="1184">
        <f>IFERROR(MATCH($CY122,Pflanzen!$C$117:$C$154,0),1)</f>
        <v>7</v>
      </c>
      <c r="DA122" s="1208">
        <f>Pflanzen!H123</f>
        <v>2</v>
      </c>
      <c r="DB122" s="1184">
        <f t="shared" si="258"/>
        <v>0</v>
      </c>
      <c r="DC122" s="1184">
        <f t="shared" si="258"/>
        <v>0</v>
      </c>
      <c r="DD122" s="1184">
        <f t="shared" si="258"/>
        <v>0</v>
      </c>
      <c r="DE122" s="1184">
        <f t="shared" si="258"/>
        <v>0</v>
      </c>
      <c r="DF122" s="1184">
        <f t="shared" si="258"/>
        <v>0</v>
      </c>
      <c r="DG122" s="1184">
        <f t="shared" si="258"/>
        <v>0</v>
      </c>
      <c r="DH122" s="1184">
        <f t="shared" si="258"/>
        <v>0</v>
      </c>
      <c r="DI122" s="1184">
        <f t="shared" si="258"/>
        <v>0</v>
      </c>
      <c r="DJ122" s="1184">
        <f t="shared" si="258"/>
        <v>0</v>
      </c>
      <c r="DK122" s="1184">
        <f t="shared" si="258"/>
        <v>0</v>
      </c>
      <c r="DL122" s="1184">
        <f t="shared" si="258"/>
        <v>0</v>
      </c>
      <c r="DM122" s="1184">
        <f t="shared" si="258"/>
        <v>0</v>
      </c>
      <c r="DN122" s="1184"/>
      <c r="DO122" s="1184">
        <f t="shared" si="259"/>
        <v>0</v>
      </c>
      <c r="DP122" s="1184">
        <f t="shared" si="259"/>
        <v>0</v>
      </c>
      <c r="DQ122" s="1184">
        <f t="shared" si="259"/>
        <v>0</v>
      </c>
      <c r="DR122" s="1184">
        <f t="shared" si="259"/>
        <v>0</v>
      </c>
      <c r="DS122" s="1184">
        <f t="shared" si="259"/>
        <v>0</v>
      </c>
      <c r="DT122" s="1184">
        <f t="shared" si="259"/>
        <v>0</v>
      </c>
      <c r="DU122" s="1184">
        <f t="shared" si="259"/>
        <v>0</v>
      </c>
      <c r="DV122" s="1184">
        <f t="shared" si="259"/>
        <v>0</v>
      </c>
      <c r="DW122" s="1184">
        <f t="shared" si="259"/>
        <v>0</v>
      </c>
      <c r="DX122" s="1184">
        <f t="shared" si="259"/>
        <v>0</v>
      </c>
      <c r="DY122" s="1184">
        <f t="shared" si="259"/>
        <v>0</v>
      </c>
      <c r="DZ122" s="1184">
        <f t="shared" si="259"/>
        <v>0</v>
      </c>
      <c r="EA122" s="1184"/>
      <c r="EB122" s="1184"/>
      <c r="EC122" s="1184"/>
      <c r="ED122" s="1184"/>
      <c r="EE122" s="1184"/>
      <c r="EF122" s="1184"/>
      <c r="EG122" s="1184"/>
      <c r="EH122" s="1184"/>
      <c r="EI122" s="1184"/>
      <c r="EJ122" s="1184"/>
      <c r="EK122" s="1184"/>
      <c r="EL122" s="1184"/>
      <c r="EM122" s="1184"/>
      <c r="EN122" s="1184"/>
      <c r="EO122" s="1184"/>
      <c r="EP122" s="1184"/>
      <c r="EQ122" s="1184"/>
      <c r="ER122" s="1184"/>
      <c r="ES122" s="1184"/>
      <c r="ET122" s="1184"/>
      <c r="EU122" s="1184"/>
      <c r="EV122" s="1184"/>
      <c r="EW122" s="1184"/>
      <c r="EX122" s="1184"/>
      <c r="EY122" s="1184"/>
      <c r="EZ122" s="1184"/>
      <c r="FA122" s="1184"/>
      <c r="FB122" s="1186">
        <f t="shared" si="302"/>
        <v>0</v>
      </c>
      <c r="FC122" s="1297">
        <f t="shared" si="303"/>
        <v>0</v>
      </c>
      <c r="FD122" s="1297">
        <f t="shared" si="304"/>
        <v>0</v>
      </c>
      <c r="FE122" s="1297">
        <f t="shared" si="305"/>
        <v>0</v>
      </c>
      <c r="FF122" s="1297">
        <f t="shared" si="306"/>
        <v>0</v>
      </c>
      <c r="FG122" s="1297">
        <f t="shared" si="307"/>
        <v>0</v>
      </c>
      <c r="FH122" s="1297">
        <f t="shared" si="308"/>
        <v>0</v>
      </c>
      <c r="FI122" s="1297">
        <f t="shared" si="309"/>
        <v>0</v>
      </c>
      <c r="FJ122" s="1297">
        <f t="shared" si="310"/>
        <v>0</v>
      </c>
      <c r="FK122" s="1297">
        <f t="shared" si="311"/>
        <v>0</v>
      </c>
      <c r="FL122" s="1297">
        <f t="shared" si="312"/>
        <v>0</v>
      </c>
      <c r="FM122" s="1297">
        <f t="shared" si="313"/>
        <v>0</v>
      </c>
      <c r="FN122" s="1297">
        <f t="shared" si="314"/>
        <v>0</v>
      </c>
      <c r="FO122" s="1184"/>
      <c r="FP122" s="1186">
        <f t="shared" si="315"/>
        <v>0</v>
      </c>
      <c r="FQ122" s="1297">
        <f t="shared" si="316"/>
        <v>0</v>
      </c>
      <c r="FR122" s="1297">
        <f t="shared" si="317"/>
        <v>0</v>
      </c>
      <c r="FS122" s="1297">
        <f t="shared" si="318"/>
        <v>0</v>
      </c>
      <c r="FT122" s="1297">
        <f t="shared" si="319"/>
        <v>0</v>
      </c>
      <c r="FU122" s="1297">
        <f t="shared" si="320"/>
        <v>0</v>
      </c>
      <c r="FV122" s="1297">
        <f t="shared" si="321"/>
        <v>0</v>
      </c>
      <c r="FW122" s="1297">
        <f t="shared" si="322"/>
        <v>0</v>
      </c>
      <c r="FX122" s="1297">
        <f t="shared" si="323"/>
        <v>0</v>
      </c>
      <c r="FY122" s="1297">
        <f t="shared" si="324"/>
        <v>0</v>
      </c>
      <c r="FZ122" s="1297">
        <f t="shared" si="325"/>
        <v>0</v>
      </c>
      <c r="GA122" s="1297">
        <f t="shared" si="326"/>
        <v>0</v>
      </c>
      <c r="GB122" s="1297">
        <f t="shared" si="327"/>
        <v>0</v>
      </c>
      <c r="GC122" s="1184"/>
      <c r="GD122" s="1184">
        <f t="shared" si="328"/>
        <v>0</v>
      </c>
      <c r="GE122" s="1184">
        <f t="shared" si="329"/>
        <v>0</v>
      </c>
      <c r="GF122" s="1184"/>
      <c r="GG122" s="1184"/>
      <c r="GH122" s="1184"/>
      <c r="GI122" s="1184"/>
      <c r="GJ122" s="1184">
        <f t="shared" si="330"/>
        <v>0</v>
      </c>
      <c r="GK122" s="1184">
        <f t="shared" si="331"/>
        <v>0</v>
      </c>
      <c r="GL122" s="1184">
        <f t="shared" si="332"/>
        <v>0</v>
      </c>
      <c r="GM122" s="1184">
        <f t="shared" si="333"/>
        <v>0</v>
      </c>
      <c r="GN122" s="1184">
        <f t="shared" si="334"/>
        <v>0</v>
      </c>
      <c r="GO122" s="1184" cm="1">
        <f t="array" ref="GO122">IF(GN122=0,0,(SUMPRODUCT($J$75:$J$79,$CH$75:$CH$79,($BR$75:$BR$79=CZ122)*1)+SUMPRODUCT($R$75:$R$79,$CP$75:$CP$79,($BR$75:$BR$79=CZ122)*1))/GN122)</f>
        <v>0</v>
      </c>
      <c r="GP122" s="1184">
        <f t="shared" si="335"/>
        <v>0</v>
      </c>
      <c r="GQ122" s="1184"/>
      <c r="GR122" s="1184"/>
      <c r="GS122" s="1184">
        <f t="shared" si="336"/>
        <v>0</v>
      </c>
      <c r="GT122" s="1184">
        <f t="shared" si="337"/>
        <v>0</v>
      </c>
      <c r="GU122" s="1184">
        <f t="shared" si="338"/>
        <v>0</v>
      </c>
      <c r="GV122" s="1184">
        <f t="shared" si="339"/>
        <v>0</v>
      </c>
      <c r="GW122" s="1186" t="str">
        <f t="shared" si="292"/>
        <v xml:space="preserve"> </v>
      </c>
      <c r="GX122" s="1186" t="str">
        <f t="shared" si="292"/>
        <v xml:space="preserve"> </v>
      </c>
      <c r="GY122" s="1195">
        <f t="shared" si="340"/>
        <v>0</v>
      </c>
      <c r="GZ122" s="1184">
        <f t="shared" si="341"/>
        <v>0</v>
      </c>
      <c r="HA122" s="1184" t="str">
        <f t="shared" si="251"/>
        <v>a</v>
      </c>
      <c r="HB122" s="1196">
        <f t="shared" si="342"/>
        <v>0</v>
      </c>
      <c r="HC122" s="1196">
        <f t="shared" si="343"/>
        <v>0</v>
      </c>
      <c r="HD122" s="1196"/>
      <c r="HE122" s="1187">
        <f t="shared" si="344"/>
        <v>0</v>
      </c>
      <c r="HF122" s="1196">
        <f t="shared" si="345"/>
        <v>0</v>
      </c>
      <c r="HG122" s="1196">
        <f t="shared" si="346"/>
        <v>0</v>
      </c>
      <c r="HH122" s="1196">
        <f t="shared" si="347"/>
        <v>0</v>
      </c>
      <c r="HI122" s="1328" cm="1">
        <f t="array" ref="HI122">IF(AND(HG122=0,GL122=0),0,IF(HG122=0,1,IF(OR(GL122*1000/HG122/HH122&gt;INDEX(Pflanzen!$W$117:$W$154,CZ122)/INDEX(Pflanzen!$I$117:$I$154,CZ122)*$HI$1,GL122*1000/HG122/HH122&lt;INDEX(Pflanzen!$W$117:$W$154,CZ122)/INDEX(Pflanzen!$I$117:$I$154,CZ122)/$HI$1),1,0)))</f>
        <v>0</v>
      </c>
      <c r="HJ122" s="1330" cm="1">
        <f t="array" ref="HJ122">IF(AND(GM122=0,HG122=0),0,IF(HG122=0,1,IF(OR(GM122*1000/HG122/HH122&gt;INDEX(Pflanzen!$X$117:$X$154,CZ122)/INDEX(Pflanzen!$I$117:$I$154,CZ122)*$HI$2,GM122*1000/HG122/HH122&lt;INDEX(Pflanzen!$X$117:$X$154,CZ122)/INDEX(Pflanzen!$I$117:$I$154,CZ122)/$HI$2),1,0)))</f>
        <v>0</v>
      </c>
      <c r="HK122" s="1184">
        <f t="shared" si="348"/>
        <v>3</v>
      </c>
      <c r="HL122" s="1184"/>
      <c r="HN122" s="1184"/>
      <c r="HO122" s="1184"/>
      <c r="HP122" s="1184"/>
      <c r="HQ122" s="1184"/>
      <c r="HR122" s="1184"/>
      <c r="HS122" s="1184"/>
      <c r="HT122" s="1184"/>
      <c r="HU122" s="1184"/>
      <c r="HV122" s="1184"/>
      <c r="HW122" s="1184"/>
      <c r="HX122" s="1184"/>
      <c r="HY122" s="1184"/>
      <c r="HZ122" s="1184"/>
      <c r="IA122" s="1184"/>
      <c r="IB122" s="1184"/>
      <c r="IC122" s="1184"/>
      <c r="ID122" s="1184"/>
      <c r="IE122" s="1184"/>
      <c r="IF122" s="1184"/>
      <c r="IG122" s="1184"/>
      <c r="IH122" s="1184"/>
      <c r="II122" s="1184"/>
      <c r="IJ122" s="1184"/>
      <c r="IK122" s="1184"/>
      <c r="IL122" s="1184"/>
    </row>
    <row r="123" spans="25:246" ht="15.75" customHeight="1" x14ac:dyDescent="0.2">
      <c r="Y123" s="1981"/>
      <c r="Z123" s="1982"/>
      <c r="AA123" s="1982"/>
      <c r="AB123" s="1982"/>
      <c r="AC123" s="1983"/>
      <c r="AD123" s="1983"/>
      <c r="AE123" s="1983"/>
      <c r="AF123" s="1983"/>
      <c r="AG123" s="1983"/>
      <c r="AH123" s="1983"/>
      <c r="AI123" s="1983"/>
      <c r="AJ123" s="1983"/>
      <c r="AK123" s="1983"/>
      <c r="AL123" s="1984"/>
      <c r="AM123" s="1983"/>
      <c r="AN123" s="1983"/>
      <c r="AO123" s="1983"/>
      <c r="AP123" s="1983"/>
      <c r="AQ123" s="1983"/>
      <c r="AR123" s="1983"/>
      <c r="AS123" s="1983"/>
      <c r="AT123" s="1983"/>
      <c r="AU123" s="1983"/>
      <c r="AV123" s="1983"/>
      <c r="AW123" s="1985"/>
      <c r="AX123" s="1985"/>
      <c r="AY123" s="1985"/>
      <c r="AZ123" s="1985"/>
      <c r="BA123" s="1462"/>
      <c r="BB123" s="1462"/>
      <c r="BC123" s="1462"/>
      <c r="BD123" s="1461"/>
      <c r="BE123" s="1462"/>
      <c r="BF123" s="1343"/>
      <c r="BG123" s="1343"/>
      <c r="BH123" s="1343"/>
      <c r="BI123" s="1343"/>
      <c r="BJ123" s="1343"/>
      <c r="BK123" s="1343"/>
      <c r="BL123" s="1343"/>
      <c r="BM123" s="1343"/>
      <c r="BN123" s="1343"/>
      <c r="BO123" s="1343"/>
      <c r="BQ123" s="1184"/>
      <c r="BR123" s="1184"/>
      <c r="BS123" s="1184"/>
      <c r="BT123" s="1184"/>
      <c r="BU123" s="1200"/>
      <c r="BV123" s="1326"/>
      <c r="BW123" s="1326"/>
      <c r="BX123" s="1326"/>
      <c r="BY123" s="1326"/>
      <c r="BZ123" s="1326"/>
      <c r="CA123" s="1326"/>
      <c r="CB123" s="1326"/>
      <c r="CC123" s="1326"/>
      <c r="CD123" s="1326"/>
      <c r="CE123" s="1326"/>
      <c r="CF123" s="1326"/>
      <c r="CG123" s="1326"/>
      <c r="CH123" s="1326"/>
      <c r="CI123" s="1326"/>
      <c r="CJ123" s="1326"/>
      <c r="CK123" s="1326"/>
      <c r="CL123" s="1184"/>
      <c r="CM123" s="1184"/>
      <c r="CN123" s="1184"/>
      <c r="CO123" s="1184"/>
      <c r="CP123" s="1184"/>
      <c r="CQ123" s="1184"/>
      <c r="CR123" s="1184"/>
      <c r="CS123" s="1184"/>
      <c r="CT123" s="1184"/>
      <c r="CU123" s="1184"/>
      <c r="CV123" s="1184"/>
      <c r="CW123" s="1184"/>
      <c r="CX123" s="1184"/>
      <c r="CY123" s="1208" t="str">
        <f>Pflanzen!C124</f>
        <v>Getreideschlempe, getrocknet (Weizen)</v>
      </c>
      <c r="CZ123" s="1184">
        <f>IFERROR(MATCH($CY123,Pflanzen!$C$117:$C$154,0),1)</f>
        <v>8</v>
      </c>
      <c r="DA123" s="1208">
        <f>Pflanzen!H124</f>
        <v>2</v>
      </c>
      <c r="DB123" s="1184">
        <f t="shared" si="258"/>
        <v>0</v>
      </c>
      <c r="DC123" s="1184">
        <f t="shared" si="258"/>
        <v>0</v>
      </c>
      <c r="DD123" s="1184">
        <f t="shared" si="258"/>
        <v>0</v>
      </c>
      <c r="DE123" s="1184">
        <f t="shared" si="258"/>
        <v>0</v>
      </c>
      <c r="DF123" s="1184">
        <f t="shared" si="258"/>
        <v>0</v>
      </c>
      <c r="DG123" s="1184">
        <f t="shared" si="258"/>
        <v>0</v>
      </c>
      <c r="DH123" s="1184">
        <f t="shared" si="258"/>
        <v>0</v>
      </c>
      <c r="DI123" s="1184">
        <f t="shared" si="258"/>
        <v>0</v>
      </c>
      <c r="DJ123" s="1184">
        <f t="shared" si="258"/>
        <v>0</v>
      </c>
      <c r="DK123" s="1184">
        <f t="shared" si="258"/>
        <v>0</v>
      </c>
      <c r="DL123" s="1184">
        <f t="shared" si="258"/>
        <v>0</v>
      </c>
      <c r="DM123" s="1184">
        <f t="shared" si="258"/>
        <v>0</v>
      </c>
      <c r="DN123" s="1184"/>
      <c r="DO123" s="1184">
        <f t="shared" si="259"/>
        <v>0</v>
      </c>
      <c r="DP123" s="1184">
        <f t="shared" si="259"/>
        <v>0</v>
      </c>
      <c r="DQ123" s="1184">
        <f t="shared" si="259"/>
        <v>0</v>
      </c>
      <c r="DR123" s="1184">
        <f t="shared" si="259"/>
        <v>0</v>
      </c>
      <c r="DS123" s="1184">
        <f t="shared" si="259"/>
        <v>0</v>
      </c>
      <c r="DT123" s="1184">
        <f t="shared" si="259"/>
        <v>0</v>
      </c>
      <c r="DU123" s="1184">
        <f t="shared" si="259"/>
        <v>0</v>
      </c>
      <c r="DV123" s="1184">
        <f t="shared" si="259"/>
        <v>0</v>
      </c>
      <c r="DW123" s="1184">
        <f t="shared" si="259"/>
        <v>0</v>
      </c>
      <c r="DX123" s="1184">
        <f t="shared" si="259"/>
        <v>0</v>
      </c>
      <c r="DY123" s="1184">
        <f t="shared" si="259"/>
        <v>0</v>
      </c>
      <c r="DZ123" s="1184">
        <f t="shared" si="259"/>
        <v>0</v>
      </c>
      <c r="EA123" s="1184"/>
      <c r="EB123" s="1184"/>
      <c r="EC123" s="1184"/>
      <c r="ED123" s="1184"/>
      <c r="EE123" s="1184"/>
      <c r="EF123" s="1184"/>
      <c r="EG123" s="1184"/>
      <c r="EH123" s="1184"/>
      <c r="EI123" s="1184"/>
      <c r="EJ123" s="1184"/>
      <c r="EK123" s="1184"/>
      <c r="EL123" s="1184"/>
      <c r="EM123" s="1184"/>
      <c r="EN123" s="1184"/>
      <c r="EO123" s="1184"/>
      <c r="EP123" s="1184"/>
      <c r="EQ123" s="1184"/>
      <c r="ER123" s="1184"/>
      <c r="ES123" s="1184"/>
      <c r="ET123" s="1184"/>
      <c r="EU123" s="1184"/>
      <c r="EV123" s="1184"/>
      <c r="EW123" s="1184"/>
      <c r="EX123" s="1184"/>
      <c r="EY123" s="1184"/>
      <c r="EZ123" s="1184"/>
      <c r="FA123" s="1184"/>
      <c r="FB123" s="1186">
        <f t="shared" si="302"/>
        <v>0</v>
      </c>
      <c r="FC123" s="1297">
        <f t="shared" si="303"/>
        <v>0</v>
      </c>
      <c r="FD123" s="1297">
        <f t="shared" si="304"/>
        <v>0</v>
      </c>
      <c r="FE123" s="1297">
        <f t="shared" si="305"/>
        <v>0</v>
      </c>
      <c r="FF123" s="1297">
        <f t="shared" si="306"/>
        <v>0</v>
      </c>
      <c r="FG123" s="1297">
        <f t="shared" si="307"/>
        <v>0</v>
      </c>
      <c r="FH123" s="1297">
        <f t="shared" si="308"/>
        <v>0</v>
      </c>
      <c r="FI123" s="1297">
        <f t="shared" si="309"/>
        <v>0</v>
      </c>
      <c r="FJ123" s="1297">
        <f t="shared" si="310"/>
        <v>0</v>
      </c>
      <c r="FK123" s="1297">
        <f t="shared" si="311"/>
        <v>0</v>
      </c>
      <c r="FL123" s="1297">
        <f t="shared" si="312"/>
        <v>0</v>
      </c>
      <c r="FM123" s="1297">
        <f t="shared" si="313"/>
        <v>0</v>
      </c>
      <c r="FN123" s="1297">
        <f t="shared" si="314"/>
        <v>0</v>
      </c>
      <c r="FO123" s="1184"/>
      <c r="FP123" s="1186">
        <f t="shared" si="315"/>
        <v>0</v>
      </c>
      <c r="FQ123" s="1297">
        <f t="shared" si="316"/>
        <v>0</v>
      </c>
      <c r="FR123" s="1297">
        <f t="shared" si="317"/>
        <v>0</v>
      </c>
      <c r="FS123" s="1297">
        <f t="shared" si="318"/>
        <v>0</v>
      </c>
      <c r="FT123" s="1297">
        <f t="shared" si="319"/>
        <v>0</v>
      </c>
      <c r="FU123" s="1297">
        <f t="shared" si="320"/>
        <v>0</v>
      </c>
      <c r="FV123" s="1297">
        <f t="shared" si="321"/>
        <v>0</v>
      </c>
      <c r="FW123" s="1297">
        <f t="shared" si="322"/>
        <v>0</v>
      </c>
      <c r="FX123" s="1297">
        <f t="shared" si="323"/>
        <v>0</v>
      </c>
      <c r="FY123" s="1297">
        <f t="shared" si="324"/>
        <v>0</v>
      </c>
      <c r="FZ123" s="1297">
        <f t="shared" si="325"/>
        <v>0</v>
      </c>
      <c r="GA123" s="1297">
        <f t="shared" si="326"/>
        <v>0</v>
      </c>
      <c r="GB123" s="1297">
        <f t="shared" si="327"/>
        <v>0</v>
      </c>
      <c r="GC123" s="1184"/>
      <c r="GD123" s="1184">
        <f t="shared" si="328"/>
        <v>0</v>
      </c>
      <c r="GE123" s="1184">
        <f t="shared" si="329"/>
        <v>0</v>
      </c>
      <c r="GF123" s="1184"/>
      <c r="GG123" s="1184"/>
      <c r="GH123" s="1184"/>
      <c r="GI123" s="1184"/>
      <c r="GJ123" s="1184">
        <f t="shared" si="330"/>
        <v>0</v>
      </c>
      <c r="GK123" s="1184">
        <f t="shared" si="331"/>
        <v>0</v>
      </c>
      <c r="GL123" s="1184">
        <f t="shared" si="332"/>
        <v>0</v>
      </c>
      <c r="GM123" s="1184">
        <f t="shared" si="333"/>
        <v>0</v>
      </c>
      <c r="GN123" s="1184">
        <f t="shared" si="334"/>
        <v>0</v>
      </c>
      <c r="GO123" s="1184" cm="1">
        <f t="array" ref="GO123">IF(GN123=0,0,(SUMPRODUCT($J$75:$J$79,$CH$75:$CH$79,($BR$75:$BR$79=CZ123)*1)+SUMPRODUCT($R$75:$R$79,$CP$75:$CP$79,($BR$75:$BR$79=CZ123)*1))/GN123)</f>
        <v>0</v>
      </c>
      <c r="GP123" s="1184">
        <f t="shared" si="335"/>
        <v>0</v>
      </c>
      <c r="GQ123" s="1184"/>
      <c r="GR123" s="1184"/>
      <c r="GS123" s="1184">
        <f t="shared" si="336"/>
        <v>0</v>
      </c>
      <c r="GT123" s="1184">
        <f t="shared" si="337"/>
        <v>0</v>
      </c>
      <c r="GU123" s="1184">
        <f t="shared" si="338"/>
        <v>0</v>
      </c>
      <c r="GV123" s="1184">
        <f t="shared" si="339"/>
        <v>0</v>
      </c>
      <c r="GW123" s="1186" t="str">
        <f t="shared" si="292"/>
        <v xml:space="preserve"> </v>
      </c>
      <c r="GX123" s="1186" t="str">
        <f t="shared" si="292"/>
        <v xml:space="preserve"> </v>
      </c>
      <c r="GY123" s="1195">
        <f t="shared" si="340"/>
        <v>0</v>
      </c>
      <c r="GZ123" s="1184">
        <f t="shared" si="341"/>
        <v>0</v>
      </c>
      <c r="HA123" s="1184" t="str">
        <f t="shared" si="251"/>
        <v>a</v>
      </c>
      <c r="HB123" s="1196">
        <f t="shared" si="342"/>
        <v>0</v>
      </c>
      <c r="HC123" s="1196">
        <f t="shared" si="343"/>
        <v>0</v>
      </c>
      <c r="HD123" s="1196"/>
      <c r="HE123" s="1187">
        <f t="shared" si="344"/>
        <v>0</v>
      </c>
      <c r="HF123" s="1196">
        <f t="shared" si="345"/>
        <v>0</v>
      </c>
      <c r="HG123" s="1196">
        <f t="shared" si="346"/>
        <v>0</v>
      </c>
      <c r="HH123" s="1196">
        <f t="shared" si="347"/>
        <v>0</v>
      </c>
      <c r="HI123" s="1328" cm="1">
        <f t="array" ref="HI123">IF(AND(HG123=0,GL123=0),0,IF(HG123=0,1,IF(OR(GL123*1000/HG123/HH123&gt;INDEX(Pflanzen!$W$117:$W$154,CZ123)/INDEX(Pflanzen!$I$117:$I$154,CZ123)*$HI$1,GL123*1000/HG123/HH123&lt;INDEX(Pflanzen!$W$117:$W$154,CZ123)/INDEX(Pflanzen!$I$117:$I$154,CZ123)/$HI$1),1,0)))</f>
        <v>0</v>
      </c>
      <c r="HJ123" s="1330" cm="1">
        <f t="array" ref="HJ123">IF(AND(GM123=0,HG123=0),0,IF(HG123=0,1,IF(OR(GM123*1000/HG123/HH123&gt;INDEX(Pflanzen!$X$117:$X$154,CZ123)/INDEX(Pflanzen!$I$117:$I$154,CZ123)*$HI$2,GM123*1000/HG123/HH123&lt;INDEX(Pflanzen!$X$117:$X$154,CZ123)/INDEX(Pflanzen!$I$117:$I$154,CZ123)/$HI$2),1,0)))</f>
        <v>0</v>
      </c>
      <c r="HK123" s="1184">
        <f t="shared" si="348"/>
        <v>3</v>
      </c>
      <c r="HL123" s="1184"/>
      <c r="HN123" s="1184"/>
      <c r="HO123" s="1184"/>
      <c r="HP123" s="1184"/>
      <c r="HQ123" s="1184"/>
      <c r="HR123" s="1184"/>
      <c r="HS123" s="1184"/>
      <c r="HT123" s="1184"/>
      <c r="HU123" s="1184"/>
      <c r="HV123" s="1184"/>
      <c r="HW123" s="1184"/>
      <c r="HX123" s="1184"/>
      <c r="HY123" s="1184"/>
      <c r="HZ123" s="1184"/>
      <c r="IA123" s="1184"/>
      <c r="IB123" s="1184"/>
      <c r="IC123" s="1184"/>
      <c r="ID123" s="1184"/>
      <c r="IE123" s="1184"/>
      <c r="IF123" s="1184"/>
      <c r="IG123" s="1184"/>
      <c r="IH123" s="1184"/>
      <c r="II123" s="1184"/>
      <c r="IJ123" s="1184"/>
      <c r="IK123" s="1184"/>
      <c r="IL123" s="1184"/>
    </row>
    <row r="124" spans="25:246" ht="15.75" customHeight="1" x14ac:dyDescent="0.2">
      <c r="Y124" s="1981"/>
      <c r="Z124" s="1982"/>
      <c r="AA124" s="1982"/>
      <c r="AB124" s="1982"/>
      <c r="AC124" s="1983"/>
      <c r="AD124" s="1983"/>
      <c r="AE124" s="1983"/>
      <c r="AF124" s="1983"/>
      <c r="AG124" s="1983"/>
      <c r="AH124" s="1983"/>
      <c r="AI124" s="1983"/>
      <c r="AJ124" s="1983"/>
      <c r="AK124" s="1983"/>
      <c r="AL124" s="1984"/>
      <c r="AM124" s="1983"/>
      <c r="AN124" s="1983"/>
      <c r="AO124" s="1983"/>
      <c r="AP124" s="1983"/>
      <c r="AQ124" s="1983"/>
      <c r="AR124" s="1983"/>
      <c r="AS124" s="1983"/>
      <c r="AT124" s="1983"/>
      <c r="AU124" s="1983"/>
      <c r="AV124" s="1983"/>
      <c r="AW124" s="1985"/>
      <c r="AX124" s="1985"/>
      <c r="AY124" s="1985"/>
      <c r="AZ124" s="1985"/>
      <c r="BA124" s="1462"/>
      <c r="BB124" s="1462"/>
      <c r="BC124" s="1462"/>
      <c r="BD124" s="1461"/>
      <c r="BE124" s="1462"/>
      <c r="BF124" s="1343"/>
      <c r="BG124" s="1343"/>
      <c r="BH124" s="1343"/>
      <c r="BI124" s="1343"/>
      <c r="BJ124" s="1343"/>
      <c r="BK124" s="1343"/>
      <c r="BL124" s="1343"/>
      <c r="BM124" s="1343"/>
      <c r="BN124" s="1343"/>
      <c r="BO124" s="1343"/>
      <c r="BQ124" s="1184"/>
      <c r="BR124" s="1184"/>
      <c r="BS124" s="1184"/>
      <c r="BT124" s="1184"/>
      <c r="BU124" s="1200"/>
      <c r="BV124" s="1326"/>
      <c r="BW124" s="1326"/>
      <c r="BX124" s="1326"/>
      <c r="BY124" s="1326"/>
      <c r="BZ124" s="1326"/>
      <c r="CA124" s="1326"/>
      <c r="CB124" s="1326"/>
      <c r="CC124" s="1326"/>
      <c r="CD124" s="1326"/>
      <c r="CE124" s="1326"/>
      <c r="CF124" s="1326"/>
      <c r="CG124" s="1326"/>
      <c r="CH124" s="1326"/>
      <c r="CI124" s="1326"/>
      <c r="CJ124" s="1326"/>
      <c r="CK124" s="1326"/>
      <c r="CL124" s="1184"/>
      <c r="CM124" s="1184"/>
      <c r="CN124" s="1184"/>
      <c r="CO124" s="1184"/>
      <c r="CP124" s="1184"/>
      <c r="CQ124" s="1184"/>
      <c r="CR124" s="1184"/>
      <c r="CS124" s="1184"/>
      <c r="CT124" s="1184"/>
      <c r="CU124" s="1184"/>
      <c r="CV124" s="1184"/>
      <c r="CW124" s="1184"/>
      <c r="CX124" s="1184"/>
      <c r="CY124" s="1208" t="str">
        <f>Pflanzen!C125</f>
        <v>Haferschälkleie</v>
      </c>
      <c r="CZ124" s="1184">
        <f>IFERROR(MATCH($CY124,Pflanzen!$C$117:$C$154,0),1)</f>
        <v>9</v>
      </c>
      <c r="DA124" s="1208">
        <f>Pflanzen!H125</f>
        <v>2</v>
      </c>
      <c r="DB124" s="1184">
        <f t="shared" si="258"/>
        <v>0</v>
      </c>
      <c r="DC124" s="1184">
        <f t="shared" si="258"/>
        <v>0</v>
      </c>
      <c r="DD124" s="1184">
        <f t="shared" si="258"/>
        <v>0</v>
      </c>
      <c r="DE124" s="1184">
        <f t="shared" si="258"/>
        <v>0</v>
      </c>
      <c r="DF124" s="1184">
        <f t="shared" si="258"/>
        <v>0</v>
      </c>
      <c r="DG124" s="1184">
        <f t="shared" si="258"/>
        <v>0</v>
      </c>
      <c r="DH124" s="1184">
        <f t="shared" si="258"/>
        <v>0</v>
      </c>
      <c r="DI124" s="1184">
        <f t="shared" si="258"/>
        <v>0</v>
      </c>
      <c r="DJ124" s="1184">
        <f t="shared" si="258"/>
        <v>0</v>
      </c>
      <c r="DK124" s="1184">
        <f t="shared" si="258"/>
        <v>0</v>
      </c>
      <c r="DL124" s="1184">
        <f t="shared" si="258"/>
        <v>0</v>
      </c>
      <c r="DM124" s="1184">
        <f t="shared" si="258"/>
        <v>0</v>
      </c>
      <c r="DN124" s="1184"/>
      <c r="DO124" s="1184">
        <f t="shared" si="259"/>
        <v>0</v>
      </c>
      <c r="DP124" s="1184">
        <f t="shared" si="259"/>
        <v>0</v>
      </c>
      <c r="DQ124" s="1184">
        <f t="shared" si="259"/>
        <v>0</v>
      </c>
      <c r="DR124" s="1184">
        <f t="shared" si="259"/>
        <v>0</v>
      </c>
      <c r="DS124" s="1184">
        <f t="shared" si="259"/>
        <v>0</v>
      </c>
      <c r="DT124" s="1184">
        <f t="shared" si="259"/>
        <v>0</v>
      </c>
      <c r="DU124" s="1184">
        <f t="shared" si="259"/>
        <v>0</v>
      </c>
      <c r="DV124" s="1184">
        <f t="shared" si="259"/>
        <v>0</v>
      </c>
      <c r="DW124" s="1184">
        <f t="shared" si="259"/>
        <v>0</v>
      </c>
      <c r="DX124" s="1184">
        <f t="shared" si="259"/>
        <v>0</v>
      </c>
      <c r="DY124" s="1184">
        <f t="shared" si="259"/>
        <v>0</v>
      </c>
      <c r="DZ124" s="1184">
        <f t="shared" si="259"/>
        <v>0</v>
      </c>
      <c r="EA124" s="1184"/>
      <c r="EB124" s="1184"/>
      <c r="EC124" s="1184"/>
      <c r="ED124" s="1184"/>
      <c r="EE124" s="1184"/>
      <c r="EF124" s="1184"/>
      <c r="EG124" s="1184"/>
      <c r="EH124" s="1184"/>
      <c r="EI124" s="1184"/>
      <c r="EJ124" s="1184"/>
      <c r="EK124" s="1184"/>
      <c r="EL124" s="1184"/>
      <c r="EM124" s="1184"/>
      <c r="EN124" s="1184"/>
      <c r="EO124" s="1184"/>
      <c r="EP124" s="1184"/>
      <c r="EQ124" s="1184"/>
      <c r="ER124" s="1184"/>
      <c r="ES124" s="1184"/>
      <c r="ET124" s="1184"/>
      <c r="EU124" s="1184"/>
      <c r="EV124" s="1184"/>
      <c r="EW124" s="1184"/>
      <c r="EX124" s="1184"/>
      <c r="EY124" s="1184"/>
      <c r="EZ124" s="1184"/>
      <c r="FA124" s="1184"/>
      <c r="FB124" s="1186">
        <f t="shared" si="302"/>
        <v>0</v>
      </c>
      <c r="FC124" s="1297">
        <f t="shared" si="303"/>
        <v>0</v>
      </c>
      <c r="FD124" s="1297">
        <f t="shared" si="304"/>
        <v>0</v>
      </c>
      <c r="FE124" s="1297">
        <f t="shared" si="305"/>
        <v>0</v>
      </c>
      <c r="FF124" s="1297">
        <f t="shared" si="306"/>
        <v>0</v>
      </c>
      <c r="FG124" s="1297">
        <f t="shared" si="307"/>
        <v>0</v>
      </c>
      <c r="FH124" s="1297">
        <f t="shared" si="308"/>
        <v>0</v>
      </c>
      <c r="FI124" s="1297">
        <f t="shared" si="309"/>
        <v>0</v>
      </c>
      <c r="FJ124" s="1297">
        <f t="shared" si="310"/>
        <v>0</v>
      </c>
      <c r="FK124" s="1297">
        <f t="shared" si="311"/>
        <v>0</v>
      </c>
      <c r="FL124" s="1297">
        <f t="shared" si="312"/>
        <v>0</v>
      </c>
      <c r="FM124" s="1297">
        <f t="shared" si="313"/>
        <v>0</v>
      </c>
      <c r="FN124" s="1297">
        <f t="shared" si="314"/>
        <v>0</v>
      </c>
      <c r="FO124" s="1184"/>
      <c r="FP124" s="1186">
        <f t="shared" si="315"/>
        <v>0</v>
      </c>
      <c r="FQ124" s="1297">
        <f t="shared" si="316"/>
        <v>0</v>
      </c>
      <c r="FR124" s="1297">
        <f t="shared" si="317"/>
        <v>0</v>
      </c>
      <c r="FS124" s="1297">
        <f t="shared" si="318"/>
        <v>0</v>
      </c>
      <c r="FT124" s="1297">
        <f t="shared" si="319"/>
        <v>0</v>
      </c>
      <c r="FU124" s="1297">
        <f t="shared" si="320"/>
        <v>0</v>
      </c>
      <c r="FV124" s="1297">
        <f t="shared" si="321"/>
        <v>0</v>
      </c>
      <c r="FW124" s="1297">
        <f t="shared" si="322"/>
        <v>0</v>
      </c>
      <c r="FX124" s="1297">
        <f t="shared" si="323"/>
        <v>0</v>
      </c>
      <c r="FY124" s="1297">
        <f t="shared" si="324"/>
        <v>0</v>
      </c>
      <c r="FZ124" s="1297">
        <f t="shared" si="325"/>
        <v>0</v>
      </c>
      <c r="GA124" s="1297">
        <f t="shared" si="326"/>
        <v>0</v>
      </c>
      <c r="GB124" s="1297">
        <f t="shared" si="327"/>
        <v>0</v>
      </c>
      <c r="GC124" s="1184"/>
      <c r="GD124" s="1184">
        <f t="shared" si="328"/>
        <v>0</v>
      </c>
      <c r="GE124" s="1184">
        <f t="shared" si="329"/>
        <v>0</v>
      </c>
      <c r="GF124" s="1184"/>
      <c r="GG124" s="1184"/>
      <c r="GH124" s="1184"/>
      <c r="GI124" s="1184"/>
      <c r="GJ124" s="1184">
        <f t="shared" si="330"/>
        <v>0</v>
      </c>
      <c r="GK124" s="1184">
        <f t="shared" si="331"/>
        <v>0</v>
      </c>
      <c r="GL124" s="1184">
        <f t="shared" si="332"/>
        <v>0</v>
      </c>
      <c r="GM124" s="1184">
        <f t="shared" si="333"/>
        <v>0</v>
      </c>
      <c r="GN124" s="1184">
        <f t="shared" si="334"/>
        <v>0</v>
      </c>
      <c r="GO124" s="1184" cm="1">
        <f t="array" ref="GO124">IF(GN124=0,0,(SUMPRODUCT($J$75:$J$79,$CH$75:$CH$79,($BR$75:$BR$79=CZ124)*1)+SUMPRODUCT($R$75:$R$79,$CP$75:$CP$79,($BR$75:$BR$79=CZ124)*1))/GN124)</f>
        <v>0</v>
      </c>
      <c r="GP124" s="1184">
        <f t="shared" si="335"/>
        <v>0</v>
      </c>
      <c r="GQ124" s="1184"/>
      <c r="GR124" s="1184"/>
      <c r="GS124" s="1184">
        <f t="shared" si="336"/>
        <v>0</v>
      </c>
      <c r="GT124" s="1184">
        <f t="shared" si="337"/>
        <v>0</v>
      </c>
      <c r="GU124" s="1184">
        <f t="shared" si="338"/>
        <v>0</v>
      </c>
      <c r="GV124" s="1184">
        <f t="shared" si="339"/>
        <v>0</v>
      </c>
      <c r="GW124" s="1186" t="str">
        <f t="shared" si="292"/>
        <v xml:space="preserve"> </v>
      </c>
      <c r="GX124" s="1186" t="str">
        <f t="shared" si="292"/>
        <v xml:space="preserve"> </v>
      </c>
      <c r="GY124" s="1195">
        <f t="shared" si="340"/>
        <v>0</v>
      </c>
      <c r="GZ124" s="1184">
        <f t="shared" si="341"/>
        <v>0</v>
      </c>
      <c r="HA124" s="1184" t="str">
        <f t="shared" si="251"/>
        <v>a</v>
      </c>
      <c r="HB124" s="1196">
        <f t="shared" si="342"/>
        <v>0</v>
      </c>
      <c r="HC124" s="1196">
        <f t="shared" si="343"/>
        <v>0</v>
      </c>
      <c r="HD124" s="1196"/>
      <c r="HE124" s="1187">
        <f t="shared" si="344"/>
        <v>0</v>
      </c>
      <c r="HF124" s="1196">
        <f t="shared" si="345"/>
        <v>0</v>
      </c>
      <c r="HG124" s="1196">
        <f t="shared" si="346"/>
        <v>0</v>
      </c>
      <c r="HH124" s="1196">
        <f t="shared" si="347"/>
        <v>0</v>
      </c>
      <c r="HI124" s="1328" cm="1">
        <f t="array" ref="HI124">IF(AND(HG124=0,GL124=0),0,IF(HG124=0,1,IF(OR(GL124*1000/HG124/HH124&gt;INDEX(Pflanzen!$W$117:$W$154,CZ124)/INDEX(Pflanzen!$I$117:$I$154,CZ124)*$HI$1,GL124*1000/HG124/HH124&lt;INDEX(Pflanzen!$W$117:$W$154,CZ124)/INDEX(Pflanzen!$I$117:$I$154,CZ124)/$HI$1),1,0)))</f>
        <v>0</v>
      </c>
      <c r="HJ124" s="1330" cm="1">
        <f t="array" ref="HJ124">IF(AND(GM124=0,HG124=0),0,IF(HG124=0,1,IF(OR(GM124*1000/HG124/HH124&gt;INDEX(Pflanzen!$X$117:$X$154,CZ124)/INDEX(Pflanzen!$I$117:$I$154,CZ124)*$HI$2,GM124*1000/HG124/HH124&lt;INDEX(Pflanzen!$X$117:$X$154,CZ124)/INDEX(Pflanzen!$I$117:$I$154,CZ124)/$HI$2),1,0)))</f>
        <v>0</v>
      </c>
      <c r="HK124" s="1184">
        <f t="shared" si="348"/>
        <v>3</v>
      </c>
      <c r="HL124" s="1184"/>
      <c r="HN124" s="1184"/>
      <c r="HO124" s="1184"/>
      <c r="HP124" s="1184"/>
      <c r="HQ124" s="1184"/>
      <c r="HR124" s="1184"/>
      <c r="HS124" s="1184"/>
      <c r="HT124" s="1184"/>
      <c r="HU124" s="1184"/>
      <c r="HV124" s="1184"/>
      <c r="HW124" s="1184"/>
      <c r="HX124" s="1184"/>
      <c r="HY124" s="1184"/>
      <c r="HZ124" s="1184"/>
      <c r="IA124" s="1184"/>
      <c r="IB124" s="1184"/>
      <c r="IC124" s="1184"/>
      <c r="ID124" s="1184"/>
      <c r="IE124" s="1184"/>
      <c r="IF124" s="1184"/>
      <c r="IG124" s="1184"/>
      <c r="IH124" s="1184"/>
      <c r="II124" s="1184"/>
      <c r="IJ124" s="1184"/>
      <c r="IK124" s="1184"/>
      <c r="IL124" s="1184"/>
    </row>
    <row r="125" spans="25:246" ht="15.75" customHeight="1" x14ac:dyDescent="0.2">
      <c r="Y125" s="1981"/>
      <c r="Z125" s="1982"/>
      <c r="AA125" s="1982"/>
      <c r="AB125" s="1982"/>
      <c r="AC125" s="1983"/>
      <c r="AD125" s="1983"/>
      <c r="AE125" s="1983"/>
      <c r="AF125" s="1983"/>
      <c r="AG125" s="1983"/>
      <c r="AH125" s="1983"/>
      <c r="AI125" s="1983"/>
      <c r="AJ125" s="1983"/>
      <c r="AK125" s="1983"/>
      <c r="AL125" s="1984"/>
      <c r="AM125" s="1983"/>
      <c r="AN125" s="1983"/>
      <c r="AO125" s="1983"/>
      <c r="AP125" s="1983"/>
      <c r="AQ125" s="1983"/>
      <c r="AR125" s="1983"/>
      <c r="AS125" s="1983"/>
      <c r="AT125" s="1983"/>
      <c r="AU125" s="1983"/>
      <c r="AV125" s="1983"/>
      <c r="AW125" s="1985"/>
      <c r="AX125" s="1985"/>
      <c r="AY125" s="1985"/>
      <c r="AZ125" s="1985"/>
      <c r="BA125" s="1462"/>
      <c r="BB125" s="1462"/>
      <c r="BC125" s="1462"/>
      <c r="BD125" s="1461"/>
      <c r="BE125" s="1462"/>
      <c r="BF125" s="1343"/>
      <c r="BG125" s="1343"/>
      <c r="BH125" s="1343"/>
      <c r="BI125" s="1343"/>
      <c r="BJ125" s="1343"/>
      <c r="BK125" s="1343"/>
      <c r="BL125" s="1343"/>
      <c r="BM125" s="1343"/>
      <c r="BN125" s="1343"/>
      <c r="BO125" s="1343"/>
      <c r="BQ125" s="1184"/>
      <c r="BR125" s="1184"/>
      <c r="BS125" s="1184"/>
      <c r="BT125" s="1184"/>
      <c r="BU125" s="1200"/>
      <c r="BV125" s="1326"/>
      <c r="BW125" s="1326"/>
      <c r="BX125" s="1326"/>
      <c r="BY125" s="1326"/>
      <c r="BZ125" s="1326"/>
      <c r="CA125" s="1326"/>
      <c r="CB125" s="1326"/>
      <c r="CC125" s="1326"/>
      <c r="CD125" s="1326"/>
      <c r="CE125" s="1326"/>
      <c r="CF125" s="1326"/>
      <c r="CG125" s="1326"/>
      <c r="CH125" s="1326"/>
      <c r="CI125" s="1326"/>
      <c r="CJ125" s="1326"/>
      <c r="CK125" s="1326"/>
      <c r="CL125" s="1184"/>
      <c r="CM125" s="1184"/>
      <c r="CN125" s="1184"/>
      <c r="CO125" s="1184"/>
      <c r="CP125" s="1184"/>
      <c r="CQ125" s="1184"/>
      <c r="CR125" s="1184"/>
      <c r="CS125" s="1184"/>
      <c r="CT125" s="1184"/>
      <c r="CU125" s="1184"/>
      <c r="CV125" s="1184"/>
      <c r="CW125" s="1184"/>
      <c r="CX125" s="1184"/>
      <c r="CY125" s="1208" t="str">
        <f>Pflanzen!C126</f>
        <v>Kartoffeleiweiß</v>
      </c>
      <c r="CZ125" s="1184">
        <f>IFERROR(MATCH($CY125,Pflanzen!$C$117:$C$154,0),1)</f>
        <v>10</v>
      </c>
      <c r="DA125" s="1208">
        <f>Pflanzen!H126</f>
        <v>2</v>
      </c>
      <c r="DB125" s="1184">
        <f t="shared" si="258"/>
        <v>0</v>
      </c>
      <c r="DC125" s="1184">
        <f t="shared" si="258"/>
        <v>0</v>
      </c>
      <c r="DD125" s="1184">
        <f t="shared" si="258"/>
        <v>0</v>
      </c>
      <c r="DE125" s="1184">
        <f t="shared" si="258"/>
        <v>0</v>
      </c>
      <c r="DF125" s="1184">
        <f t="shared" si="258"/>
        <v>0</v>
      </c>
      <c r="DG125" s="1184">
        <f t="shared" si="258"/>
        <v>0</v>
      </c>
      <c r="DH125" s="1184">
        <f t="shared" si="258"/>
        <v>0</v>
      </c>
      <c r="DI125" s="1184">
        <f t="shared" si="258"/>
        <v>0</v>
      </c>
      <c r="DJ125" s="1184">
        <f t="shared" si="258"/>
        <v>0</v>
      </c>
      <c r="DK125" s="1184">
        <f t="shared" si="258"/>
        <v>0</v>
      </c>
      <c r="DL125" s="1184">
        <f t="shared" si="258"/>
        <v>0</v>
      </c>
      <c r="DM125" s="1184">
        <f t="shared" si="258"/>
        <v>0</v>
      </c>
      <c r="DN125" s="1184"/>
      <c r="DO125" s="1184">
        <f t="shared" si="259"/>
        <v>0</v>
      </c>
      <c r="DP125" s="1184">
        <f t="shared" si="259"/>
        <v>0</v>
      </c>
      <c r="DQ125" s="1184">
        <f t="shared" si="259"/>
        <v>0</v>
      </c>
      <c r="DR125" s="1184">
        <f t="shared" si="259"/>
        <v>0</v>
      </c>
      <c r="DS125" s="1184">
        <f t="shared" si="259"/>
        <v>0</v>
      </c>
      <c r="DT125" s="1184">
        <f t="shared" si="259"/>
        <v>0</v>
      </c>
      <c r="DU125" s="1184">
        <f t="shared" si="259"/>
        <v>0</v>
      </c>
      <c r="DV125" s="1184">
        <f t="shared" si="259"/>
        <v>0</v>
      </c>
      <c r="DW125" s="1184">
        <f t="shared" si="259"/>
        <v>0</v>
      </c>
      <c r="DX125" s="1184">
        <f t="shared" si="259"/>
        <v>0</v>
      </c>
      <c r="DY125" s="1184">
        <f t="shared" si="259"/>
        <v>0</v>
      </c>
      <c r="DZ125" s="1184">
        <f t="shared" si="259"/>
        <v>0</v>
      </c>
      <c r="EA125" s="1184"/>
      <c r="EB125" s="1184"/>
      <c r="EC125" s="1184"/>
      <c r="ED125" s="1184"/>
      <c r="EE125" s="1184"/>
      <c r="EF125" s="1184"/>
      <c r="EG125" s="1184"/>
      <c r="EH125" s="1184"/>
      <c r="EI125" s="1184"/>
      <c r="EJ125" s="1184"/>
      <c r="EK125" s="1184"/>
      <c r="EL125" s="1184"/>
      <c r="EM125" s="1184"/>
      <c r="EN125" s="1184"/>
      <c r="EO125" s="1184"/>
      <c r="EP125" s="1184"/>
      <c r="EQ125" s="1184"/>
      <c r="ER125" s="1184"/>
      <c r="ES125" s="1184"/>
      <c r="ET125" s="1184"/>
      <c r="EU125" s="1184"/>
      <c r="EV125" s="1184"/>
      <c r="EW125" s="1184"/>
      <c r="EX125" s="1184"/>
      <c r="EY125" s="1184"/>
      <c r="EZ125" s="1184"/>
      <c r="FA125" s="1184"/>
      <c r="FB125" s="1186">
        <f t="shared" si="302"/>
        <v>0</v>
      </c>
      <c r="FC125" s="1297">
        <f t="shared" si="303"/>
        <v>0</v>
      </c>
      <c r="FD125" s="1297">
        <f t="shared" si="304"/>
        <v>0</v>
      </c>
      <c r="FE125" s="1297">
        <f t="shared" si="305"/>
        <v>0</v>
      </c>
      <c r="FF125" s="1297">
        <f t="shared" si="306"/>
        <v>0</v>
      </c>
      <c r="FG125" s="1297">
        <f t="shared" si="307"/>
        <v>0</v>
      </c>
      <c r="FH125" s="1297">
        <f t="shared" si="308"/>
        <v>0</v>
      </c>
      <c r="FI125" s="1297">
        <f t="shared" si="309"/>
        <v>0</v>
      </c>
      <c r="FJ125" s="1297">
        <f t="shared" si="310"/>
        <v>0</v>
      </c>
      <c r="FK125" s="1297">
        <f t="shared" si="311"/>
        <v>0</v>
      </c>
      <c r="FL125" s="1297">
        <f t="shared" si="312"/>
        <v>0</v>
      </c>
      <c r="FM125" s="1297">
        <f t="shared" si="313"/>
        <v>0</v>
      </c>
      <c r="FN125" s="1297">
        <f t="shared" si="314"/>
        <v>0</v>
      </c>
      <c r="FO125" s="1184"/>
      <c r="FP125" s="1186">
        <f t="shared" si="315"/>
        <v>0</v>
      </c>
      <c r="FQ125" s="1297">
        <f t="shared" si="316"/>
        <v>0</v>
      </c>
      <c r="FR125" s="1297">
        <f t="shared" si="317"/>
        <v>0</v>
      </c>
      <c r="FS125" s="1297">
        <f t="shared" si="318"/>
        <v>0</v>
      </c>
      <c r="FT125" s="1297">
        <f t="shared" si="319"/>
        <v>0</v>
      </c>
      <c r="FU125" s="1297">
        <f t="shared" si="320"/>
        <v>0</v>
      </c>
      <c r="FV125" s="1297">
        <f t="shared" si="321"/>
        <v>0</v>
      </c>
      <c r="FW125" s="1297">
        <f t="shared" si="322"/>
        <v>0</v>
      </c>
      <c r="FX125" s="1297">
        <f t="shared" si="323"/>
        <v>0</v>
      </c>
      <c r="FY125" s="1297">
        <f t="shared" si="324"/>
        <v>0</v>
      </c>
      <c r="FZ125" s="1297">
        <f t="shared" si="325"/>
        <v>0</v>
      </c>
      <c r="GA125" s="1297">
        <f t="shared" si="326"/>
        <v>0</v>
      </c>
      <c r="GB125" s="1297">
        <f t="shared" si="327"/>
        <v>0</v>
      </c>
      <c r="GC125" s="1184"/>
      <c r="GD125" s="1184">
        <f t="shared" si="328"/>
        <v>0</v>
      </c>
      <c r="GE125" s="1184">
        <f t="shared" si="329"/>
        <v>0</v>
      </c>
      <c r="GF125" s="1184"/>
      <c r="GG125" s="1184"/>
      <c r="GH125" s="1184"/>
      <c r="GI125" s="1184"/>
      <c r="GJ125" s="1184">
        <f t="shared" si="330"/>
        <v>0</v>
      </c>
      <c r="GK125" s="1184">
        <f t="shared" si="331"/>
        <v>0</v>
      </c>
      <c r="GL125" s="1184">
        <f t="shared" si="332"/>
        <v>0</v>
      </c>
      <c r="GM125" s="1184">
        <f t="shared" si="333"/>
        <v>0</v>
      </c>
      <c r="GN125" s="1184">
        <f t="shared" si="334"/>
        <v>0</v>
      </c>
      <c r="GO125" s="1184" cm="1">
        <f t="array" ref="GO125">IF(GN125=0,0,(SUMPRODUCT($J$75:$J$79,$CH$75:$CH$79,($BR$75:$BR$79=CZ125)*1)+SUMPRODUCT($R$75:$R$79,$CP$75:$CP$79,($BR$75:$BR$79=CZ125)*1))/GN125)</f>
        <v>0</v>
      </c>
      <c r="GP125" s="1184">
        <f t="shared" si="335"/>
        <v>0</v>
      </c>
      <c r="GQ125" s="1184"/>
      <c r="GR125" s="1184"/>
      <c r="GS125" s="1184">
        <f t="shared" si="336"/>
        <v>0</v>
      </c>
      <c r="GT125" s="1184">
        <f t="shared" si="337"/>
        <v>0</v>
      </c>
      <c r="GU125" s="1184">
        <f t="shared" si="338"/>
        <v>0</v>
      </c>
      <c r="GV125" s="1184">
        <f t="shared" si="339"/>
        <v>0</v>
      </c>
      <c r="GW125" s="1186" t="str">
        <f t="shared" si="292"/>
        <v xml:space="preserve"> </v>
      </c>
      <c r="GX125" s="1186" t="str">
        <f t="shared" si="292"/>
        <v xml:space="preserve"> </v>
      </c>
      <c r="GY125" s="1195">
        <f t="shared" si="340"/>
        <v>0</v>
      </c>
      <c r="GZ125" s="1184">
        <f t="shared" si="341"/>
        <v>0</v>
      </c>
      <c r="HA125" s="1184" t="str">
        <f t="shared" si="251"/>
        <v>a</v>
      </c>
      <c r="HB125" s="1196">
        <f t="shared" si="342"/>
        <v>0</v>
      </c>
      <c r="HC125" s="1196">
        <f t="shared" si="343"/>
        <v>0</v>
      </c>
      <c r="HD125" s="1196"/>
      <c r="HE125" s="1187">
        <f t="shared" si="344"/>
        <v>0</v>
      </c>
      <c r="HF125" s="1196">
        <f t="shared" si="345"/>
        <v>0</v>
      </c>
      <c r="HG125" s="1196">
        <f t="shared" si="346"/>
        <v>0</v>
      </c>
      <c r="HH125" s="1196">
        <f t="shared" si="347"/>
        <v>0</v>
      </c>
      <c r="HI125" s="1328" cm="1">
        <f t="array" ref="HI125">IF(AND(HG125=0,GL125=0),0,IF(HG125=0,1,IF(OR(GL125*1000/HG125/HH125&gt;INDEX(Pflanzen!$W$117:$W$154,CZ125)/INDEX(Pflanzen!$I$117:$I$154,CZ125)*$HI$1,GL125*1000/HG125/HH125&lt;INDEX(Pflanzen!$W$117:$W$154,CZ125)/INDEX(Pflanzen!$I$117:$I$154,CZ125)/$HI$1),1,0)))</f>
        <v>0</v>
      </c>
      <c r="HJ125" s="1330" cm="1">
        <f t="array" ref="HJ125">IF(AND(GM125=0,HG125=0),0,IF(HG125=0,1,IF(OR(GM125*1000/HG125/HH125&gt;INDEX(Pflanzen!$X$117:$X$154,CZ125)/INDEX(Pflanzen!$I$117:$I$154,CZ125)*$HI$2,GM125*1000/HG125/HH125&lt;INDEX(Pflanzen!$X$117:$X$154,CZ125)/INDEX(Pflanzen!$I$117:$I$154,CZ125)/$HI$2),1,0)))</f>
        <v>0</v>
      </c>
      <c r="HK125" s="1184">
        <f t="shared" si="348"/>
        <v>3</v>
      </c>
      <c r="HL125" s="1184"/>
      <c r="HN125" s="1184"/>
      <c r="HO125" s="1184"/>
      <c r="HP125" s="1184"/>
      <c r="HQ125" s="1184"/>
      <c r="HR125" s="1184"/>
      <c r="HS125" s="1184"/>
      <c r="HT125" s="1184"/>
      <c r="HU125" s="1184"/>
      <c r="HV125" s="1184"/>
      <c r="HW125" s="1184"/>
      <c r="HX125" s="1184"/>
      <c r="HY125" s="1184"/>
      <c r="HZ125" s="1184"/>
      <c r="IA125" s="1184"/>
      <c r="IB125" s="1184"/>
      <c r="IC125" s="1184"/>
      <c r="ID125" s="1184"/>
      <c r="IE125" s="1184"/>
      <c r="IF125" s="1184"/>
      <c r="IG125" s="1184"/>
      <c r="IH125" s="1184"/>
      <c r="II125" s="1184"/>
      <c r="IJ125" s="1184"/>
      <c r="IK125" s="1184"/>
      <c r="IL125" s="1184"/>
    </row>
    <row r="126" spans="25:246" ht="15.75" customHeight="1" x14ac:dyDescent="0.2">
      <c r="Y126" s="1981"/>
      <c r="Z126" s="1982"/>
      <c r="AA126" s="1982"/>
      <c r="AB126" s="1982"/>
      <c r="AC126" s="1983"/>
      <c r="AD126" s="1983"/>
      <c r="AE126" s="1983"/>
      <c r="AF126" s="1983"/>
      <c r="AG126" s="1983"/>
      <c r="AH126" s="1983"/>
      <c r="AI126" s="1983"/>
      <c r="AJ126" s="1983"/>
      <c r="AK126" s="1983"/>
      <c r="AL126" s="1984"/>
      <c r="AM126" s="1983"/>
      <c r="AN126" s="1983"/>
      <c r="AO126" s="1983"/>
      <c r="AP126" s="1983"/>
      <c r="AQ126" s="1983"/>
      <c r="AR126" s="1983"/>
      <c r="AS126" s="1983"/>
      <c r="AT126" s="1983"/>
      <c r="AU126" s="1983"/>
      <c r="AV126" s="1983"/>
      <c r="AW126" s="1985"/>
      <c r="AX126" s="1985"/>
      <c r="AY126" s="1985"/>
      <c r="AZ126" s="1985"/>
      <c r="BA126" s="1462"/>
      <c r="BB126" s="1462"/>
      <c r="BC126" s="1462"/>
      <c r="BD126" s="1461"/>
      <c r="BE126" s="1462"/>
      <c r="BF126" s="1343"/>
      <c r="BG126" s="1343"/>
      <c r="BH126" s="1343"/>
      <c r="BI126" s="1343"/>
      <c r="BJ126" s="1343"/>
      <c r="BK126" s="1343"/>
      <c r="BL126" s="1343"/>
      <c r="BM126" s="1343"/>
      <c r="BN126" s="1343"/>
      <c r="BO126" s="1343"/>
      <c r="BQ126" s="1184"/>
      <c r="BR126" s="1184"/>
      <c r="BS126" s="1184"/>
      <c r="BT126" s="1184"/>
      <c r="BU126" s="1200"/>
      <c r="BV126" s="1326"/>
      <c r="BW126" s="1326"/>
      <c r="BX126" s="1326"/>
      <c r="BY126" s="1326"/>
      <c r="BZ126" s="1326"/>
      <c r="CA126" s="1326"/>
      <c r="CB126" s="1326"/>
      <c r="CC126" s="1326"/>
      <c r="CD126" s="1326"/>
      <c r="CE126" s="1326"/>
      <c r="CF126" s="1326"/>
      <c r="CG126" s="1326"/>
      <c r="CH126" s="1326"/>
      <c r="CI126" s="1326"/>
      <c r="CJ126" s="1326"/>
      <c r="CK126" s="1326"/>
      <c r="CL126" s="1184"/>
      <c r="CM126" s="1184"/>
      <c r="CN126" s="1184"/>
      <c r="CO126" s="1184"/>
      <c r="CP126" s="1184"/>
      <c r="CQ126" s="1184"/>
      <c r="CR126" s="1184"/>
      <c r="CS126" s="1184"/>
      <c r="CT126" s="1184"/>
      <c r="CU126" s="1184"/>
      <c r="CV126" s="1184"/>
      <c r="CW126" s="1184"/>
      <c r="CX126" s="1184"/>
      <c r="CY126" s="1208" t="str">
        <f>Pflanzen!C127</f>
        <v>Kartoffelschlempe, frisch</v>
      </c>
      <c r="CZ126" s="1184">
        <f>IFERROR(MATCH($CY126,Pflanzen!$C$117:$C$154,0),1)</f>
        <v>11</v>
      </c>
      <c r="DA126" s="1208">
        <f>Pflanzen!H127</f>
        <v>2</v>
      </c>
      <c r="DB126" s="1184">
        <f t="shared" ref="DB126:DM135" si="349">SUMIFS($CQ$75:$CQ$79,$BW$75:$BW$79,1,$BX$75:$BX$79,DB$2,$BR$75:$BR$79,$CZ126)+   SUMIFS($CQ$75:$CQ$79,$BW$75:$BW$79,"&gt;1",$BX$75:$BX$79,"&lt;="&amp;DB$2,$BY$75:$BY$79,"&gt;="&amp;DB$2,$BR$75:$BR$79,$CZ126)</f>
        <v>0</v>
      </c>
      <c r="DC126" s="1184">
        <f t="shared" si="349"/>
        <v>0</v>
      </c>
      <c r="DD126" s="1184">
        <f t="shared" si="349"/>
        <v>0</v>
      </c>
      <c r="DE126" s="1184">
        <f t="shared" si="349"/>
        <v>0</v>
      </c>
      <c r="DF126" s="1184">
        <f t="shared" si="349"/>
        <v>0</v>
      </c>
      <c r="DG126" s="1184">
        <f t="shared" si="349"/>
        <v>0</v>
      </c>
      <c r="DH126" s="1184">
        <f t="shared" si="349"/>
        <v>0</v>
      </c>
      <c r="DI126" s="1184">
        <f t="shared" si="349"/>
        <v>0</v>
      </c>
      <c r="DJ126" s="1184">
        <f t="shared" si="349"/>
        <v>0</v>
      </c>
      <c r="DK126" s="1184">
        <f t="shared" si="349"/>
        <v>0</v>
      </c>
      <c r="DL126" s="1184">
        <f t="shared" si="349"/>
        <v>0</v>
      </c>
      <c r="DM126" s="1184">
        <f t="shared" si="349"/>
        <v>0</v>
      </c>
      <c r="DN126" s="1184"/>
      <c r="DO126" s="1184">
        <f t="shared" ref="DO126:DZ135" si="350">SUMIFS($CS$75:$CS$79,$BW$75:$BW$79,1,$BX$75:$BX$79,DO$2,$BR$75:$BR$79,$CZ126)+   SUMIFS($CS$75:$CS$79,$BW$75:$BW$79,"&gt;1",$BX$75:$BX$79,"&lt;="&amp;DO$2,$BY$75:$BY$79,"&gt;="&amp;DO$2,$BR$75:$BR$79,$CZ126)</f>
        <v>0</v>
      </c>
      <c r="DP126" s="1184">
        <f t="shared" si="350"/>
        <v>0</v>
      </c>
      <c r="DQ126" s="1184">
        <f t="shared" si="350"/>
        <v>0</v>
      </c>
      <c r="DR126" s="1184">
        <f t="shared" si="350"/>
        <v>0</v>
      </c>
      <c r="DS126" s="1184">
        <f t="shared" si="350"/>
        <v>0</v>
      </c>
      <c r="DT126" s="1184">
        <f t="shared" si="350"/>
        <v>0</v>
      </c>
      <c r="DU126" s="1184">
        <f t="shared" si="350"/>
        <v>0</v>
      </c>
      <c r="DV126" s="1184">
        <f t="shared" si="350"/>
        <v>0</v>
      </c>
      <c r="DW126" s="1184">
        <f t="shared" si="350"/>
        <v>0</v>
      </c>
      <c r="DX126" s="1184">
        <f t="shared" si="350"/>
        <v>0</v>
      </c>
      <c r="DY126" s="1184">
        <f t="shared" si="350"/>
        <v>0</v>
      </c>
      <c r="DZ126" s="1184">
        <f t="shared" si="350"/>
        <v>0</v>
      </c>
      <c r="EA126" s="1184"/>
      <c r="EB126" s="1184"/>
      <c r="EC126" s="1184"/>
      <c r="ED126" s="1184"/>
      <c r="EE126" s="1184"/>
      <c r="EF126" s="1184"/>
      <c r="EG126" s="1184"/>
      <c r="EH126" s="1184"/>
      <c r="EI126" s="1184"/>
      <c r="EJ126" s="1184"/>
      <c r="EK126" s="1184"/>
      <c r="EL126" s="1184"/>
      <c r="EM126" s="1184"/>
      <c r="EN126" s="1184"/>
      <c r="EO126" s="1184"/>
      <c r="EP126" s="1184"/>
      <c r="EQ126" s="1184"/>
      <c r="ER126" s="1184"/>
      <c r="ES126" s="1184"/>
      <c r="ET126" s="1184"/>
      <c r="EU126" s="1184"/>
      <c r="EV126" s="1184"/>
      <c r="EW126" s="1184"/>
      <c r="EX126" s="1184"/>
      <c r="EY126" s="1184"/>
      <c r="EZ126" s="1184"/>
      <c r="FA126" s="1184"/>
      <c r="FB126" s="1186">
        <f t="shared" si="302"/>
        <v>0</v>
      </c>
      <c r="FC126" s="1297">
        <f t="shared" si="303"/>
        <v>0</v>
      </c>
      <c r="FD126" s="1297">
        <f t="shared" si="304"/>
        <v>0</v>
      </c>
      <c r="FE126" s="1297">
        <f t="shared" si="305"/>
        <v>0</v>
      </c>
      <c r="FF126" s="1297">
        <f t="shared" si="306"/>
        <v>0</v>
      </c>
      <c r="FG126" s="1297">
        <f t="shared" si="307"/>
        <v>0</v>
      </c>
      <c r="FH126" s="1297">
        <f t="shared" si="308"/>
        <v>0</v>
      </c>
      <c r="FI126" s="1297">
        <f t="shared" si="309"/>
        <v>0</v>
      </c>
      <c r="FJ126" s="1297">
        <f t="shared" si="310"/>
        <v>0</v>
      </c>
      <c r="FK126" s="1297">
        <f t="shared" si="311"/>
        <v>0</v>
      </c>
      <c r="FL126" s="1297">
        <f t="shared" si="312"/>
        <v>0</v>
      </c>
      <c r="FM126" s="1297">
        <f t="shared" si="313"/>
        <v>0</v>
      </c>
      <c r="FN126" s="1297">
        <f t="shared" si="314"/>
        <v>0</v>
      </c>
      <c r="FO126" s="1184"/>
      <c r="FP126" s="1186">
        <f t="shared" si="315"/>
        <v>0</v>
      </c>
      <c r="FQ126" s="1297">
        <f t="shared" si="316"/>
        <v>0</v>
      </c>
      <c r="FR126" s="1297">
        <f t="shared" si="317"/>
        <v>0</v>
      </c>
      <c r="FS126" s="1297">
        <f t="shared" si="318"/>
        <v>0</v>
      </c>
      <c r="FT126" s="1297">
        <f t="shared" si="319"/>
        <v>0</v>
      </c>
      <c r="FU126" s="1297">
        <f t="shared" si="320"/>
        <v>0</v>
      </c>
      <c r="FV126" s="1297">
        <f t="shared" si="321"/>
        <v>0</v>
      </c>
      <c r="FW126" s="1297">
        <f t="shared" si="322"/>
        <v>0</v>
      </c>
      <c r="FX126" s="1297">
        <f t="shared" si="323"/>
        <v>0</v>
      </c>
      <c r="FY126" s="1297">
        <f t="shared" si="324"/>
        <v>0</v>
      </c>
      <c r="FZ126" s="1297">
        <f t="shared" si="325"/>
        <v>0</v>
      </c>
      <c r="GA126" s="1297">
        <f t="shared" si="326"/>
        <v>0</v>
      </c>
      <c r="GB126" s="1297">
        <f t="shared" si="327"/>
        <v>0</v>
      </c>
      <c r="GC126" s="1184"/>
      <c r="GD126" s="1184">
        <f t="shared" si="328"/>
        <v>0</v>
      </c>
      <c r="GE126" s="1184">
        <f t="shared" si="329"/>
        <v>0</v>
      </c>
      <c r="GF126" s="1184"/>
      <c r="GG126" s="1184"/>
      <c r="GH126" s="1184"/>
      <c r="GI126" s="1184"/>
      <c r="GJ126" s="1184">
        <f t="shared" si="330"/>
        <v>0</v>
      </c>
      <c r="GK126" s="1184">
        <f t="shared" si="331"/>
        <v>0</v>
      </c>
      <c r="GL126" s="1184">
        <f t="shared" si="332"/>
        <v>0</v>
      </c>
      <c r="GM126" s="1184">
        <f t="shared" si="333"/>
        <v>0</v>
      </c>
      <c r="GN126" s="1184">
        <f t="shared" si="334"/>
        <v>0</v>
      </c>
      <c r="GO126" s="1184" cm="1">
        <f t="array" ref="GO126">IF(GN126=0,0,(SUMPRODUCT($J$75:$J$79,$CH$75:$CH$79,($BR$75:$BR$79=CZ126)*1)+SUMPRODUCT($R$75:$R$79,$CP$75:$CP$79,($BR$75:$BR$79=CZ126)*1))/GN126)</f>
        <v>0</v>
      </c>
      <c r="GP126" s="1184">
        <f t="shared" si="335"/>
        <v>0</v>
      </c>
      <c r="GQ126" s="1184"/>
      <c r="GR126" s="1184"/>
      <c r="GS126" s="1184">
        <f t="shared" si="336"/>
        <v>0</v>
      </c>
      <c r="GT126" s="1184">
        <f t="shared" si="337"/>
        <v>0</v>
      </c>
      <c r="GU126" s="1184">
        <f t="shared" si="338"/>
        <v>0</v>
      </c>
      <c r="GV126" s="1184">
        <f t="shared" si="339"/>
        <v>0</v>
      </c>
      <c r="GW126" s="1186" t="str">
        <f t="shared" si="292"/>
        <v xml:space="preserve"> </v>
      </c>
      <c r="GX126" s="1186" t="str">
        <f t="shared" si="292"/>
        <v xml:space="preserve"> </v>
      </c>
      <c r="GY126" s="1195">
        <f t="shared" si="340"/>
        <v>0</v>
      </c>
      <c r="GZ126" s="1184">
        <f t="shared" si="341"/>
        <v>0</v>
      </c>
      <c r="HA126" s="1184" t="str">
        <f t="shared" si="251"/>
        <v>a</v>
      </c>
      <c r="HB126" s="1196">
        <f t="shared" si="342"/>
        <v>0</v>
      </c>
      <c r="HC126" s="1196">
        <f t="shared" si="343"/>
        <v>0</v>
      </c>
      <c r="HD126" s="1196"/>
      <c r="HE126" s="1187">
        <f t="shared" si="344"/>
        <v>0</v>
      </c>
      <c r="HF126" s="1196">
        <f t="shared" si="345"/>
        <v>0</v>
      </c>
      <c r="HG126" s="1196">
        <f t="shared" si="346"/>
        <v>0</v>
      </c>
      <c r="HH126" s="1196">
        <f t="shared" si="347"/>
        <v>0</v>
      </c>
      <c r="HI126" s="1328" cm="1">
        <f t="array" ref="HI126">IF(AND(HG126=0,GL126=0),0,IF(HG126=0,1,IF(OR(GL126*1000/HG126/HH126&gt;INDEX(Pflanzen!$W$117:$W$154,CZ126)/INDEX(Pflanzen!$I$117:$I$154,CZ126)*$HI$1,GL126*1000/HG126/HH126&lt;INDEX(Pflanzen!$W$117:$W$154,CZ126)/INDEX(Pflanzen!$I$117:$I$154,CZ126)/$HI$1),1,0)))</f>
        <v>0</v>
      </c>
      <c r="HJ126" s="1330" cm="1">
        <f t="array" ref="HJ126">IF(AND(GM126=0,HG126=0),0,IF(HG126=0,1,IF(OR(GM126*1000/HG126/HH126&gt;INDEX(Pflanzen!$X$117:$X$154,CZ126)/INDEX(Pflanzen!$I$117:$I$154,CZ126)*$HI$2,GM126*1000/HG126/HH126&lt;INDEX(Pflanzen!$X$117:$X$154,CZ126)/INDEX(Pflanzen!$I$117:$I$154,CZ126)/$HI$2),1,0)))</f>
        <v>0</v>
      </c>
      <c r="HK126" s="1184">
        <f t="shared" si="348"/>
        <v>3</v>
      </c>
      <c r="HL126" s="1184"/>
      <c r="HN126" s="1184"/>
      <c r="HO126" s="1184"/>
      <c r="HP126" s="1184"/>
      <c r="HQ126" s="1184"/>
      <c r="HR126" s="1184"/>
      <c r="HS126" s="1184"/>
      <c r="HT126" s="1184"/>
      <c r="HU126" s="1184"/>
      <c r="HV126" s="1184"/>
      <c r="HW126" s="1184"/>
      <c r="HX126" s="1184"/>
      <c r="HY126" s="1184"/>
      <c r="HZ126" s="1184"/>
      <c r="IA126" s="1184"/>
      <c r="IB126" s="1184"/>
      <c r="IC126" s="1184"/>
      <c r="ID126" s="1184"/>
      <c r="IE126" s="1184"/>
      <c r="IF126" s="1184"/>
      <c r="IG126" s="1184"/>
      <c r="IH126" s="1184"/>
      <c r="II126" s="1184"/>
      <c r="IJ126" s="1184"/>
      <c r="IK126" s="1184"/>
      <c r="IL126" s="1184"/>
    </row>
    <row r="127" spans="25:246" ht="15.75" customHeight="1" x14ac:dyDescent="0.2">
      <c r="Y127" s="1981"/>
      <c r="Z127" s="1982"/>
      <c r="AA127" s="1982"/>
      <c r="AB127" s="1982"/>
      <c r="AC127" s="1983"/>
      <c r="AD127" s="1983"/>
      <c r="AE127" s="1983"/>
      <c r="AF127" s="1983"/>
      <c r="AG127" s="1983"/>
      <c r="AH127" s="1983"/>
      <c r="AI127" s="1983"/>
      <c r="AJ127" s="1983"/>
      <c r="AK127" s="1983"/>
      <c r="AL127" s="1984"/>
      <c r="AM127" s="1983"/>
      <c r="AN127" s="1983"/>
      <c r="AO127" s="1983"/>
      <c r="AP127" s="1983"/>
      <c r="AQ127" s="1983"/>
      <c r="AR127" s="1983"/>
      <c r="AS127" s="1983"/>
      <c r="AT127" s="1983"/>
      <c r="AU127" s="1983"/>
      <c r="AV127" s="1983"/>
      <c r="AW127" s="1985"/>
      <c r="AX127" s="1985"/>
      <c r="AY127" s="1985"/>
      <c r="AZ127" s="1985"/>
      <c r="BA127" s="1462"/>
      <c r="BB127" s="1462"/>
      <c r="BC127" s="1462"/>
      <c r="BD127" s="1461"/>
      <c r="BE127" s="1462"/>
      <c r="BF127" s="1343"/>
      <c r="BG127" s="1343"/>
      <c r="BH127" s="1343"/>
      <c r="BI127" s="1343"/>
      <c r="BJ127" s="1343"/>
      <c r="BK127" s="1343"/>
      <c r="BL127" s="1343"/>
      <c r="BM127" s="1343"/>
      <c r="BN127" s="1343"/>
      <c r="BO127" s="1343"/>
      <c r="BQ127" s="1184"/>
      <c r="BR127" s="1184"/>
      <c r="BS127" s="1184"/>
      <c r="BT127" s="1184"/>
      <c r="BU127" s="1200"/>
      <c r="BV127" s="1326"/>
      <c r="BW127" s="1326"/>
      <c r="BX127" s="1326"/>
      <c r="BY127" s="1326"/>
      <c r="BZ127" s="1326"/>
      <c r="CA127" s="1326"/>
      <c r="CB127" s="1326"/>
      <c r="CC127" s="1326"/>
      <c r="CD127" s="1326"/>
      <c r="CE127" s="1326"/>
      <c r="CF127" s="1326"/>
      <c r="CG127" s="1326"/>
      <c r="CH127" s="1326"/>
      <c r="CI127" s="1326"/>
      <c r="CJ127" s="1326"/>
      <c r="CK127" s="1326"/>
      <c r="CL127" s="1184"/>
      <c r="CM127" s="1184"/>
      <c r="CN127" s="1184"/>
      <c r="CO127" s="1184"/>
      <c r="CP127" s="1184"/>
      <c r="CQ127" s="1184"/>
      <c r="CR127" s="1184"/>
      <c r="CS127" s="1184"/>
      <c r="CT127" s="1184"/>
      <c r="CU127" s="1184"/>
      <c r="CV127" s="1184"/>
      <c r="CW127" s="1184"/>
      <c r="CX127" s="1184"/>
      <c r="CY127" s="1208" t="str">
        <f>Pflanzen!C128</f>
        <v>Leinextraktionsschrot</v>
      </c>
      <c r="CZ127" s="1184">
        <f>IFERROR(MATCH($CY127,Pflanzen!$C$117:$C$154,0),1)</f>
        <v>12</v>
      </c>
      <c r="DA127" s="1208">
        <f>Pflanzen!H128</f>
        <v>2</v>
      </c>
      <c r="DB127" s="1184">
        <f t="shared" si="349"/>
        <v>0</v>
      </c>
      <c r="DC127" s="1184">
        <f t="shared" si="349"/>
        <v>0</v>
      </c>
      <c r="DD127" s="1184">
        <f t="shared" si="349"/>
        <v>0</v>
      </c>
      <c r="DE127" s="1184">
        <f t="shared" si="349"/>
        <v>0</v>
      </c>
      <c r="DF127" s="1184">
        <f t="shared" si="349"/>
        <v>0</v>
      </c>
      <c r="DG127" s="1184">
        <f t="shared" si="349"/>
        <v>0</v>
      </c>
      <c r="DH127" s="1184">
        <f t="shared" si="349"/>
        <v>0</v>
      </c>
      <c r="DI127" s="1184">
        <f t="shared" si="349"/>
        <v>0</v>
      </c>
      <c r="DJ127" s="1184">
        <f t="shared" si="349"/>
        <v>0</v>
      </c>
      <c r="DK127" s="1184">
        <f t="shared" si="349"/>
        <v>0</v>
      </c>
      <c r="DL127" s="1184">
        <f t="shared" si="349"/>
        <v>0</v>
      </c>
      <c r="DM127" s="1184">
        <f t="shared" si="349"/>
        <v>0</v>
      </c>
      <c r="DN127" s="1184"/>
      <c r="DO127" s="1184">
        <f t="shared" si="350"/>
        <v>0</v>
      </c>
      <c r="DP127" s="1184">
        <f t="shared" si="350"/>
        <v>0</v>
      </c>
      <c r="DQ127" s="1184">
        <f t="shared" si="350"/>
        <v>0</v>
      </c>
      <c r="DR127" s="1184">
        <f t="shared" si="350"/>
        <v>0</v>
      </c>
      <c r="DS127" s="1184">
        <f t="shared" si="350"/>
        <v>0</v>
      </c>
      <c r="DT127" s="1184">
        <f t="shared" si="350"/>
        <v>0</v>
      </c>
      <c r="DU127" s="1184">
        <f t="shared" si="350"/>
        <v>0</v>
      </c>
      <c r="DV127" s="1184">
        <f t="shared" si="350"/>
        <v>0</v>
      </c>
      <c r="DW127" s="1184">
        <f t="shared" si="350"/>
        <v>0</v>
      </c>
      <c r="DX127" s="1184">
        <f t="shared" si="350"/>
        <v>0</v>
      </c>
      <c r="DY127" s="1184">
        <f t="shared" si="350"/>
        <v>0</v>
      </c>
      <c r="DZ127" s="1184">
        <f t="shared" si="350"/>
        <v>0</v>
      </c>
      <c r="EA127" s="1184"/>
      <c r="EB127" s="1184"/>
      <c r="EC127" s="1184"/>
      <c r="ED127" s="1184"/>
      <c r="EE127" s="1184"/>
      <c r="EF127" s="1184"/>
      <c r="EG127" s="1184"/>
      <c r="EH127" s="1184"/>
      <c r="EI127" s="1184"/>
      <c r="EJ127" s="1184"/>
      <c r="EK127" s="1184"/>
      <c r="EL127" s="1184"/>
      <c r="EM127" s="1184"/>
      <c r="EN127" s="1184"/>
      <c r="EO127" s="1184"/>
      <c r="EP127" s="1184"/>
      <c r="EQ127" s="1184"/>
      <c r="ER127" s="1184"/>
      <c r="ES127" s="1184"/>
      <c r="ET127" s="1184"/>
      <c r="EU127" s="1184"/>
      <c r="EV127" s="1184"/>
      <c r="EW127" s="1184"/>
      <c r="EX127" s="1184"/>
      <c r="EY127" s="1184"/>
      <c r="EZ127" s="1184"/>
      <c r="FA127" s="1184"/>
      <c r="FB127" s="1186">
        <f t="shared" si="302"/>
        <v>0</v>
      </c>
      <c r="FC127" s="1297">
        <f t="shared" si="303"/>
        <v>0</v>
      </c>
      <c r="FD127" s="1297">
        <f t="shared" si="304"/>
        <v>0</v>
      </c>
      <c r="FE127" s="1297">
        <f t="shared" si="305"/>
        <v>0</v>
      </c>
      <c r="FF127" s="1297">
        <f t="shared" si="306"/>
        <v>0</v>
      </c>
      <c r="FG127" s="1297">
        <f t="shared" si="307"/>
        <v>0</v>
      </c>
      <c r="FH127" s="1297">
        <f t="shared" si="308"/>
        <v>0</v>
      </c>
      <c r="FI127" s="1297">
        <f t="shared" si="309"/>
        <v>0</v>
      </c>
      <c r="FJ127" s="1297">
        <f t="shared" si="310"/>
        <v>0</v>
      </c>
      <c r="FK127" s="1297">
        <f t="shared" si="311"/>
        <v>0</v>
      </c>
      <c r="FL127" s="1297">
        <f t="shared" si="312"/>
        <v>0</v>
      </c>
      <c r="FM127" s="1297">
        <f t="shared" si="313"/>
        <v>0</v>
      </c>
      <c r="FN127" s="1297">
        <f t="shared" si="314"/>
        <v>0</v>
      </c>
      <c r="FO127" s="1184"/>
      <c r="FP127" s="1186">
        <f t="shared" si="315"/>
        <v>0</v>
      </c>
      <c r="FQ127" s="1297">
        <f t="shared" si="316"/>
        <v>0</v>
      </c>
      <c r="FR127" s="1297">
        <f t="shared" si="317"/>
        <v>0</v>
      </c>
      <c r="FS127" s="1297">
        <f t="shared" si="318"/>
        <v>0</v>
      </c>
      <c r="FT127" s="1297">
        <f t="shared" si="319"/>
        <v>0</v>
      </c>
      <c r="FU127" s="1297">
        <f t="shared" si="320"/>
        <v>0</v>
      </c>
      <c r="FV127" s="1297">
        <f t="shared" si="321"/>
        <v>0</v>
      </c>
      <c r="FW127" s="1297">
        <f t="shared" si="322"/>
        <v>0</v>
      </c>
      <c r="FX127" s="1297">
        <f t="shared" si="323"/>
        <v>0</v>
      </c>
      <c r="FY127" s="1297">
        <f t="shared" si="324"/>
        <v>0</v>
      </c>
      <c r="FZ127" s="1297">
        <f t="shared" si="325"/>
        <v>0</v>
      </c>
      <c r="GA127" s="1297">
        <f t="shared" si="326"/>
        <v>0</v>
      </c>
      <c r="GB127" s="1297">
        <f t="shared" si="327"/>
        <v>0</v>
      </c>
      <c r="GC127" s="1184"/>
      <c r="GD127" s="1184">
        <f t="shared" si="328"/>
        <v>0</v>
      </c>
      <c r="GE127" s="1184">
        <f t="shared" si="329"/>
        <v>0</v>
      </c>
      <c r="GF127" s="1184"/>
      <c r="GG127" s="1184"/>
      <c r="GH127" s="1184"/>
      <c r="GI127" s="1184"/>
      <c r="GJ127" s="1184">
        <f t="shared" si="330"/>
        <v>0</v>
      </c>
      <c r="GK127" s="1184">
        <f t="shared" si="331"/>
        <v>0</v>
      </c>
      <c r="GL127" s="1184">
        <f t="shared" si="332"/>
        <v>0</v>
      </c>
      <c r="GM127" s="1184">
        <f t="shared" si="333"/>
        <v>0</v>
      </c>
      <c r="GN127" s="1184">
        <f t="shared" si="334"/>
        <v>0</v>
      </c>
      <c r="GO127" s="1184" cm="1">
        <f t="array" ref="GO127">IF(GN127=0,0,(SUMPRODUCT($J$75:$J$79,$CH$75:$CH$79,($BR$75:$BR$79=CZ127)*1)+SUMPRODUCT($R$75:$R$79,$CP$75:$CP$79,($BR$75:$BR$79=CZ127)*1))/GN127)</f>
        <v>0</v>
      </c>
      <c r="GP127" s="1184">
        <f t="shared" si="335"/>
        <v>0</v>
      </c>
      <c r="GQ127" s="1184"/>
      <c r="GR127" s="1184"/>
      <c r="GS127" s="1184">
        <f t="shared" si="336"/>
        <v>0</v>
      </c>
      <c r="GT127" s="1184">
        <f t="shared" si="337"/>
        <v>0</v>
      </c>
      <c r="GU127" s="1184">
        <f t="shared" si="338"/>
        <v>0</v>
      </c>
      <c r="GV127" s="1184">
        <f t="shared" si="339"/>
        <v>0</v>
      </c>
      <c r="GW127" s="1186" t="str">
        <f t="shared" si="292"/>
        <v xml:space="preserve"> </v>
      </c>
      <c r="GX127" s="1186" t="str">
        <f t="shared" si="292"/>
        <v xml:space="preserve"> </v>
      </c>
      <c r="GY127" s="1195">
        <f t="shared" si="340"/>
        <v>0</v>
      </c>
      <c r="GZ127" s="1184">
        <f t="shared" si="341"/>
        <v>0</v>
      </c>
      <c r="HA127" s="1184" t="str">
        <f t="shared" si="251"/>
        <v>a</v>
      </c>
      <c r="HB127" s="1196">
        <f t="shared" si="342"/>
        <v>0</v>
      </c>
      <c r="HC127" s="1196">
        <f t="shared" si="343"/>
        <v>0</v>
      </c>
      <c r="HD127" s="1196"/>
      <c r="HE127" s="1187">
        <f t="shared" si="344"/>
        <v>0</v>
      </c>
      <c r="HF127" s="1196">
        <f t="shared" si="345"/>
        <v>0</v>
      </c>
      <c r="HG127" s="1196">
        <f t="shared" si="346"/>
        <v>0</v>
      </c>
      <c r="HH127" s="1196">
        <f t="shared" si="347"/>
        <v>0</v>
      </c>
      <c r="HI127" s="1328" cm="1">
        <f t="array" ref="HI127">IF(AND(HG127=0,GL127=0),0,IF(HG127=0,1,IF(OR(GL127*1000/HG127/HH127&gt;INDEX(Pflanzen!$W$117:$W$154,CZ127)/INDEX(Pflanzen!$I$117:$I$154,CZ127)*$HI$1,GL127*1000/HG127/HH127&lt;INDEX(Pflanzen!$W$117:$W$154,CZ127)/INDEX(Pflanzen!$I$117:$I$154,CZ127)/$HI$1),1,0)))</f>
        <v>0</v>
      </c>
      <c r="HJ127" s="1330" cm="1">
        <f t="array" ref="HJ127">IF(AND(GM127=0,HG127=0),0,IF(HG127=0,1,IF(OR(GM127*1000/HG127/HH127&gt;INDEX(Pflanzen!$X$117:$X$154,CZ127)/INDEX(Pflanzen!$I$117:$I$154,CZ127)*$HI$2,GM127*1000/HG127/HH127&lt;INDEX(Pflanzen!$X$117:$X$154,CZ127)/INDEX(Pflanzen!$I$117:$I$154,CZ127)/$HI$2),1,0)))</f>
        <v>0</v>
      </c>
      <c r="HK127" s="1184">
        <f t="shared" si="348"/>
        <v>3</v>
      </c>
      <c r="HL127" s="1184"/>
      <c r="HN127" s="1184"/>
      <c r="HO127" s="1184"/>
      <c r="HP127" s="1184"/>
      <c r="HQ127" s="1184"/>
      <c r="HR127" s="1184"/>
      <c r="HS127" s="1184"/>
      <c r="HT127" s="1184"/>
      <c r="HU127" s="1184"/>
      <c r="HV127" s="1184"/>
      <c r="HW127" s="1184"/>
      <c r="HX127" s="1184"/>
      <c r="HY127" s="1184"/>
      <c r="HZ127" s="1184"/>
      <c r="IA127" s="1184"/>
      <c r="IB127" s="1184"/>
      <c r="IC127" s="1184"/>
      <c r="ID127" s="1184"/>
      <c r="IE127" s="1184"/>
      <c r="IF127" s="1184"/>
      <c r="IG127" s="1184"/>
      <c r="IH127" s="1184"/>
      <c r="II127" s="1184"/>
      <c r="IJ127" s="1184"/>
      <c r="IK127" s="1184"/>
      <c r="IL127" s="1184"/>
    </row>
    <row r="128" spans="25:246" ht="15.75" customHeight="1" x14ac:dyDescent="0.2">
      <c r="Y128" s="1981"/>
      <c r="Z128" s="1982"/>
      <c r="AA128" s="1982"/>
      <c r="AB128" s="1982"/>
      <c r="AC128" s="1983"/>
      <c r="AD128" s="1983"/>
      <c r="AE128" s="1983"/>
      <c r="AF128" s="1983"/>
      <c r="AG128" s="1983"/>
      <c r="AH128" s="1983"/>
      <c r="AI128" s="1983"/>
      <c r="AJ128" s="1983"/>
      <c r="AK128" s="1983"/>
      <c r="AL128" s="1984"/>
      <c r="AM128" s="1983"/>
      <c r="AN128" s="1983"/>
      <c r="AO128" s="1983"/>
      <c r="AP128" s="1983"/>
      <c r="AQ128" s="1983"/>
      <c r="AR128" s="1983"/>
      <c r="AS128" s="1983"/>
      <c r="AT128" s="1983"/>
      <c r="AU128" s="1983"/>
      <c r="AV128" s="1983"/>
      <c r="AW128" s="1985"/>
      <c r="AX128" s="1985"/>
      <c r="AY128" s="1985"/>
      <c r="AZ128" s="1985"/>
      <c r="BA128" s="1462"/>
      <c r="BB128" s="1462"/>
      <c r="BC128" s="1462"/>
      <c r="BD128" s="1461"/>
      <c r="BE128" s="1462"/>
      <c r="BF128" s="1343"/>
      <c r="BG128" s="1343"/>
      <c r="BH128" s="1343"/>
      <c r="BI128" s="1343"/>
      <c r="BJ128" s="1343"/>
      <c r="BK128" s="1343"/>
      <c r="BL128" s="1343"/>
      <c r="BM128" s="1343"/>
      <c r="BN128" s="1343"/>
      <c r="BO128" s="1343"/>
      <c r="BQ128" s="1184"/>
      <c r="BR128" s="1184"/>
      <c r="BS128" s="1184"/>
      <c r="BT128" s="1184"/>
      <c r="BU128" s="1200"/>
      <c r="BV128" s="1326"/>
      <c r="BW128" s="1326"/>
      <c r="BX128" s="1326"/>
      <c r="BY128" s="1326"/>
      <c r="BZ128" s="1326"/>
      <c r="CA128" s="1326"/>
      <c r="CB128" s="1326"/>
      <c r="CC128" s="1326"/>
      <c r="CD128" s="1326"/>
      <c r="CE128" s="1326"/>
      <c r="CF128" s="1326"/>
      <c r="CG128" s="1326"/>
      <c r="CH128" s="1326"/>
      <c r="CI128" s="1326"/>
      <c r="CJ128" s="1326"/>
      <c r="CK128" s="1326"/>
      <c r="CL128" s="1184"/>
      <c r="CM128" s="1184"/>
      <c r="CN128" s="1184"/>
      <c r="CO128" s="1184"/>
      <c r="CP128" s="1184"/>
      <c r="CQ128" s="1184"/>
      <c r="CR128" s="1184"/>
      <c r="CS128" s="1184"/>
      <c r="CT128" s="1184"/>
      <c r="CU128" s="1184"/>
      <c r="CV128" s="1184"/>
      <c r="CW128" s="1184"/>
      <c r="CX128" s="1184"/>
      <c r="CY128" s="1208" t="str">
        <f>Pflanzen!C129</f>
        <v>Leinkuchen</v>
      </c>
      <c r="CZ128" s="1184">
        <f>IFERROR(MATCH($CY128,Pflanzen!$C$117:$C$154,0),1)</f>
        <v>13</v>
      </c>
      <c r="DA128" s="1208">
        <f>Pflanzen!H129</f>
        <v>2</v>
      </c>
      <c r="DB128" s="1184">
        <f t="shared" si="349"/>
        <v>0</v>
      </c>
      <c r="DC128" s="1184">
        <f t="shared" si="349"/>
        <v>0</v>
      </c>
      <c r="DD128" s="1184">
        <f t="shared" si="349"/>
        <v>0</v>
      </c>
      <c r="DE128" s="1184">
        <f t="shared" si="349"/>
        <v>0</v>
      </c>
      <c r="DF128" s="1184">
        <f t="shared" si="349"/>
        <v>0</v>
      </c>
      <c r="DG128" s="1184">
        <f t="shared" si="349"/>
        <v>0</v>
      </c>
      <c r="DH128" s="1184">
        <f t="shared" si="349"/>
        <v>0</v>
      </c>
      <c r="DI128" s="1184">
        <f t="shared" si="349"/>
        <v>0</v>
      </c>
      <c r="DJ128" s="1184">
        <f t="shared" si="349"/>
        <v>0</v>
      </c>
      <c r="DK128" s="1184">
        <f t="shared" si="349"/>
        <v>0</v>
      </c>
      <c r="DL128" s="1184">
        <f t="shared" si="349"/>
        <v>0</v>
      </c>
      <c r="DM128" s="1184">
        <f t="shared" si="349"/>
        <v>0</v>
      </c>
      <c r="DN128" s="1184"/>
      <c r="DO128" s="1184">
        <f t="shared" si="350"/>
        <v>0</v>
      </c>
      <c r="DP128" s="1184">
        <f t="shared" si="350"/>
        <v>0</v>
      </c>
      <c r="DQ128" s="1184">
        <f t="shared" si="350"/>
        <v>0</v>
      </c>
      <c r="DR128" s="1184">
        <f t="shared" si="350"/>
        <v>0</v>
      </c>
      <c r="DS128" s="1184">
        <f t="shared" si="350"/>
        <v>0</v>
      </c>
      <c r="DT128" s="1184">
        <f t="shared" si="350"/>
        <v>0</v>
      </c>
      <c r="DU128" s="1184">
        <f t="shared" si="350"/>
        <v>0</v>
      </c>
      <c r="DV128" s="1184">
        <f t="shared" si="350"/>
        <v>0</v>
      </c>
      <c r="DW128" s="1184">
        <f t="shared" si="350"/>
        <v>0</v>
      </c>
      <c r="DX128" s="1184">
        <f t="shared" si="350"/>
        <v>0</v>
      </c>
      <c r="DY128" s="1184">
        <f t="shared" si="350"/>
        <v>0</v>
      </c>
      <c r="DZ128" s="1184">
        <f t="shared" si="350"/>
        <v>0</v>
      </c>
      <c r="EA128" s="1184"/>
      <c r="EB128" s="1184"/>
      <c r="EC128" s="1184"/>
      <c r="ED128" s="1184"/>
      <c r="EE128" s="1184"/>
      <c r="EF128" s="1184"/>
      <c r="EG128" s="1184"/>
      <c r="EH128" s="1184"/>
      <c r="EI128" s="1184"/>
      <c r="EJ128" s="1184"/>
      <c r="EK128" s="1184"/>
      <c r="EL128" s="1184"/>
      <c r="EM128" s="1184"/>
      <c r="EN128" s="1184"/>
      <c r="EO128" s="1184"/>
      <c r="EP128" s="1184"/>
      <c r="EQ128" s="1184"/>
      <c r="ER128" s="1184"/>
      <c r="ES128" s="1184"/>
      <c r="ET128" s="1184"/>
      <c r="EU128" s="1184"/>
      <c r="EV128" s="1184"/>
      <c r="EW128" s="1184"/>
      <c r="EX128" s="1184"/>
      <c r="EY128" s="1184"/>
      <c r="EZ128" s="1184"/>
      <c r="FA128" s="1184"/>
      <c r="FB128" s="1186">
        <f t="shared" si="302"/>
        <v>0</v>
      </c>
      <c r="FC128" s="1297">
        <f t="shared" si="303"/>
        <v>0</v>
      </c>
      <c r="FD128" s="1297">
        <f t="shared" si="304"/>
        <v>0</v>
      </c>
      <c r="FE128" s="1297">
        <f t="shared" si="305"/>
        <v>0</v>
      </c>
      <c r="FF128" s="1297">
        <f t="shared" si="306"/>
        <v>0</v>
      </c>
      <c r="FG128" s="1297">
        <f t="shared" si="307"/>
        <v>0</v>
      </c>
      <c r="FH128" s="1297">
        <f t="shared" si="308"/>
        <v>0</v>
      </c>
      <c r="FI128" s="1297">
        <f t="shared" si="309"/>
        <v>0</v>
      </c>
      <c r="FJ128" s="1297">
        <f t="shared" si="310"/>
        <v>0</v>
      </c>
      <c r="FK128" s="1297">
        <f t="shared" si="311"/>
        <v>0</v>
      </c>
      <c r="FL128" s="1297">
        <f t="shared" si="312"/>
        <v>0</v>
      </c>
      <c r="FM128" s="1297">
        <f t="shared" si="313"/>
        <v>0</v>
      </c>
      <c r="FN128" s="1297">
        <f t="shared" si="314"/>
        <v>0</v>
      </c>
      <c r="FO128" s="1184"/>
      <c r="FP128" s="1186">
        <f t="shared" si="315"/>
        <v>0</v>
      </c>
      <c r="FQ128" s="1297">
        <f t="shared" si="316"/>
        <v>0</v>
      </c>
      <c r="FR128" s="1297">
        <f t="shared" si="317"/>
        <v>0</v>
      </c>
      <c r="FS128" s="1297">
        <f t="shared" si="318"/>
        <v>0</v>
      </c>
      <c r="FT128" s="1297">
        <f t="shared" si="319"/>
        <v>0</v>
      </c>
      <c r="FU128" s="1297">
        <f t="shared" si="320"/>
        <v>0</v>
      </c>
      <c r="FV128" s="1297">
        <f t="shared" si="321"/>
        <v>0</v>
      </c>
      <c r="FW128" s="1297">
        <f t="shared" si="322"/>
        <v>0</v>
      </c>
      <c r="FX128" s="1297">
        <f t="shared" si="323"/>
        <v>0</v>
      </c>
      <c r="FY128" s="1297">
        <f t="shared" si="324"/>
        <v>0</v>
      </c>
      <c r="FZ128" s="1297">
        <f t="shared" si="325"/>
        <v>0</v>
      </c>
      <c r="GA128" s="1297">
        <f t="shared" si="326"/>
        <v>0</v>
      </c>
      <c r="GB128" s="1297">
        <f t="shared" si="327"/>
        <v>0</v>
      </c>
      <c r="GC128" s="1184"/>
      <c r="GD128" s="1184">
        <f t="shared" si="328"/>
        <v>0</v>
      </c>
      <c r="GE128" s="1184">
        <f t="shared" si="329"/>
        <v>0</v>
      </c>
      <c r="GF128" s="1184"/>
      <c r="GG128" s="1184"/>
      <c r="GH128" s="1184"/>
      <c r="GI128" s="1184"/>
      <c r="GJ128" s="1184">
        <f t="shared" si="330"/>
        <v>0</v>
      </c>
      <c r="GK128" s="1184">
        <f t="shared" si="331"/>
        <v>0</v>
      </c>
      <c r="GL128" s="1184">
        <f t="shared" si="332"/>
        <v>0</v>
      </c>
      <c r="GM128" s="1184">
        <f t="shared" si="333"/>
        <v>0</v>
      </c>
      <c r="GN128" s="1184">
        <f t="shared" si="334"/>
        <v>0</v>
      </c>
      <c r="GO128" s="1184" cm="1">
        <f t="array" ref="GO128">IF(GN128=0,0,(SUMPRODUCT($J$75:$J$79,$CH$75:$CH$79,($BR$75:$BR$79=CZ128)*1)+SUMPRODUCT($R$75:$R$79,$CP$75:$CP$79,($BR$75:$BR$79=CZ128)*1))/GN128)</f>
        <v>0</v>
      </c>
      <c r="GP128" s="1184">
        <f t="shared" si="335"/>
        <v>0</v>
      </c>
      <c r="GQ128" s="1184"/>
      <c r="GR128" s="1184"/>
      <c r="GS128" s="1184">
        <f t="shared" si="336"/>
        <v>0</v>
      </c>
      <c r="GT128" s="1184">
        <f t="shared" si="337"/>
        <v>0</v>
      </c>
      <c r="GU128" s="1184">
        <f t="shared" si="338"/>
        <v>0</v>
      </c>
      <c r="GV128" s="1184">
        <f t="shared" si="339"/>
        <v>0</v>
      </c>
      <c r="GW128" s="1186" t="str">
        <f t="shared" si="292"/>
        <v xml:space="preserve"> </v>
      </c>
      <c r="GX128" s="1186" t="str">
        <f t="shared" si="292"/>
        <v xml:space="preserve"> </v>
      </c>
      <c r="GY128" s="1195">
        <f t="shared" si="340"/>
        <v>0</v>
      </c>
      <c r="GZ128" s="1184">
        <f t="shared" si="341"/>
        <v>0</v>
      </c>
      <c r="HA128" s="1184" t="str">
        <f t="shared" si="251"/>
        <v>a</v>
      </c>
      <c r="HB128" s="1196">
        <f t="shared" si="342"/>
        <v>0</v>
      </c>
      <c r="HC128" s="1196">
        <f t="shared" si="343"/>
        <v>0</v>
      </c>
      <c r="HD128" s="1196"/>
      <c r="HE128" s="1187">
        <f t="shared" si="344"/>
        <v>0</v>
      </c>
      <c r="HF128" s="1196">
        <f t="shared" si="345"/>
        <v>0</v>
      </c>
      <c r="HG128" s="1196">
        <f t="shared" si="346"/>
        <v>0</v>
      </c>
      <c r="HH128" s="1196">
        <f t="shared" si="347"/>
        <v>0</v>
      </c>
      <c r="HI128" s="1328" cm="1">
        <f t="array" ref="HI128">IF(AND(HG128=0,GL128=0),0,IF(HG128=0,1,IF(OR(GL128*1000/HG128/HH128&gt;INDEX(Pflanzen!$W$117:$W$154,CZ128)/INDEX(Pflanzen!$I$117:$I$154,CZ128)*$HI$1,GL128*1000/HG128/HH128&lt;INDEX(Pflanzen!$W$117:$W$154,CZ128)/INDEX(Pflanzen!$I$117:$I$154,CZ128)/$HI$1),1,0)))</f>
        <v>0</v>
      </c>
      <c r="HJ128" s="1330" cm="1">
        <f t="array" ref="HJ128">IF(AND(GM128=0,HG128=0),0,IF(HG128=0,1,IF(OR(GM128*1000/HG128/HH128&gt;INDEX(Pflanzen!$X$117:$X$154,CZ128)/INDEX(Pflanzen!$I$117:$I$154,CZ128)*$HI$2,GM128*1000/HG128/HH128&lt;INDEX(Pflanzen!$X$117:$X$154,CZ128)/INDEX(Pflanzen!$I$117:$I$154,CZ128)/$HI$2),1,0)))</f>
        <v>0</v>
      </c>
      <c r="HK128" s="1184">
        <f t="shared" si="348"/>
        <v>3</v>
      </c>
      <c r="HL128" s="1184"/>
      <c r="HN128" s="1184"/>
      <c r="HO128" s="1184"/>
      <c r="HP128" s="1184"/>
      <c r="HQ128" s="1184"/>
      <c r="HR128" s="1184"/>
      <c r="HS128" s="1184"/>
      <c r="HT128" s="1184"/>
      <c r="HU128" s="1184"/>
      <c r="HV128" s="1184"/>
      <c r="HW128" s="1184"/>
      <c r="HX128" s="1184"/>
      <c r="HY128" s="1184"/>
      <c r="HZ128" s="1184"/>
      <c r="IA128" s="1184"/>
      <c r="IB128" s="1184"/>
      <c r="IC128" s="1184"/>
      <c r="ID128" s="1184"/>
      <c r="IE128" s="1184"/>
      <c r="IF128" s="1184"/>
      <c r="IG128" s="1184"/>
      <c r="IH128" s="1184"/>
      <c r="II128" s="1184"/>
      <c r="IJ128" s="1184"/>
      <c r="IK128" s="1184"/>
      <c r="IL128" s="1184"/>
    </row>
    <row r="129" spans="25:246" ht="15.75" customHeight="1" x14ac:dyDescent="0.2">
      <c r="Y129" s="1981"/>
      <c r="Z129" s="1982"/>
      <c r="AA129" s="1982"/>
      <c r="AB129" s="1982"/>
      <c r="AC129" s="1983"/>
      <c r="AD129" s="1983"/>
      <c r="AE129" s="1983"/>
      <c r="AF129" s="1983"/>
      <c r="AG129" s="1983"/>
      <c r="AH129" s="1983"/>
      <c r="AI129" s="1983"/>
      <c r="AJ129" s="1983"/>
      <c r="AK129" s="1983"/>
      <c r="AL129" s="1984"/>
      <c r="AM129" s="1983"/>
      <c r="AN129" s="1983"/>
      <c r="AO129" s="1983"/>
      <c r="AP129" s="1983"/>
      <c r="AQ129" s="1983"/>
      <c r="AR129" s="1983"/>
      <c r="AS129" s="1983"/>
      <c r="AT129" s="1983"/>
      <c r="AU129" s="1983"/>
      <c r="AV129" s="1983"/>
      <c r="AW129" s="1985"/>
      <c r="AX129" s="1985"/>
      <c r="AY129" s="1985"/>
      <c r="AZ129" s="1985"/>
      <c r="BA129" s="1462"/>
      <c r="BB129" s="1462"/>
      <c r="BC129" s="1462"/>
      <c r="BD129" s="1461"/>
      <c r="BE129" s="1462"/>
      <c r="BF129" s="1343"/>
      <c r="BG129" s="1343"/>
      <c r="BH129" s="1343"/>
      <c r="BI129" s="1343"/>
      <c r="BJ129" s="1343"/>
      <c r="BK129" s="1343"/>
      <c r="BL129" s="1343"/>
      <c r="BM129" s="1343"/>
      <c r="BN129" s="1343"/>
      <c r="BO129" s="1343"/>
      <c r="BQ129" s="1184"/>
      <c r="BR129" s="1184"/>
      <c r="BS129" s="1184"/>
      <c r="BT129" s="1184"/>
      <c r="BU129" s="1200"/>
      <c r="BV129" s="1326"/>
      <c r="BW129" s="1326"/>
      <c r="BX129" s="1326"/>
      <c r="BY129" s="1326"/>
      <c r="BZ129" s="1326"/>
      <c r="CA129" s="1326"/>
      <c r="CB129" s="1326"/>
      <c r="CC129" s="1326"/>
      <c r="CD129" s="1326"/>
      <c r="CE129" s="1326"/>
      <c r="CF129" s="1326"/>
      <c r="CG129" s="1326"/>
      <c r="CH129" s="1326"/>
      <c r="CI129" s="1326"/>
      <c r="CJ129" s="1326"/>
      <c r="CK129" s="1326"/>
      <c r="CL129" s="1184"/>
      <c r="CM129" s="1200"/>
      <c r="CN129" s="1200"/>
      <c r="CO129" s="1200"/>
      <c r="CP129" s="1209"/>
      <c r="CQ129" s="1209"/>
      <c r="CR129" s="1209"/>
      <c r="CS129" s="1209"/>
      <c r="CT129" s="1209"/>
      <c r="CU129" s="1209"/>
      <c r="CV129" s="1209"/>
      <c r="CW129" s="1209"/>
      <c r="CX129" s="1184"/>
      <c r="CY129" s="1208" t="str">
        <f>Pflanzen!C130</f>
        <v>Luzernegrünmehl</v>
      </c>
      <c r="CZ129" s="1184">
        <f>IFERROR(MATCH($CY129,Pflanzen!$C$117:$C$154,0),1)</f>
        <v>14</v>
      </c>
      <c r="DA129" s="1208">
        <f>Pflanzen!H130</f>
        <v>2</v>
      </c>
      <c r="DB129" s="1184">
        <f t="shared" si="349"/>
        <v>0</v>
      </c>
      <c r="DC129" s="1184">
        <f t="shared" si="349"/>
        <v>0</v>
      </c>
      <c r="DD129" s="1184">
        <f t="shared" si="349"/>
        <v>0</v>
      </c>
      <c r="DE129" s="1184">
        <f t="shared" si="349"/>
        <v>0</v>
      </c>
      <c r="DF129" s="1184">
        <f t="shared" si="349"/>
        <v>0</v>
      </c>
      <c r="DG129" s="1184">
        <f t="shared" si="349"/>
        <v>0</v>
      </c>
      <c r="DH129" s="1184">
        <f t="shared" si="349"/>
        <v>0</v>
      </c>
      <c r="DI129" s="1184">
        <f t="shared" si="349"/>
        <v>0</v>
      </c>
      <c r="DJ129" s="1184">
        <f t="shared" si="349"/>
        <v>0</v>
      </c>
      <c r="DK129" s="1184">
        <f t="shared" si="349"/>
        <v>0</v>
      </c>
      <c r="DL129" s="1184">
        <f t="shared" si="349"/>
        <v>0</v>
      </c>
      <c r="DM129" s="1184">
        <f t="shared" si="349"/>
        <v>0</v>
      </c>
      <c r="DN129" s="1184"/>
      <c r="DO129" s="1184">
        <f t="shared" si="350"/>
        <v>0</v>
      </c>
      <c r="DP129" s="1184">
        <f t="shared" si="350"/>
        <v>0</v>
      </c>
      <c r="DQ129" s="1184">
        <f t="shared" si="350"/>
        <v>0</v>
      </c>
      <c r="DR129" s="1184">
        <f t="shared" si="350"/>
        <v>0</v>
      </c>
      <c r="DS129" s="1184">
        <f t="shared" si="350"/>
        <v>0</v>
      </c>
      <c r="DT129" s="1184">
        <f t="shared" si="350"/>
        <v>0</v>
      </c>
      <c r="DU129" s="1184">
        <f t="shared" si="350"/>
        <v>0</v>
      </c>
      <c r="DV129" s="1184">
        <f t="shared" si="350"/>
        <v>0</v>
      </c>
      <c r="DW129" s="1184">
        <f t="shared" si="350"/>
        <v>0</v>
      </c>
      <c r="DX129" s="1184">
        <f t="shared" si="350"/>
        <v>0</v>
      </c>
      <c r="DY129" s="1184">
        <f t="shared" si="350"/>
        <v>0</v>
      </c>
      <c r="DZ129" s="1184">
        <f t="shared" si="350"/>
        <v>0</v>
      </c>
      <c r="EA129" s="1184"/>
      <c r="EB129" s="1184"/>
      <c r="EC129" s="1184"/>
      <c r="ED129" s="1184"/>
      <c r="EE129" s="1184"/>
      <c r="EF129" s="1184"/>
      <c r="EG129" s="1184"/>
      <c r="EH129" s="1184"/>
      <c r="EI129" s="1184"/>
      <c r="EJ129" s="1184"/>
      <c r="EK129" s="1184"/>
      <c r="EL129" s="1184"/>
      <c r="EM129" s="1184"/>
      <c r="EN129" s="1184"/>
      <c r="EO129" s="1184"/>
      <c r="EP129" s="1184"/>
      <c r="EQ129" s="1184"/>
      <c r="ER129" s="1184"/>
      <c r="ES129" s="1184"/>
      <c r="ET129" s="1184"/>
      <c r="EU129" s="1184"/>
      <c r="EV129" s="1184"/>
      <c r="EW129" s="1184"/>
      <c r="EX129" s="1184"/>
      <c r="EY129" s="1184"/>
      <c r="EZ129" s="1184"/>
      <c r="FA129" s="1184"/>
      <c r="FB129" s="1186">
        <f t="shared" si="302"/>
        <v>0</v>
      </c>
      <c r="FC129" s="1297">
        <f t="shared" si="303"/>
        <v>0</v>
      </c>
      <c r="FD129" s="1297">
        <f t="shared" si="304"/>
        <v>0</v>
      </c>
      <c r="FE129" s="1297">
        <f t="shared" si="305"/>
        <v>0</v>
      </c>
      <c r="FF129" s="1297">
        <f t="shared" si="306"/>
        <v>0</v>
      </c>
      <c r="FG129" s="1297">
        <f t="shared" si="307"/>
        <v>0</v>
      </c>
      <c r="FH129" s="1297">
        <f t="shared" si="308"/>
        <v>0</v>
      </c>
      <c r="FI129" s="1297">
        <f t="shared" si="309"/>
        <v>0</v>
      </c>
      <c r="FJ129" s="1297">
        <f t="shared" si="310"/>
        <v>0</v>
      </c>
      <c r="FK129" s="1297">
        <f t="shared" si="311"/>
        <v>0</v>
      </c>
      <c r="FL129" s="1297">
        <f t="shared" si="312"/>
        <v>0</v>
      </c>
      <c r="FM129" s="1297">
        <f t="shared" si="313"/>
        <v>0</v>
      </c>
      <c r="FN129" s="1297">
        <f t="shared" si="314"/>
        <v>0</v>
      </c>
      <c r="FO129" s="1184"/>
      <c r="FP129" s="1186">
        <f t="shared" si="315"/>
        <v>0</v>
      </c>
      <c r="FQ129" s="1297">
        <f t="shared" si="316"/>
        <v>0</v>
      </c>
      <c r="FR129" s="1297">
        <f t="shared" si="317"/>
        <v>0</v>
      </c>
      <c r="FS129" s="1297">
        <f t="shared" si="318"/>
        <v>0</v>
      </c>
      <c r="FT129" s="1297">
        <f t="shared" si="319"/>
        <v>0</v>
      </c>
      <c r="FU129" s="1297">
        <f t="shared" si="320"/>
        <v>0</v>
      </c>
      <c r="FV129" s="1297">
        <f t="shared" si="321"/>
        <v>0</v>
      </c>
      <c r="FW129" s="1297">
        <f t="shared" si="322"/>
        <v>0</v>
      </c>
      <c r="FX129" s="1297">
        <f t="shared" si="323"/>
        <v>0</v>
      </c>
      <c r="FY129" s="1297">
        <f t="shared" si="324"/>
        <v>0</v>
      </c>
      <c r="FZ129" s="1297">
        <f t="shared" si="325"/>
        <v>0</v>
      </c>
      <c r="GA129" s="1297">
        <f t="shared" si="326"/>
        <v>0</v>
      </c>
      <c r="GB129" s="1297">
        <f t="shared" si="327"/>
        <v>0</v>
      </c>
      <c r="GC129" s="1184"/>
      <c r="GD129" s="1184">
        <f t="shared" si="328"/>
        <v>0</v>
      </c>
      <c r="GE129" s="1184">
        <f t="shared" si="329"/>
        <v>0</v>
      </c>
      <c r="GF129" s="1184"/>
      <c r="GG129" s="1184"/>
      <c r="GH129" s="1184"/>
      <c r="GI129" s="1184"/>
      <c r="GJ129" s="1184">
        <f t="shared" si="330"/>
        <v>0</v>
      </c>
      <c r="GK129" s="1184">
        <f t="shared" si="331"/>
        <v>0</v>
      </c>
      <c r="GL129" s="1184">
        <f t="shared" si="332"/>
        <v>0</v>
      </c>
      <c r="GM129" s="1184">
        <f t="shared" si="333"/>
        <v>0</v>
      </c>
      <c r="GN129" s="1184">
        <f t="shared" si="334"/>
        <v>0</v>
      </c>
      <c r="GO129" s="1184" cm="1">
        <f t="array" ref="GO129">IF(GN129=0,0,(SUMPRODUCT($J$75:$J$79,$CH$75:$CH$79,($BR$75:$BR$79=CZ129)*1)+SUMPRODUCT($R$75:$R$79,$CP$75:$CP$79,($BR$75:$BR$79=CZ129)*1))/GN129)</f>
        <v>0</v>
      </c>
      <c r="GP129" s="1184">
        <f t="shared" si="335"/>
        <v>0</v>
      </c>
      <c r="GQ129" s="1184"/>
      <c r="GR129" s="1184"/>
      <c r="GS129" s="1184">
        <f t="shared" si="336"/>
        <v>0</v>
      </c>
      <c r="GT129" s="1184">
        <f t="shared" si="337"/>
        <v>0</v>
      </c>
      <c r="GU129" s="1184">
        <f t="shared" si="338"/>
        <v>0</v>
      </c>
      <c r="GV129" s="1184">
        <f t="shared" si="339"/>
        <v>0</v>
      </c>
      <c r="GW129" s="1186" t="str">
        <f t="shared" si="292"/>
        <v xml:space="preserve"> </v>
      </c>
      <c r="GX129" s="1186" t="str">
        <f t="shared" si="292"/>
        <v xml:space="preserve"> </v>
      </c>
      <c r="GY129" s="1195">
        <f t="shared" si="340"/>
        <v>0</v>
      </c>
      <c r="GZ129" s="1184">
        <f t="shared" si="341"/>
        <v>0</v>
      </c>
      <c r="HA129" s="1184" t="str">
        <f t="shared" si="251"/>
        <v>a</v>
      </c>
      <c r="HB129" s="1196">
        <f t="shared" si="342"/>
        <v>0</v>
      </c>
      <c r="HC129" s="1196">
        <f t="shared" si="343"/>
        <v>0</v>
      </c>
      <c r="HD129" s="1196"/>
      <c r="HE129" s="1187">
        <f t="shared" si="344"/>
        <v>0</v>
      </c>
      <c r="HF129" s="1196">
        <f t="shared" si="345"/>
        <v>0</v>
      </c>
      <c r="HG129" s="1196">
        <f t="shared" si="346"/>
        <v>0</v>
      </c>
      <c r="HH129" s="1196">
        <f t="shared" si="347"/>
        <v>0</v>
      </c>
      <c r="HI129" s="1328" cm="1">
        <f t="array" ref="HI129">IF(AND(HG129=0,GL129=0),0,IF(HG129=0,1,IF(OR(GL129*1000/HG129/HH129&gt;INDEX(Pflanzen!$W$117:$W$154,CZ129)/INDEX(Pflanzen!$I$117:$I$154,CZ129)*$HI$1,GL129*1000/HG129/HH129&lt;INDEX(Pflanzen!$W$117:$W$154,CZ129)/INDEX(Pflanzen!$I$117:$I$154,CZ129)/$HI$1),1,0)))</f>
        <v>0</v>
      </c>
      <c r="HJ129" s="1330" cm="1">
        <f t="array" ref="HJ129">IF(AND(GM129=0,HG129=0),0,IF(HG129=0,1,IF(OR(GM129*1000/HG129/HH129&gt;INDEX(Pflanzen!$X$117:$X$154,CZ129)/INDEX(Pflanzen!$I$117:$I$154,CZ129)*$HI$2,GM129*1000/HG129/HH129&lt;INDEX(Pflanzen!$X$117:$X$154,CZ129)/INDEX(Pflanzen!$I$117:$I$154,CZ129)/$HI$2),1,0)))</f>
        <v>0</v>
      </c>
      <c r="HK129" s="1184">
        <f t="shared" si="348"/>
        <v>3</v>
      </c>
      <c r="HL129" s="1184"/>
      <c r="HN129" s="1184"/>
      <c r="HO129" s="1184"/>
      <c r="HP129" s="1184"/>
      <c r="HQ129" s="1184"/>
      <c r="HR129" s="1184"/>
      <c r="HS129" s="1184"/>
      <c r="HT129" s="1184"/>
      <c r="HU129" s="1184"/>
      <c r="HV129" s="1184"/>
      <c r="HW129" s="1184"/>
      <c r="HX129" s="1184"/>
      <c r="HY129" s="1184"/>
      <c r="HZ129" s="1184"/>
      <c r="IA129" s="1184"/>
      <c r="IB129" s="1184"/>
      <c r="IC129" s="1184"/>
      <c r="ID129" s="1184"/>
      <c r="IE129" s="1184"/>
      <c r="IF129" s="1184"/>
      <c r="IG129" s="1184"/>
      <c r="IH129" s="1184"/>
      <c r="II129" s="1184"/>
      <c r="IJ129" s="1184"/>
      <c r="IK129" s="1184"/>
      <c r="IL129" s="1184"/>
    </row>
    <row r="130" spans="25:246" ht="15.75" customHeight="1" x14ac:dyDescent="0.2">
      <c r="Y130" s="1981"/>
      <c r="Z130" s="1982"/>
      <c r="AA130" s="1982"/>
      <c r="AB130" s="1982"/>
      <c r="AC130" s="1983"/>
      <c r="AD130" s="1983"/>
      <c r="AE130" s="1983"/>
      <c r="AF130" s="1983"/>
      <c r="AG130" s="1983"/>
      <c r="AH130" s="1983"/>
      <c r="AI130" s="1983"/>
      <c r="AJ130" s="1983"/>
      <c r="AK130" s="1983"/>
      <c r="AL130" s="1984"/>
      <c r="AM130" s="1983"/>
      <c r="AN130" s="1983"/>
      <c r="AO130" s="1983"/>
      <c r="AP130" s="1983"/>
      <c r="AQ130" s="1983"/>
      <c r="AR130" s="1983"/>
      <c r="AS130" s="1983"/>
      <c r="AT130" s="1983"/>
      <c r="AU130" s="1983"/>
      <c r="AV130" s="1983"/>
      <c r="AW130" s="1985"/>
      <c r="AX130" s="1985"/>
      <c r="AY130" s="1985"/>
      <c r="AZ130" s="1985"/>
      <c r="BA130" s="1462"/>
      <c r="BB130" s="1462"/>
      <c r="BC130" s="1462"/>
      <c r="BD130" s="1461"/>
      <c r="BE130" s="1462"/>
      <c r="BF130" s="1343"/>
      <c r="BG130" s="1343"/>
      <c r="BH130" s="1343"/>
      <c r="BI130" s="1343"/>
      <c r="BJ130" s="1343"/>
      <c r="BK130" s="1343"/>
      <c r="BL130" s="1343"/>
      <c r="BM130" s="1343"/>
      <c r="BN130" s="1343"/>
      <c r="BO130" s="1343"/>
      <c r="BQ130" s="1184"/>
      <c r="BR130" s="1184"/>
      <c r="BS130" s="1184"/>
      <c r="BT130" s="1184"/>
      <c r="BU130" s="1200"/>
      <c r="BV130" s="1326"/>
      <c r="BW130" s="1326"/>
      <c r="BX130" s="1326"/>
      <c r="BY130" s="1326"/>
      <c r="BZ130" s="1326"/>
      <c r="CA130" s="1326"/>
      <c r="CB130" s="1326"/>
      <c r="CC130" s="1326"/>
      <c r="CD130" s="1326"/>
      <c r="CE130" s="1326"/>
      <c r="CF130" s="1326"/>
      <c r="CG130" s="1326"/>
      <c r="CH130" s="1326"/>
      <c r="CI130" s="1326"/>
      <c r="CJ130" s="1326"/>
      <c r="CK130" s="1326"/>
      <c r="CL130" s="1184"/>
      <c r="CM130" s="1184"/>
      <c r="CN130" s="1184"/>
      <c r="CO130" s="1184"/>
      <c r="CP130" s="1184"/>
      <c r="CQ130" s="1184"/>
      <c r="CR130" s="1184"/>
      <c r="CS130" s="1184"/>
      <c r="CT130" s="1184"/>
      <c r="CU130" s="1184"/>
      <c r="CV130" s="1184"/>
      <c r="CW130" s="1184"/>
      <c r="CX130" s="1184"/>
      <c r="CY130" s="1208" t="str">
        <f>Pflanzen!C131</f>
        <v>Magermilch, frisch</v>
      </c>
      <c r="CZ130" s="1184">
        <f>IFERROR(MATCH($CY130,Pflanzen!$C$117:$C$154,0),1)</f>
        <v>15</v>
      </c>
      <c r="DA130" s="1208">
        <f>Pflanzen!H131</f>
        <v>2</v>
      </c>
      <c r="DB130" s="1184">
        <f t="shared" si="349"/>
        <v>0</v>
      </c>
      <c r="DC130" s="1184">
        <f t="shared" si="349"/>
        <v>0</v>
      </c>
      <c r="DD130" s="1184">
        <f t="shared" si="349"/>
        <v>0</v>
      </c>
      <c r="DE130" s="1184">
        <f t="shared" si="349"/>
        <v>0</v>
      </c>
      <c r="DF130" s="1184">
        <f t="shared" si="349"/>
        <v>0</v>
      </c>
      <c r="DG130" s="1184">
        <f t="shared" si="349"/>
        <v>0</v>
      </c>
      <c r="DH130" s="1184">
        <f t="shared" si="349"/>
        <v>0</v>
      </c>
      <c r="DI130" s="1184">
        <f t="shared" si="349"/>
        <v>0</v>
      </c>
      <c r="DJ130" s="1184">
        <f t="shared" si="349"/>
        <v>0</v>
      </c>
      <c r="DK130" s="1184">
        <f t="shared" si="349"/>
        <v>0</v>
      </c>
      <c r="DL130" s="1184">
        <f t="shared" si="349"/>
        <v>0</v>
      </c>
      <c r="DM130" s="1184">
        <f t="shared" si="349"/>
        <v>0</v>
      </c>
      <c r="DN130" s="1184"/>
      <c r="DO130" s="1184">
        <f t="shared" si="350"/>
        <v>0</v>
      </c>
      <c r="DP130" s="1184">
        <f t="shared" si="350"/>
        <v>0</v>
      </c>
      <c r="DQ130" s="1184">
        <f t="shared" si="350"/>
        <v>0</v>
      </c>
      <c r="DR130" s="1184">
        <f t="shared" si="350"/>
        <v>0</v>
      </c>
      <c r="DS130" s="1184">
        <f t="shared" si="350"/>
        <v>0</v>
      </c>
      <c r="DT130" s="1184">
        <f t="shared" si="350"/>
        <v>0</v>
      </c>
      <c r="DU130" s="1184">
        <f t="shared" si="350"/>
        <v>0</v>
      </c>
      <c r="DV130" s="1184">
        <f t="shared" si="350"/>
        <v>0</v>
      </c>
      <c r="DW130" s="1184">
        <f t="shared" si="350"/>
        <v>0</v>
      </c>
      <c r="DX130" s="1184">
        <f t="shared" si="350"/>
        <v>0</v>
      </c>
      <c r="DY130" s="1184">
        <f t="shared" si="350"/>
        <v>0</v>
      </c>
      <c r="DZ130" s="1184">
        <f t="shared" si="350"/>
        <v>0</v>
      </c>
      <c r="EA130" s="1184"/>
      <c r="EB130" s="1184"/>
      <c r="EC130" s="1184"/>
      <c r="ED130" s="1184"/>
      <c r="EE130" s="1184"/>
      <c r="EF130" s="1184"/>
      <c r="EG130" s="1184"/>
      <c r="EH130" s="1184"/>
      <c r="EI130" s="1184"/>
      <c r="EJ130" s="1184"/>
      <c r="EK130" s="1184"/>
      <c r="EL130" s="1184"/>
      <c r="EM130" s="1184"/>
      <c r="EN130" s="1184"/>
      <c r="EO130" s="1184"/>
      <c r="EP130" s="1184"/>
      <c r="EQ130" s="1184"/>
      <c r="ER130" s="1184"/>
      <c r="ES130" s="1184"/>
      <c r="ET130" s="1184"/>
      <c r="EU130" s="1184"/>
      <c r="EV130" s="1184"/>
      <c r="EW130" s="1184"/>
      <c r="EX130" s="1184"/>
      <c r="EY130" s="1184"/>
      <c r="EZ130" s="1184"/>
      <c r="FA130" s="1184"/>
      <c r="FB130" s="1186">
        <f t="shared" si="302"/>
        <v>0</v>
      </c>
      <c r="FC130" s="1297">
        <f t="shared" si="303"/>
        <v>0</v>
      </c>
      <c r="FD130" s="1297">
        <f t="shared" si="304"/>
        <v>0</v>
      </c>
      <c r="FE130" s="1297">
        <f t="shared" si="305"/>
        <v>0</v>
      </c>
      <c r="FF130" s="1297">
        <f t="shared" si="306"/>
        <v>0</v>
      </c>
      <c r="FG130" s="1297">
        <f t="shared" si="307"/>
        <v>0</v>
      </c>
      <c r="FH130" s="1297">
        <f t="shared" si="308"/>
        <v>0</v>
      </c>
      <c r="FI130" s="1297">
        <f t="shared" si="309"/>
        <v>0</v>
      </c>
      <c r="FJ130" s="1297">
        <f t="shared" si="310"/>
        <v>0</v>
      </c>
      <c r="FK130" s="1297">
        <f t="shared" si="311"/>
        <v>0</v>
      </c>
      <c r="FL130" s="1297">
        <f t="shared" si="312"/>
        <v>0</v>
      </c>
      <c r="FM130" s="1297">
        <f t="shared" si="313"/>
        <v>0</v>
      </c>
      <c r="FN130" s="1297">
        <f t="shared" si="314"/>
        <v>0</v>
      </c>
      <c r="FO130" s="1184"/>
      <c r="FP130" s="1186">
        <f t="shared" si="315"/>
        <v>0</v>
      </c>
      <c r="FQ130" s="1297">
        <f t="shared" si="316"/>
        <v>0</v>
      </c>
      <c r="FR130" s="1297">
        <f t="shared" si="317"/>
        <v>0</v>
      </c>
      <c r="FS130" s="1297">
        <f t="shared" si="318"/>
        <v>0</v>
      </c>
      <c r="FT130" s="1297">
        <f t="shared" si="319"/>
        <v>0</v>
      </c>
      <c r="FU130" s="1297">
        <f t="shared" si="320"/>
        <v>0</v>
      </c>
      <c r="FV130" s="1297">
        <f t="shared" si="321"/>
        <v>0</v>
      </c>
      <c r="FW130" s="1297">
        <f t="shared" si="322"/>
        <v>0</v>
      </c>
      <c r="FX130" s="1297">
        <f t="shared" si="323"/>
        <v>0</v>
      </c>
      <c r="FY130" s="1297">
        <f t="shared" si="324"/>
        <v>0</v>
      </c>
      <c r="FZ130" s="1297">
        <f t="shared" si="325"/>
        <v>0</v>
      </c>
      <c r="GA130" s="1297">
        <f t="shared" si="326"/>
        <v>0</v>
      </c>
      <c r="GB130" s="1297">
        <f t="shared" si="327"/>
        <v>0</v>
      </c>
      <c r="GC130" s="1184"/>
      <c r="GD130" s="1184">
        <f t="shared" si="328"/>
        <v>0</v>
      </c>
      <c r="GE130" s="1184">
        <f t="shared" si="329"/>
        <v>0</v>
      </c>
      <c r="GF130" s="1184"/>
      <c r="GG130" s="1184"/>
      <c r="GH130" s="1184"/>
      <c r="GI130" s="1184"/>
      <c r="GJ130" s="1184">
        <f t="shared" si="330"/>
        <v>0</v>
      </c>
      <c r="GK130" s="1184">
        <f t="shared" si="331"/>
        <v>0</v>
      </c>
      <c r="GL130" s="1184">
        <f t="shared" si="332"/>
        <v>0</v>
      </c>
      <c r="GM130" s="1184">
        <f t="shared" si="333"/>
        <v>0</v>
      </c>
      <c r="GN130" s="1184">
        <f t="shared" si="334"/>
        <v>0</v>
      </c>
      <c r="GO130" s="1184" cm="1">
        <f t="array" ref="GO130">IF(GN130=0,0,(SUMPRODUCT($J$75:$J$79,$CH$75:$CH$79,($BR$75:$BR$79=CZ130)*1)+SUMPRODUCT($R$75:$R$79,$CP$75:$CP$79,($BR$75:$BR$79=CZ130)*1))/GN130)</f>
        <v>0</v>
      </c>
      <c r="GP130" s="1184">
        <f t="shared" si="335"/>
        <v>0</v>
      </c>
      <c r="GQ130" s="1184"/>
      <c r="GR130" s="1184"/>
      <c r="GS130" s="1184">
        <f t="shared" si="336"/>
        <v>0</v>
      </c>
      <c r="GT130" s="1184">
        <f t="shared" si="337"/>
        <v>0</v>
      </c>
      <c r="GU130" s="1184">
        <f t="shared" si="338"/>
        <v>0</v>
      </c>
      <c r="GV130" s="1184">
        <f t="shared" si="339"/>
        <v>0</v>
      </c>
      <c r="GW130" s="1186" t="str">
        <f t="shared" si="292"/>
        <v xml:space="preserve"> </v>
      </c>
      <c r="GX130" s="1186" t="str">
        <f t="shared" si="292"/>
        <v xml:space="preserve"> </v>
      </c>
      <c r="GY130" s="1195">
        <f t="shared" si="340"/>
        <v>0</v>
      </c>
      <c r="GZ130" s="1184">
        <f t="shared" si="341"/>
        <v>0</v>
      </c>
      <c r="HA130" s="1184" t="str">
        <f t="shared" si="251"/>
        <v>a</v>
      </c>
      <c r="HB130" s="1196">
        <f t="shared" si="342"/>
        <v>0</v>
      </c>
      <c r="HC130" s="1196">
        <f t="shared" si="343"/>
        <v>0</v>
      </c>
      <c r="HD130" s="1196"/>
      <c r="HE130" s="1187">
        <f t="shared" si="344"/>
        <v>0</v>
      </c>
      <c r="HF130" s="1196">
        <f t="shared" si="345"/>
        <v>0</v>
      </c>
      <c r="HG130" s="1196">
        <f t="shared" si="346"/>
        <v>0</v>
      </c>
      <c r="HH130" s="1196">
        <f t="shared" si="347"/>
        <v>0</v>
      </c>
      <c r="HI130" s="1328" cm="1">
        <f t="array" ref="HI130">IF(AND(HG130=0,GL130=0),0,IF(HG130=0,1,IF(OR(GL130*1000/HG130/HH130&gt;INDEX(Pflanzen!$W$117:$W$154,CZ130)/INDEX(Pflanzen!$I$117:$I$154,CZ130)*$HI$1,GL130*1000/HG130/HH130&lt;INDEX(Pflanzen!$W$117:$W$154,CZ130)/INDEX(Pflanzen!$I$117:$I$154,CZ130)/$HI$1),1,0)))</f>
        <v>0</v>
      </c>
      <c r="HJ130" s="1330" cm="1">
        <f t="array" ref="HJ130">IF(AND(GM130=0,HG130=0),0,IF(HG130=0,1,IF(OR(GM130*1000/HG130/HH130&gt;INDEX(Pflanzen!$X$117:$X$154,CZ130)/INDEX(Pflanzen!$I$117:$I$154,CZ130)*$HI$2,GM130*1000/HG130/HH130&lt;INDEX(Pflanzen!$X$117:$X$154,CZ130)/INDEX(Pflanzen!$I$117:$I$154,CZ130)/$HI$2),1,0)))</f>
        <v>0</v>
      </c>
      <c r="HK130" s="1184">
        <f t="shared" si="348"/>
        <v>3</v>
      </c>
      <c r="HL130" s="1184"/>
      <c r="HN130" s="1184"/>
      <c r="HO130" s="1184"/>
      <c r="HP130" s="1184"/>
      <c r="HQ130" s="1184"/>
      <c r="HR130" s="1184"/>
      <c r="HS130" s="1184"/>
      <c r="HT130" s="1184"/>
      <c r="HU130" s="1184"/>
      <c r="HV130" s="1184"/>
      <c r="HW130" s="1184"/>
      <c r="HX130" s="1184"/>
      <c r="HY130" s="1184"/>
      <c r="HZ130" s="1184"/>
      <c r="IA130" s="1184"/>
      <c r="IB130" s="1184"/>
      <c r="IC130" s="1184"/>
      <c r="ID130" s="1184"/>
      <c r="IE130" s="1184"/>
      <c r="IF130" s="1184"/>
      <c r="IG130" s="1184"/>
      <c r="IH130" s="1184"/>
      <c r="II130" s="1184"/>
      <c r="IJ130" s="1184"/>
      <c r="IK130" s="1184"/>
      <c r="IL130" s="1184"/>
    </row>
    <row r="131" spans="25:246" ht="15.75" customHeight="1" x14ac:dyDescent="0.2">
      <c r="Y131" s="1981"/>
      <c r="Z131" s="1982"/>
      <c r="AA131" s="1982"/>
      <c r="AB131" s="1982"/>
      <c r="AC131" s="1986"/>
      <c r="AD131" s="1986"/>
      <c r="AE131" s="1986"/>
      <c r="AF131" s="1986"/>
      <c r="AG131" s="1986"/>
      <c r="AH131" s="1986"/>
      <c r="AI131" s="1986"/>
      <c r="AJ131" s="1986"/>
      <c r="AK131" s="1986"/>
      <c r="AL131" s="1987"/>
      <c r="AM131" s="1986"/>
      <c r="AN131" s="1986"/>
      <c r="AO131" s="1986"/>
      <c r="AP131" s="1986"/>
      <c r="AQ131" s="1986"/>
      <c r="AR131" s="1986"/>
      <c r="AS131" s="1986"/>
      <c r="AT131" s="1986"/>
      <c r="AU131" s="1986"/>
      <c r="AV131" s="1986"/>
      <c r="AW131" s="120"/>
      <c r="AX131" s="120"/>
      <c r="AY131" s="120"/>
      <c r="AZ131" s="120"/>
      <c r="BA131" s="1343"/>
      <c r="BB131" s="1343"/>
      <c r="BC131" s="1343"/>
      <c r="BD131" s="1194"/>
      <c r="BE131" s="1343"/>
      <c r="BF131" s="1343"/>
      <c r="BG131" s="1343"/>
      <c r="BH131" s="1343"/>
      <c r="BI131" s="1343"/>
      <c r="BJ131" s="1343"/>
      <c r="BK131" s="1343"/>
      <c r="BL131" s="1343"/>
      <c r="BM131" s="1343"/>
      <c r="BN131" s="1343"/>
      <c r="BO131" s="1343"/>
      <c r="BQ131" s="1184"/>
      <c r="BR131" s="1184"/>
      <c r="BS131" s="1184"/>
      <c r="BT131" s="1184"/>
      <c r="BU131" s="1200"/>
      <c r="BV131" s="1326"/>
      <c r="BW131" s="1326"/>
      <c r="BX131" s="1326"/>
      <c r="BY131" s="1326"/>
      <c r="BZ131" s="1326"/>
      <c r="CA131" s="1326"/>
      <c r="CB131" s="1326"/>
      <c r="CC131" s="1326"/>
      <c r="CD131" s="1326"/>
      <c r="CE131" s="1326"/>
      <c r="CF131" s="1326"/>
      <c r="CG131" s="1326"/>
      <c r="CH131" s="1326"/>
      <c r="CI131" s="1326"/>
      <c r="CJ131" s="1326"/>
      <c r="CK131" s="1326"/>
      <c r="CL131" s="1184"/>
      <c r="CM131" s="1184"/>
      <c r="CN131" s="1184"/>
      <c r="CO131" s="1184"/>
      <c r="CP131" s="1184"/>
      <c r="CQ131" s="1184"/>
      <c r="CR131" s="1184"/>
      <c r="CS131" s="1184"/>
      <c r="CT131" s="1184"/>
      <c r="CU131" s="1184"/>
      <c r="CV131" s="1184"/>
      <c r="CW131" s="1184"/>
      <c r="CX131" s="1184"/>
      <c r="CY131" s="1208" t="str">
        <f>Pflanzen!C132</f>
        <v>Maiskeimextraktionsschrot</v>
      </c>
      <c r="CZ131" s="1184">
        <f>IFERROR(MATCH($CY131,Pflanzen!$C$117:$C$154,0),1)</f>
        <v>16</v>
      </c>
      <c r="DA131" s="1208">
        <f>Pflanzen!H132</f>
        <v>2</v>
      </c>
      <c r="DB131" s="1184">
        <f t="shared" si="349"/>
        <v>0</v>
      </c>
      <c r="DC131" s="1184">
        <f t="shared" si="349"/>
        <v>0</v>
      </c>
      <c r="DD131" s="1184">
        <f t="shared" si="349"/>
        <v>0</v>
      </c>
      <c r="DE131" s="1184">
        <f t="shared" si="349"/>
        <v>0</v>
      </c>
      <c r="DF131" s="1184">
        <f t="shared" si="349"/>
        <v>0</v>
      </c>
      <c r="DG131" s="1184">
        <f t="shared" si="349"/>
        <v>0</v>
      </c>
      <c r="DH131" s="1184">
        <f t="shared" si="349"/>
        <v>0</v>
      </c>
      <c r="DI131" s="1184">
        <f t="shared" si="349"/>
        <v>0</v>
      </c>
      <c r="DJ131" s="1184">
        <f t="shared" si="349"/>
        <v>0</v>
      </c>
      <c r="DK131" s="1184">
        <f t="shared" si="349"/>
        <v>0</v>
      </c>
      <c r="DL131" s="1184">
        <f t="shared" si="349"/>
        <v>0</v>
      </c>
      <c r="DM131" s="1184">
        <f t="shared" si="349"/>
        <v>0</v>
      </c>
      <c r="DN131" s="1184"/>
      <c r="DO131" s="1184">
        <f t="shared" si="350"/>
        <v>0</v>
      </c>
      <c r="DP131" s="1184">
        <f t="shared" si="350"/>
        <v>0</v>
      </c>
      <c r="DQ131" s="1184">
        <f t="shared" si="350"/>
        <v>0</v>
      </c>
      <c r="DR131" s="1184">
        <f t="shared" si="350"/>
        <v>0</v>
      </c>
      <c r="DS131" s="1184">
        <f t="shared" si="350"/>
        <v>0</v>
      </c>
      <c r="DT131" s="1184">
        <f t="shared" si="350"/>
        <v>0</v>
      </c>
      <c r="DU131" s="1184">
        <f t="shared" si="350"/>
        <v>0</v>
      </c>
      <c r="DV131" s="1184">
        <f t="shared" si="350"/>
        <v>0</v>
      </c>
      <c r="DW131" s="1184">
        <f t="shared" si="350"/>
        <v>0</v>
      </c>
      <c r="DX131" s="1184">
        <f t="shared" si="350"/>
        <v>0</v>
      </c>
      <c r="DY131" s="1184">
        <f t="shared" si="350"/>
        <v>0</v>
      </c>
      <c r="DZ131" s="1184">
        <f t="shared" si="350"/>
        <v>0</v>
      </c>
      <c r="EA131" s="1184"/>
      <c r="EB131" s="1184"/>
      <c r="EC131" s="1184"/>
      <c r="ED131" s="1184"/>
      <c r="EE131" s="1184"/>
      <c r="EF131" s="1184"/>
      <c r="EG131" s="1184"/>
      <c r="EH131" s="1184"/>
      <c r="EI131" s="1184"/>
      <c r="EJ131" s="1184"/>
      <c r="EK131" s="1184"/>
      <c r="EL131" s="1184"/>
      <c r="EM131" s="1184"/>
      <c r="EN131" s="1184"/>
      <c r="EO131" s="1184"/>
      <c r="EP131" s="1184"/>
      <c r="EQ131" s="1184"/>
      <c r="ER131" s="1184"/>
      <c r="ES131" s="1184"/>
      <c r="ET131" s="1184"/>
      <c r="EU131" s="1184"/>
      <c r="EV131" s="1184"/>
      <c r="EW131" s="1184"/>
      <c r="EX131" s="1184"/>
      <c r="EY131" s="1184"/>
      <c r="EZ131" s="1184"/>
      <c r="FA131" s="1184"/>
      <c r="FB131" s="1186">
        <f t="shared" si="302"/>
        <v>0</v>
      </c>
      <c r="FC131" s="1297">
        <f t="shared" si="303"/>
        <v>0</v>
      </c>
      <c r="FD131" s="1297">
        <f t="shared" si="304"/>
        <v>0</v>
      </c>
      <c r="FE131" s="1297">
        <f t="shared" si="305"/>
        <v>0</v>
      </c>
      <c r="FF131" s="1297">
        <f t="shared" si="306"/>
        <v>0</v>
      </c>
      <c r="FG131" s="1297">
        <f t="shared" si="307"/>
        <v>0</v>
      </c>
      <c r="FH131" s="1297">
        <f t="shared" si="308"/>
        <v>0</v>
      </c>
      <c r="FI131" s="1297">
        <f t="shared" si="309"/>
        <v>0</v>
      </c>
      <c r="FJ131" s="1297">
        <f t="shared" si="310"/>
        <v>0</v>
      </c>
      <c r="FK131" s="1297">
        <f t="shared" si="311"/>
        <v>0</v>
      </c>
      <c r="FL131" s="1297">
        <f t="shared" si="312"/>
        <v>0</v>
      </c>
      <c r="FM131" s="1297">
        <f t="shared" si="313"/>
        <v>0</v>
      </c>
      <c r="FN131" s="1297">
        <f t="shared" si="314"/>
        <v>0</v>
      </c>
      <c r="FO131" s="1184"/>
      <c r="FP131" s="1186">
        <f t="shared" si="315"/>
        <v>0</v>
      </c>
      <c r="FQ131" s="1297">
        <f t="shared" si="316"/>
        <v>0</v>
      </c>
      <c r="FR131" s="1297">
        <f t="shared" si="317"/>
        <v>0</v>
      </c>
      <c r="FS131" s="1297">
        <f t="shared" si="318"/>
        <v>0</v>
      </c>
      <c r="FT131" s="1297">
        <f t="shared" si="319"/>
        <v>0</v>
      </c>
      <c r="FU131" s="1297">
        <f t="shared" si="320"/>
        <v>0</v>
      </c>
      <c r="FV131" s="1297">
        <f t="shared" si="321"/>
        <v>0</v>
      </c>
      <c r="FW131" s="1297">
        <f t="shared" si="322"/>
        <v>0</v>
      </c>
      <c r="FX131" s="1297">
        <f t="shared" si="323"/>
        <v>0</v>
      </c>
      <c r="FY131" s="1297">
        <f t="shared" si="324"/>
        <v>0</v>
      </c>
      <c r="FZ131" s="1297">
        <f t="shared" si="325"/>
        <v>0</v>
      </c>
      <c r="GA131" s="1297">
        <f t="shared" si="326"/>
        <v>0</v>
      </c>
      <c r="GB131" s="1297">
        <f t="shared" si="327"/>
        <v>0</v>
      </c>
      <c r="GC131" s="1184"/>
      <c r="GD131" s="1184">
        <f t="shared" si="328"/>
        <v>0</v>
      </c>
      <c r="GE131" s="1184">
        <f t="shared" si="329"/>
        <v>0</v>
      </c>
      <c r="GF131" s="1184"/>
      <c r="GG131" s="1184"/>
      <c r="GH131" s="1184"/>
      <c r="GI131" s="1184"/>
      <c r="GJ131" s="1184">
        <f t="shared" si="330"/>
        <v>0</v>
      </c>
      <c r="GK131" s="1184">
        <f t="shared" si="331"/>
        <v>0</v>
      </c>
      <c r="GL131" s="1184">
        <f t="shared" si="332"/>
        <v>0</v>
      </c>
      <c r="GM131" s="1184">
        <f t="shared" si="333"/>
        <v>0</v>
      </c>
      <c r="GN131" s="1184">
        <f t="shared" si="334"/>
        <v>0</v>
      </c>
      <c r="GO131" s="1184" cm="1">
        <f t="array" ref="GO131">IF(GN131=0,0,(SUMPRODUCT($J$75:$J$79,$CH$75:$CH$79,($BR$75:$BR$79=CZ131)*1)+SUMPRODUCT($R$75:$R$79,$CP$75:$CP$79,($BR$75:$BR$79=CZ131)*1))/GN131)</f>
        <v>0</v>
      </c>
      <c r="GP131" s="1184">
        <f t="shared" si="335"/>
        <v>0</v>
      </c>
      <c r="GQ131" s="1184"/>
      <c r="GR131" s="1184"/>
      <c r="GS131" s="1184">
        <f t="shared" si="336"/>
        <v>0</v>
      </c>
      <c r="GT131" s="1184">
        <f t="shared" si="337"/>
        <v>0</v>
      </c>
      <c r="GU131" s="1184">
        <f t="shared" si="338"/>
        <v>0</v>
      </c>
      <c r="GV131" s="1184">
        <f t="shared" si="339"/>
        <v>0</v>
      </c>
      <c r="GW131" s="1186" t="str">
        <f t="shared" si="292"/>
        <v xml:space="preserve"> </v>
      </c>
      <c r="GX131" s="1186" t="str">
        <f t="shared" si="292"/>
        <v xml:space="preserve"> </v>
      </c>
      <c r="GY131" s="1195">
        <f t="shared" si="340"/>
        <v>0</v>
      </c>
      <c r="GZ131" s="1184">
        <f t="shared" si="341"/>
        <v>0</v>
      </c>
      <c r="HA131" s="1184" t="str">
        <f t="shared" si="251"/>
        <v>a</v>
      </c>
      <c r="HB131" s="1196">
        <f t="shared" si="342"/>
        <v>0</v>
      </c>
      <c r="HC131" s="1196">
        <f t="shared" si="343"/>
        <v>0</v>
      </c>
      <c r="HD131" s="1196"/>
      <c r="HE131" s="1187">
        <f t="shared" si="344"/>
        <v>0</v>
      </c>
      <c r="HF131" s="1196">
        <f t="shared" si="345"/>
        <v>0</v>
      </c>
      <c r="HG131" s="1196">
        <f t="shared" si="346"/>
        <v>0</v>
      </c>
      <c r="HH131" s="1196">
        <f t="shared" si="347"/>
        <v>0</v>
      </c>
      <c r="HI131" s="1328" cm="1">
        <f t="array" ref="HI131">IF(AND(HG131=0,GL131=0),0,IF(HG131=0,1,IF(OR(GL131*1000/HG131/HH131&gt;INDEX(Pflanzen!$W$117:$W$154,CZ131)/INDEX(Pflanzen!$I$117:$I$154,CZ131)*$HI$1,GL131*1000/HG131/HH131&lt;INDEX(Pflanzen!$W$117:$W$154,CZ131)/INDEX(Pflanzen!$I$117:$I$154,CZ131)/$HI$1),1,0)))</f>
        <v>0</v>
      </c>
      <c r="HJ131" s="1330" cm="1">
        <f t="array" ref="HJ131">IF(AND(GM131=0,HG131=0),0,IF(HG131=0,1,IF(OR(GM131*1000/HG131/HH131&gt;INDEX(Pflanzen!$X$117:$X$154,CZ131)/INDEX(Pflanzen!$I$117:$I$154,CZ131)*$HI$2,GM131*1000/HG131/HH131&lt;INDEX(Pflanzen!$X$117:$X$154,CZ131)/INDEX(Pflanzen!$I$117:$I$154,CZ131)/$HI$2),1,0)))</f>
        <v>0</v>
      </c>
      <c r="HK131" s="1184">
        <f t="shared" si="348"/>
        <v>3</v>
      </c>
      <c r="HL131" s="1184"/>
      <c r="HN131" s="1184"/>
      <c r="HO131" s="1184"/>
      <c r="HP131" s="1184"/>
      <c r="HQ131" s="1184"/>
      <c r="HR131" s="1184"/>
      <c r="HS131" s="1184"/>
      <c r="HT131" s="1184"/>
      <c r="HU131" s="1184"/>
      <c r="HV131" s="1184"/>
      <c r="HW131" s="1184"/>
      <c r="HX131" s="1184"/>
      <c r="HY131" s="1184"/>
      <c r="HZ131" s="1184"/>
      <c r="IA131" s="1184"/>
      <c r="IB131" s="1184"/>
      <c r="IC131" s="1184"/>
      <c r="ID131" s="1184"/>
      <c r="IE131" s="1184"/>
      <c r="IF131" s="1184"/>
      <c r="IG131" s="1184"/>
      <c r="IH131" s="1184"/>
      <c r="II131" s="1184"/>
      <c r="IJ131" s="1184"/>
      <c r="IK131" s="1184"/>
      <c r="IL131" s="1184"/>
    </row>
    <row r="132" spans="25:246" ht="15.75" customHeight="1" x14ac:dyDescent="0.2">
      <c r="Y132" s="1555"/>
      <c r="Z132" s="1555"/>
      <c r="AA132" s="1555"/>
      <c r="AB132" s="1555"/>
      <c r="AC132" s="1176"/>
      <c r="AD132" s="1176"/>
      <c r="AE132" s="1176"/>
      <c r="AF132" s="1176"/>
      <c r="AG132" s="1176"/>
      <c r="AH132" s="1176"/>
      <c r="AI132" s="1176"/>
      <c r="AJ132" s="1176"/>
      <c r="AK132" s="1176"/>
      <c r="AL132" s="1176"/>
      <c r="AM132" s="1176"/>
      <c r="AN132" s="1176"/>
      <c r="AO132" s="246"/>
      <c r="AP132" s="246"/>
      <c r="AQ132" s="246"/>
      <c r="AR132" s="1176"/>
      <c r="AS132" s="1176"/>
      <c r="AT132" s="1176"/>
      <c r="AU132" s="1176"/>
      <c r="AV132" s="1176"/>
      <c r="AY132" s="1184"/>
      <c r="AZ132" s="1184"/>
      <c r="BA132" s="1184"/>
      <c r="BB132" s="1184"/>
      <c r="BC132" s="1184"/>
      <c r="BD132" s="1184"/>
      <c r="BQ132" s="1184"/>
      <c r="BR132" s="1184"/>
      <c r="BS132" s="1184"/>
      <c r="BT132" s="1184"/>
      <c r="BU132" s="1200"/>
      <c r="BV132" s="1326"/>
      <c r="BW132" s="1326"/>
      <c r="BX132" s="1326"/>
      <c r="BY132" s="1326"/>
      <c r="BZ132" s="1326"/>
      <c r="CA132" s="1326"/>
      <c r="CB132" s="1326"/>
      <c r="CC132" s="1326"/>
      <c r="CD132" s="1326"/>
      <c r="CE132" s="1326"/>
      <c r="CF132" s="1326"/>
      <c r="CG132" s="1326"/>
      <c r="CH132" s="1326"/>
      <c r="CI132" s="1326"/>
      <c r="CJ132" s="1326"/>
      <c r="CK132" s="1326"/>
      <c r="CL132" s="1184"/>
      <c r="CM132" s="1184"/>
      <c r="CN132" s="1184"/>
      <c r="CO132" s="1184"/>
      <c r="CP132" s="1184"/>
      <c r="CQ132" s="1184"/>
      <c r="CR132" s="1184"/>
      <c r="CS132" s="1184"/>
      <c r="CT132" s="1184"/>
      <c r="CU132" s="1184"/>
      <c r="CV132" s="1184"/>
      <c r="CW132" s="1184"/>
      <c r="CX132" s="1184"/>
      <c r="CY132" s="1208" t="str">
        <f>Pflanzen!C133</f>
        <v>Maiskleberfutter (23-35 % RP)</v>
      </c>
      <c r="CZ132" s="1184">
        <f>IFERROR(MATCH($CY132,Pflanzen!$C$117:$C$154,0),1)</f>
        <v>17</v>
      </c>
      <c r="DA132" s="1208">
        <f>Pflanzen!H133</f>
        <v>2</v>
      </c>
      <c r="DB132" s="1184">
        <f t="shared" si="349"/>
        <v>0</v>
      </c>
      <c r="DC132" s="1184">
        <f t="shared" si="349"/>
        <v>0</v>
      </c>
      <c r="DD132" s="1184">
        <f t="shared" si="349"/>
        <v>0</v>
      </c>
      <c r="DE132" s="1184">
        <f t="shared" si="349"/>
        <v>0</v>
      </c>
      <c r="DF132" s="1184">
        <f t="shared" si="349"/>
        <v>0</v>
      </c>
      <c r="DG132" s="1184">
        <f t="shared" si="349"/>
        <v>0</v>
      </c>
      <c r="DH132" s="1184">
        <f t="shared" si="349"/>
        <v>0</v>
      </c>
      <c r="DI132" s="1184">
        <f t="shared" si="349"/>
        <v>0</v>
      </c>
      <c r="DJ132" s="1184">
        <f t="shared" si="349"/>
        <v>0</v>
      </c>
      <c r="DK132" s="1184">
        <f t="shared" si="349"/>
        <v>0</v>
      </c>
      <c r="DL132" s="1184">
        <f t="shared" si="349"/>
        <v>0</v>
      </c>
      <c r="DM132" s="1184">
        <f t="shared" si="349"/>
        <v>0</v>
      </c>
      <c r="DN132" s="1184"/>
      <c r="DO132" s="1184">
        <f t="shared" si="350"/>
        <v>0</v>
      </c>
      <c r="DP132" s="1184">
        <f t="shared" si="350"/>
        <v>0</v>
      </c>
      <c r="DQ132" s="1184">
        <f t="shared" si="350"/>
        <v>0</v>
      </c>
      <c r="DR132" s="1184">
        <f t="shared" si="350"/>
        <v>0</v>
      </c>
      <c r="DS132" s="1184">
        <f t="shared" si="350"/>
        <v>0</v>
      </c>
      <c r="DT132" s="1184">
        <f t="shared" si="350"/>
        <v>0</v>
      </c>
      <c r="DU132" s="1184">
        <f t="shared" si="350"/>
        <v>0</v>
      </c>
      <c r="DV132" s="1184">
        <f t="shared" si="350"/>
        <v>0</v>
      </c>
      <c r="DW132" s="1184">
        <f t="shared" si="350"/>
        <v>0</v>
      </c>
      <c r="DX132" s="1184">
        <f t="shared" si="350"/>
        <v>0</v>
      </c>
      <c r="DY132" s="1184">
        <f t="shared" si="350"/>
        <v>0</v>
      </c>
      <c r="DZ132" s="1184">
        <f t="shared" si="350"/>
        <v>0</v>
      </c>
      <c r="EA132" s="1184"/>
      <c r="EB132" s="1184"/>
      <c r="EC132" s="1184"/>
      <c r="ED132" s="1184"/>
      <c r="EE132" s="1184"/>
      <c r="EF132" s="1184"/>
      <c r="EG132" s="1184"/>
      <c r="EH132" s="1184"/>
      <c r="EI132" s="1184"/>
      <c r="EJ132" s="1184"/>
      <c r="EK132" s="1184"/>
      <c r="EL132" s="1184"/>
      <c r="EM132" s="1184"/>
      <c r="EN132" s="1184"/>
      <c r="EO132" s="1184"/>
      <c r="EP132" s="1184"/>
      <c r="EQ132" s="1184"/>
      <c r="ER132" s="1184"/>
      <c r="ES132" s="1184"/>
      <c r="ET132" s="1184"/>
      <c r="EU132" s="1184"/>
      <c r="EV132" s="1184"/>
      <c r="EW132" s="1184"/>
      <c r="EX132" s="1184"/>
      <c r="EY132" s="1184"/>
      <c r="EZ132" s="1184"/>
      <c r="FA132" s="1184"/>
      <c r="FB132" s="1186">
        <f t="shared" si="302"/>
        <v>0</v>
      </c>
      <c r="FC132" s="1297">
        <f t="shared" si="303"/>
        <v>0</v>
      </c>
      <c r="FD132" s="1297">
        <f t="shared" si="304"/>
        <v>0</v>
      </c>
      <c r="FE132" s="1297">
        <f t="shared" si="305"/>
        <v>0</v>
      </c>
      <c r="FF132" s="1297">
        <f t="shared" si="306"/>
        <v>0</v>
      </c>
      <c r="FG132" s="1297">
        <f t="shared" si="307"/>
        <v>0</v>
      </c>
      <c r="FH132" s="1297">
        <f t="shared" si="308"/>
        <v>0</v>
      </c>
      <c r="FI132" s="1297">
        <f t="shared" si="309"/>
        <v>0</v>
      </c>
      <c r="FJ132" s="1297">
        <f t="shared" si="310"/>
        <v>0</v>
      </c>
      <c r="FK132" s="1297">
        <f t="shared" si="311"/>
        <v>0</v>
      </c>
      <c r="FL132" s="1297">
        <f t="shared" si="312"/>
        <v>0</v>
      </c>
      <c r="FM132" s="1297">
        <f t="shared" si="313"/>
        <v>0</v>
      </c>
      <c r="FN132" s="1297">
        <f t="shared" si="314"/>
        <v>0</v>
      </c>
      <c r="FO132" s="1184"/>
      <c r="FP132" s="1186">
        <f t="shared" si="315"/>
        <v>0</v>
      </c>
      <c r="FQ132" s="1297">
        <f t="shared" si="316"/>
        <v>0</v>
      </c>
      <c r="FR132" s="1297">
        <f t="shared" si="317"/>
        <v>0</v>
      </c>
      <c r="FS132" s="1297">
        <f t="shared" si="318"/>
        <v>0</v>
      </c>
      <c r="FT132" s="1297">
        <f t="shared" si="319"/>
        <v>0</v>
      </c>
      <c r="FU132" s="1297">
        <f t="shared" si="320"/>
        <v>0</v>
      </c>
      <c r="FV132" s="1297">
        <f t="shared" si="321"/>
        <v>0</v>
      </c>
      <c r="FW132" s="1297">
        <f t="shared" si="322"/>
        <v>0</v>
      </c>
      <c r="FX132" s="1297">
        <f t="shared" si="323"/>
        <v>0</v>
      </c>
      <c r="FY132" s="1297">
        <f t="shared" si="324"/>
        <v>0</v>
      </c>
      <c r="FZ132" s="1297">
        <f t="shared" si="325"/>
        <v>0</v>
      </c>
      <c r="GA132" s="1297">
        <f t="shared" si="326"/>
        <v>0</v>
      </c>
      <c r="GB132" s="1297">
        <f t="shared" si="327"/>
        <v>0</v>
      </c>
      <c r="GC132" s="1184"/>
      <c r="GD132" s="1184">
        <f t="shared" si="328"/>
        <v>0</v>
      </c>
      <c r="GE132" s="1184">
        <f t="shared" si="329"/>
        <v>0</v>
      </c>
      <c r="GF132" s="1184"/>
      <c r="GG132" s="1184"/>
      <c r="GH132" s="1184"/>
      <c r="GI132" s="1184"/>
      <c r="GJ132" s="1184">
        <f t="shared" si="330"/>
        <v>0</v>
      </c>
      <c r="GK132" s="1184">
        <f t="shared" si="331"/>
        <v>0</v>
      </c>
      <c r="GL132" s="1184">
        <f t="shared" si="332"/>
        <v>0</v>
      </c>
      <c r="GM132" s="1184">
        <f t="shared" si="333"/>
        <v>0</v>
      </c>
      <c r="GN132" s="1184">
        <f t="shared" si="334"/>
        <v>0</v>
      </c>
      <c r="GO132" s="1184" cm="1">
        <f t="array" ref="GO132">IF(GN132=0,0,(SUMPRODUCT($J$75:$J$79,$CH$75:$CH$79,($BR$75:$BR$79=CZ132)*1)+SUMPRODUCT($R$75:$R$79,$CP$75:$CP$79,($BR$75:$BR$79=CZ132)*1))/GN132)</f>
        <v>0</v>
      </c>
      <c r="GP132" s="1184">
        <f t="shared" si="335"/>
        <v>0</v>
      </c>
      <c r="GQ132" s="1184"/>
      <c r="GR132" s="1184"/>
      <c r="GS132" s="1184">
        <f t="shared" si="336"/>
        <v>0</v>
      </c>
      <c r="GT132" s="1184">
        <f t="shared" si="337"/>
        <v>0</v>
      </c>
      <c r="GU132" s="1184">
        <f t="shared" si="338"/>
        <v>0</v>
      </c>
      <c r="GV132" s="1184">
        <f t="shared" si="339"/>
        <v>0</v>
      </c>
      <c r="GW132" s="1186" t="str">
        <f t="shared" si="292"/>
        <v xml:space="preserve"> </v>
      </c>
      <c r="GX132" s="1186" t="str">
        <f t="shared" si="292"/>
        <v xml:space="preserve"> </v>
      </c>
      <c r="GY132" s="1195">
        <f t="shared" si="340"/>
        <v>0</v>
      </c>
      <c r="GZ132" s="1184">
        <f t="shared" si="341"/>
        <v>0</v>
      </c>
      <c r="HA132" s="1184" t="str">
        <f t="shared" si="251"/>
        <v>a</v>
      </c>
      <c r="HB132" s="1196">
        <f t="shared" si="342"/>
        <v>0</v>
      </c>
      <c r="HC132" s="1196">
        <f t="shared" si="343"/>
        <v>0</v>
      </c>
      <c r="HD132" s="1196"/>
      <c r="HE132" s="1187">
        <f t="shared" si="344"/>
        <v>0</v>
      </c>
      <c r="HF132" s="1196">
        <f t="shared" si="345"/>
        <v>0</v>
      </c>
      <c r="HG132" s="1196">
        <f t="shared" si="346"/>
        <v>0</v>
      </c>
      <c r="HH132" s="1196">
        <f t="shared" si="347"/>
        <v>0</v>
      </c>
      <c r="HI132" s="1328" cm="1">
        <f t="array" ref="HI132">IF(AND(HG132=0,GL132=0),0,IF(HG132=0,1,IF(OR(GL132*1000/HG132/HH132&gt;INDEX(Pflanzen!$W$117:$W$154,CZ132)/INDEX(Pflanzen!$I$117:$I$154,CZ132)*$HI$1,GL132*1000/HG132/HH132&lt;INDEX(Pflanzen!$W$117:$W$154,CZ132)/INDEX(Pflanzen!$I$117:$I$154,CZ132)/$HI$1),1,0)))</f>
        <v>0</v>
      </c>
      <c r="HJ132" s="1330" cm="1">
        <f t="array" ref="HJ132">IF(AND(GM132=0,HG132=0),0,IF(HG132=0,1,IF(OR(GM132*1000/HG132/HH132&gt;INDEX(Pflanzen!$X$117:$X$154,CZ132)/INDEX(Pflanzen!$I$117:$I$154,CZ132)*$HI$2,GM132*1000/HG132/HH132&lt;INDEX(Pflanzen!$X$117:$X$154,CZ132)/INDEX(Pflanzen!$I$117:$I$154,CZ132)/$HI$2),1,0)))</f>
        <v>0</v>
      </c>
      <c r="HK132" s="1184">
        <f t="shared" si="348"/>
        <v>3</v>
      </c>
      <c r="HL132" s="1184"/>
      <c r="HN132" s="1184"/>
      <c r="HO132" s="1184"/>
      <c r="HP132" s="1184"/>
      <c r="HQ132" s="1184"/>
      <c r="HR132" s="1184"/>
      <c r="HS132" s="1184"/>
      <c r="HT132" s="1184"/>
      <c r="HU132" s="1184"/>
      <c r="HV132" s="1184"/>
      <c r="HW132" s="1184"/>
      <c r="HX132" s="1184"/>
      <c r="HY132" s="1184"/>
      <c r="HZ132" s="1184"/>
      <c r="IA132" s="1184"/>
      <c r="IB132" s="1184"/>
      <c r="IC132" s="1184"/>
      <c r="ID132" s="1184"/>
      <c r="IE132" s="1184"/>
      <c r="IF132" s="1184"/>
      <c r="IG132" s="1184"/>
      <c r="IH132" s="1184"/>
      <c r="II132" s="1184"/>
      <c r="IJ132" s="1184"/>
      <c r="IK132" s="1184"/>
      <c r="IL132" s="1184"/>
    </row>
    <row r="133" spans="25:246" ht="15.75" customHeight="1" x14ac:dyDescent="0.2">
      <c r="Y133" s="1555"/>
      <c r="Z133" s="1555"/>
      <c r="AA133" s="1555"/>
      <c r="AB133" s="1555"/>
      <c r="AC133" s="1176"/>
      <c r="AD133" s="1176"/>
      <c r="AE133" s="1176"/>
      <c r="AF133" s="1176"/>
      <c r="AG133" s="1176"/>
      <c r="AH133" s="1176"/>
      <c r="AI133" s="1176"/>
      <c r="AJ133" s="1176"/>
      <c r="AK133" s="1176"/>
      <c r="AL133" s="1176"/>
      <c r="AM133" s="1176"/>
      <c r="AN133" s="1176"/>
      <c r="AO133" s="246"/>
      <c r="AP133" s="246"/>
      <c r="AQ133" s="246"/>
      <c r="AR133" s="1176"/>
      <c r="AS133" s="1176"/>
      <c r="AT133" s="1176"/>
      <c r="AU133" s="1176"/>
      <c r="AV133" s="1176"/>
      <c r="AY133" s="1184"/>
      <c r="AZ133" s="1184"/>
      <c r="BA133" s="1184"/>
      <c r="BB133" s="1184"/>
      <c r="BC133" s="1184"/>
      <c r="BD133" s="1184"/>
      <c r="BQ133" s="1184"/>
      <c r="BR133" s="1184"/>
      <c r="BS133" s="1184"/>
      <c r="BT133" s="1184"/>
      <c r="BU133" s="1200"/>
      <c r="BV133" s="1326"/>
      <c r="BW133" s="1326"/>
      <c r="BX133" s="1326"/>
      <c r="BY133" s="1326"/>
      <c r="BZ133" s="1326"/>
      <c r="CA133" s="1326"/>
      <c r="CB133" s="1326"/>
      <c r="CC133" s="1326"/>
      <c r="CD133" s="1326"/>
      <c r="CE133" s="1326"/>
      <c r="CF133" s="1326"/>
      <c r="CG133" s="1326"/>
      <c r="CH133" s="1326"/>
      <c r="CI133" s="1326"/>
      <c r="CJ133" s="1326"/>
      <c r="CK133" s="1326"/>
      <c r="CL133" s="1184"/>
      <c r="CM133" s="1184"/>
      <c r="CN133" s="1184"/>
      <c r="CO133" s="1184"/>
      <c r="CP133" s="1184"/>
      <c r="CQ133" s="1184"/>
      <c r="CR133" s="1184"/>
      <c r="CS133" s="1184"/>
      <c r="CT133" s="1184"/>
      <c r="CU133" s="1184"/>
      <c r="CV133" s="1184"/>
      <c r="CW133" s="1184"/>
      <c r="CX133" s="1184"/>
      <c r="CY133" s="1208" t="str">
        <f>Pflanzen!C134</f>
        <v>Malzkeime</v>
      </c>
      <c r="CZ133" s="1184">
        <f>IFERROR(MATCH($CY133,Pflanzen!$C$117:$C$154,0),1)</f>
        <v>18</v>
      </c>
      <c r="DA133" s="1208">
        <f>Pflanzen!H134</f>
        <v>2</v>
      </c>
      <c r="DB133" s="1184">
        <f t="shared" si="349"/>
        <v>0</v>
      </c>
      <c r="DC133" s="1184">
        <f t="shared" si="349"/>
        <v>0</v>
      </c>
      <c r="DD133" s="1184">
        <f t="shared" si="349"/>
        <v>0</v>
      </c>
      <c r="DE133" s="1184">
        <f t="shared" si="349"/>
        <v>0</v>
      </c>
      <c r="DF133" s="1184">
        <f t="shared" si="349"/>
        <v>0</v>
      </c>
      <c r="DG133" s="1184">
        <f t="shared" si="349"/>
        <v>0</v>
      </c>
      <c r="DH133" s="1184">
        <f t="shared" si="349"/>
        <v>0</v>
      </c>
      <c r="DI133" s="1184">
        <f t="shared" si="349"/>
        <v>0</v>
      </c>
      <c r="DJ133" s="1184">
        <f t="shared" si="349"/>
        <v>0</v>
      </c>
      <c r="DK133" s="1184">
        <f t="shared" si="349"/>
        <v>0</v>
      </c>
      <c r="DL133" s="1184">
        <f t="shared" si="349"/>
        <v>0</v>
      </c>
      <c r="DM133" s="1184">
        <f t="shared" si="349"/>
        <v>0</v>
      </c>
      <c r="DN133" s="1184"/>
      <c r="DO133" s="1184">
        <f t="shared" si="350"/>
        <v>0</v>
      </c>
      <c r="DP133" s="1184">
        <f t="shared" si="350"/>
        <v>0</v>
      </c>
      <c r="DQ133" s="1184">
        <f t="shared" si="350"/>
        <v>0</v>
      </c>
      <c r="DR133" s="1184">
        <f t="shared" si="350"/>
        <v>0</v>
      </c>
      <c r="DS133" s="1184">
        <f t="shared" si="350"/>
        <v>0</v>
      </c>
      <c r="DT133" s="1184">
        <f t="shared" si="350"/>
        <v>0</v>
      </c>
      <c r="DU133" s="1184">
        <f t="shared" si="350"/>
        <v>0</v>
      </c>
      <c r="DV133" s="1184">
        <f t="shared" si="350"/>
        <v>0</v>
      </c>
      <c r="DW133" s="1184">
        <f t="shared" si="350"/>
        <v>0</v>
      </c>
      <c r="DX133" s="1184">
        <f t="shared" si="350"/>
        <v>0</v>
      </c>
      <c r="DY133" s="1184">
        <f t="shared" si="350"/>
        <v>0</v>
      </c>
      <c r="DZ133" s="1184">
        <f t="shared" si="350"/>
        <v>0</v>
      </c>
      <c r="EA133" s="1184"/>
      <c r="EB133" s="1184"/>
      <c r="EC133" s="1184"/>
      <c r="ED133" s="1184"/>
      <c r="EE133" s="1184"/>
      <c r="EF133" s="1184"/>
      <c r="EG133" s="1184"/>
      <c r="EH133" s="1184"/>
      <c r="EI133" s="1184"/>
      <c r="EJ133" s="1184"/>
      <c r="EK133" s="1184"/>
      <c r="EL133" s="1184"/>
      <c r="EM133" s="1184"/>
      <c r="EN133" s="1184"/>
      <c r="EO133" s="1184"/>
      <c r="EP133" s="1184"/>
      <c r="EQ133" s="1184"/>
      <c r="ER133" s="1184"/>
      <c r="ES133" s="1184"/>
      <c r="ET133" s="1184"/>
      <c r="EU133" s="1184"/>
      <c r="EV133" s="1184"/>
      <c r="EW133" s="1184"/>
      <c r="EX133" s="1184"/>
      <c r="EY133" s="1184"/>
      <c r="EZ133" s="1184"/>
      <c r="FA133" s="1184"/>
      <c r="FB133" s="1186">
        <f t="shared" si="302"/>
        <v>0</v>
      </c>
      <c r="FC133" s="1297">
        <f t="shared" si="303"/>
        <v>0</v>
      </c>
      <c r="FD133" s="1297">
        <f t="shared" si="304"/>
        <v>0</v>
      </c>
      <c r="FE133" s="1297">
        <f t="shared" si="305"/>
        <v>0</v>
      </c>
      <c r="FF133" s="1297">
        <f t="shared" si="306"/>
        <v>0</v>
      </c>
      <c r="FG133" s="1297">
        <f t="shared" si="307"/>
        <v>0</v>
      </c>
      <c r="FH133" s="1297">
        <f t="shared" si="308"/>
        <v>0</v>
      </c>
      <c r="FI133" s="1297">
        <f t="shared" si="309"/>
        <v>0</v>
      </c>
      <c r="FJ133" s="1297">
        <f t="shared" si="310"/>
        <v>0</v>
      </c>
      <c r="FK133" s="1297">
        <f t="shared" si="311"/>
        <v>0</v>
      </c>
      <c r="FL133" s="1297">
        <f t="shared" si="312"/>
        <v>0</v>
      </c>
      <c r="FM133" s="1297">
        <f t="shared" si="313"/>
        <v>0</v>
      </c>
      <c r="FN133" s="1297">
        <f t="shared" si="314"/>
        <v>0</v>
      </c>
      <c r="FO133" s="1184"/>
      <c r="FP133" s="1186">
        <f t="shared" si="315"/>
        <v>0</v>
      </c>
      <c r="FQ133" s="1297">
        <f t="shared" si="316"/>
        <v>0</v>
      </c>
      <c r="FR133" s="1297">
        <f t="shared" si="317"/>
        <v>0</v>
      </c>
      <c r="FS133" s="1297">
        <f t="shared" si="318"/>
        <v>0</v>
      </c>
      <c r="FT133" s="1297">
        <f t="shared" si="319"/>
        <v>0</v>
      </c>
      <c r="FU133" s="1297">
        <f t="shared" si="320"/>
        <v>0</v>
      </c>
      <c r="FV133" s="1297">
        <f t="shared" si="321"/>
        <v>0</v>
      </c>
      <c r="FW133" s="1297">
        <f t="shared" si="322"/>
        <v>0</v>
      </c>
      <c r="FX133" s="1297">
        <f t="shared" si="323"/>
        <v>0</v>
      </c>
      <c r="FY133" s="1297">
        <f t="shared" si="324"/>
        <v>0</v>
      </c>
      <c r="FZ133" s="1297">
        <f t="shared" si="325"/>
        <v>0</v>
      </c>
      <c r="GA133" s="1297">
        <f t="shared" si="326"/>
        <v>0</v>
      </c>
      <c r="GB133" s="1297">
        <f t="shared" si="327"/>
        <v>0</v>
      </c>
      <c r="GC133" s="1184"/>
      <c r="GD133" s="1184">
        <f t="shared" si="328"/>
        <v>0</v>
      </c>
      <c r="GE133" s="1184">
        <f t="shared" si="329"/>
        <v>0</v>
      </c>
      <c r="GF133" s="1184"/>
      <c r="GG133" s="1184"/>
      <c r="GH133" s="1184"/>
      <c r="GI133" s="1184"/>
      <c r="GJ133" s="1184">
        <f t="shared" si="330"/>
        <v>0</v>
      </c>
      <c r="GK133" s="1184">
        <f t="shared" si="331"/>
        <v>0</v>
      </c>
      <c r="GL133" s="1184">
        <f t="shared" si="332"/>
        <v>0</v>
      </c>
      <c r="GM133" s="1184">
        <f t="shared" si="333"/>
        <v>0</v>
      </c>
      <c r="GN133" s="1184">
        <f t="shared" si="334"/>
        <v>0</v>
      </c>
      <c r="GO133" s="1184" cm="1">
        <f t="array" ref="GO133">IF(GN133=0,0,(SUMPRODUCT($J$75:$J$79,$CH$75:$CH$79,($BR$75:$BR$79=CZ133)*1)+SUMPRODUCT($R$75:$R$79,$CP$75:$CP$79,($BR$75:$BR$79=CZ133)*1))/GN133)</f>
        <v>0</v>
      </c>
      <c r="GP133" s="1184">
        <f t="shared" si="335"/>
        <v>0</v>
      </c>
      <c r="GQ133" s="1184"/>
      <c r="GR133" s="1184"/>
      <c r="GS133" s="1184">
        <f t="shared" si="336"/>
        <v>0</v>
      </c>
      <c r="GT133" s="1184">
        <f t="shared" si="337"/>
        <v>0</v>
      </c>
      <c r="GU133" s="1184">
        <f t="shared" si="338"/>
        <v>0</v>
      </c>
      <c r="GV133" s="1184">
        <f t="shared" si="339"/>
        <v>0</v>
      </c>
      <c r="GW133" s="1186" t="str">
        <f t="shared" si="292"/>
        <v xml:space="preserve"> </v>
      </c>
      <c r="GX133" s="1186" t="str">
        <f t="shared" si="292"/>
        <v xml:space="preserve"> </v>
      </c>
      <c r="GY133" s="1195">
        <f t="shared" si="340"/>
        <v>0</v>
      </c>
      <c r="GZ133" s="1184">
        <f t="shared" si="341"/>
        <v>0</v>
      </c>
      <c r="HA133" s="1184" t="str">
        <f t="shared" si="251"/>
        <v>a</v>
      </c>
      <c r="HB133" s="1196">
        <f t="shared" si="342"/>
        <v>0</v>
      </c>
      <c r="HC133" s="1196">
        <f t="shared" si="343"/>
        <v>0</v>
      </c>
      <c r="HD133" s="1196"/>
      <c r="HE133" s="1187">
        <f t="shared" si="344"/>
        <v>0</v>
      </c>
      <c r="HF133" s="1196">
        <f t="shared" si="345"/>
        <v>0</v>
      </c>
      <c r="HG133" s="1196">
        <f t="shared" si="346"/>
        <v>0</v>
      </c>
      <c r="HH133" s="1196">
        <f t="shared" si="347"/>
        <v>0</v>
      </c>
      <c r="HI133" s="1328" cm="1">
        <f t="array" ref="HI133">IF(AND(HG133=0,GL133=0),0,IF(HG133=0,1,IF(OR(GL133*1000/HG133/HH133&gt;INDEX(Pflanzen!$W$117:$W$154,CZ133)/INDEX(Pflanzen!$I$117:$I$154,CZ133)*$HI$1,GL133*1000/HG133/HH133&lt;INDEX(Pflanzen!$W$117:$W$154,CZ133)/INDEX(Pflanzen!$I$117:$I$154,CZ133)/$HI$1),1,0)))</f>
        <v>0</v>
      </c>
      <c r="HJ133" s="1330" cm="1">
        <f t="array" ref="HJ133">IF(AND(GM133=0,HG133=0),0,IF(HG133=0,1,IF(OR(GM133*1000/HG133/HH133&gt;INDEX(Pflanzen!$X$117:$X$154,CZ133)/INDEX(Pflanzen!$I$117:$I$154,CZ133)*$HI$2,GM133*1000/HG133/HH133&lt;INDEX(Pflanzen!$X$117:$X$154,CZ133)/INDEX(Pflanzen!$I$117:$I$154,CZ133)/$HI$2),1,0)))</f>
        <v>0</v>
      </c>
      <c r="HK133" s="1184">
        <f t="shared" si="348"/>
        <v>3</v>
      </c>
      <c r="HL133" s="1184"/>
      <c r="HN133" s="1184"/>
      <c r="HO133" s="1184"/>
      <c r="HP133" s="1184"/>
      <c r="HQ133" s="1184"/>
      <c r="HR133" s="1184"/>
      <c r="HS133" s="1184"/>
      <c r="HT133" s="1184"/>
      <c r="HU133" s="1184"/>
      <c r="HV133" s="1184"/>
      <c r="HW133" s="1184"/>
      <c r="HX133" s="1184"/>
      <c r="HY133" s="1184"/>
      <c r="HZ133" s="1184"/>
      <c r="IA133" s="1184"/>
      <c r="IB133" s="1184"/>
      <c r="IC133" s="1184"/>
      <c r="ID133" s="1184"/>
      <c r="IE133" s="1184"/>
      <c r="IF133" s="1184"/>
      <c r="IG133" s="1184"/>
      <c r="IH133" s="1184"/>
      <c r="II133" s="1184"/>
      <c r="IJ133" s="1184"/>
      <c r="IK133" s="1184"/>
      <c r="IL133" s="1184"/>
    </row>
    <row r="134" spans="25:246" ht="15.75" customHeight="1" x14ac:dyDescent="0.2">
      <c r="Y134" s="1555"/>
      <c r="Z134" s="1555"/>
      <c r="AA134" s="1555"/>
      <c r="AB134" s="1555"/>
      <c r="AC134" s="1176"/>
      <c r="AD134" s="1176"/>
      <c r="AE134" s="1176"/>
      <c r="AF134" s="1176"/>
      <c r="AG134" s="1176"/>
      <c r="AH134" s="1176"/>
      <c r="AI134" s="1176"/>
      <c r="AJ134" s="1176"/>
      <c r="AK134" s="1176"/>
      <c r="AL134" s="1176"/>
      <c r="AM134" s="1176"/>
      <c r="AN134" s="1176"/>
      <c r="AO134" s="246"/>
      <c r="AP134" s="246"/>
      <c r="AQ134" s="246"/>
      <c r="AR134" s="1176"/>
      <c r="AS134" s="1176"/>
      <c r="AT134" s="1176"/>
      <c r="AU134" s="1176"/>
      <c r="AV134" s="1176"/>
      <c r="AY134" s="1184"/>
      <c r="AZ134" s="1184"/>
      <c r="BA134" s="1184"/>
      <c r="BB134" s="1184"/>
      <c r="BC134" s="1184"/>
      <c r="BD134" s="1184"/>
      <c r="BQ134" s="1184"/>
      <c r="BR134" s="1184"/>
      <c r="BS134" s="1184"/>
      <c r="BT134" s="1184"/>
      <c r="BU134" s="1200"/>
      <c r="BV134" s="1326"/>
      <c r="BW134" s="1326"/>
      <c r="BX134" s="1326"/>
      <c r="BY134" s="1326"/>
      <c r="BZ134" s="1326"/>
      <c r="CA134" s="1326"/>
      <c r="CB134" s="1326"/>
      <c r="CC134" s="1326"/>
      <c r="CD134" s="1326"/>
      <c r="CE134" s="1326"/>
      <c r="CF134" s="1326"/>
      <c r="CG134" s="1326"/>
      <c r="CH134" s="1326"/>
      <c r="CI134" s="1326"/>
      <c r="CJ134" s="1326"/>
      <c r="CK134" s="1326"/>
      <c r="CL134" s="1184"/>
      <c r="CM134" s="1184"/>
      <c r="CN134" s="1184"/>
      <c r="CO134" s="1184"/>
      <c r="CP134" s="1184"/>
      <c r="CQ134" s="1184"/>
      <c r="CR134" s="1184"/>
      <c r="CS134" s="1184"/>
      <c r="CT134" s="1184"/>
      <c r="CU134" s="1184"/>
      <c r="CV134" s="1184"/>
      <c r="CW134" s="1184"/>
      <c r="CX134" s="1184"/>
      <c r="CY134" s="1208" t="str">
        <f>Pflanzen!C135</f>
        <v>Maniok</v>
      </c>
      <c r="CZ134" s="1184">
        <f>IFERROR(MATCH($CY134,Pflanzen!$C$117:$C$154,0),1)</f>
        <v>19</v>
      </c>
      <c r="DA134" s="1208">
        <f>Pflanzen!H135</f>
        <v>2</v>
      </c>
      <c r="DB134" s="1184">
        <f t="shared" si="349"/>
        <v>0</v>
      </c>
      <c r="DC134" s="1184">
        <f t="shared" si="349"/>
        <v>0</v>
      </c>
      <c r="DD134" s="1184">
        <f t="shared" si="349"/>
        <v>0</v>
      </c>
      <c r="DE134" s="1184">
        <f t="shared" si="349"/>
        <v>0</v>
      </c>
      <c r="DF134" s="1184">
        <f t="shared" si="349"/>
        <v>0</v>
      </c>
      <c r="DG134" s="1184">
        <f t="shared" si="349"/>
        <v>0</v>
      </c>
      <c r="DH134" s="1184">
        <f t="shared" si="349"/>
        <v>0</v>
      </c>
      <c r="DI134" s="1184">
        <f t="shared" si="349"/>
        <v>0</v>
      </c>
      <c r="DJ134" s="1184">
        <f t="shared" si="349"/>
        <v>0</v>
      </c>
      <c r="DK134" s="1184">
        <f t="shared" si="349"/>
        <v>0</v>
      </c>
      <c r="DL134" s="1184">
        <f t="shared" si="349"/>
        <v>0</v>
      </c>
      <c r="DM134" s="1184">
        <f t="shared" si="349"/>
        <v>0</v>
      </c>
      <c r="DN134" s="1184"/>
      <c r="DO134" s="1184">
        <f t="shared" si="350"/>
        <v>0</v>
      </c>
      <c r="DP134" s="1184">
        <f t="shared" si="350"/>
        <v>0</v>
      </c>
      <c r="DQ134" s="1184">
        <f t="shared" si="350"/>
        <v>0</v>
      </c>
      <c r="DR134" s="1184">
        <f t="shared" si="350"/>
        <v>0</v>
      </c>
      <c r="DS134" s="1184">
        <f t="shared" si="350"/>
        <v>0</v>
      </c>
      <c r="DT134" s="1184">
        <f t="shared" si="350"/>
        <v>0</v>
      </c>
      <c r="DU134" s="1184">
        <f t="shared" si="350"/>
        <v>0</v>
      </c>
      <c r="DV134" s="1184">
        <f t="shared" si="350"/>
        <v>0</v>
      </c>
      <c r="DW134" s="1184">
        <f t="shared" si="350"/>
        <v>0</v>
      </c>
      <c r="DX134" s="1184">
        <f t="shared" si="350"/>
        <v>0</v>
      </c>
      <c r="DY134" s="1184">
        <f t="shared" si="350"/>
        <v>0</v>
      </c>
      <c r="DZ134" s="1184">
        <f t="shared" si="350"/>
        <v>0</v>
      </c>
      <c r="EA134" s="1184"/>
      <c r="EB134" s="1184"/>
      <c r="EC134" s="1184"/>
      <c r="ED134" s="1184"/>
      <c r="EE134" s="1184"/>
      <c r="EF134" s="1184"/>
      <c r="EG134" s="1184"/>
      <c r="EH134" s="1184"/>
      <c r="EI134" s="1184"/>
      <c r="EJ134" s="1184"/>
      <c r="EK134" s="1184"/>
      <c r="EL134" s="1184"/>
      <c r="EM134" s="1184"/>
      <c r="EN134" s="1184"/>
      <c r="EO134" s="1184"/>
      <c r="EP134" s="1184"/>
      <c r="EQ134" s="1184"/>
      <c r="ER134" s="1184"/>
      <c r="ES134" s="1184"/>
      <c r="ET134" s="1184"/>
      <c r="EU134" s="1184"/>
      <c r="EV134" s="1184"/>
      <c r="EW134" s="1184"/>
      <c r="EX134" s="1184"/>
      <c r="EY134" s="1184"/>
      <c r="EZ134" s="1184"/>
      <c r="FA134" s="1184"/>
      <c r="FB134" s="1186">
        <f t="shared" si="302"/>
        <v>0</v>
      </c>
      <c r="FC134" s="1297">
        <f t="shared" si="303"/>
        <v>0</v>
      </c>
      <c r="FD134" s="1297">
        <f t="shared" si="304"/>
        <v>0</v>
      </c>
      <c r="FE134" s="1297">
        <f t="shared" si="305"/>
        <v>0</v>
      </c>
      <c r="FF134" s="1297">
        <f t="shared" si="306"/>
        <v>0</v>
      </c>
      <c r="FG134" s="1297">
        <f t="shared" si="307"/>
        <v>0</v>
      </c>
      <c r="FH134" s="1297">
        <f t="shared" si="308"/>
        <v>0</v>
      </c>
      <c r="FI134" s="1297">
        <f t="shared" si="309"/>
        <v>0</v>
      </c>
      <c r="FJ134" s="1297">
        <f t="shared" si="310"/>
        <v>0</v>
      </c>
      <c r="FK134" s="1297">
        <f t="shared" si="311"/>
        <v>0</v>
      </c>
      <c r="FL134" s="1297">
        <f t="shared" si="312"/>
        <v>0</v>
      </c>
      <c r="FM134" s="1297">
        <f t="shared" si="313"/>
        <v>0</v>
      </c>
      <c r="FN134" s="1297">
        <f t="shared" si="314"/>
        <v>0</v>
      </c>
      <c r="FO134" s="1184"/>
      <c r="FP134" s="1186">
        <f t="shared" si="315"/>
        <v>0</v>
      </c>
      <c r="FQ134" s="1297">
        <f t="shared" si="316"/>
        <v>0</v>
      </c>
      <c r="FR134" s="1297">
        <f t="shared" si="317"/>
        <v>0</v>
      </c>
      <c r="FS134" s="1297">
        <f t="shared" si="318"/>
        <v>0</v>
      </c>
      <c r="FT134" s="1297">
        <f t="shared" si="319"/>
        <v>0</v>
      </c>
      <c r="FU134" s="1297">
        <f t="shared" si="320"/>
        <v>0</v>
      </c>
      <c r="FV134" s="1297">
        <f t="shared" si="321"/>
        <v>0</v>
      </c>
      <c r="FW134" s="1297">
        <f t="shared" si="322"/>
        <v>0</v>
      </c>
      <c r="FX134" s="1297">
        <f t="shared" si="323"/>
        <v>0</v>
      </c>
      <c r="FY134" s="1297">
        <f t="shared" si="324"/>
        <v>0</v>
      </c>
      <c r="FZ134" s="1297">
        <f t="shared" si="325"/>
        <v>0</v>
      </c>
      <c r="GA134" s="1297">
        <f t="shared" si="326"/>
        <v>0</v>
      </c>
      <c r="GB134" s="1297">
        <f t="shared" si="327"/>
        <v>0</v>
      </c>
      <c r="GC134" s="1184"/>
      <c r="GD134" s="1184">
        <f t="shared" si="328"/>
        <v>0</v>
      </c>
      <c r="GE134" s="1184">
        <f t="shared" si="329"/>
        <v>0</v>
      </c>
      <c r="GF134" s="1184"/>
      <c r="GG134" s="1184"/>
      <c r="GH134" s="1184"/>
      <c r="GI134" s="1184"/>
      <c r="GJ134" s="1184">
        <f t="shared" si="330"/>
        <v>0</v>
      </c>
      <c r="GK134" s="1184">
        <f t="shared" si="331"/>
        <v>0</v>
      </c>
      <c r="GL134" s="1184">
        <f t="shared" si="332"/>
        <v>0</v>
      </c>
      <c r="GM134" s="1184">
        <f t="shared" si="333"/>
        <v>0</v>
      </c>
      <c r="GN134" s="1184">
        <f t="shared" si="334"/>
        <v>0</v>
      </c>
      <c r="GO134" s="1184" cm="1">
        <f t="array" ref="GO134">IF(GN134=0,0,(SUMPRODUCT($J$75:$J$79,$CH$75:$CH$79,($BR$75:$BR$79=CZ134)*1)+SUMPRODUCT($R$75:$R$79,$CP$75:$CP$79,($BR$75:$BR$79=CZ134)*1))/GN134)</f>
        <v>0</v>
      </c>
      <c r="GP134" s="1184">
        <f t="shared" si="335"/>
        <v>0</v>
      </c>
      <c r="GQ134" s="1184"/>
      <c r="GR134" s="1184"/>
      <c r="GS134" s="1184">
        <f t="shared" si="336"/>
        <v>0</v>
      </c>
      <c r="GT134" s="1184">
        <f t="shared" si="337"/>
        <v>0</v>
      </c>
      <c r="GU134" s="1184">
        <f t="shared" si="338"/>
        <v>0</v>
      </c>
      <c r="GV134" s="1184">
        <f t="shared" si="339"/>
        <v>0</v>
      </c>
      <c r="GW134" s="1186" t="str">
        <f t="shared" si="292"/>
        <v xml:space="preserve"> </v>
      </c>
      <c r="GX134" s="1186" t="str">
        <f t="shared" si="292"/>
        <v xml:space="preserve"> </v>
      </c>
      <c r="GY134" s="1195">
        <f t="shared" si="340"/>
        <v>0</v>
      </c>
      <c r="GZ134" s="1184">
        <f t="shared" si="341"/>
        <v>0</v>
      </c>
      <c r="HA134" s="1184" t="str">
        <f t="shared" si="251"/>
        <v>a</v>
      </c>
      <c r="HB134" s="1196">
        <f t="shared" si="342"/>
        <v>0</v>
      </c>
      <c r="HC134" s="1196">
        <f t="shared" si="343"/>
        <v>0</v>
      </c>
      <c r="HD134" s="1196"/>
      <c r="HE134" s="1187">
        <f t="shared" si="344"/>
        <v>0</v>
      </c>
      <c r="HF134" s="1196">
        <f t="shared" si="345"/>
        <v>0</v>
      </c>
      <c r="HG134" s="1196">
        <f t="shared" si="346"/>
        <v>0</v>
      </c>
      <c r="HH134" s="1196">
        <f t="shared" si="347"/>
        <v>0</v>
      </c>
      <c r="HI134" s="1328" cm="1">
        <f t="array" ref="HI134">IF(AND(HG134=0,GL134=0),0,IF(HG134=0,1,IF(OR(GL134*1000/HG134/HH134&gt;INDEX(Pflanzen!$W$117:$W$154,CZ134)/INDEX(Pflanzen!$I$117:$I$154,CZ134)*$HI$1,GL134*1000/HG134/HH134&lt;INDEX(Pflanzen!$W$117:$W$154,CZ134)/INDEX(Pflanzen!$I$117:$I$154,CZ134)/$HI$1),1,0)))</f>
        <v>0</v>
      </c>
      <c r="HJ134" s="1330" cm="1">
        <f t="array" ref="HJ134">IF(AND(GM134=0,HG134=0),0,IF(HG134=0,1,IF(OR(GM134*1000/HG134/HH134&gt;INDEX(Pflanzen!$X$117:$X$154,CZ134)/INDEX(Pflanzen!$I$117:$I$154,CZ134)*$HI$2,GM134*1000/HG134/HH134&lt;INDEX(Pflanzen!$X$117:$X$154,CZ134)/INDEX(Pflanzen!$I$117:$I$154,CZ134)/$HI$2),1,0)))</f>
        <v>0</v>
      </c>
      <c r="HK134" s="1184">
        <f t="shared" si="348"/>
        <v>3</v>
      </c>
      <c r="HL134" s="1184"/>
      <c r="HN134" s="1184"/>
      <c r="HO134" s="1184"/>
      <c r="HP134" s="1184"/>
      <c r="HQ134" s="1184"/>
      <c r="HR134" s="1184"/>
      <c r="HS134" s="1184"/>
      <c r="HT134" s="1184"/>
      <c r="HU134" s="1184"/>
      <c r="HV134" s="1184"/>
      <c r="HW134" s="1184"/>
      <c r="HX134" s="1184"/>
      <c r="HY134" s="1184"/>
      <c r="HZ134" s="1184"/>
      <c r="IA134" s="1184"/>
      <c r="IB134" s="1184"/>
      <c r="IC134" s="1184"/>
      <c r="ID134" s="1184"/>
      <c r="IE134" s="1184"/>
      <c r="IF134" s="1184"/>
      <c r="IG134" s="1184"/>
      <c r="IH134" s="1184"/>
      <c r="II134" s="1184"/>
      <c r="IJ134" s="1184"/>
      <c r="IK134" s="1184"/>
      <c r="IL134" s="1184"/>
    </row>
    <row r="135" spans="25:246" ht="15.75" customHeight="1" x14ac:dyDescent="0.2">
      <c r="Y135" s="1555"/>
      <c r="Z135" s="1555"/>
      <c r="AA135" s="1555"/>
      <c r="AB135" s="1555"/>
      <c r="AC135" s="1176"/>
      <c r="AD135" s="1176"/>
      <c r="AE135" s="1176"/>
      <c r="AF135" s="1176"/>
      <c r="AG135" s="1176"/>
      <c r="AH135" s="1176"/>
      <c r="AI135" s="1176"/>
      <c r="AJ135" s="1176"/>
      <c r="AK135" s="1176"/>
      <c r="AL135" s="1176"/>
      <c r="AM135" s="1176"/>
      <c r="AN135" s="1176"/>
      <c r="AO135" s="246"/>
      <c r="AP135" s="246"/>
      <c r="AQ135" s="246"/>
      <c r="AR135" s="1176"/>
      <c r="AS135" s="1176"/>
      <c r="AT135" s="1176"/>
      <c r="AU135" s="1176"/>
      <c r="AV135" s="1176"/>
      <c r="AY135" s="1184"/>
      <c r="AZ135" s="1184"/>
      <c r="BA135" s="1184"/>
      <c r="BB135" s="1184"/>
      <c r="BC135" s="1184"/>
      <c r="BD135" s="1184"/>
      <c r="BQ135" s="1184"/>
      <c r="BR135" s="1184"/>
      <c r="BS135" s="1184"/>
      <c r="BT135" s="1184"/>
      <c r="BU135" s="1200"/>
      <c r="BV135" s="1326"/>
      <c r="BW135" s="1326"/>
      <c r="BX135" s="1326"/>
      <c r="BY135" s="1326"/>
      <c r="BZ135" s="1326"/>
      <c r="CA135" s="1326"/>
      <c r="CB135" s="1326"/>
      <c r="CC135" s="1326"/>
      <c r="CD135" s="1326"/>
      <c r="CE135" s="1326"/>
      <c r="CF135" s="1326"/>
      <c r="CG135" s="1326"/>
      <c r="CH135" s="1326"/>
      <c r="CI135" s="1326"/>
      <c r="CJ135" s="1326"/>
      <c r="CK135" s="1326"/>
      <c r="CL135" s="1184"/>
      <c r="CM135" s="1184"/>
      <c r="CN135" s="1184"/>
      <c r="CO135" s="1184"/>
      <c r="CP135" s="1184"/>
      <c r="CQ135" s="1184"/>
      <c r="CR135" s="1184"/>
      <c r="CS135" s="1184"/>
      <c r="CT135" s="1184"/>
      <c r="CU135" s="1184"/>
      <c r="CV135" s="1184"/>
      <c r="CW135" s="1184"/>
      <c r="CX135" s="1184"/>
      <c r="CY135" s="1208" t="str">
        <f>Pflanzen!C136</f>
        <v>Melasseschnitzel</v>
      </c>
      <c r="CZ135" s="1184">
        <f>IFERROR(MATCH($CY135,Pflanzen!$C$117:$C$154,0),1)</f>
        <v>20</v>
      </c>
      <c r="DA135" s="1208">
        <f>Pflanzen!H136</f>
        <v>2</v>
      </c>
      <c r="DB135" s="1184">
        <f t="shared" si="349"/>
        <v>0</v>
      </c>
      <c r="DC135" s="1184">
        <f t="shared" si="349"/>
        <v>0</v>
      </c>
      <c r="DD135" s="1184">
        <f t="shared" si="349"/>
        <v>0</v>
      </c>
      <c r="DE135" s="1184">
        <f t="shared" si="349"/>
        <v>0</v>
      </c>
      <c r="DF135" s="1184">
        <f t="shared" si="349"/>
        <v>0</v>
      </c>
      <c r="DG135" s="1184">
        <f t="shared" si="349"/>
        <v>0</v>
      </c>
      <c r="DH135" s="1184">
        <f t="shared" si="349"/>
        <v>0</v>
      </c>
      <c r="DI135" s="1184">
        <f t="shared" si="349"/>
        <v>0</v>
      </c>
      <c r="DJ135" s="1184">
        <f t="shared" si="349"/>
        <v>0</v>
      </c>
      <c r="DK135" s="1184">
        <f t="shared" si="349"/>
        <v>0</v>
      </c>
      <c r="DL135" s="1184">
        <f t="shared" si="349"/>
        <v>0</v>
      </c>
      <c r="DM135" s="1184">
        <f t="shared" si="349"/>
        <v>0</v>
      </c>
      <c r="DN135" s="1184"/>
      <c r="DO135" s="1184">
        <f t="shared" si="350"/>
        <v>0</v>
      </c>
      <c r="DP135" s="1184">
        <f t="shared" si="350"/>
        <v>0</v>
      </c>
      <c r="DQ135" s="1184">
        <f t="shared" si="350"/>
        <v>0</v>
      </c>
      <c r="DR135" s="1184">
        <f t="shared" si="350"/>
        <v>0</v>
      </c>
      <c r="DS135" s="1184">
        <f t="shared" si="350"/>
        <v>0</v>
      </c>
      <c r="DT135" s="1184">
        <f t="shared" si="350"/>
        <v>0</v>
      </c>
      <c r="DU135" s="1184">
        <f t="shared" si="350"/>
        <v>0</v>
      </c>
      <c r="DV135" s="1184">
        <f t="shared" si="350"/>
        <v>0</v>
      </c>
      <c r="DW135" s="1184">
        <f t="shared" si="350"/>
        <v>0</v>
      </c>
      <c r="DX135" s="1184">
        <f t="shared" si="350"/>
        <v>0</v>
      </c>
      <c r="DY135" s="1184">
        <f t="shared" si="350"/>
        <v>0</v>
      </c>
      <c r="DZ135" s="1184">
        <f t="shared" si="350"/>
        <v>0</v>
      </c>
      <c r="EA135" s="1184"/>
      <c r="EB135" s="1184"/>
      <c r="EC135" s="1184"/>
      <c r="ED135" s="1184"/>
      <c r="EE135" s="1184"/>
      <c r="EF135" s="1184"/>
      <c r="EG135" s="1184"/>
      <c r="EH135" s="1184"/>
      <c r="EI135" s="1184"/>
      <c r="EJ135" s="1184"/>
      <c r="EK135" s="1184"/>
      <c r="EL135" s="1184"/>
      <c r="EM135" s="1184"/>
      <c r="EN135" s="1184"/>
      <c r="EO135" s="1184"/>
      <c r="EP135" s="1184"/>
      <c r="EQ135" s="1184"/>
      <c r="ER135" s="1184"/>
      <c r="ES135" s="1184"/>
      <c r="ET135" s="1184"/>
      <c r="EU135" s="1184"/>
      <c r="EV135" s="1184"/>
      <c r="EW135" s="1184"/>
      <c r="EX135" s="1184"/>
      <c r="EY135" s="1184"/>
      <c r="EZ135" s="1184"/>
      <c r="FA135" s="1184"/>
      <c r="FB135" s="1186">
        <f t="shared" si="302"/>
        <v>0</v>
      </c>
      <c r="FC135" s="1297">
        <f t="shared" si="303"/>
        <v>0</v>
      </c>
      <c r="FD135" s="1297">
        <f t="shared" si="304"/>
        <v>0</v>
      </c>
      <c r="FE135" s="1297">
        <f t="shared" si="305"/>
        <v>0</v>
      </c>
      <c r="FF135" s="1297">
        <f t="shared" si="306"/>
        <v>0</v>
      </c>
      <c r="FG135" s="1297">
        <f t="shared" si="307"/>
        <v>0</v>
      </c>
      <c r="FH135" s="1297">
        <f t="shared" si="308"/>
        <v>0</v>
      </c>
      <c r="FI135" s="1297">
        <f t="shared" si="309"/>
        <v>0</v>
      </c>
      <c r="FJ135" s="1297">
        <f t="shared" si="310"/>
        <v>0</v>
      </c>
      <c r="FK135" s="1297">
        <f t="shared" si="311"/>
        <v>0</v>
      </c>
      <c r="FL135" s="1297">
        <f t="shared" si="312"/>
        <v>0</v>
      </c>
      <c r="FM135" s="1297">
        <f t="shared" si="313"/>
        <v>0</v>
      </c>
      <c r="FN135" s="1297">
        <f t="shared" si="314"/>
        <v>0</v>
      </c>
      <c r="FO135" s="1184"/>
      <c r="FP135" s="1186">
        <f t="shared" si="315"/>
        <v>0</v>
      </c>
      <c r="FQ135" s="1297">
        <f t="shared" si="316"/>
        <v>0</v>
      </c>
      <c r="FR135" s="1297">
        <f t="shared" si="317"/>
        <v>0</v>
      </c>
      <c r="FS135" s="1297">
        <f t="shared" si="318"/>
        <v>0</v>
      </c>
      <c r="FT135" s="1297">
        <f t="shared" si="319"/>
        <v>0</v>
      </c>
      <c r="FU135" s="1297">
        <f t="shared" si="320"/>
        <v>0</v>
      </c>
      <c r="FV135" s="1297">
        <f t="shared" si="321"/>
        <v>0</v>
      </c>
      <c r="FW135" s="1297">
        <f t="shared" si="322"/>
        <v>0</v>
      </c>
      <c r="FX135" s="1297">
        <f t="shared" si="323"/>
        <v>0</v>
      </c>
      <c r="FY135" s="1297">
        <f t="shared" si="324"/>
        <v>0</v>
      </c>
      <c r="FZ135" s="1297">
        <f t="shared" si="325"/>
        <v>0</v>
      </c>
      <c r="GA135" s="1297">
        <f t="shared" si="326"/>
        <v>0</v>
      </c>
      <c r="GB135" s="1297">
        <f t="shared" si="327"/>
        <v>0</v>
      </c>
      <c r="GC135" s="1184"/>
      <c r="GD135" s="1184">
        <f t="shared" si="328"/>
        <v>0</v>
      </c>
      <c r="GE135" s="1184">
        <f t="shared" si="329"/>
        <v>0</v>
      </c>
      <c r="GF135" s="1184"/>
      <c r="GG135" s="1184"/>
      <c r="GH135" s="1184"/>
      <c r="GI135" s="1184"/>
      <c r="GJ135" s="1184">
        <f t="shared" si="330"/>
        <v>0</v>
      </c>
      <c r="GK135" s="1184">
        <f t="shared" si="331"/>
        <v>0</v>
      </c>
      <c r="GL135" s="1184">
        <f t="shared" si="332"/>
        <v>0</v>
      </c>
      <c r="GM135" s="1184">
        <f t="shared" si="333"/>
        <v>0</v>
      </c>
      <c r="GN135" s="1184">
        <f t="shared" si="334"/>
        <v>0</v>
      </c>
      <c r="GO135" s="1184" cm="1">
        <f t="array" ref="GO135">IF(GN135=0,0,(SUMPRODUCT($J$75:$J$79,$CH$75:$CH$79,($BR$75:$BR$79=CZ135)*1)+SUMPRODUCT($R$75:$R$79,$CP$75:$CP$79,($BR$75:$BR$79=CZ135)*1))/GN135)</f>
        <v>0</v>
      </c>
      <c r="GP135" s="1184">
        <f t="shared" si="335"/>
        <v>0</v>
      </c>
      <c r="GQ135" s="1184"/>
      <c r="GR135" s="1184"/>
      <c r="GS135" s="1184">
        <f t="shared" si="336"/>
        <v>0</v>
      </c>
      <c r="GT135" s="1184">
        <f t="shared" si="337"/>
        <v>0</v>
      </c>
      <c r="GU135" s="1184">
        <f t="shared" si="338"/>
        <v>0</v>
      </c>
      <c r="GV135" s="1184">
        <f t="shared" si="339"/>
        <v>0</v>
      </c>
      <c r="GW135" s="1186" t="str">
        <f t="shared" si="292"/>
        <v xml:space="preserve"> </v>
      </c>
      <c r="GX135" s="1186" t="str">
        <f t="shared" si="292"/>
        <v xml:space="preserve"> </v>
      </c>
      <c r="GY135" s="1195">
        <f t="shared" si="340"/>
        <v>0</v>
      </c>
      <c r="GZ135" s="1184">
        <f t="shared" si="341"/>
        <v>0</v>
      </c>
      <c r="HA135" s="1184" t="str">
        <f t="shared" si="251"/>
        <v>a</v>
      </c>
      <c r="HB135" s="1196">
        <f t="shared" si="342"/>
        <v>0</v>
      </c>
      <c r="HC135" s="1196">
        <f t="shared" si="343"/>
        <v>0</v>
      </c>
      <c r="HD135" s="1196"/>
      <c r="HE135" s="1187">
        <f t="shared" si="344"/>
        <v>0</v>
      </c>
      <c r="HF135" s="1196">
        <f t="shared" si="345"/>
        <v>0</v>
      </c>
      <c r="HG135" s="1196">
        <f t="shared" si="346"/>
        <v>0</v>
      </c>
      <c r="HH135" s="1196">
        <f t="shared" si="347"/>
        <v>0</v>
      </c>
      <c r="HI135" s="1328" cm="1">
        <f t="array" ref="HI135">IF(AND(HG135=0,GL135=0),0,IF(HG135=0,1,IF(OR(GL135*1000/HG135/HH135&gt;INDEX(Pflanzen!$W$117:$W$154,CZ135)/INDEX(Pflanzen!$I$117:$I$154,CZ135)*$HI$1,GL135*1000/HG135/HH135&lt;INDEX(Pflanzen!$W$117:$W$154,CZ135)/INDEX(Pflanzen!$I$117:$I$154,CZ135)/$HI$1),1,0)))</f>
        <v>0</v>
      </c>
      <c r="HJ135" s="1330" cm="1">
        <f t="array" ref="HJ135">IF(AND(GM135=0,HG135=0),0,IF(HG135=0,1,IF(OR(GM135*1000/HG135/HH135&gt;INDEX(Pflanzen!$X$117:$X$154,CZ135)/INDEX(Pflanzen!$I$117:$I$154,CZ135)*$HI$2,GM135*1000/HG135/HH135&lt;INDEX(Pflanzen!$X$117:$X$154,CZ135)/INDEX(Pflanzen!$I$117:$I$154,CZ135)/$HI$2),1,0)))</f>
        <v>0</v>
      </c>
      <c r="HK135" s="1184">
        <f t="shared" si="348"/>
        <v>3</v>
      </c>
      <c r="HL135" s="1184"/>
      <c r="HN135" s="1184"/>
      <c r="HO135" s="1184"/>
      <c r="HP135" s="1184"/>
      <c r="HQ135" s="1184"/>
      <c r="HR135" s="1184"/>
      <c r="HS135" s="1184"/>
      <c r="HT135" s="1184"/>
      <c r="HU135" s="1184"/>
      <c r="HV135" s="1184"/>
      <c r="HW135" s="1184"/>
      <c r="HX135" s="1184"/>
      <c r="HY135" s="1184"/>
      <c r="HZ135" s="1184"/>
      <c r="IA135" s="1184"/>
      <c r="IB135" s="1184"/>
      <c r="IC135" s="1184"/>
      <c r="ID135" s="1184"/>
      <c r="IE135" s="1184"/>
      <c r="IF135" s="1184"/>
      <c r="IG135" s="1184"/>
      <c r="IH135" s="1184"/>
      <c r="II135" s="1184"/>
      <c r="IJ135" s="1184"/>
      <c r="IK135" s="1184"/>
      <c r="IL135" s="1184"/>
    </row>
    <row r="136" spans="25:246" ht="15.75" customHeight="1" x14ac:dyDescent="0.2">
      <c r="Y136" s="1555"/>
      <c r="Z136" s="1555"/>
      <c r="AA136" s="1555"/>
      <c r="AB136" s="1555"/>
      <c r="AC136" s="1176"/>
      <c r="AD136" s="1176"/>
      <c r="AE136" s="1176"/>
      <c r="AF136" s="1176"/>
      <c r="AG136" s="1176"/>
      <c r="AH136" s="1176"/>
      <c r="AI136" s="1176"/>
      <c r="AJ136" s="1176"/>
      <c r="AK136" s="1176"/>
      <c r="AL136" s="1176"/>
      <c r="AM136" s="1176"/>
      <c r="AN136" s="1176"/>
      <c r="AO136" s="246"/>
      <c r="AP136" s="246"/>
      <c r="AQ136" s="246"/>
      <c r="AR136" s="1176"/>
      <c r="AS136" s="1176"/>
      <c r="AT136" s="1176"/>
      <c r="AU136" s="1176"/>
      <c r="AV136" s="1176"/>
      <c r="AY136" s="1184"/>
      <c r="AZ136" s="1184"/>
      <c r="BA136" s="1184"/>
      <c r="BB136" s="1184"/>
      <c r="BC136" s="1184"/>
      <c r="BD136" s="1184"/>
      <c r="BQ136" s="1184"/>
      <c r="BR136" s="1184"/>
      <c r="BS136" s="1184"/>
      <c r="BT136" s="1184"/>
      <c r="BU136" s="1200"/>
      <c r="BV136" s="1326"/>
      <c r="BW136" s="1326"/>
      <c r="BX136" s="1326"/>
      <c r="BY136" s="1326"/>
      <c r="BZ136" s="1326"/>
      <c r="CA136" s="1326"/>
      <c r="CB136" s="1326"/>
      <c r="CC136" s="1326"/>
      <c r="CD136" s="1326"/>
      <c r="CE136" s="1326"/>
      <c r="CF136" s="1326"/>
      <c r="CG136" s="1326"/>
      <c r="CH136" s="1326"/>
      <c r="CI136" s="1326"/>
      <c r="CJ136" s="1326"/>
      <c r="CK136" s="1326"/>
      <c r="CL136" s="1184"/>
      <c r="CM136" s="1184"/>
      <c r="CN136" s="1184"/>
      <c r="CO136" s="1184"/>
      <c r="CP136" s="1184"/>
      <c r="CQ136" s="1184"/>
      <c r="CR136" s="1184"/>
      <c r="CS136" s="1184"/>
      <c r="CT136" s="1184"/>
      <c r="CU136" s="1184"/>
      <c r="CV136" s="1184"/>
      <c r="CW136" s="1184"/>
      <c r="CX136" s="1184"/>
      <c r="CY136" s="1208" t="str">
        <f>Pflanzen!C137</f>
        <v>Molke, Permeat</v>
      </c>
      <c r="CZ136" s="1184">
        <f>IFERROR(MATCH($CY136,Pflanzen!$C$117:$C$154,0),1)</f>
        <v>21</v>
      </c>
      <c r="DA136" s="1208">
        <f>Pflanzen!H137</f>
        <v>2</v>
      </c>
      <c r="DB136" s="1184">
        <f t="shared" ref="DB136:DM145" si="351">SUMIFS($CQ$75:$CQ$79,$BW$75:$BW$79,1,$BX$75:$BX$79,DB$2,$BR$75:$BR$79,$CZ136)+   SUMIFS($CQ$75:$CQ$79,$BW$75:$BW$79,"&gt;1",$BX$75:$BX$79,"&lt;="&amp;DB$2,$BY$75:$BY$79,"&gt;="&amp;DB$2,$BR$75:$BR$79,$CZ136)</f>
        <v>0</v>
      </c>
      <c r="DC136" s="1184">
        <f t="shared" si="351"/>
        <v>0</v>
      </c>
      <c r="DD136" s="1184">
        <f t="shared" si="351"/>
        <v>0</v>
      </c>
      <c r="DE136" s="1184">
        <f t="shared" si="351"/>
        <v>0</v>
      </c>
      <c r="DF136" s="1184">
        <f t="shared" si="351"/>
        <v>0</v>
      </c>
      <c r="DG136" s="1184">
        <f t="shared" si="351"/>
        <v>0</v>
      </c>
      <c r="DH136" s="1184">
        <f t="shared" si="351"/>
        <v>0</v>
      </c>
      <c r="DI136" s="1184">
        <f t="shared" si="351"/>
        <v>0</v>
      </c>
      <c r="DJ136" s="1184">
        <f t="shared" si="351"/>
        <v>0</v>
      </c>
      <c r="DK136" s="1184">
        <f t="shared" si="351"/>
        <v>0</v>
      </c>
      <c r="DL136" s="1184">
        <f t="shared" si="351"/>
        <v>0</v>
      </c>
      <c r="DM136" s="1184">
        <f t="shared" si="351"/>
        <v>0</v>
      </c>
      <c r="DN136" s="1184"/>
      <c r="DO136" s="1184">
        <f t="shared" ref="DO136:DZ145" si="352">SUMIFS($CS$75:$CS$79,$BW$75:$BW$79,1,$BX$75:$BX$79,DO$2,$BR$75:$BR$79,$CZ136)+   SUMIFS($CS$75:$CS$79,$BW$75:$BW$79,"&gt;1",$BX$75:$BX$79,"&lt;="&amp;DO$2,$BY$75:$BY$79,"&gt;="&amp;DO$2,$BR$75:$BR$79,$CZ136)</f>
        <v>0</v>
      </c>
      <c r="DP136" s="1184">
        <f t="shared" si="352"/>
        <v>0</v>
      </c>
      <c r="DQ136" s="1184">
        <f t="shared" si="352"/>
        <v>0</v>
      </c>
      <c r="DR136" s="1184">
        <f t="shared" si="352"/>
        <v>0</v>
      </c>
      <c r="DS136" s="1184">
        <f t="shared" si="352"/>
        <v>0</v>
      </c>
      <c r="DT136" s="1184">
        <f t="shared" si="352"/>
        <v>0</v>
      </c>
      <c r="DU136" s="1184">
        <f t="shared" si="352"/>
        <v>0</v>
      </c>
      <c r="DV136" s="1184">
        <f t="shared" si="352"/>
        <v>0</v>
      </c>
      <c r="DW136" s="1184">
        <f t="shared" si="352"/>
        <v>0</v>
      </c>
      <c r="DX136" s="1184">
        <f t="shared" si="352"/>
        <v>0</v>
      </c>
      <c r="DY136" s="1184">
        <f t="shared" si="352"/>
        <v>0</v>
      </c>
      <c r="DZ136" s="1184">
        <f t="shared" si="352"/>
        <v>0</v>
      </c>
      <c r="EA136" s="1184"/>
      <c r="EB136" s="1184"/>
      <c r="EC136" s="1184"/>
      <c r="ED136" s="1184"/>
      <c r="EE136" s="1184"/>
      <c r="EF136" s="1184"/>
      <c r="EG136" s="1184"/>
      <c r="EH136" s="1184"/>
      <c r="EI136" s="1184"/>
      <c r="EJ136" s="1184"/>
      <c r="EK136" s="1184"/>
      <c r="EL136" s="1184"/>
      <c r="EM136" s="1184"/>
      <c r="EN136" s="1184"/>
      <c r="EO136" s="1184"/>
      <c r="EP136" s="1184"/>
      <c r="EQ136" s="1184"/>
      <c r="ER136" s="1184"/>
      <c r="ES136" s="1184"/>
      <c r="ET136" s="1184"/>
      <c r="EU136" s="1184"/>
      <c r="EV136" s="1184"/>
      <c r="EW136" s="1184"/>
      <c r="EX136" s="1184"/>
      <c r="EY136" s="1184"/>
      <c r="EZ136" s="1184"/>
      <c r="FA136" s="1184"/>
      <c r="FB136" s="1186">
        <f t="shared" si="302"/>
        <v>0</v>
      </c>
      <c r="FC136" s="1297">
        <f t="shared" si="303"/>
        <v>0</v>
      </c>
      <c r="FD136" s="1297">
        <f t="shared" si="304"/>
        <v>0</v>
      </c>
      <c r="FE136" s="1297">
        <f t="shared" si="305"/>
        <v>0</v>
      </c>
      <c r="FF136" s="1297">
        <f t="shared" si="306"/>
        <v>0</v>
      </c>
      <c r="FG136" s="1297">
        <f t="shared" si="307"/>
        <v>0</v>
      </c>
      <c r="FH136" s="1297">
        <f t="shared" si="308"/>
        <v>0</v>
      </c>
      <c r="FI136" s="1297">
        <f t="shared" si="309"/>
        <v>0</v>
      </c>
      <c r="FJ136" s="1297">
        <f t="shared" si="310"/>
        <v>0</v>
      </c>
      <c r="FK136" s="1297">
        <f t="shared" si="311"/>
        <v>0</v>
      </c>
      <c r="FL136" s="1297">
        <f t="shared" si="312"/>
        <v>0</v>
      </c>
      <c r="FM136" s="1297">
        <f t="shared" si="313"/>
        <v>0</v>
      </c>
      <c r="FN136" s="1297">
        <f t="shared" si="314"/>
        <v>0</v>
      </c>
      <c r="FO136" s="1184"/>
      <c r="FP136" s="1186">
        <f t="shared" si="315"/>
        <v>0</v>
      </c>
      <c r="FQ136" s="1297">
        <f t="shared" si="316"/>
        <v>0</v>
      </c>
      <c r="FR136" s="1297">
        <f t="shared" si="317"/>
        <v>0</v>
      </c>
      <c r="FS136" s="1297">
        <f t="shared" si="318"/>
        <v>0</v>
      </c>
      <c r="FT136" s="1297">
        <f t="shared" si="319"/>
        <v>0</v>
      </c>
      <c r="FU136" s="1297">
        <f t="shared" si="320"/>
        <v>0</v>
      </c>
      <c r="FV136" s="1297">
        <f t="shared" si="321"/>
        <v>0</v>
      </c>
      <c r="FW136" s="1297">
        <f t="shared" si="322"/>
        <v>0</v>
      </c>
      <c r="FX136" s="1297">
        <f t="shared" si="323"/>
        <v>0</v>
      </c>
      <c r="FY136" s="1297">
        <f t="shared" si="324"/>
        <v>0</v>
      </c>
      <c r="FZ136" s="1297">
        <f t="shared" si="325"/>
        <v>0</v>
      </c>
      <c r="GA136" s="1297">
        <f t="shared" si="326"/>
        <v>0</v>
      </c>
      <c r="GB136" s="1297">
        <f t="shared" si="327"/>
        <v>0</v>
      </c>
      <c r="GC136" s="1184"/>
      <c r="GD136" s="1184">
        <f t="shared" si="328"/>
        <v>0</v>
      </c>
      <c r="GE136" s="1184">
        <f t="shared" si="329"/>
        <v>0</v>
      </c>
      <c r="GF136" s="1184"/>
      <c r="GG136" s="1184"/>
      <c r="GH136" s="1184"/>
      <c r="GI136" s="1184"/>
      <c r="GJ136" s="1184">
        <f t="shared" si="330"/>
        <v>0</v>
      </c>
      <c r="GK136" s="1184">
        <f t="shared" si="331"/>
        <v>0</v>
      </c>
      <c r="GL136" s="1184">
        <f t="shared" si="332"/>
        <v>0</v>
      </c>
      <c r="GM136" s="1184">
        <f t="shared" si="333"/>
        <v>0</v>
      </c>
      <c r="GN136" s="1184">
        <f t="shared" si="334"/>
        <v>0</v>
      </c>
      <c r="GO136" s="1184" cm="1">
        <f t="array" ref="GO136">IF(GN136=0,0,(SUMPRODUCT($J$75:$J$79,$CH$75:$CH$79,($BR$75:$BR$79=CZ136)*1)+SUMPRODUCT($R$75:$R$79,$CP$75:$CP$79,($BR$75:$BR$79=CZ136)*1))/GN136)</f>
        <v>0</v>
      </c>
      <c r="GP136" s="1184">
        <f t="shared" si="335"/>
        <v>0</v>
      </c>
      <c r="GQ136" s="1184"/>
      <c r="GR136" s="1184"/>
      <c r="GS136" s="1184">
        <f t="shared" si="336"/>
        <v>0</v>
      </c>
      <c r="GT136" s="1184">
        <f t="shared" si="337"/>
        <v>0</v>
      </c>
      <c r="GU136" s="1184">
        <f t="shared" si="338"/>
        <v>0</v>
      </c>
      <c r="GV136" s="1184">
        <f t="shared" si="339"/>
        <v>0</v>
      </c>
      <c r="GW136" s="1186" t="str">
        <f t="shared" si="292"/>
        <v xml:space="preserve"> </v>
      </c>
      <c r="GX136" s="1186" t="str">
        <f t="shared" si="292"/>
        <v xml:space="preserve"> </v>
      </c>
      <c r="GY136" s="1195">
        <f t="shared" si="340"/>
        <v>0</v>
      </c>
      <c r="GZ136" s="1184">
        <f t="shared" si="341"/>
        <v>0</v>
      </c>
      <c r="HA136" s="1184" t="str">
        <f t="shared" si="251"/>
        <v>a</v>
      </c>
      <c r="HB136" s="1196">
        <f t="shared" si="342"/>
        <v>0</v>
      </c>
      <c r="HC136" s="1196">
        <f t="shared" si="343"/>
        <v>0</v>
      </c>
      <c r="HD136" s="1196"/>
      <c r="HE136" s="1187">
        <f t="shared" si="344"/>
        <v>0</v>
      </c>
      <c r="HF136" s="1196">
        <f t="shared" si="345"/>
        <v>0</v>
      </c>
      <c r="HG136" s="1196">
        <f t="shared" si="346"/>
        <v>0</v>
      </c>
      <c r="HH136" s="1196">
        <f t="shared" si="347"/>
        <v>0</v>
      </c>
      <c r="HI136" s="1328" cm="1">
        <f t="array" ref="HI136">IF(AND(HG136=0,GL136=0),0,IF(HG136=0,1,IF(OR(GL136*1000/HG136/HH136&gt;INDEX(Pflanzen!$W$117:$W$154,CZ136)/INDEX(Pflanzen!$I$117:$I$154,CZ136)*$HI$1,GL136*1000/HG136/HH136&lt;INDEX(Pflanzen!$W$117:$W$154,CZ136)/INDEX(Pflanzen!$I$117:$I$154,CZ136)/$HI$1),1,0)))</f>
        <v>0</v>
      </c>
      <c r="HJ136" s="1330" cm="1">
        <f t="array" ref="HJ136">IF(AND(GM136=0,HG136=0),0,IF(HG136=0,1,IF(OR(GM136*1000/HG136/HH136&gt;INDEX(Pflanzen!$X$117:$X$154,CZ136)/INDEX(Pflanzen!$I$117:$I$154,CZ136)*$HI$2,GM136*1000/HG136/HH136&lt;INDEX(Pflanzen!$X$117:$X$154,CZ136)/INDEX(Pflanzen!$I$117:$I$154,CZ136)/$HI$2),1,0)))</f>
        <v>0</v>
      </c>
      <c r="HK136" s="1184">
        <f t="shared" si="348"/>
        <v>3</v>
      </c>
      <c r="HL136" s="1184"/>
      <c r="HN136" s="1184"/>
      <c r="HO136" s="1184"/>
      <c r="HP136" s="1184"/>
      <c r="HQ136" s="1184"/>
      <c r="HR136" s="1184"/>
      <c r="HS136" s="1184"/>
      <c r="HT136" s="1184"/>
      <c r="HU136" s="1184"/>
      <c r="HV136" s="1184"/>
      <c r="HW136" s="1184"/>
      <c r="HX136" s="1184"/>
      <c r="HY136" s="1184"/>
      <c r="HZ136" s="1184"/>
      <c r="IA136" s="1184"/>
      <c r="IB136" s="1184"/>
      <c r="IC136" s="1184"/>
      <c r="ID136" s="1184"/>
      <c r="IE136" s="1184"/>
      <c r="IF136" s="1184"/>
      <c r="IG136" s="1184"/>
      <c r="IH136" s="1184"/>
      <c r="II136" s="1184"/>
      <c r="IJ136" s="1184"/>
      <c r="IK136" s="1184"/>
      <c r="IL136" s="1184"/>
    </row>
    <row r="137" spans="25:246" ht="15.75" customHeight="1" x14ac:dyDescent="0.2">
      <c r="Y137" s="1555"/>
      <c r="Z137" s="1555"/>
      <c r="AA137" s="1555"/>
      <c r="AB137" s="1555"/>
      <c r="AC137" s="1176"/>
      <c r="AD137" s="1176"/>
      <c r="AE137" s="1176"/>
      <c r="AF137" s="1176"/>
      <c r="AG137" s="1176"/>
      <c r="AH137" s="1176"/>
      <c r="AI137" s="1176"/>
      <c r="AJ137" s="1176"/>
      <c r="AK137" s="1176"/>
      <c r="AL137" s="1176"/>
      <c r="AM137" s="1176"/>
      <c r="AN137" s="1176"/>
      <c r="AO137" s="246"/>
      <c r="AP137" s="246"/>
      <c r="AQ137" s="246"/>
      <c r="AR137" s="1176"/>
      <c r="AS137" s="1176"/>
      <c r="AT137" s="1176"/>
      <c r="AU137" s="1176"/>
      <c r="AV137" s="1176"/>
      <c r="AY137" s="1184"/>
      <c r="AZ137" s="1184"/>
      <c r="BA137" s="1184"/>
      <c r="BB137" s="1184"/>
      <c r="BC137" s="1184"/>
      <c r="BD137" s="1184"/>
      <c r="BQ137" s="1184"/>
      <c r="BR137" s="1184"/>
      <c r="BS137" s="1184"/>
      <c r="BT137" s="1184"/>
      <c r="BU137" s="1200"/>
      <c r="BV137" s="1326"/>
      <c r="BW137" s="1326"/>
      <c r="BX137" s="1326"/>
      <c r="BY137" s="1326"/>
      <c r="BZ137" s="1326"/>
      <c r="CA137" s="1326"/>
      <c r="CB137" s="1326"/>
      <c r="CC137" s="1326"/>
      <c r="CD137" s="1326"/>
      <c r="CE137" s="1326"/>
      <c r="CF137" s="1326"/>
      <c r="CG137" s="1326"/>
      <c r="CH137" s="1326"/>
      <c r="CI137" s="1326"/>
      <c r="CJ137" s="1326"/>
      <c r="CK137" s="1326"/>
      <c r="CL137" s="1184"/>
      <c r="CM137" s="1184"/>
      <c r="CN137" s="1184"/>
      <c r="CO137" s="1184"/>
      <c r="CP137" s="1184"/>
      <c r="CQ137" s="1184"/>
      <c r="CR137" s="1184"/>
      <c r="CS137" s="1184"/>
      <c r="CT137" s="1184"/>
      <c r="CU137" s="1184"/>
      <c r="CV137" s="1184"/>
      <c r="CW137" s="1184"/>
      <c r="CX137" s="1184"/>
      <c r="CY137" s="1208" t="str">
        <f>Pflanzen!C138</f>
        <v>Pressschnitzel, siliert</v>
      </c>
      <c r="CZ137" s="1184">
        <f>IFERROR(MATCH($CY137,Pflanzen!$C$117:$C$154,0),1)</f>
        <v>22</v>
      </c>
      <c r="DA137" s="1208">
        <f>Pflanzen!H138</f>
        <v>2</v>
      </c>
      <c r="DB137" s="1184">
        <f t="shared" si="351"/>
        <v>0</v>
      </c>
      <c r="DC137" s="1184">
        <f t="shared" si="351"/>
        <v>0</v>
      </c>
      <c r="DD137" s="1184">
        <f t="shared" si="351"/>
        <v>0</v>
      </c>
      <c r="DE137" s="1184">
        <f t="shared" si="351"/>
        <v>0</v>
      </c>
      <c r="DF137" s="1184">
        <f t="shared" si="351"/>
        <v>0</v>
      </c>
      <c r="DG137" s="1184">
        <f t="shared" si="351"/>
        <v>0</v>
      </c>
      <c r="DH137" s="1184">
        <f t="shared" si="351"/>
        <v>0</v>
      </c>
      <c r="DI137" s="1184">
        <f t="shared" si="351"/>
        <v>0</v>
      </c>
      <c r="DJ137" s="1184">
        <f t="shared" si="351"/>
        <v>0</v>
      </c>
      <c r="DK137" s="1184">
        <f t="shared" si="351"/>
        <v>0</v>
      </c>
      <c r="DL137" s="1184">
        <f t="shared" si="351"/>
        <v>0</v>
      </c>
      <c r="DM137" s="1184">
        <f t="shared" si="351"/>
        <v>0</v>
      </c>
      <c r="DN137" s="1184"/>
      <c r="DO137" s="1184">
        <f t="shared" si="352"/>
        <v>0</v>
      </c>
      <c r="DP137" s="1184">
        <f t="shared" si="352"/>
        <v>0</v>
      </c>
      <c r="DQ137" s="1184">
        <f t="shared" si="352"/>
        <v>0</v>
      </c>
      <c r="DR137" s="1184">
        <f t="shared" si="352"/>
        <v>0</v>
      </c>
      <c r="DS137" s="1184">
        <f t="shared" si="352"/>
        <v>0</v>
      </c>
      <c r="DT137" s="1184">
        <f t="shared" si="352"/>
        <v>0</v>
      </c>
      <c r="DU137" s="1184">
        <f t="shared" si="352"/>
        <v>0</v>
      </c>
      <c r="DV137" s="1184">
        <f t="shared" si="352"/>
        <v>0</v>
      </c>
      <c r="DW137" s="1184">
        <f t="shared" si="352"/>
        <v>0</v>
      </c>
      <c r="DX137" s="1184">
        <f t="shared" si="352"/>
        <v>0</v>
      </c>
      <c r="DY137" s="1184">
        <f t="shared" si="352"/>
        <v>0</v>
      </c>
      <c r="DZ137" s="1184">
        <f t="shared" si="352"/>
        <v>0</v>
      </c>
      <c r="EA137" s="1184"/>
      <c r="EB137" s="1184"/>
      <c r="EC137" s="1184"/>
      <c r="ED137" s="1184"/>
      <c r="EE137" s="1184"/>
      <c r="EF137" s="1184"/>
      <c r="EG137" s="1184"/>
      <c r="EH137" s="1184"/>
      <c r="EI137" s="1184"/>
      <c r="EJ137" s="1184"/>
      <c r="EK137" s="1184"/>
      <c r="EL137" s="1184"/>
      <c r="EM137" s="1184"/>
      <c r="EN137" s="1184"/>
      <c r="EO137" s="1184"/>
      <c r="EP137" s="1184"/>
      <c r="EQ137" s="1184"/>
      <c r="ER137" s="1184"/>
      <c r="ES137" s="1184"/>
      <c r="ET137" s="1184"/>
      <c r="EU137" s="1184"/>
      <c r="EV137" s="1184"/>
      <c r="EW137" s="1184"/>
      <c r="EX137" s="1184"/>
      <c r="EY137" s="1184"/>
      <c r="EZ137" s="1184"/>
      <c r="FA137" s="1184"/>
      <c r="FB137" s="1186">
        <f t="shared" si="302"/>
        <v>0</v>
      </c>
      <c r="FC137" s="1297">
        <f t="shared" si="303"/>
        <v>0</v>
      </c>
      <c r="FD137" s="1297">
        <f t="shared" si="304"/>
        <v>0</v>
      </c>
      <c r="FE137" s="1297">
        <f t="shared" si="305"/>
        <v>0</v>
      </c>
      <c r="FF137" s="1297">
        <f t="shared" si="306"/>
        <v>0</v>
      </c>
      <c r="FG137" s="1297">
        <f t="shared" si="307"/>
        <v>0</v>
      </c>
      <c r="FH137" s="1297">
        <f t="shared" si="308"/>
        <v>0</v>
      </c>
      <c r="FI137" s="1297">
        <f t="shared" si="309"/>
        <v>0</v>
      </c>
      <c r="FJ137" s="1297">
        <f t="shared" si="310"/>
        <v>0</v>
      </c>
      <c r="FK137" s="1297">
        <f t="shared" si="311"/>
        <v>0</v>
      </c>
      <c r="FL137" s="1297">
        <f t="shared" si="312"/>
        <v>0</v>
      </c>
      <c r="FM137" s="1297">
        <f t="shared" si="313"/>
        <v>0</v>
      </c>
      <c r="FN137" s="1297">
        <f t="shared" si="314"/>
        <v>0</v>
      </c>
      <c r="FO137" s="1184"/>
      <c r="FP137" s="1186">
        <f t="shared" si="315"/>
        <v>0</v>
      </c>
      <c r="FQ137" s="1297">
        <f t="shared" si="316"/>
        <v>0</v>
      </c>
      <c r="FR137" s="1297">
        <f t="shared" si="317"/>
        <v>0</v>
      </c>
      <c r="FS137" s="1297">
        <f t="shared" si="318"/>
        <v>0</v>
      </c>
      <c r="FT137" s="1297">
        <f t="shared" si="319"/>
        <v>0</v>
      </c>
      <c r="FU137" s="1297">
        <f t="shared" si="320"/>
        <v>0</v>
      </c>
      <c r="FV137" s="1297">
        <f t="shared" si="321"/>
        <v>0</v>
      </c>
      <c r="FW137" s="1297">
        <f t="shared" si="322"/>
        <v>0</v>
      </c>
      <c r="FX137" s="1297">
        <f t="shared" si="323"/>
        <v>0</v>
      </c>
      <c r="FY137" s="1297">
        <f t="shared" si="324"/>
        <v>0</v>
      </c>
      <c r="FZ137" s="1297">
        <f t="shared" si="325"/>
        <v>0</v>
      </c>
      <c r="GA137" s="1297">
        <f t="shared" si="326"/>
        <v>0</v>
      </c>
      <c r="GB137" s="1297">
        <f t="shared" si="327"/>
        <v>0</v>
      </c>
      <c r="GC137" s="1184"/>
      <c r="GD137" s="1184">
        <f t="shared" si="328"/>
        <v>0</v>
      </c>
      <c r="GE137" s="1184">
        <f t="shared" si="329"/>
        <v>0</v>
      </c>
      <c r="GF137" s="1184"/>
      <c r="GG137" s="1184"/>
      <c r="GH137" s="1184"/>
      <c r="GI137" s="1184"/>
      <c r="GJ137" s="1184">
        <f t="shared" si="330"/>
        <v>0</v>
      </c>
      <c r="GK137" s="1184">
        <f t="shared" si="331"/>
        <v>0</v>
      </c>
      <c r="GL137" s="1184">
        <f t="shared" si="332"/>
        <v>0</v>
      </c>
      <c r="GM137" s="1184">
        <f t="shared" si="333"/>
        <v>0</v>
      </c>
      <c r="GN137" s="1184">
        <f t="shared" si="334"/>
        <v>0</v>
      </c>
      <c r="GO137" s="1184" cm="1">
        <f t="array" ref="GO137">IF(GN137=0,0,(SUMPRODUCT($J$75:$J$79,$CH$75:$CH$79,($BR$75:$BR$79=CZ137)*1)+SUMPRODUCT($R$75:$R$79,$CP$75:$CP$79,($BR$75:$BR$79=CZ137)*1))/GN137)</f>
        <v>0</v>
      </c>
      <c r="GP137" s="1184">
        <f t="shared" si="335"/>
        <v>0</v>
      </c>
      <c r="GQ137" s="1184"/>
      <c r="GR137" s="1184"/>
      <c r="GS137" s="1184">
        <f t="shared" si="336"/>
        <v>0</v>
      </c>
      <c r="GT137" s="1184">
        <f t="shared" si="337"/>
        <v>0</v>
      </c>
      <c r="GU137" s="1184">
        <f t="shared" si="338"/>
        <v>0</v>
      </c>
      <c r="GV137" s="1184">
        <f t="shared" si="339"/>
        <v>0</v>
      </c>
      <c r="GW137" s="1186" t="str">
        <f t="shared" si="292"/>
        <v xml:space="preserve"> </v>
      </c>
      <c r="GX137" s="1186" t="str">
        <f t="shared" si="292"/>
        <v xml:space="preserve"> </v>
      </c>
      <c r="GY137" s="1195">
        <f t="shared" si="340"/>
        <v>0</v>
      </c>
      <c r="GZ137" s="1184">
        <f t="shared" si="341"/>
        <v>0</v>
      </c>
      <c r="HA137" s="1184" t="str">
        <f t="shared" ref="HA137:HA163" si="353">IF(HK137=3,"a",VLOOKUP(CY137,$Y$13:$AZ$131,COLUMN($AZ$1)-COLUMN($Y$1)+1,FALSE))</f>
        <v>a</v>
      </c>
      <c r="HB137" s="1196">
        <f t="shared" si="342"/>
        <v>0</v>
      </c>
      <c r="HC137" s="1196">
        <f t="shared" si="343"/>
        <v>0</v>
      </c>
      <c r="HD137" s="1196"/>
      <c r="HE137" s="1187">
        <f t="shared" si="344"/>
        <v>0</v>
      </c>
      <c r="HF137" s="1196">
        <f t="shared" si="345"/>
        <v>0</v>
      </c>
      <c r="HG137" s="1196">
        <f t="shared" si="346"/>
        <v>0</v>
      </c>
      <c r="HH137" s="1196">
        <f t="shared" si="347"/>
        <v>0</v>
      </c>
      <c r="HI137" s="1328" cm="1">
        <f t="array" ref="HI137">IF(AND(HG137=0,GL137=0),0,IF(HG137=0,1,IF(OR(GL137*1000/HG137/HH137&gt;INDEX(Pflanzen!$W$117:$W$154,CZ137)/INDEX(Pflanzen!$I$117:$I$154,CZ137)*$HI$1,GL137*1000/HG137/HH137&lt;INDEX(Pflanzen!$W$117:$W$154,CZ137)/INDEX(Pflanzen!$I$117:$I$154,CZ137)/$HI$1),1,0)))</f>
        <v>0</v>
      </c>
      <c r="HJ137" s="1330" cm="1">
        <f t="array" ref="HJ137">IF(AND(GM137=0,HG137=0),0,IF(HG137=0,1,IF(OR(GM137*1000/HG137/HH137&gt;INDEX(Pflanzen!$X$117:$X$154,CZ137)/INDEX(Pflanzen!$I$117:$I$154,CZ137)*$HI$2,GM137*1000/HG137/HH137&lt;INDEX(Pflanzen!$X$117:$X$154,CZ137)/INDEX(Pflanzen!$I$117:$I$154,CZ137)/$HI$2),1,0)))</f>
        <v>0</v>
      </c>
      <c r="HK137" s="1184">
        <f t="shared" si="348"/>
        <v>3</v>
      </c>
      <c r="HL137" s="1184"/>
      <c r="HN137" s="1184"/>
      <c r="HO137" s="1297"/>
      <c r="HP137" s="1297"/>
      <c r="HQ137" s="1297"/>
      <c r="HR137" s="1297"/>
      <c r="HS137" s="1297"/>
      <c r="HT137" s="1184"/>
      <c r="HU137" s="1184"/>
      <c r="HV137" s="1184"/>
      <c r="HW137" s="1184"/>
      <c r="HX137" s="1184"/>
      <c r="HY137" s="1184"/>
      <c r="HZ137" s="1184"/>
      <c r="IA137" s="1184"/>
      <c r="IB137" s="1184"/>
      <c r="IC137" s="1184"/>
      <c r="ID137" s="1184"/>
      <c r="IE137" s="1184"/>
      <c r="IF137" s="1184"/>
      <c r="IG137" s="1184"/>
      <c r="IH137" s="1184"/>
      <c r="II137" s="1184"/>
      <c r="IJ137" s="1184"/>
      <c r="IK137" s="1184"/>
      <c r="IL137" s="1184"/>
    </row>
    <row r="138" spans="25:246" ht="15.75" customHeight="1" x14ac:dyDescent="0.2">
      <c r="Y138" s="1555"/>
      <c r="Z138" s="1555"/>
      <c r="AA138" s="1555"/>
      <c r="AB138" s="1555"/>
      <c r="AC138" s="1176"/>
      <c r="AD138" s="1176"/>
      <c r="AE138" s="1176"/>
      <c r="AF138" s="1176"/>
      <c r="AG138" s="1176"/>
      <c r="AH138" s="1176"/>
      <c r="AI138" s="1176"/>
      <c r="AJ138" s="1176"/>
      <c r="AK138" s="1176"/>
      <c r="AL138" s="1176"/>
      <c r="AM138" s="1176"/>
      <c r="AN138" s="1176"/>
      <c r="AO138" s="246"/>
      <c r="AP138" s="246"/>
      <c r="AQ138" s="246"/>
      <c r="AR138" s="1176"/>
      <c r="AS138" s="1176"/>
      <c r="AT138" s="1176"/>
      <c r="AU138" s="1176"/>
      <c r="AV138" s="1176"/>
      <c r="AY138" s="1184"/>
      <c r="AZ138" s="1184"/>
      <c r="BA138" s="1184"/>
      <c r="BB138" s="1184"/>
      <c r="BC138" s="1184"/>
      <c r="BD138" s="1184"/>
      <c r="BQ138" s="1184"/>
      <c r="BR138" s="1184"/>
      <c r="BS138" s="1184"/>
      <c r="BT138" s="1184"/>
      <c r="BU138" s="1200"/>
      <c r="BV138" s="1326"/>
      <c r="BW138" s="1326"/>
      <c r="BX138" s="1326"/>
      <c r="BY138" s="1326"/>
      <c r="BZ138" s="1326"/>
      <c r="CA138" s="1326"/>
      <c r="CB138" s="1326"/>
      <c r="CC138" s="1326"/>
      <c r="CD138" s="1326"/>
      <c r="CE138" s="1326"/>
      <c r="CF138" s="1326"/>
      <c r="CG138" s="1326"/>
      <c r="CH138" s="1326"/>
      <c r="CI138" s="1326"/>
      <c r="CJ138" s="1326"/>
      <c r="CK138" s="1326"/>
      <c r="CL138" s="1184"/>
      <c r="CM138" s="1184"/>
      <c r="CN138" s="1184"/>
      <c r="CO138" s="1184"/>
      <c r="CP138" s="1184"/>
      <c r="CQ138" s="1184"/>
      <c r="CR138" s="1184"/>
      <c r="CS138" s="1184"/>
      <c r="CT138" s="1184"/>
      <c r="CU138" s="1184"/>
      <c r="CV138" s="1184"/>
      <c r="CW138" s="1184"/>
      <c r="CX138" s="1184"/>
      <c r="CY138" s="1208" t="str">
        <f>Pflanzen!C139</f>
        <v>Rapsextraktionsschrot</v>
      </c>
      <c r="CZ138" s="1184">
        <f>IFERROR(MATCH($CY138,Pflanzen!$C$117:$C$154,0),1)</f>
        <v>23</v>
      </c>
      <c r="DA138" s="1208">
        <f>Pflanzen!H139</f>
        <v>2</v>
      </c>
      <c r="DB138" s="1184">
        <f t="shared" si="351"/>
        <v>0</v>
      </c>
      <c r="DC138" s="1184">
        <f t="shared" si="351"/>
        <v>0</v>
      </c>
      <c r="DD138" s="1184">
        <f t="shared" si="351"/>
        <v>0</v>
      </c>
      <c r="DE138" s="1184">
        <f t="shared" si="351"/>
        <v>0</v>
      </c>
      <c r="DF138" s="1184">
        <f t="shared" si="351"/>
        <v>0</v>
      </c>
      <c r="DG138" s="1184">
        <f t="shared" si="351"/>
        <v>0</v>
      </c>
      <c r="DH138" s="1184">
        <f t="shared" si="351"/>
        <v>0</v>
      </c>
      <c r="DI138" s="1184">
        <f t="shared" si="351"/>
        <v>0</v>
      </c>
      <c r="DJ138" s="1184">
        <f t="shared" si="351"/>
        <v>0</v>
      </c>
      <c r="DK138" s="1184">
        <f t="shared" si="351"/>
        <v>0</v>
      </c>
      <c r="DL138" s="1184">
        <f t="shared" si="351"/>
        <v>0</v>
      </c>
      <c r="DM138" s="1184">
        <f t="shared" si="351"/>
        <v>0</v>
      </c>
      <c r="DN138" s="1184"/>
      <c r="DO138" s="1184">
        <f t="shared" si="352"/>
        <v>0</v>
      </c>
      <c r="DP138" s="1184">
        <f t="shared" si="352"/>
        <v>0</v>
      </c>
      <c r="DQ138" s="1184">
        <f t="shared" si="352"/>
        <v>0</v>
      </c>
      <c r="DR138" s="1184">
        <f t="shared" si="352"/>
        <v>0</v>
      </c>
      <c r="DS138" s="1184">
        <f t="shared" si="352"/>
        <v>0</v>
      </c>
      <c r="DT138" s="1184">
        <f t="shared" si="352"/>
        <v>0</v>
      </c>
      <c r="DU138" s="1184">
        <f t="shared" si="352"/>
        <v>0</v>
      </c>
      <c r="DV138" s="1184">
        <f t="shared" si="352"/>
        <v>0</v>
      </c>
      <c r="DW138" s="1184">
        <f t="shared" si="352"/>
        <v>0</v>
      </c>
      <c r="DX138" s="1184">
        <f t="shared" si="352"/>
        <v>0</v>
      </c>
      <c r="DY138" s="1184">
        <f t="shared" si="352"/>
        <v>0</v>
      </c>
      <c r="DZ138" s="1184">
        <f t="shared" si="352"/>
        <v>0</v>
      </c>
      <c r="EA138" s="1184"/>
      <c r="EB138" s="1184"/>
      <c r="EC138" s="1184"/>
      <c r="ED138" s="1184"/>
      <c r="EE138" s="1184"/>
      <c r="EF138" s="1184"/>
      <c r="EG138" s="1184"/>
      <c r="EH138" s="1184"/>
      <c r="EI138" s="1184"/>
      <c r="EJ138" s="1184"/>
      <c r="EK138" s="1184"/>
      <c r="EL138" s="1184"/>
      <c r="EM138" s="1184"/>
      <c r="EN138" s="1184"/>
      <c r="EO138" s="1184"/>
      <c r="EP138" s="1184"/>
      <c r="EQ138" s="1184"/>
      <c r="ER138" s="1184"/>
      <c r="ES138" s="1184"/>
      <c r="ET138" s="1184"/>
      <c r="EU138" s="1184"/>
      <c r="EV138" s="1184"/>
      <c r="EW138" s="1184"/>
      <c r="EX138" s="1184"/>
      <c r="EY138" s="1184"/>
      <c r="EZ138" s="1184"/>
      <c r="FA138" s="1184"/>
      <c r="FB138" s="1186">
        <f t="shared" si="302"/>
        <v>0</v>
      </c>
      <c r="FC138" s="1297">
        <f t="shared" si="303"/>
        <v>0</v>
      </c>
      <c r="FD138" s="1297">
        <f t="shared" si="304"/>
        <v>0</v>
      </c>
      <c r="FE138" s="1297">
        <f t="shared" si="305"/>
        <v>0</v>
      </c>
      <c r="FF138" s="1297">
        <f t="shared" si="306"/>
        <v>0</v>
      </c>
      <c r="FG138" s="1297">
        <f t="shared" si="307"/>
        <v>0</v>
      </c>
      <c r="FH138" s="1297">
        <f t="shared" si="308"/>
        <v>0</v>
      </c>
      <c r="FI138" s="1297">
        <f t="shared" si="309"/>
        <v>0</v>
      </c>
      <c r="FJ138" s="1297">
        <f t="shared" si="310"/>
        <v>0</v>
      </c>
      <c r="FK138" s="1297">
        <f t="shared" si="311"/>
        <v>0</v>
      </c>
      <c r="FL138" s="1297">
        <f t="shared" si="312"/>
        <v>0</v>
      </c>
      <c r="FM138" s="1297">
        <f t="shared" si="313"/>
        <v>0</v>
      </c>
      <c r="FN138" s="1297">
        <f t="shared" si="314"/>
        <v>0</v>
      </c>
      <c r="FO138" s="1184"/>
      <c r="FP138" s="1186">
        <f t="shared" si="315"/>
        <v>0</v>
      </c>
      <c r="FQ138" s="1297">
        <f t="shared" si="316"/>
        <v>0</v>
      </c>
      <c r="FR138" s="1297">
        <f t="shared" si="317"/>
        <v>0</v>
      </c>
      <c r="FS138" s="1297">
        <f t="shared" si="318"/>
        <v>0</v>
      </c>
      <c r="FT138" s="1297">
        <f t="shared" si="319"/>
        <v>0</v>
      </c>
      <c r="FU138" s="1297">
        <f t="shared" si="320"/>
        <v>0</v>
      </c>
      <c r="FV138" s="1297">
        <f t="shared" si="321"/>
        <v>0</v>
      </c>
      <c r="FW138" s="1297">
        <f t="shared" si="322"/>
        <v>0</v>
      </c>
      <c r="FX138" s="1297">
        <f t="shared" si="323"/>
        <v>0</v>
      </c>
      <c r="FY138" s="1297">
        <f t="shared" si="324"/>
        <v>0</v>
      </c>
      <c r="FZ138" s="1297">
        <f t="shared" si="325"/>
        <v>0</v>
      </c>
      <c r="GA138" s="1297">
        <f t="shared" si="326"/>
        <v>0</v>
      </c>
      <c r="GB138" s="1297">
        <f t="shared" si="327"/>
        <v>0</v>
      </c>
      <c r="GC138" s="1184"/>
      <c r="GD138" s="1184">
        <f t="shared" si="328"/>
        <v>0</v>
      </c>
      <c r="GE138" s="1184">
        <f t="shared" si="329"/>
        <v>0</v>
      </c>
      <c r="GF138" s="1184"/>
      <c r="GG138" s="1184"/>
      <c r="GH138" s="1184"/>
      <c r="GI138" s="1184"/>
      <c r="GJ138" s="1184">
        <f t="shared" si="330"/>
        <v>0</v>
      </c>
      <c r="GK138" s="1184">
        <f t="shared" si="331"/>
        <v>0</v>
      </c>
      <c r="GL138" s="1184">
        <f t="shared" si="332"/>
        <v>0</v>
      </c>
      <c r="GM138" s="1184">
        <f t="shared" si="333"/>
        <v>0</v>
      </c>
      <c r="GN138" s="1184">
        <f t="shared" si="334"/>
        <v>0</v>
      </c>
      <c r="GO138" s="1184" cm="1">
        <f t="array" ref="GO138">IF(GN138=0,0,(SUMPRODUCT($J$75:$J$79,$CH$75:$CH$79,($BR$75:$BR$79=CZ138)*1)+SUMPRODUCT($R$75:$R$79,$CP$75:$CP$79,($BR$75:$BR$79=CZ138)*1))/GN138)</f>
        <v>0</v>
      </c>
      <c r="GP138" s="1184">
        <f t="shared" si="335"/>
        <v>0</v>
      </c>
      <c r="GQ138" s="1184"/>
      <c r="GR138" s="1184"/>
      <c r="GS138" s="1184">
        <f t="shared" si="336"/>
        <v>0</v>
      </c>
      <c r="GT138" s="1184">
        <f t="shared" si="337"/>
        <v>0</v>
      </c>
      <c r="GU138" s="1184">
        <f t="shared" si="338"/>
        <v>0</v>
      </c>
      <c r="GV138" s="1184">
        <f t="shared" si="339"/>
        <v>0</v>
      </c>
      <c r="GW138" s="1186" t="str">
        <f t="shared" si="292"/>
        <v xml:space="preserve"> </v>
      </c>
      <c r="GX138" s="1186" t="str">
        <f t="shared" si="292"/>
        <v xml:space="preserve"> </v>
      </c>
      <c r="GY138" s="1195">
        <f t="shared" si="340"/>
        <v>0</v>
      </c>
      <c r="GZ138" s="1184">
        <f t="shared" si="341"/>
        <v>0</v>
      </c>
      <c r="HA138" s="1184" t="str">
        <f t="shared" si="353"/>
        <v>a</v>
      </c>
      <c r="HB138" s="1196">
        <f t="shared" si="342"/>
        <v>0</v>
      </c>
      <c r="HC138" s="1196">
        <f t="shared" si="343"/>
        <v>0</v>
      </c>
      <c r="HD138" s="1196"/>
      <c r="HE138" s="1187">
        <f t="shared" si="344"/>
        <v>0</v>
      </c>
      <c r="HF138" s="1196">
        <f t="shared" si="345"/>
        <v>0</v>
      </c>
      <c r="HG138" s="1196">
        <f t="shared" si="346"/>
        <v>0</v>
      </c>
      <c r="HH138" s="1196">
        <f t="shared" si="347"/>
        <v>0</v>
      </c>
      <c r="HI138" s="1328" cm="1">
        <f t="array" ref="HI138">IF(AND(HG138=0,GL138=0),0,IF(HG138=0,1,IF(OR(GL138*1000/HG138/HH138&gt;INDEX(Pflanzen!$W$117:$W$154,CZ138)/INDEX(Pflanzen!$I$117:$I$154,CZ138)*$HI$1,GL138*1000/HG138/HH138&lt;INDEX(Pflanzen!$W$117:$W$154,CZ138)/INDEX(Pflanzen!$I$117:$I$154,CZ138)/$HI$1),1,0)))</f>
        <v>0</v>
      </c>
      <c r="HJ138" s="1330" cm="1">
        <f t="array" ref="HJ138">IF(AND(GM138=0,HG138=0),0,IF(HG138=0,1,IF(OR(GM138*1000/HG138/HH138&gt;INDEX(Pflanzen!$X$117:$X$154,CZ138)/INDEX(Pflanzen!$I$117:$I$154,CZ138)*$HI$2,GM138*1000/HG138/HH138&lt;INDEX(Pflanzen!$X$117:$X$154,CZ138)/INDEX(Pflanzen!$I$117:$I$154,CZ138)/$HI$2),1,0)))</f>
        <v>0</v>
      </c>
      <c r="HK138" s="1184">
        <f t="shared" si="348"/>
        <v>3</v>
      </c>
      <c r="HL138" s="1184"/>
      <c r="HN138" s="1184"/>
      <c r="HO138" s="1297"/>
      <c r="HP138" s="1297"/>
      <c r="HQ138" s="1297"/>
      <c r="HR138" s="1297"/>
      <c r="HS138" s="1297"/>
      <c r="HT138" s="1184"/>
      <c r="HU138" s="1184"/>
      <c r="HV138" s="1184"/>
      <c r="HW138" s="1184"/>
      <c r="HX138" s="1184"/>
      <c r="HY138" s="1184"/>
      <c r="HZ138" s="1184"/>
      <c r="IA138" s="1184"/>
      <c r="IB138" s="1184"/>
      <c r="IC138" s="1184"/>
      <c r="ID138" s="1184"/>
      <c r="IE138" s="1184"/>
      <c r="IF138" s="1184"/>
      <c r="IG138" s="1184"/>
      <c r="IH138" s="1184"/>
      <c r="II138" s="1184"/>
      <c r="IJ138" s="1184"/>
      <c r="IK138" s="1184"/>
      <c r="IL138" s="1184"/>
    </row>
    <row r="139" spans="25:246" ht="15.75" customHeight="1" x14ac:dyDescent="0.2">
      <c r="Y139" s="1555"/>
      <c r="Z139" s="1555"/>
      <c r="AA139" s="1555"/>
      <c r="AB139" s="1555"/>
      <c r="AC139" s="1176"/>
      <c r="AD139" s="1176"/>
      <c r="AE139" s="1176"/>
      <c r="AF139" s="1176"/>
      <c r="AG139" s="1176"/>
      <c r="AH139" s="1176"/>
      <c r="AI139" s="1176"/>
      <c r="AJ139" s="1176"/>
      <c r="AK139" s="1176"/>
      <c r="AL139" s="1176"/>
      <c r="AM139" s="1176"/>
      <c r="AN139" s="1176"/>
      <c r="AO139" s="246"/>
      <c r="AP139" s="246"/>
      <c r="AQ139" s="246"/>
      <c r="AR139" s="1176"/>
      <c r="AS139" s="1176"/>
      <c r="AT139" s="1176"/>
      <c r="AU139" s="1176"/>
      <c r="AV139" s="1176"/>
      <c r="AY139" s="1184"/>
      <c r="AZ139" s="1184"/>
      <c r="BA139" s="1184"/>
      <c r="BB139" s="1184"/>
      <c r="BC139" s="1184"/>
      <c r="BD139" s="1184"/>
      <c r="BQ139" s="1184"/>
      <c r="BR139" s="1184"/>
      <c r="BS139" s="1184"/>
      <c r="BT139" s="1184"/>
      <c r="BU139" s="1200"/>
      <c r="BV139" s="1326"/>
      <c r="BW139" s="1326"/>
      <c r="BX139" s="1326"/>
      <c r="BY139" s="1326"/>
      <c r="BZ139" s="1326"/>
      <c r="CA139" s="1326"/>
      <c r="CB139" s="1326"/>
      <c r="CC139" s="1326"/>
      <c r="CD139" s="1326"/>
      <c r="CE139" s="1326"/>
      <c r="CF139" s="1326"/>
      <c r="CG139" s="1326"/>
      <c r="CH139" s="1326"/>
      <c r="CI139" s="1326"/>
      <c r="CJ139" s="1326"/>
      <c r="CK139" s="1326"/>
      <c r="CL139" s="1184"/>
      <c r="CM139" s="1184"/>
      <c r="CN139" s="1184"/>
      <c r="CO139" s="1184"/>
      <c r="CP139" s="1184"/>
      <c r="CQ139" s="1184"/>
      <c r="CR139" s="1184"/>
      <c r="CS139" s="1184"/>
      <c r="CT139" s="1184"/>
      <c r="CU139" s="1184"/>
      <c r="CV139" s="1184"/>
      <c r="CW139" s="1184"/>
      <c r="CX139" s="1184"/>
      <c r="CY139" s="1208" t="str">
        <f>Pflanzen!C140</f>
        <v>Rapskuchen, fettarm</v>
      </c>
      <c r="CZ139" s="1184">
        <f>IFERROR(MATCH($CY139,Pflanzen!$C$117:$C$154,0),1)</f>
        <v>24</v>
      </c>
      <c r="DA139" s="1208">
        <f>Pflanzen!H140</f>
        <v>2</v>
      </c>
      <c r="DB139" s="1184">
        <f t="shared" si="351"/>
        <v>0</v>
      </c>
      <c r="DC139" s="1184">
        <f t="shared" si="351"/>
        <v>0</v>
      </c>
      <c r="DD139" s="1184">
        <f t="shared" si="351"/>
        <v>0</v>
      </c>
      <c r="DE139" s="1184">
        <f t="shared" si="351"/>
        <v>0</v>
      </c>
      <c r="DF139" s="1184">
        <f t="shared" si="351"/>
        <v>0</v>
      </c>
      <c r="DG139" s="1184">
        <f t="shared" si="351"/>
        <v>0</v>
      </c>
      <c r="DH139" s="1184">
        <f t="shared" si="351"/>
        <v>0</v>
      </c>
      <c r="DI139" s="1184">
        <f t="shared" si="351"/>
        <v>0</v>
      </c>
      <c r="DJ139" s="1184">
        <f t="shared" si="351"/>
        <v>0</v>
      </c>
      <c r="DK139" s="1184">
        <f t="shared" si="351"/>
        <v>0</v>
      </c>
      <c r="DL139" s="1184">
        <f t="shared" si="351"/>
        <v>0</v>
      </c>
      <c r="DM139" s="1184">
        <f t="shared" si="351"/>
        <v>0</v>
      </c>
      <c r="DN139" s="1184"/>
      <c r="DO139" s="1184">
        <f t="shared" si="352"/>
        <v>0</v>
      </c>
      <c r="DP139" s="1184">
        <f t="shared" si="352"/>
        <v>0</v>
      </c>
      <c r="DQ139" s="1184">
        <f t="shared" si="352"/>
        <v>0</v>
      </c>
      <c r="DR139" s="1184">
        <f t="shared" si="352"/>
        <v>0</v>
      </c>
      <c r="DS139" s="1184">
        <f t="shared" si="352"/>
        <v>0</v>
      </c>
      <c r="DT139" s="1184">
        <f t="shared" si="352"/>
        <v>0</v>
      </c>
      <c r="DU139" s="1184">
        <f t="shared" si="352"/>
        <v>0</v>
      </c>
      <c r="DV139" s="1184">
        <f t="shared" si="352"/>
        <v>0</v>
      </c>
      <c r="DW139" s="1184">
        <f t="shared" si="352"/>
        <v>0</v>
      </c>
      <c r="DX139" s="1184">
        <f t="shared" si="352"/>
        <v>0</v>
      </c>
      <c r="DY139" s="1184">
        <f t="shared" si="352"/>
        <v>0</v>
      </c>
      <c r="DZ139" s="1184">
        <f t="shared" si="352"/>
        <v>0</v>
      </c>
      <c r="EA139" s="1184"/>
      <c r="EB139" s="1184"/>
      <c r="EC139" s="1184"/>
      <c r="ED139" s="1184"/>
      <c r="EE139" s="1184"/>
      <c r="EF139" s="1184"/>
      <c r="EG139" s="1184"/>
      <c r="EH139" s="1184"/>
      <c r="EI139" s="1184"/>
      <c r="EJ139" s="1184"/>
      <c r="EK139" s="1184"/>
      <c r="EL139" s="1184"/>
      <c r="EM139" s="1184"/>
      <c r="EN139" s="1184"/>
      <c r="EO139" s="1184"/>
      <c r="EP139" s="1184"/>
      <c r="EQ139" s="1184"/>
      <c r="ER139" s="1184"/>
      <c r="ES139" s="1184"/>
      <c r="ET139" s="1184"/>
      <c r="EU139" s="1184"/>
      <c r="EV139" s="1184"/>
      <c r="EW139" s="1184"/>
      <c r="EX139" s="1184"/>
      <c r="EY139" s="1184"/>
      <c r="EZ139" s="1184"/>
      <c r="FA139" s="1184"/>
      <c r="FB139" s="1186">
        <f t="shared" si="302"/>
        <v>0</v>
      </c>
      <c r="FC139" s="1297">
        <f t="shared" si="303"/>
        <v>0</v>
      </c>
      <c r="FD139" s="1297">
        <f t="shared" si="304"/>
        <v>0</v>
      </c>
      <c r="FE139" s="1297">
        <f t="shared" si="305"/>
        <v>0</v>
      </c>
      <c r="FF139" s="1297">
        <f t="shared" si="306"/>
        <v>0</v>
      </c>
      <c r="FG139" s="1297">
        <f t="shared" si="307"/>
        <v>0</v>
      </c>
      <c r="FH139" s="1297">
        <f t="shared" si="308"/>
        <v>0</v>
      </c>
      <c r="FI139" s="1297">
        <f t="shared" si="309"/>
        <v>0</v>
      </c>
      <c r="FJ139" s="1297">
        <f t="shared" si="310"/>
        <v>0</v>
      </c>
      <c r="FK139" s="1297">
        <f t="shared" si="311"/>
        <v>0</v>
      </c>
      <c r="FL139" s="1297">
        <f t="shared" si="312"/>
        <v>0</v>
      </c>
      <c r="FM139" s="1297">
        <f t="shared" si="313"/>
        <v>0</v>
      </c>
      <c r="FN139" s="1297">
        <f t="shared" si="314"/>
        <v>0</v>
      </c>
      <c r="FO139" s="1184"/>
      <c r="FP139" s="1186">
        <f t="shared" si="315"/>
        <v>0</v>
      </c>
      <c r="FQ139" s="1297">
        <f t="shared" si="316"/>
        <v>0</v>
      </c>
      <c r="FR139" s="1297">
        <f t="shared" si="317"/>
        <v>0</v>
      </c>
      <c r="FS139" s="1297">
        <f t="shared" si="318"/>
        <v>0</v>
      </c>
      <c r="FT139" s="1297">
        <f t="shared" si="319"/>
        <v>0</v>
      </c>
      <c r="FU139" s="1297">
        <f t="shared" si="320"/>
        <v>0</v>
      </c>
      <c r="FV139" s="1297">
        <f t="shared" si="321"/>
        <v>0</v>
      </c>
      <c r="FW139" s="1297">
        <f t="shared" si="322"/>
        <v>0</v>
      </c>
      <c r="FX139" s="1297">
        <f t="shared" si="323"/>
        <v>0</v>
      </c>
      <c r="FY139" s="1297">
        <f t="shared" si="324"/>
        <v>0</v>
      </c>
      <c r="FZ139" s="1297">
        <f t="shared" si="325"/>
        <v>0</v>
      </c>
      <c r="GA139" s="1297">
        <f t="shared" si="326"/>
        <v>0</v>
      </c>
      <c r="GB139" s="1297">
        <f t="shared" si="327"/>
        <v>0</v>
      </c>
      <c r="GC139" s="1184"/>
      <c r="GD139" s="1184">
        <f t="shared" si="328"/>
        <v>0</v>
      </c>
      <c r="GE139" s="1184">
        <f t="shared" si="329"/>
        <v>0</v>
      </c>
      <c r="GF139" s="1184"/>
      <c r="GG139" s="1184"/>
      <c r="GH139" s="1184"/>
      <c r="GI139" s="1184"/>
      <c r="GJ139" s="1184">
        <f t="shared" si="330"/>
        <v>0</v>
      </c>
      <c r="GK139" s="1184">
        <f t="shared" si="331"/>
        <v>0</v>
      </c>
      <c r="GL139" s="1184">
        <f t="shared" si="332"/>
        <v>0</v>
      </c>
      <c r="GM139" s="1184">
        <f t="shared" si="333"/>
        <v>0</v>
      </c>
      <c r="GN139" s="1184">
        <f t="shared" si="334"/>
        <v>0</v>
      </c>
      <c r="GO139" s="1184" cm="1">
        <f t="array" ref="GO139">IF(GN139=0,0,(SUMPRODUCT($J$75:$J$79,$CH$75:$CH$79,($BR$75:$BR$79=CZ139)*1)+SUMPRODUCT($R$75:$R$79,$CP$75:$CP$79,($BR$75:$BR$79=CZ139)*1))/GN139)</f>
        <v>0</v>
      </c>
      <c r="GP139" s="1184">
        <f t="shared" si="335"/>
        <v>0</v>
      </c>
      <c r="GQ139" s="1184"/>
      <c r="GR139" s="1184"/>
      <c r="GS139" s="1184">
        <f t="shared" si="336"/>
        <v>0</v>
      </c>
      <c r="GT139" s="1184">
        <f t="shared" si="337"/>
        <v>0</v>
      </c>
      <c r="GU139" s="1184">
        <f t="shared" si="338"/>
        <v>0</v>
      </c>
      <c r="GV139" s="1184">
        <f t="shared" si="339"/>
        <v>0</v>
      </c>
      <c r="GW139" s="1186" t="str">
        <f t="shared" si="292"/>
        <v xml:space="preserve"> </v>
      </c>
      <c r="GX139" s="1186" t="str">
        <f t="shared" si="292"/>
        <v xml:space="preserve"> </v>
      </c>
      <c r="GY139" s="1195">
        <f t="shared" si="340"/>
        <v>0</v>
      </c>
      <c r="GZ139" s="1184">
        <f t="shared" si="341"/>
        <v>0</v>
      </c>
      <c r="HA139" s="1184" t="str">
        <f t="shared" si="353"/>
        <v>a</v>
      </c>
      <c r="HB139" s="1196">
        <f t="shared" si="342"/>
        <v>0</v>
      </c>
      <c r="HC139" s="1196">
        <f t="shared" si="343"/>
        <v>0</v>
      </c>
      <c r="HD139" s="1196"/>
      <c r="HE139" s="1187">
        <f t="shared" si="344"/>
        <v>0</v>
      </c>
      <c r="HF139" s="1196">
        <f t="shared" si="345"/>
        <v>0</v>
      </c>
      <c r="HG139" s="1196">
        <f t="shared" si="346"/>
        <v>0</v>
      </c>
      <c r="HH139" s="1196">
        <f t="shared" si="347"/>
        <v>0</v>
      </c>
      <c r="HI139" s="1328" cm="1">
        <f t="array" ref="HI139">IF(AND(HG139=0,GL139=0),0,IF(HG139=0,1,IF(OR(GL139*1000/HG139/HH139&gt;INDEX(Pflanzen!$W$117:$W$154,CZ139)/INDEX(Pflanzen!$I$117:$I$154,CZ139)*$HI$1,GL139*1000/HG139/HH139&lt;INDEX(Pflanzen!$W$117:$W$154,CZ139)/INDEX(Pflanzen!$I$117:$I$154,CZ139)/$HI$1),1,0)))</f>
        <v>0</v>
      </c>
      <c r="HJ139" s="1330" cm="1">
        <f t="array" ref="HJ139">IF(AND(GM139=0,HG139=0),0,IF(HG139=0,1,IF(OR(GM139*1000/HG139/HH139&gt;INDEX(Pflanzen!$X$117:$X$154,CZ139)/INDEX(Pflanzen!$I$117:$I$154,CZ139)*$HI$2,GM139*1000/HG139/HH139&lt;INDEX(Pflanzen!$X$117:$X$154,CZ139)/INDEX(Pflanzen!$I$117:$I$154,CZ139)/$HI$2),1,0)))</f>
        <v>0</v>
      </c>
      <c r="HK139" s="1184">
        <f t="shared" si="348"/>
        <v>3</v>
      </c>
      <c r="HL139" s="1184"/>
      <c r="HN139" s="1184"/>
      <c r="HO139" s="1297"/>
      <c r="HP139" s="1297"/>
      <c r="HQ139" s="1297"/>
      <c r="HR139" s="1297"/>
      <c r="HS139" s="1297"/>
      <c r="HT139" s="1184"/>
      <c r="HU139" s="1184"/>
      <c r="HV139" s="1184"/>
      <c r="HW139" s="1184"/>
      <c r="HX139" s="1184"/>
      <c r="HY139" s="1184"/>
      <c r="HZ139" s="1184"/>
      <c r="IA139" s="1184"/>
      <c r="IB139" s="1184"/>
      <c r="IC139" s="1184"/>
      <c r="ID139" s="1184"/>
      <c r="IE139" s="1184"/>
      <c r="IF139" s="1184"/>
      <c r="IG139" s="1184"/>
      <c r="IH139" s="1184"/>
      <c r="II139" s="1184"/>
      <c r="IJ139" s="1184"/>
      <c r="IK139" s="1184"/>
      <c r="IL139" s="1184"/>
    </row>
    <row r="140" spans="25:246" ht="15.75" customHeight="1" x14ac:dyDescent="0.2">
      <c r="Y140" s="1555"/>
      <c r="Z140" s="1555"/>
      <c r="AA140" s="1555"/>
      <c r="AB140" s="1555"/>
      <c r="AC140" s="1176"/>
      <c r="AD140" s="1176"/>
      <c r="AE140" s="1176"/>
      <c r="AF140" s="1176"/>
      <c r="AG140" s="1176"/>
      <c r="AH140" s="1176"/>
      <c r="AI140" s="1176"/>
      <c r="AJ140" s="1176"/>
      <c r="AK140" s="1176"/>
      <c r="AL140" s="1176"/>
      <c r="AM140" s="1176"/>
      <c r="AN140" s="1176"/>
      <c r="AO140" s="246"/>
      <c r="AP140" s="246"/>
      <c r="AQ140" s="246"/>
      <c r="AR140" s="1176"/>
      <c r="AS140" s="1176"/>
      <c r="AT140" s="1176"/>
      <c r="AU140" s="1176"/>
      <c r="AV140" s="1176"/>
      <c r="AY140" s="1184"/>
      <c r="AZ140" s="1184"/>
      <c r="BA140" s="1184"/>
      <c r="BB140" s="1184"/>
      <c r="BC140" s="1184"/>
      <c r="BD140" s="1184"/>
      <c r="BQ140" s="1184"/>
      <c r="BR140" s="1184"/>
      <c r="BS140" s="1184"/>
      <c r="BT140" s="1184"/>
      <c r="BU140" s="1200"/>
      <c r="BV140" s="1326"/>
      <c r="BW140" s="1326"/>
      <c r="BX140" s="1326"/>
      <c r="BY140" s="1326"/>
      <c r="BZ140" s="1326"/>
      <c r="CA140" s="1326"/>
      <c r="CB140" s="1326"/>
      <c r="CC140" s="1326"/>
      <c r="CD140" s="1326"/>
      <c r="CE140" s="1326"/>
      <c r="CF140" s="1326"/>
      <c r="CG140" s="1326"/>
      <c r="CH140" s="1326"/>
      <c r="CI140" s="1326"/>
      <c r="CJ140" s="1326"/>
      <c r="CK140" s="1326"/>
      <c r="CL140" s="1184"/>
      <c r="CM140" s="1184"/>
      <c r="CN140" s="1184"/>
      <c r="CO140" s="1184"/>
      <c r="CP140" s="1184"/>
      <c r="CQ140" s="1184"/>
      <c r="CR140" s="1184"/>
      <c r="CS140" s="1184"/>
      <c r="CT140" s="1184"/>
      <c r="CU140" s="1184"/>
      <c r="CV140" s="1184"/>
      <c r="CW140" s="1184"/>
      <c r="CX140" s="1184"/>
      <c r="CY140" s="1208" t="str">
        <f>Pflanzen!C141</f>
        <v>Roggengrießkleie</v>
      </c>
      <c r="CZ140" s="1184">
        <f>IFERROR(MATCH($CY140,Pflanzen!$C$117:$C$154,0),1)</f>
        <v>25</v>
      </c>
      <c r="DA140" s="1208">
        <f>Pflanzen!H141</f>
        <v>2</v>
      </c>
      <c r="DB140" s="1184">
        <f t="shared" si="351"/>
        <v>0</v>
      </c>
      <c r="DC140" s="1184">
        <f t="shared" si="351"/>
        <v>0</v>
      </c>
      <c r="DD140" s="1184">
        <f t="shared" si="351"/>
        <v>0</v>
      </c>
      <c r="DE140" s="1184">
        <f t="shared" si="351"/>
        <v>0</v>
      </c>
      <c r="DF140" s="1184">
        <f t="shared" si="351"/>
        <v>0</v>
      </c>
      <c r="DG140" s="1184">
        <f t="shared" si="351"/>
        <v>0</v>
      </c>
      <c r="DH140" s="1184">
        <f t="shared" si="351"/>
        <v>0</v>
      </c>
      <c r="DI140" s="1184">
        <f t="shared" si="351"/>
        <v>0</v>
      </c>
      <c r="DJ140" s="1184">
        <f t="shared" si="351"/>
        <v>0</v>
      </c>
      <c r="DK140" s="1184">
        <f t="shared" si="351"/>
        <v>0</v>
      </c>
      <c r="DL140" s="1184">
        <f t="shared" si="351"/>
        <v>0</v>
      </c>
      <c r="DM140" s="1184">
        <f t="shared" si="351"/>
        <v>0</v>
      </c>
      <c r="DN140" s="1184"/>
      <c r="DO140" s="1184">
        <f t="shared" si="352"/>
        <v>0</v>
      </c>
      <c r="DP140" s="1184">
        <f t="shared" si="352"/>
        <v>0</v>
      </c>
      <c r="DQ140" s="1184">
        <f t="shared" si="352"/>
        <v>0</v>
      </c>
      <c r="DR140" s="1184">
        <f t="shared" si="352"/>
        <v>0</v>
      </c>
      <c r="DS140" s="1184">
        <f t="shared" si="352"/>
        <v>0</v>
      </c>
      <c r="DT140" s="1184">
        <f t="shared" si="352"/>
        <v>0</v>
      </c>
      <c r="DU140" s="1184">
        <f t="shared" si="352"/>
        <v>0</v>
      </c>
      <c r="DV140" s="1184">
        <f t="shared" si="352"/>
        <v>0</v>
      </c>
      <c r="DW140" s="1184">
        <f t="shared" si="352"/>
        <v>0</v>
      </c>
      <c r="DX140" s="1184">
        <f t="shared" si="352"/>
        <v>0</v>
      </c>
      <c r="DY140" s="1184">
        <f t="shared" si="352"/>
        <v>0</v>
      </c>
      <c r="DZ140" s="1184">
        <f t="shared" si="352"/>
        <v>0</v>
      </c>
      <c r="EA140" s="1184"/>
      <c r="EB140" s="1184"/>
      <c r="EC140" s="1184"/>
      <c r="ED140" s="1184"/>
      <c r="EE140" s="1184"/>
      <c r="EF140" s="1184"/>
      <c r="EG140" s="1184"/>
      <c r="EH140" s="1184"/>
      <c r="EI140" s="1184"/>
      <c r="EJ140" s="1184"/>
      <c r="EK140" s="1184"/>
      <c r="EL140" s="1184"/>
      <c r="EM140" s="1184"/>
      <c r="EN140" s="1184"/>
      <c r="EO140" s="1184"/>
      <c r="EP140" s="1184"/>
      <c r="EQ140" s="1184"/>
      <c r="ER140" s="1184"/>
      <c r="ES140" s="1184"/>
      <c r="ET140" s="1184"/>
      <c r="EU140" s="1184"/>
      <c r="EV140" s="1184"/>
      <c r="EW140" s="1184"/>
      <c r="EX140" s="1184"/>
      <c r="EY140" s="1184"/>
      <c r="EZ140" s="1184"/>
      <c r="FA140" s="1184"/>
      <c r="FB140" s="1186">
        <f t="shared" si="302"/>
        <v>0</v>
      </c>
      <c r="FC140" s="1297">
        <f t="shared" si="303"/>
        <v>0</v>
      </c>
      <c r="FD140" s="1297">
        <f t="shared" si="304"/>
        <v>0</v>
      </c>
      <c r="FE140" s="1297">
        <f t="shared" si="305"/>
        <v>0</v>
      </c>
      <c r="FF140" s="1297">
        <f t="shared" si="306"/>
        <v>0</v>
      </c>
      <c r="FG140" s="1297">
        <f t="shared" si="307"/>
        <v>0</v>
      </c>
      <c r="FH140" s="1297">
        <f t="shared" si="308"/>
        <v>0</v>
      </c>
      <c r="FI140" s="1297">
        <f t="shared" si="309"/>
        <v>0</v>
      </c>
      <c r="FJ140" s="1297">
        <f t="shared" si="310"/>
        <v>0</v>
      </c>
      <c r="FK140" s="1297">
        <f t="shared" si="311"/>
        <v>0</v>
      </c>
      <c r="FL140" s="1297">
        <f t="shared" si="312"/>
        <v>0</v>
      </c>
      <c r="FM140" s="1297">
        <f t="shared" si="313"/>
        <v>0</v>
      </c>
      <c r="FN140" s="1297">
        <f t="shared" si="314"/>
        <v>0</v>
      </c>
      <c r="FO140" s="1184"/>
      <c r="FP140" s="1186">
        <f t="shared" si="315"/>
        <v>0</v>
      </c>
      <c r="FQ140" s="1297">
        <f t="shared" si="316"/>
        <v>0</v>
      </c>
      <c r="FR140" s="1297">
        <f t="shared" si="317"/>
        <v>0</v>
      </c>
      <c r="FS140" s="1297">
        <f t="shared" si="318"/>
        <v>0</v>
      </c>
      <c r="FT140" s="1297">
        <f t="shared" si="319"/>
        <v>0</v>
      </c>
      <c r="FU140" s="1297">
        <f t="shared" si="320"/>
        <v>0</v>
      </c>
      <c r="FV140" s="1297">
        <f t="shared" si="321"/>
        <v>0</v>
      </c>
      <c r="FW140" s="1297">
        <f t="shared" si="322"/>
        <v>0</v>
      </c>
      <c r="FX140" s="1297">
        <f t="shared" si="323"/>
        <v>0</v>
      </c>
      <c r="FY140" s="1297">
        <f t="shared" si="324"/>
        <v>0</v>
      </c>
      <c r="FZ140" s="1297">
        <f t="shared" si="325"/>
        <v>0</v>
      </c>
      <c r="GA140" s="1297">
        <f t="shared" si="326"/>
        <v>0</v>
      </c>
      <c r="GB140" s="1297">
        <f t="shared" si="327"/>
        <v>0</v>
      </c>
      <c r="GC140" s="1184"/>
      <c r="GD140" s="1184">
        <f t="shared" si="328"/>
        <v>0</v>
      </c>
      <c r="GE140" s="1184">
        <f t="shared" si="329"/>
        <v>0</v>
      </c>
      <c r="GF140" s="1184"/>
      <c r="GG140" s="1184"/>
      <c r="GH140" s="1184"/>
      <c r="GI140" s="1184"/>
      <c r="GJ140" s="1184">
        <f t="shared" si="330"/>
        <v>0</v>
      </c>
      <c r="GK140" s="1184">
        <f t="shared" si="331"/>
        <v>0</v>
      </c>
      <c r="GL140" s="1184">
        <f t="shared" si="332"/>
        <v>0</v>
      </c>
      <c r="GM140" s="1184">
        <f t="shared" si="333"/>
        <v>0</v>
      </c>
      <c r="GN140" s="1184">
        <f t="shared" si="334"/>
        <v>0</v>
      </c>
      <c r="GO140" s="1184" cm="1">
        <f t="array" ref="GO140">IF(GN140=0,0,(SUMPRODUCT($J$75:$J$79,$CH$75:$CH$79,($BR$75:$BR$79=CZ140)*1)+SUMPRODUCT($R$75:$R$79,$CP$75:$CP$79,($BR$75:$BR$79=CZ140)*1))/GN140)</f>
        <v>0</v>
      </c>
      <c r="GP140" s="1184">
        <f t="shared" si="335"/>
        <v>0</v>
      </c>
      <c r="GQ140" s="1184"/>
      <c r="GR140" s="1184"/>
      <c r="GS140" s="1184">
        <f t="shared" si="336"/>
        <v>0</v>
      </c>
      <c r="GT140" s="1184">
        <f t="shared" si="337"/>
        <v>0</v>
      </c>
      <c r="GU140" s="1184">
        <f t="shared" si="338"/>
        <v>0</v>
      </c>
      <c r="GV140" s="1184">
        <f t="shared" si="339"/>
        <v>0</v>
      </c>
      <c r="GW140" s="1186" t="str">
        <f t="shared" si="292"/>
        <v xml:space="preserve"> </v>
      </c>
      <c r="GX140" s="1186" t="str">
        <f t="shared" si="292"/>
        <v xml:space="preserve"> </v>
      </c>
      <c r="GY140" s="1195">
        <f t="shared" si="340"/>
        <v>0</v>
      </c>
      <c r="GZ140" s="1184">
        <f t="shared" si="341"/>
        <v>0</v>
      </c>
      <c r="HA140" s="1184" t="str">
        <f t="shared" si="353"/>
        <v>a</v>
      </c>
      <c r="HB140" s="1196">
        <f t="shared" si="342"/>
        <v>0</v>
      </c>
      <c r="HC140" s="1196">
        <f t="shared" si="343"/>
        <v>0</v>
      </c>
      <c r="HD140" s="1196"/>
      <c r="HE140" s="1187">
        <f t="shared" si="344"/>
        <v>0</v>
      </c>
      <c r="HF140" s="1196">
        <f t="shared" si="345"/>
        <v>0</v>
      </c>
      <c r="HG140" s="1196">
        <f t="shared" si="346"/>
        <v>0</v>
      </c>
      <c r="HH140" s="1196">
        <f t="shared" si="347"/>
        <v>0</v>
      </c>
      <c r="HI140" s="1328" cm="1">
        <f t="array" ref="HI140">IF(AND(HG140=0,GL140=0),0,IF(HG140=0,1,IF(OR(GL140*1000/HG140/HH140&gt;INDEX(Pflanzen!$W$117:$W$154,CZ140)/INDEX(Pflanzen!$I$117:$I$154,CZ140)*$HI$1,GL140*1000/HG140/HH140&lt;INDEX(Pflanzen!$W$117:$W$154,CZ140)/INDEX(Pflanzen!$I$117:$I$154,CZ140)/$HI$1),1,0)))</f>
        <v>0</v>
      </c>
      <c r="HJ140" s="1330" cm="1">
        <f t="array" ref="HJ140">IF(AND(GM140=0,HG140=0),0,IF(HG140=0,1,IF(OR(GM140*1000/HG140/HH140&gt;INDEX(Pflanzen!$X$117:$X$154,CZ140)/INDEX(Pflanzen!$I$117:$I$154,CZ140)*$HI$2,GM140*1000/HG140/HH140&lt;INDEX(Pflanzen!$X$117:$X$154,CZ140)/INDEX(Pflanzen!$I$117:$I$154,CZ140)/$HI$2),1,0)))</f>
        <v>0</v>
      </c>
      <c r="HK140" s="1184">
        <f t="shared" si="348"/>
        <v>3</v>
      </c>
      <c r="HL140" s="1184"/>
      <c r="HN140" s="1184"/>
      <c r="HO140" s="1184"/>
      <c r="HP140" s="1184"/>
      <c r="HQ140" s="1184"/>
      <c r="HR140" s="1184"/>
      <c r="HS140" s="1184"/>
      <c r="HT140" s="1184"/>
      <c r="HU140" s="1184"/>
      <c r="HV140" s="1184"/>
      <c r="HW140" s="1184"/>
      <c r="HX140" s="1184"/>
      <c r="HY140" s="1184"/>
      <c r="HZ140" s="1184"/>
      <c r="IA140" s="1184"/>
      <c r="IB140" s="1184"/>
      <c r="IC140" s="1184"/>
      <c r="ID140" s="1184"/>
      <c r="IE140" s="1184"/>
      <c r="IF140" s="1184"/>
      <c r="IG140" s="1184"/>
      <c r="IH140" s="1184"/>
      <c r="II140" s="1184"/>
      <c r="IJ140" s="1184"/>
      <c r="IK140" s="1184"/>
      <c r="IL140" s="1184"/>
    </row>
    <row r="141" spans="25:246" ht="15.75" customHeight="1" x14ac:dyDescent="0.2">
      <c r="Y141" s="1555"/>
      <c r="Z141" s="1555"/>
      <c r="AA141" s="1555"/>
      <c r="AB141" s="1555"/>
      <c r="AC141" s="1176"/>
      <c r="AD141" s="1176"/>
      <c r="AE141" s="1176"/>
      <c r="AF141" s="1176"/>
      <c r="AG141" s="1176"/>
      <c r="AH141" s="1176"/>
      <c r="AI141" s="1176"/>
      <c r="AJ141" s="1176"/>
      <c r="AK141" s="1176"/>
      <c r="AL141" s="1176"/>
      <c r="AM141" s="1176"/>
      <c r="AN141" s="1176"/>
      <c r="AO141" s="246"/>
      <c r="AP141" s="246"/>
      <c r="AQ141" s="246"/>
      <c r="AR141" s="1176"/>
      <c r="AS141" s="1176"/>
      <c r="AT141" s="1176"/>
      <c r="AU141" s="1176"/>
      <c r="AV141" s="1176"/>
      <c r="AY141" s="1184"/>
      <c r="AZ141" s="1184"/>
      <c r="BA141" s="1184"/>
      <c r="BB141" s="1184"/>
      <c r="BC141" s="1184"/>
      <c r="BD141" s="1184"/>
      <c r="BQ141" s="1184"/>
      <c r="BR141" s="1184"/>
      <c r="BS141" s="1184"/>
      <c r="BT141" s="1184"/>
      <c r="BU141" s="1200"/>
      <c r="BV141" s="1326"/>
      <c r="BW141" s="1326"/>
      <c r="BX141" s="1326"/>
      <c r="BY141" s="1326"/>
      <c r="BZ141" s="1326"/>
      <c r="CA141" s="1326"/>
      <c r="CB141" s="1326"/>
      <c r="CC141" s="1326"/>
      <c r="CD141" s="1326"/>
      <c r="CE141" s="1326"/>
      <c r="CF141" s="1326"/>
      <c r="CG141" s="1326"/>
      <c r="CH141" s="1326"/>
      <c r="CI141" s="1326"/>
      <c r="CJ141" s="1326"/>
      <c r="CK141" s="1326"/>
      <c r="CL141" s="1184"/>
      <c r="CM141" s="1184"/>
      <c r="CN141" s="1184"/>
      <c r="CO141" s="1184"/>
      <c r="CP141" s="1184"/>
      <c r="CQ141" s="1184"/>
      <c r="CR141" s="1184"/>
      <c r="CS141" s="1184"/>
      <c r="CT141" s="1184"/>
      <c r="CU141" s="1184"/>
      <c r="CV141" s="1184"/>
      <c r="CW141" s="1184"/>
      <c r="CX141" s="1184"/>
      <c r="CY141" s="1208" t="str">
        <f>Pflanzen!C142</f>
        <v>Roggenkleie</v>
      </c>
      <c r="CZ141" s="1184">
        <f>IFERROR(MATCH($CY141,Pflanzen!$C$117:$C$154,0),1)</f>
        <v>26</v>
      </c>
      <c r="DA141" s="1208">
        <f>Pflanzen!H142</f>
        <v>2</v>
      </c>
      <c r="DB141" s="1184">
        <f t="shared" si="351"/>
        <v>0</v>
      </c>
      <c r="DC141" s="1184">
        <f t="shared" si="351"/>
        <v>0</v>
      </c>
      <c r="DD141" s="1184">
        <f t="shared" si="351"/>
        <v>0</v>
      </c>
      <c r="DE141" s="1184">
        <f t="shared" si="351"/>
        <v>0</v>
      </c>
      <c r="DF141" s="1184">
        <f t="shared" si="351"/>
        <v>0</v>
      </c>
      <c r="DG141" s="1184">
        <f t="shared" si="351"/>
        <v>0</v>
      </c>
      <c r="DH141" s="1184">
        <f t="shared" si="351"/>
        <v>0</v>
      </c>
      <c r="DI141" s="1184">
        <f t="shared" si="351"/>
        <v>0</v>
      </c>
      <c r="DJ141" s="1184">
        <f t="shared" si="351"/>
        <v>0</v>
      </c>
      <c r="DK141" s="1184">
        <f t="shared" si="351"/>
        <v>0</v>
      </c>
      <c r="DL141" s="1184">
        <f t="shared" si="351"/>
        <v>0</v>
      </c>
      <c r="DM141" s="1184">
        <f t="shared" si="351"/>
        <v>0</v>
      </c>
      <c r="DN141" s="1184"/>
      <c r="DO141" s="1184">
        <f t="shared" si="352"/>
        <v>0</v>
      </c>
      <c r="DP141" s="1184">
        <f t="shared" si="352"/>
        <v>0</v>
      </c>
      <c r="DQ141" s="1184">
        <f t="shared" si="352"/>
        <v>0</v>
      </c>
      <c r="DR141" s="1184">
        <f t="shared" si="352"/>
        <v>0</v>
      </c>
      <c r="DS141" s="1184">
        <f t="shared" si="352"/>
        <v>0</v>
      </c>
      <c r="DT141" s="1184">
        <f t="shared" si="352"/>
        <v>0</v>
      </c>
      <c r="DU141" s="1184">
        <f t="shared" si="352"/>
        <v>0</v>
      </c>
      <c r="DV141" s="1184">
        <f t="shared" si="352"/>
        <v>0</v>
      </c>
      <c r="DW141" s="1184">
        <f t="shared" si="352"/>
        <v>0</v>
      </c>
      <c r="DX141" s="1184">
        <f t="shared" si="352"/>
        <v>0</v>
      </c>
      <c r="DY141" s="1184">
        <f t="shared" si="352"/>
        <v>0</v>
      </c>
      <c r="DZ141" s="1184">
        <f t="shared" si="352"/>
        <v>0</v>
      </c>
      <c r="EA141" s="1184"/>
      <c r="EB141" s="1184"/>
      <c r="EC141" s="1184"/>
      <c r="ED141" s="1184"/>
      <c r="EE141" s="1184"/>
      <c r="EF141" s="1184"/>
      <c r="EG141" s="1184"/>
      <c r="EH141" s="1184"/>
      <c r="EI141" s="1184"/>
      <c r="EJ141" s="1184"/>
      <c r="EK141" s="1184"/>
      <c r="EL141" s="1184"/>
      <c r="EM141" s="1184"/>
      <c r="EN141" s="1184"/>
      <c r="EO141" s="1184"/>
      <c r="EP141" s="1184"/>
      <c r="EQ141" s="1184"/>
      <c r="ER141" s="1184"/>
      <c r="ES141" s="1184"/>
      <c r="ET141" s="1184"/>
      <c r="EU141" s="1184"/>
      <c r="EV141" s="1184"/>
      <c r="EW141" s="1184"/>
      <c r="EX141" s="1184"/>
      <c r="EY141" s="1184"/>
      <c r="EZ141" s="1184"/>
      <c r="FA141" s="1184"/>
      <c r="FB141" s="1186">
        <f t="shared" si="302"/>
        <v>0</v>
      </c>
      <c r="FC141" s="1297">
        <f t="shared" si="303"/>
        <v>0</v>
      </c>
      <c r="FD141" s="1297">
        <f t="shared" si="304"/>
        <v>0</v>
      </c>
      <c r="FE141" s="1297">
        <f t="shared" si="305"/>
        <v>0</v>
      </c>
      <c r="FF141" s="1297">
        <f t="shared" si="306"/>
        <v>0</v>
      </c>
      <c r="FG141" s="1297">
        <f t="shared" si="307"/>
        <v>0</v>
      </c>
      <c r="FH141" s="1297">
        <f t="shared" si="308"/>
        <v>0</v>
      </c>
      <c r="FI141" s="1297">
        <f t="shared" si="309"/>
        <v>0</v>
      </c>
      <c r="FJ141" s="1297">
        <f t="shared" si="310"/>
        <v>0</v>
      </c>
      <c r="FK141" s="1297">
        <f t="shared" si="311"/>
        <v>0</v>
      </c>
      <c r="FL141" s="1297">
        <f t="shared" si="312"/>
        <v>0</v>
      </c>
      <c r="FM141" s="1297">
        <f t="shared" si="313"/>
        <v>0</v>
      </c>
      <c r="FN141" s="1297">
        <f t="shared" si="314"/>
        <v>0</v>
      </c>
      <c r="FO141" s="1184"/>
      <c r="FP141" s="1186">
        <f t="shared" si="315"/>
        <v>0</v>
      </c>
      <c r="FQ141" s="1297">
        <f t="shared" si="316"/>
        <v>0</v>
      </c>
      <c r="FR141" s="1297">
        <f t="shared" si="317"/>
        <v>0</v>
      </c>
      <c r="FS141" s="1297">
        <f t="shared" si="318"/>
        <v>0</v>
      </c>
      <c r="FT141" s="1297">
        <f t="shared" si="319"/>
        <v>0</v>
      </c>
      <c r="FU141" s="1297">
        <f t="shared" si="320"/>
        <v>0</v>
      </c>
      <c r="FV141" s="1297">
        <f t="shared" si="321"/>
        <v>0</v>
      </c>
      <c r="FW141" s="1297">
        <f t="shared" si="322"/>
        <v>0</v>
      </c>
      <c r="FX141" s="1297">
        <f t="shared" si="323"/>
        <v>0</v>
      </c>
      <c r="FY141" s="1297">
        <f t="shared" si="324"/>
        <v>0</v>
      </c>
      <c r="FZ141" s="1297">
        <f t="shared" si="325"/>
        <v>0</v>
      </c>
      <c r="GA141" s="1297">
        <f t="shared" si="326"/>
        <v>0</v>
      </c>
      <c r="GB141" s="1297">
        <f t="shared" si="327"/>
        <v>0</v>
      </c>
      <c r="GC141" s="1184"/>
      <c r="GD141" s="1184">
        <f t="shared" si="328"/>
        <v>0</v>
      </c>
      <c r="GE141" s="1184">
        <f t="shared" si="329"/>
        <v>0</v>
      </c>
      <c r="GF141" s="1184"/>
      <c r="GG141" s="1184"/>
      <c r="GH141" s="1184"/>
      <c r="GI141" s="1184"/>
      <c r="GJ141" s="1184">
        <f t="shared" si="330"/>
        <v>0</v>
      </c>
      <c r="GK141" s="1184">
        <f t="shared" si="331"/>
        <v>0</v>
      </c>
      <c r="GL141" s="1184">
        <f t="shared" si="332"/>
        <v>0</v>
      </c>
      <c r="GM141" s="1184">
        <f t="shared" si="333"/>
        <v>0</v>
      </c>
      <c r="GN141" s="1184">
        <f t="shared" si="334"/>
        <v>0</v>
      </c>
      <c r="GO141" s="1184" cm="1">
        <f t="array" ref="GO141">IF(GN141=0,0,(SUMPRODUCT($J$75:$J$79,$CH$75:$CH$79,($BR$75:$BR$79=CZ141)*1)+SUMPRODUCT($R$75:$R$79,$CP$75:$CP$79,($BR$75:$BR$79=CZ141)*1))/GN141)</f>
        <v>0</v>
      </c>
      <c r="GP141" s="1184">
        <f t="shared" si="335"/>
        <v>0</v>
      </c>
      <c r="GQ141" s="1184"/>
      <c r="GR141" s="1184"/>
      <c r="GS141" s="1184">
        <f t="shared" si="336"/>
        <v>0</v>
      </c>
      <c r="GT141" s="1184">
        <f t="shared" si="337"/>
        <v>0</v>
      </c>
      <c r="GU141" s="1184">
        <f t="shared" si="338"/>
        <v>0</v>
      </c>
      <c r="GV141" s="1184">
        <f t="shared" si="339"/>
        <v>0</v>
      </c>
      <c r="GW141" s="1186" t="str">
        <f t="shared" si="292"/>
        <v xml:space="preserve"> </v>
      </c>
      <c r="GX141" s="1186" t="str">
        <f t="shared" si="292"/>
        <v xml:space="preserve"> </v>
      </c>
      <c r="GY141" s="1195">
        <f t="shared" si="340"/>
        <v>0</v>
      </c>
      <c r="GZ141" s="1184">
        <f t="shared" si="341"/>
        <v>0</v>
      </c>
      <c r="HA141" s="1184" t="str">
        <f t="shared" si="353"/>
        <v>a</v>
      </c>
      <c r="HB141" s="1196">
        <f t="shared" si="342"/>
        <v>0</v>
      </c>
      <c r="HC141" s="1196">
        <f t="shared" si="343"/>
        <v>0</v>
      </c>
      <c r="HD141" s="1196"/>
      <c r="HE141" s="1187">
        <f t="shared" si="344"/>
        <v>0</v>
      </c>
      <c r="HF141" s="1196">
        <f t="shared" si="345"/>
        <v>0</v>
      </c>
      <c r="HG141" s="1196">
        <f t="shared" si="346"/>
        <v>0</v>
      </c>
      <c r="HH141" s="1196">
        <f t="shared" si="347"/>
        <v>0</v>
      </c>
      <c r="HI141" s="1328" cm="1">
        <f t="array" ref="HI141">IF(AND(HG141=0,GL141=0),0,IF(HG141=0,1,IF(OR(GL141*1000/HG141/HH141&gt;INDEX(Pflanzen!$W$117:$W$154,CZ141)/INDEX(Pflanzen!$I$117:$I$154,CZ141)*$HI$1,GL141*1000/HG141/HH141&lt;INDEX(Pflanzen!$W$117:$W$154,CZ141)/INDEX(Pflanzen!$I$117:$I$154,CZ141)/$HI$1),1,0)))</f>
        <v>0</v>
      </c>
      <c r="HJ141" s="1330" cm="1">
        <f t="array" ref="HJ141">IF(AND(GM141=0,HG141=0),0,IF(HG141=0,1,IF(OR(GM141*1000/HG141/HH141&gt;INDEX(Pflanzen!$X$117:$X$154,CZ141)/INDEX(Pflanzen!$I$117:$I$154,CZ141)*$HI$2,GM141*1000/HG141/HH141&lt;INDEX(Pflanzen!$X$117:$X$154,CZ141)/INDEX(Pflanzen!$I$117:$I$154,CZ141)/$HI$2),1,0)))</f>
        <v>0</v>
      </c>
      <c r="HK141" s="1184">
        <f t="shared" si="348"/>
        <v>3</v>
      </c>
      <c r="HL141" s="1184"/>
      <c r="HN141" s="1184"/>
      <c r="HO141" s="1184"/>
      <c r="HP141" s="1184"/>
      <c r="HQ141" s="1184"/>
      <c r="HR141" s="1184"/>
      <c r="HS141" s="1184"/>
      <c r="HT141" s="1184"/>
      <c r="HU141" s="1184"/>
      <c r="HV141" s="1184"/>
      <c r="HW141" s="1184"/>
      <c r="HX141" s="1184"/>
      <c r="HY141" s="1184"/>
      <c r="HZ141" s="1184"/>
      <c r="IA141" s="1184"/>
      <c r="IB141" s="1184"/>
      <c r="IC141" s="1184"/>
      <c r="ID141" s="1184"/>
      <c r="IE141" s="1184"/>
      <c r="IF141" s="1184"/>
      <c r="IG141" s="1184"/>
      <c r="IH141" s="1184"/>
      <c r="II141" s="1184"/>
      <c r="IJ141" s="1184"/>
      <c r="IK141" s="1184"/>
      <c r="IL141" s="1184"/>
    </row>
    <row r="142" spans="25:246" ht="15.75" customHeight="1" x14ac:dyDescent="0.2">
      <c r="Y142" s="1555"/>
      <c r="Z142" s="1555"/>
      <c r="AA142" s="1555"/>
      <c r="AB142" s="1555"/>
      <c r="AC142" s="1176"/>
      <c r="AD142" s="1176"/>
      <c r="AE142" s="1176"/>
      <c r="AF142" s="1176"/>
      <c r="AG142" s="1176"/>
      <c r="AH142" s="1176"/>
      <c r="AI142" s="1176"/>
      <c r="AJ142" s="1176"/>
      <c r="AK142" s="1176"/>
      <c r="AL142" s="1176"/>
      <c r="AM142" s="1176"/>
      <c r="AN142" s="1176"/>
      <c r="AO142" s="246"/>
      <c r="AP142" s="246"/>
      <c r="AQ142" s="246"/>
      <c r="AR142" s="1176"/>
      <c r="AS142" s="1176"/>
      <c r="AT142" s="1176"/>
      <c r="AU142" s="1176"/>
      <c r="AV142" s="1176"/>
      <c r="AY142" s="1184"/>
      <c r="AZ142" s="1184"/>
      <c r="BA142" s="1184"/>
      <c r="BB142" s="1184"/>
      <c r="BC142" s="1184"/>
      <c r="BD142" s="1184"/>
      <c r="BQ142" s="1184"/>
      <c r="BR142" s="1184"/>
      <c r="BS142" s="1184"/>
      <c r="BT142" s="1184"/>
      <c r="BU142" s="1200"/>
      <c r="BV142" s="1326"/>
      <c r="BW142" s="1326"/>
      <c r="BX142" s="1326"/>
      <c r="BY142" s="1326"/>
      <c r="BZ142" s="1326"/>
      <c r="CA142" s="1326"/>
      <c r="CB142" s="1326"/>
      <c r="CC142" s="1326"/>
      <c r="CD142" s="1326"/>
      <c r="CE142" s="1326"/>
      <c r="CF142" s="1326"/>
      <c r="CG142" s="1326"/>
      <c r="CH142" s="1326"/>
      <c r="CI142" s="1326"/>
      <c r="CJ142" s="1326"/>
      <c r="CK142" s="1326"/>
      <c r="CL142" s="1184"/>
      <c r="CM142" s="1184"/>
      <c r="CN142" s="1184"/>
      <c r="CO142" s="1184"/>
      <c r="CP142" s="1184"/>
      <c r="CQ142" s="1184"/>
      <c r="CR142" s="1184"/>
      <c r="CS142" s="1184"/>
      <c r="CT142" s="1184"/>
      <c r="CU142" s="1184"/>
      <c r="CV142" s="1184"/>
      <c r="CW142" s="1184"/>
      <c r="CX142" s="1209"/>
      <c r="CY142" s="1208" t="str">
        <f>Pflanzen!C143</f>
        <v>Rübenkleinteile</v>
      </c>
      <c r="CZ142" s="1184">
        <f>IFERROR(MATCH($CY142,Pflanzen!$C$117:$C$154,0),1)</f>
        <v>27</v>
      </c>
      <c r="DA142" s="1208">
        <f>Pflanzen!H143</f>
        <v>2</v>
      </c>
      <c r="DB142" s="1184">
        <f t="shared" si="351"/>
        <v>0</v>
      </c>
      <c r="DC142" s="1184">
        <f t="shared" si="351"/>
        <v>0</v>
      </c>
      <c r="DD142" s="1184">
        <f t="shared" si="351"/>
        <v>0</v>
      </c>
      <c r="DE142" s="1184">
        <f t="shared" si="351"/>
        <v>0</v>
      </c>
      <c r="DF142" s="1184">
        <f t="shared" si="351"/>
        <v>0</v>
      </c>
      <c r="DG142" s="1184">
        <f t="shared" si="351"/>
        <v>0</v>
      </c>
      <c r="DH142" s="1184">
        <f t="shared" si="351"/>
        <v>0</v>
      </c>
      <c r="DI142" s="1184">
        <f t="shared" si="351"/>
        <v>0</v>
      </c>
      <c r="DJ142" s="1184">
        <f t="shared" si="351"/>
        <v>0</v>
      </c>
      <c r="DK142" s="1184">
        <f t="shared" si="351"/>
        <v>0</v>
      </c>
      <c r="DL142" s="1184">
        <f t="shared" si="351"/>
        <v>0</v>
      </c>
      <c r="DM142" s="1184">
        <f t="shared" si="351"/>
        <v>0</v>
      </c>
      <c r="DN142" s="1184"/>
      <c r="DO142" s="1184">
        <f t="shared" si="352"/>
        <v>0</v>
      </c>
      <c r="DP142" s="1184">
        <f t="shared" si="352"/>
        <v>0</v>
      </c>
      <c r="DQ142" s="1184">
        <f t="shared" si="352"/>
        <v>0</v>
      </c>
      <c r="DR142" s="1184">
        <f t="shared" si="352"/>
        <v>0</v>
      </c>
      <c r="DS142" s="1184">
        <f t="shared" si="352"/>
        <v>0</v>
      </c>
      <c r="DT142" s="1184">
        <f t="shared" si="352"/>
        <v>0</v>
      </c>
      <c r="DU142" s="1184">
        <f t="shared" si="352"/>
        <v>0</v>
      </c>
      <c r="DV142" s="1184">
        <f t="shared" si="352"/>
        <v>0</v>
      </c>
      <c r="DW142" s="1184">
        <f t="shared" si="352"/>
        <v>0</v>
      </c>
      <c r="DX142" s="1184">
        <f t="shared" si="352"/>
        <v>0</v>
      </c>
      <c r="DY142" s="1184">
        <f t="shared" si="352"/>
        <v>0</v>
      </c>
      <c r="DZ142" s="1184">
        <f t="shared" si="352"/>
        <v>0</v>
      </c>
      <c r="EA142" s="1184"/>
      <c r="EB142" s="1184"/>
      <c r="EC142" s="1184"/>
      <c r="ED142" s="1184"/>
      <c r="EE142" s="1184"/>
      <c r="EF142" s="1184"/>
      <c r="EG142" s="1184"/>
      <c r="EH142" s="1184"/>
      <c r="EI142" s="1184"/>
      <c r="EJ142" s="1184"/>
      <c r="EK142" s="1184"/>
      <c r="EL142" s="1184"/>
      <c r="EM142" s="1184"/>
      <c r="EN142" s="1184"/>
      <c r="EO142" s="1184"/>
      <c r="EP142" s="1184"/>
      <c r="EQ142" s="1184"/>
      <c r="ER142" s="1184"/>
      <c r="ES142" s="1184"/>
      <c r="ET142" s="1184"/>
      <c r="EU142" s="1184"/>
      <c r="EV142" s="1184"/>
      <c r="EW142" s="1184"/>
      <c r="EX142" s="1184"/>
      <c r="EY142" s="1184"/>
      <c r="EZ142" s="1184"/>
      <c r="FA142" s="1184"/>
      <c r="FB142" s="1186">
        <f t="shared" si="302"/>
        <v>0</v>
      </c>
      <c r="FC142" s="1297">
        <f t="shared" si="303"/>
        <v>0</v>
      </c>
      <c r="FD142" s="1297">
        <f t="shared" si="304"/>
        <v>0</v>
      </c>
      <c r="FE142" s="1297">
        <f t="shared" si="305"/>
        <v>0</v>
      </c>
      <c r="FF142" s="1297">
        <f t="shared" si="306"/>
        <v>0</v>
      </c>
      <c r="FG142" s="1297">
        <f t="shared" si="307"/>
        <v>0</v>
      </c>
      <c r="FH142" s="1297">
        <f t="shared" si="308"/>
        <v>0</v>
      </c>
      <c r="FI142" s="1297">
        <f t="shared" si="309"/>
        <v>0</v>
      </c>
      <c r="FJ142" s="1297">
        <f t="shared" si="310"/>
        <v>0</v>
      </c>
      <c r="FK142" s="1297">
        <f t="shared" si="311"/>
        <v>0</v>
      </c>
      <c r="FL142" s="1297">
        <f t="shared" si="312"/>
        <v>0</v>
      </c>
      <c r="FM142" s="1297">
        <f t="shared" si="313"/>
        <v>0</v>
      </c>
      <c r="FN142" s="1297">
        <f t="shared" si="314"/>
        <v>0</v>
      </c>
      <c r="FO142" s="1184"/>
      <c r="FP142" s="1186">
        <f t="shared" si="315"/>
        <v>0</v>
      </c>
      <c r="FQ142" s="1297">
        <f t="shared" si="316"/>
        <v>0</v>
      </c>
      <c r="FR142" s="1297">
        <f t="shared" si="317"/>
        <v>0</v>
      </c>
      <c r="FS142" s="1297">
        <f t="shared" si="318"/>
        <v>0</v>
      </c>
      <c r="FT142" s="1297">
        <f t="shared" si="319"/>
        <v>0</v>
      </c>
      <c r="FU142" s="1297">
        <f t="shared" si="320"/>
        <v>0</v>
      </c>
      <c r="FV142" s="1297">
        <f t="shared" si="321"/>
        <v>0</v>
      </c>
      <c r="FW142" s="1297">
        <f t="shared" si="322"/>
        <v>0</v>
      </c>
      <c r="FX142" s="1297">
        <f t="shared" si="323"/>
        <v>0</v>
      </c>
      <c r="FY142" s="1297">
        <f t="shared" si="324"/>
        <v>0</v>
      </c>
      <c r="FZ142" s="1297">
        <f t="shared" si="325"/>
        <v>0</v>
      </c>
      <c r="GA142" s="1297">
        <f t="shared" si="326"/>
        <v>0</v>
      </c>
      <c r="GB142" s="1297">
        <f t="shared" si="327"/>
        <v>0</v>
      </c>
      <c r="GC142" s="1184"/>
      <c r="GD142" s="1184">
        <f t="shared" si="328"/>
        <v>0</v>
      </c>
      <c r="GE142" s="1184">
        <f t="shared" si="329"/>
        <v>0</v>
      </c>
      <c r="GF142" s="1184"/>
      <c r="GG142" s="1184"/>
      <c r="GH142" s="1184"/>
      <c r="GI142" s="1184"/>
      <c r="GJ142" s="1184">
        <f t="shared" si="330"/>
        <v>0</v>
      </c>
      <c r="GK142" s="1184">
        <f t="shared" si="331"/>
        <v>0</v>
      </c>
      <c r="GL142" s="1184">
        <f t="shared" si="332"/>
        <v>0</v>
      </c>
      <c r="GM142" s="1184">
        <f t="shared" si="333"/>
        <v>0</v>
      </c>
      <c r="GN142" s="1184">
        <f t="shared" si="334"/>
        <v>0</v>
      </c>
      <c r="GO142" s="1184" cm="1">
        <f t="array" ref="GO142">IF(GN142=0,0,(SUMPRODUCT($J$75:$J$79,$CH$75:$CH$79,($BR$75:$BR$79=CZ142)*1)+SUMPRODUCT($R$75:$R$79,$CP$75:$CP$79,($BR$75:$BR$79=CZ142)*1))/GN142)</f>
        <v>0</v>
      </c>
      <c r="GP142" s="1184">
        <f t="shared" si="335"/>
        <v>0</v>
      </c>
      <c r="GQ142" s="1184"/>
      <c r="GR142" s="1184"/>
      <c r="GS142" s="1184">
        <f t="shared" si="336"/>
        <v>0</v>
      </c>
      <c r="GT142" s="1184">
        <f t="shared" si="337"/>
        <v>0</v>
      </c>
      <c r="GU142" s="1184">
        <f t="shared" si="338"/>
        <v>0</v>
      </c>
      <c r="GV142" s="1184">
        <f t="shared" si="339"/>
        <v>0</v>
      </c>
      <c r="GW142" s="1186" t="str">
        <f t="shared" si="292"/>
        <v xml:space="preserve"> </v>
      </c>
      <c r="GX142" s="1186" t="str">
        <f t="shared" si="292"/>
        <v xml:space="preserve"> </v>
      </c>
      <c r="GY142" s="1195">
        <f t="shared" si="340"/>
        <v>0</v>
      </c>
      <c r="GZ142" s="1184">
        <f t="shared" si="341"/>
        <v>0</v>
      </c>
      <c r="HA142" s="1184" t="str">
        <f t="shared" si="353"/>
        <v>a</v>
      </c>
      <c r="HB142" s="1196">
        <f t="shared" si="342"/>
        <v>0</v>
      </c>
      <c r="HC142" s="1196">
        <f t="shared" si="343"/>
        <v>0</v>
      </c>
      <c r="HD142" s="1196"/>
      <c r="HE142" s="1187">
        <f t="shared" si="344"/>
        <v>0</v>
      </c>
      <c r="HF142" s="1196">
        <f t="shared" si="345"/>
        <v>0</v>
      </c>
      <c r="HG142" s="1196">
        <f t="shared" si="346"/>
        <v>0</v>
      </c>
      <c r="HH142" s="1196">
        <f t="shared" si="347"/>
        <v>0</v>
      </c>
      <c r="HI142" s="1328" cm="1">
        <f t="array" ref="HI142">IF(AND(HG142=0,GL142=0),0,IF(HG142=0,1,IF(OR(GL142*1000/HG142/HH142&gt;INDEX(Pflanzen!$W$117:$W$154,CZ142)/INDEX(Pflanzen!$I$117:$I$154,CZ142)*$HI$1,GL142*1000/HG142/HH142&lt;INDEX(Pflanzen!$W$117:$W$154,CZ142)/INDEX(Pflanzen!$I$117:$I$154,CZ142)/$HI$1),1,0)))</f>
        <v>0</v>
      </c>
      <c r="HJ142" s="1330" cm="1">
        <f t="array" ref="HJ142">IF(AND(GM142=0,HG142=0),0,IF(HG142=0,1,IF(OR(GM142*1000/HG142/HH142&gt;INDEX(Pflanzen!$X$117:$X$154,CZ142)/INDEX(Pflanzen!$I$117:$I$154,CZ142)*$HI$2,GM142*1000/HG142/HH142&lt;INDEX(Pflanzen!$X$117:$X$154,CZ142)/INDEX(Pflanzen!$I$117:$I$154,CZ142)/$HI$2),1,0)))</f>
        <v>0</v>
      </c>
      <c r="HK142" s="1184">
        <f t="shared" si="348"/>
        <v>3</v>
      </c>
      <c r="HL142" s="1184"/>
      <c r="HN142" s="1184"/>
      <c r="HO142" s="1184"/>
      <c r="HP142" s="1184"/>
      <c r="HQ142" s="1184"/>
      <c r="HR142" s="1184"/>
      <c r="HS142" s="1184"/>
      <c r="HT142" s="1184"/>
      <c r="HU142" s="1184"/>
      <c r="HV142" s="1184"/>
      <c r="HW142" s="1184"/>
      <c r="HX142" s="1184"/>
      <c r="HY142" s="1184"/>
      <c r="HZ142" s="1184"/>
      <c r="IA142" s="1184"/>
      <c r="IB142" s="1184"/>
      <c r="IC142" s="1184"/>
      <c r="ID142" s="1184"/>
      <c r="IE142" s="1184"/>
      <c r="IF142" s="1184"/>
      <c r="IG142" s="1184"/>
      <c r="IH142" s="1184"/>
      <c r="II142" s="1184"/>
      <c r="IJ142" s="1184"/>
      <c r="IK142" s="1184"/>
      <c r="IL142" s="1184"/>
    </row>
    <row r="143" spans="25:246" ht="15.75" customHeight="1" x14ac:dyDescent="0.2">
      <c r="Y143" s="1555"/>
      <c r="Z143" s="1555"/>
      <c r="AA143" s="1555"/>
      <c r="AB143" s="1555"/>
      <c r="AC143" s="1176"/>
      <c r="AD143" s="1176"/>
      <c r="AE143" s="1176"/>
      <c r="AF143" s="1176"/>
      <c r="AG143" s="1176"/>
      <c r="AH143" s="1176"/>
      <c r="AI143" s="1176"/>
      <c r="AJ143" s="1176"/>
      <c r="AK143" s="1176"/>
      <c r="AL143" s="1176"/>
      <c r="AM143" s="1176"/>
      <c r="AN143" s="1176"/>
      <c r="AO143" s="246"/>
      <c r="AP143" s="246"/>
      <c r="AQ143" s="246"/>
      <c r="AR143" s="1176"/>
      <c r="AS143" s="1176"/>
      <c r="AT143" s="1176"/>
      <c r="AU143" s="1176"/>
      <c r="AV143" s="1176"/>
      <c r="AY143" s="1184"/>
      <c r="AZ143" s="1184"/>
      <c r="BA143" s="1184"/>
      <c r="BB143" s="1184"/>
      <c r="BC143" s="1184"/>
      <c r="BD143" s="1184"/>
      <c r="BQ143" s="1184"/>
      <c r="BR143" s="1184"/>
      <c r="BS143" s="1184"/>
      <c r="BT143" s="1184"/>
      <c r="BU143" s="1200"/>
      <c r="BV143" s="1326"/>
      <c r="BW143" s="1326"/>
      <c r="BX143" s="1326"/>
      <c r="BY143" s="1326"/>
      <c r="BZ143" s="1326"/>
      <c r="CA143" s="1326"/>
      <c r="CB143" s="1326"/>
      <c r="CC143" s="1326"/>
      <c r="CD143" s="1326"/>
      <c r="CE143" s="1326"/>
      <c r="CF143" s="1326"/>
      <c r="CG143" s="1326"/>
      <c r="CH143" s="1326"/>
      <c r="CI143" s="1326"/>
      <c r="CJ143" s="1326"/>
      <c r="CK143" s="1326"/>
      <c r="CL143" s="1184"/>
      <c r="CM143" s="1184"/>
      <c r="CN143" s="1184"/>
      <c r="CO143" s="1184"/>
      <c r="CP143" s="1184"/>
      <c r="CQ143" s="1184"/>
      <c r="CR143" s="1184"/>
      <c r="CS143" s="1184"/>
      <c r="CT143" s="1184"/>
      <c r="CU143" s="1184"/>
      <c r="CV143" s="1184"/>
      <c r="CW143" s="1184"/>
      <c r="CX143" s="1184"/>
      <c r="CY143" s="1208" t="str">
        <f>Pflanzen!C144</f>
        <v>Sojaextraktionsschrot, geschält, 48 % RP</v>
      </c>
      <c r="CZ143" s="1184">
        <f>IFERROR(MATCH($CY143,Pflanzen!$C$117:$C$154,0),1)</f>
        <v>28</v>
      </c>
      <c r="DA143" s="1208">
        <f>Pflanzen!H144</f>
        <v>2</v>
      </c>
      <c r="DB143" s="1184">
        <f t="shared" si="351"/>
        <v>0</v>
      </c>
      <c r="DC143" s="1184">
        <f t="shared" si="351"/>
        <v>0</v>
      </c>
      <c r="DD143" s="1184">
        <f t="shared" si="351"/>
        <v>0</v>
      </c>
      <c r="DE143" s="1184">
        <f t="shared" si="351"/>
        <v>0</v>
      </c>
      <c r="DF143" s="1184">
        <f t="shared" si="351"/>
        <v>0</v>
      </c>
      <c r="DG143" s="1184">
        <f t="shared" si="351"/>
        <v>0</v>
      </c>
      <c r="DH143" s="1184">
        <f t="shared" si="351"/>
        <v>0</v>
      </c>
      <c r="DI143" s="1184">
        <f t="shared" si="351"/>
        <v>0</v>
      </c>
      <c r="DJ143" s="1184">
        <f t="shared" si="351"/>
        <v>0</v>
      </c>
      <c r="DK143" s="1184">
        <f t="shared" si="351"/>
        <v>0</v>
      </c>
      <c r="DL143" s="1184">
        <f t="shared" si="351"/>
        <v>0</v>
      </c>
      <c r="DM143" s="1184">
        <f t="shared" si="351"/>
        <v>0</v>
      </c>
      <c r="DN143" s="1184"/>
      <c r="DO143" s="1184">
        <f t="shared" si="352"/>
        <v>0</v>
      </c>
      <c r="DP143" s="1184">
        <f t="shared" si="352"/>
        <v>0</v>
      </c>
      <c r="DQ143" s="1184">
        <f t="shared" si="352"/>
        <v>0</v>
      </c>
      <c r="DR143" s="1184">
        <f t="shared" si="352"/>
        <v>0</v>
      </c>
      <c r="DS143" s="1184">
        <f t="shared" si="352"/>
        <v>0</v>
      </c>
      <c r="DT143" s="1184">
        <f t="shared" si="352"/>
        <v>0</v>
      </c>
      <c r="DU143" s="1184">
        <f t="shared" si="352"/>
        <v>0</v>
      </c>
      <c r="DV143" s="1184">
        <f t="shared" si="352"/>
        <v>0</v>
      </c>
      <c r="DW143" s="1184">
        <f t="shared" si="352"/>
        <v>0</v>
      </c>
      <c r="DX143" s="1184">
        <f t="shared" si="352"/>
        <v>0</v>
      </c>
      <c r="DY143" s="1184">
        <f t="shared" si="352"/>
        <v>0</v>
      </c>
      <c r="DZ143" s="1184">
        <f t="shared" si="352"/>
        <v>0</v>
      </c>
      <c r="EA143" s="1184"/>
      <c r="EB143" s="1184"/>
      <c r="EC143" s="1184"/>
      <c r="ED143" s="1184"/>
      <c r="EE143" s="1184"/>
      <c r="EF143" s="1184"/>
      <c r="EG143" s="1184"/>
      <c r="EH143" s="1184"/>
      <c r="EI143" s="1184"/>
      <c r="EJ143" s="1184"/>
      <c r="EK143" s="1184"/>
      <c r="EL143" s="1184"/>
      <c r="EM143" s="1184"/>
      <c r="EN143" s="1184"/>
      <c r="EO143" s="1184"/>
      <c r="EP143" s="1184"/>
      <c r="EQ143" s="1184"/>
      <c r="ER143" s="1184"/>
      <c r="ES143" s="1184"/>
      <c r="ET143" s="1184"/>
      <c r="EU143" s="1184"/>
      <c r="EV143" s="1184"/>
      <c r="EW143" s="1184"/>
      <c r="EX143" s="1184"/>
      <c r="EY143" s="1184"/>
      <c r="EZ143" s="1184"/>
      <c r="FA143" s="1184"/>
      <c r="FB143" s="1186">
        <f t="shared" si="302"/>
        <v>0</v>
      </c>
      <c r="FC143" s="1297">
        <f t="shared" si="303"/>
        <v>0</v>
      </c>
      <c r="FD143" s="1297">
        <f t="shared" si="304"/>
        <v>0</v>
      </c>
      <c r="FE143" s="1297">
        <f t="shared" si="305"/>
        <v>0</v>
      </c>
      <c r="FF143" s="1297">
        <f t="shared" si="306"/>
        <v>0</v>
      </c>
      <c r="FG143" s="1297">
        <f t="shared" si="307"/>
        <v>0</v>
      </c>
      <c r="FH143" s="1297">
        <f t="shared" si="308"/>
        <v>0</v>
      </c>
      <c r="FI143" s="1297">
        <f t="shared" si="309"/>
        <v>0</v>
      </c>
      <c r="FJ143" s="1297">
        <f t="shared" si="310"/>
        <v>0</v>
      </c>
      <c r="FK143" s="1297">
        <f t="shared" si="311"/>
        <v>0</v>
      </c>
      <c r="FL143" s="1297">
        <f t="shared" si="312"/>
        <v>0</v>
      </c>
      <c r="FM143" s="1297">
        <f t="shared" si="313"/>
        <v>0</v>
      </c>
      <c r="FN143" s="1297">
        <f t="shared" si="314"/>
        <v>0</v>
      </c>
      <c r="FO143" s="1184"/>
      <c r="FP143" s="1186">
        <f t="shared" si="315"/>
        <v>0</v>
      </c>
      <c r="FQ143" s="1297">
        <f t="shared" si="316"/>
        <v>0</v>
      </c>
      <c r="FR143" s="1297">
        <f t="shared" si="317"/>
        <v>0</v>
      </c>
      <c r="FS143" s="1297">
        <f t="shared" si="318"/>
        <v>0</v>
      </c>
      <c r="FT143" s="1297">
        <f t="shared" si="319"/>
        <v>0</v>
      </c>
      <c r="FU143" s="1297">
        <f t="shared" si="320"/>
        <v>0</v>
      </c>
      <c r="FV143" s="1297">
        <f t="shared" si="321"/>
        <v>0</v>
      </c>
      <c r="FW143" s="1297">
        <f t="shared" si="322"/>
        <v>0</v>
      </c>
      <c r="FX143" s="1297">
        <f t="shared" si="323"/>
        <v>0</v>
      </c>
      <c r="FY143" s="1297">
        <f t="shared" si="324"/>
        <v>0</v>
      </c>
      <c r="FZ143" s="1297">
        <f t="shared" si="325"/>
        <v>0</v>
      </c>
      <c r="GA143" s="1297">
        <f t="shared" si="326"/>
        <v>0</v>
      </c>
      <c r="GB143" s="1297">
        <f t="shared" si="327"/>
        <v>0</v>
      </c>
      <c r="GC143" s="1184"/>
      <c r="GD143" s="1184">
        <f t="shared" si="328"/>
        <v>0</v>
      </c>
      <c r="GE143" s="1184">
        <f t="shared" si="329"/>
        <v>0</v>
      </c>
      <c r="GF143" s="1184"/>
      <c r="GG143" s="1184"/>
      <c r="GH143" s="1184"/>
      <c r="GI143" s="1184"/>
      <c r="GJ143" s="1184">
        <f t="shared" si="330"/>
        <v>0</v>
      </c>
      <c r="GK143" s="1184">
        <f t="shared" si="331"/>
        <v>0</v>
      </c>
      <c r="GL143" s="1184">
        <f t="shared" si="332"/>
        <v>0</v>
      </c>
      <c r="GM143" s="1184">
        <f t="shared" si="333"/>
        <v>0</v>
      </c>
      <c r="GN143" s="1184">
        <f t="shared" si="334"/>
        <v>0</v>
      </c>
      <c r="GO143" s="1184" cm="1">
        <f t="array" ref="GO143">IF(GN143=0,0,(SUMPRODUCT($J$75:$J$79,$CH$75:$CH$79,($BR$75:$BR$79=CZ143)*1)+SUMPRODUCT($R$75:$R$79,$CP$75:$CP$79,($BR$75:$BR$79=CZ143)*1))/GN143)</f>
        <v>0</v>
      </c>
      <c r="GP143" s="1184">
        <f t="shared" si="335"/>
        <v>0</v>
      </c>
      <c r="GQ143" s="1184"/>
      <c r="GR143" s="1184"/>
      <c r="GS143" s="1184">
        <f t="shared" si="336"/>
        <v>0</v>
      </c>
      <c r="GT143" s="1184">
        <f t="shared" si="337"/>
        <v>0</v>
      </c>
      <c r="GU143" s="1184">
        <f t="shared" si="338"/>
        <v>0</v>
      </c>
      <c r="GV143" s="1184">
        <f t="shared" si="339"/>
        <v>0</v>
      </c>
      <c r="GW143" s="1186" t="str">
        <f t="shared" si="292"/>
        <v xml:space="preserve"> </v>
      </c>
      <c r="GX143" s="1186" t="str">
        <f t="shared" si="292"/>
        <v xml:space="preserve"> </v>
      </c>
      <c r="GY143" s="1195">
        <f t="shared" si="340"/>
        <v>0</v>
      </c>
      <c r="GZ143" s="1184">
        <f t="shared" si="341"/>
        <v>0</v>
      </c>
      <c r="HA143" s="1184" t="str">
        <f t="shared" si="353"/>
        <v>a</v>
      </c>
      <c r="HB143" s="1196">
        <f t="shared" si="342"/>
        <v>0</v>
      </c>
      <c r="HC143" s="1196">
        <f t="shared" si="343"/>
        <v>0</v>
      </c>
      <c r="HD143" s="1196"/>
      <c r="HE143" s="1187">
        <f t="shared" si="344"/>
        <v>0</v>
      </c>
      <c r="HF143" s="1196">
        <f t="shared" si="345"/>
        <v>0</v>
      </c>
      <c r="HG143" s="1196">
        <f t="shared" si="346"/>
        <v>0</v>
      </c>
      <c r="HH143" s="1196">
        <f t="shared" si="347"/>
        <v>0</v>
      </c>
      <c r="HI143" s="1328" cm="1">
        <f t="array" ref="HI143">IF(AND(HG143=0,GL143=0),0,IF(HG143=0,1,IF(OR(GL143*1000/HG143/HH143&gt;INDEX(Pflanzen!$W$117:$W$154,CZ143)/INDEX(Pflanzen!$I$117:$I$154,CZ143)*$HI$1,GL143*1000/HG143/HH143&lt;INDEX(Pflanzen!$W$117:$W$154,CZ143)/INDEX(Pflanzen!$I$117:$I$154,CZ143)/$HI$1),1,0)))</f>
        <v>0</v>
      </c>
      <c r="HJ143" s="1330" cm="1">
        <f t="array" ref="HJ143">IF(AND(GM143=0,HG143=0),0,IF(HG143=0,1,IF(OR(GM143*1000/HG143/HH143&gt;INDEX(Pflanzen!$X$117:$X$154,CZ143)/INDEX(Pflanzen!$I$117:$I$154,CZ143)*$HI$2,GM143*1000/HG143/HH143&lt;INDEX(Pflanzen!$X$117:$X$154,CZ143)/INDEX(Pflanzen!$I$117:$I$154,CZ143)/$HI$2),1,0)))</f>
        <v>0</v>
      </c>
      <c r="HK143" s="1184">
        <f t="shared" si="348"/>
        <v>3</v>
      </c>
      <c r="HL143" s="1184"/>
      <c r="HN143" s="1184"/>
      <c r="HO143" s="1184"/>
      <c r="HP143" s="1184"/>
      <c r="HQ143" s="1184"/>
      <c r="HR143" s="1184"/>
      <c r="HS143" s="1184"/>
      <c r="HT143" s="1184"/>
      <c r="HU143" s="1184"/>
      <c r="HV143" s="1184"/>
      <c r="HW143" s="1184"/>
      <c r="HX143" s="1184"/>
      <c r="HY143" s="1184"/>
      <c r="HZ143" s="1184"/>
      <c r="IA143" s="1184"/>
      <c r="IB143" s="1184"/>
      <c r="IC143" s="1184"/>
      <c r="ID143" s="1184"/>
      <c r="IE143" s="1184"/>
      <c r="IF143" s="1184"/>
      <c r="IG143" s="1184"/>
      <c r="IH143" s="1184"/>
      <c r="II143" s="1184"/>
      <c r="IJ143" s="1184"/>
      <c r="IK143" s="1184"/>
      <c r="IL143" s="1184"/>
    </row>
    <row r="144" spans="25:246" ht="15.75" customHeight="1" x14ac:dyDescent="0.2">
      <c r="Y144" s="1555"/>
      <c r="Z144" s="1555"/>
      <c r="AA144" s="1555"/>
      <c r="AB144" s="1555"/>
      <c r="AC144" s="1176"/>
      <c r="AD144" s="1176"/>
      <c r="AE144" s="1176"/>
      <c r="AF144" s="1176"/>
      <c r="AG144" s="1176"/>
      <c r="AH144" s="1176"/>
      <c r="AI144" s="1176"/>
      <c r="AJ144" s="1176"/>
      <c r="AK144" s="1176"/>
      <c r="AL144" s="1176"/>
      <c r="AM144" s="1176"/>
      <c r="AN144" s="1176"/>
      <c r="AO144" s="246"/>
      <c r="AP144" s="246"/>
      <c r="AQ144" s="246"/>
      <c r="AR144" s="1176"/>
      <c r="AS144" s="1176"/>
      <c r="AT144" s="1176"/>
      <c r="AU144" s="1176"/>
      <c r="AV144" s="1176"/>
      <c r="AY144" s="1184"/>
      <c r="AZ144" s="1184"/>
      <c r="BA144" s="1184"/>
      <c r="BB144" s="1184"/>
      <c r="BC144" s="1184"/>
      <c r="BD144" s="1184"/>
      <c r="BQ144" s="1184"/>
      <c r="BR144" s="1184"/>
      <c r="BS144" s="1184"/>
      <c r="BT144" s="1184"/>
      <c r="BU144" s="1200"/>
      <c r="BV144" s="1326"/>
      <c r="BW144" s="1326"/>
      <c r="BX144" s="1326"/>
      <c r="BY144" s="1326"/>
      <c r="BZ144" s="1326"/>
      <c r="CA144" s="1326"/>
      <c r="CB144" s="1326"/>
      <c r="CC144" s="1326"/>
      <c r="CD144" s="1326"/>
      <c r="CE144" s="1326"/>
      <c r="CF144" s="1326"/>
      <c r="CG144" s="1326"/>
      <c r="CH144" s="1326"/>
      <c r="CI144" s="1326"/>
      <c r="CJ144" s="1326"/>
      <c r="CK144" s="1326"/>
      <c r="CL144" s="1184"/>
      <c r="CM144" s="1184"/>
      <c r="CN144" s="1184"/>
      <c r="CO144" s="1184"/>
      <c r="CP144" s="1184"/>
      <c r="CQ144" s="1184"/>
      <c r="CR144" s="1184"/>
      <c r="CS144" s="1184"/>
      <c r="CT144" s="1184"/>
      <c r="CU144" s="1184"/>
      <c r="CV144" s="1184"/>
      <c r="CW144" s="1184"/>
      <c r="CX144" s="1184"/>
      <c r="CY144" s="1208" t="str">
        <f>Pflanzen!C145</f>
        <v>Sojaextraktionsschrot, ungeschält, 44 % RP</v>
      </c>
      <c r="CZ144" s="1184">
        <f>IFERROR(MATCH($CY144,Pflanzen!$C$117:$C$154,0),1)</f>
        <v>29</v>
      </c>
      <c r="DA144" s="1208">
        <f>Pflanzen!H145</f>
        <v>2</v>
      </c>
      <c r="DB144" s="1184">
        <f t="shared" si="351"/>
        <v>0</v>
      </c>
      <c r="DC144" s="1184">
        <f t="shared" si="351"/>
        <v>0</v>
      </c>
      <c r="DD144" s="1184">
        <f t="shared" si="351"/>
        <v>0</v>
      </c>
      <c r="DE144" s="1184">
        <f t="shared" si="351"/>
        <v>0</v>
      </c>
      <c r="DF144" s="1184">
        <f t="shared" si="351"/>
        <v>0</v>
      </c>
      <c r="DG144" s="1184">
        <f t="shared" si="351"/>
        <v>0</v>
      </c>
      <c r="DH144" s="1184">
        <f t="shared" si="351"/>
        <v>0</v>
      </c>
      <c r="DI144" s="1184">
        <f t="shared" si="351"/>
        <v>0</v>
      </c>
      <c r="DJ144" s="1184">
        <f t="shared" si="351"/>
        <v>0</v>
      </c>
      <c r="DK144" s="1184">
        <f t="shared" si="351"/>
        <v>0</v>
      </c>
      <c r="DL144" s="1184">
        <f t="shared" si="351"/>
        <v>0</v>
      </c>
      <c r="DM144" s="1184">
        <f t="shared" si="351"/>
        <v>0</v>
      </c>
      <c r="DN144" s="1184"/>
      <c r="DO144" s="1184">
        <f t="shared" si="352"/>
        <v>0</v>
      </c>
      <c r="DP144" s="1184">
        <f t="shared" si="352"/>
        <v>0</v>
      </c>
      <c r="DQ144" s="1184">
        <f t="shared" si="352"/>
        <v>0</v>
      </c>
      <c r="DR144" s="1184">
        <f t="shared" si="352"/>
        <v>0</v>
      </c>
      <c r="DS144" s="1184">
        <f t="shared" si="352"/>
        <v>0</v>
      </c>
      <c r="DT144" s="1184">
        <f t="shared" si="352"/>
        <v>0</v>
      </c>
      <c r="DU144" s="1184">
        <f t="shared" si="352"/>
        <v>0</v>
      </c>
      <c r="DV144" s="1184">
        <f t="shared" si="352"/>
        <v>0</v>
      </c>
      <c r="DW144" s="1184">
        <f t="shared" si="352"/>
        <v>0</v>
      </c>
      <c r="DX144" s="1184">
        <f t="shared" si="352"/>
        <v>0</v>
      </c>
      <c r="DY144" s="1184">
        <f t="shared" si="352"/>
        <v>0</v>
      </c>
      <c r="DZ144" s="1184">
        <f t="shared" si="352"/>
        <v>0</v>
      </c>
      <c r="EA144" s="1184"/>
      <c r="EB144" s="1184"/>
      <c r="EC144" s="1184"/>
      <c r="ED144" s="1184"/>
      <c r="EE144" s="1184"/>
      <c r="EF144" s="1184"/>
      <c r="EG144" s="1184"/>
      <c r="EH144" s="1184"/>
      <c r="EI144" s="1184"/>
      <c r="EJ144" s="1184"/>
      <c r="EK144" s="1184"/>
      <c r="EL144" s="1184"/>
      <c r="EM144" s="1184"/>
      <c r="EN144" s="1184"/>
      <c r="EO144" s="1184"/>
      <c r="EP144" s="1184"/>
      <c r="EQ144" s="1184"/>
      <c r="ER144" s="1184"/>
      <c r="ES144" s="1184"/>
      <c r="ET144" s="1184"/>
      <c r="EU144" s="1184"/>
      <c r="EV144" s="1184"/>
      <c r="EW144" s="1184"/>
      <c r="EX144" s="1184"/>
      <c r="EY144" s="1184"/>
      <c r="EZ144" s="1184"/>
      <c r="FA144" s="1184"/>
      <c r="FB144" s="1186">
        <f t="shared" si="302"/>
        <v>0</v>
      </c>
      <c r="FC144" s="1297">
        <f t="shared" si="303"/>
        <v>0</v>
      </c>
      <c r="FD144" s="1297">
        <f t="shared" si="304"/>
        <v>0</v>
      </c>
      <c r="FE144" s="1297">
        <f t="shared" si="305"/>
        <v>0</v>
      </c>
      <c r="FF144" s="1297">
        <f t="shared" si="306"/>
        <v>0</v>
      </c>
      <c r="FG144" s="1297">
        <f t="shared" si="307"/>
        <v>0</v>
      </c>
      <c r="FH144" s="1297">
        <f t="shared" si="308"/>
        <v>0</v>
      </c>
      <c r="FI144" s="1297">
        <f t="shared" si="309"/>
        <v>0</v>
      </c>
      <c r="FJ144" s="1297">
        <f t="shared" si="310"/>
        <v>0</v>
      </c>
      <c r="FK144" s="1297">
        <f t="shared" si="311"/>
        <v>0</v>
      </c>
      <c r="FL144" s="1297">
        <f t="shared" si="312"/>
        <v>0</v>
      </c>
      <c r="FM144" s="1297">
        <f t="shared" si="313"/>
        <v>0</v>
      </c>
      <c r="FN144" s="1297">
        <f t="shared" si="314"/>
        <v>0</v>
      </c>
      <c r="FO144" s="1184"/>
      <c r="FP144" s="1186">
        <f t="shared" si="315"/>
        <v>0</v>
      </c>
      <c r="FQ144" s="1297">
        <f t="shared" si="316"/>
        <v>0</v>
      </c>
      <c r="FR144" s="1297">
        <f t="shared" si="317"/>
        <v>0</v>
      </c>
      <c r="FS144" s="1297">
        <f t="shared" si="318"/>
        <v>0</v>
      </c>
      <c r="FT144" s="1297">
        <f t="shared" si="319"/>
        <v>0</v>
      </c>
      <c r="FU144" s="1297">
        <f t="shared" si="320"/>
        <v>0</v>
      </c>
      <c r="FV144" s="1297">
        <f t="shared" si="321"/>
        <v>0</v>
      </c>
      <c r="FW144" s="1297">
        <f t="shared" si="322"/>
        <v>0</v>
      </c>
      <c r="FX144" s="1297">
        <f t="shared" si="323"/>
        <v>0</v>
      </c>
      <c r="FY144" s="1297">
        <f t="shared" si="324"/>
        <v>0</v>
      </c>
      <c r="FZ144" s="1297">
        <f t="shared" si="325"/>
        <v>0</v>
      </c>
      <c r="GA144" s="1297">
        <f t="shared" si="326"/>
        <v>0</v>
      </c>
      <c r="GB144" s="1297">
        <f t="shared" si="327"/>
        <v>0</v>
      </c>
      <c r="GC144" s="1184"/>
      <c r="GD144" s="1184">
        <f t="shared" si="328"/>
        <v>0</v>
      </c>
      <c r="GE144" s="1184">
        <f t="shared" si="329"/>
        <v>0</v>
      </c>
      <c r="GF144" s="1184"/>
      <c r="GG144" s="1184"/>
      <c r="GH144" s="1184"/>
      <c r="GI144" s="1184"/>
      <c r="GJ144" s="1184">
        <f t="shared" si="330"/>
        <v>0</v>
      </c>
      <c r="GK144" s="1184">
        <f t="shared" si="331"/>
        <v>0</v>
      </c>
      <c r="GL144" s="1184">
        <f t="shared" si="332"/>
        <v>0</v>
      </c>
      <c r="GM144" s="1184">
        <f t="shared" si="333"/>
        <v>0</v>
      </c>
      <c r="GN144" s="1184">
        <f t="shared" si="334"/>
        <v>0</v>
      </c>
      <c r="GO144" s="1184" cm="1">
        <f t="array" ref="GO144">IF(GN144=0,0,(SUMPRODUCT($J$75:$J$79,$CH$75:$CH$79,($BR$75:$BR$79=CZ144)*1)+SUMPRODUCT($R$75:$R$79,$CP$75:$CP$79,($BR$75:$BR$79=CZ144)*1))/GN144)</f>
        <v>0</v>
      </c>
      <c r="GP144" s="1184">
        <f t="shared" si="335"/>
        <v>0</v>
      </c>
      <c r="GQ144" s="1184"/>
      <c r="GR144" s="1184"/>
      <c r="GS144" s="1184">
        <f t="shared" si="336"/>
        <v>0</v>
      </c>
      <c r="GT144" s="1184">
        <f t="shared" si="337"/>
        <v>0</v>
      </c>
      <c r="GU144" s="1184">
        <f t="shared" si="338"/>
        <v>0</v>
      </c>
      <c r="GV144" s="1184">
        <f t="shared" si="339"/>
        <v>0</v>
      </c>
      <c r="GW144" s="1186" t="str">
        <f t="shared" si="292"/>
        <v xml:space="preserve"> </v>
      </c>
      <c r="GX144" s="1186" t="str">
        <f t="shared" si="292"/>
        <v xml:space="preserve"> </v>
      </c>
      <c r="GY144" s="1195">
        <f t="shared" si="340"/>
        <v>0</v>
      </c>
      <c r="GZ144" s="1184">
        <f t="shared" si="341"/>
        <v>0</v>
      </c>
      <c r="HA144" s="1184" t="str">
        <f t="shared" si="353"/>
        <v>a</v>
      </c>
      <c r="HB144" s="1196">
        <f t="shared" si="342"/>
        <v>0</v>
      </c>
      <c r="HC144" s="1196">
        <f t="shared" si="343"/>
        <v>0</v>
      </c>
      <c r="HD144" s="1196"/>
      <c r="HE144" s="1187">
        <f t="shared" si="344"/>
        <v>0</v>
      </c>
      <c r="HF144" s="1196">
        <f t="shared" si="345"/>
        <v>0</v>
      </c>
      <c r="HG144" s="1196">
        <f t="shared" si="346"/>
        <v>0</v>
      </c>
      <c r="HH144" s="1196">
        <f t="shared" si="347"/>
        <v>0</v>
      </c>
      <c r="HI144" s="1328" cm="1">
        <f t="array" ref="HI144">IF(AND(HG144=0,GL144=0),0,IF(HG144=0,1,IF(OR(GL144*1000/HG144/HH144&gt;INDEX(Pflanzen!$W$117:$W$154,CZ144)/INDEX(Pflanzen!$I$117:$I$154,CZ144)*$HI$1,GL144*1000/HG144/HH144&lt;INDEX(Pflanzen!$W$117:$W$154,CZ144)/INDEX(Pflanzen!$I$117:$I$154,CZ144)/$HI$1),1,0)))</f>
        <v>0</v>
      </c>
      <c r="HJ144" s="1330" cm="1">
        <f t="array" ref="HJ144">IF(AND(GM144=0,HG144=0),0,IF(HG144=0,1,IF(OR(GM144*1000/HG144/HH144&gt;INDEX(Pflanzen!$X$117:$X$154,CZ144)/INDEX(Pflanzen!$I$117:$I$154,CZ144)*$HI$2,GM144*1000/HG144/HH144&lt;INDEX(Pflanzen!$X$117:$X$154,CZ144)/INDEX(Pflanzen!$I$117:$I$154,CZ144)/$HI$2),1,0)))</f>
        <v>0</v>
      </c>
      <c r="HK144" s="1184">
        <f t="shared" si="348"/>
        <v>3</v>
      </c>
      <c r="HL144" s="1184"/>
      <c r="HN144" s="1184"/>
      <c r="HO144" s="1184"/>
      <c r="HP144" s="1184"/>
      <c r="HQ144" s="1184"/>
      <c r="HR144" s="1184"/>
      <c r="HS144" s="1184"/>
      <c r="HT144" s="1184"/>
      <c r="HU144" s="1184"/>
      <c r="HV144" s="1184"/>
      <c r="HW144" s="1184"/>
      <c r="HX144" s="1184"/>
      <c r="HY144" s="1184"/>
      <c r="HZ144" s="1184"/>
      <c r="IA144" s="1184"/>
      <c r="IB144" s="1184"/>
      <c r="IC144" s="1184"/>
      <c r="ID144" s="1184"/>
      <c r="IE144" s="1184"/>
      <c r="IF144" s="1184"/>
      <c r="IG144" s="1184"/>
      <c r="IH144" s="1184"/>
      <c r="II144" s="1184"/>
      <c r="IJ144" s="1184"/>
      <c r="IK144" s="1184"/>
      <c r="IL144" s="1184"/>
    </row>
    <row r="145" spans="25:246" ht="15.75" customHeight="1" x14ac:dyDescent="0.2">
      <c r="Y145" s="1555"/>
      <c r="Z145" s="1555"/>
      <c r="AA145" s="1555"/>
      <c r="AB145" s="1555"/>
      <c r="AC145" s="1176"/>
      <c r="AD145" s="1176"/>
      <c r="AE145" s="1176"/>
      <c r="AF145" s="1176"/>
      <c r="AG145" s="1176"/>
      <c r="AH145" s="1176"/>
      <c r="AI145" s="1176"/>
      <c r="AJ145" s="1176"/>
      <c r="AK145" s="1176"/>
      <c r="AL145" s="1176"/>
      <c r="AM145" s="1176"/>
      <c r="AN145" s="1176"/>
      <c r="AO145" s="246"/>
      <c r="AP145" s="246"/>
      <c r="AQ145" s="246"/>
      <c r="AR145" s="1176"/>
      <c r="AS145" s="1176"/>
      <c r="AT145" s="1176"/>
      <c r="AU145" s="1176"/>
      <c r="AV145" s="1176"/>
      <c r="AY145" s="1184"/>
      <c r="AZ145" s="1184"/>
      <c r="BA145" s="1184"/>
      <c r="BB145" s="1184"/>
      <c r="BC145" s="1184"/>
      <c r="BD145" s="1184"/>
      <c r="BQ145" s="1184"/>
      <c r="BR145" s="1184"/>
      <c r="BS145" s="1184"/>
      <c r="BT145" s="1184"/>
      <c r="BU145" s="1200"/>
      <c r="BV145" s="1326"/>
      <c r="BW145" s="1326"/>
      <c r="BX145" s="1326"/>
      <c r="BY145" s="1326"/>
      <c r="BZ145" s="1326"/>
      <c r="CA145" s="1326"/>
      <c r="CB145" s="1326"/>
      <c r="CC145" s="1326"/>
      <c r="CD145" s="1326"/>
      <c r="CE145" s="1326"/>
      <c r="CF145" s="1326"/>
      <c r="CG145" s="1326"/>
      <c r="CH145" s="1326"/>
      <c r="CI145" s="1326"/>
      <c r="CJ145" s="1326"/>
      <c r="CK145" s="1326"/>
      <c r="CL145" s="1184"/>
      <c r="CM145" s="1184"/>
      <c r="CN145" s="1184"/>
      <c r="CO145" s="1184"/>
      <c r="CP145" s="1184"/>
      <c r="CQ145" s="1184"/>
      <c r="CR145" s="1184"/>
      <c r="CS145" s="1184"/>
      <c r="CT145" s="1184"/>
      <c r="CU145" s="1184"/>
      <c r="CV145" s="1184"/>
      <c r="CW145" s="1184"/>
      <c r="CX145" s="1184"/>
      <c r="CY145" s="1208" t="str">
        <f>Pflanzen!C146</f>
        <v>Sojaschalen</v>
      </c>
      <c r="CZ145" s="1184">
        <f>IFERROR(MATCH($CY145,Pflanzen!$C$117:$C$154,0),1)</f>
        <v>30</v>
      </c>
      <c r="DA145" s="1208">
        <f>Pflanzen!H146</f>
        <v>2</v>
      </c>
      <c r="DB145" s="1184">
        <f t="shared" si="351"/>
        <v>0</v>
      </c>
      <c r="DC145" s="1184">
        <f t="shared" si="351"/>
        <v>0</v>
      </c>
      <c r="DD145" s="1184">
        <f t="shared" si="351"/>
        <v>0</v>
      </c>
      <c r="DE145" s="1184">
        <f t="shared" si="351"/>
        <v>0</v>
      </c>
      <c r="DF145" s="1184">
        <f t="shared" si="351"/>
        <v>0</v>
      </c>
      <c r="DG145" s="1184">
        <f t="shared" si="351"/>
        <v>0</v>
      </c>
      <c r="DH145" s="1184">
        <f t="shared" si="351"/>
        <v>0</v>
      </c>
      <c r="DI145" s="1184">
        <f t="shared" si="351"/>
        <v>0</v>
      </c>
      <c r="DJ145" s="1184">
        <f t="shared" si="351"/>
        <v>0</v>
      </c>
      <c r="DK145" s="1184">
        <f t="shared" si="351"/>
        <v>0</v>
      </c>
      <c r="DL145" s="1184">
        <f t="shared" si="351"/>
        <v>0</v>
      </c>
      <c r="DM145" s="1184">
        <f t="shared" si="351"/>
        <v>0</v>
      </c>
      <c r="DN145" s="1184"/>
      <c r="DO145" s="1184">
        <f t="shared" si="352"/>
        <v>0</v>
      </c>
      <c r="DP145" s="1184">
        <f t="shared" si="352"/>
        <v>0</v>
      </c>
      <c r="DQ145" s="1184">
        <f t="shared" si="352"/>
        <v>0</v>
      </c>
      <c r="DR145" s="1184">
        <f t="shared" si="352"/>
        <v>0</v>
      </c>
      <c r="DS145" s="1184">
        <f t="shared" si="352"/>
        <v>0</v>
      </c>
      <c r="DT145" s="1184">
        <f t="shared" si="352"/>
        <v>0</v>
      </c>
      <c r="DU145" s="1184">
        <f t="shared" si="352"/>
        <v>0</v>
      </c>
      <c r="DV145" s="1184">
        <f t="shared" si="352"/>
        <v>0</v>
      </c>
      <c r="DW145" s="1184">
        <f t="shared" si="352"/>
        <v>0</v>
      </c>
      <c r="DX145" s="1184">
        <f t="shared" si="352"/>
        <v>0</v>
      </c>
      <c r="DY145" s="1184">
        <f t="shared" si="352"/>
        <v>0</v>
      </c>
      <c r="DZ145" s="1184">
        <f t="shared" si="352"/>
        <v>0</v>
      </c>
      <c r="EA145" s="1184"/>
      <c r="EB145" s="1184"/>
      <c r="EC145" s="1184"/>
      <c r="ED145" s="1184"/>
      <c r="EE145" s="1184"/>
      <c r="EF145" s="1184"/>
      <c r="EG145" s="1184"/>
      <c r="EH145" s="1184"/>
      <c r="EI145" s="1184"/>
      <c r="EJ145" s="1184"/>
      <c r="EK145" s="1184"/>
      <c r="EL145" s="1184"/>
      <c r="EM145" s="1184"/>
      <c r="EN145" s="1184"/>
      <c r="EO145" s="1184"/>
      <c r="EP145" s="1184"/>
      <c r="EQ145" s="1184"/>
      <c r="ER145" s="1184"/>
      <c r="ES145" s="1184"/>
      <c r="ET145" s="1184"/>
      <c r="EU145" s="1184"/>
      <c r="EV145" s="1184"/>
      <c r="EW145" s="1184"/>
      <c r="EX145" s="1184"/>
      <c r="EY145" s="1184"/>
      <c r="EZ145" s="1184"/>
      <c r="FA145" s="1184"/>
      <c r="FB145" s="1186">
        <f t="shared" si="302"/>
        <v>0</v>
      </c>
      <c r="FC145" s="1297">
        <f t="shared" si="303"/>
        <v>0</v>
      </c>
      <c r="FD145" s="1297">
        <f t="shared" si="304"/>
        <v>0</v>
      </c>
      <c r="FE145" s="1297">
        <f t="shared" si="305"/>
        <v>0</v>
      </c>
      <c r="FF145" s="1297">
        <f t="shared" si="306"/>
        <v>0</v>
      </c>
      <c r="FG145" s="1297">
        <f t="shared" si="307"/>
        <v>0</v>
      </c>
      <c r="FH145" s="1297">
        <f t="shared" si="308"/>
        <v>0</v>
      </c>
      <c r="FI145" s="1297">
        <f t="shared" si="309"/>
        <v>0</v>
      </c>
      <c r="FJ145" s="1297">
        <f t="shared" si="310"/>
        <v>0</v>
      </c>
      <c r="FK145" s="1297">
        <f t="shared" si="311"/>
        <v>0</v>
      </c>
      <c r="FL145" s="1297">
        <f t="shared" si="312"/>
        <v>0</v>
      </c>
      <c r="FM145" s="1297">
        <f t="shared" si="313"/>
        <v>0</v>
      </c>
      <c r="FN145" s="1297">
        <f t="shared" si="314"/>
        <v>0</v>
      </c>
      <c r="FO145" s="1184"/>
      <c r="FP145" s="1186">
        <f t="shared" si="315"/>
        <v>0</v>
      </c>
      <c r="FQ145" s="1297">
        <f t="shared" si="316"/>
        <v>0</v>
      </c>
      <c r="FR145" s="1297">
        <f t="shared" si="317"/>
        <v>0</v>
      </c>
      <c r="FS145" s="1297">
        <f t="shared" si="318"/>
        <v>0</v>
      </c>
      <c r="FT145" s="1297">
        <f t="shared" si="319"/>
        <v>0</v>
      </c>
      <c r="FU145" s="1297">
        <f t="shared" si="320"/>
        <v>0</v>
      </c>
      <c r="FV145" s="1297">
        <f t="shared" si="321"/>
        <v>0</v>
      </c>
      <c r="FW145" s="1297">
        <f t="shared" si="322"/>
        <v>0</v>
      </c>
      <c r="FX145" s="1297">
        <f t="shared" si="323"/>
        <v>0</v>
      </c>
      <c r="FY145" s="1297">
        <f t="shared" si="324"/>
        <v>0</v>
      </c>
      <c r="FZ145" s="1297">
        <f t="shared" si="325"/>
        <v>0</v>
      </c>
      <c r="GA145" s="1297">
        <f t="shared" si="326"/>
        <v>0</v>
      </c>
      <c r="GB145" s="1297">
        <f t="shared" si="327"/>
        <v>0</v>
      </c>
      <c r="GC145" s="1184"/>
      <c r="GD145" s="1184">
        <f t="shared" si="328"/>
        <v>0</v>
      </c>
      <c r="GE145" s="1184">
        <f t="shared" si="329"/>
        <v>0</v>
      </c>
      <c r="GF145" s="1184"/>
      <c r="GG145" s="1184"/>
      <c r="GH145" s="1184"/>
      <c r="GI145" s="1184"/>
      <c r="GJ145" s="1184">
        <f t="shared" si="330"/>
        <v>0</v>
      </c>
      <c r="GK145" s="1184">
        <f t="shared" si="331"/>
        <v>0</v>
      </c>
      <c r="GL145" s="1184">
        <f t="shared" si="332"/>
        <v>0</v>
      </c>
      <c r="GM145" s="1184">
        <f t="shared" si="333"/>
        <v>0</v>
      </c>
      <c r="GN145" s="1184">
        <f t="shared" si="334"/>
        <v>0</v>
      </c>
      <c r="GO145" s="1184" cm="1">
        <f t="array" ref="GO145">IF(GN145=0,0,(SUMPRODUCT($J$75:$J$79,$CH$75:$CH$79,($BR$75:$BR$79=CZ145)*1)+SUMPRODUCT($R$75:$R$79,$CP$75:$CP$79,($BR$75:$BR$79=CZ145)*1))/GN145)</f>
        <v>0</v>
      </c>
      <c r="GP145" s="1184">
        <f t="shared" si="335"/>
        <v>0</v>
      </c>
      <c r="GQ145" s="1184"/>
      <c r="GR145" s="1184"/>
      <c r="GS145" s="1184">
        <f t="shared" si="336"/>
        <v>0</v>
      </c>
      <c r="GT145" s="1184">
        <f t="shared" si="337"/>
        <v>0</v>
      </c>
      <c r="GU145" s="1184">
        <f t="shared" si="338"/>
        <v>0</v>
      </c>
      <c r="GV145" s="1184">
        <f t="shared" si="339"/>
        <v>0</v>
      </c>
      <c r="GW145" s="1186" t="str">
        <f t="shared" si="292"/>
        <v xml:space="preserve"> </v>
      </c>
      <c r="GX145" s="1186" t="str">
        <f t="shared" si="292"/>
        <v xml:space="preserve"> </v>
      </c>
      <c r="GY145" s="1195">
        <f t="shared" si="340"/>
        <v>0</v>
      </c>
      <c r="GZ145" s="1184">
        <f t="shared" si="341"/>
        <v>0</v>
      </c>
      <c r="HA145" s="1184" t="str">
        <f t="shared" si="353"/>
        <v>a</v>
      </c>
      <c r="HB145" s="1196">
        <f t="shared" si="342"/>
        <v>0</v>
      </c>
      <c r="HC145" s="1196">
        <f t="shared" si="343"/>
        <v>0</v>
      </c>
      <c r="HD145" s="1196"/>
      <c r="HE145" s="1187">
        <f t="shared" si="344"/>
        <v>0</v>
      </c>
      <c r="HF145" s="1196">
        <f t="shared" si="345"/>
        <v>0</v>
      </c>
      <c r="HG145" s="1196">
        <f t="shared" si="346"/>
        <v>0</v>
      </c>
      <c r="HH145" s="1196">
        <f t="shared" si="347"/>
        <v>0</v>
      </c>
      <c r="HI145" s="1328" cm="1">
        <f t="array" ref="HI145">IF(AND(HG145=0,GL145=0),0,IF(HG145=0,1,IF(OR(GL145*1000/HG145/HH145&gt;INDEX(Pflanzen!$W$117:$W$154,CZ145)/INDEX(Pflanzen!$I$117:$I$154,CZ145)*$HI$1,GL145*1000/HG145/HH145&lt;INDEX(Pflanzen!$W$117:$W$154,CZ145)/INDEX(Pflanzen!$I$117:$I$154,CZ145)/$HI$1),1,0)))</f>
        <v>0</v>
      </c>
      <c r="HJ145" s="1330" cm="1">
        <f t="array" ref="HJ145">IF(AND(GM145=0,HG145=0),0,IF(HG145=0,1,IF(OR(GM145*1000/HG145/HH145&gt;INDEX(Pflanzen!$X$117:$X$154,CZ145)/INDEX(Pflanzen!$I$117:$I$154,CZ145)*$HI$2,GM145*1000/HG145/HH145&lt;INDEX(Pflanzen!$X$117:$X$154,CZ145)/INDEX(Pflanzen!$I$117:$I$154,CZ145)/$HI$2),1,0)))</f>
        <v>0</v>
      </c>
      <c r="HK145" s="1184">
        <f t="shared" si="348"/>
        <v>3</v>
      </c>
      <c r="HL145" s="1184"/>
      <c r="HN145" s="1184"/>
      <c r="HO145" s="1184"/>
      <c r="HP145" s="1184"/>
      <c r="HQ145" s="1184"/>
      <c r="HR145" s="1184"/>
      <c r="HS145" s="1184"/>
      <c r="HT145" s="1184"/>
      <c r="HU145" s="1184"/>
      <c r="HV145" s="1184"/>
      <c r="HW145" s="1184"/>
      <c r="HX145" s="1184"/>
      <c r="HY145" s="1184"/>
      <c r="HZ145" s="1184"/>
      <c r="IA145" s="1184"/>
      <c r="IB145" s="1184"/>
      <c r="IC145" s="1184"/>
      <c r="ID145" s="1184"/>
      <c r="IE145" s="1184"/>
      <c r="IF145" s="1184"/>
      <c r="IG145" s="1184"/>
      <c r="IH145" s="1184"/>
      <c r="II145" s="1184"/>
      <c r="IJ145" s="1184"/>
      <c r="IK145" s="1184"/>
      <c r="IL145" s="1184"/>
    </row>
    <row r="146" spans="25:246" ht="15.75" customHeight="1" x14ac:dyDescent="0.2">
      <c r="Y146" s="1555"/>
      <c r="Z146" s="1555"/>
      <c r="AA146" s="1555"/>
      <c r="AB146" s="1555"/>
      <c r="AC146" s="1176"/>
      <c r="AD146" s="1176"/>
      <c r="AE146" s="1176"/>
      <c r="AF146" s="1176"/>
      <c r="AG146" s="1176"/>
      <c r="AH146" s="1176"/>
      <c r="AI146" s="1176"/>
      <c r="AJ146" s="1176"/>
      <c r="AK146" s="1176"/>
      <c r="AL146" s="1176"/>
      <c r="AM146" s="1176"/>
      <c r="AN146" s="1176"/>
      <c r="AO146" s="246"/>
      <c r="AP146" s="246"/>
      <c r="AQ146" s="246"/>
      <c r="AR146" s="1176"/>
      <c r="AS146" s="1176"/>
      <c r="AT146" s="1176"/>
      <c r="AU146" s="1176"/>
      <c r="AV146" s="1176"/>
      <c r="AY146" s="1184"/>
      <c r="AZ146" s="1184"/>
      <c r="BA146" s="1184"/>
      <c r="BB146" s="1184"/>
      <c r="BC146" s="1184"/>
      <c r="BD146" s="1184"/>
      <c r="BQ146" s="1184"/>
      <c r="BR146" s="1184"/>
      <c r="BS146" s="1184"/>
      <c r="BT146" s="1184"/>
      <c r="BU146" s="1200"/>
      <c r="BV146" s="1326"/>
      <c r="BW146" s="1326"/>
      <c r="BX146" s="1326"/>
      <c r="BY146" s="1326"/>
      <c r="BZ146" s="1326"/>
      <c r="CA146" s="1326"/>
      <c r="CB146" s="1326"/>
      <c r="CC146" s="1326"/>
      <c r="CD146" s="1326"/>
      <c r="CE146" s="1326"/>
      <c r="CF146" s="1326"/>
      <c r="CG146" s="1326"/>
      <c r="CH146" s="1326"/>
      <c r="CI146" s="1326"/>
      <c r="CJ146" s="1326"/>
      <c r="CK146" s="1326"/>
      <c r="CL146" s="1184"/>
      <c r="CM146" s="1184"/>
      <c r="CN146" s="1184"/>
      <c r="CO146" s="1184"/>
      <c r="CP146" s="1184"/>
      <c r="CQ146" s="1184"/>
      <c r="CR146" s="1184"/>
      <c r="CS146" s="1184"/>
      <c r="CT146" s="1184"/>
      <c r="CU146" s="1184"/>
      <c r="CV146" s="1184"/>
      <c r="CW146" s="1184"/>
      <c r="CX146" s="1184"/>
      <c r="CY146" s="1208" t="str">
        <f>Pflanzen!C147</f>
        <v>Sonnenblumenextraktionsschrot, teilgeschält</v>
      </c>
      <c r="CZ146" s="1184">
        <f>IFERROR(MATCH($CY146,Pflanzen!$C$117:$C$154,0),1)</f>
        <v>31</v>
      </c>
      <c r="DA146" s="1208">
        <f>Pflanzen!H147</f>
        <v>2</v>
      </c>
      <c r="DB146" s="1184">
        <f t="shared" ref="DB146:DM153" si="354">SUMIFS($CQ$75:$CQ$79,$BW$75:$BW$79,1,$BX$75:$BX$79,DB$2,$BR$75:$BR$79,$CZ146)+   SUMIFS($CQ$75:$CQ$79,$BW$75:$BW$79,"&gt;1",$BX$75:$BX$79,"&lt;="&amp;DB$2,$BY$75:$BY$79,"&gt;="&amp;DB$2,$BR$75:$BR$79,$CZ146)</f>
        <v>0</v>
      </c>
      <c r="DC146" s="1184">
        <f t="shared" si="354"/>
        <v>0</v>
      </c>
      <c r="DD146" s="1184">
        <f t="shared" si="354"/>
        <v>0</v>
      </c>
      <c r="DE146" s="1184">
        <f t="shared" si="354"/>
        <v>0</v>
      </c>
      <c r="DF146" s="1184">
        <f t="shared" si="354"/>
        <v>0</v>
      </c>
      <c r="DG146" s="1184">
        <f t="shared" si="354"/>
        <v>0</v>
      </c>
      <c r="DH146" s="1184">
        <f t="shared" si="354"/>
        <v>0</v>
      </c>
      <c r="DI146" s="1184">
        <f t="shared" si="354"/>
        <v>0</v>
      </c>
      <c r="DJ146" s="1184">
        <f t="shared" si="354"/>
        <v>0</v>
      </c>
      <c r="DK146" s="1184">
        <f t="shared" si="354"/>
        <v>0</v>
      </c>
      <c r="DL146" s="1184">
        <f t="shared" si="354"/>
        <v>0</v>
      </c>
      <c r="DM146" s="1184">
        <f t="shared" si="354"/>
        <v>0</v>
      </c>
      <c r="DN146" s="1184"/>
      <c r="DO146" s="1184">
        <f t="shared" ref="DO146:DZ153" si="355">SUMIFS($CS$75:$CS$79,$BW$75:$BW$79,1,$BX$75:$BX$79,DO$2,$BR$75:$BR$79,$CZ146)+   SUMIFS($CS$75:$CS$79,$BW$75:$BW$79,"&gt;1",$BX$75:$BX$79,"&lt;="&amp;DO$2,$BY$75:$BY$79,"&gt;="&amp;DO$2,$BR$75:$BR$79,$CZ146)</f>
        <v>0</v>
      </c>
      <c r="DP146" s="1184">
        <f t="shared" si="355"/>
        <v>0</v>
      </c>
      <c r="DQ146" s="1184">
        <f t="shared" si="355"/>
        <v>0</v>
      </c>
      <c r="DR146" s="1184">
        <f t="shared" si="355"/>
        <v>0</v>
      </c>
      <c r="DS146" s="1184">
        <f t="shared" si="355"/>
        <v>0</v>
      </c>
      <c r="DT146" s="1184">
        <f t="shared" si="355"/>
        <v>0</v>
      </c>
      <c r="DU146" s="1184">
        <f t="shared" si="355"/>
        <v>0</v>
      </c>
      <c r="DV146" s="1184">
        <f t="shared" si="355"/>
        <v>0</v>
      </c>
      <c r="DW146" s="1184">
        <f t="shared" si="355"/>
        <v>0</v>
      </c>
      <c r="DX146" s="1184">
        <f t="shared" si="355"/>
        <v>0</v>
      </c>
      <c r="DY146" s="1184">
        <f t="shared" si="355"/>
        <v>0</v>
      </c>
      <c r="DZ146" s="1184">
        <f t="shared" si="355"/>
        <v>0</v>
      </c>
      <c r="EA146" s="1184"/>
      <c r="EB146" s="1184"/>
      <c r="EC146" s="1184"/>
      <c r="ED146" s="1184"/>
      <c r="EE146" s="1184"/>
      <c r="EF146" s="1184"/>
      <c r="EG146" s="1184"/>
      <c r="EH146" s="1184"/>
      <c r="EI146" s="1184"/>
      <c r="EJ146" s="1184"/>
      <c r="EK146" s="1184"/>
      <c r="EL146" s="1184"/>
      <c r="EM146" s="1184"/>
      <c r="EN146" s="1184"/>
      <c r="EO146" s="1184"/>
      <c r="EP146" s="1184"/>
      <c r="EQ146" s="1184"/>
      <c r="ER146" s="1184"/>
      <c r="ES146" s="1184"/>
      <c r="ET146" s="1184"/>
      <c r="EU146" s="1184"/>
      <c r="EV146" s="1184"/>
      <c r="EW146" s="1184"/>
      <c r="EX146" s="1184"/>
      <c r="EY146" s="1184"/>
      <c r="EZ146" s="1184"/>
      <c r="FA146" s="1184"/>
      <c r="FB146" s="1186">
        <f t="shared" si="302"/>
        <v>0</v>
      </c>
      <c r="FC146" s="1297">
        <f t="shared" si="303"/>
        <v>0</v>
      </c>
      <c r="FD146" s="1297">
        <f t="shared" si="304"/>
        <v>0</v>
      </c>
      <c r="FE146" s="1297">
        <f t="shared" si="305"/>
        <v>0</v>
      </c>
      <c r="FF146" s="1297">
        <f t="shared" si="306"/>
        <v>0</v>
      </c>
      <c r="FG146" s="1297">
        <f t="shared" si="307"/>
        <v>0</v>
      </c>
      <c r="FH146" s="1297">
        <f t="shared" si="308"/>
        <v>0</v>
      </c>
      <c r="FI146" s="1297">
        <f t="shared" si="309"/>
        <v>0</v>
      </c>
      <c r="FJ146" s="1297">
        <f t="shared" si="310"/>
        <v>0</v>
      </c>
      <c r="FK146" s="1297">
        <f t="shared" si="311"/>
        <v>0</v>
      </c>
      <c r="FL146" s="1297">
        <f t="shared" si="312"/>
        <v>0</v>
      </c>
      <c r="FM146" s="1297">
        <f t="shared" si="313"/>
        <v>0</v>
      </c>
      <c r="FN146" s="1297">
        <f t="shared" si="314"/>
        <v>0</v>
      </c>
      <c r="FO146" s="1184"/>
      <c r="FP146" s="1186">
        <f t="shared" si="315"/>
        <v>0</v>
      </c>
      <c r="FQ146" s="1297">
        <f t="shared" si="316"/>
        <v>0</v>
      </c>
      <c r="FR146" s="1297">
        <f t="shared" si="317"/>
        <v>0</v>
      </c>
      <c r="FS146" s="1297">
        <f t="shared" si="318"/>
        <v>0</v>
      </c>
      <c r="FT146" s="1297">
        <f t="shared" si="319"/>
        <v>0</v>
      </c>
      <c r="FU146" s="1297">
        <f t="shared" si="320"/>
        <v>0</v>
      </c>
      <c r="FV146" s="1297">
        <f t="shared" si="321"/>
        <v>0</v>
      </c>
      <c r="FW146" s="1297">
        <f t="shared" si="322"/>
        <v>0</v>
      </c>
      <c r="FX146" s="1297">
        <f t="shared" si="323"/>
        <v>0</v>
      </c>
      <c r="FY146" s="1297">
        <f t="shared" si="324"/>
        <v>0</v>
      </c>
      <c r="FZ146" s="1297">
        <f t="shared" si="325"/>
        <v>0</v>
      </c>
      <c r="GA146" s="1297">
        <f t="shared" si="326"/>
        <v>0</v>
      </c>
      <c r="GB146" s="1297">
        <f t="shared" si="327"/>
        <v>0</v>
      </c>
      <c r="GC146" s="1184"/>
      <c r="GD146" s="1184">
        <f t="shared" si="328"/>
        <v>0</v>
      </c>
      <c r="GE146" s="1184">
        <f t="shared" si="329"/>
        <v>0</v>
      </c>
      <c r="GF146" s="1184"/>
      <c r="GG146" s="1184"/>
      <c r="GH146" s="1184"/>
      <c r="GI146" s="1184"/>
      <c r="GJ146" s="1184">
        <f t="shared" si="330"/>
        <v>0</v>
      </c>
      <c r="GK146" s="1184">
        <f t="shared" si="331"/>
        <v>0</v>
      </c>
      <c r="GL146" s="1184">
        <f t="shared" si="332"/>
        <v>0</v>
      </c>
      <c r="GM146" s="1184">
        <f t="shared" si="333"/>
        <v>0</v>
      </c>
      <c r="GN146" s="1184">
        <f t="shared" si="334"/>
        <v>0</v>
      </c>
      <c r="GO146" s="1184" cm="1">
        <f t="array" ref="GO146">IF(GN146=0,0,(SUMPRODUCT($J$75:$J$79,$CH$75:$CH$79,($BR$75:$BR$79=CZ146)*1)+SUMPRODUCT($R$75:$R$79,$CP$75:$CP$79,($BR$75:$BR$79=CZ146)*1))/GN146)</f>
        <v>0</v>
      </c>
      <c r="GP146" s="1184">
        <f t="shared" si="335"/>
        <v>0</v>
      </c>
      <c r="GQ146" s="1184"/>
      <c r="GR146" s="1184"/>
      <c r="GS146" s="1184">
        <f t="shared" si="336"/>
        <v>0</v>
      </c>
      <c r="GT146" s="1184">
        <f t="shared" si="337"/>
        <v>0</v>
      </c>
      <c r="GU146" s="1184">
        <f t="shared" si="338"/>
        <v>0</v>
      </c>
      <c r="GV146" s="1184">
        <f t="shared" si="339"/>
        <v>0</v>
      </c>
      <c r="GW146" s="1186" t="str">
        <f t="shared" si="292"/>
        <v xml:space="preserve"> </v>
      </c>
      <c r="GX146" s="1186" t="str">
        <f t="shared" si="292"/>
        <v xml:space="preserve"> </v>
      </c>
      <c r="GY146" s="1195">
        <f t="shared" si="340"/>
        <v>0</v>
      </c>
      <c r="GZ146" s="1184">
        <f t="shared" si="341"/>
        <v>0</v>
      </c>
      <c r="HA146" s="1184" t="str">
        <f t="shared" si="353"/>
        <v>a</v>
      </c>
      <c r="HB146" s="1196">
        <f t="shared" si="342"/>
        <v>0</v>
      </c>
      <c r="HC146" s="1196">
        <f t="shared" si="343"/>
        <v>0</v>
      </c>
      <c r="HD146" s="1196"/>
      <c r="HE146" s="1187">
        <f t="shared" si="344"/>
        <v>0</v>
      </c>
      <c r="HF146" s="1196">
        <f t="shared" si="345"/>
        <v>0</v>
      </c>
      <c r="HG146" s="1196">
        <f t="shared" si="346"/>
        <v>0</v>
      </c>
      <c r="HH146" s="1196">
        <f t="shared" si="347"/>
        <v>0</v>
      </c>
      <c r="HI146" s="1328" cm="1">
        <f t="array" ref="HI146">IF(AND(HG146=0,GL146=0),0,IF(HG146=0,1,IF(OR(GL146*1000/HG146/HH146&gt;INDEX(Pflanzen!$W$117:$W$154,CZ146)/INDEX(Pflanzen!$I$117:$I$154,CZ146)*$HI$1,GL146*1000/HG146/HH146&lt;INDEX(Pflanzen!$W$117:$W$154,CZ146)/INDEX(Pflanzen!$I$117:$I$154,CZ146)/$HI$1),1,0)))</f>
        <v>0</v>
      </c>
      <c r="HJ146" s="1330" cm="1">
        <f t="array" ref="HJ146">IF(AND(GM146=0,HG146=0),0,IF(HG146=0,1,IF(OR(GM146*1000/HG146/HH146&gt;INDEX(Pflanzen!$X$117:$X$154,CZ146)/INDEX(Pflanzen!$I$117:$I$154,CZ146)*$HI$2,GM146*1000/HG146/HH146&lt;INDEX(Pflanzen!$X$117:$X$154,CZ146)/INDEX(Pflanzen!$I$117:$I$154,CZ146)/$HI$2),1,0)))</f>
        <v>0</v>
      </c>
      <c r="HK146" s="1184">
        <f t="shared" si="348"/>
        <v>3</v>
      </c>
      <c r="HL146" s="1184"/>
      <c r="HN146" s="1184"/>
      <c r="HO146" s="1184"/>
      <c r="HP146" s="1184"/>
      <c r="HQ146" s="1184"/>
      <c r="HR146" s="1184"/>
      <c r="HS146" s="1184"/>
      <c r="HT146" s="1184"/>
      <c r="HU146" s="1184"/>
      <c r="HV146" s="1184"/>
      <c r="HW146" s="1184"/>
      <c r="HX146" s="1184"/>
      <c r="HY146" s="1184"/>
      <c r="HZ146" s="1184"/>
      <c r="IA146" s="1184"/>
      <c r="IB146" s="1184"/>
      <c r="IC146" s="1184"/>
      <c r="ID146" s="1184"/>
      <c r="IE146" s="1184"/>
      <c r="IF146" s="1184"/>
      <c r="IG146" s="1184"/>
      <c r="IH146" s="1184"/>
      <c r="II146" s="1184"/>
      <c r="IJ146" s="1184"/>
      <c r="IK146" s="1184"/>
      <c r="IL146" s="1184"/>
    </row>
    <row r="147" spans="25:246" ht="15.75" customHeight="1" x14ac:dyDescent="0.2">
      <c r="Y147" s="1555"/>
      <c r="Z147" s="1555"/>
      <c r="AA147" s="1555"/>
      <c r="AB147" s="1555"/>
      <c r="AC147" s="1176"/>
      <c r="AD147" s="1176"/>
      <c r="AE147" s="1176"/>
      <c r="AF147" s="1176"/>
      <c r="AG147" s="1176"/>
      <c r="AH147" s="1176"/>
      <c r="AI147" s="1176"/>
      <c r="AJ147" s="1176"/>
      <c r="AK147" s="1176"/>
      <c r="AL147" s="1176"/>
      <c r="AM147" s="1176"/>
      <c r="AN147" s="1176"/>
      <c r="AO147" s="246"/>
      <c r="AP147" s="246"/>
      <c r="AQ147" s="246"/>
      <c r="AR147" s="1176"/>
      <c r="AS147" s="1176"/>
      <c r="AT147" s="1176"/>
      <c r="AU147" s="1176"/>
      <c r="AV147" s="1176"/>
      <c r="AY147" s="1184"/>
      <c r="AZ147" s="1184"/>
      <c r="BA147" s="1184"/>
      <c r="BB147" s="1184"/>
      <c r="BC147" s="1184"/>
      <c r="BD147" s="1184"/>
      <c r="BQ147" s="1184"/>
      <c r="BR147" s="1184"/>
      <c r="BS147" s="1184"/>
      <c r="BT147" s="1184"/>
      <c r="BU147" s="1200"/>
      <c r="BV147" s="1326"/>
      <c r="BW147" s="1326"/>
      <c r="BX147" s="1326"/>
      <c r="BY147" s="1326"/>
      <c r="BZ147" s="1326"/>
      <c r="CA147" s="1326"/>
      <c r="CB147" s="1326"/>
      <c r="CC147" s="1326"/>
      <c r="CD147" s="1326"/>
      <c r="CE147" s="1326"/>
      <c r="CF147" s="1326"/>
      <c r="CG147" s="1326"/>
      <c r="CH147" s="1326"/>
      <c r="CI147" s="1326"/>
      <c r="CJ147" s="1326"/>
      <c r="CK147" s="1326"/>
      <c r="CL147" s="1184"/>
      <c r="CM147" s="1184"/>
      <c r="CN147" s="1184"/>
      <c r="CO147" s="1184"/>
      <c r="CP147" s="1184"/>
      <c r="CQ147" s="1184"/>
      <c r="CR147" s="1184"/>
      <c r="CS147" s="1184"/>
      <c r="CT147" s="1184"/>
      <c r="CU147" s="1184"/>
      <c r="CV147" s="1184"/>
      <c r="CW147" s="1184"/>
      <c r="CX147" s="1184"/>
      <c r="CY147" s="1208" t="str">
        <f>Pflanzen!C148</f>
        <v>Sauermolke, frisch</v>
      </c>
      <c r="CZ147" s="1184">
        <f>IFERROR(MATCH($CY147,Pflanzen!$C$117:$C$154,0),1)</f>
        <v>32</v>
      </c>
      <c r="DA147" s="1208">
        <f>Pflanzen!H148</f>
        <v>2</v>
      </c>
      <c r="DB147" s="1184">
        <f t="shared" si="354"/>
        <v>0</v>
      </c>
      <c r="DC147" s="1184">
        <f t="shared" si="354"/>
        <v>0</v>
      </c>
      <c r="DD147" s="1184">
        <f t="shared" si="354"/>
        <v>0</v>
      </c>
      <c r="DE147" s="1184">
        <f t="shared" si="354"/>
        <v>0</v>
      </c>
      <c r="DF147" s="1184">
        <f t="shared" si="354"/>
        <v>0</v>
      </c>
      <c r="DG147" s="1184">
        <f t="shared" si="354"/>
        <v>0</v>
      </c>
      <c r="DH147" s="1184">
        <f t="shared" si="354"/>
        <v>0</v>
      </c>
      <c r="DI147" s="1184">
        <f t="shared" si="354"/>
        <v>0</v>
      </c>
      <c r="DJ147" s="1184">
        <f t="shared" si="354"/>
        <v>0</v>
      </c>
      <c r="DK147" s="1184">
        <f t="shared" si="354"/>
        <v>0</v>
      </c>
      <c r="DL147" s="1184">
        <f t="shared" si="354"/>
        <v>0</v>
      </c>
      <c r="DM147" s="1184">
        <f t="shared" si="354"/>
        <v>0</v>
      </c>
      <c r="DN147" s="1184"/>
      <c r="DO147" s="1184">
        <f t="shared" si="355"/>
        <v>0</v>
      </c>
      <c r="DP147" s="1184">
        <f t="shared" si="355"/>
        <v>0</v>
      </c>
      <c r="DQ147" s="1184">
        <f t="shared" si="355"/>
        <v>0</v>
      </c>
      <c r="DR147" s="1184">
        <f t="shared" si="355"/>
        <v>0</v>
      </c>
      <c r="DS147" s="1184">
        <f t="shared" si="355"/>
        <v>0</v>
      </c>
      <c r="DT147" s="1184">
        <f t="shared" si="355"/>
        <v>0</v>
      </c>
      <c r="DU147" s="1184">
        <f t="shared" si="355"/>
        <v>0</v>
      </c>
      <c r="DV147" s="1184">
        <f t="shared" si="355"/>
        <v>0</v>
      </c>
      <c r="DW147" s="1184">
        <f t="shared" si="355"/>
        <v>0</v>
      </c>
      <c r="DX147" s="1184">
        <f t="shared" si="355"/>
        <v>0</v>
      </c>
      <c r="DY147" s="1184">
        <f t="shared" si="355"/>
        <v>0</v>
      </c>
      <c r="DZ147" s="1184">
        <f t="shared" si="355"/>
        <v>0</v>
      </c>
      <c r="EA147" s="1184"/>
      <c r="EB147" s="1184"/>
      <c r="EC147" s="1184"/>
      <c r="ED147" s="1184"/>
      <c r="EE147" s="1184"/>
      <c r="EF147" s="1184"/>
      <c r="EG147" s="1184"/>
      <c r="EH147" s="1184"/>
      <c r="EI147" s="1184"/>
      <c r="EJ147" s="1184"/>
      <c r="EK147" s="1184"/>
      <c r="EL147" s="1184"/>
      <c r="EM147" s="1184"/>
      <c r="EN147" s="1184"/>
      <c r="EO147" s="1184"/>
      <c r="EP147" s="1184"/>
      <c r="EQ147" s="1184"/>
      <c r="ER147" s="1184"/>
      <c r="ES147" s="1184"/>
      <c r="ET147" s="1184"/>
      <c r="EU147" s="1184"/>
      <c r="EV147" s="1184"/>
      <c r="EW147" s="1184"/>
      <c r="EX147" s="1184"/>
      <c r="EY147" s="1184"/>
      <c r="EZ147" s="1184"/>
      <c r="FA147" s="1184"/>
      <c r="FB147" s="1186">
        <f t="shared" si="302"/>
        <v>0</v>
      </c>
      <c r="FC147" s="1297">
        <f t="shared" si="303"/>
        <v>0</v>
      </c>
      <c r="FD147" s="1297">
        <f t="shared" si="304"/>
        <v>0</v>
      </c>
      <c r="FE147" s="1297">
        <f t="shared" si="305"/>
        <v>0</v>
      </c>
      <c r="FF147" s="1297">
        <f t="shared" si="306"/>
        <v>0</v>
      </c>
      <c r="FG147" s="1297">
        <f t="shared" si="307"/>
        <v>0</v>
      </c>
      <c r="FH147" s="1297">
        <f t="shared" si="308"/>
        <v>0</v>
      </c>
      <c r="FI147" s="1297">
        <f t="shared" si="309"/>
        <v>0</v>
      </c>
      <c r="FJ147" s="1297">
        <f t="shared" si="310"/>
        <v>0</v>
      </c>
      <c r="FK147" s="1297">
        <f t="shared" si="311"/>
        <v>0</v>
      </c>
      <c r="FL147" s="1297">
        <f t="shared" si="312"/>
        <v>0</v>
      </c>
      <c r="FM147" s="1297">
        <f t="shared" si="313"/>
        <v>0</v>
      </c>
      <c r="FN147" s="1297">
        <f t="shared" si="314"/>
        <v>0</v>
      </c>
      <c r="FO147" s="1184"/>
      <c r="FP147" s="1186">
        <f t="shared" si="315"/>
        <v>0</v>
      </c>
      <c r="FQ147" s="1297">
        <f t="shared" si="316"/>
        <v>0</v>
      </c>
      <c r="FR147" s="1297">
        <f t="shared" si="317"/>
        <v>0</v>
      </c>
      <c r="FS147" s="1297">
        <f t="shared" si="318"/>
        <v>0</v>
      </c>
      <c r="FT147" s="1297">
        <f t="shared" si="319"/>
        <v>0</v>
      </c>
      <c r="FU147" s="1297">
        <f t="shared" si="320"/>
        <v>0</v>
      </c>
      <c r="FV147" s="1297">
        <f t="shared" si="321"/>
        <v>0</v>
      </c>
      <c r="FW147" s="1297">
        <f t="shared" si="322"/>
        <v>0</v>
      </c>
      <c r="FX147" s="1297">
        <f t="shared" si="323"/>
        <v>0</v>
      </c>
      <c r="FY147" s="1297">
        <f t="shared" si="324"/>
        <v>0</v>
      </c>
      <c r="FZ147" s="1297">
        <f t="shared" si="325"/>
        <v>0</v>
      </c>
      <c r="GA147" s="1297">
        <f t="shared" si="326"/>
        <v>0</v>
      </c>
      <c r="GB147" s="1297">
        <f t="shared" si="327"/>
        <v>0</v>
      </c>
      <c r="GC147" s="1184"/>
      <c r="GD147" s="1184">
        <f t="shared" si="328"/>
        <v>0</v>
      </c>
      <c r="GE147" s="1184">
        <f t="shared" si="329"/>
        <v>0</v>
      </c>
      <c r="GF147" s="1184"/>
      <c r="GG147" s="1184"/>
      <c r="GH147" s="1184"/>
      <c r="GI147" s="1184"/>
      <c r="GJ147" s="1184">
        <f t="shared" si="330"/>
        <v>0</v>
      </c>
      <c r="GK147" s="1184">
        <f t="shared" si="331"/>
        <v>0</v>
      </c>
      <c r="GL147" s="1184">
        <f t="shared" si="332"/>
        <v>0</v>
      </c>
      <c r="GM147" s="1184">
        <f t="shared" si="333"/>
        <v>0</v>
      </c>
      <c r="GN147" s="1184">
        <f t="shared" si="334"/>
        <v>0</v>
      </c>
      <c r="GO147" s="1184" cm="1">
        <f t="array" ref="GO147">IF(GN147=0,0,(SUMPRODUCT($J$75:$J$79,$CH$75:$CH$79,($BR$75:$BR$79=CZ147)*1)+SUMPRODUCT($R$75:$R$79,$CP$75:$CP$79,($BR$75:$BR$79=CZ147)*1))/GN147)</f>
        <v>0</v>
      </c>
      <c r="GP147" s="1184">
        <f t="shared" si="335"/>
        <v>0</v>
      </c>
      <c r="GQ147" s="1184"/>
      <c r="GR147" s="1184"/>
      <c r="GS147" s="1184">
        <f t="shared" si="336"/>
        <v>0</v>
      </c>
      <c r="GT147" s="1184">
        <f t="shared" si="337"/>
        <v>0</v>
      </c>
      <c r="GU147" s="1184">
        <f t="shared" si="338"/>
        <v>0</v>
      </c>
      <c r="GV147" s="1184">
        <f t="shared" si="339"/>
        <v>0</v>
      </c>
      <c r="GW147" s="1186" t="str">
        <f t="shared" si="292"/>
        <v xml:space="preserve"> </v>
      </c>
      <c r="GX147" s="1186" t="str">
        <f t="shared" si="292"/>
        <v xml:space="preserve"> </v>
      </c>
      <c r="GY147" s="1195">
        <f t="shared" si="340"/>
        <v>0</v>
      </c>
      <c r="GZ147" s="1184">
        <f t="shared" si="341"/>
        <v>0</v>
      </c>
      <c r="HA147" s="1184" t="str">
        <f t="shared" si="353"/>
        <v>a</v>
      </c>
      <c r="HB147" s="1196">
        <f t="shared" si="342"/>
        <v>0</v>
      </c>
      <c r="HC147" s="1196">
        <f t="shared" si="343"/>
        <v>0</v>
      </c>
      <c r="HD147" s="1196"/>
      <c r="HE147" s="1187">
        <f t="shared" si="344"/>
        <v>0</v>
      </c>
      <c r="HF147" s="1196">
        <f t="shared" si="345"/>
        <v>0</v>
      </c>
      <c r="HG147" s="1196">
        <f t="shared" si="346"/>
        <v>0</v>
      </c>
      <c r="HH147" s="1196">
        <f t="shared" si="347"/>
        <v>0</v>
      </c>
      <c r="HI147" s="1328" cm="1">
        <f t="array" ref="HI147">IF(AND(HG147=0,GL147=0),0,IF(HG147=0,1,IF(OR(GL147*1000/HG147/HH147&gt;INDEX(Pflanzen!$W$117:$W$154,CZ147)/INDEX(Pflanzen!$I$117:$I$154,CZ147)*$HI$1,GL147*1000/HG147/HH147&lt;INDEX(Pflanzen!$W$117:$W$154,CZ147)/INDEX(Pflanzen!$I$117:$I$154,CZ147)/$HI$1),1,0)))</f>
        <v>0</v>
      </c>
      <c r="HJ147" s="1330" cm="1">
        <f t="array" ref="HJ147">IF(AND(GM147=0,HG147=0),0,IF(HG147=0,1,IF(OR(GM147*1000/HG147/HH147&gt;INDEX(Pflanzen!$X$117:$X$154,CZ147)/INDEX(Pflanzen!$I$117:$I$154,CZ147)*$HI$2,GM147*1000/HG147/HH147&lt;INDEX(Pflanzen!$X$117:$X$154,CZ147)/INDEX(Pflanzen!$I$117:$I$154,CZ147)/$HI$2),1,0)))</f>
        <v>0</v>
      </c>
      <c r="HK147" s="1184">
        <f t="shared" si="348"/>
        <v>3</v>
      </c>
      <c r="HL147" s="1184"/>
      <c r="HN147" s="1184"/>
      <c r="HO147" s="1184"/>
      <c r="HP147" s="1184"/>
      <c r="HQ147" s="1184"/>
      <c r="HR147" s="1184"/>
      <c r="HS147" s="1184"/>
      <c r="HT147" s="1184"/>
      <c r="HU147" s="1184"/>
      <c r="HV147" s="1184"/>
      <c r="HW147" s="1184"/>
      <c r="HX147" s="1184"/>
      <c r="HY147" s="1184"/>
      <c r="HZ147" s="1184"/>
      <c r="IA147" s="1184"/>
      <c r="IB147" s="1184"/>
      <c r="IC147" s="1184"/>
      <c r="ID147" s="1184"/>
      <c r="IE147" s="1184"/>
      <c r="IF147" s="1184"/>
      <c r="IG147" s="1184"/>
      <c r="IH147" s="1184"/>
      <c r="II147" s="1184"/>
      <c r="IJ147" s="1184"/>
      <c r="IK147" s="1184"/>
      <c r="IL147" s="1184"/>
    </row>
    <row r="148" spans="25:246" ht="15.75" customHeight="1" x14ac:dyDescent="0.2">
      <c r="Y148" s="1555"/>
      <c r="Z148" s="1555"/>
      <c r="AA148" s="1555"/>
      <c r="AB148" s="1555"/>
      <c r="AC148" s="1176"/>
      <c r="AD148" s="1176"/>
      <c r="AE148" s="1176"/>
      <c r="AF148" s="1176"/>
      <c r="AG148" s="1176"/>
      <c r="AH148" s="1176"/>
      <c r="AI148" s="1176"/>
      <c r="AJ148" s="1176"/>
      <c r="AK148" s="1176"/>
      <c r="AL148" s="1176"/>
      <c r="AM148" s="1176"/>
      <c r="AN148" s="1176"/>
      <c r="AO148" s="246"/>
      <c r="AP148" s="246"/>
      <c r="AQ148" s="246"/>
      <c r="AR148" s="1176"/>
      <c r="AS148" s="1176"/>
      <c r="AT148" s="1176"/>
      <c r="AU148" s="1176"/>
      <c r="AV148" s="1176"/>
      <c r="AY148" s="1184"/>
      <c r="AZ148" s="1184"/>
      <c r="BA148" s="1184"/>
      <c r="BB148" s="1184"/>
      <c r="BC148" s="1184"/>
      <c r="BD148" s="1184"/>
      <c r="BQ148" s="1184"/>
      <c r="BR148" s="1184"/>
      <c r="BS148" s="1184"/>
      <c r="BT148" s="1184"/>
      <c r="BU148" s="1200"/>
      <c r="BV148" s="1326"/>
      <c r="BW148" s="1326"/>
      <c r="BX148" s="1326"/>
      <c r="BY148" s="1326"/>
      <c r="BZ148" s="1326"/>
      <c r="CA148" s="1326"/>
      <c r="CB148" s="1326"/>
      <c r="CC148" s="1326"/>
      <c r="CD148" s="1326"/>
      <c r="CE148" s="1326"/>
      <c r="CF148" s="1326"/>
      <c r="CG148" s="1326"/>
      <c r="CH148" s="1326"/>
      <c r="CI148" s="1326"/>
      <c r="CJ148" s="1326"/>
      <c r="CK148" s="1326"/>
      <c r="CL148" s="1184"/>
      <c r="CM148" s="1184"/>
      <c r="CN148" s="1184"/>
      <c r="CO148" s="1184"/>
      <c r="CP148" s="1184"/>
      <c r="CQ148" s="1184"/>
      <c r="CR148" s="1184"/>
      <c r="CS148" s="1184"/>
      <c r="CT148" s="1184"/>
      <c r="CU148" s="1184"/>
      <c r="CV148" s="1184"/>
      <c r="CW148" s="1184"/>
      <c r="CX148" s="1184"/>
      <c r="CY148" s="1208" t="str">
        <f>Pflanzen!C149</f>
        <v>Süßmolke, frisch</v>
      </c>
      <c r="CZ148" s="1184">
        <f>IFERROR(MATCH($CY148,Pflanzen!$C$117:$C$154,0),1)</f>
        <v>33</v>
      </c>
      <c r="DA148" s="1208">
        <f>Pflanzen!H149</f>
        <v>2</v>
      </c>
      <c r="DB148" s="1184">
        <f t="shared" si="354"/>
        <v>0</v>
      </c>
      <c r="DC148" s="1184">
        <f t="shared" si="354"/>
        <v>0</v>
      </c>
      <c r="DD148" s="1184">
        <f t="shared" si="354"/>
        <v>0</v>
      </c>
      <c r="DE148" s="1184">
        <f t="shared" si="354"/>
        <v>0</v>
      </c>
      <c r="DF148" s="1184">
        <f t="shared" si="354"/>
        <v>0</v>
      </c>
      <c r="DG148" s="1184">
        <f t="shared" si="354"/>
        <v>0</v>
      </c>
      <c r="DH148" s="1184">
        <f t="shared" si="354"/>
        <v>0</v>
      </c>
      <c r="DI148" s="1184">
        <f t="shared" si="354"/>
        <v>0</v>
      </c>
      <c r="DJ148" s="1184">
        <f t="shared" si="354"/>
        <v>0</v>
      </c>
      <c r="DK148" s="1184">
        <f t="shared" si="354"/>
        <v>0</v>
      </c>
      <c r="DL148" s="1184">
        <f t="shared" si="354"/>
        <v>0</v>
      </c>
      <c r="DM148" s="1184">
        <f t="shared" si="354"/>
        <v>0</v>
      </c>
      <c r="DN148" s="1184"/>
      <c r="DO148" s="1184">
        <f t="shared" si="355"/>
        <v>0</v>
      </c>
      <c r="DP148" s="1184">
        <f t="shared" si="355"/>
        <v>0</v>
      </c>
      <c r="DQ148" s="1184">
        <f t="shared" si="355"/>
        <v>0</v>
      </c>
      <c r="DR148" s="1184">
        <f t="shared" si="355"/>
        <v>0</v>
      </c>
      <c r="DS148" s="1184">
        <f t="shared" si="355"/>
        <v>0</v>
      </c>
      <c r="DT148" s="1184">
        <f t="shared" si="355"/>
        <v>0</v>
      </c>
      <c r="DU148" s="1184">
        <f t="shared" si="355"/>
        <v>0</v>
      </c>
      <c r="DV148" s="1184">
        <f t="shared" si="355"/>
        <v>0</v>
      </c>
      <c r="DW148" s="1184">
        <f t="shared" si="355"/>
        <v>0</v>
      </c>
      <c r="DX148" s="1184">
        <f t="shared" si="355"/>
        <v>0</v>
      </c>
      <c r="DY148" s="1184">
        <f t="shared" si="355"/>
        <v>0</v>
      </c>
      <c r="DZ148" s="1184">
        <f t="shared" si="355"/>
        <v>0</v>
      </c>
      <c r="EA148" s="1184"/>
      <c r="EB148" s="1184"/>
      <c r="EC148" s="1184"/>
      <c r="ED148" s="1184"/>
      <c r="EE148" s="1184"/>
      <c r="EF148" s="1184"/>
      <c r="EG148" s="1184"/>
      <c r="EH148" s="1184"/>
      <c r="EI148" s="1184"/>
      <c r="EJ148" s="1184"/>
      <c r="EK148" s="1184"/>
      <c r="EL148" s="1184"/>
      <c r="EM148" s="1184"/>
      <c r="EN148" s="1184"/>
      <c r="EO148" s="1184"/>
      <c r="EP148" s="1184"/>
      <c r="EQ148" s="1184"/>
      <c r="ER148" s="1184"/>
      <c r="ES148" s="1184"/>
      <c r="ET148" s="1184"/>
      <c r="EU148" s="1184"/>
      <c r="EV148" s="1184"/>
      <c r="EW148" s="1184"/>
      <c r="EX148" s="1184"/>
      <c r="EY148" s="1184"/>
      <c r="EZ148" s="1184"/>
      <c r="FA148" s="1184"/>
      <c r="FB148" s="1186">
        <f t="shared" si="302"/>
        <v>0</v>
      </c>
      <c r="FC148" s="1297">
        <f t="shared" si="303"/>
        <v>0</v>
      </c>
      <c r="FD148" s="1297">
        <f t="shared" si="304"/>
        <v>0</v>
      </c>
      <c r="FE148" s="1297">
        <f t="shared" si="305"/>
        <v>0</v>
      </c>
      <c r="FF148" s="1297">
        <f t="shared" si="306"/>
        <v>0</v>
      </c>
      <c r="FG148" s="1297">
        <f t="shared" si="307"/>
        <v>0</v>
      </c>
      <c r="FH148" s="1297">
        <f t="shared" si="308"/>
        <v>0</v>
      </c>
      <c r="FI148" s="1297">
        <f t="shared" si="309"/>
        <v>0</v>
      </c>
      <c r="FJ148" s="1297">
        <f t="shared" si="310"/>
        <v>0</v>
      </c>
      <c r="FK148" s="1297">
        <f t="shared" si="311"/>
        <v>0</v>
      </c>
      <c r="FL148" s="1297">
        <f t="shared" si="312"/>
        <v>0</v>
      </c>
      <c r="FM148" s="1297">
        <f t="shared" si="313"/>
        <v>0</v>
      </c>
      <c r="FN148" s="1297">
        <f t="shared" si="314"/>
        <v>0</v>
      </c>
      <c r="FO148" s="1184"/>
      <c r="FP148" s="1186">
        <f t="shared" si="315"/>
        <v>0</v>
      </c>
      <c r="FQ148" s="1297">
        <f t="shared" si="316"/>
        <v>0</v>
      </c>
      <c r="FR148" s="1297">
        <f t="shared" si="317"/>
        <v>0</v>
      </c>
      <c r="FS148" s="1297">
        <f t="shared" si="318"/>
        <v>0</v>
      </c>
      <c r="FT148" s="1297">
        <f t="shared" si="319"/>
        <v>0</v>
      </c>
      <c r="FU148" s="1297">
        <f t="shared" si="320"/>
        <v>0</v>
      </c>
      <c r="FV148" s="1297">
        <f t="shared" si="321"/>
        <v>0</v>
      </c>
      <c r="FW148" s="1297">
        <f t="shared" si="322"/>
        <v>0</v>
      </c>
      <c r="FX148" s="1297">
        <f t="shared" si="323"/>
        <v>0</v>
      </c>
      <c r="FY148" s="1297">
        <f t="shared" si="324"/>
        <v>0</v>
      </c>
      <c r="FZ148" s="1297">
        <f t="shared" si="325"/>
        <v>0</v>
      </c>
      <c r="GA148" s="1297">
        <f t="shared" si="326"/>
        <v>0</v>
      </c>
      <c r="GB148" s="1297">
        <f t="shared" si="327"/>
        <v>0</v>
      </c>
      <c r="GC148" s="1184"/>
      <c r="GD148" s="1184">
        <f t="shared" si="328"/>
        <v>0</v>
      </c>
      <c r="GE148" s="1184">
        <f t="shared" si="329"/>
        <v>0</v>
      </c>
      <c r="GF148" s="1184"/>
      <c r="GG148" s="1184"/>
      <c r="GH148" s="1184"/>
      <c r="GI148" s="1184"/>
      <c r="GJ148" s="1184">
        <f t="shared" si="330"/>
        <v>0</v>
      </c>
      <c r="GK148" s="1184">
        <f t="shared" si="331"/>
        <v>0</v>
      </c>
      <c r="GL148" s="1184">
        <f t="shared" si="332"/>
        <v>0</v>
      </c>
      <c r="GM148" s="1184">
        <f t="shared" si="333"/>
        <v>0</v>
      </c>
      <c r="GN148" s="1184">
        <f t="shared" si="334"/>
        <v>0</v>
      </c>
      <c r="GO148" s="1184" cm="1">
        <f t="array" ref="GO148">IF(GN148=0,0,(SUMPRODUCT($J$75:$J$79,$CH$75:$CH$79,($BR$75:$BR$79=CZ148)*1)+SUMPRODUCT($R$75:$R$79,$CP$75:$CP$79,($BR$75:$BR$79=CZ148)*1))/GN148)</f>
        <v>0</v>
      </c>
      <c r="GP148" s="1184">
        <f t="shared" si="335"/>
        <v>0</v>
      </c>
      <c r="GQ148" s="1184"/>
      <c r="GR148" s="1184"/>
      <c r="GS148" s="1184">
        <f t="shared" si="336"/>
        <v>0</v>
      </c>
      <c r="GT148" s="1184">
        <f t="shared" si="337"/>
        <v>0</v>
      </c>
      <c r="GU148" s="1184">
        <f t="shared" si="338"/>
        <v>0</v>
      </c>
      <c r="GV148" s="1184">
        <f t="shared" si="339"/>
        <v>0</v>
      </c>
      <c r="GW148" s="1186" t="str">
        <f t="shared" si="292"/>
        <v xml:space="preserve"> </v>
      </c>
      <c r="GX148" s="1186" t="str">
        <f t="shared" si="292"/>
        <v xml:space="preserve"> </v>
      </c>
      <c r="GY148" s="1195">
        <f t="shared" si="340"/>
        <v>0</v>
      </c>
      <c r="GZ148" s="1184">
        <f t="shared" si="341"/>
        <v>0</v>
      </c>
      <c r="HA148" s="1184" t="str">
        <f t="shared" si="353"/>
        <v>a</v>
      </c>
      <c r="HB148" s="1196">
        <f t="shared" si="342"/>
        <v>0</v>
      </c>
      <c r="HC148" s="1196">
        <f t="shared" si="343"/>
        <v>0</v>
      </c>
      <c r="HD148" s="1196"/>
      <c r="HE148" s="1187">
        <f t="shared" si="344"/>
        <v>0</v>
      </c>
      <c r="HF148" s="1196">
        <f t="shared" si="345"/>
        <v>0</v>
      </c>
      <c r="HG148" s="1196">
        <f t="shared" si="346"/>
        <v>0</v>
      </c>
      <c r="HH148" s="1196">
        <f t="shared" si="347"/>
        <v>0</v>
      </c>
      <c r="HI148" s="1328" cm="1">
        <f t="array" ref="HI148">IF(AND(HG148=0,GL148=0),0,IF(HG148=0,1,IF(OR(GL148*1000/HG148/HH148&gt;INDEX(Pflanzen!$W$117:$W$154,CZ148)/INDEX(Pflanzen!$I$117:$I$154,CZ148)*$HI$1,GL148*1000/HG148/HH148&lt;INDEX(Pflanzen!$W$117:$W$154,CZ148)/INDEX(Pflanzen!$I$117:$I$154,CZ148)/$HI$1),1,0)))</f>
        <v>0</v>
      </c>
      <c r="HJ148" s="1330" cm="1">
        <f t="array" ref="HJ148">IF(AND(GM148=0,HG148=0),0,IF(HG148=0,1,IF(OR(GM148*1000/HG148/HH148&gt;INDEX(Pflanzen!$X$117:$X$154,CZ148)/INDEX(Pflanzen!$I$117:$I$154,CZ148)*$HI$2,GM148*1000/HG148/HH148&lt;INDEX(Pflanzen!$X$117:$X$154,CZ148)/INDEX(Pflanzen!$I$117:$I$154,CZ148)/$HI$2),1,0)))</f>
        <v>0</v>
      </c>
      <c r="HK148" s="1184">
        <f t="shared" si="348"/>
        <v>3</v>
      </c>
      <c r="HL148" s="1317"/>
      <c r="HM148" s="726"/>
      <c r="HN148" s="1184"/>
      <c r="HO148" s="1184"/>
      <c r="HP148" s="1184"/>
      <c r="HQ148" s="1184"/>
      <c r="HR148" s="1184"/>
      <c r="HS148" s="1184"/>
      <c r="HT148" s="1184"/>
      <c r="HU148" s="1184"/>
      <c r="HV148" s="1184"/>
      <c r="HW148" s="1184"/>
      <c r="HX148" s="1184"/>
      <c r="HY148" s="1184"/>
      <c r="HZ148" s="1184"/>
      <c r="IA148" s="1184"/>
      <c r="IB148" s="1184"/>
      <c r="IC148" s="1184"/>
      <c r="ID148" s="1184"/>
      <c r="IE148" s="1184"/>
      <c r="IF148" s="1184"/>
      <c r="IG148" s="1184"/>
      <c r="IH148" s="1184"/>
      <c r="II148" s="1184"/>
      <c r="IJ148" s="1184"/>
      <c r="IK148" s="1184"/>
      <c r="IL148" s="1184"/>
    </row>
    <row r="149" spans="25:246" ht="15.75" customHeight="1" x14ac:dyDescent="0.2">
      <c r="Y149" s="1555"/>
      <c r="Z149" s="1555"/>
      <c r="AA149" s="1555"/>
      <c r="AB149" s="1555"/>
      <c r="AC149" s="1176"/>
      <c r="AD149" s="1176"/>
      <c r="AE149" s="1176"/>
      <c r="AF149" s="1176"/>
      <c r="AG149" s="1176"/>
      <c r="AH149" s="1176"/>
      <c r="AI149" s="1176"/>
      <c r="AJ149" s="1176"/>
      <c r="AK149" s="1176"/>
      <c r="AL149" s="1176"/>
      <c r="AM149" s="1176"/>
      <c r="AN149" s="1176"/>
      <c r="AO149" s="246"/>
      <c r="AP149" s="246"/>
      <c r="AQ149" s="246"/>
      <c r="AR149" s="1176"/>
      <c r="AS149" s="1176"/>
      <c r="AT149" s="1176"/>
      <c r="AU149" s="1176"/>
      <c r="AV149" s="1176"/>
      <c r="AY149" s="1184"/>
      <c r="AZ149" s="1184"/>
      <c r="BA149" s="1184"/>
      <c r="BB149" s="1184"/>
      <c r="BC149" s="1184"/>
      <c r="BD149" s="1184"/>
      <c r="BQ149" s="1184"/>
      <c r="BR149" s="1184"/>
      <c r="BS149" s="1184"/>
      <c r="BT149" s="1184"/>
      <c r="BU149" s="1200"/>
      <c r="BV149" s="1326"/>
      <c r="BW149" s="1326"/>
      <c r="BX149" s="1326"/>
      <c r="BY149" s="1326"/>
      <c r="BZ149" s="1326"/>
      <c r="CA149" s="1326"/>
      <c r="CB149" s="1326"/>
      <c r="CC149" s="1326"/>
      <c r="CD149" s="1326"/>
      <c r="CE149" s="1326"/>
      <c r="CF149" s="1326"/>
      <c r="CG149" s="1326"/>
      <c r="CH149" s="1326"/>
      <c r="CI149" s="1326"/>
      <c r="CJ149" s="1326"/>
      <c r="CK149" s="1326"/>
      <c r="CL149" s="1184"/>
      <c r="CM149" s="1184"/>
      <c r="CN149" s="1184"/>
      <c r="CO149" s="1184"/>
      <c r="CP149" s="1184"/>
      <c r="CQ149" s="1184"/>
      <c r="CR149" s="1184"/>
      <c r="CS149" s="1184"/>
      <c r="CT149" s="1184"/>
      <c r="CU149" s="1184"/>
      <c r="CV149" s="1184"/>
      <c r="CW149" s="1184"/>
      <c r="CX149" s="1184"/>
      <c r="CY149" s="1208" t="str">
        <f>Pflanzen!C150</f>
        <v>Trockenschnitzel</v>
      </c>
      <c r="CZ149" s="1184">
        <f>IFERROR(MATCH($CY149,Pflanzen!$C$117:$C$154,0),1)</f>
        <v>34</v>
      </c>
      <c r="DA149" s="1208">
        <f>Pflanzen!H150</f>
        <v>2</v>
      </c>
      <c r="DB149" s="1184">
        <f t="shared" si="354"/>
        <v>0</v>
      </c>
      <c r="DC149" s="1184">
        <f t="shared" si="354"/>
        <v>0</v>
      </c>
      <c r="DD149" s="1184">
        <f t="shared" si="354"/>
        <v>0</v>
      </c>
      <c r="DE149" s="1184">
        <f t="shared" si="354"/>
        <v>0</v>
      </c>
      <c r="DF149" s="1184">
        <f t="shared" si="354"/>
        <v>0</v>
      </c>
      <c r="DG149" s="1184">
        <f t="shared" si="354"/>
        <v>0</v>
      </c>
      <c r="DH149" s="1184">
        <f t="shared" si="354"/>
        <v>0</v>
      </c>
      <c r="DI149" s="1184">
        <f t="shared" si="354"/>
        <v>0</v>
      </c>
      <c r="DJ149" s="1184">
        <f t="shared" si="354"/>
        <v>0</v>
      </c>
      <c r="DK149" s="1184">
        <f t="shared" si="354"/>
        <v>0</v>
      </c>
      <c r="DL149" s="1184">
        <f t="shared" si="354"/>
        <v>0</v>
      </c>
      <c r="DM149" s="1184">
        <f t="shared" si="354"/>
        <v>0</v>
      </c>
      <c r="DN149" s="1184"/>
      <c r="DO149" s="1184">
        <f t="shared" si="355"/>
        <v>0</v>
      </c>
      <c r="DP149" s="1184">
        <f t="shared" si="355"/>
        <v>0</v>
      </c>
      <c r="DQ149" s="1184">
        <f t="shared" si="355"/>
        <v>0</v>
      </c>
      <c r="DR149" s="1184">
        <f t="shared" si="355"/>
        <v>0</v>
      </c>
      <c r="DS149" s="1184">
        <f t="shared" si="355"/>
        <v>0</v>
      </c>
      <c r="DT149" s="1184">
        <f t="shared" si="355"/>
        <v>0</v>
      </c>
      <c r="DU149" s="1184">
        <f t="shared" si="355"/>
        <v>0</v>
      </c>
      <c r="DV149" s="1184">
        <f t="shared" si="355"/>
        <v>0</v>
      </c>
      <c r="DW149" s="1184">
        <f t="shared" si="355"/>
        <v>0</v>
      </c>
      <c r="DX149" s="1184">
        <f t="shared" si="355"/>
        <v>0</v>
      </c>
      <c r="DY149" s="1184">
        <f t="shared" si="355"/>
        <v>0</v>
      </c>
      <c r="DZ149" s="1184">
        <f t="shared" si="355"/>
        <v>0</v>
      </c>
      <c r="EA149" s="1184"/>
      <c r="EB149" s="1184"/>
      <c r="EC149" s="1184"/>
      <c r="ED149" s="1184"/>
      <c r="EE149" s="1184"/>
      <c r="EF149" s="1184"/>
      <c r="EG149" s="1184"/>
      <c r="EH149" s="1184"/>
      <c r="EI149" s="1184"/>
      <c r="EJ149" s="1184"/>
      <c r="EK149" s="1184"/>
      <c r="EL149" s="1184"/>
      <c r="EM149" s="1184"/>
      <c r="EN149" s="1184"/>
      <c r="EO149" s="1184"/>
      <c r="EP149" s="1184"/>
      <c r="EQ149" s="1184"/>
      <c r="ER149" s="1184"/>
      <c r="ES149" s="1184"/>
      <c r="ET149" s="1184"/>
      <c r="EU149" s="1184"/>
      <c r="EV149" s="1184"/>
      <c r="EW149" s="1184"/>
      <c r="EX149" s="1184"/>
      <c r="EY149" s="1184"/>
      <c r="EZ149" s="1184"/>
      <c r="FA149" s="1184"/>
      <c r="FB149" s="1186">
        <f t="shared" si="302"/>
        <v>0</v>
      </c>
      <c r="FC149" s="1297">
        <f t="shared" si="303"/>
        <v>0</v>
      </c>
      <c r="FD149" s="1297">
        <f t="shared" si="304"/>
        <v>0</v>
      </c>
      <c r="FE149" s="1297">
        <f t="shared" si="305"/>
        <v>0</v>
      </c>
      <c r="FF149" s="1297">
        <f t="shared" si="306"/>
        <v>0</v>
      </c>
      <c r="FG149" s="1297">
        <f t="shared" si="307"/>
        <v>0</v>
      </c>
      <c r="FH149" s="1297">
        <f t="shared" si="308"/>
        <v>0</v>
      </c>
      <c r="FI149" s="1297">
        <f t="shared" si="309"/>
        <v>0</v>
      </c>
      <c r="FJ149" s="1297">
        <f t="shared" si="310"/>
        <v>0</v>
      </c>
      <c r="FK149" s="1297">
        <f t="shared" si="311"/>
        <v>0</v>
      </c>
      <c r="FL149" s="1297">
        <f t="shared" si="312"/>
        <v>0</v>
      </c>
      <c r="FM149" s="1297">
        <f t="shared" si="313"/>
        <v>0</v>
      </c>
      <c r="FN149" s="1297">
        <f t="shared" si="314"/>
        <v>0</v>
      </c>
      <c r="FO149" s="1184"/>
      <c r="FP149" s="1186">
        <f t="shared" si="315"/>
        <v>0</v>
      </c>
      <c r="FQ149" s="1297">
        <f t="shared" si="316"/>
        <v>0</v>
      </c>
      <c r="FR149" s="1297">
        <f t="shared" si="317"/>
        <v>0</v>
      </c>
      <c r="FS149" s="1297">
        <f t="shared" si="318"/>
        <v>0</v>
      </c>
      <c r="FT149" s="1297">
        <f t="shared" si="319"/>
        <v>0</v>
      </c>
      <c r="FU149" s="1297">
        <f t="shared" si="320"/>
        <v>0</v>
      </c>
      <c r="FV149" s="1297">
        <f t="shared" si="321"/>
        <v>0</v>
      </c>
      <c r="FW149" s="1297">
        <f t="shared" si="322"/>
        <v>0</v>
      </c>
      <c r="FX149" s="1297">
        <f t="shared" si="323"/>
        <v>0</v>
      </c>
      <c r="FY149" s="1297">
        <f t="shared" si="324"/>
        <v>0</v>
      </c>
      <c r="FZ149" s="1297">
        <f t="shared" si="325"/>
        <v>0</v>
      </c>
      <c r="GA149" s="1297">
        <f t="shared" si="326"/>
        <v>0</v>
      </c>
      <c r="GB149" s="1297">
        <f t="shared" si="327"/>
        <v>0</v>
      </c>
      <c r="GC149" s="1184"/>
      <c r="GD149" s="1184">
        <f t="shared" si="328"/>
        <v>0</v>
      </c>
      <c r="GE149" s="1184">
        <f t="shared" si="329"/>
        <v>0</v>
      </c>
      <c r="GF149" s="1184"/>
      <c r="GG149" s="1184"/>
      <c r="GH149" s="1184"/>
      <c r="GI149" s="1184"/>
      <c r="GJ149" s="1184">
        <f t="shared" si="330"/>
        <v>0</v>
      </c>
      <c r="GK149" s="1184">
        <f t="shared" si="331"/>
        <v>0</v>
      </c>
      <c r="GL149" s="1184">
        <f t="shared" si="332"/>
        <v>0</v>
      </c>
      <c r="GM149" s="1184">
        <f t="shared" si="333"/>
        <v>0</v>
      </c>
      <c r="GN149" s="1184">
        <f t="shared" si="334"/>
        <v>0</v>
      </c>
      <c r="GO149" s="1184" cm="1">
        <f t="array" ref="GO149">IF(GN149=0,0,(SUMPRODUCT($J$75:$J$79,$CH$75:$CH$79,($BR$75:$BR$79=CZ149)*1)+SUMPRODUCT($R$75:$R$79,$CP$75:$CP$79,($BR$75:$BR$79=CZ149)*1))/GN149)</f>
        <v>0</v>
      </c>
      <c r="GP149" s="1184">
        <f t="shared" si="335"/>
        <v>0</v>
      </c>
      <c r="GQ149" s="1184"/>
      <c r="GR149" s="1184"/>
      <c r="GS149" s="1184">
        <f t="shared" si="336"/>
        <v>0</v>
      </c>
      <c r="GT149" s="1184">
        <f t="shared" si="337"/>
        <v>0</v>
      </c>
      <c r="GU149" s="1184">
        <f t="shared" si="338"/>
        <v>0</v>
      </c>
      <c r="GV149" s="1184">
        <f t="shared" si="339"/>
        <v>0</v>
      </c>
      <c r="GW149" s="1186" t="str">
        <f t="shared" si="292"/>
        <v xml:space="preserve"> </v>
      </c>
      <c r="GX149" s="1186" t="str">
        <f t="shared" si="292"/>
        <v xml:space="preserve"> </v>
      </c>
      <c r="GY149" s="1195">
        <f t="shared" si="340"/>
        <v>0</v>
      </c>
      <c r="GZ149" s="1184">
        <f t="shared" si="341"/>
        <v>0</v>
      </c>
      <c r="HA149" s="1184" t="str">
        <f t="shared" si="353"/>
        <v>a</v>
      </c>
      <c r="HB149" s="1196">
        <f t="shared" si="342"/>
        <v>0</v>
      </c>
      <c r="HC149" s="1196">
        <f t="shared" si="343"/>
        <v>0</v>
      </c>
      <c r="HD149" s="1196"/>
      <c r="HE149" s="1187">
        <f t="shared" si="344"/>
        <v>0</v>
      </c>
      <c r="HF149" s="1196">
        <f t="shared" si="345"/>
        <v>0</v>
      </c>
      <c r="HG149" s="1196">
        <f t="shared" si="346"/>
        <v>0</v>
      </c>
      <c r="HH149" s="1196">
        <f t="shared" si="347"/>
        <v>0</v>
      </c>
      <c r="HI149" s="1328" cm="1">
        <f t="array" ref="HI149">IF(AND(HG149=0,GL149=0),0,IF(HG149=0,1,IF(OR(GL149*1000/HG149/HH149&gt;INDEX(Pflanzen!$W$117:$W$154,CZ149)/INDEX(Pflanzen!$I$117:$I$154,CZ149)*$HI$1,GL149*1000/HG149/HH149&lt;INDEX(Pflanzen!$W$117:$W$154,CZ149)/INDEX(Pflanzen!$I$117:$I$154,CZ149)/$HI$1),1,0)))</f>
        <v>0</v>
      </c>
      <c r="HJ149" s="1330" cm="1">
        <f t="array" ref="HJ149">IF(AND(GM149=0,HG149=0),0,IF(HG149=0,1,IF(OR(GM149*1000/HG149/HH149&gt;INDEX(Pflanzen!$X$117:$X$154,CZ149)/INDEX(Pflanzen!$I$117:$I$154,CZ149)*$HI$2,GM149*1000/HG149/HH149&lt;INDEX(Pflanzen!$X$117:$X$154,CZ149)/INDEX(Pflanzen!$I$117:$I$154,CZ149)/$HI$2),1,0)))</f>
        <v>0</v>
      </c>
      <c r="HK149" s="1184">
        <f t="shared" si="348"/>
        <v>3</v>
      </c>
      <c r="HL149" s="1297"/>
      <c r="HM149" s="726"/>
      <c r="HN149" s="1184"/>
      <c r="HO149" s="1184"/>
      <c r="HP149" s="1184"/>
      <c r="HQ149" s="1184"/>
      <c r="HR149" s="1184"/>
      <c r="HS149" s="1184"/>
      <c r="HT149" s="1184"/>
      <c r="HU149" s="1184"/>
      <c r="HV149" s="1184"/>
      <c r="HW149" s="1184"/>
      <c r="HX149" s="1184"/>
      <c r="HY149" s="1184"/>
      <c r="HZ149" s="1184"/>
      <c r="IA149" s="1184"/>
      <c r="IB149" s="1184"/>
      <c r="IC149" s="1184"/>
      <c r="ID149" s="1184"/>
      <c r="IE149" s="1184"/>
      <c r="IF149" s="1184"/>
      <c r="IG149" s="1184"/>
      <c r="IH149" s="1184"/>
      <c r="II149" s="1184"/>
      <c r="IJ149" s="1184"/>
      <c r="IK149" s="1184"/>
      <c r="IL149" s="1184"/>
    </row>
    <row r="150" spans="25:246" ht="15.75" customHeight="1" x14ac:dyDescent="0.2">
      <c r="Y150" s="1555"/>
      <c r="Z150" s="1555"/>
      <c r="AA150" s="1555"/>
      <c r="AB150" s="1555"/>
      <c r="AC150" s="242"/>
      <c r="AD150" s="242"/>
      <c r="AE150" s="242"/>
      <c r="AF150" s="242"/>
      <c r="AG150" s="242"/>
      <c r="AH150" s="242"/>
      <c r="AI150" s="242"/>
      <c r="AJ150" s="242"/>
      <c r="AK150" s="242"/>
      <c r="AL150" s="242"/>
      <c r="AM150" s="242"/>
      <c r="AN150" s="242"/>
      <c r="AR150" s="242"/>
      <c r="AS150" s="242"/>
      <c r="AT150" s="242"/>
      <c r="AU150" s="242"/>
      <c r="AV150" s="242"/>
      <c r="AY150" s="1184"/>
      <c r="AZ150" s="1184"/>
      <c r="BA150" s="1184"/>
      <c r="BB150" s="1184"/>
      <c r="BC150" s="1184"/>
      <c r="BD150" s="1184"/>
      <c r="BQ150" s="1184"/>
      <c r="BR150" s="1184"/>
      <c r="BS150" s="1184"/>
      <c r="BT150" s="1184"/>
      <c r="BU150" s="1200"/>
      <c r="BV150" s="1326"/>
      <c r="BW150" s="1326"/>
      <c r="BX150" s="1326"/>
      <c r="BY150" s="1326"/>
      <c r="BZ150" s="1326"/>
      <c r="CA150" s="1326"/>
      <c r="CB150" s="1326"/>
      <c r="CC150" s="1326"/>
      <c r="CD150" s="1326"/>
      <c r="CE150" s="1326"/>
      <c r="CF150" s="1326"/>
      <c r="CG150" s="1326"/>
      <c r="CH150" s="1326"/>
      <c r="CI150" s="1326"/>
      <c r="CJ150" s="1326"/>
      <c r="CK150" s="1326"/>
      <c r="CL150" s="1184"/>
      <c r="CM150" s="1184"/>
      <c r="CN150" s="1184"/>
      <c r="CO150" s="1184"/>
      <c r="CP150" s="1184"/>
      <c r="CQ150" s="1184"/>
      <c r="CR150" s="1184"/>
      <c r="CS150" s="1184"/>
      <c r="CT150" s="1184"/>
      <c r="CU150" s="1184"/>
      <c r="CV150" s="1184"/>
      <c r="CW150" s="1184"/>
      <c r="CX150" s="1184"/>
      <c r="CY150" s="1208" t="str">
        <f>Pflanzen!C151</f>
        <v>Weizengrießkleie</v>
      </c>
      <c r="CZ150" s="1184">
        <f>IFERROR(MATCH($CY150,Pflanzen!$C$117:$C$154,0),1)</f>
        <v>35</v>
      </c>
      <c r="DA150" s="1208">
        <f>Pflanzen!H151</f>
        <v>2</v>
      </c>
      <c r="DB150" s="1184">
        <f t="shared" si="354"/>
        <v>0</v>
      </c>
      <c r="DC150" s="1184">
        <f t="shared" si="354"/>
        <v>0</v>
      </c>
      <c r="DD150" s="1184">
        <f t="shared" si="354"/>
        <v>0</v>
      </c>
      <c r="DE150" s="1184">
        <f t="shared" si="354"/>
        <v>0</v>
      </c>
      <c r="DF150" s="1184">
        <f t="shared" si="354"/>
        <v>0</v>
      </c>
      <c r="DG150" s="1184">
        <f t="shared" si="354"/>
        <v>0</v>
      </c>
      <c r="DH150" s="1184">
        <f t="shared" si="354"/>
        <v>0</v>
      </c>
      <c r="DI150" s="1184">
        <f t="shared" si="354"/>
        <v>0</v>
      </c>
      <c r="DJ150" s="1184">
        <f t="shared" si="354"/>
        <v>0</v>
      </c>
      <c r="DK150" s="1184">
        <f t="shared" si="354"/>
        <v>0</v>
      </c>
      <c r="DL150" s="1184">
        <f t="shared" si="354"/>
        <v>0</v>
      </c>
      <c r="DM150" s="1184">
        <f t="shared" si="354"/>
        <v>0</v>
      </c>
      <c r="DN150" s="1184"/>
      <c r="DO150" s="1184">
        <f t="shared" si="355"/>
        <v>0</v>
      </c>
      <c r="DP150" s="1184">
        <f t="shared" si="355"/>
        <v>0</v>
      </c>
      <c r="DQ150" s="1184">
        <f t="shared" si="355"/>
        <v>0</v>
      </c>
      <c r="DR150" s="1184">
        <f t="shared" si="355"/>
        <v>0</v>
      </c>
      <c r="DS150" s="1184">
        <f t="shared" si="355"/>
        <v>0</v>
      </c>
      <c r="DT150" s="1184">
        <f t="shared" si="355"/>
        <v>0</v>
      </c>
      <c r="DU150" s="1184">
        <f t="shared" si="355"/>
        <v>0</v>
      </c>
      <c r="DV150" s="1184">
        <f t="shared" si="355"/>
        <v>0</v>
      </c>
      <c r="DW150" s="1184">
        <f t="shared" si="355"/>
        <v>0</v>
      </c>
      <c r="DX150" s="1184">
        <f t="shared" si="355"/>
        <v>0</v>
      </c>
      <c r="DY150" s="1184">
        <f t="shared" si="355"/>
        <v>0</v>
      </c>
      <c r="DZ150" s="1184">
        <f t="shared" si="355"/>
        <v>0</v>
      </c>
      <c r="EA150" s="1184"/>
      <c r="EB150" s="1184"/>
      <c r="EC150" s="1184"/>
      <c r="ED150" s="1184"/>
      <c r="EE150" s="1184"/>
      <c r="EF150" s="1184"/>
      <c r="EG150" s="1184"/>
      <c r="EH150" s="1184"/>
      <c r="EI150" s="1184"/>
      <c r="EJ150" s="1184"/>
      <c r="EK150" s="1184"/>
      <c r="EL150" s="1184"/>
      <c r="EM150" s="1184"/>
      <c r="EN150" s="1184"/>
      <c r="EO150" s="1184"/>
      <c r="EP150" s="1184"/>
      <c r="EQ150" s="1184"/>
      <c r="ER150" s="1184"/>
      <c r="ES150" s="1184"/>
      <c r="ET150" s="1184"/>
      <c r="EU150" s="1184"/>
      <c r="EV150" s="1184"/>
      <c r="EW150" s="1184"/>
      <c r="EX150" s="1184"/>
      <c r="EY150" s="1184"/>
      <c r="EZ150" s="1184"/>
      <c r="FA150" s="1184"/>
      <c r="FB150" s="1186">
        <f t="shared" si="302"/>
        <v>0</v>
      </c>
      <c r="FC150" s="1297">
        <f t="shared" si="303"/>
        <v>0</v>
      </c>
      <c r="FD150" s="1297">
        <f t="shared" si="304"/>
        <v>0</v>
      </c>
      <c r="FE150" s="1297">
        <f t="shared" si="305"/>
        <v>0</v>
      </c>
      <c r="FF150" s="1297">
        <f t="shared" si="306"/>
        <v>0</v>
      </c>
      <c r="FG150" s="1297">
        <f t="shared" si="307"/>
        <v>0</v>
      </c>
      <c r="FH150" s="1297">
        <f t="shared" si="308"/>
        <v>0</v>
      </c>
      <c r="FI150" s="1297">
        <f t="shared" si="309"/>
        <v>0</v>
      </c>
      <c r="FJ150" s="1297">
        <f t="shared" si="310"/>
        <v>0</v>
      </c>
      <c r="FK150" s="1297">
        <f t="shared" si="311"/>
        <v>0</v>
      </c>
      <c r="FL150" s="1297">
        <f t="shared" si="312"/>
        <v>0</v>
      </c>
      <c r="FM150" s="1297">
        <f t="shared" si="313"/>
        <v>0</v>
      </c>
      <c r="FN150" s="1297">
        <f t="shared" si="314"/>
        <v>0</v>
      </c>
      <c r="FO150" s="1184"/>
      <c r="FP150" s="1186">
        <f t="shared" si="315"/>
        <v>0</v>
      </c>
      <c r="FQ150" s="1297">
        <f t="shared" si="316"/>
        <v>0</v>
      </c>
      <c r="FR150" s="1297">
        <f t="shared" si="317"/>
        <v>0</v>
      </c>
      <c r="FS150" s="1297">
        <f t="shared" si="318"/>
        <v>0</v>
      </c>
      <c r="FT150" s="1297">
        <f t="shared" si="319"/>
        <v>0</v>
      </c>
      <c r="FU150" s="1297">
        <f t="shared" si="320"/>
        <v>0</v>
      </c>
      <c r="FV150" s="1297">
        <f t="shared" si="321"/>
        <v>0</v>
      </c>
      <c r="FW150" s="1297">
        <f t="shared" si="322"/>
        <v>0</v>
      </c>
      <c r="FX150" s="1297">
        <f t="shared" si="323"/>
        <v>0</v>
      </c>
      <c r="FY150" s="1297">
        <f t="shared" si="324"/>
        <v>0</v>
      </c>
      <c r="FZ150" s="1297">
        <f t="shared" si="325"/>
        <v>0</v>
      </c>
      <c r="GA150" s="1297">
        <f t="shared" si="326"/>
        <v>0</v>
      </c>
      <c r="GB150" s="1297">
        <f t="shared" si="327"/>
        <v>0</v>
      </c>
      <c r="GC150" s="1184"/>
      <c r="GD150" s="1184">
        <f t="shared" si="328"/>
        <v>0</v>
      </c>
      <c r="GE150" s="1184">
        <f t="shared" si="329"/>
        <v>0</v>
      </c>
      <c r="GF150" s="1184"/>
      <c r="GG150" s="1184"/>
      <c r="GH150" s="1184"/>
      <c r="GI150" s="1184"/>
      <c r="GJ150" s="1184">
        <f t="shared" si="330"/>
        <v>0</v>
      </c>
      <c r="GK150" s="1184">
        <f t="shared" si="331"/>
        <v>0</v>
      </c>
      <c r="GL150" s="1184">
        <f t="shared" si="332"/>
        <v>0</v>
      </c>
      <c r="GM150" s="1184">
        <f t="shared" si="333"/>
        <v>0</v>
      </c>
      <c r="GN150" s="1184">
        <f t="shared" si="334"/>
        <v>0</v>
      </c>
      <c r="GO150" s="1184" cm="1">
        <f t="array" ref="GO150">IF(GN150=0,0,(SUMPRODUCT($J$75:$J$79,$CH$75:$CH$79,($BR$75:$BR$79=CZ150)*1)+SUMPRODUCT($R$75:$R$79,$CP$75:$CP$79,($BR$75:$BR$79=CZ150)*1))/GN150)</f>
        <v>0</v>
      </c>
      <c r="GP150" s="1184">
        <f t="shared" si="335"/>
        <v>0</v>
      </c>
      <c r="GQ150" s="1184"/>
      <c r="GR150" s="1184"/>
      <c r="GS150" s="1184">
        <f t="shared" si="336"/>
        <v>0</v>
      </c>
      <c r="GT150" s="1184">
        <f t="shared" si="337"/>
        <v>0</v>
      </c>
      <c r="GU150" s="1184">
        <f t="shared" si="338"/>
        <v>0</v>
      </c>
      <c r="GV150" s="1184">
        <f t="shared" si="339"/>
        <v>0</v>
      </c>
      <c r="GW150" s="1186" t="str">
        <f t="shared" si="292"/>
        <v xml:space="preserve"> </v>
      </c>
      <c r="GX150" s="1186" t="str">
        <f t="shared" si="292"/>
        <v xml:space="preserve"> </v>
      </c>
      <c r="GY150" s="1195">
        <f t="shared" si="340"/>
        <v>0</v>
      </c>
      <c r="GZ150" s="1184">
        <f t="shared" si="341"/>
        <v>0</v>
      </c>
      <c r="HA150" s="1184" t="str">
        <f t="shared" si="353"/>
        <v>a</v>
      </c>
      <c r="HB150" s="1196">
        <f t="shared" si="342"/>
        <v>0</v>
      </c>
      <c r="HC150" s="1196">
        <f t="shared" si="343"/>
        <v>0</v>
      </c>
      <c r="HD150" s="1196"/>
      <c r="HE150" s="1187">
        <f t="shared" si="344"/>
        <v>0</v>
      </c>
      <c r="HF150" s="1196">
        <f t="shared" si="345"/>
        <v>0</v>
      </c>
      <c r="HG150" s="1196">
        <f t="shared" si="346"/>
        <v>0</v>
      </c>
      <c r="HH150" s="1196">
        <f t="shared" si="347"/>
        <v>0</v>
      </c>
      <c r="HI150" s="1328" cm="1">
        <f t="array" ref="HI150">IF(AND(HG150=0,GL150=0),0,IF(HG150=0,1,IF(OR(GL150*1000/HG150/HH150&gt;INDEX(Pflanzen!$W$117:$W$154,CZ150)/INDEX(Pflanzen!$I$117:$I$154,CZ150)*$HI$1,GL150*1000/HG150/HH150&lt;INDEX(Pflanzen!$W$117:$W$154,CZ150)/INDEX(Pflanzen!$I$117:$I$154,CZ150)/$HI$1),1,0)))</f>
        <v>0</v>
      </c>
      <c r="HJ150" s="1330" cm="1">
        <f t="array" ref="HJ150">IF(AND(GM150=0,HG150=0),0,IF(HG150=0,1,IF(OR(GM150*1000/HG150/HH150&gt;INDEX(Pflanzen!$X$117:$X$154,CZ150)/INDEX(Pflanzen!$I$117:$I$154,CZ150)*$HI$2,GM150*1000/HG150/HH150&lt;INDEX(Pflanzen!$X$117:$X$154,CZ150)/INDEX(Pflanzen!$I$117:$I$154,CZ150)/$HI$2),1,0)))</f>
        <v>0</v>
      </c>
      <c r="HK150" s="1184">
        <f t="shared" si="348"/>
        <v>3</v>
      </c>
      <c r="HL150" s="1297"/>
      <c r="HM150" s="726"/>
      <c r="HN150" s="1184"/>
      <c r="HO150" s="1184"/>
      <c r="HP150" s="1184"/>
      <c r="HQ150" s="1184"/>
      <c r="HR150" s="1184"/>
      <c r="HS150" s="1184"/>
      <c r="HT150" s="1184"/>
      <c r="HU150" s="1184"/>
      <c r="HV150" s="1184"/>
      <c r="HW150" s="1184"/>
      <c r="HX150" s="1184"/>
      <c r="HY150" s="1184"/>
      <c r="HZ150" s="1184"/>
      <c r="IA150" s="1184"/>
      <c r="IB150" s="1184"/>
      <c r="IC150" s="1184"/>
      <c r="ID150" s="1184"/>
      <c r="IE150" s="1184"/>
      <c r="IF150" s="1184"/>
      <c r="IG150" s="1184"/>
      <c r="IH150" s="1184"/>
      <c r="II150" s="1184"/>
      <c r="IJ150" s="1184"/>
      <c r="IK150" s="1184"/>
      <c r="IL150" s="1184"/>
    </row>
    <row r="151" spans="25:246" ht="15.75" customHeight="1" x14ac:dyDescent="0.2">
      <c r="Y151" s="1555"/>
      <c r="Z151" s="1555"/>
      <c r="AA151" s="1555"/>
      <c r="AB151" s="1555"/>
      <c r="AC151" s="242"/>
      <c r="AD151" s="242"/>
      <c r="AE151" s="242"/>
      <c r="AF151" s="242"/>
      <c r="AG151" s="242"/>
      <c r="AH151" s="242"/>
      <c r="AI151" s="242"/>
      <c r="AJ151" s="242"/>
      <c r="AK151" s="242"/>
      <c r="AL151" s="242"/>
      <c r="AM151" s="242"/>
      <c r="AN151" s="242"/>
      <c r="AR151" s="242"/>
      <c r="AS151" s="242"/>
      <c r="AT151" s="242"/>
      <c r="AU151" s="242"/>
      <c r="AV151" s="242"/>
      <c r="AY151" s="1184"/>
      <c r="AZ151" s="1184"/>
      <c r="BA151" s="1184"/>
      <c r="BB151" s="1184"/>
      <c r="BC151" s="1184"/>
      <c r="BD151" s="1184"/>
      <c r="BQ151" s="1184"/>
      <c r="BR151" s="1184"/>
      <c r="BS151" s="1184"/>
      <c r="BT151" s="1184"/>
      <c r="BU151" s="1200"/>
      <c r="BV151" s="1326"/>
      <c r="BW151" s="1326"/>
      <c r="BX151" s="1326"/>
      <c r="BY151" s="1326"/>
      <c r="BZ151" s="1326"/>
      <c r="CA151" s="1326"/>
      <c r="CB151" s="1326"/>
      <c r="CC151" s="1326"/>
      <c r="CD151" s="1326"/>
      <c r="CE151" s="1326"/>
      <c r="CF151" s="1326"/>
      <c r="CG151" s="1326"/>
      <c r="CH151" s="1326"/>
      <c r="CI151" s="1326"/>
      <c r="CJ151" s="1326"/>
      <c r="CK151" s="1326"/>
      <c r="CL151" s="1184"/>
      <c r="CM151" s="1184"/>
      <c r="CN151" s="1184"/>
      <c r="CO151" s="1184"/>
      <c r="CP151" s="1184"/>
      <c r="CQ151" s="1184"/>
      <c r="CR151" s="1184"/>
      <c r="CS151" s="1184"/>
      <c r="CT151" s="1184"/>
      <c r="CU151" s="1184"/>
      <c r="CV151" s="1184"/>
      <c r="CW151" s="1184"/>
      <c r="CX151" s="1184"/>
      <c r="CY151" s="1208" t="str">
        <f>Pflanzen!C152</f>
        <v>Weizenkleie</v>
      </c>
      <c r="CZ151" s="1184">
        <f>IFERROR(MATCH($CY151,Pflanzen!$C$117:$C$154,0),1)</f>
        <v>36</v>
      </c>
      <c r="DA151" s="1208">
        <f>Pflanzen!H152</f>
        <v>2</v>
      </c>
      <c r="DB151" s="1184">
        <f t="shared" si="354"/>
        <v>0</v>
      </c>
      <c r="DC151" s="1184">
        <f t="shared" si="354"/>
        <v>0</v>
      </c>
      <c r="DD151" s="1184">
        <f t="shared" si="354"/>
        <v>0</v>
      </c>
      <c r="DE151" s="1184">
        <f t="shared" si="354"/>
        <v>0</v>
      </c>
      <c r="DF151" s="1184">
        <f t="shared" si="354"/>
        <v>0</v>
      </c>
      <c r="DG151" s="1184">
        <f t="shared" si="354"/>
        <v>0</v>
      </c>
      <c r="DH151" s="1184">
        <f t="shared" si="354"/>
        <v>0</v>
      </c>
      <c r="DI151" s="1184">
        <f t="shared" si="354"/>
        <v>0</v>
      </c>
      <c r="DJ151" s="1184">
        <f t="shared" si="354"/>
        <v>0</v>
      </c>
      <c r="DK151" s="1184">
        <f t="shared" si="354"/>
        <v>0</v>
      </c>
      <c r="DL151" s="1184">
        <f t="shared" si="354"/>
        <v>0</v>
      </c>
      <c r="DM151" s="1184">
        <f t="shared" si="354"/>
        <v>0</v>
      </c>
      <c r="DN151" s="1184"/>
      <c r="DO151" s="1184">
        <f t="shared" si="355"/>
        <v>0</v>
      </c>
      <c r="DP151" s="1184">
        <f t="shared" si="355"/>
        <v>0</v>
      </c>
      <c r="DQ151" s="1184">
        <f t="shared" si="355"/>
        <v>0</v>
      </c>
      <c r="DR151" s="1184">
        <f t="shared" si="355"/>
        <v>0</v>
      </c>
      <c r="DS151" s="1184">
        <f t="shared" si="355"/>
        <v>0</v>
      </c>
      <c r="DT151" s="1184">
        <f t="shared" si="355"/>
        <v>0</v>
      </c>
      <c r="DU151" s="1184">
        <f t="shared" si="355"/>
        <v>0</v>
      </c>
      <c r="DV151" s="1184">
        <f t="shared" si="355"/>
        <v>0</v>
      </c>
      <c r="DW151" s="1184">
        <f t="shared" si="355"/>
        <v>0</v>
      </c>
      <c r="DX151" s="1184">
        <f t="shared" si="355"/>
        <v>0</v>
      </c>
      <c r="DY151" s="1184">
        <f t="shared" si="355"/>
        <v>0</v>
      </c>
      <c r="DZ151" s="1184">
        <f t="shared" si="355"/>
        <v>0</v>
      </c>
      <c r="EA151" s="1184"/>
      <c r="EB151" s="1184"/>
      <c r="EC151" s="1184"/>
      <c r="ED151" s="1184"/>
      <c r="EE151" s="1184"/>
      <c r="EF151" s="1184"/>
      <c r="EG151" s="1184"/>
      <c r="EH151" s="1184"/>
      <c r="EI151" s="1184"/>
      <c r="EJ151" s="1184"/>
      <c r="EK151" s="1184"/>
      <c r="EL151" s="1184"/>
      <c r="EM151" s="1184"/>
      <c r="EN151" s="1184"/>
      <c r="EO151" s="1184"/>
      <c r="EP151" s="1184"/>
      <c r="EQ151" s="1184"/>
      <c r="ER151" s="1184"/>
      <c r="ES151" s="1184"/>
      <c r="ET151" s="1184"/>
      <c r="EU151" s="1184"/>
      <c r="EV151" s="1184"/>
      <c r="EW151" s="1184"/>
      <c r="EX151" s="1184"/>
      <c r="EY151" s="1184"/>
      <c r="EZ151" s="1184"/>
      <c r="FA151" s="1184"/>
      <c r="FB151" s="1186">
        <f t="shared" si="302"/>
        <v>0</v>
      </c>
      <c r="FC151" s="1297">
        <f t="shared" si="303"/>
        <v>0</v>
      </c>
      <c r="FD151" s="1297">
        <f t="shared" si="304"/>
        <v>0</v>
      </c>
      <c r="FE151" s="1297">
        <f t="shared" si="305"/>
        <v>0</v>
      </c>
      <c r="FF151" s="1297">
        <f t="shared" si="306"/>
        <v>0</v>
      </c>
      <c r="FG151" s="1297">
        <f t="shared" si="307"/>
        <v>0</v>
      </c>
      <c r="FH151" s="1297">
        <f t="shared" si="308"/>
        <v>0</v>
      </c>
      <c r="FI151" s="1297">
        <f t="shared" si="309"/>
        <v>0</v>
      </c>
      <c r="FJ151" s="1297">
        <f t="shared" si="310"/>
        <v>0</v>
      </c>
      <c r="FK151" s="1297">
        <f t="shared" si="311"/>
        <v>0</v>
      </c>
      <c r="FL151" s="1297">
        <f t="shared" si="312"/>
        <v>0</v>
      </c>
      <c r="FM151" s="1297">
        <f t="shared" si="313"/>
        <v>0</v>
      </c>
      <c r="FN151" s="1297">
        <f t="shared" si="314"/>
        <v>0</v>
      </c>
      <c r="FO151" s="1184"/>
      <c r="FP151" s="1186">
        <f t="shared" si="315"/>
        <v>0</v>
      </c>
      <c r="FQ151" s="1297">
        <f t="shared" si="316"/>
        <v>0</v>
      </c>
      <c r="FR151" s="1297">
        <f t="shared" si="317"/>
        <v>0</v>
      </c>
      <c r="FS151" s="1297">
        <f t="shared" si="318"/>
        <v>0</v>
      </c>
      <c r="FT151" s="1297">
        <f t="shared" si="319"/>
        <v>0</v>
      </c>
      <c r="FU151" s="1297">
        <f t="shared" si="320"/>
        <v>0</v>
      </c>
      <c r="FV151" s="1297">
        <f t="shared" si="321"/>
        <v>0</v>
      </c>
      <c r="FW151" s="1297">
        <f t="shared" si="322"/>
        <v>0</v>
      </c>
      <c r="FX151" s="1297">
        <f t="shared" si="323"/>
        <v>0</v>
      </c>
      <c r="FY151" s="1297">
        <f t="shared" si="324"/>
        <v>0</v>
      </c>
      <c r="FZ151" s="1297">
        <f t="shared" si="325"/>
        <v>0</v>
      </c>
      <c r="GA151" s="1297">
        <f t="shared" si="326"/>
        <v>0</v>
      </c>
      <c r="GB151" s="1297">
        <f t="shared" si="327"/>
        <v>0</v>
      </c>
      <c r="GC151" s="1184"/>
      <c r="GD151" s="1184">
        <f t="shared" si="328"/>
        <v>0</v>
      </c>
      <c r="GE151" s="1184">
        <f t="shared" si="329"/>
        <v>0</v>
      </c>
      <c r="GF151" s="1184"/>
      <c r="GG151" s="1184"/>
      <c r="GH151" s="1184"/>
      <c r="GI151" s="1184"/>
      <c r="GJ151" s="1184">
        <f t="shared" si="330"/>
        <v>0</v>
      </c>
      <c r="GK151" s="1184">
        <f t="shared" si="331"/>
        <v>0</v>
      </c>
      <c r="GL151" s="1184">
        <f t="shared" si="332"/>
        <v>0</v>
      </c>
      <c r="GM151" s="1184">
        <f t="shared" si="333"/>
        <v>0</v>
      </c>
      <c r="GN151" s="1184">
        <f t="shared" si="334"/>
        <v>0</v>
      </c>
      <c r="GO151" s="1184" cm="1">
        <f t="array" ref="GO151">IF(GN151=0,0,(SUMPRODUCT($J$75:$J$79,$CH$75:$CH$79,($BR$75:$BR$79=CZ151)*1)+SUMPRODUCT($R$75:$R$79,$CP$75:$CP$79,($BR$75:$BR$79=CZ151)*1))/GN151)</f>
        <v>0</v>
      </c>
      <c r="GP151" s="1184">
        <f t="shared" si="335"/>
        <v>0</v>
      </c>
      <c r="GQ151" s="1184"/>
      <c r="GR151" s="1184"/>
      <c r="GS151" s="1184">
        <f t="shared" si="336"/>
        <v>0</v>
      </c>
      <c r="GT151" s="1184">
        <f t="shared" si="337"/>
        <v>0</v>
      </c>
      <c r="GU151" s="1184">
        <f t="shared" si="338"/>
        <v>0</v>
      </c>
      <c r="GV151" s="1184">
        <f t="shared" si="339"/>
        <v>0</v>
      </c>
      <c r="GW151" s="1186" t="str">
        <f t="shared" si="292"/>
        <v xml:space="preserve"> </v>
      </c>
      <c r="GX151" s="1186" t="str">
        <f t="shared" si="292"/>
        <v xml:space="preserve"> </v>
      </c>
      <c r="GY151" s="1195">
        <f t="shared" si="340"/>
        <v>0</v>
      </c>
      <c r="GZ151" s="1184">
        <f t="shared" si="341"/>
        <v>0</v>
      </c>
      <c r="HA151" s="1184" t="str">
        <f t="shared" si="353"/>
        <v>a</v>
      </c>
      <c r="HB151" s="1196">
        <f t="shared" si="342"/>
        <v>0</v>
      </c>
      <c r="HC151" s="1196">
        <f t="shared" si="343"/>
        <v>0</v>
      </c>
      <c r="HD151" s="1196"/>
      <c r="HE151" s="1187">
        <f t="shared" si="344"/>
        <v>0</v>
      </c>
      <c r="HF151" s="1196">
        <f t="shared" si="345"/>
        <v>0</v>
      </c>
      <c r="HG151" s="1196">
        <f t="shared" si="346"/>
        <v>0</v>
      </c>
      <c r="HH151" s="1196">
        <f t="shared" si="347"/>
        <v>0</v>
      </c>
      <c r="HI151" s="1328" cm="1">
        <f t="array" ref="HI151">IF(AND(HG151=0,GL151=0),0,IF(HG151=0,1,IF(OR(GL151*1000/HG151/HH151&gt;INDEX(Pflanzen!$W$117:$W$154,CZ151)/INDEX(Pflanzen!$I$117:$I$154,CZ151)*$HI$1,GL151*1000/HG151/HH151&lt;INDEX(Pflanzen!$W$117:$W$154,CZ151)/INDEX(Pflanzen!$I$117:$I$154,CZ151)/$HI$1),1,0)))</f>
        <v>0</v>
      </c>
      <c r="HJ151" s="1330" cm="1">
        <f t="array" ref="HJ151">IF(AND(GM151=0,HG151=0),0,IF(HG151=0,1,IF(OR(GM151*1000/HG151/HH151&gt;INDEX(Pflanzen!$X$117:$X$154,CZ151)/INDEX(Pflanzen!$I$117:$I$154,CZ151)*$HI$2,GM151*1000/HG151/HH151&lt;INDEX(Pflanzen!$X$117:$X$154,CZ151)/INDEX(Pflanzen!$I$117:$I$154,CZ151)/$HI$2),1,0)))</f>
        <v>0</v>
      </c>
      <c r="HK151" s="1184">
        <f t="shared" si="348"/>
        <v>3</v>
      </c>
      <c r="HL151" s="1297"/>
      <c r="HM151" s="726"/>
      <c r="HN151" s="1184"/>
      <c r="HO151" s="1184"/>
      <c r="HP151" s="1184"/>
      <c r="HQ151" s="1184"/>
      <c r="HR151" s="1184"/>
      <c r="HS151" s="1184"/>
      <c r="HT151" s="1184"/>
      <c r="HU151" s="1184"/>
      <c r="HV151" s="1184"/>
      <c r="HW151" s="1184"/>
      <c r="HX151" s="1184"/>
      <c r="HY151" s="1184"/>
      <c r="HZ151" s="1184"/>
      <c r="IA151" s="1184"/>
      <c r="IB151" s="1184"/>
      <c r="IC151" s="1184"/>
      <c r="ID151" s="1184"/>
      <c r="IE151" s="1184"/>
      <c r="IF151" s="1184"/>
      <c r="IG151" s="1184"/>
      <c r="IH151" s="1184"/>
      <c r="II151" s="1184"/>
      <c r="IJ151" s="1184"/>
      <c r="IK151" s="1184"/>
      <c r="IL151" s="1184"/>
    </row>
    <row r="152" spans="25:246" ht="15.75" customHeight="1" x14ac:dyDescent="0.2">
      <c r="Y152" s="1555"/>
      <c r="Z152" s="1555"/>
      <c r="AA152" s="1555"/>
      <c r="AB152" s="1555"/>
      <c r="AC152" s="242"/>
      <c r="AD152" s="242"/>
      <c r="AE152" s="242"/>
      <c r="AF152" s="242"/>
      <c r="AG152" s="242"/>
      <c r="AH152" s="242"/>
      <c r="AI152" s="242"/>
      <c r="AJ152" s="242"/>
      <c r="AK152" s="242"/>
      <c r="AL152" s="242"/>
      <c r="AM152" s="242"/>
      <c r="AN152" s="242"/>
      <c r="AR152" s="242"/>
      <c r="AS152" s="242"/>
      <c r="AT152" s="242"/>
      <c r="AU152" s="242"/>
      <c r="AV152" s="242"/>
      <c r="AY152" s="1184"/>
      <c r="AZ152" s="1184"/>
      <c r="BA152" s="1184"/>
      <c r="BB152" s="1184"/>
      <c r="BC152" s="1184"/>
      <c r="BD152" s="1184"/>
      <c r="BQ152" s="1184"/>
      <c r="BR152" s="1184"/>
      <c r="BS152" s="1184"/>
      <c r="BT152" s="1184"/>
      <c r="BU152" s="1200"/>
      <c r="BV152" s="1326"/>
      <c r="BW152" s="1326"/>
      <c r="BX152" s="1326"/>
      <c r="BY152" s="1326"/>
      <c r="BZ152" s="1326"/>
      <c r="CA152" s="1326"/>
      <c r="CB152" s="1326"/>
      <c r="CC152" s="1326"/>
      <c r="CD152" s="1326"/>
      <c r="CE152" s="1326"/>
      <c r="CF152" s="1326"/>
      <c r="CG152" s="1326"/>
      <c r="CH152" s="1326"/>
      <c r="CI152" s="1326"/>
      <c r="CJ152" s="1326"/>
      <c r="CK152" s="1326"/>
      <c r="CL152" s="1184"/>
      <c r="CM152" s="1184"/>
      <c r="CN152" s="1184"/>
      <c r="CO152" s="1184"/>
      <c r="CP152" s="1184"/>
      <c r="CQ152" s="1184"/>
      <c r="CR152" s="1184"/>
      <c r="CS152" s="1184"/>
      <c r="CT152" s="1184"/>
      <c r="CU152" s="1184"/>
      <c r="CV152" s="1184"/>
      <c r="CW152" s="1184"/>
      <c r="CX152" s="1184"/>
      <c r="CY152" s="1208" t="str">
        <f>Pflanzen!C153</f>
        <v>Weizennachmehl</v>
      </c>
      <c r="CZ152" s="1184">
        <f>IFERROR(MATCH($CY152,Pflanzen!$C$117:$C$154,0),1)</f>
        <v>37</v>
      </c>
      <c r="DA152" s="1208">
        <f>Pflanzen!H153</f>
        <v>2</v>
      </c>
      <c r="DB152" s="1184">
        <f t="shared" si="354"/>
        <v>0</v>
      </c>
      <c r="DC152" s="1184">
        <f t="shared" si="354"/>
        <v>0</v>
      </c>
      <c r="DD152" s="1184">
        <f t="shared" si="354"/>
        <v>0</v>
      </c>
      <c r="DE152" s="1184">
        <f t="shared" si="354"/>
        <v>0</v>
      </c>
      <c r="DF152" s="1184">
        <f t="shared" si="354"/>
        <v>0</v>
      </c>
      <c r="DG152" s="1184">
        <f t="shared" si="354"/>
        <v>0</v>
      </c>
      <c r="DH152" s="1184">
        <f t="shared" si="354"/>
        <v>0</v>
      </c>
      <c r="DI152" s="1184">
        <f t="shared" si="354"/>
        <v>0</v>
      </c>
      <c r="DJ152" s="1184">
        <f t="shared" si="354"/>
        <v>0</v>
      </c>
      <c r="DK152" s="1184">
        <f t="shared" si="354"/>
        <v>0</v>
      </c>
      <c r="DL152" s="1184">
        <f t="shared" si="354"/>
        <v>0</v>
      </c>
      <c r="DM152" s="1184">
        <f t="shared" si="354"/>
        <v>0</v>
      </c>
      <c r="DN152" s="1184"/>
      <c r="DO152" s="1184">
        <f t="shared" si="355"/>
        <v>0</v>
      </c>
      <c r="DP152" s="1184">
        <f t="shared" si="355"/>
        <v>0</v>
      </c>
      <c r="DQ152" s="1184">
        <f t="shared" si="355"/>
        <v>0</v>
      </c>
      <c r="DR152" s="1184">
        <f t="shared" si="355"/>
        <v>0</v>
      </c>
      <c r="DS152" s="1184">
        <f t="shared" si="355"/>
        <v>0</v>
      </c>
      <c r="DT152" s="1184">
        <f t="shared" si="355"/>
        <v>0</v>
      </c>
      <c r="DU152" s="1184">
        <f t="shared" si="355"/>
        <v>0</v>
      </c>
      <c r="DV152" s="1184">
        <f t="shared" si="355"/>
        <v>0</v>
      </c>
      <c r="DW152" s="1184">
        <f t="shared" si="355"/>
        <v>0</v>
      </c>
      <c r="DX152" s="1184">
        <f t="shared" si="355"/>
        <v>0</v>
      </c>
      <c r="DY152" s="1184">
        <f t="shared" si="355"/>
        <v>0</v>
      </c>
      <c r="DZ152" s="1184">
        <f t="shared" si="355"/>
        <v>0</v>
      </c>
      <c r="EA152" s="1184"/>
      <c r="EB152" s="1184"/>
      <c r="EC152" s="1184"/>
      <c r="ED152" s="1184"/>
      <c r="EE152" s="1184"/>
      <c r="EF152" s="1184"/>
      <c r="EG152" s="1184"/>
      <c r="EH152" s="1184"/>
      <c r="EI152" s="1184"/>
      <c r="EJ152" s="1184"/>
      <c r="EK152" s="1184"/>
      <c r="EL152" s="1184"/>
      <c r="EM152" s="1184"/>
      <c r="EN152" s="1184"/>
      <c r="EO152" s="1184"/>
      <c r="EP152" s="1184"/>
      <c r="EQ152" s="1184"/>
      <c r="ER152" s="1184"/>
      <c r="ES152" s="1184"/>
      <c r="ET152" s="1184"/>
      <c r="EU152" s="1184"/>
      <c r="EV152" s="1184"/>
      <c r="EW152" s="1184"/>
      <c r="EX152" s="1184"/>
      <c r="EY152" s="1184"/>
      <c r="EZ152" s="1184"/>
      <c r="FA152" s="1184"/>
      <c r="FB152" s="1186">
        <f t="shared" si="302"/>
        <v>0</v>
      </c>
      <c r="FC152" s="1297">
        <f t="shared" si="303"/>
        <v>0</v>
      </c>
      <c r="FD152" s="1297">
        <f t="shared" si="304"/>
        <v>0</v>
      </c>
      <c r="FE152" s="1297">
        <f t="shared" si="305"/>
        <v>0</v>
      </c>
      <c r="FF152" s="1297">
        <f t="shared" si="306"/>
        <v>0</v>
      </c>
      <c r="FG152" s="1297">
        <f t="shared" si="307"/>
        <v>0</v>
      </c>
      <c r="FH152" s="1297">
        <f t="shared" si="308"/>
        <v>0</v>
      </c>
      <c r="FI152" s="1297">
        <f t="shared" si="309"/>
        <v>0</v>
      </c>
      <c r="FJ152" s="1297">
        <f t="shared" si="310"/>
        <v>0</v>
      </c>
      <c r="FK152" s="1297">
        <f t="shared" si="311"/>
        <v>0</v>
      </c>
      <c r="FL152" s="1297">
        <f t="shared" si="312"/>
        <v>0</v>
      </c>
      <c r="FM152" s="1297">
        <f t="shared" si="313"/>
        <v>0</v>
      </c>
      <c r="FN152" s="1297">
        <f t="shared" si="314"/>
        <v>0</v>
      </c>
      <c r="FO152" s="1184"/>
      <c r="FP152" s="1186">
        <f t="shared" si="315"/>
        <v>0</v>
      </c>
      <c r="FQ152" s="1297">
        <f t="shared" si="316"/>
        <v>0</v>
      </c>
      <c r="FR152" s="1297">
        <f t="shared" si="317"/>
        <v>0</v>
      </c>
      <c r="FS152" s="1297">
        <f t="shared" si="318"/>
        <v>0</v>
      </c>
      <c r="FT152" s="1297">
        <f t="shared" si="319"/>
        <v>0</v>
      </c>
      <c r="FU152" s="1297">
        <f t="shared" si="320"/>
        <v>0</v>
      </c>
      <c r="FV152" s="1297">
        <f t="shared" si="321"/>
        <v>0</v>
      </c>
      <c r="FW152" s="1297">
        <f t="shared" si="322"/>
        <v>0</v>
      </c>
      <c r="FX152" s="1297">
        <f t="shared" si="323"/>
        <v>0</v>
      </c>
      <c r="FY152" s="1297">
        <f t="shared" si="324"/>
        <v>0</v>
      </c>
      <c r="FZ152" s="1297">
        <f t="shared" si="325"/>
        <v>0</v>
      </c>
      <c r="GA152" s="1297">
        <f t="shared" si="326"/>
        <v>0</v>
      </c>
      <c r="GB152" s="1297">
        <f t="shared" si="327"/>
        <v>0</v>
      </c>
      <c r="GC152" s="1184"/>
      <c r="GD152" s="1184">
        <f t="shared" si="328"/>
        <v>0</v>
      </c>
      <c r="GE152" s="1184">
        <f t="shared" si="329"/>
        <v>0</v>
      </c>
      <c r="GF152" s="1184"/>
      <c r="GG152" s="1184"/>
      <c r="GH152" s="1184"/>
      <c r="GI152" s="1184"/>
      <c r="GJ152" s="1184">
        <f t="shared" si="330"/>
        <v>0</v>
      </c>
      <c r="GK152" s="1184">
        <f t="shared" si="331"/>
        <v>0</v>
      </c>
      <c r="GL152" s="1184">
        <f t="shared" si="332"/>
        <v>0</v>
      </c>
      <c r="GM152" s="1184">
        <f t="shared" si="333"/>
        <v>0</v>
      </c>
      <c r="GN152" s="1184">
        <f t="shared" si="334"/>
        <v>0</v>
      </c>
      <c r="GO152" s="1184" cm="1">
        <f t="array" ref="GO152">IF(GN152=0,0,(SUMPRODUCT($J$75:$J$79,$CH$75:$CH$79,($BR$75:$BR$79=CZ152)*1)+SUMPRODUCT($R$75:$R$79,$CP$75:$CP$79,($BR$75:$BR$79=CZ152)*1))/GN152)</f>
        <v>0</v>
      </c>
      <c r="GP152" s="1184">
        <f t="shared" si="335"/>
        <v>0</v>
      </c>
      <c r="GQ152" s="1184"/>
      <c r="GR152" s="1184"/>
      <c r="GS152" s="1184">
        <f t="shared" si="336"/>
        <v>0</v>
      </c>
      <c r="GT152" s="1184">
        <f t="shared" si="337"/>
        <v>0</v>
      </c>
      <c r="GU152" s="1184">
        <f t="shared" si="338"/>
        <v>0</v>
      </c>
      <c r="GV152" s="1184">
        <f t="shared" si="339"/>
        <v>0</v>
      </c>
      <c r="GW152" s="1186" t="str">
        <f t="shared" si="292"/>
        <v xml:space="preserve"> </v>
      </c>
      <c r="GX152" s="1186" t="str">
        <f t="shared" si="292"/>
        <v xml:space="preserve"> </v>
      </c>
      <c r="GY152" s="1195">
        <f t="shared" si="340"/>
        <v>0</v>
      </c>
      <c r="GZ152" s="1184">
        <f t="shared" si="341"/>
        <v>0</v>
      </c>
      <c r="HA152" s="1184" t="str">
        <f t="shared" si="353"/>
        <v>a</v>
      </c>
      <c r="HB152" s="1196">
        <f t="shared" si="342"/>
        <v>0</v>
      </c>
      <c r="HC152" s="1196">
        <f t="shared" si="343"/>
        <v>0</v>
      </c>
      <c r="HD152" s="1196"/>
      <c r="HE152" s="1187">
        <f t="shared" si="344"/>
        <v>0</v>
      </c>
      <c r="HF152" s="1196">
        <f t="shared" si="345"/>
        <v>0</v>
      </c>
      <c r="HG152" s="1196">
        <f t="shared" si="346"/>
        <v>0</v>
      </c>
      <c r="HH152" s="1196">
        <f t="shared" si="347"/>
        <v>0</v>
      </c>
      <c r="HI152" s="1328" cm="1">
        <f t="array" ref="HI152">IF(AND(HG152=0,GL152=0),0,IF(HG152=0,1,IF(OR(GL152*1000/HG152/HH152&gt;INDEX(Pflanzen!$W$117:$W$154,CZ152)/INDEX(Pflanzen!$I$117:$I$154,CZ152)*$HI$1,GL152*1000/HG152/HH152&lt;INDEX(Pflanzen!$W$117:$W$154,CZ152)/INDEX(Pflanzen!$I$117:$I$154,CZ152)/$HI$1),1,0)))</f>
        <v>0</v>
      </c>
      <c r="HJ152" s="1330" cm="1">
        <f t="array" ref="HJ152">IF(AND(GM152=0,HG152=0),0,IF(HG152=0,1,IF(OR(GM152*1000/HG152/HH152&gt;INDEX(Pflanzen!$X$117:$X$154,CZ152)/INDEX(Pflanzen!$I$117:$I$154,CZ152)*$HI$2,GM152*1000/HG152/HH152&lt;INDEX(Pflanzen!$X$117:$X$154,CZ152)/INDEX(Pflanzen!$I$117:$I$154,CZ152)/$HI$2),1,0)))</f>
        <v>0</v>
      </c>
      <c r="HK152" s="1184">
        <f t="shared" si="348"/>
        <v>3</v>
      </c>
      <c r="HL152" s="1297"/>
      <c r="HM152" s="726"/>
      <c r="HN152" s="1184"/>
      <c r="HO152" s="1184"/>
      <c r="HP152" s="1184"/>
      <c r="HQ152" s="1184"/>
      <c r="HR152" s="1184"/>
      <c r="HS152" s="1184"/>
      <c r="HT152" s="1184"/>
      <c r="HU152" s="1184"/>
      <c r="HV152" s="1184"/>
      <c r="HW152" s="1184"/>
      <c r="HX152" s="1184"/>
      <c r="HY152" s="1184"/>
      <c r="HZ152" s="1184"/>
      <c r="IA152" s="1184"/>
      <c r="IB152" s="1184"/>
      <c r="IC152" s="1184"/>
      <c r="ID152" s="1184"/>
      <c r="IE152" s="1184"/>
      <c r="IF152" s="1184"/>
      <c r="IG152" s="1184"/>
      <c r="IH152" s="1184"/>
      <c r="II152" s="1184"/>
      <c r="IJ152" s="1184"/>
      <c r="IK152" s="1184"/>
      <c r="IL152" s="1184"/>
    </row>
    <row r="153" spans="25:246" ht="15.75" customHeight="1" thickBot="1" x14ac:dyDescent="0.25">
      <c r="Y153" s="1555"/>
      <c r="Z153" s="1555"/>
      <c r="AA153" s="1555"/>
      <c r="AB153" s="1555"/>
      <c r="AC153" s="242"/>
      <c r="AD153" s="242"/>
      <c r="AE153" s="242"/>
      <c r="AF153" s="242"/>
      <c r="AG153" s="242"/>
      <c r="AH153" s="242"/>
      <c r="AI153" s="242"/>
      <c r="AJ153" s="242"/>
      <c r="AK153" s="242"/>
      <c r="AL153" s="242"/>
      <c r="AM153" s="242"/>
      <c r="AN153" s="242"/>
      <c r="AR153" s="242"/>
      <c r="AS153" s="242"/>
      <c r="AT153" s="242"/>
      <c r="AU153" s="242"/>
      <c r="AV153" s="242"/>
      <c r="AY153" s="1184"/>
      <c r="AZ153" s="1184"/>
      <c r="BA153" s="1184"/>
      <c r="BB153" s="1184"/>
      <c r="BC153" s="1184"/>
      <c r="BD153" s="1184"/>
      <c r="BQ153" s="1184"/>
      <c r="BR153" s="1184"/>
      <c r="BS153" s="1184"/>
      <c r="BT153" s="1184"/>
      <c r="BU153" s="1200"/>
      <c r="BV153" s="1326"/>
      <c r="BW153" s="1326"/>
      <c r="BX153" s="1326"/>
      <c r="BY153" s="1326"/>
      <c r="BZ153" s="1326"/>
      <c r="CA153" s="1326"/>
      <c r="CB153" s="1326"/>
      <c r="CC153" s="1326"/>
      <c r="CD153" s="1326"/>
      <c r="CE153" s="1326"/>
      <c r="CF153" s="1326"/>
      <c r="CG153" s="1326"/>
      <c r="CH153" s="1326"/>
      <c r="CI153" s="1326"/>
      <c r="CJ153" s="1326"/>
      <c r="CK153" s="1326"/>
      <c r="CL153" s="1184"/>
      <c r="CM153" s="1184"/>
      <c r="CN153" s="1184"/>
      <c r="CO153" s="1184"/>
      <c r="CP153" s="1184"/>
      <c r="CQ153" s="1184"/>
      <c r="CR153" s="1184"/>
      <c r="CS153" s="1184"/>
      <c r="CT153" s="1184"/>
      <c r="CU153" s="1184"/>
      <c r="CV153" s="1184"/>
      <c r="CW153" s="1184"/>
      <c r="CX153" s="1184"/>
      <c r="CY153" s="1870" t="str">
        <f>Pflanzen!C154</f>
        <v>Zuckerrübenmelasse</v>
      </c>
      <c r="CZ153" s="1855">
        <f>IFERROR(MATCH($CY153,Pflanzen!$C$117:$C$154,0),1)</f>
        <v>38</v>
      </c>
      <c r="DA153" s="1870">
        <f>Pflanzen!H154</f>
        <v>2</v>
      </c>
      <c r="DB153" s="1857">
        <f t="shared" si="354"/>
        <v>0</v>
      </c>
      <c r="DC153" s="1857">
        <f t="shared" si="354"/>
        <v>0</v>
      </c>
      <c r="DD153" s="1857">
        <f t="shared" si="354"/>
        <v>0</v>
      </c>
      <c r="DE153" s="1857">
        <f t="shared" si="354"/>
        <v>0</v>
      </c>
      <c r="DF153" s="1857">
        <f t="shared" si="354"/>
        <v>0</v>
      </c>
      <c r="DG153" s="1857">
        <f t="shared" si="354"/>
        <v>0</v>
      </c>
      <c r="DH153" s="1857">
        <f t="shared" si="354"/>
        <v>0</v>
      </c>
      <c r="DI153" s="1857">
        <f t="shared" si="354"/>
        <v>0</v>
      </c>
      <c r="DJ153" s="1857">
        <f t="shared" si="354"/>
        <v>0</v>
      </c>
      <c r="DK153" s="1857">
        <f t="shared" si="354"/>
        <v>0</v>
      </c>
      <c r="DL153" s="1857">
        <f t="shared" si="354"/>
        <v>0</v>
      </c>
      <c r="DM153" s="1857">
        <f t="shared" si="354"/>
        <v>0</v>
      </c>
      <c r="DN153" s="1857"/>
      <c r="DO153" s="1857">
        <f t="shared" si="355"/>
        <v>0</v>
      </c>
      <c r="DP153" s="1857">
        <f t="shared" si="355"/>
        <v>0</v>
      </c>
      <c r="DQ153" s="1857">
        <f t="shared" si="355"/>
        <v>0</v>
      </c>
      <c r="DR153" s="1857">
        <f t="shared" si="355"/>
        <v>0</v>
      </c>
      <c r="DS153" s="1857">
        <f t="shared" si="355"/>
        <v>0</v>
      </c>
      <c r="DT153" s="1857">
        <f t="shared" si="355"/>
        <v>0</v>
      </c>
      <c r="DU153" s="1857">
        <f t="shared" si="355"/>
        <v>0</v>
      </c>
      <c r="DV153" s="1857">
        <f t="shared" si="355"/>
        <v>0</v>
      </c>
      <c r="DW153" s="1857">
        <f t="shared" si="355"/>
        <v>0</v>
      </c>
      <c r="DX153" s="1857">
        <f t="shared" si="355"/>
        <v>0</v>
      </c>
      <c r="DY153" s="1857">
        <f t="shared" si="355"/>
        <v>0</v>
      </c>
      <c r="DZ153" s="1857">
        <f t="shared" si="355"/>
        <v>0</v>
      </c>
      <c r="EA153" s="1857"/>
      <c r="EB153" s="1857"/>
      <c r="EC153" s="1857"/>
      <c r="ED153" s="1857"/>
      <c r="EE153" s="1857"/>
      <c r="EF153" s="1857"/>
      <c r="EG153" s="1857"/>
      <c r="EH153" s="1857"/>
      <c r="EI153" s="1857"/>
      <c r="EJ153" s="1857"/>
      <c r="EK153" s="1857"/>
      <c r="EL153" s="1857"/>
      <c r="EM153" s="1855"/>
      <c r="EN153" s="1857"/>
      <c r="EO153" s="1857"/>
      <c r="EP153" s="1857"/>
      <c r="EQ153" s="1857"/>
      <c r="ER153" s="1857"/>
      <c r="ES153" s="1857"/>
      <c r="ET153" s="1857"/>
      <c r="EU153" s="1857"/>
      <c r="EV153" s="1857"/>
      <c r="EW153" s="1857"/>
      <c r="EX153" s="1857"/>
      <c r="EY153" s="1857"/>
      <c r="EZ153" s="1857"/>
      <c r="FA153" s="1857"/>
      <c r="FB153" s="1857">
        <f t="shared" si="302"/>
        <v>0</v>
      </c>
      <c r="FC153" s="1855">
        <f t="shared" si="303"/>
        <v>0</v>
      </c>
      <c r="FD153" s="1855">
        <f t="shared" si="304"/>
        <v>0</v>
      </c>
      <c r="FE153" s="1855">
        <f t="shared" si="305"/>
        <v>0</v>
      </c>
      <c r="FF153" s="1855">
        <f t="shared" si="306"/>
        <v>0</v>
      </c>
      <c r="FG153" s="1855">
        <f t="shared" si="307"/>
        <v>0</v>
      </c>
      <c r="FH153" s="1855">
        <f t="shared" si="308"/>
        <v>0</v>
      </c>
      <c r="FI153" s="1855">
        <f t="shared" si="309"/>
        <v>0</v>
      </c>
      <c r="FJ153" s="1855">
        <f t="shared" si="310"/>
        <v>0</v>
      </c>
      <c r="FK153" s="1855">
        <f t="shared" si="311"/>
        <v>0</v>
      </c>
      <c r="FL153" s="1855">
        <f t="shared" si="312"/>
        <v>0</v>
      </c>
      <c r="FM153" s="1855">
        <f t="shared" si="313"/>
        <v>0</v>
      </c>
      <c r="FN153" s="1855">
        <f t="shared" si="314"/>
        <v>0</v>
      </c>
      <c r="FO153" s="1855"/>
      <c r="FP153" s="1857">
        <f t="shared" si="315"/>
        <v>0</v>
      </c>
      <c r="FQ153" s="1855">
        <f t="shared" si="316"/>
        <v>0</v>
      </c>
      <c r="FR153" s="1855">
        <f t="shared" si="317"/>
        <v>0</v>
      </c>
      <c r="FS153" s="1855">
        <f t="shared" si="318"/>
        <v>0</v>
      </c>
      <c r="FT153" s="1855">
        <f t="shared" si="319"/>
        <v>0</v>
      </c>
      <c r="FU153" s="1855">
        <f t="shared" si="320"/>
        <v>0</v>
      </c>
      <c r="FV153" s="1855">
        <f t="shared" si="321"/>
        <v>0</v>
      </c>
      <c r="FW153" s="1855">
        <f t="shared" si="322"/>
        <v>0</v>
      </c>
      <c r="FX153" s="1855">
        <f t="shared" si="323"/>
        <v>0</v>
      </c>
      <c r="FY153" s="1855">
        <f t="shared" si="324"/>
        <v>0</v>
      </c>
      <c r="FZ153" s="1855">
        <f t="shared" si="325"/>
        <v>0</v>
      </c>
      <c r="GA153" s="1855">
        <f t="shared" si="326"/>
        <v>0</v>
      </c>
      <c r="GB153" s="1855">
        <f t="shared" si="327"/>
        <v>0</v>
      </c>
      <c r="GC153" s="1855"/>
      <c r="GD153" s="1855">
        <f t="shared" si="328"/>
        <v>0</v>
      </c>
      <c r="GE153" s="1855">
        <f t="shared" si="329"/>
        <v>0</v>
      </c>
      <c r="GF153" s="1855"/>
      <c r="GG153" s="1855"/>
      <c r="GH153" s="1855"/>
      <c r="GI153" s="1855"/>
      <c r="GJ153" s="1855">
        <f t="shared" si="330"/>
        <v>0</v>
      </c>
      <c r="GK153" s="1855">
        <f t="shared" si="331"/>
        <v>0</v>
      </c>
      <c r="GL153" s="1855">
        <f t="shared" si="332"/>
        <v>0</v>
      </c>
      <c r="GM153" s="1855">
        <f t="shared" si="333"/>
        <v>0</v>
      </c>
      <c r="GN153" s="1855">
        <f t="shared" si="334"/>
        <v>0</v>
      </c>
      <c r="GO153" s="1855" cm="1">
        <f t="array" ref="GO153">IF(GN153=0,0,(SUMPRODUCT($J$75:$J$79,$CH$75:$CH$79,($BR$75:$BR$79=CZ153)*1)+SUMPRODUCT($R$75:$R$79,$CP$75:$CP$79,($BR$75:$BR$79=CZ153)*1))/GN153)</f>
        <v>0</v>
      </c>
      <c r="GP153" s="1855">
        <f t="shared" si="335"/>
        <v>0</v>
      </c>
      <c r="GQ153" s="1855"/>
      <c r="GR153" s="1855"/>
      <c r="GS153" s="1855">
        <f t="shared" si="336"/>
        <v>0</v>
      </c>
      <c r="GT153" s="1855">
        <f t="shared" si="337"/>
        <v>0</v>
      </c>
      <c r="GU153" s="1855">
        <f t="shared" si="338"/>
        <v>0</v>
      </c>
      <c r="GV153" s="1855">
        <f t="shared" si="339"/>
        <v>0</v>
      </c>
      <c r="GW153" s="1857" t="str">
        <f t="shared" si="292"/>
        <v xml:space="preserve"> </v>
      </c>
      <c r="GX153" s="1857" t="str">
        <f t="shared" si="292"/>
        <v xml:space="preserve"> </v>
      </c>
      <c r="GY153" s="1858">
        <f t="shared" si="340"/>
        <v>0</v>
      </c>
      <c r="GZ153" s="1855">
        <f t="shared" si="341"/>
        <v>0</v>
      </c>
      <c r="HA153" s="1855" t="str">
        <f t="shared" si="353"/>
        <v>a</v>
      </c>
      <c r="HB153" s="1859">
        <f t="shared" si="342"/>
        <v>0</v>
      </c>
      <c r="HC153" s="1859">
        <f t="shared" si="343"/>
        <v>0</v>
      </c>
      <c r="HD153" s="1859"/>
      <c r="HE153" s="1860">
        <f t="shared" si="344"/>
        <v>0</v>
      </c>
      <c r="HF153" s="1859">
        <f t="shared" si="345"/>
        <v>0</v>
      </c>
      <c r="HG153" s="1859">
        <f t="shared" si="346"/>
        <v>0</v>
      </c>
      <c r="HH153" s="1859">
        <f t="shared" si="347"/>
        <v>0</v>
      </c>
      <c r="HI153" s="1861" cm="1">
        <f t="array" ref="HI153">IF(AND(HG153=0,GL153=0),0,IF(HG153=0,1,IF(OR(GL153*1000/HG153/HH153&gt;INDEX(Pflanzen!$W$117:$W$154,CZ153)/INDEX(Pflanzen!$I$117:$I$154,CZ153)*$HI$1,GL153*1000/HG153/HH153&lt;INDEX(Pflanzen!$W$117:$W$154,CZ153)/INDEX(Pflanzen!$I$117:$I$154,CZ153)/$HI$1),1,0)))</f>
        <v>0</v>
      </c>
      <c r="HJ153" s="1861" cm="1">
        <f t="array" ref="HJ153">IF(AND(GM153=0,HG153=0),0,IF(HG153=0,1,IF(OR(GM153*1000/HG153/HH153&gt;INDEX(Pflanzen!$X$117:$X$154,CZ153)/INDEX(Pflanzen!$I$117:$I$154,CZ153)*$HI$2,GM153*1000/HG153/HH153&lt;INDEX(Pflanzen!$X$117:$X$154,CZ153)/INDEX(Pflanzen!$I$117:$I$154,CZ153)/$HI$2),1,0)))</f>
        <v>0</v>
      </c>
      <c r="HK153" s="1855">
        <f t="shared" si="348"/>
        <v>3</v>
      </c>
      <c r="HL153" s="1297"/>
      <c r="HM153" s="726"/>
      <c r="HN153" s="1184"/>
      <c r="HO153" s="1184"/>
      <c r="HP153" s="1184"/>
      <c r="HQ153" s="1184"/>
      <c r="HR153" s="1184"/>
      <c r="HS153" s="1184"/>
      <c r="HT153" s="1184"/>
      <c r="HU153" s="1184"/>
      <c r="HV153" s="1184"/>
      <c r="HW153" s="1184"/>
      <c r="HX153" s="1184"/>
      <c r="HY153" s="1184"/>
      <c r="HZ153" s="1184"/>
      <c r="IA153" s="1184"/>
      <c r="IB153" s="1184"/>
      <c r="IC153" s="1184"/>
      <c r="ID153" s="1184"/>
      <c r="IE153" s="1184"/>
      <c r="IF153" s="1184"/>
      <c r="IG153" s="1184"/>
      <c r="IH153" s="1184"/>
      <c r="II153" s="1184"/>
      <c r="IJ153" s="1184"/>
      <c r="IK153" s="1184"/>
      <c r="IL153" s="1184"/>
    </row>
    <row r="154" spans="25:246" ht="15.75" customHeight="1" x14ac:dyDescent="0.2">
      <c r="Y154" s="1555"/>
      <c r="Z154" s="1555"/>
      <c r="AA154" s="1555"/>
      <c r="AB154" s="1555"/>
      <c r="AC154" s="242"/>
      <c r="AD154" s="242"/>
      <c r="AE154" s="242"/>
      <c r="AF154" s="242"/>
      <c r="AG154" s="242"/>
      <c r="AH154" s="242"/>
      <c r="AI154" s="242"/>
      <c r="AJ154" s="242"/>
      <c r="AK154" s="242"/>
      <c r="AL154" s="242"/>
      <c r="AM154" s="242"/>
      <c r="AN154" s="242"/>
      <c r="AR154" s="242"/>
      <c r="AS154" s="242"/>
      <c r="AT154" s="242"/>
      <c r="AU154" s="242"/>
      <c r="AV154" s="242"/>
      <c r="AY154" s="1184"/>
      <c r="AZ154" s="1184"/>
      <c r="BA154" s="1184"/>
      <c r="BB154" s="1184"/>
      <c r="BC154" s="1184"/>
      <c r="BD154" s="1184"/>
      <c r="BQ154" s="1184"/>
      <c r="BR154" s="1184"/>
      <c r="BS154" s="1184"/>
      <c r="BT154" s="1184"/>
      <c r="BU154" s="1200"/>
      <c r="BV154" s="1326"/>
      <c r="BW154" s="1326"/>
      <c r="BX154" s="1326"/>
      <c r="BY154" s="1326"/>
      <c r="BZ154" s="1326"/>
      <c r="CA154" s="1326"/>
      <c r="CB154" s="1326"/>
      <c r="CC154" s="1326"/>
      <c r="CD154" s="1326"/>
      <c r="CE154" s="1326"/>
      <c r="CF154" s="1326"/>
      <c r="CG154" s="1326"/>
      <c r="CH154" s="1326"/>
      <c r="CI154" s="1326"/>
      <c r="CJ154" s="1326"/>
      <c r="CK154" s="1326"/>
      <c r="CL154" s="1184"/>
      <c r="CM154" s="1184"/>
      <c r="CN154" s="1184"/>
      <c r="CO154" s="1184"/>
      <c r="CP154" s="1184"/>
      <c r="CQ154" s="1184"/>
      <c r="CR154" s="1184"/>
      <c r="CS154" s="1184"/>
      <c r="CT154" s="1184"/>
      <c r="CU154" s="1184"/>
      <c r="CV154" s="1184"/>
      <c r="CW154" s="1184"/>
      <c r="CX154" s="1184"/>
      <c r="CY154" s="1208">
        <f t="shared" ref="CY154:CY163" si="356">A80</f>
        <v>0</v>
      </c>
      <c r="CZ154" s="1184"/>
      <c r="DA154" s="1184">
        <v>2</v>
      </c>
      <c r="DB154" s="1184">
        <f t="shared" ref="DB154:DM154" si="357">IF(AND($BX80&lt;=DB$2,$BY80&gt;=DB$2),$CQ80,0)</f>
        <v>0</v>
      </c>
      <c r="DC154" s="1184">
        <f t="shared" si="357"/>
        <v>0</v>
      </c>
      <c r="DD154" s="1184">
        <f t="shared" si="357"/>
        <v>0</v>
      </c>
      <c r="DE154" s="1184">
        <f t="shared" si="357"/>
        <v>0</v>
      </c>
      <c r="DF154" s="1184">
        <f t="shared" si="357"/>
        <v>0</v>
      </c>
      <c r="DG154" s="1184">
        <f t="shared" si="357"/>
        <v>0</v>
      </c>
      <c r="DH154" s="1184">
        <f t="shared" si="357"/>
        <v>0</v>
      </c>
      <c r="DI154" s="1184">
        <f t="shared" si="357"/>
        <v>0</v>
      </c>
      <c r="DJ154" s="1184">
        <f t="shared" si="357"/>
        <v>0</v>
      </c>
      <c r="DK154" s="1184">
        <f t="shared" si="357"/>
        <v>0</v>
      </c>
      <c r="DL154" s="1184">
        <f t="shared" si="357"/>
        <v>0</v>
      </c>
      <c r="DM154" s="1184">
        <f t="shared" si="357"/>
        <v>0</v>
      </c>
      <c r="DN154" s="1184"/>
      <c r="DO154" s="1184">
        <f t="shared" ref="DO154:DZ154" si="358">IF(AND($BX80&lt;=DO$2,$BY80&gt;=DO$2),$CS80,0)</f>
        <v>0</v>
      </c>
      <c r="DP154" s="1184">
        <f t="shared" si="358"/>
        <v>0</v>
      </c>
      <c r="DQ154" s="1184">
        <f t="shared" si="358"/>
        <v>0</v>
      </c>
      <c r="DR154" s="1184">
        <f t="shared" si="358"/>
        <v>0</v>
      </c>
      <c r="DS154" s="1184">
        <f t="shared" si="358"/>
        <v>0</v>
      </c>
      <c r="DT154" s="1184">
        <f t="shared" si="358"/>
        <v>0</v>
      </c>
      <c r="DU154" s="1184">
        <f t="shared" si="358"/>
        <v>0</v>
      </c>
      <c r="DV154" s="1184">
        <f t="shared" si="358"/>
        <v>0</v>
      </c>
      <c r="DW154" s="1184">
        <f t="shared" si="358"/>
        <v>0</v>
      </c>
      <c r="DX154" s="1184">
        <f t="shared" si="358"/>
        <v>0</v>
      </c>
      <c r="DY154" s="1184">
        <f t="shared" si="358"/>
        <v>0</v>
      </c>
      <c r="DZ154" s="1184">
        <f t="shared" si="358"/>
        <v>0</v>
      </c>
      <c r="EA154" s="1184"/>
      <c r="EB154" s="1184"/>
      <c r="EC154" s="1184"/>
      <c r="ED154" s="1184"/>
      <c r="EE154" s="1184"/>
      <c r="EF154" s="1184"/>
      <c r="EG154" s="1184"/>
      <c r="EH154" s="1184"/>
      <c r="EI154" s="1184"/>
      <c r="EJ154" s="1184"/>
      <c r="EK154" s="1184"/>
      <c r="EL154" s="1184"/>
      <c r="EM154" s="1184"/>
      <c r="EN154" s="1184"/>
      <c r="EO154" s="1184"/>
      <c r="EP154" s="1184"/>
      <c r="EQ154" s="1184"/>
      <c r="ER154" s="1184"/>
      <c r="ES154" s="1184"/>
      <c r="ET154" s="1184"/>
      <c r="EU154" s="1184"/>
      <c r="EV154" s="1184"/>
      <c r="EW154" s="1184"/>
      <c r="EX154" s="1184"/>
      <c r="EY154" s="1184"/>
      <c r="EZ154" s="1184"/>
      <c r="FA154" s="1184"/>
      <c r="FB154" s="1210">
        <f t="shared" ref="FB154:FB163" si="359">CI80</f>
        <v>0</v>
      </c>
      <c r="FC154" s="1297">
        <f>FB154+DB154-$GD154*$HE154/12</f>
        <v>0</v>
      </c>
      <c r="FD154" s="1297">
        <f t="shared" ref="FD154" si="360">FC154+DC154-$GD154*$HE154/12</f>
        <v>0</v>
      </c>
      <c r="FE154" s="1297">
        <f t="shared" ref="FE154" si="361">FD154+DD154-$GD154*$HE154/12</f>
        <v>0</v>
      </c>
      <c r="FF154" s="1297">
        <f t="shared" ref="FF154" si="362">FE154+DE154-$GD154*$HE154/12</f>
        <v>0</v>
      </c>
      <c r="FG154" s="1297">
        <f t="shared" ref="FG154" si="363">FF154+DF154-$GD154*$HE154/12</f>
        <v>0</v>
      </c>
      <c r="FH154" s="1297">
        <f t="shared" ref="FH154" si="364">FG154+DG154-$GD154*$HE154/12</f>
        <v>0</v>
      </c>
      <c r="FI154" s="1297">
        <f t="shared" ref="FI154" si="365">FH154+DH154-$GD154*$HE154/12</f>
        <v>0</v>
      </c>
      <c r="FJ154" s="1297">
        <f t="shared" ref="FJ154" si="366">FI154+DI154-$GD154*$HE154/12</f>
        <v>0</v>
      </c>
      <c r="FK154" s="1297">
        <f t="shared" ref="FK154" si="367">FJ154+DJ154-$GD154*$HE154/12</f>
        <v>0</v>
      </c>
      <c r="FL154" s="1297">
        <f t="shared" ref="FL154" si="368">FK154+DK154-$GD154*$HE154/12</f>
        <v>0</v>
      </c>
      <c r="FM154" s="1297">
        <f t="shared" ref="FM154" si="369">FL154+DL154-$GD154*$HE154/12</f>
        <v>0</v>
      </c>
      <c r="FN154" s="1297">
        <f t="shared" ref="FN154" si="370">FM154+DM154-$GD154*$HE154/12</f>
        <v>0</v>
      </c>
      <c r="FO154" s="1184"/>
      <c r="FP154" s="1210">
        <f t="shared" ref="FP154:FP163" si="371">CJ80</f>
        <v>0</v>
      </c>
      <c r="FQ154" s="1297">
        <f t="shared" si="272"/>
        <v>0</v>
      </c>
      <c r="FR154" s="1297">
        <f t="shared" si="273"/>
        <v>0</v>
      </c>
      <c r="FS154" s="1297">
        <f t="shared" si="274"/>
        <v>0</v>
      </c>
      <c r="FT154" s="1297">
        <f t="shared" si="275"/>
        <v>0</v>
      </c>
      <c r="FU154" s="1297">
        <f t="shared" si="276"/>
        <v>0</v>
      </c>
      <c r="FV154" s="1297">
        <f t="shared" si="277"/>
        <v>0</v>
      </c>
      <c r="FW154" s="1297">
        <f t="shared" si="278"/>
        <v>0</v>
      </c>
      <c r="FX154" s="1297">
        <f t="shared" si="279"/>
        <v>0</v>
      </c>
      <c r="FY154" s="1297">
        <f t="shared" si="280"/>
        <v>0</v>
      </c>
      <c r="FZ154" s="1297">
        <f t="shared" si="281"/>
        <v>0</v>
      </c>
      <c r="GA154" s="1297">
        <f t="shared" si="282"/>
        <v>0</v>
      </c>
      <c r="GB154" s="1297">
        <f t="shared" si="283"/>
        <v>0</v>
      </c>
      <c r="GC154" s="1184"/>
      <c r="GD154" s="1184">
        <f t="shared" ref="GD154:GD163" si="372">CI80+CR80</f>
        <v>0</v>
      </c>
      <c r="GE154" s="1184">
        <f t="shared" ref="GE154:GE163" si="373">CJ80+CT80</f>
        <v>0</v>
      </c>
      <c r="GF154" s="1184"/>
      <c r="GG154" s="1184"/>
      <c r="GH154" s="1184"/>
      <c r="GI154" s="1184"/>
      <c r="GJ154" s="1184">
        <f t="shared" ref="GJ154" si="374">GD154</f>
        <v>0</v>
      </c>
      <c r="GK154" s="1184">
        <f t="shared" ref="GK154" si="375">GE154</f>
        <v>0</v>
      </c>
      <c r="GL154" s="1184">
        <f t="shared" ref="GL154" si="376">GD154-GD154*HE154</f>
        <v>0</v>
      </c>
      <c r="GM154" s="1184">
        <f t="shared" ref="GM154" si="377">GE154-GE154*HE154</f>
        <v>0</v>
      </c>
      <c r="GN154" s="1184">
        <f t="shared" ref="GN154:GN163" si="378">CW80</f>
        <v>0</v>
      </c>
      <c r="GO154" s="1184">
        <f t="shared" ref="GO154:GO163" si="379">IF(GN154=0,0,(J80*I80+R80*Q80)/GN154)</f>
        <v>0</v>
      </c>
      <c r="GP154" s="1184">
        <f t="shared" ref="GP154:GP165" si="380">GN154*GO154/100</f>
        <v>0</v>
      </c>
      <c r="GQ154" s="1184"/>
      <c r="GR154" s="1184"/>
      <c r="GS154" s="1184">
        <f t="shared" ref="GS154:GS165" si="381">GQ154*GR154/100</f>
        <v>0</v>
      </c>
      <c r="GT154" s="1184">
        <f t="shared" ref="GT154:GT165" si="382">GP154-GS154</f>
        <v>0</v>
      </c>
      <c r="GU154" s="1184">
        <f>IF(AND(GO154=0,GR154=0),0,IF(GO154=0,GT154/(GR154/100),GT154/(GO154/100)))</f>
        <v>0</v>
      </c>
      <c r="GV154" s="1184">
        <f t="shared" ref="GV154:GV165" si="383">IF(OR(GO154=0,GR154=0),MAX(GO154,GR154),GO154)</f>
        <v>0</v>
      </c>
      <c r="GW154" s="1186" t="str">
        <f t="shared" si="292"/>
        <v xml:space="preserve"> </v>
      </c>
      <c r="GX154" s="1184"/>
      <c r="GY154" s="1195">
        <f t="shared" ref="GY154" si="384">IF(OR(HK154=3,GU154&lt;=0),0,IF(DA154=$DA$4,$GX$4/$GG$4,IF(DA154=$DA$6,$GX$6/$GG$6,0)))</f>
        <v>0</v>
      </c>
      <c r="GZ154" s="1184">
        <f t="shared" ref="GZ154" si="385">GU154*GY154</f>
        <v>0</v>
      </c>
      <c r="HA154" s="1184" t="str">
        <f t="shared" si="353"/>
        <v>a</v>
      </c>
      <c r="HB154" s="1196">
        <f t="shared" ref="HB154" si="386">IF(HA154="a",0,GD154*HE154)</f>
        <v>0</v>
      </c>
      <c r="HC154" s="1196">
        <f t="shared" ref="HC154" si="387">IF(HA154="a",0,GD154*(1-HE154))</f>
        <v>0</v>
      </c>
      <c r="HD154" s="1196"/>
      <c r="HE154" s="1187">
        <f>IF(OR(HK154=3,GU154&lt;=0),0,IF(HA154&lt;&gt;"a",IF(GU154=0,0,MIN(1,HA154/GU154)),IF(DA154=$DA$4,IF($GG$4-$HC$4-$HB$4=0,0,$HD$4/($GG$4-$HC$4-$HB$4)),IF(DA154=$DA$6,IF($GG$6-$HC$6-$HB$6=0,0,$HD$6/($GG$6-$HC$6-$HB$6)),0))))</f>
        <v>0</v>
      </c>
      <c r="HF154" s="1196">
        <f t="shared" ref="HF154" si="388">MAX(0,GU154*HE154)</f>
        <v>0</v>
      </c>
      <c r="HG154" s="1196">
        <f t="shared" ref="HG154" si="389">GU154-HF154</f>
        <v>0</v>
      </c>
      <c r="HH154" s="1196">
        <f t="shared" ref="HH154" si="390">GO154</f>
        <v>0</v>
      </c>
      <c r="HI154" s="1328" cm="1">
        <f t="array" ref="HI154">IF(AND(HG154=0,GL154=0),0,IF(HG154=0,1,IF(OR(GL154*1000/HG154/HH154&gt;INDEX(Pflanzen!$W$117:$W$154,CZ154)/INDEX(Pflanzen!$I$117:$I$154,CZ154)*$HI$1,GL154*1000/HG154/HH154&lt;INDEX(Pflanzen!$W$117:$W$154,CZ154)/INDEX(Pflanzen!$I$117:$I$154,CZ154)/$HI$1),1,0)))</f>
        <v>0</v>
      </c>
      <c r="HJ154" s="1330" cm="1">
        <f t="array" ref="HJ154">IF(AND(GM154=0,HG154=0),0,IF(HG154=0,1,IF(OR(GM154*1000/HG154/HH154&gt;INDEX(Pflanzen!$X$117:$X$154,CZ154)/INDEX(Pflanzen!$I$117:$I$154,CZ154)*$HI$2,GM154*1000/HG154/HH154&lt;INDEX(Pflanzen!$X$117:$X$154,CZ154)/INDEX(Pflanzen!$I$117:$I$154,CZ154)/$HI$2),1,0)))</f>
        <v>0</v>
      </c>
      <c r="HK154" s="1184">
        <f t="shared" ref="HK154:HK165" si="391">IF(AND(GD154=0,GE154=0,GH154=0,GI154=0,GJ154=0,GK154=0),3,DA154)</f>
        <v>3</v>
      </c>
      <c r="HL154" s="1297"/>
      <c r="HM154" s="726"/>
      <c r="HN154" s="1184"/>
      <c r="HO154" s="1184"/>
      <c r="HP154" s="1184"/>
      <c r="HQ154" s="1184"/>
      <c r="HR154" s="1184"/>
      <c r="HS154" s="1184"/>
      <c r="HT154" s="1184"/>
      <c r="HU154" s="1184"/>
      <c r="HV154" s="1184"/>
      <c r="HW154" s="1184"/>
      <c r="HX154" s="1184"/>
      <c r="HY154" s="1184"/>
      <c r="HZ154" s="1184"/>
      <c r="IA154" s="1184"/>
      <c r="IB154" s="1184"/>
      <c r="IC154" s="1184"/>
      <c r="ID154" s="1184"/>
      <c r="IE154" s="1184"/>
      <c r="IF154" s="1184"/>
      <c r="IG154" s="1184"/>
      <c r="IH154" s="1184"/>
      <c r="II154" s="1184"/>
      <c r="IJ154" s="1184"/>
      <c r="IK154" s="1184"/>
      <c r="IL154" s="1184"/>
    </row>
    <row r="155" spans="25:246" ht="15.75" customHeight="1" x14ac:dyDescent="0.2">
      <c r="Y155" s="1555"/>
      <c r="Z155" s="1555"/>
      <c r="AA155" s="1555"/>
      <c r="AB155" s="1555"/>
      <c r="AC155" s="242"/>
      <c r="AD155" s="242"/>
      <c r="AE155" s="242"/>
      <c r="AF155" s="242"/>
      <c r="AG155" s="242"/>
      <c r="AH155" s="242"/>
      <c r="AI155" s="242"/>
      <c r="AJ155" s="242"/>
      <c r="AK155" s="242"/>
      <c r="AL155" s="242"/>
      <c r="AM155" s="242"/>
      <c r="AN155" s="242"/>
      <c r="AR155" s="242"/>
      <c r="AS155" s="242"/>
      <c r="AT155" s="242"/>
      <c r="AU155" s="242"/>
      <c r="AV155" s="242"/>
      <c r="AY155" s="1184"/>
      <c r="AZ155" s="1184"/>
      <c r="BA155" s="1184"/>
      <c r="BB155" s="1184"/>
      <c r="BC155" s="1184"/>
      <c r="BD155" s="1184"/>
      <c r="BQ155" s="1184"/>
      <c r="BR155" s="1184"/>
      <c r="BS155" s="1184"/>
      <c r="BT155" s="1184"/>
      <c r="BU155" s="1200"/>
      <c r="BV155" s="1326"/>
      <c r="BW155" s="1326"/>
      <c r="BX155" s="1326"/>
      <c r="BY155" s="1326"/>
      <c r="BZ155" s="1326"/>
      <c r="CA155" s="1326"/>
      <c r="CB155" s="1326"/>
      <c r="CC155" s="1326"/>
      <c r="CD155" s="1326"/>
      <c r="CE155" s="1326"/>
      <c r="CF155" s="1326"/>
      <c r="CG155" s="1326"/>
      <c r="CH155" s="1326"/>
      <c r="CI155" s="1326"/>
      <c r="CJ155" s="1326"/>
      <c r="CK155" s="1326"/>
      <c r="CL155" s="1184"/>
      <c r="CM155" s="1184"/>
      <c r="CN155" s="1184"/>
      <c r="CO155" s="1184"/>
      <c r="CP155" s="1184"/>
      <c r="CQ155" s="1184"/>
      <c r="CR155" s="1184"/>
      <c r="CS155" s="1184"/>
      <c r="CT155" s="1184"/>
      <c r="CU155" s="1184"/>
      <c r="CV155" s="1184"/>
      <c r="CW155" s="1184"/>
      <c r="CX155" s="1184"/>
      <c r="CY155" s="1208">
        <f t="shared" si="356"/>
        <v>0</v>
      </c>
      <c r="CZ155" s="1184"/>
      <c r="DA155" s="1184">
        <v>2</v>
      </c>
      <c r="DB155" s="1184">
        <f t="shared" ref="DB155:DM155" si="392">IF(AND($BX81&lt;=DB$2,$BY81&gt;=DB$2),$CQ81,0)</f>
        <v>0</v>
      </c>
      <c r="DC155" s="1184">
        <f t="shared" si="392"/>
        <v>0</v>
      </c>
      <c r="DD155" s="1184">
        <f t="shared" si="392"/>
        <v>0</v>
      </c>
      <c r="DE155" s="1184">
        <f t="shared" si="392"/>
        <v>0</v>
      </c>
      <c r="DF155" s="1184">
        <f t="shared" si="392"/>
        <v>0</v>
      </c>
      <c r="DG155" s="1184">
        <f t="shared" si="392"/>
        <v>0</v>
      </c>
      <c r="DH155" s="1184">
        <f t="shared" si="392"/>
        <v>0</v>
      </c>
      <c r="DI155" s="1184">
        <f t="shared" si="392"/>
        <v>0</v>
      </c>
      <c r="DJ155" s="1184">
        <f t="shared" si="392"/>
        <v>0</v>
      </c>
      <c r="DK155" s="1184">
        <f t="shared" si="392"/>
        <v>0</v>
      </c>
      <c r="DL155" s="1184">
        <f t="shared" si="392"/>
        <v>0</v>
      </c>
      <c r="DM155" s="1184">
        <f t="shared" si="392"/>
        <v>0</v>
      </c>
      <c r="DN155" s="1184"/>
      <c r="DO155" s="1184">
        <f t="shared" ref="DO155:DZ155" si="393">IF(AND($BX81&lt;=DO$2,$BY81&gt;=DO$2),$CS81,0)</f>
        <v>0</v>
      </c>
      <c r="DP155" s="1184">
        <f t="shared" si="393"/>
        <v>0</v>
      </c>
      <c r="DQ155" s="1184">
        <f t="shared" si="393"/>
        <v>0</v>
      </c>
      <c r="DR155" s="1184">
        <f t="shared" si="393"/>
        <v>0</v>
      </c>
      <c r="DS155" s="1184">
        <f t="shared" si="393"/>
        <v>0</v>
      </c>
      <c r="DT155" s="1184">
        <f t="shared" si="393"/>
        <v>0</v>
      </c>
      <c r="DU155" s="1184">
        <f t="shared" si="393"/>
        <v>0</v>
      </c>
      <c r="DV155" s="1184">
        <f t="shared" si="393"/>
        <v>0</v>
      </c>
      <c r="DW155" s="1184">
        <f t="shared" si="393"/>
        <v>0</v>
      </c>
      <c r="DX155" s="1184">
        <f t="shared" si="393"/>
        <v>0</v>
      </c>
      <c r="DY155" s="1184">
        <f t="shared" si="393"/>
        <v>0</v>
      </c>
      <c r="DZ155" s="1184">
        <f t="shared" si="393"/>
        <v>0</v>
      </c>
      <c r="EA155" s="1184"/>
      <c r="EB155" s="1184"/>
      <c r="EC155" s="1184"/>
      <c r="ED155" s="1184"/>
      <c r="EE155" s="1184"/>
      <c r="EF155" s="1184"/>
      <c r="EG155" s="1184"/>
      <c r="EH155" s="1184"/>
      <c r="EI155" s="1184"/>
      <c r="EJ155" s="1184"/>
      <c r="EK155" s="1184"/>
      <c r="EL155" s="1184"/>
      <c r="EM155" s="1184"/>
      <c r="EN155" s="1184"/>
      <c r="EO155" s="1184"/>
      <c r="EP155" s="1184"/>
      <c r="EQ155" s="1184"/>
      <c r="ER155" s="1184"/>
      <c r="ES155" s="1184"/>
      <c r="ET155" s="1184"/>
      <c r="EU155" s="1184"/>
      <c r="EV155" s="1184"/>
      <c r="EW155" s="1184"/>
      <c r="EX155" s="1184"/>
      <c r="EY155" s="1184"/>
      <c r="EZ155" s="1184"/>
      <c r="FA155" s="1184"/>
      <c r="FB155" s="1210">
        <f t="shared" si="359"/>
        <v>0</v>
      </c>
      <c r="FC155" s="1297">
        <f t="shared" ref="FC155:FC163" si="394">FB155+DB155-$GD155*$HE155/12</f>
        <v>0</v>
      </c>
      <c r="FD155" s="1297">
        <f t="shared" ref="FD155:FD163" si="395">FC155+DC155-$GD155*$HE155/12</f>
        <v>0</v>
      </c>
      <c r="FE155" s="1297">
        <f t="shared" ref="FE155:FE163" si="396">FD155+DD155-$GD155*$HE155/12</f>
        <v>0</v>
      </c>
      <c r="FF155" s="1297">
        <f t="shared" ref="FF155:FF163" si="397">FE155+DE155-$GD155*$HE155/12</f>
        <v>0</v>
      </c>
      <c r="FG155" s="1297">
        <f t="shared" ref="FG155:FG163" si="398">FF155+DF155-$GD155*$HE155/12</f>
        <v>0</v>
      </c>
      <c r="FH155" s="1297">
        <f t="shared" ref="FH155:FH163" si="399">FG155+DG155-$GD155*$HE155/12</f>
        <v>0</v>
      </c>
      <c r="FI155" s="1297">
        <f t="shared" ref="FI155:FI163" si="400">FH155+DH155-$GD155*$HE155/12</f>
        <v>0</v>
      </c>
      <c r="FJ155" s="1297">
        <f t="shared" ref="FJ155:FJ163" si="401">FI155+DI155-$GD155*$HE155/12</f>
        <v>0</v>
      </c>
      <c r="FK155" s="1297">
        <f t="shared" ref="FK155:FK163" si="402">FJ155+DJ155-$GD155*$HE155/12</f>
        <v>0</v>
      </c>
      <c r="FL155" s="1297">
        <f t="shared" ref="FL155:FL163" si="403">FK155+DK155-$GD155*$HE155/12</f>
        <v>0</v>
      </c>
      <c r="FM155" s="1297">
        <f t="shared" ref="FM155:FM163" si="404">FL155+DL155-$GD155*$HE155/12</f>
        <v>0</v>
      </c>
      <c r="FN155" s="1297">
        <f t="shared" ref="FN155:FN163" si="405">FM155+DM155-$GD155*$HE155/12</f>
        <v>0</v>
      </c>
      <c r="FO155" s="1184"/>
      <c r="FP155" s="1210">
        <f t="shared" si="371"/>
        <v>0</v>
      </c>
      <c r="FQ155" s="1297">
        <f t="shared" ref="FQ155:FQ163" si="406">FP155+DO155  -$GE155*$HE155/12</f>
        <v>0</v>
      </c>
      <c r="FR155" s="1297">
        <f t="shared" ref="FR155:FR163" si="407">FQ155+DP155  -$GE155*$HE155/12</f>
        <v>0</v>
      </c>
      <c r="FS155" s="1297">
        <f t="shared" ref="FS155:FS163" si="408">FR155+DQ155  -$GE155*$HE155/12</f>
        <v>0</v>
      </c>
      <c r="FT155" s="1297">
        <f t="shared" ref="FT155:FT163" si="409">FS155+DR155  -$GE155*$HE155/12</f>
        <v>0</v>
      </c>
      <c r="FU155" s="1297">
        <f t="shared" ref="FU155:FU163" si="410">FT155+DS155  -$GE155*$HE155/12</f>
        <v>0</v>
      </c>
      <c r="FV155" s="1297">
        <f t="shared" ref="FV155:FV163" si="411">FU155+DT155  -$GE155*$HE155/12</f>
        <v>0</v>
      </c>
      <c r="FW155" s="1297">
        <f t="shared" ref="FW155:FW163" si="412">FV155+DU155  -$GE155*$HE155/12</f>
        <v>0</v>
      </c>
      <c r="FX155" s="1297">
        <f t="shared" ref="FX155:FX163" si="413">FW155+DV155  -$GE155*$HE155/12</f>
        <v>0</v>
      </c>
      <c r="FY155" s="1297">
        <f t="shared" ref="FY155:FY163" si="414">FX155+DW155  -$GE155*$HE155/12</f>
        <v>0</v>
      </c>
      <c r="FZ155" s="1297">
        <f t="shared" ref="FZ155:FZ163" si="415">FY155+DX155  -$GE155*$HE155/12</f>
        <v>0</v>
      </c>
      <c r="GA155" s="1297">
        <f t="shared" ref="GA155:GA163" si="416">FZ155+DY155  -$GE155*$HE155/12</f>
        <v>0</v>
      </c>
      <c r="GB155" s="1297">
        <f t="shared" ref="GB155:GB163" si="417">GA155+DZ155  -$GE155*$HE155/12</f>
        <v>0</v>
      </c>
      <c r="GC155" s="1184"/>
      <c r="GD155" s="1184">
        <f t="shared" si="372"/>
        <v>0</v>
      </c>
      <c r="GE155" s="1184">
        <f t="shared" si="373"/>
        <v>0</v>
      </c>
      <c r="GF155" s="1184"/>
      <c r="GG155" s="1184"/>
      <c r="GH155" s="1184"/>
      <c r="GI155" s="1184"/>
      <c r="GJ155" s="1184">
        <f t="shared" ref="GJ155:GJ163" si="418">GD155</f>
        <v>0</v>
      </c>
      <c r="GK155" s="1184">
        <f t="shared" ref="GK155:GK163" si="419">GE155</f>
        <v>0</v>
      </c>
      <c r="GL155" s="1184">
        <f t="shared" ref="GL155:GL163" si="420">GD155-GD155*HE155</f>
        <v>0</v>
      </c>
      <c r="GM155" s="1184">
        <f t="shared" ref="GM155:GM163" si="421">GE155-GE155*HE155</f>
        <v>0</v>
      </c>
      <c r="GN155" s="1184">
        <f t="shared" si="378"/>
        <v>0</v>
      </c>
      <c r="GO155" s="1184">
        <f t="shared" si="379"/>
        <v>0</v>
      </c>
      <c r="GP155" s="1184">
        <f t="shared" ref="GP155:GP163" si="422">GN155*GO155/100</f>
        <v>0</v>
      </c>
      <c r="GQ155" s="1184"/>
      <c r="GR155" s="1184"/>
      <c r="GS155" s="1184">
        <f t="shared" ref="GS155:GS163" si="423">GQ155*GR155/100</f>
        <v>0</v>
      </c>
      <c r="GT155" s="1184">
        <f t="shared" ref="GT155:GT163" si="424">GP155-GS155</f>
        <v>0</v>
      </c>
      <c r="GU155" s="1184">
        <f t="shared" ref="GU155:GU163" si="425">IF(AND(GO155=0,GR155=0),0,IF(GO155=0,GT155/(GR155/100),GT155/(GO155/100)))</f>
        <v>0</v>
      </c>
      <c r="GV155" s="1184">
        <f t="shared" ref="GV155:GV163" si="426">IF(OR(GO155=0,GR155=0),MAX(GO155,GR155),GO155)</f>
        <v>0</v>
      </c>
      <c r="GW155" s="1186" t="str">
        <f t="shared" si="292"/>
        <v xml:space="preserve"> </v>
      </c>
      <c r="GX155" s="1184"/>
      <c r="GY155" s="1195">
        <f t="shared" ref="GY155:GY163" si="427">IF(OR(HK155=3,GU155&lt;=0),0,IF(DA155=$DA$4,$GX$4/$GG$4,IF(DA155=$DA$6,$GX$6/$GG$6,0)))</f>
        <v>0</v>
      </c>
      <c r="GZ155" s="1184">
        <f t="shared" ref="GZ155:GZ163" si="428">GU155*GY155</f>
        <v>0</v>
      </c>
      <c r="HA155" s="1184" t="str">
        <f t="shared" si="353"/>
        <v>a</v>
      </c>
      <c r="HB155" s="1196">
        <f t="shared" ref="HB155:HB163" si="429">IF(HA155="a",0,GD155*HE155)</f>
        <v>0</v>
      </c>
      <c r="HC155" s="1196">
        <f t="shared" ref="HC155:HC163" si="430">IF(HA155="a",0,GD155*(1-HE155))</f>
        <v>0</v>
      </c>
      <c r="HD155" s="1196"/>
      <c r="HE155" s="1187">
        <f t="shared" ref="HE155:HE163" si="431">IF(OR(HK155=3,GU155&lt;=0),0,IF(HA155&lt;&gt;"a",IF(GU155=0,0,MIN(1,HA155/GU155)),IF(DA155=$DA$4,IF($GG$4-$HC$4-$HB$4=0,0,$HD$4/($GG$4-$HC$4-$HB$4)),IF(DA155=$DA$6,IF($GG$6-$HC$6-$HB$6=0,0,$HD$6/($GG$6-$HC$6-$HB$6)),0))))</f>
        <v>0</v>
      </c>
      <c r="HF155" s="1196">
        <f t="shared" ref="HF155:HF163" si="432">MAX(0,GU155*HE155)</f>
        <v>0</v>
      </c>
      <c r="HG155" s="1196">
        <f t="shared" ref="HG155:HG163" si="433">GU155-HF155</f>
        <v>0</v>
      </c>
      <c r="HH155" s="1196">
        <f t="shared" ref="HH155:HH163" si="434">GO155</f>
        <v>0</v>
      </c>
      <c r="HI155" s="1328" cm="1">
        <f t="array" ref="HI155">IF(AND(HG155=0,GL155=0),0,IF(HG155=0,1,IF(OR(GL155*1000/HG155/HH155&gt;INDEX(Pflanzen!$W$117:$W$154,CZ155)/INDEX(Pflanzen!$I$117:$I$154,CZ155)*$HI$1,GL155*1000/HG155/HH155&lt;INDEX(Pflanzen!$W$117:$W$154,CZ155)/INDEX(Pflanzen!$I$117:$I$154,CZ155)/$HI$1),1,0)))</f>
        <v>0</v>
      </c>
      <c r="HJ155" s="1330" cm="1">
        <f t="array" ref="HJ155">IF(AND(GM155=0,HG155=0),0,IF(HG155=0,1,IF(OR(GM155*1000/HG155/HH155&gt;INDEX(Pflanzen!$X$117:$X$154,CZ155)/INDEX(Pflanzen!$I$117:$I$154,CZ155)*$HI$2,GM155*1000/HG155/HH155&lt;INDEX(Pflanzen!$X$117:$X$154,CZ155)/INDEX(Pflanzen!$I$117:$I$154,CZ155)/$HI$2),1,0)))</f>
        <v>0</v>
      </c>
      <c r="HK155" s="1184">
        <f t="shared" ref="HK155:HK163" si="435">IF(AND(GD155=0,GE155=0,GH155=0,GI155=0,GJ155=0,GK155=0),3,DA155)</f>
        <v>3</v>
      </c>
      <c r="HL155" s="1297"/>
      <c r="HM155" s="726"/>
      <c r="HN155" s="1184"/>
      <c r="HO155" s="1184"/>
      <c r="HP155" s="1184"/>
      <c r="HQ155" s="1184"/>
      <c r="HR155" s="1184"/>
      <c r="HS155" s="1184"/>
      <c r="HT155" s="1184"/>
      <c r="HU155" s="1184"/>
      <c r="HV155" s="1184"/>
      <c r="HW155" s="1184"/>
      <c r="HX155" s="1184"/>
      <c r="HY155" s="1184"/>
      <c r="HZ155" s="1184"/>
      <c r="IA155" s="1184"/>
      <c r="IB155" s="1184"/>
      <c r="IC155" s="1184"/>
      <c r="ID155" s="1184"/>
      <c r="IE155" s="1184"/>
      <c r="IF155" s="1184"/>
      <c r="IG155" s="1184"/>
      <c r="IH155" s="1184"/>
      <c r="II155" s="1184"/>
      <c r="IJ155" s="1184"/>
      <c r="IK155" s="1184"/>
      <c r="IL155" s="1184"/>
    </row>
    <row r="156" spans="25:246" ht="15.75" customHeight="1" x14ac:dyDescent="0.2">
      <c r="Y156" s="1555"/>
      <c r="Z156" s="1555"/>
      <c r="AA156" s="1555"/>
      <c r="AB156" s="1555"/>
      <c r="AC156" s="242"/>
      <c r="AD156" s="242"/>
      <c r="AE156" s="242"/>
      <c r="AF156" s="242"/>
      <c r="AG156" s="242"/>
      <c r="AH156" s="242"/>
      <c r="AI156" s="242"/>
      <c r="AJ156" s="242"/>
      <c r="AK156" s="242"/>
      <c r="AL156" s="242"/>
      <c r="AM156" s="242"/>
      <c r="AN156" s="242"/>
      <c r="AR156" s="242"/>
      <c r="AS156" s="242"/>
      <c r="AT156" s="242"/>
      <c r="AU156" s="242"/>
      <c r="AV156" s="242"/>
      <c r="AY156" s="1184"/>
      <c r="AZ156" s="1184"/>
      <c r="BA156" s="1184"/>
      <c r="BB156" s="1184"/>
      <c r="BC156" s="1184"/>
      <c r="BD156" s="1184"/>
      <c r="BQ156" s="1184"/>
      <c r="BR156" s="1184"/>
      <c r="BS156" s="1184"/>
      <c r="BT156" s="1184"/>
      <c r="BU156" s="1200"/>
      <c r="BV156" s="1326"/>
      <c r="BW156" s="1326"/>
      <c r="BX156" s="1326"/>
      <c r="BY156" s="1326"/>
      <c r="BZ156" s="1326"/>
      <c r="CA156" s="1326"/>
      <c r="CB156" s="1326"/>
      <c r="CC156" s="1326"/>
      <c r="CD156" s="1326"/>
      <c r="CE156" s="1326"/>
      <c r="CF156" s="1326"/>
      <c r="CG156" s="1326"/>
      <c r="CH156" s="1326"/>
      <c r="CI156" s="1326"/>
      <c r="CJ156" s="1326"/>
      <c r="CK156" s="1326"/>
      <c r="CL156" s="1184"/>
      <c r="CM156" s="1184"/>
      <c r="CN156" s="1184"/>
      <c r="CO156" s="1184"/>
      <c r="CP156" s="1184"/>
      <c r="CQ156" s="1184"/>
      <c r="CR156" s="1184"/>
      <c r="CS156" s="1184"/>
      <c r="CT156" s="1184"/>
      <c r="CU156" s="1184"/>
      <c r="CV156" s="1184"/>
      <c r="CW156" s="1184"/>
      <c r="CX156" s="1184"/>
      <c r="CY156" s="1208">
        <f t="shared" si="356"/>
        <v>0</v>
      </c>
      <c r="CZ156" s="1184"/>
      <c r="DA156" s="1184">
        <v>2</v>
      </c>
      <c r="DB156" s="1184">
        <f t="shared" ref="DB156:DM156" si="436">IF(AND($BX82&lt;=DB$2,$BY82&gt;=DB$2),$CQ82,0)</f>
        <v>0</v>
      </c>
      <c r="DC156" s="1184">
        <f t="shared" si="436"/>
        <v>0</v>
      </c>
      <c r="DD156" s="1184">
        <f t="shared" si="436"/>
        <v>0</v>
      </c>
      <c r="DE156" s="1184">
        <f t="shared" si="436"/>
        <v>0</v>
      </c>
      <c r="DF156" s="1184">
        <f t="shared" si="436"/>
        <v>0</v>
      </c>
      <c r="DG156" s="1184">
        <f t="shared" si="436"/>
        <v>0</v>
      </c>
      <c r="DH156" s="1184">
        <f t="shared" si="436"/>
        <v>0</v>
      </c>
      <c r="DI156" s="1184">
        <f t="shared" si="436"/>
        <v>0</v>
      </c>
      <c r="DJ156" s="1184">
        <f t="shared" si="436"/>
        <v>0</v>
      </c>
      <c r="DK156" s="1184">
        <f t="shared" si="436"/>
        <v>0</v>
      </c>
      <c r="DL156" s="1184">
        <f t="shared" si="436"/>
        <v>0</v>
      </c>
      <c r="DM156" s="1184">
        <f t="shared" si="436"/>
        <v>0</v>
      </c>
      <c r="DN156" s="1184"/>
      <c r="DO156" s="1184">
        <f t="shared" ref="DO156:DZ156" si="437">IF(AND($BX82&lt;=DO$2,$BY82&gt;=DO$2),$CS82,0)</f>
        <v>0</v>
      </c>
      <c r="DP156" s="1184">
        <f t="shared" si="437"/>
        <v>0</v>
      </c>
      <c r="DQ156" s="1184">
        <f t="shared" si="437"/>
        <v>0</v>
      </c>
      <c r="DR156" s="1184">
        <f t="shared" si="437"/>
        <v>0</v>
      </c>
      <c r="DS156" s="1184">
        <f t="shared" si="437"/>
        <v>0</v>
      </c>
      <c r="DT156" s="1184">
        <f t="shared" si="437"/>
        <v>0</v>
      </c>
      <c r="DU156" s="1184">
        <f t="shared" si="437"/>
        <v>0</v>
      </c>
      <c r="DV156" s="1184">
        <f t="shared" si="437"/>
        <v>0</v>
      </c>
      <c r="DW156" s="1184">
        <f t="shared" si="437"/>
        <v>0</v>
      </c>
      <c r="DX156" s="1184">
        <f t="shared" si="437"/>
        <v>0</v>
      </c>
      <c r="DY156" s="1184">
        <f t="shared" si="437"/>
        <v>0</v>
      </c>
      <c r="DZ156" s="1184">
        <f t="shared" si="437"/>
        <v>0</v>
      </c>
      <c r="EA156" s="1184"/>
      <c r="EB156" s="1184"/>
      <c r="EC156" s="1184"/>
      <c r="ED156" s="1184"/>
      <c r="EE156" s="1184"/>
      <c r="EF156" s="1184"/>
      <c r="EG156" s="1184"/>
      <c r="EH156" s="1184"/>
      <c r="EI156" s="1184"/>
      <c r="EJ156" s="1184"/>
      <c r="EK156" s="1184"/>
      <c r="EL156" s="1184"/>
      <c r="EM156" s="1184"/>
      <c r="EN156" s="1184"/>
      <c r="EO156" s="1184"/>
      <c r="EP156" s="1184"/>
      <c r="EQ156" s="1184"/>
      <c r="ER156" s="1184"/>
      <c r="ES156" s="1184"/>
      <c r="ET156" s="1184"/>
      <c r="EU156" s="1184"/>
      <c r="EV156" s="1184"/>
      <c r="EW156" s="1184"/>
      <c r="EX156" s="1184"/>
      <c r="EY156" s="1184"/>
      <c r="EZ156" s="1184"/>
      <c r="FA156" s="1184"/>
      <c r="FB156" s="1210">
        <f t="shared" si="359"/>
        <v>0</v>
      </c>
      <c r="FC156" s="1297">
        <f t="shared" si="394"/>
        <v>0</v>
      </c>
      <c r="FD156" s="1297">
        <f t="shared" si="395"/>
        <v>0</v>
      </c>
      <c r="FE156" s="1297">
        <f t="shared" si="396"/>
        <v>0</v>
      </c>
      <c r="FF156" s="1297">
        <f t="shared" si="397"/>
        <v>0</v>
      </c>
      <c r="FG156" s="1297">
        <f t="shared" si="398"/>
        <v>0</v>
      </c>
      <c r="FH156" s="1297">
        <f t="shared" si="399"/>
        <v>0</v>
      </c>
      <c r="FI156" s="1297">
        <f t="shared" si="400"/>
        <v>0</v>
      </c>
      <c r="FJ156" s="1297">
        <f t="shared" si="401"/>
        <v>0</v>
      </c>
      <c r="FK156" s="1297">
        <f t="shared" si="402"/>
        <v>0</v>
      </c>
      <c r="FL156" s="1297">
        <f t="shared" si="403"/>
        <v>0</v>
      </c>
      <c r="FM156" s="1297">
        <f t="shared" si="404"/>
        <v>0</v>
      </c>
      <c r="FN156" s="1297">
        <f t="shared" si="405"/>
        <v>0</v>
      </c>
      <c r="FO156" s="1184"/>
      <c r="FP156" s="1210">
        <f t="shared" si="371"/>
        <v>0</v>
      </c>
      <c r="FQ156" s="1297">
        <f t="shared" si="406"/>
        <v>0</v>
      </c>
      <c r="FR156" s="1297">
        <f t="shared" si="407"/>
        <v>0</v>
      </c>
      <c r="FS156" s="1297">
        <f t="shared" si="408"/>
        <v>0</v>
      </c>
      <c r="FT156" s="1297">
        <f t="shared" si="409"/>
        <v>0</v>
      </c>
      <c r="FU156" s="1297">
        <f t="shared" si="410"/>
        <v>0</v>
      </c>
      <c r="FV156" s="1297">
        <f t="shared" si="411"/>
        <v>0</v>
      </c>
      <c r="FW156" s="1297">
        <f t="shared" si="412"/>
        <v>0</v>
      </c>
      <c r="FX156" s="1297">
        <f t="shared" si="413"/>
        <v>0</v>
      </c>
      <c r="FY156" s="1297">
        <f t="shared" si="414"/>
        <v>0</v>
      </c>
      <c r="FZ156" s="1297">
        <f t="shared" si="415"/>
        <v>0</v>
      </c>
      <c r="GA156" s="1297">
        <f t="shared" si="416"/>
        <v>0</v>
      </c>
      <c r="GB156" s="1297">
        <f t="shared" si="417"/>
        <v>0</v>
      </c>
      <c r="GC156" s="1184"/>
      <c r="GD156" s="1184">
        <f t="shared" si="372"/>
        <v>0</v>
      </c>
      <c r="GE156" s="1184">
        <f t="shared" si="373"/>
        <v>0</v>
      </c>
      <c r="GF156" s="1184"/>
      <c r="GG156" s="1184"/>
      <c r="GH156" s="1184"/>
      <c r="GI156" s="1184"/>
      <c r="GJ156" s="1184">
        <f t="shared" si="418"/>
        <v>0</v>
      </c>
      <c r="GK156" s="1184">
        <f t="shared" si="419"/>
        <v>0</v>
      </c>
      <c r="GL156" s="1184">
        <f t="shared" si="420"/>
        <v>0</v>
      </c>
      <c r="GM156" s="1184">
        <f t="shared" si="421"/>
        <v>0</v>
      </c>
      <c r="GN156" s="1184">
        <f t="shared" si="378"/>
        <v>0</v>
      </c>
      <c r="GO156" s="1184">
        <f t="shared" si="379"/>
        <v>0</v>
      </c>
      <c r="GP156" s="1184">
        <f t="shared" si="422"/>
        <v>0</v>
      </c>
      <c r="GQ156" s="1184"/>
      <c r="GR156" s="1184"/>
      <c r="GS156" s="1184">
        <f t="shared" si="423"/>
        <v>0</v>
      </c>
      <c r="GT156" s="1184">
        <f t="shared" si="424"/>
        <v>0</v>
      </c>
      <c r="GU156" s="1184">
        <f t="shared" si="425"/>
        <v>0</v>
      </c>
      <c r="GV156" s="1184">
        <f t="shared" si="426"/>
        <v>0</v>
      </c>
      <c r="GW156" s="1186" t="str">
        <f t="shared" si="292"/>
        <v xml:space="preserve"> </v>
      </c>
      <c r="GX156" s="1184"/>
      <c r="GY156" s="1195">
        <f t="shared" si="427"/>
        <v>0</v>
      </c>
      <c r="GZ156" s="1184">
        <f t="shared" si="428"/>
        <v>0</v>
      </c>
      <c r="HA156" s="1184" t="str">
        <f t="shared" si="353"/>
        <v>a</v>
      </c>
      <c r="HB156" s="1196">
        <f t="shared" si="429"/>
        <v>0</v>
      </c>
      <c r="HC156" s="1196">
        <f t="shared" si="430"/>
        <v>0</v>
      </c>
      <c r="HD156" s="1196"/>
      <c r="HE156" s="1187">
        <f t="shared" si="431"/>
        <v>0</v>
      </c>
      <c r="HF156" s="1196">
        <f t="shared" si="432"/>
        <v>0</v>
      </c>
      <c r="HG156" s="1196">
        <f t="shared" si="433"/>
        <v>0</v>
      </c>
      <c r="HH156" s="1196">
        <f t="shared" si="434"/>
        <v>0</v>
      </c>
      <c r="HI156" s="1328" cm="1">
        <f t="array" ref="HI156">IF(AND(HG156=0,GL156=0),0,IF(HG156=0,1,IF(OR(GL156*1000/HG156/HH156&gt;INDEX(Pflanzen!$W$117:$W$154,CZ156)/INDEX(Pflanzen!$I$117:$I$154,CZ156)*$HI$1,GL156*1000/HG156/HH156&lt;INDEX(Pflanzen!$W$117:$W$154,CZ156)/INDEX(Pflanzen!$I$117:$I$154,CZ156)/$HI$1),1,0)))</f>
        <v>0</v>
      </c>
      <c r="HJ156" s="1330" cm="1">
        <f t="array" ref="HJ156">IF(AND(GM156=0,HG156=0),0,IF(HG156=0,1,IF(OR(GM156*1000/HG156/HH156&gt;INDEX(Pflanzen!$X$117:$X$154,CZ156)/INDEX(Pflanzen!$I$117:$I$154,CZ156)*$HI$2,GM156*1000/HG156/HH156&lt;INDEX(Pflanzen!$X$117:$X$154,CZ156)/INDEX(Pflanzen!$I$117:$I$154,CZ156)/$HI$2),1,0)))</f>
        <v>0</v>
      </c>
      <c r="HK156" s="1184">
        <f t="shared" si="435"/>
        <v>3</v>
      </c>
      <c r="HL156" s="1297"/>
      <c r="HM156" s="726"/>
      <c r="HN156" s="1184"/>
      <c r="HO156" s="1184"/>
      <c r="HP156" s="1184"/>
      <c r="HQ156" s="1184"/>
      <c r="HR156" s="1184"/>
      <c r="HS156" s="1184"/>
      <c r="HT156" s="1184"/>
      <c r="HU156" s="1184"/>
      <c r="HV156" s="1184"/>
      <c r="HW156" s="1184"/>
      <c r="HX156" s="1184"/>
      <c r="HY156" s="1184"/>
      <c r="HZ156" s="1184"/>
      <c r="IA156" s="1184"/>
      <c r="IB156" s="1184"/>
      <c r="IC156" s="1184"/>
      <c r="ID156" s="1184"/>
      <c r="IE156" s="1184"/>
      <c r="IF156" s="1184"/>
      <c r="IG156" s="1184"/>
      <c r="IH156" s="1184"/>
      <c r="II156" s="1184"/>
      <c r="IJ156" s="1184"/>
      <c r="IK156" s="1184"/>
      <c r="IL156" s="1184"/>
    </row>
    <row r="157" spans="25:246" ht="15.75" customHeight="1" x14ac:dyDescent="0.2">
      <c r="Y157" s="1555"/>
      <c r="Z157" s="1555"/>
      <c r="AA157" s="1555"/>
      <c r="AB157" s="1555"/>
      <c r="AC157" s="242"/>
      <c r="AD157" s="242"/>
      <c r="AE157" s="242"/>
      <c r="AF157" s="242"/>
      <c r="AG157" s="242"/>
      <c r="AH157" s="242"/>
      <c r="AI157" s="242"/>
      <c r="AJ157" s="242"/>
      <c r="AK157" s="242"/>
      <c r="AL157" s="242"/>
      <c r="AM157" s="242"/>
      <c r="AN157" s="242"/>
      <c r="AR157" s="242"/>
      <c r="AS157" s="242"/>
      <c r="AT157" s="242"/>
      <c r="AU157" s="242"/>
      <c r="AV157" s="242"/>
      <c r="AY157" s="1184"/>
      <c r="AZ157" s="1184"/>
      <c r="BA157" s="1184"/>
      <c r="BB157" s="1184"/>
      <c r="BC157" s="1184"/>
      <c r="BD157" s="1184"/>
      <c r="BQ157" s="1184"/>
      <c r="BR157" s="1184"/>
      <c r="BS157" s="1184"/>
      <c r="BT157" s="1184"/>
      <c r="BU157" s="1200"/>
      <c r="BV157" s="1326"/>
      <c r="BW157" s="1326"/>
      <c r="BX157" s="1326"/>
      <c r="BY157" s="1326"/>
      <c r="BZ157" s="1326"/>
      <c r="CA157" s="1326"/>
      <c r="CB157" s="1326"/>
      <c r="CC157" s="1326"/>
      <c r="CD157" s="1326"/>
      <c r="CE157" s="1326"/>
      <c r="CF157" s="1326"/>
      <c r="CG157" s="1326"/>
      <c r="CH157" s="1326"/>
      <c r="CI157" s="1326"/>
      <c r="CJ157" s="1326"/>
      <c r="CK157" s="1326"/>
      <c r="CL157" s="1184"/>
      <c r="CM157" s="1184"/>
      <c r="CN157" s="1184"/>
      <c r="CO157" s="1184"/>
      <c r="CP157" s="1184"/>
      <c r="CQ157" s="1184"/>
      <c r="CR157" s="1184"/>
      <c r="CS157" s="1184"/>
      <c r="CT157" s="1184"/>
      <c r="CU157" s="1184"/>
      <c r="CV157" s="1184"/>
      <c r="CW157" s="1184"/>
      <c r="CX157" s="1184"/>
      <c r="CY157" s="1208">
        <f t="shared" si="356"/>
        <v>0</v>
      </c>
      <c r="CZ157" s="1184"/>
      <c r="DA157" s="1184">
        <v>2</v>
      </c>
      <c r="DB157" s="1184">
        <f t="shared" ref="DB157:DM157" si="438">IF(AND($BX83&lt;=DB$2,$BY83&gt;=DB$2),$CQ83,0)</f>
        <v>0</v>
      </c>
      <c r="DC157" s="1184">
        <f t="shared" si="438"/>
        <v>0</v>
      </c>
      <c r="DD157" s="1184">
        <f t="shared" si="438"/>
        <v>0</v>
      </c>
      <c r="DE157" s="1184">
        <f t="shared" si="438"/>
        <v>0</v>
      </c>
      <c r="DF157" s="1184">
        <f t="shared" si="438"/>
        <v>0</v>
      </c>
      <c r="DG157" s="1184">
        <f t="shared" si="438"/>
        <v>0</v>
      </c>
      <c r="DH157" s="1184">
        <f t="shared" si="438"/>
        <v>0</v>
      </c>
      <c r="DI157" s="1184">
        <f t="shared" si="438"/>
        <v>0</v>
      </c>
      <c r="DJ157" s="1184">
        <f t="shared" si="438"/>
        <v>0</v>
      </c>
      <c r="DK157" s="1184">
        <f t="shared" si="438"/>
        <v>0</v>
      </c>
      <c r="DL157" s="1184">
        <f t="shared" si="438"/>
        <v>0</v>
      </c>
      <c r="DM157" s="1184">
        <f t="shared" si="438"/>
        <v>0</v>
      </c>
      <c r="DN157" s="1184"/>
      <c r="DO157" s="1184">
        <f t="shared" ref="DO157:DZ157" si="439">IF(AND($BX83&lt;=DO$2,$BY83&gt;=DO$2),$CS83,0)</f>
        <v>0</v>
      </c>
      <c r="DP157" s="1184">
        <f t="shared" si="439"/>
        <v>0</v>
      </c>
      <c r="DQ157" s="1184">
        <f t="shared" si="439"/>
        <v>0</v>
      </c>
      <c r="DR157" s="1184">
        <f t="shared" si="439"/>
        <v>0</v>
      </c>
      <c r="DS157" s="1184">
        <f t="shared" si="439"/>
        <v>0</v>
      </c>
      <c r="DT157" s="1184">
        <f t="shared" si="439"/>
        <v>0</v>
      </c>
      <c r="DU157" s="1184">
        <f t="shared" si="439"/>
        <v>0</v>
      </c>
      <c r="DV157" s="1184">
        <f t="shared" si="439"/>
        <v>0</v>
      </c>
      <c r="DW157" s="1184">
        <f t="shared" si="439"/>
        <v>0</v>
      </c>
      <c r="DX157" s="1184">
        <f t="shared" si="439"/>
        <v>0</v>
      </c>
      <c r="DY157" s="1184">
        <f t="shared" si="439"/>
        <v>0</v>
      </c>
      <c r="DZ157" s="1184">
        <f t="shared" si="439"/>
        <v>0</v>
      </c>
      <c r="EA157" s="1184"/>
      <c r="EB157" s="1184"/>
      <c r="EC157" s="1184"/>
      <c r="ED157" s="1184"/>
      <c r="EE157" s="1184"/>
      <c r="EF157" s="1184"/>
      <c r="EG157" s="1184"/>
      <c r="EH157" s="1184"/>
      <c r="EI157" s="1184"/>
      <c r="EJ157" s="1184"/>
      <c r="EK157" s="1184"/>
      <c r="EL157" s="1184"/>
      <c r="EM157" s="1184"/>
      <c r="EN157" s="1184"/>
      <c r="EO157" s="1184"/>
      <c r="EP157" s="1184"/>
      <c r="EQ157" s="1184"/>
      <c r="ER157" s="1184"/>
      <c r="ES157" s="1184"/>
      <c r="ET157" s="1184"/>
      <c r="EU157" s="1184"/>
      <c r="EV157" s="1184"/>
      <c r="EW157" s="1184"/>
      <c r="EX157" s="1184"/>
      <c r="EY157" s="1184"/>
      <c r="EZ157" s="1184"/>
      <c r="FA157" s="1184"/>
      <c r="FB157" s="1210">
        <f t="shared" si="359"/>
        <v>0</v>
      </c>
      <c r="FC157" s="1297">
        <f t="shared" si="394"/>
        <v>0</v>
      </c>
      <c r="FD157" s="1297">
        <f t="shared" si="395"/>
        <v>0</v>
      </c>
      <c r="FE157" s="1297">
        <f t="shared" si="396"/>
        <v>0</v>
      </c>
      <c r="FF157" s="1297">
        <f t="shared" si="397"/>
        <v>0</v>
      </c>
      <c r="FG157" s="1297">
        <f t="shared" si="398"/>
        <v>0</v>
      </c>
      <c r="FH157" s="1297">
        <f t="shared" si="399"/>
        <v>0</v>
      </c>
      <c r="FI157" s="1297">
        <f t="shared" si="400"/>
        <v>0</v>
      </c>
      <c r="FJ157" s="1297">
        <f t="shared" si="401"/>
        <v>0</v>
      </c>
      <c r="FK157" s="1297">
        <f t="shared" si="402"/>
        <v>0</v>
      </c>
      <c r="FL157" s="1297">
        <f t="shared" si="403"/>
        <v>0</v>
      </c>
      <c r="FM157" s="1297">
        <f t="shared" si="404"/>
        <v>0</v>
      </c>
      <c r="FN157" s="1297">
        <f t="shared" si="405"/>
        <v>0</v>
      </c>
      <c r="FO157" s="1184"/>
      <c r="FP157" s="1210">
        <f t="shared" si="371"/>
        <v>0</v>
      </c>
      <c r="FQ157" s="1297">
        <f t="shared" si="406"/>
        <v>0</v>
      </c>
      <c r="FR157" s="1297">
        <f t="shared" si="407"/>
        <v>0</v>
      </c>
      <c r="FS157" s="1297">
        <f t="shared" si="408"/>
        <v>0</v>
      </c>
      <c r="FT157" s="1297">
        <f t="shared" si="409"/>
        <v>0</v>
      </c>
      <c r="FU157" s="1297">
        <f t="shared" si="410"/>
        <v>0</v>
      </c>
      <c r="FV157" s="1297">
        <f t="shared" si="411"/>
        <v>0</v>
      </c>
      <c r="FW157" s="1297">
        <f t="shared" si="412"/>
        <v>0</v>
      </c>
      <c r="FX157" s="1297">
        <f t="shared" si="413"/>
        <v>0</v>
      </c>
      <c r="FY157" s="1297">
        <f t="shared" si="414"/>
        <v>0</v>
      </c>
      <c r="FZ157" s="1297">
        <f t="shared" si="415"/>
        <v>0</v>
      </c>
      <c r="GA157" s="1297">
        <f t="shared" si="416"/>
        <v>0</v>
      </c>
      <c r="GB157" s="1297">
        <f t="shared" si="417"/>
        <v>0</v>
      </c>
      <c r="GC157" s="1184"/>
      <c r="GD157" s="1184">
        <f t="shared" si="372"/>
        <v>0</v>
      </c>
      <c r="GE157" s="1184">
        <f t="shared" si="373"/>
        <v>0</v>
      </c>
      <c r="GF157" s="1184"/>
      <c r="GG157" s="1184"/>
      <c r="GH157" s="1184"/>
      <c r="GI157" s="1184"/>
      <c r="GJ157" s="1184">
        <f t="shared" si="418"/>
        <v>0</v>
      </c>
      <c r="GK157" s="1184">
        <f t="shared" si="419"/>
        <v>0</v>
      </c>
      <c r="GL157" s="1184">
        <f t="shared" si="420"/>
        <v>0</v>
      </c>
      <c r="GM157" s="1184">
        <f t="shared" si="421"/>
        <v>0</v>
      </c>
      <c r="GN157" s="1184">
        <f t="shared" si="378"/>
        <v>0</v>
      </c>
      <c r="GO157" s="1184">
        <f t="shared" si="379"/>
        <v>0</v>
      </c>
      <c r="GP157" s="1184">
        <f t="shared" si="422"/>
        <v>0</v>
      </c>
      <c r="GQ157" s="1184"/>
      <c r="GR157" s="1184"/>
      <c r="GS157" s="1184">
        <f t="shared" si="423"/>
        <v>0</v>
      </c>
      <c r="GT157" s="1184">
        <f t="shared" si="424"/>
        <v>0</v>
      </c>
      <c r="GU157" s="1184">
        <f t="shared" si="425"/>
        <v>0</v>
      </c>
      <c r="GV157" s="1184">
        <f t="shared" si="426"/>
        <v>0</v>
      </c>
      <c r="GW157" s="1186" t="str">
        <f t="shared" si="292"/>
        <v xml:space="preserve"> </v>
      </c>
      <c r="GX157" s="1184"/>
      <c r="GY157" s="1195">
        <f t="shared" si="427"/>
        <v>0</v>
      </c>
      <c r="GZ157" s="1184">
        <f t="shared" si="428"/>
        <v>0</v>
      </c>
      <c r="HA157" s="1184" t="str">
        <f t="shared" si="353"/>
        <v>a</v>
      </c>
      <c r="HB157" s="1196">
        <f t="shared" si="429"/>
        <v>0</v>
      </c>
      <c r="HC157" s="1196">
        <f t="shared" si="430"/>
        <v>0</v>
      </c>
      <c r="HD157" s="1196"/>
      <c r="HE157" s="1187">
        <f t="shared" si="431"/>
        <v>0</v>
      </c>
      <c r="HF157" s="1196">
        <f t="shared" si="432"/>
        <v>0</v>
      </c>
      <c r="HG157" s="1196">
        <f t="shared" si="433"/>
        <v>0</v>
      </c>
      <c r="HH157" s="1196">
        <f t="shared" si="434"/>
        <v>0</v>
      </c>
      <c r="HI157" s="1328" cm="1">
        <f t="array" ref="HI157">IF(AND(HG157=0,GL157=0),0,IF(HG157=0,1,IF(OR(GL157*1000/HG157/HH157&gt;INDEX(Pflanzen!$W$117:$W$154,CZ157)/INDEX(Pflanzen!$I$117:$I$154,CZ157)*$HI$1,GL157*1000/HG157/HH157&lt;INDEX(Pflanzen!$W$117:$W$154,CZ157)/INDEX(Pflanzen!$I$117:$I$154,CZ157)/$HI$1),1,0)))</f>
        <v>0</v>
      </c>
      <c r="HJ157" s="1330" cm="1">
        <f t="array" ref="HJ157">IF(AND(GM157=0,HG157=0),0,IF(HG157=0,1,IF(OR(GM157*1000/HG157/HH157&gt;INDEX(Pflanzen!$X$117:$X$154,CZ157)/INDEX(Pflanzen!$I$117:$I$154,CZ157)*$HI$2,GM157*1000/HG157/HH157&lt;INDEX(Pflanzen!$X$117:$X$154,CZ157)/INDEX(Pflanzen!$I$117:$I$154,CZ157)/$HI$2),1,0)))</f>
        <v>0</v>
      </c>
      <c r="HK157" s="1184">
        <f t="shared" si="435"/>
        <v>3</v>
      </c>
      <c r="HL157" s="1184"/>
      <c r="HN157" s="1184"/>
      <c r="HO157" s="1184"/>
      <c r="HP157" s="1184"/>
      <c r="HQ157" s="1184"/>
      <c r="HR157" s="1184"/>
      <c r="HS157" s="1184"/>
      <c r="HT157" s="1184"/>
      <c r="HU157" s="1184"/>
      <c r="HV157" s="1184"/>
      <c r="HW157" s="1184"/>
      <c r="HX157" s="1184"/>
      <c r="HY157" s="1184"/>
      <c r="HZ157" s="1184"/>
      <c r="IA157" s="1184"/>
      <c r="IB157" s="1184"/>
      <c r="IC157" s="1184"/>
      <c r="ID157" s="1184"/>
      <c r="IE157" s="1184"/>
      <c r="IF157" s="1184"/>
      <c r="IG157" s="1184"/>
      <c r="IH157" s="1184"/>
      <c r="II157" s="1184"/>
      <c r="IJ157" s="1184"/>
      <c r="IK157" s="1184"/>
      <c r="IL157" s="1184"/>
    </row>
    <row r="158" spans="25:246" ht="15.75" customHeight="1" x14ac:dyDescent="0.2">
      <c r="Y158" s="1555"/>
      <c r="Z158" s="1555"/>
      <c r="AA158" s="1555"/>
      <c r="AB158" s="1555"/>
      <c r="AC158" s="242"/>
      <c r="AD158" s="242"/>
      <c r="AE158" s="242"/>
      <c r="AF158" s="242"/>
      <c r="AG158" s="242"/>
      <c r="AH158" s="242"/>
      <c r="AI158" s="242"/>
      <c r="AJ158" s="242"/>
      <c r="AK158" s="242"/>
      <c r="AL158" s="242"/>
      <c r="AM158" s="242"/>
      <c r="AN158" s="242"/>
      <c r="AR158" s="242"/>
      <c r="AS158" s="242"/>
      <c r="AT158" s="242"/>
      <c r="AU158" s="242"/>
      <c r="AV158" s="242"/>
      <c r="AY158" s="1184"/>
      <c r="AZ158" s="1184"/>
      <c r="BA158" s="1184"/>
      <c r="BB158" s="1184"/>
      <c r="BC158" s="1184"/>
      <c r="BD158" s="1184"/>
      <c r="BQ158" s="1184"/>
      <c r="BR158" s="1184"/>
      <c r="BS158" s="1184"/>
      <c r="BT158" s="1184"/>
      <c r="BU158" s="1200"/>
      <c r="BV158" s="1326"/>
      <c r="BW158" s="1326"/>
      <c r="BX158" s="1326"/>
      <c r="BY158" s="1326"/>
      <c r="BZ158" s="1326"/>
      <c r="CA158" s="1326"/>
      <c r="CB158" s="1326"/>
      <c r="CC158" s="1326"/>
      <c r="CD158" s="1326"/>
      <c r="CE158" s="1326"/>
      <c r="CF158" s="1326"/>
      <c r="CG158" s="1326"/>
      <c r="CH158" s="1326"/>
      <c r="CI158" s="1326"/>
      <c r="CJ158" s="1326"/>
      <c r="CK158" s="1326"/>
      <c r="CL158" s="1184"/>
      <c r="CM158" s="1184"/>
      <c r="CN158" s="1184"/>
      <c r="CO158" s="1184"/>
      <c r="CP158" s="1184"/>
      <c r="CQ158" s="1184"/>
      <c r="CR158" s="1184"/>
      <c r="CS158" s="1184"/>
      <c r="CT158" s="1184"/>
      <c r="CU158" s="1184"/>
      <c r="CV158" s="1184"/>
      <c r="CW158" s="1184"/>
      <c r="CX158" s="1184"/>
      <c r="CY158" s="1208">
        <f t="shared" si="356"/>
        <v>0</v>
      </c>
      <c r="CZ158" s="1184"/>
      <c r="DA158" s="1184">
        <v>2</v>
      </c>
      <c r="DB158" s="1184">
        <f t="shared" ref="DB158:DM158" si="440">IF(AND($BX84&lt;=DB$2,$BY84&gt;=DB$2),$CQ84,0)</f>
        <v>0</v>
      </c>
      <c r="DC158" s="1184">
        <f t="shared" si="440"/>
        <v>0</v>
      </c>
      <c r="DD158" s="1184">
        <f t="shared" si="440"/>
        <v>0</v>
      </c>
      <c r="DE158" s="1184">
        <f t="shared" si="440"/>
        <v>0</v>
      </c>
      <c r="DF158" s="1184">
        <f t="shared" si="440"/>
        <v>0</v>
      </c>
      <c r="DG158" s="1184">
        <f t="shared" si="440"/>
        <v>0</v>
      </c>
      <c r="DH158" s="1184">
        <f t="shared" si="440"/>
        <v>0</v>
      </c>
      <c r="DI158" s="1184">
        <f t="shared" si="440"/>
        <v>0</v>
      </c>
      <c r="DJ158" s="1184">
        <f t="shared" si="440"/>
        <v>0</v>
      </c>
      <c r="DK158" s="1184">
        <f t="shared" si="440"/>
        <v>0</v>
      </c>
      <c r="DL158" s="1184">
        <f t="shared" si="440"/>
        <v>0</v>
      </c>
      <c r="DM158" s="1184">
        <f t="shared" si="440"/>
        <v>0</v>
      </c>
      <c r="DN158" s="1184"/>
      <c r="DO158" s="1184">
        <f t="shared" ref="DO158:DZ158" si="441">IF(AND($BX84&lt;=DO$2,$BY84&gt;=DO$2),$CS84,0)</f>
        <v>0</v>
      </c>
      <c r="DP158" s="1184">
        <f t="shared" si="441"/>
        <v>0</v>
      </c>
      <c r="DQ158" s="1184">
        <f t="shared" si="441"/>
        <v>0</v>
      </c>
      <c r="DR158" s="1184">
        <f t="shared" si="441"/>
        <v>0</v>
      </c>
      <c r="DS158" s="1184">
        <f t="shared" si="441"/>
        <v>0</v>
      </c>
      <c r="DT158" s="1184">
        <f t="shared" si="441"/>
        <v>0</v>
      </c>
      <c r="DU158" s="1184">
        <f t="shared" si="441"/>
        <v>0</v>
      </c>
      <c r="DV158" s="1184">
        <f t="shared" si="441"/>
        <v>0</v>
      </c>
      <c r="DW158" s="1184">
        <f t="shared" si="441"/>
        <v>0</v>
      </c>
      <c r="DX158" s="1184">
        <f t="shared" si="441"/>
        <v>0</v>
      </c>
      <c r="DY158" s="1184">
        <f t="shared" si="441"/>
        <v>0</v>
      </c>
      <c r="DZ158" s="1184">
        <f t="shared" si="441"/>
        <v>0</v>
      </c>
      <c r="EA158" s="1184"/>
      <c r="EB158" s="1184"/>
      <c r="EC158" s="1184"/>
      <c r="ED158" s="1184"/>
      <c r="EE158" s="1184"/>
      <c r="EF158" s="1184"/>
      <c r="EG158" s="1184"/>
      <c r="EH158" s="1184"/>
      <c r="EI158" s="1184"/>
      <c r="EJ158" s="1184"/>
      <c r="EK158" s="1184"/>
      <c r="EL158" s="1184"/>
      <c r="EM158" s="1184"/>
      <c r="EN158" s="1184"/>
      <c r="EO158" s="1184"/>
      <c r="EP158" s="1184"/>
      <c r="EQ158" s="1184"/>
      <c r="ER158" s="1184"/>
      <c r="ES158" s="1184"/>
      <c r="ET158" s="1184"/>
      <c r="EU158" s="1184"/>
      <c r="EV158" s="1184"/>
      <c r="EW158" s="1184"/>
      <c r="EX158" s="1184"/>
      <c r="EY158" s="1184"/>
      <c r="EZ158" s="1184"/>
      <c r="FA158" s="1184"/>
      <c r="FB158" s="1210">
        <f t="shared" si="359"/>
        <v>0</v>
      </c>
      <c r="FC158" s="1297">
        <f t="shared" si="394"/>
        <v>0</v>
      </c>
      <c r="FD158" s="1297">
        <f t="shared" si="395"/>
        <v>0</v>
      </c>
      <c r="FE158" s="1297">
        <f t="shared" si="396"/>
        <v>0</v>
      </c>
      <c r="FF158" s="1297">
        <f t="shared" si="397"/>
        <v>0</v>
      </c>
      <c r="FG158" s="1297">
        <f t="shared" si="398"/>
        <v>0</v>
      </c>
      <c r="FH158" s="1297">
        <f t="shared" si="399"/>
        <v>0</v>
      </c>
      <c r="FI158" s="1297">
        <f t="shared" si="400"/>
        <v>0</v>
      </c>
      <c r="FJ158" s="1297">
        <f t="shared" si="401"/>
        <v>0</v>
      </c>
      <c r="FK158" s="1297">
        <f t="shared" si="402"/>
        <v>0</v>
      </c>
      <c r="FL158" s="1297">
        <f t="shared" si="403"/>
        <v>0</v>
      </c>
      <c r="FM158" s="1297">
        <f t="shared" si="404"/>
        <v>0</v>
      </c>
      <c r="FN158" s="1297">
        <f t="shared" si="405"/>
        <v>0</v>
      </c>
      <c r="FO158" s="1184"/>
      <c r="FP158" s="1210">
        <f t="shared" si="371"/>
        <v>0</v>
      </c>
      <c r="FQ158" s="1297">
        <f t="shared" si="406"/>
        <v>0</v>
      </c>
      <c r="FR158" s="1297">
        <f t="shared" si="407"/>
        <v>0</v>
      </c>
      <c r="FS158" s="1297">
        <f t="shared" si="408"/>
        <v>0</v>
      </c>
      <c r="FT158" s="1297">
        <f t="shared" si="409"/>
        <v>0</v>
      </c>
      <c r="FU158" s="1297">
        <f t="shared" si="410"/>
        <v>0</v>
      </c>
      <c r="FV158" s="1297">
        <f t="shared" si="411"/>
        <v>0</v>
      </c>
      <c r="FW158" s="1297">
        <f t="shared" si="412"/>
        <v>0</v>
      </c>
      <c r="FX158" s="1297">
        <f t="shared" si="413"/>
        <v>0</v>
      </c>
      <c r="FY158" s="1297">
        <f t="shared" si="414"/>
        <v>0</v>
      </c>
      <c r="FZ158" s="1297">
        <f t="shared" si="415"/>
        <v>0</v>
      </c>
      <c r="GA158" s="1297">
        <f t="shared" si="416"/>
        <v>0</v>
      </c>
      <c r="GB158" s="1297">
        <f t="shared" si="417"/>
        <v>0</v>
      </c>
      <c r="GC158" s="1184"/>
      <c r="GD158" s="1184">
        <f t="shared" si="372"/>
        <v>0</v>
      </c>
      <c r="GE158" s="1184">
        <f t="shared" si="373"/>
        <v>0</v>
      </c>
      <c r="GF158" s="1184"/>
      <c r="GG158" s="1184"/>
      <c r="GH158" s="1184"/>
      <c r="GI158" s="1184"/>
      <c r="GJ158" s="1184">
        <f t="shared" si="418"/>
        <v>0</v>
      </c>
      <c r="GK158" s="1184">
        <f t="shared" si="419"/>
        <v>0</v>
      </c>
      <c r="GL158" s="1184">
        <f t="shared" si="420"/>
        <v>0</v>
      </c>
      <c r="GM158" s="1184">
        <f t="shared" si="421"/>
        <v>0</v>
      </c>
      <c r="GN158" s="1184">
        <f t="shared" si="378"/>
        <v>0</v>
      </c>
      <c r="GO158" s="1184">
        <f t="shared" si="379"/>
        <v>0</v>
      </c>
      <c r="GP158" s="1184">
        <f t="shared" si="422"/>
        <v>0</v>
      </c>
      <c r="GQ158" s="1184"/>
      <c r="GR158" s="1184"/>
      <c r="GS158" s="1184">
        <f t="shared" si="423"/>
        <v>0</v>
      </c>
      <c r="GT158" s="1184">
        <f t="shared" si="424"/>
        <v>0</v>
      </c>
      <c r="GU158" s="1184">
        <f t="shared" si="425"/>
        <v>0</v>
      </c>
      <c r="GV158" s="1184">
        <f t="shared" si="426"/>
        <v>0</v>
      </c>
      <c r="GW158" s="1186" t="str">
        <f t="shared" si="292"/>
        <v xml:space="preserve"> </v>
      </c>
      <c r="GX158" s="1184"/>
      <c r="GY158" s="1195">
        <f t="shared" si="427"/>
        <v>0</v>
      </c>
      <c r="GZ158" s="1184">
        <f t="shared" si="428"/>
        <v>0</v>
      </c>
      <c r="HA158" s="1184" t="str">
        <f t="shared" si="353"/>
        <v>a</v>
      </c>
      <c r="HB158" s="1196">
        <f t="shared" si="429"/>
        <v>0</v>
      </c>
      <c r="HC158" s="1196">
        <f t="shared" si="430"/>
        <v>0</v>
      </c>
      <c r="HD158" s="1196"/>
      <c r="HE158" s="1187">
        <f t="shared" si="431"/>
        <v>0</v>
      </c>
      <c r="HF158" s="1196">
        <f t="shared" si="432"/>
        <v>0</v>
      </c>
      <c r="HG158" s="1196">
        <f t="shared" si="433"/>
        <v>0</v>
      </c>
      <c r="HH158" s="1196">
        <f t="shared" si="434"/>
        <v>0</v>
      </c>
      <c r="HI158" s="1328" cm="1">
        <f t="array" ref="HI158">IF(AND(HG158=0,GL158=0),0,IF(HG158=0,1,IF(OR(GL158*1000/HG158/HH158&gt;INDEX(Pflanzen!$W$117:$W$154,CZ158)/INDEX(Pflanzen!$I$117:$I$154,CZ158)*$HI$1,GL158*1000/HG158/HH158&lt;INDEX(Pflanzen!$W$117:$W$154,CZ158)/INDEX(Pflanzen!$I$117:$I$154,CZ158)/$HI$1),1,0)))</f>
        <v>0</v>
      </c>
      <c r="HJ158" s="1330" cm="1">
        <f t="array" ref="HJ158">IF(AND(GM158=0,HG158=0),0,IF(HG158=0,1,IF(OR(GM158*1000/HG158/HH158&gt;INDEX(Pflanzen!$X$117:$X$154,CZ158)/INDEX(Pflanzen!$I$117:$I$154,CZ158)*$HI$2,GM158*1000/HG158/HH158&lt;INDEX(Pflanzen!$X$117:$X$154,CZ158)/INDEX(Pflanzen!$I$117:$I$154,CZ158)/$HI$2),1,0)))</f>
        <v>0</v>
      </c>
      <c r="HK158" s="1184">
        <f t="shared" si="435"/>
        <v>3</v>
      </c>
      <c r="HL158" s="1184"/>
      <c r="HN158" s="1184"/>
      <c r="HO158" s="1184"/>
      <c r="HP158" s="1184"/>
      <c r="HQ158" s="1184"/>
      <c r="HR158" s="1184"/>
      <c r="HS158" s="1184"/>
      <c r="HT158" s="1184"/>
      <c r="HU158" s="1184"/>
      <c r="HV158" s="1184"/>
      <c r="HW158" s="1184"/>
      <c r="HX158" s="1184"/>
      <c r="HY158" s="1184"/>
      <c r="HZ158" s="1184"/>
      <c r="IA158" s="1184"/>
      <c r="IB158" s="1184"/>
      <c r="IC158" s="1184"/>
      <c r="ID158" s="1184"/>
      <c r="IE158" s="1184"/>
      <c r="IF158" s="1184"/>
      <c r="IG158" s="1184"/>
      <c r="IH158" s="1184"/>
      <c r="II158" s="1184"/>
      <c r="IJ158" s="1184"/>
      <c r="IK158" s="1184"/>
      <c r="IL158" s="1184"/>
    </row>
    <row r="159" spans="25:246" ht="15.75" customHeight="1" x14ac:dyDescent="0.2">
      <c r="Y159" s="1555"/>
      <c r="Z159" s="1555"/>
      <c r="AA159" s="1555"/>
      <c r="AB159" s="1555"/>
      <c r="AC159" s="242"/>
      <c r="AD159" s="242"/>
      <c r="AE159" s="242"/>
      <c r="AF159" s="242"/>
      <c r="AG159" s="242"/>
      <c r="AH159" s="242"/>
      <c r="AI159" s="242"/>
      <c r="AJ159" s="242"/>
      <c r="AK159" s="242"/>
      <c r="AL159" s="242"/>
      <c r="AM159" s="242"/>
      <c r="AN159" s="242"/>
      <c r="AR159" s="242"/>
      <c r="AS159" s="242"/>
      <c r="AT159" s="242"/>
      <c r="AU159" s="242"/>
      <c r="AV159" s="242"/>
      <c r="AY159" s="1184"/>
      <c r="AZ159" s="1184"/>
      <c r="BA159" s="1184"/>
      <c r="BB159" s="1184"/>
      <c r="BC159" s="1184"/>
      <c r="BD159" s="1184"/>
      <c r="BQ159" s="1184"/>
      <c r="BR159" s="1184"/>
      <c r="BS159" s="1184"/>
      <c r="BT159" s="1184"/>
      <c r="BU159" s="1200"/>
      <c r="BV159" s="1326"/>
      <c r="BW159" s="1326"/>
      <c r="BX159" s="1326"/>
      <c r="BY159" s="1326"/>
      <c r="BZ159" s="1326"/>
      <c r="CA159" s="1326"/>
      <c r="CB159" s="1326"/>
      <c r="CC159" s="1326"/>
      <c r="CD159" s="1326"/>
      <c r="CE159" s="1326"/>
      <c r="CF159" s="1326"/>
      <c r="CG159" s="1326"/>
      <c r="CH159" s="1326"/>
      <c r="CI159" s="1326"/>
      <c r="CJ159" s="1326"/>
      <c r="CK159" s="1326"/>
      <c r="CL159" s="1184"/>
      <c r="CM159" s="1184"/>
      <c r="CN159" s="1184"/>
      <c r="CO159" s="1184"/>
      <c r="CP159" s="1184"/>
      <c r="CQ159" s="1184"/>
      <c r="CR159" s="1184"/>
      <c r="CS159" s="1184"/>
      <c r="CT159" s="1184"/>
      <c r="CU159" s="1184"/>
      <c r="CV159" s="1184"/>
      <c r="CW159" s="1184"/>
      <c r="CX159" s="1184"/>
      <c r="CY159" s="1208">
        <f t="shared" si="356"/>
        <v>0</v>
      </c>
      <c r="CZ159" s="1184"/>
      <c r="DA159" s="1184">
        <v>2</v>
      </c>
      <c r="DB159" s="1184">
        <f t="shared" ref="DB159:DM159" si="442">IF(AND($BX85&lt;=DB$2,$BY85&gt;=DB$2),$CQ85,0)</f>
        <v>0</v>
      </c>
      <c r="DC159" s="1184">
        <f t="shared" si="442"/>
        <v>0</v>
      </c>
      <c r="DD159" s="1184">
        <f t="shared" si="442"/>
        <v>0</v>
      </c>
      <c r="DE159" s="1184">
        <f t="shared" si="442"/>
        <v>0</v>
      </c>
      <c r="DF159" s="1184">
        <f t="shared" si="442"/>
        <v>0</v>
      </c>
      <c r="DG159" s="1184">
        <f t="shared" si="442"/>
        <v>0</v>
      </c>
      <c r="DH159" s="1184">
        <f t="shared" si="442"/>
        <v>0</v>
      </c>
      <c r="DI159" s="1184">
        <f t="shared" si="442"/>
        <v>0</v>
      </c>
      <c r="DJ159" s="1184">
        <f t="shared" si="442"/>
        <v>0</v>
      </c>
      <c r="DK159" s="1184">
        <f t="shared" si="442"/>
        <v>0</v>
      </c>
      <c r="DL159" s="1184">
        <f t="shared" si="442"/>
        <v>0</v>
      </c>
      <c r="DM159" s="1184">
        <f t="shared" si="442"/>
        <v>0</v>
      </c>
      <c r="DN159" s="1184"/>
      <c r="DO159" s="1184">
        <f t="shared" ref="DO159:DZ159" si="443">IF(AND($BX85&lt;=DO$2,$BY85&gt;=DO$2),$CS85,0)</f>
        <v>0</v>
      </c>
      <c r="DP159" s="1184">
        <f t="shared" si="443"/>
        <v>0</v>
      </c>
      <c r="DQ159" s="1184">
        <f t="shared" si="443"/>
        <v>0</v>
      </c>
      <c r="DR159" s="1184">
        <f t="shared" si="443"/>
        <v>0</v>
      </c>
      <c r="DS159" s="1184">
        <f t="shared" si="443"/>
        <v>0</v>
      </c>
      <c r="DT159" s="1184">
        <f t="shared" si="443"/>
        <v>0</v>
      </c>
      <c r="DU159" s="1184">
        <f t="shared" si="443"/>
        <v>0</v>
      </c>
      <c r="DV159" s="1184">
        <f t="shared" si="443"/>
        <v>0</v>
      </c>
      <c r="DW159" s="1184">
        <f t="shared" si="443"/>
        <v>0</v>
      </c>
      <c r="DX159" s="1184">
        <f t="shared" si="443"/>
        <v>0</v>
      </c>
      <c r="DY159" s="1184">
        <f t="shared" si="443"/>
        <v>0</v>
      </c>
      <c r="DZ159" s="1184">
        <f t="shared" si="443"/>
        <v>0</v>
      </c>
      <c r="EA159" s="1184"/>
      <c r="EB159" s="1184"/>
      <c r="EC159" s="1184"/>
      <c r="ED159" s="1184"/>
      <c r="EE159" s="1184"/>
      <c r="EF159" s="1184"/>
      <c r="EG159" s="1184"/>
      <c r="EH159" s="1184"/>
      <c r="EI159" s="1184"/>
      <c r="EJ159" s="1184"/>
      <c r="EK159" s="1184"/>
      <c r="EL159" s="1184"/>
      <c r="EM159" s="1184"/>
      <c r="EN159" s="1184"/>
      <c r="EO159" s="1184"/>
      <c r="EP159" s="1184"/>
      <c r="EQ159" s="1184"/>
      <c r="ER159" s="1184"/>
      <c r="ES159" s="1184"/>
      <c r="ET159" s="1184"/>
      <c r="EU159" s="1184"/>
      <c r="EV159" s="1184"/>
      <c r="EW159" s="1184"/>
      <c r="EX159" s="1184"/>
      <c r="EY159" s="1184"/>
      <c r="EZ159" s="1184"/>
      <c r="FA159" s="1184"/>
      <c r="FB159" s="1210">
        <f t="shared" si="359"/>
        <v>0</v>
      </c>
      <c r="FC159" s="1297">
        <f t="shared" si="394"/>
        <v>0</v>
      </c>
      <c r="FD159" s="1297">
        <f t="shared" si="395"/>
        <v>0</v>
      </c>
      <c r="FE159" s="1297">
        <f t="shared" si="396"/>
        <v>0</v>
      </c>
      <c r="FF159" s="1297">
        <f t="shared" si="397"/>
        <v>0</v>
      </c>
      <c r="FG159" s="1297">
        <f t="shared" si="398"/>
        <v>0</v>
      </c>
      <c r="FH159" s="1297">
        <f t="shared" si="399"/>
        <v>0</v>
      </c>
      <c r="FI159" s="1297">
        <f t="shared" si="400"/>
        <v>0</v>
      </c>
      <c r="FJ159" s="1297">
        <f t="shared" si="401"/>
        <v>0</v>
      </c>
      <c r="FK159" s="1297">
        <f t="shared" si="402"/>
        <v>0</v>
      </c>
      <c r="FL159" s="1297">
        <f t="shared" si="403"/>
        <v>0</v>
      </c>
      <c r="FM159" s="1297">
        <f t="shared" si="404"/>
        <v>0</v>
      </c>
      <c r="FN159" s="1297">
        <f t="shared" si="405"/>
        <v>0</v>
      </c>
      <c r="FO159" s="1184"/>
      <c r="FP159" s="1210">
        <f t="shared" si="371"/>
        <v>0</v>
      </c>
      <c r="FQ159" s="1297">
        <f t="shared" si="406"/>
        <v>0</v>
      </c>
      <c r="FR159" s="1297">
        <f t="shared" si="407"/>
        <v>0</v>
      </c>
      <c r="FS159" s="1297">
        <f t="shared" si="408"/>
        <v>0</v>
      </c>
      <c r="FT159" s="1297">
        <f t="shared" si="409"/>
        <v>0</v>
      </c>
      <c r="FU159" s="1297">
        <f t="shared" si="410"/>
        <v>0</v>
      </c>
      <c r="FV159" s="1297">
        <f t="shared" si="411"/>
        <v>0</v>
      </c>
      <c r="FW159" s="1297">
        <f t="shared" si="412"/>
        <v>0</v>
      </c>
      <c r="FX159" s="1297">
        <f t="shared" si="413"/>
        <v>0</v>
      </c>
      <c r="FY159" s="1297">
        <f t="shared" si="414"/>
        <v>0</v>
      </c>
      <c r="FZ159" s="1297">
        <f t="shared" si="415"/>
        <v>0</v>
      </c>
      <c r="GA159" s="1297">
        <f t="shared" si="416"/>
        <v>0</v>
      </c>
      <c r="GB159" s="1297">
        <f t="shared" si="417"/>
        <v>0</v>
      </c>
      <c r="GC159" s="1184"/>
      <c r="GD159" s="1184">
        <f t="shared" si="372"/>
        <v>0</v>
      </c>
      <c r="GE159" s="1184">
        <f t="shared" si="373"/>
        <v>0</v>
      </c>
      <c r="GF159" s="1184"/>
      <c r="GG159" s="1184"/>
      <c r="GH159" s="1184"/>
      <c r="GI159" s="1184"/>
      <c r="GJ159" s="1184">
        <f t="shared" si="418"/>
        <v>0</v>
      </c>
      <c r="GK159" s="1184">
        <f t="shared" si="419"/>
        <v>0</v>
      </c>
      <c r="GL159" s="1184">
        <f t="shared" si="420"/>
        <v>0</v>
      </c>
      <c r="GM159" s="1184">
        <f t="shared" si="421"/>
        <v>0</v>
      </c>
      <c r="GN159" s="1184">
        <f t="shared" si="378"/>
        <v>0</v>
      </c>
      <c r="GO159" s="1184">
        <f t="shared" si="379"/>
        <v>0</v>
      </c>
      <c r="GP159" s="1184">
        <f t="shared" si="422"/>
        <v>0</v>
      </c>
      <c r="GQ159" s="1184"/>
      <c r="GR159" s="1184"/>
      <c r="GS159" s="1184">
        <f t="shared" si="423"/>
        <v>0</v>
      </c>
      <c r="GT159" s="1184">
        <f t="shared" si="424"/>
        <v>0</v>
      </c>
      <c r="GU159" s="1184">
        <f t="shared" si="425"/>
        <v>0</v>
      </c>
      <c r="GV159" s="1184">
        <f t="shared" si="426"/>
        <v>0</v>
      </c>
      <c r="GW159" s="1186" t="str">
        <f t="shared" si="292"/>
        <v xml:space="preserve"> </v>
      </c>
      <c r="GX159" s="1184"/>
      <c r="GY159" s="1195">
        <f t="shared" si="427"/>
        <v>0</v>
      </c>
      <c r="GZ159" s="1184">
        <f t="shared" si="428"/>
        <v>0</v>
      </c>
      <c r="HA159" s="1184" t="str">
        <f t="shared" si="353"/>
        <v>a</v>
      </c>
      <c r="HB159" s="1196">
        <f t="shared" si="429"/>
        <v>0</v>
      </c>
      <c r="HC159" s="1196">
        <f t="shared" si="430"/>
        <v>0</v>
      </c>
      <c r="HD159" s="1196"/>
      <c r="HE159" s="1187">
        <f t="shared" si="431"/>
        <v>0</v>
      </c>
      <c r="HF159" s="1196">
        <f t="shared" si="432"/>
        <v>0</v>
      </c>
      <c r="HG159" s="1196">
        <f t="shared" si="433"/>
        <v>0</v>
      </c>
      <c r="HH159" s="1196">
        <f t="shared" si="434"/>
        <v>0</v>
      </c>
      <c r="HI159" s="1328" cm="1">
        <f t="array" ref="HI159">IF(AND(HG159=0,GL159=0),0,IF(HG159=0,1,IF(OR(GL159*1000/HG159/HH159&gt;INDEX(Pflanzen!$W$117:$W$154,CZ159)/INDEX(Pflanzen!$I$117:$I$154,CZ159)*$HI$1,GL159*1000/HG159/HH159&lt;INDEX(Pflanzen!$W$117:$W$154,CZ159)/INDEX(Pflanzen!$I$117:$I$154,CZ159)/$HI$1),1,0)))</f>
        <v>0</v>
      </c>
      <c r="HJ159" s="1330" cm="1">
        <f t="array" ref="HJ159">IF(AND(GM159=0,HG159=0),0,IF(HG159=0,1,IF(OR(GM159*1000/HG159/HH159&gt;INDEX(Pflanzen!$X$117:$X$154,CZ159)/INDEX(Pflanzen!$I$117:$I$154,CZ159)*$HI$2,GM159*1000/HG159/HH159&lt;INDEX(Pflanzen!$X$117:$X$154,CZ159)/INDEX(Pflanzen!$I$117:$I$154,CZ159)/$HI$2),1,0)))</f>
        <v>0</v>
      </c>
      <c r="HK159" s="1184">
        <f t="shared" si="435"/>
        <v>3</v>
      </c>
      <c r="HL159" s="1184"/>
      <c r="HN159" s="1184"/>
      <c r="HO159" s="1184"/>
      <c r="HP159" s="1184"/>
      <c r="HQ159" s="1184"/>
      <c r="HR159" s="1184"/>
      <c r="HS159" s="1184"/>
      <c r="HT159" s="1184"/>
      <c r="HU159" s="1184"/>
      <c r="HV159" s="1184"/>
      <c r="HW159" s="1184"/>
      <c r="HX159" s="1184"/>
      <c r="HY159" s="1184"/>
      <c r="HZ159" s="1184"/>
      <c r="IA159" s="1184"/>
      <c r="IB159" s="1184"/>
      <c r="IC159" s="1184"/>
      <c r="ID159" s="1184"/>
      <c r="IE159" s="1184"/>
      <c r="IF159" s="1184"/>
      <c r="IG159" s="1184"/>
      <c r="IH159" s="1184"/>
      <c r="II159" s="1184"/>
      <c r="IJ159" s="1184"/>
      <c r="IK159" s="1184"/>
      <c r="IL159" s="1184"/>
    </row>
    <row r="160" spans="25:246" ht="15.75" customHeight="1" x14ac:dyDescent="0.2">
      <c r="Y160" s="1555"/>
      <c r="Z160" s="1555"/>
      <c r="AA160" s="1555"/>
      <c r="AB160" s="1555"/>
      <c r="AC160" s="242"/>
      <c r="AD160" s="242"/>
      <c r="AE160" s="242"/>
      <c r="AF160" s="242"/>
      <c r="AG160" s="242"/>
      <c r="AH160" s="242"/>
      <c r="AI160" s="242"/>
      <c r="AJ160" s="242"/>
      <c r="AK160" s="242"/>
      <c r="AL160" s="242"/>
      <c r="AM160" s="242"/>
      <c r="AN160" s="242"/>
      <c r="AR160" s="242"/>
      <c r="AS160" s="242"/>
      <c r="AT160" s="242"/>
      <c r="AU160" s="242"/>
      <c r="AV160" s="242"/>
      <c r="AY160" s="1184"/>
      <c r="AZ160" s="1184"/>
      <c r="BA160" s="1184"/>
      <c r="BB160" s="1184"/>
      <c r="BC160" s="1184"/>
      <c r="BD160" s="1184"/>
      <c r="BQ160" s="1184"/>
      <c r="BR160" s="1184"/>
      <c r="BS160" s="1184"/>
      <c r="BT160" s="1184"/>
      <c r="BU160" s="1200"/>
      <c r="BV160" s="1326"/>
      <c r="BW160" s="1326"/>
      <c r="BX160" s="1326"/>
      <c r="BY160" s="1326"/>
      <c r="BZ160" s="1326"/>
      <c r="CA160" s="1326"/>
      <c r="CB160" s="1326"/>
      <c r="CC160" s="1326"/>
      <c r="CD160" s="1326"/>
      <c r="CE160" s="1326"/>
      <c r="CF160" s="1326"/>
      <c r="CG160" s="1326"/>
      <c r="CH160" s="1326"/>
      <c r="CI160" s="1326"/>
      <c r="CJ160" s="1326"/>
      <c r="CK160" s="1326"/>
      <c r="CL160" s="1184"/>
      <c r="CM160" s="1184"/>
      <c r="CN160" s="1184"/>
      <c r="CO160" s="1184"/>
      <c r="CP160" s="1184"/>
      <c r="CQ160" s="1184"/>
      <c r="CR160" s="1184"/>
      <c r="CS160" s="1184"/>
      <c r="CT160" s="1184"/>
      <c r="CU160" s="1184"/>
      <c r="CV160" s="1184"/>
      <c r="CW160" s="1184"/>
      <c r="CX160" s="1184"/>
      <c r="CY160" s="1208">
        <f t="shared" si="356"/>
        <v>0</v>
      </c>
      <c r="CZ160" s="1184"/>
      <c r="DA160" s="1184">
        <v>2</v>
      </c>
      <c r="DB160" s="1184">
        <f t="shared" ref="DB160:DM160" si="444">IF(AND($BX86&lt;=DB$2,$BY86&gt;=DB$2),$CQ86,0)</f>
        <v>0</v>
      </c>
      <c r="DC160" s="1184">
        <f t="shared" si="444"/>
        <v>0</v>
      </c>
      <c r="DD160" s="1184">
        <f t="shared" si="444"/>
        <v>0</v>
      </c>
      <c r="DE160" s="1184">
        <f t="shared" si="444"/>
        <v>0</v>
      </c>
      <c r="DF160" s="1184">
        <f t="shared" si="444"/>
        <v>0</v>
      </c>
      <c r="DG160" s="1184">
        <f t="shared" si="444"/>
        <v>0</v>
      </c>
      <c r="DH160" s="1184">
        <f t="shared" si="444"/>
        <v>0</v>
      </c>
      <c r="DI160" s="1184">
        <f t="shared" si="444"/>
        <v>0</v>
      </c>
      <c r="DJ160" s="1184">
        <f t="shared" si="444"/>
        <v>0</v>
      </c>
      <c r="DK160" s="1184">
        <f t="shared" si="444"/>
        <v>0</v>
      </c>
      <c r="DL160" s="1184">
        <f t="shared" si="444"/>
        <v>0</v>
      </c>
      <c r="DM160" s="1184">
        <f t="shared" si="444"/>
        <v>0</v>
      </c>
      <c r="DN160" s="1184"/>
      <c r="DO160" s="1184">
        <f t="shared" ref="DO160:DZ160" si="445">IF(AND($BX86&lt;=DO$2,$BY86&gt;=DO$2),$CS86,0)</f>
        <v>0</v>
      </c>
      <c r="DP160" s="1184">
        <f t="shared" si="445"/>
        <v>0</v>
      </c>
      <c r="DQ160" s="1184">
        <f t="shared" si="445"/>
        <v>0</v>
      </c>
      <c r="DR160" s="1184">
        <f t="shared" si="445"/>
        <v>0</v>
      </c>
      <c r="DS160" s="1184">
        <f t="shared" si="445"/>
        <v>0</v>
      </c>
      <c r="DT160" s="1184">
        <f t="shared" si="445"/>
        <v>0</v>
      </c>
      <c r="DU160" s="1184">
        <f t="shared" si="445"/>
        <v>0</v>
      </c>
      <c r="DV160" s="1184">
        <f t="shared" si="445"/>
        <v>0</v>
      </c>
      <c r="DW160" s="1184">
        <f t="shared" si="445"/>
        <v>0</v>
      </c>
      <c r="DX160" s="1184">
        <f t="shared" si="445"/>
        <v>0</v>
      </c>
      <c r="DY160" s="1184">
        <f t="shared" si="445"/>
        <v>0</v>
      </c>
      <c r="DZ160" s="1184">
        <f t="shared" si="445"/>
        <v>0</v>
      </c>
      <c r="EA160" s="1184"/>
      <c r="EB160" s="1184"/>
      <c r="EC160" s="1184"/>
      <c r="ED160" s="1184"/>
      <c r="EE160" s="1184"/>
      <c r="EF160" s="1184"/>
      <c r="EG160" s="1184"/>
      <c r="EH160" s="1184"/>
      <c r="EI160" s="1184"/>
      <c r="EJ160" s="1184"/>
      <c r="EK160" s="1184"/>
      <c r="EL160" s="1184"/>
      <c r="EM160" s="1184"/>
      <c r="EN160" s="1184"/>
      <c r="EO160" s="1184"/>
      <c r="EP160" s="1184"/>
      <c r="EQ160" s="1184"/>
      <c r="ER160" s="1184"/>
      <c r="ES160" s="1184"/>
      <c r="ET160" s="1184"/>
      <c r="EU160" s="1184"/>
      <c r="EV160" s="1184"/>
      <c r="EW160" s="1184"/>
      <c r="EX160" s="1184"/>
      <c r="EY160" s="1184"/>
      <c r="EZ160" s="1184"/>
      <c r="FA160" s="1184"/>
      <c r="FB160" s="1210">
        <f t="shared" si="359"/>
        <v>0</v>
      </c>
      <c r="FC160" s="1297">
        <f t="shared" si="394"/>
        <v>0</v>
      </c>
      <c r="FD160" s="1297">
        <f t="shared" si="395"/>
        <v>0</v>
      </c>
      <c r="FE160" s="1297">
        <f t="shared" si="396"/>
        <v>0</v>
      </c>
      <c r="FF160" s="1297">
        <f t="shared" si="397"/>
        <v>0</v>
      </c>
      <c r="FG160" s="1297">
        <f t="shared" si="398"/>
        <v>0</v>
      </c>
      <c r="FH160" s="1297">
        <f t="shared" si="399"/>
        <v>0</v>
      </c>
      <c r="FI160" s="1297">
        <f t="shared" si="400"/>
        <v>0</v>
      </c>
      <c r="FJ160" s="1297">
        <f t="shared" si="401"/>
        <v>0</v>
      </c>
      <c r="FK160" s="1297">
        <f t="shared" si="402"/>
        <v>0</v>
      </c>
      <c r="FL160" s="1297">
        <f t="shared" si="403"/>
        <v>0</v>
      </c>
      <c r="FM160" s="1297">
        <f t="shared" si="404"/>
        <v>0</v>
      </c>
      <c r="FN160" s="1297">
        <f t="shared" si="405"/>
        <v>0</v>
      </c>
      <c r="FO160" s="1184"/>
      <c r="FP160" s="1210">
        <f t="shared" si="371"/>
        <v>0</v>
      </c>
      <c r="FQ160" s="1297">
        <f t="shared" si="406"/>
        <v>0</v>
      </c>
      <c r="FR160" s="1297">
        <f t="shared" si="407"/>
        <v>0</v>
      </c>
      <c r="FS160" s="1297">
        <f t="shared" si="408"/>
        <v>0</v>
      </c>
      <c r="FT160" s="1297">
        <f t="shared" si="409"/>
        <v>0</v>
      </c>
      <c r="FU160" s="1297">
        <f t="shared" si="410"/>
        <v>0</v>
      </c>
      <c r="FV160" s="1297">
        <f t="shared" si="411"/>
        <v>0</v>
      </c>
      <c r="FW160" s="1297">
        <f t="shared" si="412"/>
        <v>0</v>
      </c>
      <c r="FX160" s="1297">
        <f t="shared" si="413"/>
        <v>0</v>
      </c>
      <c r="FY160" s="1297">
        <f t="shared" si="414"/>
        <v>0</v>
      </c>
      <c r="FZ160" s="1297">
        <f t="shared" si="415"/>
        <v>0</v>
      </c>
      <c r="GA160" s="1297">
        <f t="shared" si="416"/>
        <v>0</v>
      </c>
      <c r="GB160" s="1297">
        <f t="shared" si="417"/>
        <v>0</v>
      </c>
      <c r="GC160" s="1184"/>
      <c r="GD160" s="1184">
        <f t="shared" si="372"/>
        <v>0</v>
      </c>
      <c r="GE160" s="1184">
        <f t="shared" si="373"/>
        <v>0</v>
      </c>
      <c r="GF160" s="1184"/>
      <c r="GG160" s="1184"/>
      <c r="GH160" s="1184"/>
      <c r="GI160" s="1184"/>
      <c r="GJ160" s="1184">
        <f t="shared" si="418"/>
        <v>0</v>
      </c>
      <c r="GK160" s="1184">
        <f t="shared" si="419"/>
        <v>0</v>
      </c>
      <c r="GL160" s="1184">
        <f t="shared" si="420"/>
        <v>0</v>
      </c>
      <c r="GM160" s="1184">
        <f t="shared" si="421"/>
        <v>0</v>
      </c>
      <c r="GN160" s="1184">
        <f t="shared" si="378"/>
        <v>0</v>
      </c>
      <c r="GO160" s="1184">
        <f t="shared" si="379"/>
        <v>0</v>
      </c>
      <c r="GP160" s="1184">
        <f t="shared" si="422"/>
        <v>0</v>
      </c>
      <c r="GQ160" s="1184"/>
      <c r="GR160" s="1184"/>
      <c r="GS160" s="1184">
        <f t="shared" si="423"/>
        <v>0</v>
      </c>
      <c r="GT160" s="1184">
        <f t="shared" si="424"/>
        <v>0</v>
      </c>
      <c r="GU160" s="1184">
        <f t="shared" si="425"/>
        <v>0</v>
      </c>
      <c r="GV160" s="1184">
        <f t="shared" si="426"/>
        <v>0</v>
      </c>
      <c r="GW160" s="1186" t="str">
        <f t="shared" si="292"/>
        <v xml:space="preserve"> </v>
      </c>
      <c r="GX160" s="1184"/>
      <c r="GY160" s="1195">
        <f t="shared" si="427"/>
        <v>0</v>
      </c>
      <c r="GZ160" s="1184">
        <f t="shared" si="428"/>
        <v>0</v>
      </c>
      <c r="HA160" s="1184" t="str">
        <f t="shared" si="353"/>
        <v>a</v>
      </c>
      <c r="HB160" s="1196">
        <f t="shared" si="429"/>
        <v>0</v>
      </c>
      <c r="HC160" s="1196">
        <f t="shared" si="430"/>
        <v>0</v>
      </c>
      <c r="HD160" s="1196"/>
      <c r="HE160" s="1187">
        <f t="shared" si="431"/>
        <v>0</v>
      </c>
      <c r="HF160" s="1196">
        <f t="shared" si="432"/>
        <v>0</v>
      </c>
      <c r="HG160" s="1196">
        <f t="shared" si="433"/>
        <v>0</v>
      </c>
      <c r="HH160" s="1196">
        <f t="shared" si="434"/>
        <v>0</v>
      </c>
      <c r="HI160" s="1328" cm="1">
        <f t="array" ref="HI160">IF(AND(HG160=0,GL160=0),0,IF(HG160=0,1,IF(OR(GL160*1000/HG160/HH160&gt;INDEX(Pflanzen!$W$117:$W$154,CZ160)/INDEX(Pflanzen!$I$117:$I$154,CZ160)*$HI$1,GL160*1000/HG160/HH160&lt;INDEX(Pflanzen!$W$117:$W$154,CZ160)/INDEX(Pflanzen!$I$117:$I$154,CZ160)/$HI$1),1,0)))</f>
        <v>0</v>
      </c>
      <c r="HJ160" s="1330" cm="1">
        <f t="array" ref="HJ160">IF(AND(GM160=0,HG160=0),0,IF(HG160=0,1,IF(OR(GM160*1000/HG160/HH160&gt;INDEX(Pflanzen!$X$117:$X$154,CZ160)/INDEX(Pflanzen!$I$117:$I$154,CZ160)*$HI$2,GM160*1000/HG160/HH160&lt;INDEX(Pflanzen!$X$117:$X$154,CZ160)/INDEX(Pflanzen!$I$117:$I$154,CZ160)/$HI$2),1,0)))</f>
        <v>0</v>
      </c>
      <c r="HK160" s="1184">
        <f t="shared" si="435"/>
        <v>3</v>
      </c>
      <c r="HL160" s="1184"/>
      <c r="HN160" s="1184"/>
      <c r="HO160" s="1184"/>
      <c r="HP160" s="1184"/>
      <c r="HQ160" s="1184"/>
      <c r="HR160" s="1184"/>
      <c r="HS160" s="1184"/>
      <c r="HT160" s="1184"/>
      <c r="HU160" s="1184"/>
      <c r="HV160" s="1184"/>
      <c r="HW160" s="1184"/>
      <c r="HX160" s="1184"/>
      <c r="HY160" s="1184"/>
      <c r="HZ160" s="1184"/>
      <c r="IA160" s="1184"/>
      <c r="IB160" s="1184"/>
      <c r="IC160" s="1184"/>
      <c r="ID160" s="1184"/>
      <c r="IE160" s="1184"/>
      <c r="IF160" s="1184"/>
      <c r="IG160" s="1184"/>
      <c r="IH160" s="1184"/>
      <c r="II160" s="1184"/>
      <c r="IJ160" s="1184"/>
      <c r="IK160" s="1184"/>
      <c r="IL160" s="1184"/>
    </row>
    <row r="161" spans="25:246" ht="15.75" customHeight="1" x14ac:dyDescent="0.2">
      <c r="Y161" s="1555"/>
      <c r="Z161" s="1555"/>
      <c r="AA161" s="1555"/>
      <c r="AB161" s="1555"/>
      <c r="AC161" s="242"/>
      <c r="AD161" s="242"/>
      <c r="AE161" s="242"/>
      <c r="AF161" s="242"/>
      <c r="AG161" s="242"/>
      <c r="AH161" s="242"/>
      <c r="AI161" s="242"/>
      <c r="AJ161" s="242"/>
      <c r="AK161" s="242"/>
      <c r="AL161" s="242"/>
      <c r="AM161" s="242"/>
      <c r="AN161" s="242"/>
      <c r="AR161" s="242"/>
      <c r="AS161" s="242"/>
      <c r="AT161" s="242"/>
      <c r="AU161" s="242"/>
      <c r="AV161" s="242"/>
      <c r="AY161" s="1184"/>
      <c r="AZ161" s="1184"/>
      <c r="BA161" s="1184"/>
      <c r="BB161" s="1184"/>
      <c r="BC161" s="1184"/>
      <c r="BD161" s="1184"/>
      <c r="BQ161" s="1184"/>
      <c r="BR161" s="1184"/>
      <c r="BS161" s="1184"/>
      <c r="BT161" s="1184"/>
      <c r="BU161" s="1200"/>
      <c r="BV161" s="1326"/>
      <c r="BW161" s="1326"/>
      <c r="BX161" s="1326"/>
      <c r="BY161" s="1326"/>
      <c r="BZ161" s="1326"/>
      <c r="CA161" s="1326"/>
      <c r="CB161" s="1326"/>
      <c r="CC161" s="1326"/>
      <c r="CD161" s="1326"/>
      <c r="CE161" s="1326"/>
      <c r="CF161" s="1326"/>
      <c r="CG161" s="1326"/>
      <c r="CH161" s="1326"/>
      <c r="CI161" s="1326"/>
      <c r="CJ161" s="1326"/>
      <c r="CK161" s="1326"/>
      <c r="CL161" s="1184"/>
      <c r="CM161" s="1184"/>
      <c r="CN161" s="1184"/>
      <c r="CO161" s="1184"/>
      <c r="CP161" s="1184"/>
      <c r="CQ161" s="1184"/>
      <c r="CR161" s="1184"/>
      <c r="CS161" s="1184"/>
      <c r="CT161" s="1184"/>
      <c r="CU161" s="1184"/>
      <c r="CV161" s="1184"/>
      <c r="CW161" s="1184"/>
      <c r="CX161" s="1184"/>
      <c r="CY161" s="1208">
        <f t="shared" si="356"/>
        <v>0</v>
      </c>
      <c r="CZ161" s="1184"/>
      <c r="DA161" s="1184">
        <v>2</v>
      </c>
      <c r="DB161" s="1184">
        <f t="shared" ref="DB161:DM161" si="446">IF(AND($BX87&lt;=DB$2,$BY87&gt;=DB$2),$CQ87,0)</f>
        <v>0</v>
      </c>
      <c r="DC161" s="1184">
        <f t="shared" si="446"/>
        <v>0</v>
      </c>
      <c r="DD161" s="1184">
        <f t="shared" si="446"/>
        <v>0</v>
      </c>
      <c r="DE161" s="1184">
        <f t="shared" si="446"/>
        <v>0</v>
      </c>
      <c r="DF161" s="1184">
        <f t="shared" si="446"/>
        <v>0</v>
      </c>
      <c r="DG161" s="1184">
        <f t="shared" si="446"/>
        <v>0</v>
      </c>
      <c r="DH161" s="1184">
        <f t="shared" si="446"/>
        <v>0</v>
      </c>
      <c r="DI161" s="1184">
        <f t="shared" si="446"/>
        <v>0</v>
      </c>
      <c r="DJ161" s="1184">
        <f t="shared" si="446"/>
        <v>0</v>
      </c>
      <c r="DK161" s="1184">
        <f t="shared" si="446"/>
        <v>0</v>
      </c>
      <c r="DL161" s="1184">
        <f t="shared" si="446"/>
        <v>0</v>
      </c>
      <c r="DM161" s="1184">
        <f t="shared" si="446"/>
        <v>0</v>
      </c>
      <c r="DN161" s="1184"/>
      <c r="DO161" s="1184">
        <f t="shared" ref="DO161:DZ161" si="447">IF(AND($BX87&lt;=DO$2,$BY87&gt;=DO$2),$CS87,0)</f>
        <v>0</v>
      </c>
      <c r="DP161" s="1184">
        <f t="shared" si="447"/>
        <v>0</v>
      </c>
      <c r="DQ161" s="1184">
        <f t="shared" si="447"/>
        <v>0</v>
      </c>
      <c r="DR161" s="1184">
        <f t="shared" si="447"/>
        <v>0</v>
      </c>
      <c r="DS161" s="1184">
        <f t="shared" si="447"/>
        <v>0</v>
      </c>
      <c r="DT161" s="1184">
        <f t="shared" si="447"/>
        <v>0</v>
      </c>
      <c r="DU161" s="1184">
        <f t="shared" si="447"/>
        <v>0</v>
      </c>
      <c r="DV161" s="1184">
        <f t="shared" si="447"/>
        <v>0</v>
      </c>
      <c r="DW161" s="1184">
        <f t="shared" si="447"/>
        <v>0</v>
      </c>
      <c r="DX161" s="1184">
        <f t="shared" si="447"/>
        <v>0</v>
      </c>
      <c r="DY161" s="1184">
        <f t="shared" si="447"/>
        <v>0</v>
      </c>
      <c r="DZ161" s="1184">
        <f t="shared" si="447"/>
        <v>0</v>
      </c>
      <c r="EA161" s="1184"/>
      <c r="EB161" s="1184"/>
      <c r="EC161" s="1184"/>
      <c r="ED161" s="1184"/>
      <c r="EE161" s="1184"/>
      <c r="EF161" s="1184"/>
      <c r="EG161" s="1184"/>
      <c r="EH161" s="1184"/>
      <c r="EI161" s="1184"/>
      <c r="EJ161" s="1184"/>
      <c r="EK161" s="1184"/>
      <c r="EL161" s="1184"/>
      <c r="EM161" s="1184"/>
      <c r="EN161" s="1184"/>
      <c r="EO161" s="1184"/>
      <c r="EP161" s="1184"/>
      <c r="EQ161" s="1184"/>
      <c r="ER161" s="1184"/>
      <c r="ES161" s="1184"/>
      <c r="ET161" s="1184"/>
      <c r="EU161" s="1184"/>
      <c r="EV161" s="1184"/>
      <c r="EW161" s="1184"/>
      <c r="EX161" s="1184"/>
      <c r="EY161" s="1184"/>
      <c r="EZ161" s="1184"/>
      <c r="FA161" s="1184"/>
      <c r="FB161" s="1210">
        <f t="shared" si="359"/>
        <v>0</v>
      </c>
      <c r="FC161" s="1297">
        <f t="shared" si="394"/>
        <v>0</v>
      </c>
      <c r="FD161" s="1297">
        <f t="shared" si="395"/>
        <v>0</v>
      </c>
      <c r="FE161" s="1297">
        <f t="shared" si="396"/>
        <v>0</v>
      </c>
      <c r="FF161" s="1297">
        <f t="shared" si="397"/>
        <v>0</v>
      </c>
      <c r="FG161" s="1297">
        <f t="shared" si="398"/>
        <v>0</v>
      </c>
      <c r="FH161" s="1297">
        <f t="shared" si="399"/>
        <v>0</v>
      </c>
      <c r="FI161" s="1297">
        <f t="shared" si="400"/>
        <v>0</v>
      </c>
      <c r="FJ161" s="1297">
        <f t="shared" si="401"/>
        <v>0</v>
      </c>
      <c r="FK161" s="1297">
        <f t="shared" si="402"/>
        <v>0</v>
      </c>
      <c r="FL161" s="1297">
        <f t="shared" si="403"/>
        <v>0</v>
      </c>
      <c r="FM161" s="1297">
        <f t="shared" si="404"/>
        <v>0</v>
      </c>
      <c r="FN161" s="1297">
        <f t="shared" si="405"/>
        <v>0</v>
      </c>
      <c r="FO161" s="1184"/>
      <c r="FP161" s="1210">
        <f t="shared" si="371"/>
        <v>0</v>
      </c>
      <c r="FQ161" s="1297">
        <f t="shared" si="406"/>
        <v>0</v>
      </c>
      <c r="FR161" s="1297">
        <f t="shared" si="407"/>
        <v>0</v>
      </c>
      <c r="FS161" s="1297">
        <f t="shared" si="408"/>
        <v>0</v>
      </c>
      <c r="FT161" s="1297">
        <f t="shared" si="409"/>
        <v>0</v>
      </c>
      <c r="FU161" s="1297">
        <f t="shared" si="410"/>
        <v>0</v>
      </c>
      <c r="FV161" s="1297">
        <f t="shared" si="411"/>
        <v>0</v>
      </c>
      <c r="FW161" s="1297">
        <f t="shared" si="412"/>
        <v>0</v>
      </c>
      <c r="FX161" s="1297">
        <f t="shared" si="413"/>
        <v>0</v>
      </c>
      <c r="FY161" s="1297">
        <f t="shared" si="414"/>
        <v>0</v>
      </c>
      <c r="FZ161" s="1297">
        <f t="shared" si="415"/>
        <v>0</v>
      </c>
      <c r="GA161" s="1297">
        <f t="shared" si="416"/>
        <v>0</v>
      </c>
      <c r="GB161" s="1297">
        <f t="shared" si="417"/>
        <v>0</v>
      </c>
      <c r="GC161" s="1184"/>
      <c r="GD161" s="1184">
        <f t="shared" si="372"/>
        <v>0</v>
      </c>
      <c r="GE161" s="1184">
        <f t="shared" si="373"/>
        <v>0</v>
      </c>
      <c r="GF161" s="1184"/>
      <c r="GG161" s="1184"/>
      <c r="GH161" s="1184"/>
      <c r="GI161" s="1184"/>
      <c r="GJ161" s="1184">
        <f t="shared" si="418"/>
        <v>0</v>
      </c>
      <c r="GK161" s="1184">
        <f t="shared" si="419"/>
        <v>0</v>
      </c>
      <c r="GL161" s="1184">
        <f t="shared" si="420"/>
        <v>0</v>
      </c>
      <c r="GM161" s="1184">
        <f t="shared" si="421"/>
        <v>0</v>
      </c>
      <c r="GN161" s="1184">
        <f t="shared" si="378"/>
        <v>0</v>
      </c>
      <c r="GO161" s="1184">
        <f t="shared" si="379"/>
        <v>0</v>
      </c>
      <c r="GP161" s="1184">
        <f t="shared" si="422"/>
        <v>0</v>
      </c>
      <c r="GQ161" s="1184"/>
      <c r="GR161" s="1184"/>
      <c r="GS161" s="1184">
        <f t="shared" si="423"/>
        <v>0</v>
      </c>
      <c r="GT161" s="1184">
        <f t="shared" si="424"/>
        <v>0</v>
      </c>
      <c r="GU161" s="1184">
        <f t="shared" si="425"/>
        <v>0</v>
      </c>
      <c r="GV161" s="1184">
        <f t="shared" si="426"/>
        <v>0</v>
      </c>
      <c r="GW161" s="1186" t="str">
        <f t="shared" si="292"/>
        <v xml:space="preserve"> </v>
      </c>
      <c r="GX161" s="1184"/>
      <c r="GY161" s="1195">
        <f t="shared" si="427"/>
        <v>0</v>
      </c>
      <c r="GZ161" s="1184">
        <f t="shared" si="428"/>
        <v>0</v>
      </c>
      <c r="HA161" s="1184" t="str">
        <f t="shared" si="353"/>
        <v>a</v>
      </c>
      <c r="HB161" s="1196">
        <f t="shared" si="429"/>
        <v>0</v>
      </c>
      <c r="HC161" s="1196">
        <f t="shared" si="430"/>
        <v>0</v>
      </c>
      <c r="HD161" s="1196"/>
      <c r="HE161" s="1187">
        <f t="shared" si="431"/>
        <v>0</v>
      </c>
      <c r="HF161" s="1196">
        <f t="shared" si="432"/>
        <v>0</v>
      </c>
      <c r="HG161" s="1196">
        <f t="shared" si="433"/>
        <v>0</v>
      </c>
      <c r="HH161" s="1196">
        <f t="shared" si="434"/>
        <v>0</v>
      </c>
      <c r="HI161" s="1328" cm="1">
        <f t="array" ref="HI161">IF(AND(HG161=0,GL161=0),0,IF(HG161=0,1,IF(OR(GL161*1000/HG161/HH161&gt;INDEX(Pflanzen!$W$117:$W$154,CZ161)/INDEX(Pflanzen!$I$117:$I$154,CZ161)*$HI$1,GL161*1000/HG161/HH161&lt;INDEX(Pflanzen!$W$117:$W$154,CZ161)/INDEX(Pflanzen!$I$117:$I$154,CZ161)/$HI$1),1,0)))</f>
        <v>0</v>
      </c>
      <c r="HJ161" s="1330" cm="1">
        <f t="array" ref="HJ161">IF(AND(GM161=0,HG161=0),0,IF(HG161=0,1,IF(OR(GM161*1000/HG161/HH161&gt;INDEX(Pflanzen!$X$117:$X$154,CZ161)/INDEX(Pflanzen!$I$117:$I$154,CZ161)*$HI$2,GM161*1000/HG161/HH161&lt;INDEX(Pflanzen!$X$117:$X$154,CZ161)/INDEX(Pflanzen!$I$117:$I$154,CZ161)/$HI$2),1,0)))</f>
        <v>0</v>
      </c>
      <c r="HK161" s="1184">
        <f t="shared" si="435"/>
        <v>3</v>
      </c>
      <c r="HL161" s="1184"/>
      <c r="HN161" s="1184"/>
      <c r="HO161" s="1184"/>
      <c r="HP161" s="1184"/>
      <c r="HQ161" s="1184"/>
      <c r="HR161" s="1184"/>
      <c r="HS161" s="1184"/>
      <c r="HT161" s="1184"/>
      <c r="HU161" s="1184"/>
      <c r="HV161" s="1184"/>
      <c r="HW161" s="1184"/>
      <c r="HX161" s="1184"/>
      <c r="HY161" s="1184"/>
      <c r="HZ161" s="1184"/>
      <c r="IA161" s="1184"/>
      <c r="IB161" s="1184"/>
      <c r="IC161" s="1184"/>
      <c r="ID161" s="1184"/>
      <c r="IE161" s="1184"/>
      <c r="IF161" s="1184"/>
      <c r="IG161" s="1184"/>
      <c r="IH161" s="1184"/>
      <c r="II161" s="1184"/>
      <c r="IJ161" s="1184"/>
      <c r="IK161" s="1184"/>
      <c r="IL161" s="1184"/>
    </row>
    <row r="162" spans="25:246" ht="15.75" customHeight="1" x14ac:dyDescent="0.2">
      <c r="Y162" s="1555"/>
      <c r="Z162" s="1555"/>
      <c r="AA162" s="1555"/>
      <c r="AB162" s="1555"/>
      <c r="AC162" s="242"/>
      <c r="AD162" s="242"/>
      <c r="AE162" s="242"/>
      <c r="AF162" s="242"/>
      <c r="AG162" s="242"/>
      <c r="AH162" s="242"/>
      <c r="AI162" s="242"/>
      <c r="AJ162" s="242"/>
      <c r="AK162" s="242"/>
      <c r="AL162" s="242"/>
      <c r="AM162" s="242"/>
      <c r="AN162" s="242"/>
      <c r="AR162" s="242"/>
      <c r="AS162" s="242"/>
      <c r="AT162" s="242"/>
      <c r="AU162" s="242"/>
      <c r="AV162" s="242"/>
      <c r="AY162" s="1184"/>
      <c r="AZ162" s="1184"/>
      <c r="BA162" s="1184"/>
      <c r="BB162" s="1184"/>
      <c r="BC162" s="1184"/>
      <c r="BD162" s="1184"/>
      <c r="BQ162" s="1184"/>
      <c r="BR162" s="1184"/>
      <c r="BS162" s="1184"/>
      <c r="BT162" s="1184"/>
      <c r="BU162" s="1200"/>
      <c r="BV162" s="1326"/>
      <c r="BW162" s="1326"/>
      <c r="BX162" s="1326"/>
      <c r="BY162" s="1326"/>
      <c r="BZ162" s="1326"/>
      <c r="CA162" s="1326"/>
      <c r="CB162" s="1326"/>
      <c r="CC162" s="1326"/>
      <c r="CD162" s="1326"/>
      <c r="CE162" s="1326"/>
      <c r="CF162" s="1326"/>
      <c r="CG162" s="1326"/>
      <c r="CH162" s="1326"/>
      <c r="CI162" s="1326"/>
      <c r="CJ162" s="1326"/>
      <c r="CK162" s="1326"/>
      <c r="CL162" s="1184"/>
      <c r="CM162" s="1184"/>
      <c r="CN162" s="1184"/>
      <c r="CO162" s="1184"/>
      <c r="CP162" s="1184"/>
      <c r="CQ162" s="1184"/>
      <c r="CR162" s="1184"/>
      <c r="CS162" s="1184"/>
      <c r="CT162" s="1184"/>
      <c r="CU162" s="1184"/>
      <c r="CV162" s="1184"/>
      <c r="CW162" s="1184"/>
      <c r="CX162" s="1184"/>
      <c r="CY162" s="1208">
        <f t="shared" si="356"/>
        <v>0</v>
      </c>
      <c r="CZ162" s="1184"/>
      <c r="DA162" s="1184">
        <v>2</v>
      </c>
      <c r="DB162" s="1184">
        <f t="shared" ref="DB162:DM162" si="448">IF(AND($BX88&lt;=DB$2,$BY88&gt;=DB$2),$CQ88,0)</f>
        <v>0</v>
      </c>
      <c r="DC162" s="1184">
        <f t="shared" si="448"/>
        <v>0</v>
      </c>
      <c r="DD162" s="1184">
        <f t="shared" si="448"/>
        <v>0</v>
      </c>
      <c r="DE162" s="1184">
        <f t="shared" si="448"/>
        <v>0</v>
      </c>
      <c r="DF162" s="1184">
        <f t="shared" si="448"/>
        <v>0</v>
      </c>
      <c r="DG162" s="1184">
        <f t="shared" si="448"/>
        <v>0</v>
      </c>
      <c r="DH162" s="1184">
        <f t="shared" si="448"/>
        <v>0</v>
      </c>
      <c r="DI162" s="1184">
        <f t="shared" si="448"/>
        <v>0</v>
      </c>
      <c r="DJ162" s="1184">
        <f t="shared" si="448"/>
        <v>0</v>
      </c>
      <c r="DK162" s="1184">
        <f t="shared" si="448"/>
        <v>0</v>
      </c>
      <c r="DL162" s="1184">
        <f t="shared" si="448"/>
        <v>0</v>
      </c>
      <c r="DM162" s="1184">
        <f t="shared" si="448"/>
        <v>0</v>
      </c>
      <c r="DN162" s="1184"/>
      <c r="DO162" s="1184">
        <f t="shared" ref="DO162:DZ162" si="449">IF(AND($BX88&lt;=DO$2,$BY88&gt;=DO$2),$CS88,0)</f>
        <v>0</v>
      </c>
      <c r="DP162" s="1184">
        <f t="shared" si="449"/>
        <v>0</v>
      </c>
      <c r="DQ162" s="1184">
        <f t="shared" si="449"/>
        <v>0</v>
      </c>
      <c r="DR162" s="1184">
        <f t="shared" si="449"/>
        <v>0</v>
      </c>
      <c r="DS162" s="1184">
        <f t="shared" si="449"/>
        <v>0</v>
      </c>
      <c r="DT162" s="1184">
        <f t="shared" si="449"/>
        <v>0</v>
      </c>
      <c r="DU162" s="1184">
        <f t="shared" si="449"/>
        <v>0</v>
      </c>
      <c r="DV162" s="1184">
        <f t="shared" si="449"/>
        <v>0</v>
      </c>
      <c r="DW162" s="1184">
        <f t="shared" si="449"/>
        <v>0</v>
      </c>
      <c r="DX162" s="1184">
        <f t="shared" si="449"/>
        <v>0</v>
      </c>
      <c r="DY162" s="1184">
        <f t="shared" si="449"/>
        <v>0</v>
      </c>
      <c r="DZ162" s="1184">
        <f t="shared" si="449"/>
        <v>0</v>
      </c>
      <c r="EA162" s="1184"/>
      <c r="EB162" s="1184"/>
      <c r="EC162" s="1184"/>
      <c r="ED162" s="1184"/>
      <c r="EE162" s="1184"/>
      <c r="EF162" s="1184"/>
      <c r="EG162" s="1184"/>
      <c r="EH162" s="1184"/>
      <c r="EI162" s="1184"/>
      <c r="EJ162" s="1184"/>
      <c r="EK162" s="1184"/>
      <c r="EL162" s="1184"/>
      <c r="EM162" s="1184"/>
      <c r="EN162" s="1184"/>
      <c r="EO162" s="1184"/>
      <c r="EP162" s="1184"/>
      <c r="EQ162" s="1184"/>
      <c r="ER162" s="1184"/>
      <c r="ES162" s="1184"/>
      <c r="ET162" s="1184"/>
      <c r="EU162" s="1184"/>
      <c r="EV162" s="1184"/>
      <c r="EW162" s="1184"/>
      <c r="EX162" s="1184"/>
      <c r="EY162" s="1184"/>
      <c r="EZ162" s="1184"/>
      <c r="FA162" s="1184"/>
      <c r="FB162" s="1210">
        <f t="shared" si="359"/>
        <v>0</v>
      </c>
      <c r="FC162" s="1297">
        <f t="shared" si="394"/>
        <v>0</v>
      </c>
      <c r="FD162" s="1297">
        <f t="shared" si="395"/>
        <v>0</v>
      </c>
      <c r="FE162" s="1297">
        <f t="shared" si="396"/>
        <v>0</v>
      </c>
      <c r="FF162" s="1297">
        <f t="shared" si="397"/>
        <v>0</v>
      </c>
      <c r="FG162" s="1297">
        <f t="shared" si="398"/>
        <v>0</v>
      </c>
      <c r="FH162" s="1297">
        <f t="shared" si="399"/>
        <v>0</v>
      </c>
      <c r="FI162" s="1297">
        <f t="shared" si="400"/>
        <v>0</v>
      </c>
      <c r="FJ162" s="1297">
        <f t="shared" si="401"/>
        <v>0</v>
      </c>
      <c r="FK162" s="1297">
        <f t="shared" si="402"/>
        <v>0</v>
      </c>
      <c r="FL162" s="1297">
        <f t="shared" si="403"/>
        <v>0</v>
      </c>
      <c r="FM162" s="1297">
        <f t="shared" si="404"/>
        <v>0</v>
      </c>
      <c r="FN162" s="1297">
        <f t="shared" si="405"/>
        <v>0</v>
      </c>
      <c r="FO162" s="1184"/>
      <c r="FP162" s="1210">
        <f t="shared" si="371"/>
        <v>0</v>
      </c>
      <c r="FQ162" s="1297">
        <f t="shared" si="406"/>
        <v>0</v>
      </c>
      <c r="FR162" s="1297">
        <f t="shared" si="407"/>
        <v>0</v>
      </c>
      <c r="FS162" s="1297">
        <f t="shared" si="408"/>
        <v>0</v>
      </c>
      <c r="FT162" s="1297">
        <f t="shared" si="409"/>
        <v>0</v>
      </c>
      <c r="FU162" s="1297">
        <f t="shared" si="410"/>
        <v>0</v>
      </c>
      <c r="FV162" s="1297">
        <f t="shared" si="411"/>
        <v>0</v>
      </c>
      <c r="FW162" s="1297">
        <f t="shared" si="412"/>
        <v>0</v>
      </c>
      <c r="FX162" s="1297">
        <f t="shared" si="413"/>
        <v>0</v>
      </c>
      <c r="FY162" s="1297">
        <f t="shared" si="414"/>
        <v>0</v>
      </c>
      <c r="FZ162" s="1297">
        <f t="shared" si="415"/>
        <v>0</v>
      </c>
      <c r="GA162" s="1297">
        <f t="shared" si="416"/>
        <v>0</v>
      </c>
      <c r="GB162" s="1297">
        <f t="shared" si="417"/>
        <v>0</v>
      </c>
      <c r="GC162" s="1184"/>
      <c r="GD162" s="1184">
        <f t="shared" si="372"/>
        <v>0</v>
      </c>
      <c r="GE162" s="1184">
        <f t="shared" si="373"/>
        <v>0</v>
      </c>
      <c r="GF162" s="1184"/>
      <c r="GG162" s="1184"/>
      <c r="GH162" s="1184"/>
      <c r="GI162" s="1184"/>
      <c r="GJ162" s="1184">
        <f t="shared" si="418"/>
        <v>0</v>
      </c>
      <c r="GK162" s="1184">
        <f t="shared" si="419"/>
        <v>0</v>
      </c>
      <c r="GL162" s="1184">
        <f t="shared" si="420"/>
        <v>0</v>
      </c>
      <c r="GM162" s="1184">
        <f t="shared" si="421"/>
        <v>0</v>
      </c>
      <c r="GN162" s="1184">
        <f t="shared" si="378"/>
        <v>0</v>
      </c>
      <c r="GO162" s="1184">
        <f t="shared" si="379"/>
        <v>0</v>
      </c>
      <c r="GP162" s="1184">
        <f t="shared" si="422"/>
        <v>0</v>
      </c>
      <c r="GQ162" s="1184"/>
      <c r="GR162" s="1184"/>
      <c r="GS162" s="1184">
        <f t="shared" si="423"/>
        <v>0</v>
      </c>
      <c r="GT162" s="1184">
        <f t="shared" si="424"/>
        <v>0</v>
      </c>
      <c r="GU162" s="1184">
        <f t="shared" si="425"/>
        <v>0</v>
      </c>
      <c r="GV162" s="1184">
        <f t="shared" si="426"/>
        <v>0</v>
      </c>
      <c r="GW162" s="1186" t="str">
        <f t="shared" si="292"/>
        <v xml:space="preserve"> </v>
      </c>
      <c r="GX162" s="1184"/>
      <c r="GY162" s="1195">
        <f t="shared" si="427"/>
        <v>0</v>
      </c>
      <c r="GZ162" s="1184">
        <f t="shared" si="428"/>
        <v>0</v>
      </c>
      <c r="HA162" s="1184" t="str">
        <f t="shared" si="353"/>
        <v>a</v>
      </c>
      <c r="HB162" s="1196">
        <f t="shared" si="429"/>
        <v>0</v>
      </c>
      <c r="HC162" s="1196">
        <f t="shared" si="430"/>
        <v>0</v>
      </c>
      <c r="HD162" s="1196"/>
      <c r="HE162" s="1187">
        <f t="shared" si="431"/>
        <v>0</v>
      </c>
      <c r="HF162" s="1196">
        <f t="shared" si="432"/>
        <v>0</v>
      </c>
      <c r="HG162" s="1196">
        <f t="shared" si="433"/>
        <v>0</v>
      </c>
      <c r="HH162" s="1196">
        <f t="shared" si="434"/>
        <v>0</v>
      </c>
      <c r="HI162" s="1328" cm="1">
        <f t="array" ref="HI162">IF(AND(HG162=0,GL162=0),0,IF(HG162=0,1,IF(OR(GL162*1000/HG162/HH162&gt;INDEX(Pflanzen!$W$117:$W$154,CZ162)/INDEX(Pflanzen!$I$117:$I$154,CZ162)*$HI$1,GL162*1000/HG162/HH162&lt;INDEX(Pflanzen!$W$117:$W$154,CZ162)/INDEX(Pflanzen!$I$117:$I$154,CZ162)/$HI$1),1,0)))</f>
        <v>0</v>
      </c>
      <c r="HJ162" s="1330" cm="1">
        <f t="array" ref="HJ162">IF(AND(GM162=0,HG162=0),0,IF(HG162=0,1,IF(OR(GM162*1000/HG162/HH162&gt;INDEX(Pflanzen!$X$117:$X$154,CZ162)/INDEX(Pflanzen!$I$117:$I$154,CZ162)*$HI$2,GM162*1000/HG162/HH162&lt;INDEX(Pflanzen!$X$117:$X$154,CZ162)/INDEX(Pflanzen!$I$117:$I$154,CZ162)/$HI$2),1,0)))</f>
        <v>0</v>
      </c>
      <c r="HK162" s="1184">
        <f t="shared" si="435"/>
        <v>3</v>
      </c>
      <c r="HL162" s="1184"/>
      <c r="HN162" s="1184"/>
      <c r="HO162" s="1184"/>
      <c r="HP162" s="1184"/>
      <c r="HQ162" s="1184"/>
      <c r="HR162" s="1184"/>
      <c r="HS162" s="1184"/>
      <c r="HT162" s="1184"/>
      <c r="HU162" s="1184"/>
      <c r="HV162" s="1184"/>
      <c r="HW162" s="1184"/>
      <c r="HX162" s="1184"/>
      <c r="HY162" s="1184"/>
      <c r="HZ162" s="1184"/>
      <c r="IA162" s="1184"/>
      <c r="IB162" s="1184"/>
      <c r="IC162" s="1184"/>
      <c r="ID162" s="1184"/>
      <c r="IE162" s="1184"/>
      <c r="IF162" s="1184"/>
      <c r="IG162" s="1184"/>
      <c r="IH162" s="1184"/>
      <c r="II162" s="1184"/>
      <c r="IJ162" s="1184"/>
      <c r="IK162" s="1184"/>
      <c r="IL162" s="1184"/>
    </row>
    <row r="163" spans="25:246" ht="15.75" customHeight="1" x14ac:dyDescent="0.2">
      <c r="Y163" s="1555"/>
      <c r="Z163" s="1555"/>
      <c r="AA163" s="1555"/>
      <c r="AB163" s="1555"/>
      <c r="AC163" s="242"/>
      <c r="AD163" s="242"/>
      <c r="AE163" s="242"/>
      <c r="AF163" s="242"/>
      <c r="AG163" s="242"/>
      <c r="AH163" s="242"/>
      <c r="AI163" s="242"/>
      <c r="AJ163" s="242"/>
      <c r="AK163" s="242"/>
      <c r="AL163" s="242"/>
      <c r="AM163" s="242"/>
      <c r="AN163" s="242"/>
      <c r="AR163" s="242"/>
      <c r="AS163" s="242"/>
      <c r="AT163" s="242"/>
      <c r="AU163" s="242"/>
      <c r="AV163" s="242"/>
      <c r="AY163" s="1184"/>
      <c r="AZ163" s="1184"/>
      <c r="BA163" s="1184"/>
      <c r="BB163" s="1184"/>
      <c r="BC163" s="1184"/>
      <c r="BD163" s="1184"/>
      <c r="BQ163" s="1184"/>
      <c r="BR163" s="1184"/>
      <c r="BS163" s="1184"/>
      <c r="BT163" s="1184"/>
      <c r="BU163" s="1200"/>
      <c r="BV163" s="1326"/>
      <c r="BW163" s="1326"/>
      <c r="BX163" s="1326"/>
      <c r="BY163" s="1326"/>
      <c r="BZ163" s="1326"/>
      <c r="CA163" s="1326"/>
      <c r="CB163" s="1326"/>
      <c r="CC163" s="1326"/>
      <c r="CD163" s="1326"/>
      <c r="CE163" s="1326"/>
      <c r="CF163" s="1326"/>
      <c r="CG163" s="1326"/>
      <c r="CH163" s="1326"/>
      <c r="CI163" s="1326"/>
      <c r="CJ163" s="1326"/>
      <c r="CK163" s="1326"/>
      <c r="CL163" s="1184"/>
      <c r="CM163" s="1184"/>
      <c r="CN163" s="1184"/>
      <c r="CO163" s="1184"/>
      <c r="CP163" s="1184"/>
      <c r="CQ163" s="1184"/>
      <c r="CR163" s="1184"/>
      <c r="CS163" s="1184"/>
      <c r="CT163" s="1184"/>
      <c r="CU163" s="1184"/>
      <c r="CV163" s="1184"/>
      <c r="CW163" s="1184"/>
      <c r="CX163" s="1184"/>
      <c r="CY163" s="1208">
        <f t="shared" si="356"/>
        <v>0</v>
      </c>
      <c r="CZ163" s="1184"/>
      <c r="DA163" s="1184">
        <v>2</v>
      </c>
      <c r="DB163" s="1184">
        <f t="shared" ref="DB163:DM163" si="450">IF(AND($BX89&lt;=DB$2,$BY89&gt;=DB$2),$CQ89,0)</f>
        <v>0</v>
      </c>
      <c r="DC163" s="1184">
        <f t="shared" si="450"/>
        <v>0</v>
      </c>
      <c r="DD163" s="1184">
        <f t="shared" si="450"/>
        <v>0</v>
      </c>
      <c r="DE163" s="1184">
        <f t="shared" si="450"/>
        <v>0</v>
      </c>
      <c r="DF163" s="1184">
        <f t="shared" si="450"/>
        <v>0</v>
      </c>
      <c r="DG163" s="1184">
        <f t="shared" si="450"/>
        <v>0</v>
      </c>
      <c r="DH163" s="1184">
        <f t="shared" si="450"/>
        <v>0</v>
      </c>
      <c r="DI163" s="1184">
        <f t="shared" si="450"/>
        <v>0</v>
      </c>
      <c r="DJ163" s="1184">
        <f t="shared" si="450"/>
        <v>0</v>
      </c>
      <c r="DK163" s="1184">
        <f t="shared" si="450"/>
        <v>0</v>
      </c>
      <c r="DL163" s="1184">
        <f t="shared" si="450"/>
        <v>0</v>
      </c>
      <c r="DM163" s="1184">
        <f t="shared" si="450"/>
        <v>0</v>
      </c>
      <c r="DN163" s="1184"/>
      <c r="DO163" s="1184">
        <f t="shared" ref="DO163:DZ163" si="451">IF(AND($BX89&lt;=DO$2,$BY89&gt;=DO$2),$CS89,0)</f>
        <v>0</v>
      </c>
      <c r="DP163" s="1184">
        <f t="shared" si="451"/>
        <v>0</v>
      </c>
      <c r="DQ163" s="1184">
        <f t="shared" si="451"/>
        <v>0</v>
      </c>
      <c r="DR163" s="1184">
        <f t="shared" si="451"/>
        <v>0</v>
      </c>
      <c r="DS163" s="1184">
        <f t="shared" si="451"/>
        <v>0</v>
      </c>
      <c r="DT163" s="1184">
        <f t="shared" si="451"/>
        <v>0</v>
      </c>
      <c r="DU163" s="1184">
        <f t="shared" si="451"/>
        <v>0</v>
      </c>
      <c r="DV163" s="1184">
        <f t="shared" si="451"/>
        <v>0</v>
      </c>
      <c r="DW163" s="1184">
        <f t="shared" si="451"/>
        <v>0</v>
      </c>
      <c r="DX163" s="1184">
        <f t="shared" si="451"/>
        <v>0</v>
      </c>
      <c r="DY163" s="1184">
        <f t="shared" si="451"/>
        <v>0</v>
      </c>
      <c r="DZ163" s="1184">
        <f t="shared" si="451"/>
        <v>0</v>
      </c>
      <c r="EA163" s="1184"/>
      <c r="EB163" s="1184"/>
      <c r="EC163" s="1184"/>
      <c r="ED163" s="1184"/>
      <c r="EE163" s="1184"/>
      <c r="EF163" s="1184"/>
      <c r="EG163" s="1184"/>
      <c r="EH163" s="1184"/>
      <c r="EI163" s="1184"/>
      <c r="EJ163" s="1184"/>
      <c r="EK163" s="1184"/>
      <c r="EL163" s="1184"/>
      <c r="EM163" s="1184"/>
      <c r="EN163" s="1184"/>
      <c r="EO163" s="1184"/>
      <c r="EP163" s="1184"/>
      <c r="EQ163" s="1184"/>
      <c r="ER163" s="1184"/>
      <c r="ES163" s="1184"/>
      <c r="ET163" s="1184"/>
      <c r="EU163" s="1184"/>
      <c r="EV163" s="1184"/>
      <c r="EW163" s="1184"/>
      <c r="EX163" s="1184"/>
      <c r="EY163" s="1184"/>
      <c r="EZ163" s="1184"/>
      <c r="FA163" s="1184"/>
      <c r="FB163" s="1210">
        <f t="shared" si="359"/>
        <v>0</v>
      </c>
      <c r="FC163" s="1297">
        <f t="shared" si="394"/>
        <v>0</v>
      </c>
      <c r="FD163" s="1297">
        <f t="shared" si="395"/>
        <v>0</v>
      </c>
      <c r="FE163" s="1297">
        <f t="shared" si="396"/>
        <v>0</v>
      </c>
      <c r="FF163" s="1297">
        <f t="shared" si="397"/>
        <v>0</v>
      </c>
      <c r="FG163" s="1297">
        <f t="shared" si="398"/>
        <v>0</v>
      </c>
      <c r="FH163" s="1297">
        <f t="shared" si="399"/>
        <v>0</v>
      </c>
      <c r="FI163" s="1297">
        <f t="shared" si="400"/>
        <v>0</v>
      </c>
      <c r="FJ163" s="1297">
        <f t="shared" si="401"/>
        <v>0</v>
      </c>
      <c r="FK163" s="1297">
        <f t="shared" si="402"/>
        <v>0</v>
      </c>
      <c r="FL163" s="1297">
        <f t="shared" si="403"/>
        <v>0</v>
      </c>
      <c r="FM163" s="1297">
        <f t="shared" si="404"/>
        <v>0</v>
      </c>
      <c r="FN163" s="1297">
        <f t="shared" si="405"/>
        <v>0</v>
      </c>
      <c r="FO163" s="1184"/>
      <c r="FP163" s="1210">
        <f t="shared" si="371"/>
        <v>0</v>
      </c>
      <c r="FQ163" s="1297">
        <f t="shared" si="406"/>
        <v>0</v>
      </c>
      <c r="FR163" s="1297">
        <f t="shared" si="407"/>
        <v>0</v>
      </c>
      <c r="FS163" s="1297">
        <f t="shared" si="408"/>
        <v>0</v>
      </c>
      <c r="FT163" s="1297">
        <f t="shared" si="409"/>
        <v>0</v>
      </c>
      <c r="FU163" s="1297">
        <f t="shared" si="410"/>
        <v>0</v>
      </c>
      <c r="FV163" s="1297">
        <f t="shared" si="411"/>
        <v>0</v>
      </c>
      <c r="FW163" s="1297">
        <f t="shared" si="412"/>
        <v>0</v>
      </c>
      <c r="FX163" s="1297">
        <f t="shared" si="413"/>
        <v>0</v>
      </c>
      <c r="FY163" s="1297">
        <f t="shared" si="414"/>
        <v>0</v>
      </c>
      <c r="FZ163" s="1297">
        <f t="shared" si="415"/>
        <v>0</v>
      </c>
      <c r="GA163" s="1297">
        <f t="shared" si="416"/>
        <v>0</v>
      </c>
      <c r="GB163" s="1297">
        <f t="shared" si="417"/>
        <v>0</v>
      </c>
      <c r="GC163" s="1184"/>
      <c r="GD163" s="1184">
        <f t="shared" si="372"/>
        <v>0</v>
      </c>
      <c r="GE163" s="1184">
        <f t="shared" si="373"/>
        <v>0</v>
      </c>
      <c r="GF163" s="1184"/>
      <c r="GG163" s="1184"/>
      <c r="GH163" s="1184"/>
      <c r="GI163" s="1184"/>
      <c r="GJ163" s="1184">
        <f t="shared" si="418"/>
        <v>0</v>
      </c>
      <c r="GK163" s="1184">
        <f t="shared" si="419"/>
        <v>0</v>
      </c>
      <c r="GL163" s="1184">
        <f t="shared" si="420"/>
        <v>0</v>
      </c>
      <c r="GM163" s="1184">
        <f t="shared" si="421"/>
        <v>0</v>
      </c>
      <c r="GN163" s="1184">
        <f t="shared" si="378"/>
        <v>0</v>
      </c>
      <c r="GO163" s="1184">
        <f t="shared" si="379"/>
        <v>0</v>
      </c>
      <c r="GP163" s="1184">
        <f t="shared" si="422"/>
        <v>0</v>
      </c>
      <c r="GQ163" s="1184"/>
      <c r="GR163" s="1184"/>
      <c r="GS163" s="1184">
        <f t="shared" si="423"/>
        <v>0</v>
      </c>
      <c r="GT163" s="1184">
        <f t="shared" si="424"/>
        <v>0</v>
      </c>
      <c r="GU163" s="1184">
        <f t="shared" si="425"/>
        <v>0</v>
      </c>
      <c r="GV163" s="1184">
        <f t="shared" si="426"/>
        <v>0</v>
      </c>
      <c r="GW163" s="1186" t="str">
        <f t="shared" si="292"/>
        <v xml:space="preserve"> </v>
      </c>
      <c r="GX163" s="1184"/>
      <c r="GY163" s="1195">
        <f t="shared" si="427"/>
        <v>0</v>
      </c>
      <c r="GZ163" s="1184">
        <f t="shared" si="428"/>
        <v>0</v>
      </c>
      <c r="HA163" s="1184" t="str">
        <f t="shared" si="353"/>
        <v>a</v>
      </c>
      <c r="HB163" s="1196">
        <f t="shared" si="429"/>
        <v>0</v>
      </c>
      <c r="HC163" s="1196">
        <f t="shared" si="430"/>
        <v>0</v>
      </c>
      <c r="HD163" s="1196"/>
      <c r="HE163" s="1187">
        <f t="shared" si="431"/>
        <v>0</v>
      </c>
      <c r="HF163" s="1196">
        <f t="shared" si="432"/>
        <v>0</v>
      </c>
      <c r="HG163" s="1196">
        <f t="shared" si="433"/>
        <v>0</v>
      </c>
      <c r="HH163" s="1196">
        <f t="shared" si="434"/>
        <v>0</v>
      </c>
      <c r="HI163" s="1328" cm="1">
        <f t="array" ref="HI163">IF(AND(HG163=0,GL163=0),0,IF(HG163=0,1,IF(OR(GL163*1000/HG163/HH163&gt;INDEX(Pflanzen!$W$117:$W$154,CZ163)/INDEX(Pflanzen!$I$117:$I$154,CZ163)*$HI$1,GL163*1000/HG163/HH163&lt;INDEX(Pflanzen!$W$117:$W$154,CZ163)/INDEX(Pflanzen!$I$117:$I$154,CZ163)/$HI$1),1,0)))</f>
        <v>0</v>
      </c>
      <c r="HJ163" s="1330" cm="1">
        <f t="array" ref="HJ163">IF(AND(GM163=0,HG163=0),0,IF(HG163=0,1,IF(OR(GM163*1000/HG163/HH163&gt;INDEX(Pflanzen!$X$117:$X$154,CZ163)/INDEX(Pflanzen!$I$117:$I$154,CZ163)*$HI$2,GM163*1000/HG163/HH163&lt;INDEX(Pflanzen!$X$117:$X$154,CZ163)/INDEX(Pflanzen!$I$117:$I$154,CZ163)/$HI$2),1,0)))</f>
        <v>0</v>
      </c>
      <c r="HK163" s="1184">
        <f t="shared" si="435"/>
        <v>3</v>
      </c>
      <c r="HL163" s="1184"/>
      <c r="HN163" s="1184"/>
      <c r="HO163" s="1184"/>
      <c r="HP163" s="1184"/>
      <c r="HQ163" s="1184"/>
      <c r="HR163" s="1184"/>
      <c r="HS163" s="1184"/>
      <c r="HT163" s="1184"/>
      <c r="HU163" s="1184"/>
      <c r="HV163" s="1184"/>
      <c r="HW163" s="1184"/>
      <c r="HX163" s="1184"/>
      <c r="HY163" s="1184"/>
      <c r="HZ163" s="1184"/>
      <c r="IA163" s="1184"/>
      <c r="IB163" s="1184"/>
      <c r="IC163" s="1184"/>
      <c r="ID163" s="1184"/>
      <c r="IE163" s="1184"/>
      <c r="IF163" s="1184"/>
      <c r="IG163" s="1184"/>
      <c r="IH163" s="1184"/>
      <c r="II163" s="1184"/>
      <c r="IJ163" s="1184"/>
      <c r="IK163" s="1184"/>
      <c r="IL163" s="1184"/>
    </row>
    <row r="164" spans="25:246" ht="15.75" customHeight="1" x14ac:dyDescent="0.2">
      <c r="Y164" s="1555"/>
      <c r="Z164" s="1555"/>
      <c r="AA164" s="1555"/>
      <c r="AB164" s="1555"/>
      <c r="AC164" s="242"/>
      <c r="AD164" s="242"/>
      <c r="AE164" s="242"/>
      <c r="AF164" s="242"/>
      <c r="AG164" s="242"/>
      <c r="AH164" s="242"/>
      <c r="AI164" s="242"/>
      <c r="AJ164" s="242"/>
      <c r="AK164" s="242"/>
      <c r="AL164" s="242"/>
      <c r="AM164" s="242"/>
      <c r="AN164" s="242"/>
      <c r="AR164" s="242"/>
      <c r="AS164" s="242"/>
      <c r="AT164" s="242"/>
      <c r="AU164" s="242"/>
      <c r="AV164" s="242"/>
      <c r="AY164" s="1184"/>
      <c r="AZ164" s="1184"/>
      <c r="BA164" s="1184"/>
      <c r="BB164" s="1184"/>
      <c r="BC164" s="1184"/>
      <c r="BD164" s="1184"/>
      <c r="BQ164" s="1184"/>
      <c r="BR164" s="1184"/>
      <c r="BS164" s="1184"/>
      <c r="BT164" s="1184"/>
      <c r="BU164" s="1200"/>
      <c r="BV164" s="1326"/>
      <c r="BW164" s="1326"/>
      <c r="BX164" s="1326"/>
      <c r="BY164" s="1326"/>
      <c r="BZ164" s="1326"/>
      <c r="CA164" s="1326"/>
      <c r="CB164" s="1326"/>
      <c r="CC164" s="1326"/>
      <c r="CD164" s="1326"/>
      <c r="CE164" s="1326"/>
      <c r="CF164" s="1326"/>
      <c r="CG164" s="1326"/>
      <c r="CH164" s="1326"/>
      <c r="CI164" s="1326"/>
      <c r="CJ164" s="1326"/>
      <c r="CK164" s="1326"/>
      <c r="CL164" s="1184"/>
      <c r="CM164" s="1184"/>
      <c r="CN164" s="1184"/>
      <c r="CO164" s="1184"/>
      <c r="CP164" s="1184"/>
      <c r="CQ164" s="1184"/>
      <c r="CR164" s="1184"/>
      <c r="CS164" s="1184"/>
      <c r="CT164" s="1184"/>
      <c r="CU164" s="1184"/>
      <c r="CV164" s="1184"/>
      <c r="CW164" s="1184"/>
      <c r="CX164" s="1184"/>
      <c r="CY164" s="1184"/>
      <c r="CZ164" s="1184"/>
      <c r="DA164" s="1184"/>
      <c r="DB164" s="1184"/>
      <c r="DC164" s="1184"/>
      <c r="DD164" s="1184"/>
      <c r="DE164" s="1184"/>
      <c r="DF164" s="1184"/>
      <c r="DG164" s="1184"/>
      <c r="DH164" s="1184"/>
      <c r="DI164" s="1184"/>
      <c r="DJ164" s="1184"/>
      <c r="DK164" s="1184"/>
      <c r="DL164" s="1184"/>
      <c r="DM164" s="1184"/>
      <c r="DN164" s="1184"/>
      <c r="DO164" s="1184"/>
      <c r="DP164" s="1184"/>
      <c r="DQ164" s="1184"/>
      <c r="DR164" s="1184"/>
      <c r="DS164" s="1184"/>
      <c r="DT164" s="1184"/>
      <c r="DU164" s="1184"/>
      <c r="DV164" s="1184"/>
      <c r="DW164" s="1184"/>
      <c r="DX164" s="1184"/>
      <c r="DY164" s="1184"/>
      <c r="DZ164" s="1184"/>
      <c r="EA164" s="1184"/>
      <c r="EB164" s="1184"/>
      <c r="EC164" s="1184"/>
      <c r="ED164" s="1184"/>
      <c r="EE164" s="1184"/>
      <c r="EF164" s="1184"/>
      <c r="EG164" s="1184"/>
      <c r="EH164" s="1184"/>
      <c r="EI164" s="1184"/>
      <c r="EJ164" s="1184"/>
      <c r="EK164" s="1184"/>
      <c r="EL164" s="1184"/>
      <c r="EM164" s="1184"/>
      <c r="EN164" s="1184"/>
      <c r="EO164" s="1184"/>
      <c r="EP164" s="1184"/>
      <c r="EQ164" s="1184"/>
      <c r="ER164" s="1184"/>
      <c r="ES164" s="1184"/>
      <c r="ET164" s="1184"/>
      <c r="EU164" s="1184"/>
      <c r="EV164" s="1184"/>
      <c r="EW164" s="1184"/>
      <c r="EX164" s="1184"/>
      <c r="EY164" s="1184"/>
      <c r="EZ164" s="1184"/>
      <c r="FA164" s="1184"/>
      <c r="FB164" s="1184"/>
      <c r="FC164" s="1184"/>
      <c r="FD164" s="1184"/>
      <c r="FE164" s="1184"/>
      <c r="FF164" s="1184"/>
      <c r="FG164" s="1184"/>
      <c r="FH164" s="1184"/>
      <c r="FI164" s="1184"/>
      <c r="FJ164" s="1184"/>
      <c r="FK164" s="1184"/>
      <c r="FL164" s="1184"/>
      <c r="FM164" s="1184"/>
      <c r="FN164" s="1184"/>
      <c r="FO164" s="1184"/>
      <c r="FP164" s="1184"/>
      <c r="FQ164" s="1184"/>
      <c r="FR164" s="1184"/>
      <c r="FS164" s="1184"/>
      <c r="FT164" s="1184"/>
      <c r="FU164" s="1184"/>
      <c r="FV164" s="1184"/>
      <c r="FW164" s="1184"/>
      <c r="FX164" s="1184"/>
      <c r="FY164" s="1184"/>
      <c r="FZ164" s="1184"/>
      <c r="GA164" s="1184"/>
      <c r="GB164" s="1184"/>
      <c r="GC164" s="1184"/>
      <c r="GD164" s="1184"/>
      <c r="GE164" s="1184"/>
      <c r="GF164" s="1184"/>
      <c r="GG164" s="1184"/>
      <c r="GH164" s="1184"/>
      <c r="GI164" s="1184"/>
      <c r="GJ164" s="1184"/>
      <c r="GK164" s="1184"/>
      <c r="GL164" s="1184"/>
      <c r="GM164" s="1184"/>
      <c r="GN164" s="1184"/>
      <c r="GO164" s="1184"/>
      <c r="GP164" s="1184">
        <f t="shared" si="380"/>
        <v>0</v>
      </c>
      <c r="GQ164" s="1184"/>
      <c r="GR164" s="1184"/>
      <c r="GS164" s="1184">
        <f t="shared" si="381"/>
        <v>0</v>
      </c>
      <c r="GT164" s="1184">
        <f t="shared" si="382"/>
        <v>0</v>
      </c>
      <c r="GU164" s="1184">
        <f t="shared" ref="GU164:GU165" si="452">IF(AND(GO164=0,GR164=0),0,IF(GO164=0,GT164/(GR164/100),GT164/(GO164/100)))</f>
        <v>0</v>
      </c>
      <c r="GV164" s="1184">
        <f t="shared" si="383"/>
        <v>0</v>
      </c>
      <c r="GW164" s="1186" t="str">
        <f t="shared" si="292"/>
        <v xml:space="preserve"> </v>
      </c>
      <c r="GX164" s="1184"/>
      <c r="GY164" s="1184"/>
      <c r="GZ164" s="1184"/>
      <c r="HA164" s="1184"/>
      <c r="HB164" s="1184"/>
      <c r="HC164" s="1184"/>
      <c r="HD164" s="1184"/>
      <c r="HE164" s="1184"/>
      <c r="HF164" s="1184"/>
      <c r="HG164" s="1184"/>
      <c r="HH164" s="1184"/>
      <c r="HI164" s="1184"/>
      <c r="HJ164" s="1184"/>
      <c r="HK164" s="1184">
        <f t="shared" si="391"/>
        <v>3</v>
      </c>
      <c r="HL164" s="1184"/>
      <c r="HN164" s="1184"/>
      <c r="HO164" s="1184"/>
      <c r="HP164" s="1184"/>
      <c r="HQ164" s="1184"/>
      <c r="HR164" s="1184"/>
      <c r="HS164" s="1184"/>
      <c r="HT164" s="1184"/>
      <c r="HU164" s="1184"/>
      <c r="HV164" s="1184"/>
      <c r="HW164" s="1184"/>
      <c r="HX164" s="1184"/>
      <c r="HY164" s="1184"/>
      <c r="HZ164" s="1184"/>
      <c r="IA164" s="1184"/>
      <c r="IB164" s="1184"/>
      <c r="IC164" s="1184"/>
      <c r="ID164" s="1184"/>
      <c r="IE164" s="1184"/>
      <c r="IF164" s="1184"/>
      <c r="IG164" s="1184"/>
      <c r="IH164" s="1184"/>
      <c r="II164" s="1184"/>
      <c r="IJ164" s="1184"/>
      <c r="IK164" s="1184"/>
      <c r="IL164" s="1184"/>
    </row>
    <row r="165" spans="25:246" ht="15.75" customHeight="1" x14ac:dyDescent="0.2">
      <c r="Y165" s="1555"/>
      <c r="Z165" s="1555"/>
      <c r="AA165" s="1555"/>
      <c r="AB165" s="1555"/>
      <c r="AC165" s="242"/>
      <c r="AD165" s="242"/>
      <c r="AE165" s="242"/>
      <c r="AF165" s="242"/>
      <c r="AG165" s="242"/>
      <c r="AH165" s="242"/>
      <c r="AI165" s="242"/>
      <c r="AJ165" s="242"/>
      <c r="AK165" s="242"/>
      <c r="AL165" s="242"/>
      <c r="AM165" s="242"/>
      <c r="AN165" s="242"/>
      <c r="AR165" s="242"/>
      <c r="AS165" s="242"/>
      <c r="AT165" s="242"/>
      <c r="AU165" s="242"/>
      <c r="AV165" s="242"/>
      <c r="AY165" s="1184"/>
      <c r="AZ165" s="1184"/>
      <c r="BA165" s="1184"/>
      <c r="BB165" s="1184"/>
      <c r="BC165" s="1184"/>
      <c r="BD165" s="1184"/>
      <c r="BQ165" s="1184"/>
      <c r="BR165" s="1184"/>
      <c r="BS165" s="1184"/>
      <c r="BT165" s="1184"/>
      <c r="BU165" s="1200"/>
      <c r="BV165" s="1326"/>
      <c r="BW165" s="1326"/>
      <c r="BX165" s="1326"/>
      <c r="BY165" s="1326"/>
      <c r="BZ165" s="1326"/>
      <c r="CA165" s="1326"/>
      <c r="CB165" s="1326"/>
      <c r="CC165" s="1326"/>
      <c r="CD165" s="1326"/>
      <c r="CE165" s="1326"/>
      <c r="CF165" s="1326"/>
      <c r="CG165" s="1326"/>
      <c r="CH165" s="1326"/>
      <c r="CI165" s="1326"/>
      <c r="CJ165" s="1326"/>
      <c r="CK165" s="1326"/>
      <c r="CL165" s="1184"/>
      <c r="CM165" s="1184"/>
      <c r="CN165" s="1184"/>
      <c r="CO165" s="1184"/>
      <c r="CP165" s="1184"/>
      <c r="CQ165" s="1184"/>
      <c r="CR165" s="1184"/>
      <c r="CS165" s="1184"/>
      <c r="CT165" s="1184"/>
      <c r="CU165" s="1184"/>
      <c r="CV165" s="1184"/>
      <c r="CW165" s="1184"/>
      <c r="CX165" s="1184"/>
      <c r="CY165" s="1188" t="s">
        <v>1093</v>
      </c>
      <c r="CZ165" s="1184"/>
      <c r="DA165" s="814">
        <v>0</v>
      </c>
      <c r="DB165" s="1184">
        <v>0</v>
      </c>
      <c r="DC165" s="1184">
        <v>0</v>
      </c>
      <c r="DD165" s="1184">
        <v>0</v>
      </c>
      <c r="DE165" s="1184">
        <v>0</v>
      </c>
      <c r="DF165" s="1184">
        <v>0</v>
      </c>
      <c r="DG165" s="1184">
        <v>0</v>
      </c>
      <c r="DH165" s="1184">
        <v>0</v>
      </c>
      <c r="DI165" s="1184">
        <v>0</v>
      </c>
      <c r="DJ165" s="1184">
        <v>0</v>
      </c>
      <c r="DK165" s="1184">
        <v>0</v>
      </c>
      <c r="DL165" s="1184">
        <v>0</v>
      </c>
      <c r="DM165" s="1184">
        <v>0</v>
      </c>
      <c r="DN165" s="1184"/>
      <c r="DO165" s="1184">
        <v>0</v>
      </c>
      <c r="DP165" s="1184">
        <v>0</v>
      </c>
      <c r="DQ165" s="1184">
        <v>0</v>
      </c>
      <c r="DR165" s="1184">
        <v>0</v>
      </c>
      <c r="DS165" s="1184">
        <v>0</v>
      </c>
      <c r="DT165" s="1184">
        <v>0</v>
      </c>
      <c r="DU165" s="1184">
        <v>0</v>
      </c>
      <c r="DV165" s="1184">
        <v>0</v>
      </c>
      <c r="DW165" s="1184">
        <v>0</v>
      </c>
      <c r="DX165" s="1184">
        <v>0</v>
      </c>
      <c r="DY165" s="1184">
        <v>0</v>
      </c>
      <c r="DZ165" s="1184">
        <v>0</v>
      </c>
      <c r="EA165" s="1184"/>
      <c r="EB165" s="1184">
        <f t="shared" ref="EB165:EM165" si="453">$GJ$165/12</f>
        <v>0</v>
      </c>
      <c r="EC165" s="1184">
        <f t="shared" si="453"/>
        <v>0</v>
      </c>
      <c r="ED165" s="1184">
        <f t="shared" si="453"/>
        <v>0</v>
      </c>
      <c r="EE165" s="1184">
        <f t="shared" si="453"/>
        <v>0</v>
      </c>
      <c r="EF165" s="1184">
        <f t="shared" si="453"/>
        <v>0</v>
      </c>
      <c r="EG165" s="1184">
        <f t="shared" si="453"/>
        <v>0</v>
      </c>
      <c r="EH165" s="1184">
        <f t="shared" si="453"/>
        <v>0</v>
      </c>
      <c r="EI165" s="1184">
        <f t="shared" si="453"/>
        <v>0</v>
      </c>
      <c r="EJ165" s="1184">
        <f t="shared" si="453"/>
        <v>0</v>
      </c>
      <c r="EK165" s="1184">
        <f t="shared" si="453"/>
        <v>0</v>
      </c>
      <c r="EL165" s="1184">
        <f t="shared" si="453"/>
        <v>0</v>
      </c>
      <c r="EM165" s="1184">
        <f t="shared" si="453"/>
        <v>0</v>
      </c>
      <c r="EN165" s="1184"/>
      <c r="EO165" s="1200">
        <f>$GK$165/12</f>
        <v>0</v>
      </c>
      <c r="EP165" s="1200">
        <f t="shared" ref="EP165:EZ165" si="454">$GK$165/12</f>
        <v>0</v>
      </c>
      <c r="EQ165" s="1200">
        <f t="shared" si="454"/>
        <v>0</v>
      </c>
      <c r="ER165" s="1200">
        <f>$GK$165/12</f>
        <v>0</v>
      </c>
      <c r="ES165" s="1200">
        <f t="shared" si="454"/>
        <v>0</v>
      </c>
      <c r="ET165" s="1200">
        <f t="shared" si="454"/>
        <v>0</v>
      </c>
      <c r="EU165" s="1200">
        <f t="shared" si="454"/>
        <v>0</v>
      </c>
      <c r="EV165" s="1200">
        <f t="shared" si="454"/>
        <v>0</v>
      </c>
      <c r="EW165" s="1200">
        <f t="shared" si="454"/>
        <v>0</v>
      </c>
      <c r="EX165" s="1200">
        <f t="shared" si="454"/>
        <v>0</v>
      </c>
      <c r="EY165" s="1200">
        <f t="shared" si="454"/>
        <v>0</v>
      </c>
      <c r="EZ165" s="1200">
        <f t="shared" si="454"/>
        <v>0</v>
      </c>
      <c r="FA165" s="1184"/>
      <c r="FB165" s="814">
        <v>0</v>
      </c>
      <c r="FC165" s="814">
        <v>0</v>
      </c>
      <c r="FD165" s="814">
        <v>0</v>
      </c>
      <c r="FE165" s="814">
        <v>0</v>
      </c>
      <c r="FF165" s="814">
        <v>0</v>
      </c>
      <c r="FG165" s="814">
        <v>0</v>
      </c>
      <c r="FH165" s="814">
        <v>0</v>
      </c>
      <c r="FI165" s="814">
        <v>0</v>
      </c>
      <c r="FJ165" s="814">
        <v>0</v>
      </c>
      <c r="FK165" s="814">
        <v>0</v>
      </c>
      <c r="FL165" s="814">
        <v>0</v>
      </c>
      <c r="FM165" s="814">
        <v>0</v>
      </c>
      <c r="FN165" s="814">
        <v>0</v>
      </c>
      <c r="FO165" s="1184"/>
      <c r="FP165" s="1286">
        <v>0</v>
      </c>
      <c r="FQ165" s="1286">
        <v>0</v>
      </c>
      <c r="FR165" s="1286">
        <v>0</v>
      </c>
      <c r="FS165" s="1286">
        <v>0</v>
      </c>
      <c r="FT165" s="1286">
        <v>0</v>
      </c>
      <c r="FU165" s="1286">
        <v>0</v>
      </c>
      <c r="FV165" s="1286">
        <v>0</v>
      </c>
      <c r="FW165" s="1286">
        <v>0</v>
      </c>
      <c r="FX165" s="1286">
        <v>0</v>
      </c>
      <c r="FY165" s="1286">
        <v>0</v>
      </c>
      <c r="FZ165" s="1286">
        <v>0</v>
      </c>
      <c r="GA165" s="1286">
        <v>0</v>
      </c>
      <c r="GB165" s="1286">
        <v>0</v>
      </c>
      <c r="GC165" s="1184"/>
      <c r="GD165" s="814">
        <v>0</v>
      </c>
      <c r="GE165" s="1286">
        <v>0</v>
      </c>
      <c r="GF165" s="1184"/>
      <c r="GG165" s="1184"/>
      <c r="GH165" s="1184">
        <f>(('Nährstoffe und Lagerraum'!AB90+'Nährstoffe und Lagerraum'!AF90)/2+('Nährstoffe und Lagerraum'!AL90+'Nährstoffe und Lagerraum'!AO90)/2+('Nährstoffe und Lagerraum'!AS90+'Nährstoffe und Lagerraum'!AV90)/2)/1000</f>
        <v>0</v>
      </c>
      <c r="GI165" s="1325">
        <f>(('Nährstoffe und Lagerraum'!AD90+'Nährstoffe und Lagerraum'!AH90)/2+('Nährstoffe und Lagerraum'!AM90+'Nährstoffe und Lagerraum'!AP90)/2+('Nährstoffe und Lagerraum'!AT90+'Nährstoffe und Lagerraum'!AW90)/2)/1000</f>
        <v>0</v>
      </c>
      <c r="GJ165" s="1184">
        <f>GD165+GH165</f>
        <v>0</v>
      </c>
      <c r="GK165" s="1325">
        <f>GE165+GI165</f>
        <v>0</v>
      </c>
      <c r="GL165" s="1184">
        <f>GD165-GD165*HE165</f>
        <v>0</v>
      </c>
      <c r="GM165" s="1184">
        <f>GE165-GE165*HE165</f>
        <v>0</v>
      </c>
      <c r="GN165" s="1184">
        <f>'Nährstoffe und Lagerraum'!EK88</f>
        <v>0</v>
      </c>
      <c r="GO165" s="1184" t="e">
        <f>'Nährstoffe und Lagerraum'!EN88*100</f>
        <v>#DIV/0!</v>
      </c>
      <c r="GP165" s="1184" t="e">
        <f t="shared" si="380"/>
        <v>#DIV/0!</v>
      </c>
      <c r="GQ165" s="1184">
        <f>GN165</f>
        <v>0</v>
      </c>
      <c r="GR165" s="1184" t="e">
        <f>GO165</f>
        <v>#DIV/0!</v>
      </c>
      <c r="GS165" s="1184" t="e">
        <f t="shared" si="381"/>
        <v>#DIV/0!</v>
      </c>
      <c r="GT165" s="1184" t="e">
        <f t="shared" si="382"/>
        <v>#DIV/0!</v>
      </c>
      <c r="GU165" s="1184" t="e">
        <f t="shared" si="452"/>
        <v>#DIV/0!</v>
      </c>
      <c r="GV165" s="1184" t="e">
        <f t="shared" si="383"/>
        <v>#DIV/0!</v>
      </c>
      <c r="GW165" s="1186" t="str">
        <f t="shared" si="292"/>
        <v xml:space="preserve"> </v>
      </c>
      <c r="GX165" s="1186" t="str">
        <f t="shared" si="292"/>
        <v xml:space="preserve"> </v>
      </c>
      <c r="GY165" s="1195">
        <f>IF(HK165=3,0,IF(DA165=$DA$4,IF($GG$4=0,0,$GX$4/$GG$4),IF(DA165=$DA$6,IF($GG$6=0,0,$GX$6/$GG$6),0)))</f>
        <v>0</v>
      </c>
      <c r="GZ165" s="1186">
        <v>0</v>
      </c>
      <c r="HA165" s="1184" t="str">
        <f>IF(HK165=3,"a",VLOOKUP(CY165,$Y$13:$AZ$131,COLUMN($AZ$1)-COLUMN($Y$1)+1,FALSE))</f>
        <v>a</v>
      </c>
      <c r="HB165" s="1196">
        <f>IF(HA165="a",0,GD165*HE165)</f>
        <v>0</v>
      </c>
      <c r="HC165" s="1196">
        <f>IF(HA165="a",0,GD165*(1-HE165))</f>
        <v>0</v>
      </c>
      <c r="HD165" s="1196"/>
      <c r="HE165" s="1187">
        <f>IF(HK165=3,0,IF(HA165&lt;&gt;"a",IF(GU165=0,0,MIN(1,HA165/GU165)),IF(DA165=$DA$4,IF($GG$4-$HC$4-$HB$4=0,0,$HD$4/($GG$4-$HC$4-$HB$4)),IF(DA165=$DA$6,IF($GG$6-$HC$6-$HB$6=0,0,$HD$6/($GG$6-$HC$6-$HB$6)),0))))</f>
        <v>0</v>
      </c>
      <c r="HF165" s="1196" t="e">
        <f>GU165*HE165</f>
        <v>#DIV/0!</v>
      </c>
      <c r="HG165" s="1196" t="e">
        <f>GU165-HF165</f>
        <v>#DIV/0!</v>
      </c>
      <c r="HH165" s="1196" t="e">
        <f>GV165</f>
        <v>#DIV/0!</v>
      </c>
      <c r="HI165" s="1196"/>
      <c r="HJ165" s="1196"/>
      <c r="HK165" s="1184">
        <f t="shared" si="391"/>
        <v>3</v>
      </c>
      <c r="HL165" s="1184"/>
      <c r="HN165" s="1184"/>
      <c r="HO165" s="1184"/>
      <c r="HP165" s="1184"/>
      <c r="HQ165" s="1184"/>
      <c r="HR165" s="1184"/>
      <c r="HS165" s="1184"/>
      <c r="HT165" s="1184"/>
      <c r="HU165" s="1184"/>
      <c r="HV165" s="1184"/>
      <c r="HW165" s="1184"/>
      <c r="HX165" s="1184"/>
      <c r="HY165" s="1184"/>
      <c r="HZ165" s="1184"/>
      <c r="IA165" s="1184"/>
      <c r="IB165" s="1184"/>
      <c r="IC165" s="1184"/>
      <c r="ID165" s="1184"/>
      <c r="IE165" s="1184"/>
      <c r="IF165" s="1184"/>
      <c r="IG165" s="1184"/>
      <c r="IH165" s="1184"/>
      <c r="II165" s="1184"/>
      <c r="IJ165" s="1184"/>
      <c r="IK165" s="1184"/>
      <c r="IL165" s="1184"/>
    </row>
    <row r="166" spans="25:246" ht="15.75" customHeight="1" x14ac:dyDescent="0.2">
      <c r="Y166" s="1555"/>
      <c r="Z166" s="1555"/>
      <c r="AA166" s="1555"/>
      <c r="AB166" s="1555"/>
      <c r="AC166" s="242"/>
      <c r="AD166" s="242"/>
      <c r="AE166" s="242"/>
      <c r="AF166" s="242"/>
      <c r="AG166" s="242"/>
      <c r="AH166" s="242"/>
      <c r="AI166" s="242"/>
      <c r="AJ166" s="242"/>
      <c r="AK166" s="242"/>
      <c r="AL166" s="242"/>
      <c r="AM166" s="242"/>
      <c r="AN166" s="242"/>
      <c r="AR166" s="242"/>
      <c r="AS166" s="242"/>
      <c r="AT166" s="242"/>
      <c r="AU166" s="242"/>
      <c r="AV166" s="242"/>
      <c r="AY166" s="1184"/>
      <c r="AZ166" s="1184"/>
      <c r="BA166" s="1184"/>
      <c r="BB166" s="1184"/>
      <c r="BC166" s="1184"/>
      <c r="BD166" s="1184"/>
      <c r="BQ166" s="1184"/>
      <c r="BR166" s="1184"/>
      <c r="BS166" s="1184"/>
      <c r="BT166" s="1184"/>
      <c r="BU166" s="1200"/>
      <c r="BV166" s="1326"/>
      <c r="BW166" s="1326"/>
      <c r="BX166" s="1326"/>
      <c r="BY166" s="1326"/>
      <c r="BZ166" s="1326"/>
      <c r="CA166" s="1326"/>
      <c r="CB166" s="1326"/>
      <c r="CC166" s="1326"/>
      <c r="CD166" s="1326"/>
      <c r="CE166" s="1326"/>
      <c r="CF166" s="1326"/>
      <c r="CG166" s="1326"/>
      <c r="CH166" s="1326"/>
      <c r="CI166" s="1326"/>
      <c r="CJ166" s="1326"/>
      <c r="CK166" s="1326"/>
      <c r="CL166" s="1184"/>
      <c r="CM166" s="1184"/>
      <c r="CN166" s="1184"/>
      <c r="CO166" s="1184"/>
      <c r="CP166" s="1184"/>
      <c r="CQ166" s="1184"/>
      <c r="CR166" s="1184"/>
      <c r="CS166" s="1184"/>
      <c r="CT166" s="1184"/>
      <c r="CU166" s="1184"/>
      <c r="CV166" s="1184"/>
      <c r="CW166" s="1184"/>
      <c r="CX166" s="1184"/>
      <c r="CY166" s="1184"/>
      <c r="CZ166" s="1184"/>
      <c r="DA166" s="1184"/>
      <c r="DB166" s="1184"/>
      <c r="DC166" s="1184"/>
      <c r="DD166" s="1184"/>
      <c r="DE166" s="1184"/>
      <c r="DF166" s="1184"/>
      <c r="DG166" s="1184"/>
      <c r="DH166" s="1184"/>
      <c r="DI166" s="1184"/>
      <c r="DJ166" s="1184"/>
      <c r="DK166" s="1184"/>
      <c r="DL166" s="1184"/>
      <c r="DM166" s="1184"/>
      <c r="DN166" s="1184"/>
      <c r="DO166" s="1184"/>
      <c r="DP166" s="1184"/>
      <c r="DQ166" s="1184"/>
      <c r="DR166" s="1184"/>
      <c r="DS166" s="1184"/>
      <c r="DT166" s="1184"/>
      <c r="DU166" s="1184"/>
      <c r="DV166" s="1184"/>
      <c r="DW166" s="1184"/>
      <c r="DX166" s="1184"/>
      <c r="DY166" s="1184"/>
      <c r="DZ166" s="1184"/>
      <c r="EA166" s="1184"/>
      <c r="EB166" s="1184"/>
      <c r="EC166" s="1184"/>
      <c r="ED166" s="1184"/>
      <c r="EE166" s="1184"/>
      <c r="EF166" s="1184"/>
      <c r="EG166" s="1184"/>
      <c r="EH166" s="1184"/>
      <c r="EI166" s="1184"/>
      <c r="EJ166" s="1184"/>
      <c r="EK166" s="1184"/>
      <c r="EL166" s="1184"/>
      <c r="EM166" s="1184"/>
      <c r="EN166" s="1184"/>
      <c r="EO166" s="1184"/>
      <c r="EP166" s="1184"/>
      <c r="EQ166" s="1184"/>
      <c r="ER166" s="1184"/>
      <c r="ES166" s="1184"/>
      <c r="ET166" s="1184"/>
      <c r="EU166" s="1184"/>
      <c r="EV166" s="1184"/>
      <c r="EW166" s="1184"/>
      <c r="EX166" s="1184"/>
      <c r="EY166" s="1184"/>
      <c r="EZ166" s="1184"/>
      <c r="FA166" s="1184"/>
      <c r="FB166" s="1184"/>
      <c r="FC166" s="1184"/>
      <c r="FD166" s="1184"/>
      <c r="FE166" s="1184"/>
      <c r="FF166" s="1184"/>
      <c r="FG166" s="1184"/>
      <c r="FH166" s="1184"/>
      <c r="FI166" s="1184"/>
      <c r="FJ166" s="1184"/>
      <c r="FK166" s="1184"/>
      <c r="FL166" s="1184"/>
      <c r="FM166" s="1184"/>
      <c r="FN166" s="1184"/>
      <c r="FO166" s="1184"/>
      <c r="FP166" s="1184"/>
      <c r="FQ166" s="1184"/>
      <c r="FR166" s="1184"/>
      <c r="FS166" s="1184"/>
      <c r="FT166" s="1184"/>
      <c r="FU166" s="1184"/>
      <c r="FV166" s="1184"/>
      <c r="FW166" s="1184"/>
      <c r="FX166" s="1184"/>
      <c r="FY166" s="1184"/>
      <c r="FZ166" s="1184"/>
      <c r="GA166" s="1184"/>
      <c r="GB166" s="1184"/>
      <c r="GC166" s="1184"/>
      <c r="GD166" s="1184"/>
      <c r="GE166" s="1184"/>
      <c r="GF166" s="1184"/>
      <c r="GG166" s="1184"/>
      <c r="GH166" s="1184"/>
      <c r="GI166" s="1184"/>
      <c r="GJ166" s="1184"/>
      <c r="GK166" s="1184"/>
      <c r="GL166" s="1184"/>
      <c r="GM166" s="1184"/>
      <c r="GN166" s="1184"/>
      <c r="GO166" s="1184"/>
      <c r="GP166" s="1184"/>
      <c r="GQ166" s="1184"/>
      <c r="GR166" s="1184"/>
      <c r="GS166" s="1184"/>
      <c r="GT166" s="1184"/>
      <c r="GU166" s="1184"/>
      <c r="GV166" s="1184"/>
      <c r="GW166" s="1184"/>
      <c r="GX166" s="1184"/>
      <c r="GY166" s="1184"/>
      <c r="GZ166" s="1184"/>
      <c r="HA166" s="1184"/>
      <c r="HB166" s="1184"/>
      <c r="HC166" s="1184"/>
      <c r="HD166" s="1184"/>
      <c r="HE166" s="1184"/>
      <c r="HF166" s="1184"/>
      <c r="HG166" s="1184"/>
      <c r="HH166" s="1184"/>
      <c r="HI166" s="1184"/>
      <c r="HJ166" s="1184"/>
      <c r="HK166" s="1184"/>
      <c r="HL166" s="1184"/>
      <c r="HN166" s="1184"/>
      <c r="HO166" s="1184"/>
      <c r="HP166" s="1184"/>
      <c r="HQ166" s="1184"/>
      <c r="HR166" s="1184"/>
      <c r="HS166" s="1184"/>
      <c r="HT166" s="1184"/>
      <c r="HU166" s="1184"/>
      <c r="HV166" s="1184"/>
      <c r="HW166" s="1184"/>
      <c r="HX166" s="1184"/>
      <c r="HY166" s="1184"/>
      <c r="HZ166" s="1184"/>
      <c r="IA166" s="1184"/>
      <c r="IB166" s="1184"/>
      <c r="IC166" s="1184"/>
      <c r="ID166" s="1184"/>
      <c r="IE166" s="1184"/>
      <c r="IF166" s="1184"/>
      <c r="IG166" s="1184"/>
      <c r="IH166" s="1184"/>
      <c r="II166" s="1184"/>
      <c r="IJ166" s="1184"/>
      <c r="IK166" s="1184"/>
      <c r="IL166" s="1184"/>
    </row>
    <row r="167" spans="25:246" ht="15.75" customHeight="1" x14ac:dyDescent="0.2">
      <c r="Y167" s="1555"/>
      <c r="Z167" s="1555"/>
      <c r="AA167" s="1555"/>
      <c r="AB167" s="1555"/>
      <c r="AC167" s="242"/>
      <c r="AD167" s="242"/>
      <c r="AE167" s="242"/>
      <c r="AF167" s="242"/>
      <c r="AG167" s="242"/>
      <c r="AH167" s="242"/>
      <c r="AI167" s="242"/>
      <c r="AJ167" s="242"/>
      <c r="AK167" s="242"/>
      <c r="AL167" s="242"/>
      <c r="AM167" s="242"/>
      <c r="AN167" s="242"/>
      <c r="AR167" s="242"/>
      <c r="AS167" s="242"/>
      <c r="AT167" s="242"/>
      <c r="AU167" s="242"/>
      <c r="AV167" s="242"/>
      <c r="AY167" s="1184"/>
      <c r="AZ167" s="1184"/>
      <c r="BA167" s="1184"/>
      <c r="BB167" s="1184"/>
      <c r="BC167" s="1184"/>
      <c r="BD167" s="1184"/>
      <c r="BQ167" s="1184"/>
      <c r="BR167" s="1184"/>
      <c r="BS167" s="1184"/>
      <c r="BT167" s="1184"/>
      <c r="BU167" s="1200"/>
      <c r="BV167" s="1326"/>
      <c r="BW167" s="1326"/>
      <c r="BX167" s="1326"/>
      <c r="BY167" s="1326"/>
      <c r="BZ167" s="1326"/>
      <c r="CA167" s="1326"/>
      <c r="CB167" s="1326"/>
      <c r="CC167" s="1326"/>
      <c r="CD167" s="1326"/>
      <c r="CE167" s="1326"/>
      <c r="CF167" s="1326"/>
      <c r="CG167" s="1326"/>
      <c r="CH167" s="1326"/>
      <c r="CI167" s="1326"/>
      <c r="CJ167" s="1326"/>
      <c r="CK167" s="1326"/>
      <c r="CL167" s="1184"/>
      <c r="CM167" s="1184"/>
      <c r="CN167" s="1184"/>
      <c r="CO167" s="1184"/>
      <c r="CP167" s="1184"/>
      <c r="CQ167" s="1184"/>
      <c r="CR167" s="1184"/>
      <c r="CS167" s="1184"/>
      <c r="CT167" s="1184"/>
      <c r="CU167" s="1184"/>
      <c r="CV167" s="1184"/>
      <c r="CW167" s="1184"/>
      <c r="CX167" s="1184"/>
      <c r="CY167" s="1184"/>
      <c r="CZ167" s="1184"/>
      <c r="DA167" s="1184"/>
      <c r="DB167" s="1184"/>
      <c r="DC167" s="1184"/>
      <c r="DD167" s="1184"/>
      <c r="DE167" s="1184"/>
      <c r="DF167" s="1184"/>
      <c r="DG167" s="1184"/>
      <c r="DH167" s="1184"/>
      <c r="DI167" s="1184"/>
      <c r="DJ167" s="1184"/>
      <c r="DK167" s="1184"/>
      <c r="DL167" s="1184"/>
      <c r="DM167" s="1184"/>
      <c r="DN167" s="1184"/>
      <c r="DO167" s="1184"/>
      <c r="DP167" s="1184"/>
      <c r="DQ167" s="1184"/>
      <c r="DR167" s="1184"/>
      <c r="DS167" s="1184"/>
      <c r="DT167" s="1184"/>
      <c r="DU167" s="1184"/>
      <c r="DV167" s="1184"/>
      <c r="DW167" s="1184"/>
      <c r="DX167" s="1184"/>
      <c r="DY167" s="1184"/>
      <c r="DZ167" s="1184"/>
      <c r="EA167" s="1184"/>
      <c r="EB167" s="1184"/>
      <c r="EC167" s="1184"/>
      <c r="ED167" s="1184"/>
      <c r="EE167" s="1184"/>
      <c r="EF167" s="1184"/>
      <c r="EG167" s="1184"/>
      <c r="EH167" s="1184"/>
      <c r="EI167" s="1184"/>
      <c r="EJ167" s="1184"/>
      <c r="EK167" s="1184"/>
      <c r="EL167" s="1184"/>
      <c r="EM167" s="1184"/>
      <c r="EN167" s="1184"/>
      <c r="EO167" s="1184"/>
      <c r="EP167" s="1184"/>
      <c r="EQ167" s="1184"/>
      <c r="ER167" s="1184"/>
      <c r="ES167" s="1184"/>
      <c r="ET167" s="1184"/>
      <c r="EU167" s="1184"/>
      <c r="EV167" s="1184"/>
      <c r="EW167" s="1184"/>
      <c r="EX167" s="1184"/>
      <c r="EY167" s="1184"/>
      <c r="EZ167" s="1184"/>
      <c r="FA167" s="1184"/>
      <c r="FB167" s="1184"/>
      <c r="FC167" s="1184"/>
      <c r="FD167" s="1184"/>
      <c r="FE167" s="1184"/>
      <c r="FF167" s="1184"/>
      <c r="FG167" s="1184"/>
      <c r="FH167" s="1184"/>
      <c r="FI167" s="1184"/>
      <c r="FJ167" s="1184"/>
      <c r="FK167" s="1184"/>
      <c r="FL167" s="1184"/>
      <c r="FM167" s="1184"/>
      <c r="FN167" s="1184"/>
      <c r="FO167" s="1184"/>
      <c r="FP167" s="1184"/>
      <c r="FQ167" s="1184"/>
      <c r="FR167" s="1184"/>
      <c r="FS167" s="1184"/>
      <c r="FT167" s="1184"/>
      <c r="FU167" s="1184"/>
      <c r="FV167" s="1184"/>
      <c r="FW167" s="1184"/>
      <c r="FX167" s="1184"/>
      <c r="FY167" s="1184"/>
      <c r="FZ167" s="1184"/>
      <c r="GA167" s="1184"/>
      <c r="GB167" s="1184"/>
      <c r="GC167" s="1184"/>
      <c r="GD167" s="1184"/>
      <c r="GE167" s="1184"/>
      <c r="GF167" s="1184"/>
      <c r="GG167" s="1184"/>
      <c r="GH167" s="1184"/>
      <c r="GI167" s="1184"/>
      <c r="GJ167" s="1184"/>
      <c r="GK167" s="1184"/>
      <c r="GL167" s="1184"/>
      <c r="GM167" s="1184"/>
      <c r="GN167" s="1184"/>
      <c r="GO167" s="1184"/>
      <c r="GP167" s="1184"/>
      <c r="GQ167" s="1184"/>
      <c r="GR167" s="1184"/>
      <c r="GS167" s="1184"/>
      <c r="GT167" s="1184"/>
      <c r="GU167" s="1184"/>
      <c r="GV167" s="1184"/>
      <c r="GW167" s="1184"/>
      <c r="GX167" s="1184"/>
      <c r="GY167" s="1184"/>
      <c r="GZ167" s="1184"/>
      <c r="HA167" s="1184"/>
      <c r="HB167" s="1184"/>
      <c r="HC167" s="1184"/>
      <c r="HD167" s="1184"/>
      <c r="HE167" s="1184"/>
      <c r="HF167" s="1184"/>
      <c r="HG167" s="1184"/>
      <c r="HH167" s="1184"/>
      <c r="HI167" s="1184"/>
      <c r="HJ167" s="1184"/>
      <c r="HK167" s="1184"/>
      <c r="HL167" s="1184"/>
      <c r="HN167" s="1184"/>
      <c r="HO167" s="1184"/>
      <c r="HP167" s="1184"/>
      <c r="HQ167" s="1184"/>
      <c r="HR167" s="1184"/>
      <c r="HS167" s="1184"/>
      <c r="HT167" s="1184"/>
      <c r="HU167" s="1184"/>
      <c r="HV167" s="1184"/>
      <c r="HW167" s="1184"/>
      <c r="HX167" s="1184"/>
      <c r="HY167" s="1184"/>
      <c r="HZ167" s="1184"/>
      <c r="IA167" s="1184"/>
      <c r="IB167" s="1184"/>
      <c r="IC167" s="1184"/>
      <c r="ID167" s="1184"/>
      <c r="IE167" s="1184"/>
      <c r="IF167" s="1184"/>
      <c r="IG167" s="1184"/>
      <c r="IH167" s="1184"/>
      <c r="II167" s="1184"/>
      <c r="IJ167" s="1184"/>
      <c r="IK167" s="1184"/>
      <c r="IL167" s="1184"/>
    </row>
    <row r="168" spans="25:246" ht="15.75" customHeight="1" x14ac:dyDescent="0.2">
      <c r="Y168" s="1555"/>
      <c r="Z168" s="1555"/>
      <c r="AA168" s="1555"/>
      <c r="AB168" s="1555"/>
      <c r="AC168" s="242"/>
      <c r="AD168" s="242"/>
      <c r="AE168" s="242"/>
      <c r="AF168" s="242"/>
      <c r="AG168" s="242"/>
      <c r="AH168" s="242"/>
      <c r="AI168" s="242"/>
      <c r="AJ168" s="242"/>
      <c r="AK168" s="242"/>
      <c r="AL168" s="242"/>
      <c r="AM168" s="242"/>
      <c r="AN168" s="242"/>
      <c r="AR168" s="242"/>
      <c r="AS168" s="242"/>
      <c r="AT168" s="242"/>
      <c r="AU168" s="242"/>
      <c r="AV168" s="242"/>
      <c r="AY168" s="1184"/>
      <c r="AZ168" s="1184"/>
      <c r="BA168" s="1184"/>
      <c r="BB168" s="1184"/>
      <c r="BC168" s="1184"/>
      <c r="BD168" s="1184"/>
      <c r="BQ168" s="1184"/>
      <c r="BR168" s="1184"/>
      <c r="BS168" s="1184"/>
      <c r="BT168" s="1184"/>
      <c r="BU168" s="1200"/>
      <c r="BV168" s="1326"/>
      <c r="BW168" s="1326"/>
      <c r="BX168" s="1326"/>
      <c r="BY168" s="1326"/>
      <c r="BZ168" s="1326"/>
      <c r="CA168" s="1326"/>
      <c r="CB168" s="1326"/>
      <c r="CC168" s="1326"/>
      <c r="CD168" s="1326"/>
      <c r="CE168" s="1326"/>
      <c r="CF168" s="1326"/>
      <c r="CG168" s="1326"/>
      <c r="CH168" s="1326"/>
      <c r="CI168" s="1326"/>
      <c r="CJ168" s="1326"/>
      <c r="CK168" s="1326"/>
      <c r="CL168" s="1184"/>
      <c r="CM168" s="1184"/>
      <c r="CN168" s="1184"/>
      <c r="CO168" s="1184"/>
      <c r="CP168" s="1184"/>
      <c r="CQ168" s="1184"/>
      <c r="CR168" s="1184"/>
      <c r="CS168" s="1184"/>
      <c r="CT168" s="1184"/>
      <c r="CU168" s="1184"/>
      <c r="CV168" s="1184"/>
      <c r="CW168" s="1184"/>
      <c r="CX168" s="1184"/>
      <c r="CY168" s="1184"/>
      <c r="CZ168" s="1184"/>
      <c r="DA168" s="1184"/>
      <c r="DB168" s="1184"/>
      <c r="DC168" s="1184"/>
      <c r="DD168" s="1184"/>
      <c r="DE168" s="1184"/>
      <c r="DF168" s="1184"/>
      <c r="DG168" s="1184"/>
      <c r="DH168" s="1184"/>
      <c r="DI168" s="1184"/>
      <c r="DJ168" s="1184"/>
      <c r="DK168" s="1184"/>
      <c r="DL168" s="1184"/>
      <c r="DM168" s="1184"/>
      <c r="DN168" s="1184"/>
      <c r="DO168" s="1184"/>
      <c r="DP168" s="1184"/>
      <c r="DQ168" s="1184"/>
      <c r="DR168" s="1184"/>
      <c r="DS168" s="1184"/>
      <c r="DT168" s="1184"/>
      <c r="DU168" s="1184"/>
      <c r="DV168" s="1184"/>
      <c r="DW168" s="1184"/>
      <c r="DX168" s="1184"/>
      <c r="DY168" s="1184"/>
      <c r="DZ168" s="1184"/>
      <c r="EA168" s="1184"/>
      <c r="EB168" s="1184"/>
      <c r="EC168" s="1184"/>
      <c r="ED168" s="1184"/>
      <c r="EE168" s="1184"/>
      <c r="EF168" s="1184"/>
      <c r="EG168" s="1184"/>
      <c r="EH168" s="1184"/>
      <c r="EI168" s="1184"/>
      <c r="EJ168" s="1184"/>
      <c r="EK168" s="1184"/>
      <c r="EL168" s="1184"/>
      <c r="EM168" s="1184"/>
      <c r="EN168" s="1184"/>
      <c r="EO168" s="1184"/>
      <c r="EP168" s="1184"/>
      <c r="EQ168" s="1184"/>
      <c r="ER168" s="1184"/>
      <c r="ES168" s="1184"/>
      <c r="ET168" s="1184"/>
      <c r="EU168" s="1184"/>
      <c r="EV168" s="1184"/>
      <c r="EW168" s="1184"/>
      <c r="EX168" s="1184"/>
      <c r="EY168" s="1184"/>
      <c r="EZ168" s="1184"/>
      <c r="FA168" s="1184"/>
      <c r="FB168" s="1184"/>
      <c r="FC168" s="1184"/>
      <c r="FD168" s="1184"/>
      <c r="FE168" s="1184"/>
      <c r="FF168" s="1184"/>
      <c r="FG168" s="1184"/>
      <c r="FH168" s="1184"/>
      <c r="FI168" s="1184"/>
      <c r="FJ168" s="1184"/>
      <c r="FK168" s="1184"/>
      <c r="FL168" s="1184"/>
      <c r="FM168" s="1184"/>
      <c r="FN168" s="1184"/>
      <c r="FO168" s="1184"/>
      <c r="FP168" s="1184"/>
      <c r="FQ168" s="1184"/>
      <c r="FR168" s="1184"/>
      <c r="FS168" s="1184"/>
      <c r="FT168" s="1184"/>
      <c r="FU168" s="1184"/>
      <c r="FV168" s="1184"/>
      <c r="FW168" s="1184"/>
      <c r="FX168" s="1184"/>
      <c r="FY168" s="1184"/>
      <c r="FZ168" s="1184"/>
      <c r="GA168" s="1184"/>
      <c r="GB168" s="1184"/>
      <c r="GC168" s="1184"/>
      <c r="GD168" s="1184"/>
      <c r="GE168" s="1184"/>
      <c r="GF168" s="1184"/>
      <c r="GG168" s="1184"/>
      <c r="GH168" s="1184"/>
      <c r="GI168" s="1184"/>
      <c r="GJ168" s="1184"/>
      <c r="GK168" s="1184"/>
      <c r="GL168" s="1184"/>
      <c r="GM168" s="1184"/>
      <c r="GN168" s="1184"/>
      <c r="GO168" s="1184"/>
      <c r="GP168" s="1184"/>
      <c r="GQ168" s="1184"/>
      <c r="GR168" s="1184"/>
      <c r="GS168" s="1184"/>
      <c r="GT168" s="1184"/>
      <c r="GU168" s="1184"/>
      <c r="GV168" s="1184"/>
      <c r="GW168" s="1184"/>
      <c r="GX168" s="1184"/>
      <c r="GY168" s="1184"/>
      <c r="GZ168" s="1184"/>
      <c r="HA168" s="1184"/>
      <c r="HB168" s="1184"/>
      <c r="HC168" s="1184"/>
      <c r="HD168" s="1184"/>
      <c r="HE168" s="1184"/>
      <c r="HF168" s="1184"/>
      <c r="HG168" s="1184"/>
      <c r="HH168" s="1184"/>
      <c r="HI168" s="1184"/>
      <c r="HJ168" s="1184"/>
      <c r="HK168" s="1184"/>
      <c r="HL168" s="1184"/>
      <c r="HN168" s="1184"/>
      <c r="HO168" s="1184"/>
      <c r="HP168" s="1184"/>
      <c r="HQ168" s="1184"/>
      <c r="HR168" s="1184"/>
      <c r="HS168" s="1184"/>
      <c r="HT168" s="1184"/>
      <c r="HU168" s="1184"/>
      <c r="HV168" s="1184"/>
      <c r="HW168" s="1184"/>
      <c r="HX168" s="1184"/>
      <c r="HY168" s="1184"/>
      <c r="HZ168" s="1184"/>
      <c r="IA168" s="1184"/>
      <c r="IB168" s="1184"/>
      <c r="IC168" s="1184"/>
      <c r="ID168" s="1184"/>
      <c r="IE168" s="1184"/>
      <c r="IF168" s="1184"/>
      <c r="IG168" s="1184"/>
      <c r="IH168" s="1184"/>
      <c r="II168" s="1184"/>
      <c r="IJ168" s="1184"/>
      <c r="IK168" s="1184"/>
      <c r="IL168" s="1184"/>
    </row>
    <row r="169" spans="25:246" ht="15.75" customHeight="1" x14ac:dyDescent="0.2">
      <c r="Y169" s="1555"/>
      <c r="Z169" s="1555"/>
      <c r="AA169" s="1555"/>
      <c r="AB169" s="1555"/>
      <c r="AC169" s="242"/>
      <c r="AD169" s="242"/>
      <c r="AE169" s="242"/>
      <c r="AF169" s="242"/>
      <c r="AG169" s="242"/>
      <c r="AH169" s="242"/>
      <c r="AI169" s="242"/>
      <c r="AJ169" s="242"/>
      <c r="AK169" s="242"/>
      <c r="AL169" s="242"/>
      <c r="AM169" s="242"/>
      <c r="AN169" s="242"/>
      <c r="AR169" s="242"/>
      <c r="AS169" s="242"/>
      <c r="AT169" s="242"/>
      <c r="AU169" s="242"/>
      <c r="AV169" s="242"/>
      <c r="AY169" s="1184"/>
      <c r="AZ169" s="1184"/>
      <c r="BA169" s="1184"/>
      <c r="BB169" s="1184"/>
      <c r="BC169" s="1184"/>
      <c r="BD169" s="1184"/>
      <c r="BQ169" s="1184"/>
      <c r="BR169" s="1184"/>
      <c r="BS169" s="1184"/>
      <c r="BT169" s="1184"/>
      <c r="BU169" s="1200"/>
      <c r="BV169" s="1326"/>
      <c r="BW169" s="1326"/>
      <c r="BX169" s="1326"/>
      <c r="BY169" s="1326"/>
      <c r="BZ169" s="1326"/>
      <c r="CA169" s="1326"/>
      <c r="CB169" s="1326"/>
      <c r="CC169" s="1326"/>
      <c r="CD169" s="1326"/>
      <c r="CE169" s="1326"/>
      <c r="CF169" s="1326"/>
      <c r="CG169" s="1326"/>
      <c r="CH169" s="1326"/>
      <c r="CI169" s="1326"/>
      <c r="CJ169" s="1326"/>
      <c r="CK169" s="1326"/>
      <c r="CL169" s="1184"/>
      <c r="CM169" s="1184"/>
      <c r="CN169" s="1184"/>
      <c r="CO169" s="1184"/>
      <c r="CP169" s="1184"/>
      <c r="CQ169" s="1184"/>
      <c r="CR169" s="1184"/>
      <c r="CS169" s="1184"/>
      <c r="CT169" s="1184"/>
      <c r="CU169" s="1184"/>
      <c r="CV169" s="1184"/>
      <c r="CW169" s="1184"/>
      <c r="CX169" s="1184"/>
      <c r="CY169" s="1184"/>
      <c r="CZ169" s="1184"/>
      <c r="DA169" s="1184"/>
      <c r="DB169" s="1184"/>
      <c r="DC169" s="1184"/>
      <c r="DD169" s="1184"/>
      <c r="DE169" s="1184"/>
      <c r="DF169" s="1184"/>
      <c r="DG169" s="1184"/>
      <c r="DH169" s="1184"/>
      <c r="DI169" s="1184"/>
      <c r="DJ169" s="1184"/>
      <c r="DK169" s="1184"/>
      <c r="DL169" s="1184"/>
      <c r="DM169" s="1184"/>
      <c r="DN169" s="1184"/>
      <c r="DO169" s="1184"/>
      <c r="DP169" s="1184"/>
      <c r="DQ169" s="1184"/>
      <c r="DR169" s="1184"/>
      <c r="DS169" s="1184"/>
      <c r="DT169" s="1184"/>
      <c r="DU169" s="1184"/>
      <c r="DV169" s="1184"/>
      <c r="DW169" s="1184"/>
      <c r="DX169" s="1184"/>
      <c r="DY169" s="1184"/>
      <c r="DZ169" s="1184"/>
      <c r="EA169" s="1184"/>
      <c r="EB169" s="1184"/>
      <c r="EC169" s="1184"/>
      <c r="ED169" s="1184"/>
      <c r="EE169" s="1184"/>
      <c r="EF169" s="1184"/>
      <c r="EG169" s="1184"/>
      <c r="EH169" s="1184"/>
      <c r="EI169" s="1184"/>
      <c r="EJ169" s="1184"/>
      <c r="EK169" s="1184"/>
      <c r="EL169" s="1184"/>
      <c r="EM169" s="1184"/>
      <c r="EN169" s="1184"/>
      <c r="EO169" s="1184"/>
      <c r="EP169" s="1184"/>
      <c r="EQ169" s="1184"/>
      <c r="ER169" s="1184"/>
      <c r="ES169" s="1184"/>
      <c r="ET169" s="1184"/>
      <c r="EU169" s="1184"/>
      <c r="EV169" s="1184"/>
      <c r="EW169" s="1184"/>
      <c r="EX169" s="1184"/>
      <c r="EY169" s="1184"/>
      <c r="EZ169" s="1184"/>
      <c r="FA169" s="1184"/>
      <c r="FB169" s="1184"/>
      <c r="FC169" s="1184"/>
      <c r="FD169" s="1184"/>
      <c r="FE169" s="1184"/>
      <c r="FF169" s="1184"/>
      <c r="FG169" s="1184"/>
      <c r="FH169" s="1184"/>
      <c r="FI169" s="1184"/>
      <c r="FJ169" s="1184"/>
      <c r="FK169" s="1184"/>
      <c r="FL169" s="1184"/>
      <c r="FM169" s="1184"/>
      <c r="FN169" s="1184"/>
      <c r="FO169" s="1184"/>
      <c r="FP169" s="1184"/>
      <c r="FQ169" s="1184"/>
      <c r="FR169" s="1184"/>
      <c r="FS169" s="1184"/>
      <c r="FT169" s="1184"/>
      <c r="FU169" s="1184"/>
      <c r="FV169" s="1184"/>
      <c r="FW169" s="1184"/>
      <c r="FX169" s="1184"/>
      <c r="FY169" s="1184"/>
      <c r="FZ169" s="1184"/>
      <c r="GA169" s="1184"/>
      <c r="GB169" s="1184"/>
      <c r="GC169" s="1184"/>
      <c r="GD169" s="1184"/>
      <c r="GE169" s="1184"/>
      <c r="GF169" s="1184"/>
      <c r="GG169" s="1184"/>
      <c r="GH169" s="1184"/>
      <c r="GI169" s="1184"/>
      <c r="GJ169" s="1184"/>
      <c r="GK169" s="1184"/>
      <c r="GL169" s="1184"/>
      <c r="GM169" s="1184"/>
      <c r="GN169" s="1184"/>
      <c r="GO169" s="1184"/>
      <c r="GP169" s="1184"/>
      <c r="GQ169" s="1184"/>
      <c r="GR169" s="1184"/>
      <c r="GS169" s="1184"/>
      <c r="GT169" s="1184"/>
      <c r="GU169" s="1184"/>
      <c r="GV169" s="1184"/>
      <c r="GW169" s="1184"/>
      <c r="GX169" s="1184"/>
      <c r="GY169" s="1184"/>
      <c r="GZ169" s="1184"/>
      <c r="HA169" s="1184"/>
      <c r="HB169" s="1184"/>
      <c r="HC169" s="1184"/>
      <c r="HD169" s="1184"/>
      <c r="HE169" s="1184"/>
      <c r="HF169" s="1184"/>
      <c r="HG169" s="1184"/>
      <c r="HH169" s="1184"/>
      <c r="HI169" s="1184"/>
      <c r="HJ169" s="1184"/>
      <c r="HK169" s="1184"/>
      <c r="HL169" s="1184"/>
      <c r="HN169" s="1184"/>
      <c r="HO169" s="1184"/>
      <c r="HP169" s="1184"/>
      <c r="HQ169" s="1184"/>
      <c r="HR169" s="1184"/>
      <c r="HS169" s="1184"/>
      <c r="HT169" s="1184"/>
      <c r="HU169" s="1184"/>
      <c r="HV169" s="1184"/>
      <c r="HW169" s="1184"/>
      <c r="HX169" s="1184"/>
      <c r="HY169" s="1184"/>
      <c r="HZ169" s="1184"/>
      <c r="IA169" s="1184"/>
      <c r="IB169" s="1184"/>
      <c r="IC169" s="1184"/>
      <c r="ID169" s="1184"/>
      <c r="IE169" s="1184"/>
      <c r="IF169" s="1184"/>
      <c r="IG169" s="1184"/>
      <c r="IH169" s="1184"/>
      <c r="II169" s="1184"/>
      <c r="IJ169" s="1184"/>
      <c r="IK169" s="1184"/>
      <c r="IL169" s="1184"/>
    </row>
    <row r="170" spans="25:246" ht="15.75" customHeight="1" x14ac:dyDescent="0.2">
      <c r="Y170" s="1555"/>
      <c r="Z170" s="1555"/>
      <c r="AA170" s="1555"/>
      <c r="AB170" s="1555"/>
      <c r="AC170" s="242"/>
      <c r="AD170" s="242"/>
      <c r="AE170" s="242"/>
      <c r="AF170" s="242"/>
      <c r="AG170" s="242"/>
      <c r="AH170" s="242"/>
      <c r="AI170" s="242"/>
      <c r="AJ170" s="242"/>
      <c r="AK170" s="242"/>
      <c r="AL170" s="242"/>
      <c r="AM170" s="242"/>
      <c r="AN170" s="242"/>
      <c r="AR170" s="242"/>
      <c r="AS170" s="242"/>
      <c r="AT170" s="242"/>
      <c r="AU170" s="242"/>
      <c r="AV170" s="242"/>
      <c r="AY170" s="1184"/>
      <c r="AZ170" s="1184"/>
      <c r="BA170" s="1184"/>
      <c r="BB170" s="1184"/>
      <c r="BC170" s="1184"/>
      <c r="BD170" s="1184"/>
      <c r="BQ170" s="1184"/>
      <c r="BR170" s="1184"/>
      <c r="BS170" s="1184"/>
      <c r="BT170" s="1184"/>
      <c r="BU170" s="1200"/>
      <c r="BV170" s="1326"/>
      <c r="BW170" s="1326"/>
      <c r="BX170" s="1326"/>
      <c r="BY170" s="1326"/>
      <c r="BZ170" s="1326"/>
      <c r="CA170" s="1326"/>
      <c r="CB170" s="1326"/>
      <c r="CC170" s="1326"/>
      <c r="CD170" s="1326"/>
      <c r="CE170" s="1326"/>
      <c r="CF170" s="1326"/>
      <c r="CG170" s="1326"/>
      <c r="CH170" s="1326"/>
      <c r="CI170" s="1326"/>
      <c r="CJ170" s="1326"/>
      <c r="CK170" s="1326"/>
      <c r="CL170" s="1184"/>
      <c r="CM170" s="1184"/>
      <c r="CN170" s="1184"/>
      <c r="CO170" s="1184"/>
      <c r="CP170" s="1184"/>
      <c r="CQ170" s="1184"/>
      <c r="CR170" s="1184"/>
      <c r="CS170" s="1184"/>
      <c r="CT170" s="1184"/>
      <c r="CU170" s="1184"/>
      <c r="CV170" s="1184"/>
      <c r="CW170" s="1184"/>
      <c r="CX170" s="1184"/>
      <c r="CY170" s="1184"/>
      <c r="CZ170" s="1184"/>
      <c r="DA170" s="1184"/>
      <c r="DB170" s="1184"/>
      <c r="DC170" s="1184"/>
      <c r="DD170" s="1184"/>
      <c r="DE170" s="1184"/>
      <c r="DF170" s="1184"/>
      <c r="DG170" s="1184"/>
      <c r="DH170" s="1184"/>
      <c r="DI170" s="1184"/>
      <c r="DJ170" s="1184"/>
      <c r="DK170" s="1184"/>
      <c r="DL170" s="1184"/>
      <c r="DM170" s="1184"/>
      <c r="DN170" s="1184"/>
      <c r="DO170" s="1184"/>
      <c r="DP170" s="1184"/>
      <c r="DQ170" s="1184"/>
      <c r="DR170" s="1184"/>
      <c r="DS170" s="1184"/>
      <c r="DT170" s="1184"/>
      <c r="DU170" s="1184"/>
      <c r="DV170" s="1184"/>
      <c r="DW170" s="1184"/>
      <c r="DX170" s="1184"/>
      <c r="DY170" s="1184"/>
      <c r="DZ170" s="1184"/>
      <c r="EA170" s="1184"/>
      <c r="EB170" s="1184"/>
      <c r="EC170" s="1184"/>
      <c r="ED170" s="1184"/>
      <c r="EE170" s="1184"/>
      <c r="EF170" s="1184"/>
      <c r="EG170" s="1184"/>
      <c r="EH170" s="1184"/>
      <c r="EI170" s="1184"/>
      <c r="EJ170" s="1184"/>
      <c r="EK170" s="1184"/>
      <c r="EL170" s="1184"/>
      <c r="EM170" s="1184"/>
      <c r="EN170" s="1184"/>
      <c r="EO170" s="1184"/>
      <c r="EP170" s="1184"/>
      <c r="EQ170" s="1184"/>
      <c r="ER170" s="1184"/>
      <c r="ES170" s="1184"/>
      <c r="ET170" s="1184"/>
      <c r="EU170" s="1184"/>
      <c r="EV170" s="1184"/>
      <c r="EW170" s="1184"/>
      <c r="EX170" s="1184"/>
      <c r="EY170" s="1184"/>
      <c r="EZ170" s="1184"/>
      <c r="FA170" s="1184"/>
      <c r="FB170" s="1184"/>
      <c r="FC170" s="1184"/>
      <c r="FD170" s="1184"/>
      <c r="FE170" s="1184"/>
      <c r="FF170" s="1184"/>
      <c r="FG170" s="1184"/>
      <c r="FH170" s="1184"/>
      <c r="FI170" s="1184"/>
      <c r="FJ170" s="1184"/>
      <c r="FK170" s="1184"/>
      <c r="FL170" s="1184"/>
      <c r="FM170" s="1184"/>
      <c r="FN170" s="1184"/>
      <c r="FO170" s="1184"/>
      <c r="FP170" s="1184"/>
      <c r="FQ170" s="1184"/>
      <c r="FR170" s="1184"/>
      <c r="FS170" s="1184"/>
      <c r="FT170" s="1184"/>
      <c r="FU170" s="1184"/>
      <c r="FV170" s="1184"/>
      <c r="FW170" s="1184"/>
      <c r="FX170" s="1184"/>
      <c r="FY170" s="1184"/>
      <c r="FZ170" s="1184"/>
      <c r="GA170" s="1184"/>
      <c r="GB170" s="1184"/>
      <c r="GC170" s="1184"/>
      <c r="GD170" s="1184"/>
      <c r="GE170" s="1184"/>
      <c r="GF170" s="1184"/>
      <c r="GG170" s="1184"/>
      <c r="GH170" s="1184"/>
      <c r="GI170" s="1184"/>
      <c r="GJ170" s="1184"/>
      <c r="GK170" s="1184"/>
      <c r="GL170" s="1184"/>
      <c r="GM170" s="1184"/>
      <c r="GN170" s="1184"/>
      <c r="GO170" s="1184"/>
      <c r="GP170" s="1184"/>
      <c r="GQ170" s="1184"/>
      <c r="GR170" s="1184"/>
      <c r="GS170" s="1184"/>
      <c r="GT170" s="1184"/>
      <c r="GU170" s="1184"/>
      <c r="GV170" s="1184"/>
      <c r="GW170" s="1184"/>
      <c r="GX170" s="1184"/>
      <c r="GY170" s="1184"/>
      <c r="GZ170" s="1184"/>
      <c r="HA170" s="1184"/>
      <c r="HB170" s="1184"/>
      <c r="HC170" s="1184"/>
      <c r="HD170" s="1184"/>
      <c r="HE170" s="1184"/>
      <c r="HF170" s="1184"/>
      <c r="HG170" s="1184"/>
      <c r="HH170" s="1184"/>
      <c r="HI170" s="1184"/>
      <c r="HJ170" s="1184"/>
      <c r="HK170" s="1184"/>
      <c r="HL170" s="1184"/>
      <c r="HN170" s="1184"/>
      <c r="HO170" s="1184"/>
      <c r="HP170" s="1184"/>
      <c r="HQ170" s="1184"/>
      <c r="HR170" s="1184"/>
      <c r="HS170" s="1184"/>
      <c r="HT170" s="1184"/>
      <c r="HU170" s="1184"/>
      <c r="HV170" s="1184"/>
      <c r="HW170" s="1184"/>
      <c r="HX170" s="1184"/>
      <c r="HY170" s="1184"/>
      <c r="HZ170" s="1184"/>
      <c r="IA170" s="1184"/>
      <c r="IB170" s="1184"/>
      <c r="IC170" s="1184"/>
      <c r="ID170" s="1184"/>
      <c r="IE170" s="1184"/>
      <c r="IF170" s="1184"/>
      <c r="IG170" s="1184"/>
      <c r="IH170" s="1184"/>
      <c r="II170" s="1184"/>
      <c r="IJ170" s="1184"/>
      <c r="IK170" s="1184"/>
      <c r="IL170" s="1184"/>
    </row>
    <row r="171" spans="25:246" ht="15.75" customHeight="1" x14ac:dyDescent="0.2">
      <c r="Y171" s="1555"/>
      <c r="Z171" s="1555"/>
      <c r="AA171" s="1555"/>
      <c r="AB171" s="1555"/>
      <c r="AC171" s="242"/>
      <c r="AD171" s="242"/>
      <c r="AE171" s="242"/>
      <c r="AF171" s="242"/>
      <c r="AG171" s="242"/>
      <c r="AH171" s="242"/>
      <c r="AI171" s="242"/>
      <c r="AJ171" s="242"/>
      <c r="AK171" s="242"/>
      <c r="AL171" s="242"/>
      <c r="AM171" s="242"/>
      <c r="AN171" s="242"/>
      <c r="AR171" s="242"/>
      <c r="AS171" s="242"/>
      <c r="AT171" s="242"/>
      <c r="AU171" s="242"/>
      <c r="AV171" s="242"/>
      <c r="AY171" s="1184"/>
      <c r="AZ171" s="1184"/>
      <c r="BA171" s="1184"/>
      <c r="BB171" s="1184"/>
      <c r="BC171" s="1184"/>
      <c r="BD171" s="1184"/>
      <c r="BQ171" s="1184"/>
      <c r="BR171" s="1184"/>
      <c r="BS171" s="1184"/>
      <c r="BT171" s="1184"/>
      <c r="BU171" s="1200"/>
      <c r="BV171" s="1326"/>
      <c r="BW171" s="1326"/>
      <c r="BX171" s="1326"/>
      <c r="BY171" s="1326"/>
      <c r="BZ171" s="1326"/>
      <c r="CA171" s="1326"/>
      <c r="CB171" s="1326"/>
      <c r="CC171" s="1326"/>
      <c r="CD171" s="1326"/>
      <c r="CE171" s="1326"/>
      <c r="CF171" s="1326"/>
      <c r="CG171" s="1326"/>
      <c r="CH171" s="1326"/>
      <c r="CI171" s="1326"/>
      <c r="CJ171" s="1326"/>
      <c r="CK171" s="1326"/>
      <c r="CL171" s="1184"/>
      <c r="CM171" s="1184"/>
      <c r="CN171" s="1184"/>
      <c r="CO171" s="1184"/>
      <c r="CP171" s="1184"/>
      <c r="CQ171" s="1184"/>
      <c r="CR171" s="1184"/>
      <c r="CS171" s="1184"/>
      <c r="CT171" s="1184"/>
      <c r="CU171" s="1184"/>
      <c r="CV171" s="1184"/>
      <c r="CW171" s="1184"/>
      <c r="CX171" s="1184"/>
      <c r="CY171" s="1184"/>
      <c r="CZ171" s="1184"/>
      <c r="DA171" s="1184"/>
      <c r="DB171" s="1184"/>
      <c r="DC171" s="1184"/>
      <c r="DD171" s="1184"/>
      <c r="DE171" s="1184"/>
      <c r="DF171" s="1184"/>
      <c r="DG171" s="1184"/>
      <c r="DH171" s="1184"/>
      <c r="DI171" s="1184"/>
      <c r="DJ171" s="1184"/>
      <c r="DK171" s="1184"/>
      <c r="DL171" s="1184"/>
      <c r="DM171" s="1184"/>
      <c r="DN171" s="1184"/>
      <c r="DO171" s="1184"/>
      <c r="DP171" s="1184"/>
      <c r="DQ171" s="1184"/>
      <c r="DR171" s="1184"/>
      <c r="DS171" s="1184"/>
      <c r="DT171" s="1184"/>
      <c r="DU171" s="1184"/>
      <c r="DV171" s="1184"/>
      <c r="DW171" s="1184"/>
      <c r="DX171" s="1184"/>
      <c r="DY171" s="1184"/>
      <c r="DZ171" s="1184"/>
      <c r="EA171" s="1184"/>
      <c r="EB171" s="1184"/>
      <c r="EC171" s="1184"/>
      <c r="ED171" s="1184"/>
      <c r="EE171" s="1184"/>
      <c r="EF171" s="1184"/>
      <c r="EG171" s="1184"/>
      <c r="EH171" s="1184"/>
      <c r="EI171" s="1184"/>
      <c r="EJ171" s="1184"/>
      <c r="EK171" s="1184"/>
      <c r="EL171" s="1184"/>
      <c r="EM171" s="1184"/>
      <c r="EN171" s="1184"/>
      <c r="EO171" s="1184"/>
      <c r="EP171" s="1184"/>
      <c r="EQ171" s="1184"/>
      <c r="ER171" s="1184"/>
      <c r="ES171" s="1184"/>
      <c r="ET171" s="1184"/>
      <c r="EU171" s="1184"/>
      <c r="EV171" s="1184"/>
      <c r="EW171" s="1184"/>
      <c r="EX171" s="1184"/>
      <c r="EY171" s="1184"/>
      <c r="EZ171" s="1184"/>
      <c r="FA171" s="1184"/>
      <c r="FB171" s="1184"/>
      <c r="FC171" s="1184"/>
      <c r="FD171" s="1184"/>
      <c r="FE171" s="1184"/>
      <c r="FF171" s="1184"/>
      <c r="FG171" s="1184"/>
      <c r="FH171" s="1184"/>
      <c r="FI171" s="1184"/>
      <c r="FJ171" s="1184"/>
      <c r="FK171" s="1184"/>
      <c r="FL171" s="1184"/>
      <c r="FM171" s="1184"/>
      <c r="FN171" s="1184"/>
      <c r="FO171" s="1184"/>
      <c r="FP171" s="1184"/>
      <c r="FQ171" s="1184"/>
      <c r="FR171" s="1184"/>
      <c r="FS171" s="1184"/>
      <c r="FT171" s="1184"/>
      <c r="FU171" s="1184"/>
      <c r="FV171" s="1184"/>
      <c r="FW171" s="1184"/>
      <c r="FX171" s="1184"/>
      <c r="FY171" s="1184"/>
      <c r="FZ171" s="1184"/>
      <c r="GA171" s="1184"/>
      <c r="GB171" s="1184"/>
      <c r="GC171" s="1184"/>
      <c r="GD171" s="1184"/>
      <c r="GE171" s="1184"/>
      <c r="GF171" s="1184"/>
      <c r="GG171" s="1184"/>
      <c r="GH171" s="1184"/>
      <c r="GI171" s="1184"/>
      <c r="GJ171" s="1184"/>
      <c r="GK171" s="1184"/>
      <c r="GL171" s="1184"/>
      <c r="GM171" s="1184"/>
      <c r="GN171" s="1184"/>
      <c r="GO171" s="1184"/>
      <c r="GP171" s="1184"/>
      <c r="GQ171" s="1184"/>
      <c r="GR171" s="1184"/>
      <c r="GS171" s="1184"/>
      <c r="GT171" s="1184"/>
      <c r="GU171" s="1184"/>
      <c r="GV171" s="1184"/>
      <c r="GW171" s="1184"/>
      <c r="GX171" s="1184"/>
      <c r="GY171" s="1184"/>
      <c r="GZ171" s="1184"/>
      <c r="HA171" s="1184"/>
      <c r="HB171" s="1184"/>
      <c r="HC171" s="1184"/>
      <c r="HD171" s="1184"/>
      <c r="HE171" s="1184"/>
      <c r="HF171" s="1184"/>
      <c r="HG171" s="1184"/>
      <c r="HH171" s="1184"/>
      <c r="HI171" s="1184"/>
      <c r="HJ171" s="1184"/>
      <c r="HK171" s="1184"/>
      <c r="HL171" s="1184"/>
      <c r="HN171" s="1184"/>
      <c r="HO171" s="1184"/>
      <c r="HP171" s="1184"/>
      <c r="HQ171" s="1184"/>
      <c r="HR171" s="1184"/>
      <c r="HS171" s="1184"/>
      <c r="HT171" s="1184"/>
      <c r="HU171" s="1184"/>
      <c r="HV171" s="1184"/>
      <c r="HW171" s="1184"/>
      <c r="HX171" s="1184"/>
      <c r="HY171" s="1184"/>
      <c r="HZ171" s="1184"/>
      <c r="IA171" s="1184"/>
      <c r="IB171" s="1184"/>
      <c r="IC171" s="1184"/>
      <c r="ID171" s="1184"/>
      <c r="IE171" s="1184"/>
      <c r="IF171" s="1184"/>
      <c r="IG171" s="1184"/>
      <c r="IH171" s="1184"/>
      <c r="II171" s="1184"/>
      <c r="IJ171" s="1184"/>
      <c r="IK171" s="1184"/>
      <c r="IL171" s="1184"/>
    </row>
    <row r="172" spans="25:246" ht="15.75" customHeight="1" x14ac:dyDescent="0.2">
      <c r="Y172" s="1555"/>
      <c r="Z172" s="1555"/>
      <c r="AA172" s="1555"/>
      <c r="AB172" s="1555"/>
      <c r="AC172" s="242"/>
      <c r="AD172" s="242"/>
      <c r="AE172" s="242"/>
      <c r="AF172" s="242"/>
      <c r="AG172" s="242"/>
      <c r="AH172" s="242"/>
      <c r="AI172" s="242"/>
      <c r="AJ172" s="242"/>
      <c r="AK172" s="242"/>
      <c r="AL172" s="242"/>
      <c r="AM172" s="242"/>
      <c r="AN172" s="242"/>
      <c r="AR172" s="242"/>
      <c r="AS172" s="242"/>
      <c r="AT172" s="242"/>
      <c r="AU172" s="242"/>
      <c r="AV172" s="242"/>
      <c r="AY172" s="1184"/>
      <c r="AZ172" s="1184"/>
      <c r="BA172" s="1184"/>
      <c r="BB172" s="1184"/>
      <c r="BC172" s="1184"/>
      <c r="BD172" s="1184"/>
      <c r="BQ172" s="1184"/>
      <c r="BR172" s="1184"/>
      <c r="BS172" s="1184"/>
      <c r="BT172" s="1184"/>
      <c r="BU172" s="1200"/>
      <c r="BV172" s="1326"/>
      <c r="BW172" s="1326"/>
      <c r="BX172" s="1326"/>
      <c r="BY172" s="1326"/>
      <c r="BZ172" s="1326"/>
      <c r="CA172" s="1326"/>
      <c r="CB172" s="1326"/>
      <c r="CC172" s="1326"/>
      <c r="CD172" s="1326"/>
      <c r="CE172" s="1326"/>
      <c r="CF172" s="1326"/>
      <c r="CG172" s="1326"/>
      <c r="CH172" s="1326"/>
      <c r="CI172" s="1326"/>
      <c r="CJ172" s="1326"/>
      <c r="CK172" s="1326"/>
      <c r="CL172" s="1184"/>
      <c r="CM172" s="1184"/>
      <c r="CN172" s="1184"/>
      <c r="CO172" s="1184"/>
      <c r="CP172" s="1184"/>
      <c r="CQ172" s="1184"/>
      <c r="CR172" s="1184"/>
      <c r="CS172" s="1184"/>
      <c r="CT172" s="1184"/>
      <c r="CU172" s="1184"/>
      <c r="CV172" s="1184"/>
      <c r="CW172" s="1184"/>
      <c r="CX172" s="1184"/>
      <c r="CY172" s="1184"/>
      <c r="CZ172" s="1184"/>
      <c r="DA172" s="1184"/>
      <c r="DB172" s="1184"/>
      <c r="DC172" s="1184"/>
      <c r="DD172" s="1184"/>
      <c r="DE172" s="1184"/>
      <c r="DF172" s="1184"/>
      <c r="DG172" s="1184"/>
      <c r="DH172" s="1184"/>
      <c r="DI172" s="1184"/>
      <c r="DJ172" s="1184"/>
      <c r="DK172" s="1184"/>
      <c r="DL172" s="1184"/>
      <c r="DM172" s="1184"/>
      <c r="DN172" s="1184"/>
      <c r="DO172" s="1184"/>
      <c r="DP172" s="1184"/>
      <c r="DQ172" s="1184"/>
      <c r="DR172" s="1184"/>
      <c r="DS172" s="1184"/>
      <c r="DT172" s="1184"/>
      <c r="DU172" s="1184"/>
      <c r="DV172" s="1184"/>
      <c r="DW172" s="1184"/>
      <c r="DX172" s="1184"/>
      <c r="DY172" s="1184"/>
      <c r="DZ172" s="1184"/>
      <c r="EA172" s="1184"/>
      <c r="EB172" s="1184"/>
      <c r="EC172" s="1184"/>
      <c r="ED172" s="1184"/>
      <c r="EE172" s="1184"/>
      <c r="EF172" s="1184"/>
      <c r="EG172" s="1184"/>
      <c r="EH172" s="1184"/>
      <c r="EI172" s="1184"/>
      <c r="EJ172" s="1184"/>
      <c r="EK172" s="1184"/>
      <c r="EL172" s="1184"/>
      <c r="EM172" s="1184"/>
      <c r="EN172" s="1184"/>
      <c r="EO172" s="1184"/>
      <c r="EP172" s="1184"/>
      <c r="EQ172" s="1184"/>
      <c r="ER172" s="1184"/>
      <c r="ES172" s="1184"/>
      <c r="ET172" s="1184"/>
      <c r="EU172" s="1184"/>
      <c r="EV172" s="1184"/>
      <c r="EW172" s="1184"/>
      <c r="EX172" s="1184"/>
      <c r="EY172" s="1184"/>
      <c r="EZ172" s="1184"/>
      <c r="FA172" s="1184"/>
      <c r="FB172" s="1184"/>
      <c r="FC172" s="1184"/>
      <c r="FD172" s="1184"/>
      <c r="FE172" s="1184"/>
      <c r="FF172" s="1184"/>
      <c r="FG172" s="1184"/>
      <c r="FH172" s="1184"/>
      <c r="FI172" s="1184"/>
      <c r="FJ172" s="1184"/>
      <c r="FK172" s="1184"/>
      <c r="FL172" s="1184"/>
      <c r="FM172" s="1184"/>
      <c r="FN172" s="1184"/>
      <c r="FO172" s="1184"/>
      <c r="FP172" s="1184"/>
      <c r="FQ172" s="1184"/>
      <c r="FR172" s="1184"/>
      <c r="FS172" s="1184"/>
      <c r="FT172" s="1184"/>
      <c r="FU172" s="1184"/>
      <c r="FV172" s="1184"/>
      <c r="FW172" s="1184"/>
      <c r="FX172" s="1184"/>
      <c r="FY172" s="1184"/>
      <c r="FZ172" s="1184"/>
      <c r="GA172" s="1184"/>
      <c r="GB172" s="1184"/>
      <c r="GC172" s="1184"/>
      <c r="GD172" s="1184"/>
      <c r="GE172" s="1184"/>
      <c r="GF172" s="1184"/>
      <c r="GG172" s="1184"/>
      <c r="GH172" s="1184"/>
      <c r="GI172" s="1184"/>
      <c r="GJ172" s="1184"/>
      <c r="GK172" s="1184"/>
      <c r="GL172" s="1184"/>
      <c r="GM172" s="1184"/>
      <c r="GN172" s="1184"/>
      <c r="GO172" s="1184"/>
      <c r="GP172" s="1184"/>
      <c r="GQ172" s="1184"/>
      <c r="GR172" s="1184"/>
      <c r="GS172" s="1184"/>
      <c r="GT172" s="1184"/>
      <c r="GU172" s="1184"/>
      <c r="GV172" s="1184"/>
      <c r="GW172" s="1184"/>
      <c r="GX172" s="1184"/>
      <c r="GY172" s="1184"/>
      <c r="GZ172" s="1184"/>
      <c r="HA172" s="1184"/>
      <c r="HB172" s="1184"/>
      <c r="HC172" s="1184"/>
      <c r="HD172" s="1184"/>
      <c r="HE172" s="1184"/>
      <c r="HF172" s="1184"/>
      <c r="HG172" s="1184"/>
      <c r="HH172" s="1184"/>
      <c r="HI172" s="1184"/>
      <c r="HJ172" s="1184"/>
      <c r="HK172" s="1184"/>
      <c r="HL172" s="1184"/>
      <c r="HN172" s="1184"/>
      <c r="HO172" s="1184"/>
      <c r="HP172" s="1184"/>
      <c r="HQ172" s="1184"/>
      <c r="HR172" s="1184"/>
      <c r="HS172" s="1184"/>
      <c r="HT172" s="1184"/>
      <c r="HU172" s="1184"/>
      <c r="HV172" s="1184"/>
      <c r="HW172" s="1184"/>
      <c r="HX172" s="1184"/>
      <c r="HY172" s="1184"/>
      <c r="HZ172" s="1184"/>
      <c r="IA172" s="1184"/>
      <c r="IB172" s="1184"/>
      <c r="IC172" s="1184"/>
      <c r="ID172" s="1184"/>
      <c r="IE172" s="1184"/>
      <c r="IF172" s="1184"/>
      <c r="IG172" s="1184"/>
      <c r="IH172" s="1184"/>
      <c r="II172" s="1184"/>
      <c r="IJ172" s="1184"/>
      <c r="IK172" s="1184"/>
      <c r="IL172" s="1184"/>
    </row>
    <row r="173" spans="25:246" ht="15.75" customHeight="1" x14ac:dyDescent="0.2">
      <c r="Y173" s="1556"/>
      <c r="Z173" s="1556"/>
      <c r="AA173" s="1556"/>
      <c r="AB173" s="1556"/>
      <c r="AR173" s="242"/>
      <c r="AS173" s="242"/>
      <c r="AT173" s="242"/>
      <c r="AU173" s="242"/>
      <c r="AV173" s="242"/>
      <c r="AY173" s="1184"/>
      <c r="AZ173" s="1184"/>
      <c r="BA173" s="1184"/>
      <c r="BB173" s="1184"/>
      <c r="BC173" s="1184"/>
      <c r="BD173" s="1184"/>
      <c r="BQ173" s="1184"/>
      <c r="BR173" s="1184"/>
      <c r="BS173" s="1184"/>
      <c r="BT173" s="1184"/>
      <c r="BU173" s="1200"/>
      <c r="BV173" s="1326"/>
      <c r="BW173" s="1326"/>
      <c r="BX173" s="1326"/>
      <c r="BY173" s="1326"/>
      <c r="BZ173" s="1326"/>
      <c r="CA173" s="1326"/>
      <c r="CB173" s="1326"/>
      <c r="CC173" s="1326"/>
      <c r="CD173" s="1326"/>
      <c r="CE173" s="1326"/>
      <c r="CF173" s="1326"/>
      <c r="CG173" s="1326"/>
      <c r="CH173" s="1326"/>
      <c r="CI173" s="1326"/>
      <c r="CJ173" s="1326"/>
      <c r="CK173" s="1326"/>
      <c r="CL173" s="1184"/>
      <c r="CM173" s="1184"/>
      <c r="CN173" s="1184"/>
      <c r="CO173" s="1184"/>
      <c r="CP173" s="1184"/>
      <c r="CQ173" s="1184"/>
      <c r="CR173" s="1184"/>
      <c r="CS173" s="1184"/>
      <c r="CT173" s="1184"/>
      <c r="CU173" s="1184"/>
      <c r="CV173" s="1184"/>
      <c r="CW173" s="1184"/>
      <c r="CX173" s="1184"/>
      <c r="CY173" s="1184"/>
      <c r="CZ173" s="1184"/>
      <c r="DA173" s="1184"/>
      <c r="DB173" s="1184"/>
      <c r="DC173" s="1184"/>
      <c r="DD173" s="1184"/>
      <c r="DE173" s="1184"/>
      <c r="DF173" s="1184"/>
      <c r="DG173" s="1184"/>
      <c r="DH173" s="1184"/>
      <c r="DI173" s="1184"/>
      <c r="DJ173" s="1184"/>
      <c r="DK173" s="1184"/>
      <c r="DL173" s="1184"/>
      <c r="DM173" s="1184"/>
      <c r="DN173" s="1184"/>
      <c r="DO173" s="1184"/>
      <c r="DP173" s="1184"/>
      <c r="DQ173" s="1184"/>
      <c r="DR173" s="1184"/>
      <c r="DS173" s="1184"/>
      <c r="DT173" s="1184"/>
      <c r="DU173" s="1184"/>
      <c r="DV173" s="1184"/>
      <c r="DW173" s="1184"/>
      <c r="DX173" s="1184"/>
      <c r="DY173" s="1184"/>
      <c r="DZ173" s="1184"/>
      <c r="EA173" s="1184"/>
      <c r="EB173" s="1184"/>
      <c r="EC173" s="1184"/>
      <c r="ED173" s="1184"/>
      <c r="EE173" s="1184"/>
      <c r="EF173" s="1184"/>
      <c r="EG173" s="1184"/>
      <c r="EH173" s="1184"/>
      <c r="EI173" s="1184"/>
      <c r="EJ173" s="1184"/>
      <c r="EK173" s="1184"/>
      <c r="EL173" s="1184"/>
      <c r="EM173" s="1184"/>
      <c r="EN173" s="1184"/>
      <c r="EO173" s="1184"/>
      <c r="EP173" s="1184"/>
      <c r="EQ173" s="1184"/>
      <c r="ER173" s="1184"/>
      <c r="ES173" s="1184"/>
      <c r="ET173" s="1184"/>
      <c r="EU173" s="1184"/>
      <c r="EV173" s="1184"/>
      <c r="EW173" s="1184"/>
      <c r="EX173" s="1184"/>
      <c r="EY173" s="1184"/>
      <c r="EZ173" s="1184"/>
      <c r="FA173" s="1184"/>
      <c r="FB173" s="1184"/>
      <c r="FC173" s="1184"/>
      <c r="FD173" s="1184"/>
      <c r="FE173" s="1184"/>
      <c r="FF173" s="1184"/>
      <c r="FG173" s="1184"/>
      <c r="FH173" s="1184"/>
      <c r="FI173" s="1184"/>
      <c r="FJ173" s="1184"/>
      <c r="FK173" s="1184"/>
      <c r="FL173" s="1184"/>
      <c r="FM173" s="1184"/>
      <c r="FN173" s="1184"/>
      <c r="FO173" s="1184"/>
      <c r="FP173" s="1184"/>
      <c r="FQ173" s="1184"/>
      <c r="FR173" s="1184"/>
      <c r="FS173" s="1184"/>
      <c r="FT173" s="1184"/>
      <c r="FU173" s="1184"/>
      <c r="FV173" s="1184"/>
      <c r="FW173" s="1184"/>
      <c r="FX173" s="1184"/>
      <c r="FY173" s="1184"/>
      <c r="FZ173" s="1184"/>
      <c r="GA173" s="1184"/>
      <c r="GB173" s="1184"/>
      <c r="GC173" s="1184"/>
      <c r="GD173" s="1184"/>
      <c r="GE173" s="1184"/>
      <c r="GF173" s="1184"/>
      <c r="GG173" s="1184"/>
      <c r="GH173" s="1184"/>
      <c r="GI173" s="1184"/>
      <c r="GJ173" s="1184"/>
      <c r="GK173" s="1184"/>
      <c r="GL173" s="1184"/>
      <c r="GM173" s="1184"/>
      <c r="GN173" s="1184"/>
      <c r="GO173" s="1184"/>
      <c r="GP173" s="1184"/>
      <c r="GQ173" s="1184"/>
      <c r="GR173" s="1184"/>
      <c r="GS173" s="1184"/>
      <c r="GT173" s="1184"/>
      <c r="GU173" s="1184"/>
      <c r="GV173" s="1184"/>
      <c r="GW173" s="1184"/>
      <c r="GX173" s="1184"/>
      <c r="GY173" s="1184"/>
      <c r="GZ173" s="1184"/>
      <c r="HA173" s="1184"/>
      <c r="HB173" s="1184"/>
      <c r="HC173" s="1184"/>
      <c r="HD173" s="1184"/>
      <c r="HE173" s="1184"/>
      <c r="HF173" s="1184"/>
      <c r="HG173" s="1184"/>
      <c r="HH173" s="1184"/>
      <c r="HI173" s="1184"/>
      <c r="HJ173" s="1184"/>
      <c r="HK173" s="1184"/>
      <c r="HL173" s="1184"/>
      <c r="HN173" s="1184"/>
      <c r="HO173" s="1184"/>
      <c r="HP173" s="1184"/>
      <c r="HQ173" s="1184"/>
      <c r="HR173" s="1184"/>
      <c r="HS173" s="1184"/>
      <c r="HT173" s="1184"/>
      <c r="HU173" s="1184"/>
      <c r="HV173" s="1184"/>
      <c r="HW173" s="1184"/>
      <c r="HX173" s="1184"/>
      <c r="HY173" s="1184"/>
      <c r="HZ173" s="1184"/>
      <c r="IA173" s="1184"/>
      <c r="IB173" s="1184"/>
      <c r="IC173" s="1184"/>
      <c r="ID173" s="1184"/>
      <c r="IE173" s="1184"/>
      <c r="IF173" s="1184"/>
      <c r="IG173" s="1184"/>
      <c r="IH173" s="1184"/>
      <c r="II173" s="1184"/>
      <c r="IJ173" s="1184"/>
      <c r="IK173" s="1184"/>
      <c r="IL173" s="1184"/>
    </row>
    <row r="174" spans="25:246" ht="15.75" customHeight="1" x14ac:dyDescent="0.2">
      <c r="Y174" s="1556"/>
      <c r="Z174" s="1556"/>
      <c r="AA174" s="1556"/>
      <c r="AB174" s="1556"/>
      <c r="AR174" s="242"/>
      <c r="AS174" s="242"/>
      <c r="AT174" s="242"/>
      <c r="AU174" s="242"/>
      <c r="AV174" s="242"/>
      <c r="AY174" s="1184"/>
      <c r="AZ174" s="1184"/>
      <c r="BA174" s="1184"/>
      <c r="BB174" s="1184"/>
      <c r="BC174" s="1184"/>
      <c r="BD174" s="1184"/>
      <c r="BQ174" s="1184"/>
      <c r="BR174" s="1184"/>
      <c r="BS174" s="1184"/>
      <c r="BT174" s="1184"/>
      <c r="BU174" s="1200"/>
      <c r="BV174" s="1326"/>
      <c r="BW174" s="1326"/>
      <c r="BX174" s="1326"/>
      <c r="BY174" s="1326"/>
      <c r="BZ174" s="1326"/>
      <c r="CA174" s="1326"/>
      <c r="CB174" s="1326"/>
      <c r="CC174" s="1326"/>
      <c r="CD174" s="1326"/>
      <c r="CE174" s="1326"/>
      <c r="CF174" s="1326"/>
      <c r="CG174" s="1326"/>
      <c r="CH174" s="1326"/>
      <c r="CI174" s="1326"/>
      <c r="CJ174" s="1326"/>
      <c r="CK174" s="1326"/>
      <c r="CL174" s="1184"/>
      <c r="CM174" s="1184"/>
      <c r="CN174" s="1184"/>
      <c r="CO174" s="1184"/>
      <c r="CP174" s="1184"/>
      <c r="CQ174" s="1184"/>
      <c r="CR174" s="1184"/>
      <c r="CS174" s="1184"/>
      <c r="CT174" s="1184"/>
      <c r="CU174" s="1184"/>
      <c r="CV174" s="1184"/>
      <c r="CW174" s="1184"/>
      <c r="CX174" s="1184"/>
      <c r="CY174" s="1184"/>
      <c r="CZ174" s="1184"/>
      <c r="DA174" s="1184"/>
      <c r="DB174" s="1184"/>
      <c r="DC174" s="1184"/>
      <c r="DD174" s="1184"/>
      <c r="DE174" s="1184"/>
      <c r="DF174" s="1184"/>
      <c r="DG174" s="1184"/>
      <c r="DH174" s="1184"/>
      <c r="DI174" s="1184"/>
      <c r="DJ174" s="1184"/>
      <c r="DK174" s="1184"/>
      <c r="DL174" s="1184"/>
      <c r="DM174" s="1184"/>
      <c r="DN174" s="1184"/>
      <c r="DO174" s="1184"/>
      <c r="DP174" s="1184"/>
      <c r="DQ174" s="1184"/>
      <c r="DR174" s="1184"/>
      <c r="DS174" s="1184"/>
      <c r="DT174" s="1184"/>
      <c r="DU174" s="1184"/>
      <c r="DV174" s="1184"/>
      <c r="DW174" s="1184"/>
      <c r="DX174" s="1184"/>
      <c r="DY174" s="1184"/>
      <c r="DZ174" s="1184"/>
      <c r="EA174" s="1184"/>
      <c r="EB174" s="1184"/>
      <c r="EC174" s="1184"/>
      <c r="ED174" s="1184"/>
      <c r="EE174" s="1184"/>
      <c r="EF174" s="1184"/>
      <c r="EG174" s="1184"/>
      <c r="EH174" s="1184"/>
      <c r="EI174" s="1184"/>
      <c r="EJ174" s="1184"/>
      <c r="EK174" s="1184"/>
      <c r="EL174" s="1184"/>
      <c r="EM174" s="1184"/>
      <c r="EN174" s="1184"/>
      <c r="EO174" s="1184"/>
      <c r="EP174" s="1184"/>
      <c r="EQ174" s="1184"/>
      <c r="ER174" s="1184"/>
      <c r="ES174" s="1184"/>
      <c r="ET174" s="1184"/>
      <c r="EU174" s="1184"/>
      <c r="EV174" s="1184"/>
      <c r="EW174" s="1184"/>
      <c r="EX174" s="1184"/>
      <c r="EY174" s="1184"/>
      <c r="EZ174" s="1184"/>
      <c r="FA174" s="1184"/>
      <c r="FB174" s="1184"/>
      <c r="FC174" s="1184"/>
      <c r="FD174" s="1184"/>
      <c r="FE174" s="1184"/>
      <c r="FF174" s="1184"/>
      <c r="FG174" s="1184"/>
      <c r="FH174" s="1184"/>
      <c r="FI174" s="1184"/>
      <c r="FJ174" s="1184"/>
      <c r="FK174" s="1184"/>
      <c r="FL174" s="1184"/>
      <c r="FM174" s="1184"/>
      <c r="FN174" s="1184"/>
      <c r="FO174" s="1184"/>
      <c r="FP174" s="1184"/>
      <c r="FQ174" s="1184"/>
      <c r="FR174" s="1184"/>
      <c r="FS174" s="1184"/>
      <c r="FT174" s="1184"/>
      <c r="FU174" s="1184"/>
      <c r="FV174" s="1184"/>
      <c r="FW174" s="1184"/>
      <c r="FX174" s="1184"/>
      <c r="FY174" s="1184"/>
      <c r="FZ174" s="1184"/>
      <c r="GA174" s="1184"/>
      <c r="GB174" s="1184"/>
      <c r="GC174" s="1184"/>
      <c r="GD174" s="1184"/>
      <c r="GE174" s="1184"/>
      <c r="GF174" s="1184"/>
      <c r="GG174" s="1184"/>
      <c r="GH174" s="1184"/>
      <c r="GI174" s="1184"/>
      <c r="GJ174" s="1184"/>
      <c r="GK174" s="1184"/>
      <c r="GL174" s="1184"/>
      <c r="GM174" s="1184"/>
      <c r="GN174" s="1184"/>
      <c r="GO174" s="1184"/>
      <c r="GP174" s="1184"/>
      <c r="GQ174" s="1184"/>
      <c r="GR174" s="1184"/>
      <c r="GS174" s="1184"/>
      <c r="GT174" s="1184"/>
      <c r="GU174" s="1184"/>
      <c r="GV174" s="1184"/>
      <c r="GW174" s="1184"/>
      <c r="GX174" s="1184"/>
      <c r="GY174" s="1184"/>
      <c r="GZ174" s="1184"/>
      <c r="HA174" s="1184"/>
      <c r="HB174" s="1184"/>
      <c r="HC174" s="1184"/>
      <c r="HD174" s="1184"/>
      <c r="HE174" s="1184"/>
      <c r="HF174" s="1184"/>
      <c r="HG174" s="1184"/>
      <c r="HH174" s="1184"/>
      <c r="HI174" s="1184"/>
      <c r="HJ174" s="1184"/>
      <c r="HK174" s="1184"/>
      <c r="HL174" s="1184"/>
      <c r="HN174" s="1184"/>
      <c r="HO174" s="1184"/>
      <c r="HP174" s="1184"/>
      <c r="HQ174" s="1184"/>
      <c r="HR174" s="1184"/>
      <c r="HS174" s="1184"/>
      <c r="HT174" s="1184"/>
      <c r="HU174" s="1184"/>
      <c r="HV174" s="1184"/>
      <c r="HW174" s="1184"/>
      <c r="HX174" s="1184"/>
      <c r="HY174" s="1184"/>
      <c r="HZ174" s="1184"/>
      <c r="IA174" s="1184"/>
      <c r="IB174" s="1184"/>
      <c r="IC174" s="1184"/>
      <c r="ID174" s="1184"/>
      <c r="IE174" s="1184"/>
      <c r="IF174" s="1184"/>
      <c r="IG174" s="1184"/>
      <c r="IH174" s="1184"/>
      <c r="II174" s="1184"/>
      <c r="IJ174" s="1184"/>
      <c r="IK174" s="1184"/>
      <c r="IL174" s="1184"/>
    </row>
    <row r="175" spans="25:246" ht="15.75" customHeight="1" x14ac:dyDescent="0.2">
      <c r="Y175" s="1556"/>
      <c r="Z175" s="1556"/>
      <c r="AA175" s="1556"/>
      <c r="AB175" s="1556"/>
      <c r="AR175" s="242"/>
      <c r="AS175" s="242"/>
      <c r="AT175" s="242"/>
      <c r="AU175" s="242"/>
      <c r="AV175" s="242"/>
      <c r="AY175" s="1184"/>
      <c r="AZ175" s="1184"/>
      <c r="BA175" s="1184"/>
      <c r="BB175" s="1184"/>
      <c r="BC175" s="1184"/>
      <c r="BD175" s="1184"/>
      <c r="BQ175" s="1184"/>
      <c r="BR175" s="1184"/>
      <c r="BS175" s="1184"/>
      <c r="BT175" s="1184"/>
      <c r="BU175" s="1200"/>
      <c r="BV175" s="1326"/>
      <c r="BW175" s="1326"/>
      <c r="BX175" s="1326"/>
      <c r="BY175" s="1326"/>
      <c r="BZ175" s="1326"/>
      <c r="CA175" s="1326"/>
      <c r="CB175" s="1326"/>
      <c r="CC175" s="1326"/>
      <c r="CD175" s="1326"/>
      <c r="CE175" s="1326"/>
      <c r="CF175" s="1326"/>
      <c r="CG175" s="1326"/>
      <c r="CH175" s="1326"/>
      <c r="CI175" s="1326"/>
      <c r="CJ175" s="1326"/>
      <c r="CK175" s="1326"/>
      <c r="CL175" s="1184"/>
      <c r="CM175" s="1184"/>
      <c r="CN175" s="1184"/>
      <c r="CO175" s="1184"/>
      <c r="CP175" s="1184"/>
      <c r="CQ175" s="1184"/>
      <c r="CR175" s="1184"/>
      <c r="CS175" s="1184"/>
      <c r="CT175" s="1184"/>
      <c r="CU175" s="1184"/>
      <c r="CV175" s="1184"/>
      <c r="CW175" s="1184"/>
      <c r="CX175" s="1184"/>
      <c r="CY175" s="1184"/>
      <c r="CZ175" s="1184"/>
      <c r="DA175" s="1184"/>
      <c r="DB175" s="1184"/>
      <c r="DC175" s="1184"/>
      <c r="DD175" s="1184"/>
      <c r="DE175" s="1184"/>
      <c r="DF175" s="1184"/>
      <c r="DG175" s="1184"/>
      <c r="DH175" s="1184"/>
      <c r="DI175" s="1184"/>
      <c r="DJ175" s="1184"/>
      <c r="DK175" s="1184"/>
      <c r="DL175" s="1184"/>
      <c r="DM175" s="1184"/>
      <c r="DN175" s="1184"/>
      <c r="DO175" s="1184"/>
      <c r="DP175" s="1184"/>
      <c r="DQ175" s="1184"/>
      <c r="DR175" s="1184"/>
      <c r="DS175" s="1184"/>
      <c r="DT175" s="1184"/>
      <c r="DU175" s="1184"/>
      <c r="DV175" s="1184"/>
      <c r="DW175" s="1184"/>
      <c r="DX175" s="1184"/>
      <c r="DY175" s="1184"/>
      <c r="DZ175" s="1184"/>
      <c r="EA175" s="1184"/>
      <c r="EB175" s="1184"/>
      <c r="EC175" s="1184"/>
      <c r="ED175" s="1184"/>
      <c r="EE175" s="1184"/>
      <c r="EF175" s="1184"/>
      <c r="EG175" s="1184"/>
      <c r="EH175" s="1184"/>
      <c r="EI175" s="1184"/>
      <c r="EJ175" s="1184"/>
      <c r="EK175" s="1184"/>
      <c r="EL175" s="1184"/>
      <c r="EM175" s="1184"/>
      <c r="EN175" s="1184"/>
      <c r="EO175" s="1184"/>
      <c r="EP175" s="1184"/>
      <c r="EQ175" s="1184"/>
      <c r="ER175" s="1184"/>
      <c r="ES175" s="1184"/>
      <c r="ET175" s="1184"/>
      <c r="EU175" s="1184"/>
      <c r="EV175" s="1184"/>
      <c r="EW175" s="1184"/>
      <c r="EX175" s="1184"/>
      <c r="EY175" s="1184"/>
      <c r="EZ175" s="1184"/>
      <c r="FA175" s="1184"/>
      <c r="FB175" s="1184"/>
      <c r="FC175" s="1184"/>
      <c r="FD175" s="1184"/>
      <c r="FE175" s="1184"/>
      <c r="FF175" s="1184"/>
      <c r="FG175" s="1184"/>
      <c r="FH175" s="1184"/>
      <c r="FI175" s="1184"/>
      <c r="FJ175" s="1184"/>
      <c r="FK175" s="1184"/>
      <c r="FL175" s="1184"/>
      <c r="FM175" s="1184"/>
      <c r="FN175" s="1184"/>
      <c r="FO175" s="1184"/>
      <c r="FP175" s="1184"/>
      <c r="FQ175" s="1184"/>
      <c r="FR175" s="1184"/>
      <c r="FS175" s="1184"/>
      <c r="FT175" s="1184"/>
      <c r="FU175" s="1184"/>
      <c r="FV175" s="1184"/>
      <c r="FW175" s="1184"/>
      <c r="FX175" s="1184"/>
      <c r="FY175" s="1184"/>
      <c r="FZ175" s="1184"/>
      <c r="GA175" s="1184"/>
      <c r="GB175" s="1184"/>
      <c r="GC175" s="1184"/>
      <c r="GD175" s="1184"/>
      <c r="GE175" s="1184"/>
      <c r="GF175" s="1184"/>
      <c r="GG175" s="1184"/>
      <c r="GH175" s="1184"/>
      <c r="GI175" s="1184"/>
      <c r="GJ175" s="1184"/>
      <c r="GK175" s="1184"/>
      <c r="GL175" s="1184"/>
      <c r="GM175" s="1184"/>
      <c r="GN175" s="1184"/>
      <c r="GO175" s="1184"/>
      <c r="GP175" s="1184"/>
      <c r="GQ175" s="1184"/>
      <c r="GR175" s="1184"/>
      <c r="GS175" s="1184"/>
      <c r="GT175" s="1184"/>
      <c r="GU175" s="1184"/>
      <c r="GV175" s="1184"/>
      <c r="GW175" s="1184"/>
      <c r="GX175" s="1184"/>
      <c r="GY175" s="1184"/>
      <c r="GZ175" s="1184"/>
      <c r="HA175" s="1184"/>
      <c r="HB175" s="1184"/>
      <c r="HC175" s="1184"/>
      <c r="HD175" s="1184"/>
      <c r="HE175" s="1184"/>
      <c r="HF175" s="1184"/>
      <c r="HG175" s="1184"/>
      <c r="HH175" s="1184"/>
      <c r="HI175" s="1184"/>
      <c r="HJ175" s="1184"/>
      <c r="HK175" s="1184"/>
      <c r="HL175" s="1184"/>
      <c r="HN175" s="1184"/>
      <c r="HO175" s="1184"/>
      <c r="HP175" s="1184"/>
      <c r="HQ175" s="1184"/>
      <c r="HR175" s="1184"/>
      <c r="HS175" s="1184"/>
      <c r="HT175" s="1184"/>
      <c r="HU175" s="1184"/>
      <c r="HV175" s="1184"/>
      <c r="HW175" s="1184"/>
      <c r="HX175" s="1184"/>
      <c r="HY175" s="1184"/>
      <c r="HZ175" s="1184"/>
      <c r="IA175" s="1184"/>
      <c r="IB175" s="1184"/>
      <c r="IC175" s="1184"/>
      <c r="ID175" s="1184"/>
      <c r="IE175" s="1184"/>
      <c r="IF175" s="1184"/>
      <c r="IG175" s="1184"/>
      <c r="IH175" s="1184"/>
      <c r="II175" s="1184"/>
      <c r="IJ175" s="1184"/>
      <c r="IK175" s="1184"/>
      <c r="IL175" s="1184"/>
    </row>
    <row r="176" spans="25:246" ht="15.75" customHeight="1" x14ac:dyDescent="0.2">
      <c r="AR176" s="242"/>
      <c r="AS176" s="242"/>
      <c r="AT176" s="242"/>
      <c r="AU176" s="242"/>
      <c r="AV176" s="242"/>
      <c r="AY176" s="1184"/>
      <c r="AZ176" s="1184"/>
      <c r="BA176" s="1184"/>
      <c r="BB176" s="1184"/>
      <c r="BC176" s="1184"/>
      <c r="BD176" s="1184"/>
      <c r="BQ176" s="1184"/>
      <c r="BR176" s="1184"/>
      <c r="BS176" s="1184"/>
      <c r="BT176" s="1184"/>
      <c r="BU176" s="1200"/>
      <c r="BV176" s="1326"/>
      <c r="BW176" s="1326"/>
      <c r="BX176" s="1326"/>
      <c r="BY176" s="1326"/>
      <c r="BZ176" s="1326"/>
      <c r="CA176" s="1326"/>
      <c r="CB176" s="1326"/>
      <c r="CC176" s="1326"/>
      <c r="CD176" s="1326"/>
      <c r="CE176" s="1326"/>
      <c r="CF176" s="1326"/>
      <c r="CG176" s="1326"/>
      <c r="CH176" s="1326"/>
      <c r="CI176" s="1326"/>
      <c r="CJ176" s="1326"/>
      <c r="CK176" s="1326"/>
      <c r="CL176" s="1184"/>
      <c r="CM176" s="1184"/>
      <c r="CN176" s="1184"/>
      <c r="CO176" s="1184"/>
      <c r="CP176" s="1184"/>
      <c r="CQ176" s="1184"/>
      <c r="CR176" s="1184"/>
      <c r="CS176" s="1184"/>
      <c r="CT176" s="1184"/>
      <c r="CU176" s="1184"/>
      <c r="CV176" s="1184"/>
      <c r="CW176" s="1184"/>
      <c r="CX176" s="1184"/>
      <c r="CY176" s="1184"/>
      <c r="CZ176" s="1184"/>
      <c r="DA176" s="1184"/>
      <c r="DB176" s="1184"/>
      <c r="DC176" s="1184"/>
      <c r="DD176" s="1184"/>
      <c r="DE176" s="1184"/>
      <c r="DF176" s="1184"/>
      <c r="DG176" s="1184"/>
      <c r="DH176" s="1184"/>
      <c r="DI176" s="1184"/>
      <c r="DJ176" s="1184"/>
      <c r="DK176" s="1184"/>
      <c r="DL176" s="1184"/>
      <c r="DM176" s="1184"/>
      <c r="DN176" s="1184"/>
      <c r="DO176" s="1184"/>
      <c r="DP176" s="1184"/>
      <c r="DQ176" s="1184"/>
      <c r="DR176" s="1184"/>
      <c r="DS176" s="1184"/>
      <c r="DT176" s="1184"/>
      <c r="DU176" s="1184"/>
      <c r="DV176" s="1184"/>
      <c r="DW176" s="1184"/>
      <c r="DX176" s="1184"/>
      <c r="DY176" s="1184"/>
      <c r="DZ176" s="1184"/>
      <c r="EA176" s="1184"/>
      <c r="EB176" s="1184"/>
      <c r="EC176" s="1184"/>
      <c r="ED176" s="1184"/>
      <c r="EE176" s="1184"/>
      <c r="EF176" s="1184"/>
      <c r="EG176" s="1184"/>
      <c r="EH176" s="1184"/>
      <c r="EI176" s="1184"/>
      <c r="EJ176" s="1184"/>
      <c r="EK176" s="1184"/>
      <c r="EL176" s="1184"/>
      <c r="EM176" s="1184"/>
      <c r="EN176" s="1184"/>
      <c r="EO176" s="1184"/>
      <c r="EP176" s="1184"/>
      <c r="EQ176" s="1184"/>
      <c r="ER176" s="1184"/>
      <c r="ES176" s="1184"/>
      <c r="ET176" s="1184"/>
      <c r="EU176" s="1184"/>
      <c r="EV176" s="1184"/>
      <c r="EW176" s="1184"/>
      <c r="EX176" s="1184"/>
      <c r="EY176" s="1184"/>
      <c r="EZ176" s="1184"/>
      <c r="FA176" s="1184"/>
      <c r="FB176" s="1184"/>
      <c r="FC176" s="1184"/>
      <c r="FD176" s="1184"/>
      <c r="FE176" s="1184"/>
      <c r="FF176" s="1184"/>
      <c r="FG176" s="1184"/>
      <c r="FH176" s="1184"/>
      <c r="FI176" s="1184"/>
      <c r="FJ176" s="1184"/>
      <c r="FK176" s="1184"/>
      <c r="FL176" s="1184"/>
      <c r="FM176" s="1184"/>
      <c r="FN176" s="1184"/>
      <c r="FO176" s="1184"/>
      <c r="FP176" s="1184"/>
      <c r="FQ176" s="1184"/>
      <c r="FR176" s="1184"/>
      <c r="FS176" s="1184"/>
      <c r="FT176" s="1184"/>
      <c r="FU176" s="1184"/>
      <c r="FV176" s="1184"/>
      <c r="FW176" s="1184"/>
      <c r="FX176" s="1184"/>
      <c r="FY176" s="1184"/>
      <c r="FZ176" s="1184"/>
      <c r="GA176" s="1184"/>
      <c r="GB176" s="1184"/>
      <c r="GC176" s="1184"/>
      <c r="GD176" s="1184"/>
      <c r="GE176" s="1184"/>
      <c r="GF176" s="1184"/>
      <c r="GG176" s="1184"/>
      <c r="GH176" s="1184"/>
      <c r="GI176" s="1184"/>
      <c r="GJ176" s="1184"/>
      <c r="GK176" s="1184"/>
      <c r="GL176" s="1184"/>
      <c r="GM176" s="1184"/>
      <c r="GN176" s="1184"/>
      <c r="GO176" s="1184"/>
      <c r="GP176" s="1184"/>
      <c r="GQ176" s="1184"/>
      <c r="GR176" s="1184"/>
      <c r="GS176" s="1184"/>
      <c r="GT176" s="1184"/>
      <c r="GU176" s="1184"/>
      <c r="GV176" s="1184"/>
      <c r="GW176" s="1184"/>
      <c r="GX176" s="1184"/>
      <c r="GY176" s="1184"/>
      <c r="GZ176" s="1184"/>
      <c r="HA176" s="1184"/>
      <c r="HB176" s="1184"/>
      <c r="HC176" s="1184"/>
      <c r="HD176" s="1184"/>
      <c r="HE176" s="1184"/>
      <c r="HF176" s="1184"/>
      <c r="HG176" s="1184"/>
      <c r="HH176" s="1184"/>
      <c r="HI176" s="1184"/>
      <c r="HJ176" s="1184"/>
      <c r="HK176" s="1184"/>
      <c r="HL176" s="1184"/>
      <c r="HN176" s="1184"/>
      <c r="HO176" s="1184"/>
      <c r="HP176" s="1184"/>
      <c r="HQ176" s="1184"/>
      <c r="HR176" s="1184"/>
      <c r="HS176" s="1184"/>
      <c r="HT176" s="1184"/>
      <c r="HU176" s="1184"/>
      <c r="HV176" s="1184"/>
      <c r="HW176" s="1184"/>
      <c r="HX176" s="1184"/>
      <c r="HY176" s="1184"/>
      <c r="HZ176" s="1184"/>
      <c r="IA176" s="1184"/>
      <c r="IB176" s="1184"/>
      <c r="IC176" s="1184"/>
      <c r="ID176" s="1184"/>
      <c r="IE176" s="1184"/>
      <c r="IF176" s="1184"/>
      <c r="IG176" s="1184"/>
      <c r="IH176" s="1184"/>
      <c r="II176" s="1184"/>
      <c r="IJ176" s="1184"/>
      <c r="IK176" s="1184"/>
      <c r="IL176" s="1184"/>
    </row>
    <row r="177" spans="44:246" ht="15.75" customHeight="1" x14ac:dyDescent="0.2">
      <c r="AR177" s="242"/>
      <c r="AS177" s="242"/>
      <c r="AT177" s="242"/>
      <c r="AU177" s="242"/>
      <c r="AV177" s="242"/>
      <c r="AY177" s="1184"/>
      <c r="AZ177" s="1184"/>
      <c r="BA177" s="1184"/>
      <c r="BB177" s="1184"/>
      <c r="BC177" s="1184"/>
      <c r="BD177" s="1184"/>
      <c r="BQ177" s="1184"/>
      <c r="BR177" s="1184"/>
      <c r="BS177" s="1184"/>
      <c r="BT177" s="1184"/>
      <c r="BU177" s="1200"/>
      <c r="BV177" s="1326"/>
      <c r="BW177" s="1326"/>
      <c r="BX177" s="1326"/>
      <c r="BY177" s="1326"/>
      <c r="BZ177" s="1326"/>
      <c r="CA177" s="1326"/>
      <c r="CB177" s="1326"/>
      <c r="CC177" s="1326"/>
      <c r="CD177" s="1326"/>
      <c r="CE177" s="1326"/>
      <c r="CF177" s="1326"/>
      <c r="CG177" s="1326"/>
      <c r="CH177" s="1326"/>
      <c r="CI177" s="1326"/>
      <c r="CJ177" s="1326"/>
      <c r="CK177" s="1326"/>
      <c r="CL177" s="1184"/>
      <c r="CM177" s="1184"/>
      <c r="CN177" s="1184"/>
      <c r="CO177" s="1184"/>
      <c r="CP177" s="1184"/>
      <c r="CQ177" s="1184"/>
      <c r="CR177" s="1184"/>
      <c r="CS177" s="1184"/>
      <c r="CT177" s="1184"/>
      <c r="CU177" s="1184"/>
      <c r="CV177" s="1184"/>
      <c r="CW177" s="1184"/>
      <c r="CX177" s="1184"/>
      <c r="CY177" s="1184"/>
      <c r="CZ177" s="1184"/>
      <c r="DA177" s="1184"/>
      <c r="DB177" s="1184"/>
      <c r="DC177" s="1184"/>
      <c r="DD177" s="1184"/>
      <c r="DE177" s="1184"/>
      <c r="DF177" s="1184"/>
      <c r="DG177" s="1184"/>
      <c r="DH177" s="1184"/>
      <c r="DI177" s="1184"/>
      <c r="DJ177" s="1184"/>
      <c r="DK177" s="1184"/>
      <c r="DL177" s="1184"/>
      <c r="DM177" s="1184"/>
      <c r="DN177" s="1184"/>
      <c r="DO177" s="1184"/>
      <c r="DP177" s="1184"/>
      <c r="DQ177" s="1184"/>
      <c r="DR177" s="1184"/>
      <c r="DS177" s="1184"/>
      <c r="DT177" s="1184"/>
      <c r="DU177" s="1184"/>
      <c r="DV177" s="1184"/>
      <c r="DW177" s="1184"/>
      <c r="DX177" s="1184"/>
      <c r="DY177" s="1184"/>
      <c r="DZ177" s="1184"/>
      <c r="EA177" s="1184"/>
      <c r="EB177" s="1184"/>
      <c r="EC177" s="1184"/>
      <c r="ED177" s="1184"/>
      <c r="EE177" s="1184"/>
      <c r="EF177" s="1184"/>
      <c r="EG177" s="1184"/>
      <c r="EH177" s="1184"/>
      <c r="EI177" s="1184"/>
      <c r="EJ177" s="1184"/>
      <c r="EK177" s="1184"/>
      <c r="EL177" s="1184"/>
      <c r="EM177" s="1184"/>
      <c r="EN177" s="1184"/>
      <c r="EO177" s="1184"/>
      <c r="EP177" s="1184"/>
      <c r="EQ177" s="1184"/>
      <c r="ER177" s="1184"/>
      <c r="ES177" s="1184"/>
      <c r="ET177" s="1184"/>
      <c r="EU177" s="1184"/>
      <c r="EV177" s="1184"/>
      <c r="EW177" s="1184"/>
      <c r="EX177" s="1184"/>
      <c r="EY177" s="1184"/>
      <c r="EZ177" s="1184"/>
      <c r="FA177" s="1184"/>
      <c r="FB177" s="1184"/>
      <c r="FC177" s="1184"/>
      <c r="FD177" s="1184"/>
      <c r="FE177" s="1184"/>
      <c r="FF177" s="1184"/>
      <c r="FG177" s="1184"/>
      <c r="FH177" s="1184"/>
      <c r="FI177" s="1184"/>
      <c r="FJ177" s="1184"/>
      <c r="FK177" s="1184"/>
      <c r="FL177" s="1184"/>
      <c r="FM177" s="1184"/>
      <c r="FN177" s="1184"/>
      <c r="FO177" s="1184"/>
      <c r="FP177" s="1184"/>
      <c r="FQ177" s="1184"/>
      <c r="FR177" s="1184"/>
      <c r="FS177" s="1184"/>
      <c r="FT177" s="1184"/>
      <c r="FU177" s="1184"/>
      <c r="FV177" s="1184"/>
      <c r="FW177" s="1184"/>
      <c r="FX177" s="1184"/>
      <c r="FY177" s="1184"/>
      <c r="FZ177" s="1184"/>
      <c r="GA177" s="1184"/>
      <c r="GB177" s="1184"/>
      <c r="GC177" s="1184"/>
      <c r="GD177" s="1184"/>
      <c r="GE177" s="1184"/>
      <c r="GF177" s="1184"/>
      <c r="GG177" s="1184"/>
      <c r="GH177" s="1184"/>
      <c r="GI177" s="1184"/>
      <c r="GJ177" s="1184"/>
      <c r="GK177" s="1184"/>
      <c r="GL177" s="1184"/>
      <c r="GM177" s="1184"/>
      <c r="GN177" s="1184"/>
      <c r="GO177" s="1184"/>
      <c r="GP177" s="1184"/>
      <c r="GQ177" s="1184"/>
      <c r="GR177" s="1184"/>
      <c r="GS177" s="1184"/>
      <c r="GT177" s="1184"/>
      <c r="GU177" s="1184"/>
      <c r="GV177" s="1184"/>
      <c r="GW177" s="1184"/>
      <c r="GX177" s="1184"/>
      <c r="GY177" s="1184"/>
      <c r="GZ177" s="1184"/>
      <c r="HA177" s="1184"/>
      <c r="HB177" s="1184"/>
      <c r="HC177" s="1184"/>
      <c r="HD177" s="1184"/>
      <c r="HE177" s="1184"/>
      <c r="HF177" s="1184"/>
      <c r="HG177" s="1184"/>
      <c r="HH177" s="1184"/>
      <c r="HI177" s="1184"/>
      <c r="HJ177" s="1184"/>
      <c r="HK177" s="1184"/>
      <c r="HL177" s="1184"/>
      <c r="HN177" s="1184"/>
      <c r="HO177" s="1184"/>
      <c r="HP177" s="1184"/>
      <c r="HQ177" s="1184"/>
      <c r="HR177" s="1184"/>
      <c r="HS177" s="1184"/>
      <c r="HT177" s="1184"/>
      <c r="HU177" s="1184"/>
      <c r="HV177" s="1184"/>
      <c r="HW177" s="1184"/>
      <c r="HX177" s="1184"/>
      <c r="HY177" s="1184"/>
      <c r="HZ177" s="1184"/>
      <c r="IC177" s="1184"/>
      <c r="ID177" s="1184"/>
      <c r="IE177" s="1184"/>
      <c r="IF177" s="1184"/>
      <c r="IG177" s="1184"/>
      <c r="IH177" s="1184"/>
      <c r="II177" s="1184"/>
      <c r="IJ177" s="1184"/>
      <c r="IK177" s="1184"/>
      <c r="IL177" s="1184"/>
    </row>
    <row r="178" spans="44:246" ht="15.75" customHeight="1" x14ac:dyDescent="0.2">
      <c r="AR178" s="242"/>
      <c r="AS178" s="242"/>
      <c r="AT178" s="242"/>
      <c r="AU178" s="242"/>
      <c r="AV178" s="242"/>
      <c r="BU178" s="76"/>
      <c r="BV178" s="1327"/>
      <c r="BW178" s="1327"/>
      <c r="BX178" s="1327"/>
      <c r="BY178" s="1327"/>
      <c r="BZ178" s="1327"/>
      <c r="CA178" s="1327"/>
      <c r="CB178" s="1327"/>
      <c r="CC178" s="1327"/>
      <c r="CD178" s="1327"/>
      <c r="CE178" s="1327"/>
      <c r="CF178" s="1327"/>
      <c r="CG178" s="1327"/>
      <c r="CH178" s="1327"/>
      <c r="CI178" s="1327"/>
      <c r="CJ178" s="1327"/>
      <c r="CK178" s="1327"/>
      <c r="CX178" s="1184"/>
      <c r="CY178" s="1184"/>
      <c r="CZ178" s="1184"/>
      <c r="DA178" s="1184"/>
      <c r="DB178" s="1184"/>
      <c r="DC178" s="1184"/>
      <c r="DD178" s="1184"/>
      <c r="DE178" s="1184"/>
      <c r="DF178" s="1184"/>
      <c r="DG178" s="1184"/>
      <c r="DH178" s="1184"/>
      <c r="DI178" s="1184"/>
      <c r="DJ178" s="1184"/>
      <c r="DK178" s="1184"/>
      <c r="DL178" s="1184"/>
      <c r="DM178" s="1184"/>
      <c r="DN178" s="1184"/>
      <c r="DO178" s="1184"/>
      <c r="DP178" s="1184"/>
      <c r="DQ178" s="1184"/>
      <c r="DR178" s="1184"/>
      <c r="DS178" s="1184"/>
      <c r="DT178" s="1184"/>
      <c r="DU178" s="1184"/>
      <c r="DV178" s="1184"/>
      <c r="DW178" s="1184"/>
      <c r="DX178" s="1184"/>
      <c r="DY178" s="1184"/>
      <c r="DZ178" s="1184"/>
      <c r="EA178" s="1184"/>
      <c r="EB178" s="1184"/>
      <c r="EC178" s="1184"/>
      <c r="ED178" s="1184"/>
      <c r="EE178" s="1184"/>
      <c r="EF178" s="1184"/>
      <c r="EG178" s="1184"/>
      <c r="EH178" s="1184"/>
      <c r="EI178" s="1184"/>
      <c r="EJ178" s="1184"/>
      <c r="EK178" s="1184"/>
      <c r="EL178" s="1184"/>
      <c r="EM178" s="1184"/>
      <c r="EN178" s="1184"/>
      <c r="EO178" s="1184"/>
      <c r="EP178" s="1184"/>
      <c r="EQ178" s="1184"/>
      <c r="ER178" s="1184"/>
      <c r="ES178" s="1184"/>
      <c r="ET178" s="1184"/>
      <c r="EU178" s="1184"/>
      <c r="EV178" s="1184"/>
      <c r="EW178" s="1184"/>
      <c r="EX178" s="1184"/>
      <c r="EY178" s="1184"/>
      <c r="EZ178" s="1184"/>
      <c r="FA178" s="1184"/>
      <c r="FB178" s="1184"/>
      <c r="FC178" s="1184"/>
      <c r="FD178" s="1184"/>
      <c r="FE178" s="1184"/>
      <c r="FF178" s="1184"/>
      <c r="FG178" s="1184"/>
      <c r="FH178" s="1184"/>
      <c r="FI178" s="1184"/>
      <c r="FJ178" s="1184"/>
      <c r="FK178" s="1184"/>
      <c r="FL178" s="1184"/>
      <c r="FM178" s="1184"/>
      <c r="FN178" s="1184"/>
      <c r="FO178" s="1184"/>
      <c r="FP178" s="1184"/>
      <c r="FQ178" s="1184"/>
      <c r="FR178" s="1184"/>
      <c r="FS178" s="1184"/>
      <c r="FT178" s="1184"/>
      <c r="FU178" s="1184"/>
      <c r="FV178" s="1184"/>
      <c r="FW178" s="1184"/>
      <c r="FX178" s="1184"/>
      <c r="FY178" s="1184"/>
      <c r="FZ178" s="1184"/>
      <c r="GA178" s="1184"/>
      <c r="GB178" s="1184"/>
      <c r="GC178" s="1184"/>
      <c r="GD178" s="1184"/>
      <c r="GE178" s="1184"/>
      <c r="GF178" s="1184"/>
      <c r="GG178" s="1184"/>
      <c r="GH178" s="1184"/>
      <c r="GI178" s="1184"/>
      <c r="GJ178" s="1184"/>
      <c r="GK178" s="1184"/>
      <c r="GL178" s="1184"/>
      <c r="GM178" s="1184"/>
      <c r="GN178" s="1184"/>
      <c r="GO178" s="1184"/>
      <c r="GP178" s="1184"/>
      <c r="GQ178" s="1184"/>
      <c r="GR178" s="1184"/>
      <c r="GS178" s="1184"/>
      <c r="GT178" s="1184"/>
      <c r="GU178" s="1184"/>
      <c r="GV178" s="1184"/>
      <c r="GW178" s="1184"/>
      <c r="GX178" s="1184"/>
      <c r="GY178" s="1184"/>
      <c r="GZ178" s="1184"/>
      <c r="HA178" s="1184"/>
      <c r="HB178" s="1184"/>
      <c r="HC178" s="1184"/>
      <c r="HD178" s="1184"/>
      <c r="HE178" s="1184"/>
      <c r="HF178" s="1184"/>
      <c r="HG178" s="1184"/>
      <c r="HH178" s="1184"/>
      <c r="HI178" s="1184"/>
      <c r="HJ178" s="1184"/>
      <c r="HK178" s="1184"/>
      <c r="HL178" s="1184"/>
      <c r="HN178" s="1184"/>
      <c r="HO178" s="1184"/>
      <c r="HP178" s="1184"/>
      <c r="HQ178" s="1184"/>
      <c r="HR178" s="1184"/>
      <c r="HS178" s="1184"/>
      <c r="HT178" s="1184"/>
      <c r="HU178" s="1184"/>
      <c r="HV178" s="1184"/>
      <c r="HW178" s="1184"/>
      <c r="HX178" s="1184"/>
      <c r="HY178" s="1184"/>
      <c r="HZ178" s="1184"/>
    </row>
    <row r="179" spans="44:246" ht="15.75" customHeight="1" x14ac:dyDescent="0.2">
      <c r="AR179" s="242"/>
      <c r="AS179" s="242"/>
      <c r="AT179" s="242"/>
      <c r="AU179" s="242"/>
      <c r="AV179" s="242"/>
      <c r="BU179" s="76"/>
      <c r="BV179" s="1327"/>
      <c r="BW179" s="1327"/>
      <c r="BX179" s="1327"/>
      <c r="BY179" s="1327"/>
      <c r="BZ179" s="1327"/>
      <c r="CA179" s="1327"/>
      <c r="CB179" s="1327"/>
      <c r="CC179" s="1327"/>
      <c r="CD179" s="1327"/>
      <c r="CE179" s="1327"/>
      <c r="CF179" s="1327"/>
      <c r="CG179" s="1327"/>
      <c r="CH179" s="1327"/>
      <c r="CI179" s="1327"/>
      <c r="CJ179" s="1327"/>
      <c r="CK179" s="1327"/>
      <c r="CX179" s="1184"/>
      <c r="CY179" s="1184"/>
      <c r="CZ179" s="1184"/>
      <c r="DA179" s="1184"/>
      <c r="DB179" s="1184"/>
      <c r="DC179" s="1184"/>
      <c r="DD179" s="1184"/>
      <c r="DE179" s="1184"/>
      <c r="DF179" s="1184"/>
      <c r="DG179" s="1184"/>
      <c r="DH179" s="1184"/>
      <c r="DI179" s="1184"/>
      <c r="DJ179" s="1184"/>
      <c r="DK179" s="1184"/>
      <c r="DL179" s="1184"/>
      <c r="DM179" s="1184"/>
      <c r="DN179" s="1184"/>
      <c r="DO179" s="1184"/>
      <c r="DP179" s="1184"/>
      <c r="DQ179" s="1184"/>
      <c r="DR179" s="1184"/>
      <c r="DS179" s="1184"/>
      <c r="DT179" s="1184"/>
      <c r="DU179" s="1184"/>
      <c r="DV179" s="1184"/>
      <c r="DW179" s="1184"/>
      <c r="DX179" s="1184"/>
      <c r="DY179" s="1184"/>
      <c r="DZ179" s="1184"/>
      <c r="EA179" s="1184"/>
      <c r="EB179" s="1184"/>
      <c r="EC179" s="1184"/>
      <c r="ED179" s="1184"/>
      <c r="EE179" s="1184"/>
      <c r="EF179" s="1184"/>
      <c r="EG179" s="1184"/>
      <c r="EH179" s="1184"/>
      <c r="EI179" s="1184"/>
      <c r="EJ179" s="1184"/>
      <c r="EK179" s="1184"/>
      <c r="EL179" s="1184"/>
      <c r="EM179" s="1184"/>
      <c r="EN179" s="1184"/>
      <c r="EO179" s="1184"/>
      <c r="EP179" s="1184"/>
      <c r="EQ179" s="1184"/>
      <c r="ER179" s="1184"/>
      <c r="ES179" s="1184"/>
      <c r="ET179" s="1184"/>
      <c r="EU179" s="1184"/>
      <c r="EV179" s="1184"/>
      <c r="EW179" s="1184"/>
      <c r="EX179" s="1184"/>
      <c r="EY179" s="1184"/>
      <c r="EZ179" s="1184"/>
      <c r="FA179" s="1184"/>
      <c r="FB179" s="1184"/>
      <c r="FC179" s="1184"/>
      <c r="FD179" s="1184"/>
      <c r="FE179" s="1184"/>
      <c r="FF179" s="1184"/>
      <c r="FG179" s="1184"/>
      <c r="FH179" s="1184"/>
      <c r="FI179" s="1184"/>
      <c r="FJ179" s="1184"/>
      <c r="FK179" s="1184"/>
      <c r="FL179" s="1184"/>
      <c r="FM179" s="1184"/>
      <c r="FN179" s="1184"/>
      <c r="FO179" s="1184"/>
      <c r="FP179" s="1184"/>
      <c r="FQ179" s="1184"/>
      <c r="FR179" s="1184"/>
      <c r="FS179" s="1184"/>
      <c r="FT179" s="1184"/>
      <c r="FU179" s="1184"/>
      <c r="FV179" s="1184"/>
      <c r="FW179" s="1184"/>
      <c r="FX179" s="1184"/>
      <c r="FY179" s="1184"/>
      <c r="FZ179" s="1184"/>
      <c r="GA179" s="1184"/>
      <c r="GB179" s="1184"/>
      <c r="GC179" s="1184"/>
      <c r="GD179" s="1184"/>
      <c r="GE179" s="1184"/>
      <c r="GF179" s="1184"/>
      <c r="GG179" s="1184"/>
      <c r="GH179" s="1184"/>
      <c r="GI179" s="1184"/>
      <c r="GJ179" s="1184"/>
      <c r="GK179" s="1184"/>
      <c r="GL179" s="1184"/>
      <c r="GM179" s="1184"/>
      <c r="GN179" s="1184"/>
      <c r="GO179" s="1184"/>
      <c r="GP179" s="1184"/>
      <c r="GQ179" s="1184"/>
      <c r="GR179" s="1184"/>
      <c r="GS179" s="1184"/>
      <c r="GT179" s="1184"/>
      <c r="GU179" s="1184"/>
      <c r="GV179" s="1184"/>
      <c r="GW179" s="1184"/>
      <c r="GX179" s="1184"/>
      <c r="GY179" s="1184"/>
      <c r="GZ179" s="1184"/>
      <c r="HA179" s="1184"/>
      <c r="HB179" s="1184"/>
      <c r="HC179" s="1184"/>
      <c r="HD179" s="1184"/>
      <c r="HE179" s="1184"/>
      <c r="HF179" s="1184"/>
      <c r="HG179" s="1184"/>
      <c r="HH179" s="1184"/>
      <c r="HI179" s="1184"/>
      <c r="HJ179" s="1184"/>
      <c r="HK179" s="1184"/>
      <c r="HL179" s="1184"/>
      <c r="HN179" s="1184"/>
      <c r="HO179" s="1184"/>
      <c r="HP179" s="1184"/>
      <c r="HQ179" s="1184"/>
      <c r="HR179" s="1184"/>
      <c r="HS179" s="1184"/>
      <c r="HT179" s="1184"/>
      <c r="HU179" s="1184"/>
      <c r="HV179" s="1184"/>
      <c r="HW179" s="1184"/>
      <c r="HX179" s="1184"/>
      <c r="HY179" s="1184"/>
      <c r="HZ179" s="1184"/>
    </row>
    <row r="180" spans="44:246" ht="15.75" customHeight="1" x14ac:dyDescent="0.2">
      <c r="AR180" s="242"/>
      <c r="AS180" s="242"/>
      <c r="AT180" s="242"/>
      <c r="AU180" s="242"/>
      <c r="AV180" s="242"/>
      <c r="BU180" s="76"/>
      <c r="BV180" s="1327"/>
      <c r="BW180" s="1327"/>
      <c r="BX180" s="1327"/>
      <c r="BY180" s="1327"/>
      <c r="BZ180" s="1327"/>
      <c r="CA180" s="1327"/>
      <c r="CB180" s="1327"/>
      <c r="CC180" s="1327"/>
      <c r="CD180" s="1327"/>
      <c r="CE180" s="1327"/>
      <c r="CF180" s="1327"/>
      <c r="CG180" s="1327"/>
      <c r="CH180" s="1327"/>
      <c r="CI180" s="1327"/>
      <c r="CJ180" s="1327"/>
      <c r="CK180" s="1327"/>
      <c r="CX180" s="1184"/>
      <c r="CY180" s="1184"/>
      <c r="CZ180" s="1184"/>
      <c r="DA180" s="1184"/>
      <c r="DB180" s="1184"/>
      <c r="DC180" s="1184"/>
      <c r="DD180" s="1184"/>
      <c r="DE180" s="1184"/>
      <c r="DF180" s="1184"/>
      <c r="DG180" s="1184"/>
      <c r="DH180" s="1184"/>
      <c r="DI180" s="1184"/>
      <c r="DJ180" s="1184"/>
      <c r="DK180" s="1184"/>
      <c r="DL180" s="1184"/>
      <c r="DM180" s="1184"/>
      <c r="DN180" s="1184"/>
      <c r="DO180" s="1184"/>
      <c r="DP180" s="1184"/>
      <c r="DQ180" s="1184"/>
      <c r="DR180" s="1184"/>
      <c r="DS180" s="1184"/>
      <c r="DT180" s="1184"/>
      <c r="DU180" s="1184"/>
      <c r="DV180" s="1184"/>
      <c r="DW180" s="1184"/>
      <c r="DX180" s="1184"/>
      <c r="DY180" s="1184"/>
      <c r="DZ180" s="1184"/>
      <c r="EA180" s="1184"/>
      <c r="EB180" s="1184"/>
      <c r="EC180" s="1184"/>
      <c r="ED180" s="1184"/>
      <c r="EE180" s="1184"/>
      <c r="EF180" s="1184"/>
      <c r="EG180" s="1184"/>
      <c r="EH180" s="1184"/>
      <c r="EI180" s="1184"/>
      <c r="EJ180" s="1184"/>
      <c r="EK180" s="1184"/>
      <c r="EL180" s="1184"/>
      <c r="EM180" s="1184"/>
      <c r="EN180" s="1184"/>
      <c r="EO180" s="1184"/>
      <c r="EP180" s="1184"/>
      <c r="EQ180" s="1184"/>
      <c r="ER180" s="1184"/>
      <c r="ES180" s="1184"/>
      <c r="ET180" s="1184"/>
      <c r="EU180" s="1184"/>
      <c r="EV180" s="1184"/>
      <c r="EW180" s="1184"/>
      <c r="EX180" s="1184"/>
      <c r="EY180" s="1184"/>
      <c r="EZ180" s="1184"/>
      <c r="FA180" s="1184"/>
      <c r="FB180" s="1184"/>
      <c r="FC180" s="1184"/>
      <c r="FD180" s="1184"/>
      <c r="FE180" s="1184"/>
      <c r="FF180" s="1184"/>
      <c r="FG180" s="1184"/>
      <c r="FH180" s="1184"/>
      <c r="FI180" s="1184"/>
      <c r="FJ180" s="1184"/>
      <c r="FK180" s="1184"/>
      <c r="FL180" s="1184"/>
      <c r="FM180" s="1184"/>
      <c r="FN180" s="1184"/>
      <c r="FO180" s="1184"/>
      <c r="FP180" s="1184"/>
      <c r="FQ180" s="1184"/>
      <c r="FR180" s="1184"/>
      <c r="FS180" s="1184"/>
      <c r="FT180" s="1184"/>
      <c r="FU180" s="1184"/>
      <c r="FV180" s="1184"/>
      <c r="FW180" s="1184"/>
      <c r="FX180" s="1184"/>
      <c r="FY180" s="1184"/>
      <c r="FZ180" s="1184"/>
      <c r="GA180" s="1184"/>
      <c r="GB180" s="1184"/>
      <c r="GC180" s="1184"/>
      <c r="GD180" s="1184"/>
      <c r="GE180" s="1184"/>
      <c r="GF180" s="1184"/>
      <c r="GG180" s="1184"/>
      <c r="GH180" s="1184"/>
      <c r="GI180" s="1184"/>
      <c r="GJ180" s="1184"/>
      <c r="GK180" s="1184"/>
      <c r="GL180" s="1184"/>
      <c r="GM180" s="1184"/>
      <c r="GN180" s="1184"/>
      <c r="GO180" s="1184"/>
      <c r="GP180" s="1184"/>
      <c r="GQ180" s="1184"/>
      <c r="GR180" s="1184"/>
      <c r="GS180" s="1184"/>
      <c r="GT180" s="1184"/>
      <c r="GU180" s="1184"/>
      <c r="GV180" s="1184"/>
      <c r="GW180" s="1184"/>
      <c r="GX180" s="1184"/>
      <c r="GY180" s="1184"/>
      <c r="GZ180" s="1184"/>
      <c r="HA180" s="1184"/>
      <c r="HB180" s="1184"/>
      <c r="HC180" s="1184"/>
      <c r="HD180" s="1184"/>
      <c r="HE180" s="1184"/>
      <c r="HF180" s="1184"/>
      <c r="HG180" s="1184"/>
      <c r="HH180" s="1184"/>
      <c r="HI180" s="1184"/>
      <c r="HJ180" s="1184"/>
      <c r="HK180" s="1184"/>
      <c r="HL180" s="1184"/>
      <c r="HN180" s="1184"/>
      <c r="HO180" s="1184"/>
      <c r="HP180" s="1184"/>
      <c r="HQ180" s="1184"/>
      <c r="HR180" s="1184"/>
      <c r="HS180" s="1184"/>
      <c r="HT180" s="1184"/>
      <c r="HU180" s="1184"/>
      <c r="HV180" s="1184"/>
      <c r="HW180" s="1184"/>
      <c r="HX180" s="1184"/>
      <c r="HY180" s="1184"/>
      <c r="HZ180" s="1184"/>
    </row>
    <row r="181" spans="44:246" ht="15.75" customHeight="1" x14ac:dyDescent="0.2">
      <c r="AR181" s="242"/>
      <c r="AS181" s="242"/>
      <c r="AT181" s="242"/>
      <c r="AU181" s="242"/>
      <c r="AV181" s="242"/>
      <c r="BU181" s="76"/>
      <c r="BV181" s="1327"/>
      <c r="BW181" s="1327"/>
      <c r="BX181" s="1327"/>
      <c r="BY181" s="1327"/>
      <c r="BZ181" s="1327"/>
      <c r="CA181" s="1327"/>
      <c r="CB181" s="1327"/>
      <c r="CC181" s="1327"/>
      <c r="CD181" s="1327"/>
      <c r="CE181" s="1327"/>
      <c r="CF181" s="1327"/>
      <c r="CG181" s="1327"/>
      <c r="CH181" s="1327"/>
      <c r="CI181" s="1327"/>
      <c r="CJ181" s="1327"/>
      <c r="CK181" s="1327"/>
      <c r="CX181" s="1184"/>
      <c r="CY181" s="1184"/>
      <c r="CZ181" s="1184"/>
      <c r="DA181" s="1184"/>
      <c r="DB181" s="1184"/>
      <c r="DC181" s="1184"/>
      <c r="DD181" s="1184"/>
      <c r="DE181" s="1184"/>
      <c r="DF181" s="1184"/>
      <c r="DG181" s="1184"/>
      <c r="DH181" s="1184"/>
      <c r="DI181" s="1184"/>
      <c r="DJ181" s="1184"/>
      <c r="DK181" s="1184"/>
      <c r="DL181" s="1184"/>
      <c r="DM181" s="1184"/>
      <c r="DN181" s="1184"/>
      <c r="DO181" s="1184"/>
      <c r="DP181" s="1184"/>
      <c r="DQ181" s="1184"/>
      <c r="DR181" s="1184"/>
      <c r="DS181" s="1184"/>
      <c r="DT181" s="1184"/>
      <c r="DU181" s="1184"/>
      <c r="DV181" s="1184"/>
      <c r="DW181" s="1184"/>
      <c r="DX181" s="1184"/>
      <c r="DY181" s="1184"/>
      <c r="DZ181" s="1184"/>
      <c r="EA181" s="1184"/>
      <c r="EB181" s="1184"/>
      <c r="EC181" s="1184"/>
      <c r="ED181" s="1184"/>
      <c r="EE181" s="1184"/>
      <c r="EF181" s="1184"/>
      <c r="EG181" s="1184"/>
      <c r="EH181" s="1184"/>
      <c r="EI181" s="1184"/>
      <c r="EJ181" s="1184"/>
      <c r="EK181" s="1184"/>
      <c r="EL181" s="1184"/>
      <c r="EM181" s="1184"/>
      <c r="EN181" s="1184"/>
      <c r="EO181" s="1184"/>
      <c r="EP181" s="1184"/>
      <c r="EQ181" s="1184"/>
      <c r="ER181" s="1184"/>
      <c r="ES181" s="1184"/>
      <c r="ET181" s="1184"/>
      <c r="EU181" s="1184"/>
      <c r="EV181" s="1184"/>
      <c r="EW181" s="1184"/>
      <c r="EX181" s="1184"/>
      <c r="EY181" s="1184"/>
      <c r="EZ181" s="1184"/>
      <c r="FA181" s="1184"/>
      <c r="FB181" s="1184"/>
      <c r="FC181" s="1184"/>
      <c r="FD181" s="1184"/>
      <c r="FE181" s="1184"/>
      <c r="FF181" s="1184"/>
      <c r="FG181" s="1184"/>
      <c r="FH181" s="1184"/>
      <c r="FI181" s="1184"/>
      <c r="FJ181" s="1184"/>
      <c r="FK181" s="1184"/>
      <c r="FL181" s="1184"/>
      <c r="FM181" s="1184"/>
      <c r="FN181" s="1184"/>
      <c r="FO181" s="1184"/>
      <c r="FP181" s="1184"/>
      <c r="FQ181" s="1184"/>
      <c r="FR181" s="1184"/>
      <c r="FS181" s="1184"/>
      <c r="FT181" s="1184"/>
      <c r="FU181" s="1184"/>
      <c r="FV181" s="1184"/>
      <c r="FW181" s="1184"/>
      <c r="FX181" s="1184"/>
      <c r="FY181" s="1184"/>
      <c r="FZ181" s="1184"/>
      <c r="GA181" s="1184"/>
      <c r="GB181" s="1184"/>
      <c r="GC181" s="1184"/>
      <c r="GD181" s="1184"/>
      <c r="GE181" s="1184"/>
      <c r="GF181" s="1184"/>
      <c r="GG181" s="1184"/>
      <c r="GH181" s="1184"/>
      <c r="GI181" s="1184"/>
      <c r="GJ181" s="1184"/>
      <c r="GK181" s="1184"/>
      <c r="GL181" s="1184"/>
      <c r="GM181" s="1184"/>
      <c r="GN181" s="1184"/>
      <c r="GO181" s="1184"/>
      <c r="GP181" s="1184"/>
      <c r="GQ181" s="1184"/>
      <c r="GR181" s="1184"/>
      <c r="GS181" s="1184"/>
      <c r="GT181" s="1184"/>
      <c r="GU181" s="1184"/>
      <c r="GV181" s="1184"/>
      <c r="GW181" s="1184"/>
      <c r="GX181" s="1184"/>
      <c r="GY181" s="1184"/>
      <c r="GZ181" s="1184"/>
      <c r="HA181" s="1184"/>
      <c r="HB181" s="1184"/>
      <c r="HC181" s="1184"/>
      <c r="HD181" s="1184"/>
      <c r="HE181" s="1184"/>
      <c r="HF181" s="1184"/>
      <c r="HG181" s="1184"/>
      <c r="HH181" s="1184"/>
      <c r="HI181" s="1184"/>
      <c r="HJ181" s="1184"/>
      <c r="HK181" s="1184"/>
      <c r="HL181" s="1184"/>
      <c r="HN181" s="1184"/>
      <c r="HO181" s="1184"/>
      <c r="HP181" s="1184"/>
      <c r="HQ181" s="1184"/>
      <c r="HR181" s="1184"/>
      <c r="HS181" s="1184"/>
      <c r="HT181" s="1184"/>
      <c r="HU181" s="1184"/>
      <c r="HV181" s="1184"/>
      <c r="HW181" s="1184"/>
      <c r="HX181" s="1184"/>
      <c r="HY181" s="1184"/>
      <c r="HZ181" s="1184"/>
    </row>
    <row r="182" spans="44:246" ht="15.75" customHeight="1" x14ac:dyDescent="0.2">
      <c r="AR182" s="242"/>
      <c r="AS182" s="242"/>
      <c r="AT182" s="242"/>
      <c r="AU182" s="242"/>
      <c r="AV182" s="242"/>
      <c r="BU182" s="76"/>
      <c r="BV182" s="1327"/>
      <c r="BW182" s="1327"/>
      <c r="BX182" s="1327"/>
      <c r="BY182" s="1327"/>
      <c r="BZ182" s="1327"/>
      <c r="CA182" s="1327"/>
      <c r="CB182" s="1327"/>
      <c r="CC182" s="1327"/>
      <c r="CD182" s="1327"/>
      <c r="CE182" s="1327"/>
      <c r="CF182" s="1327"/>
      <c r="CG182" s="1327"/>
      <c r="CH182" s="1327"/>
      <c r="CI182" s="1327"/>
      <c r="CJ182" s="1327"/>
      <c r="CK182" s="1327"/>
      <c r="CX182" s="1184"/>
      <c r="CY182" s="1184"/>
      <c r="CZ182" s="1184"/>
      <c r="DA182" s="1184"/>
      <c r="DB182" s="1184"/>
      <c r="DC182" s="1184"/>
      <c r="DD182" s="1184"/>
      <c r="DE182" s="1184"/>
      <c r="DF182" s="1184"/>
      <c r="DG182" s="1184"/>
      <c r="DH182" s="1184"/>
      <c r="DI182" s="1184"/>
      <c r="DJ182" s="1184"/>
      <c r="DK182" s="1184"/>
      <c r="DL182" s="1184"/>
      <c r="DM182" s="1184"/>
      <c r="DN182" s="1184"/>
      <c r="DO182" s="1184"/>
      <c r="DP182" s="1184"/>
      <c r="DQ182" s="1184"/>
      <c r="DR182" s="1184"/>
      <c r="DS182" s="1184"/>
      <c r="DT182" s="1184"/>
      <c r="DU182" s="1184"/>
      <c r="DV182" s="1184"/>
      <c r="DW182" s="1184"/>
      <c r="DX182" s="1184"/>
      <c r="DY182" s="1184"/>
      <c r="DZ182" s="1184"/>
      <c r="EA182" s="1184"/>
      <c r="EB182" s="1184"/>
      <c r="EC182" s="1184"/>
      <c r="ED182" s="1184"/>
      <c r="EE182" s="1184"/>
      <c r="EF182" s="1184"/>
      <c r="EG182" s="1184"/>
      <c r="EH182" s="1184"/>
      <c r="EI182" s="1184"/>
      <c r="EJ182" s="1184"/>
      <c r="EK182" s="1184"/>
      <c r="EL182" s="1184"/>
      <c r="EM182" s="1184"/>
      <c r="EN182" s="1184"/>
      <c r="EO182" s="1184"/>
      <c r="EP182" s="1184"/>
      <c r="EQ182" s="1184"/>
      <c r="ER182" s="1184"/>
      <c r="ES182" s="1184"/>
      <c r="ET182" s="1184"/>
      <c r="EU182" s="1184"/>
      <c r="EV182" s="1184"/>
      <c r="EW182" s="1184"/>
      <c r="EX182" s="1184"/>
      <c r="EY182" s="1184"/>
      <c r="EZ182" s="1184"/>
      <c r="FA182" s="1184"/>
      <c r="FB182" s="1184"/>
      <c r="FC182" s="1184"/>
      <c r="FD182" s="1184"/>
      <c r="FE182" s="1184"/>
      <c r="FF182" s="1184"/>
      <c r="FG182" s="1184"/>
      <c r="FH182" s="1184"/>
      <c r="FI182" s="1184"/>
      <c r="FJ182" s="1184"/>
      <c r="FK182" s="1184"/>
      <c r="FL182" s="1184"/>
      <c r="FM182" s="1184"/>
      <c r="FN182" s="1184"/>
      <c r="FO182" s="1184"/>
      <c r="FP182" s="1184"/>
      <c r="FQ182" s="1184"/>
      <c r="FR182" s="1184"/>
      <c r="FS182" s="1184"/>
      <c r="FT182" s="1184"/>
      <c r="FU182" s="1184"/>
      <c r="FV182" s="1184"/>
      <c r="FW182" s="1184"/>
      <c r="FX182" s="1184"/>
      <c r="FY182" s="1184"/>
      <c r="FZ182" s="1184"/>
      <c r="GA182" s="1184"/>
      <c r="GB182" s="1184"/>
      <c r="GC182" s="1184"/>
      <c r="GD182" s="1184"/>
      <c r="GE182" s="1184"/>
      <c r="GF182" s="1184"/>
      <c r="GG182" s="1184"/>
      <c r="GH182" s="1184"/>
      <c r="GI182" s="1184"/>
      <c r="GJ182" s="1184"/>
      <c r="GK182" s="1184"/>
      <c r="GL182" s="1184"/>
      <c r="GM182" s="1184"/>
      <c r="GN182" s="1184"/>
      <c r="GO182" s="1184"/>
      <c r="GP182" s="1184"/>
      <c r="GQ182" s="1184"/>
      <c r="GR182" s="1184"/>
      <c r="GS182" s="1184"/>
      <c r="GT182" s="1184"/>
      <c r="GU182" s="1184"/>
      <c r="GV182" s="1184"/>
      <c r="GW182" s="1184"/>
      <c r="GX182" s="1184"/>
      <c r="GY182" s="1184"/>
      <c r="GZ182" s="1184"/>
      <c r="HA182" s="1184"/>
      <c r="HB182" s="1184"/>
      <c r="HC182" s="1184"/>
      <c r="HD182" s="1184"/>
      <c r="HE182" s="1184"/>
      <c r="HF182" s="1184"/>
      <c r="HG182" s="1184"/>
      <c r="HH182" s="1184"/>
      <c r="HI182" s="1184"/>
      <c r="HJ182" s="1184"/>
      <c r="HK182" s="1184"/>
      <c r="HL182" s="1184"/>
      <c r="HN182" s="1184"/>
      <c r="HO182" s="1184"/>
      <c r="HP182" s="1184"/>
      <c r="HQ182" s="1184"/>
      <c r="HR182" s="1184"/>
      <c r="HS182" s="1184"/>
      <c r="HT182" s="1184"/>
      <c r="HU182" s="1184"/>
      <c r="HV182" s="1184"/>
      <c r="HW182" s="1184"/>
      <c r="HX182" s="1184"/>
      <c r="HY182" s="1184"/>
      <c r="HZ182" s="1184"/>
    </row>
    <row r="183" spans="44:246" ht="15.75" customHeight="1" x14ac:dyDescent="0.2">
      <c r="AR183" s="242"/>
      <c r="AS183" s="242"/>
      <c r="AT183" s="242"/>
      <c r="AU183" s="242"/>
      <c r="AV183" s="242"/>
      <c r="BU183" s="76"/>
      <c r="BV183" s="1327"/>
      <c r="BW183" s="1327"/>
      <c r="BX183" s="1327"/>
      <c r="BY183" s="1327"/>
      <c r="BZ183" s="1327"/>
      <c r="CA183" s="1327"/>
      <c r="CB183" s="1327"/>
      <c r="CC183" s="1327"/>
      <c r="CD183" s="1327"/>
      <c r="CE183" s="1327"/>
      <c r="CF183" s="1327"/>
      <c r="CG183" s="1327"/>
      <c r="CH183" s="1327"/>
      <c r="CI183" s="1327"/>
      <c r="CJ183" s="1327"/>
      <c r="CK183" s="1327"/>
      <c r="CX183" s="1184"/>
      <c r="CY183" s="1184"/>
      <c r="CZ183" s="1184"/>
      <c r="DA183" s="1184"/>
      <c r="DB183" s="1184"/>
      <c r="DC183" s="1184"/>
      <c r="DD183" s="1184"/>
      <c r="DE183" s="1184"/>
      <c r="DF183" s="1184"/>
      <c r="DG183" s="1184"/>
      <c r="DH183" s="1184"/>
      <c r="DI183" s="1184"/>
      <c r="DJ183" s="1184"/>
      <c r="DK183" s="1184"/>
      <c r="DL183" s="1184"/>
      <c r="DM183" s="1184"/>
      <c r="DN183" s="1184"/>
      <c r="DO183" s="1184"/>
      <c r="DP183" s="1184"/>
      <c r="DQ183" s="1184"/>
      <c r="DR183" s="1184"/>
      <c r="DS183" s="1184"/>
      <c r="DT183" s="1184"/>
      <c r="DU183" s="1184"/>
      <c r="DV183" s="1184"/>
      <c r="DW183" s="1184"/>
      <c r="DX183" s="1184"/>
      <c r="DY183" s="1184"/>
      <c r="DZ183" s="1184"/>
      <c r="EA183" s="1184"/>
      <c r="EB183" s="1184"/>
      <c r="EC183" s="1184"/>
      <c r="ED183" s="1184"/>
      <c r="EE183" s="1184"/>
      <c r="EF183" s="1184"/>
      <c r="EG183" s="1184"/>
      <c r="EH183" s="1184"/>
      <c r="EI183" s="1184"/>
      <c r="EJ183" s="1184"/>
      <c r="EK183" s="1184"/>
      <c r="EL183" s="1184"/>
      <c r="EM183" s="1184"/>
      <c r="EN183" s="1184"/>
      <c r="EO183" s="1184"/>
      <c r="EP183" s="1184"/>
      <c r="EQ183" s="1184"/>
      <c r="ER183" s="1184"/>
      <c r="ES183" s="1184"/>
      <c r="ET183" s="1184"/>
      <c r="EU183" s="1184"/>
      <c r="EV183" s="1184"/>
      <c r="EW183" s="1184"/>
      <c r="EX183" s="1184"/>
      <c r="EY183" s="1184"/>
      <c r="EZ183" s="1184"/>
      <c r="FA183" s="1184"/>
      <c r="FB183" s="1184"/>
      <c r="FC183" s="1184"/>
      <c r="FD183" s="1184"/>
      <c r="FE183" s="1184"/>
      <c r="FF183" s="1184"/>
      <c r="FG183" s="1184"/>
      <c r="FH183" s="1184"/>
      <c r="FI183" s="1184"/>
      <c r="FJ183" s="1184"/>
      <c r="FK183" s="1184"/>
      <c r="FL183" s="1184"/>
      <c r="FM183" s="1184"/>
      <c r="FN183" s="1184"/>
      <c r="FO183" s="1184"/>
      <c r="FP183" s="1184"/>
      <c r="FQ183" s="1184"/>
      <c r="FR183" s="1184"/>
      <c r="FS183" s="1184"/>
      <c r="FT183" s="1184"/>
      <c r="FU183" s="1184"/>
      <c r="FV183" s="1184"/>
      <c r="FW183" s="1184"/>
      <c r="FX183" s="1184"/>
      <c r="FY183" s="1184"/>
      <c r="FZ183" s="1184"/>
      <c r="GA183" s="1184"/>
      <c r="GB183" s="1184"/>
      <c r="GC183" s="1184"/>
      <c r="GD183" s="1184"/>
      <c r="GE183" s="1184"/>
      <c r="GF183" s="1184"/>
      <c r="GG183" s="1184"/>
      <c r="GH183" s="1184"/>
      <c r="GI183" s="1184"/>
      <c r="GJ183" s="1184"/>
      <c r="GK183" s="1184"/>
      <c r="GL183" s="1184"/>
      <c r="GM183" s="1184"/>
      <c r="GN183" s="1184"/>
      <c r="GO183" s="1184"/>
      <c r="GP183" s="1184"/>
      <c r="GQ183" s="1184"/>
      <c r="GR183" s="1184"/>
      <c r="GS183" s="1184"/>
      <c r="GT183" s="1184"/>
      <c r="GU183" s="1184"/>
      <c r="GV183" s="1184"/>
      <c r="GW183" s="1184"/>
      <c r="GX183" s="1184"/>
      <c r="GY183" s="1184"/>
      <c r="GZ183" s="1184"/>
      <c r="HA183" s="1184"/>
      <c r="HB183" s="1184"/>
      <c r="HC183" s="1184"/>
      <c r="HD183" s="1184"/>
      <c r="HE183" s="1184"/>
      <c r="HF183" s="1184"/>
      <c r="HG183" s="1184"/>
      <c r="HH183" s="1184"/>
      <c r="HI183" s="1184"/>
      <c r="HJ183" s="1184"/>
      <c r="HK183" s="1184"/>
      <c r="HL183" s="1184"/>
      <c r="HN183" s="1184"/>
      <c r="HO183" s="1184"/>
      <c r="HP183" s="1184"/>
      <c r="HQ183" s="1184"/>
      <c r="HR183" s="1184"/>
      <c r="HS183" s="1184"/>
      <c r="HT183" s="1184"/>
      <c r="HU183" s="1184"/>
      <c r="HV183" s="1184"/>
      <c r="HW183" s="1184"/>
      <c r="HX183" s="1184"/>
      <c r="HY183" s="1184"/>
      <c r="HZ183" s="1184"/>
    </row>
    <row r="184" spans="44:246" ht="15.75" customHeight="1" x14ac:dyDescent="0.2">
      <c r="AR184" s="242"/>
      <c r="AS184" s="242"/>
      <c r="AT184" s="242"/>
      <c r="AU184" s="242"/>
      <c r="AV184" s="242"/>
      <c r="BU184" s="76"/>
      <c r="BV184" s="1327"/>
      <c r="BW184" s="1327"/>
      <c r="BX184" s="1327"/>
      <c r="BY184" s="1327"/>
      <c r="BZ184" s="1327"/>
      <c r="CA184" s="1327"/>
      <c r="CB184" s="1327"/>
      <c r="CC184" s="1327"/>
      <c r="CD184" s="1327"/>
      <c r="CE184" s="1327"/>
      <c r="CF184" s="1327"/>
      <c r="CG184" s="1327"/>
      <c r="CH184" s="1327"/>
      <c r="CI184" s="1327"/>
      <c r="CJ184" s="1327"/>
      <c r="CK184" s="1327"/>
      <c r="CX184" s="1184"/>
      <c r="CY184" s="1184"/>
      <c r="CZ184" s="1184"/>
      <c r="DA184" s="1184"/>
      <c r="DB184" s="1184"/>
      <c r="DC184" s="1184"/>
      <c r="DD184" s="1184"/>
      <c r="DE184" s="1184"/>
      <c r="DF184" s="1184"/>
      <c r="DG184" s="1184"/>
      <c r="DH184" s="1184"/>
      <c r="DI184" s="1184"/>
      <c r="DJ184" s="1184"/>
      <c r="DK184" s="1184"/>
      <c r="DL184" s="1184"/>
      <c r="DM184" s="1184"/>
      <c r="DN184" s="1184"/>
      <c r="DO184" s="1184"/>
      <c r="DP184" s="1184"/>
      <c r="DQ184" s="1184"/>
      <c r="DR184" s="1184"/>
      <c r="DS184" s="1184"/>
      <c r="DT184" s="1184"/>
      <c r="DU184" s="1184"/>
      <c r="DV184" s="1184"/>
      <c r="DW184" s="1184"/>
      <c r="DX184" s="1184"/>
      <c r="DY184" s="1184"/>
      <c r="DZ184" s="1184"/>
      <c r="EA184" s="1184"/>
      <c r="EB184" s="1184"/>
      <c r="EC184" s="1184"/>
      <c r="ED184" s="1184"/>
      <c r="EE184" s="1184"/>
      <c r="EF184" s="1184"/>
      <c r="EG184" s="1184"/>
      <c r="EH184" s="1184"/>
      <c r="EI184" s="1184"/>
      <c r="EJ184" s="1184"/>
      <c r="EK184" s="1184"/>
      <c r="EL184" s="1184"/>
      <c r="EM184" s="1184"/>
      <c r="EN184" s="1184"/>
      <c r="EO184" s="1184"/>
      <c r="EP184" s="1184"/>
      <c r="EQ184" s="1184"/>
      <c r="ER184" s="1184"/>
      <c r="ES184" s="1184"/>
      <c r="ET184" s="1184"/>
      <c r="EU184" s="1184"/>
      <c r="EV184" s="1184"/>
      <c r="EW184" s="1184"/>
      <c r="EX184" s="1184"/>
      <c r="EY184" s="1184"/>
      <c r="EZ184" s="1184"/>
      <c r="FA184" s="1184"/>
      <c r="FB184" s="1184"/>
      <c r="FC184" s="1184"/>
      <c r="FD184" s="1184"/>
      <c r="FE184" s="1184"/>
      <c r="FF184" s="1184"/>
      <c r="FG184" s="1184"/>
      <c r="FH184" s="1184"/>
      <c r="FI184" s="1184"/>
      <c r="FJ184" s="1184"/>
      <c r="FK184" s="1184"/>
      <c r="FL184" s="1184"/>
      <c r="FM184" s="1184"/>
      <c r="FN184" s="1184"/>
      <c r="FO184" s="1184"/>
      <c r="FP184" s="1184"/>
      <c r="FQ184" s="1184"/>
      <c r="FR184" s="1184"/>
      <c r="FS184" s="1184"/>
      <c r="FT184" s="1184"/>
      <c r="FU184" s="1184"/>
      <c r="FV184" s="1184"/>
      <c r="FW184" s="1184"/>
      <c r="FX184" s="1184"/>
      <c r="FY184" s="1184"/>
      <c r="FZ184" s="1184"/>
      <c r="GA184" s="1184"/>
      <c r="GB184" s="1184"/>
      <c r="GC184" s="1184"/>
      <c r="GD184" s="1184"/>
      <c r="GE184" s="1184"/>
      <c r="GF184" s="1184"/>
      <c r="GG184" s="1184"/>
      <c r="GH184" s="1184"/>
      <c r="GI184" s="1184"/>
      <c r="GJ184" s="1184"/>
      <c r="GK184" s="1184"/>
      <c r="GL184" s="1184"/>
      <c r="GM184" s="1184"/>
      <c r="GN184" s="1184"/>
      <c r="GO184" s="1184"/>
      <c r="GP184" s="1184"/>
      <c r="GQ184" s="1184"/>
      <c r="GR184" s="1184"/>
      <c r="GS184" s="1184"/>
      <c r="GT184" s="1184"/>
      <c r="GU184" s="1184"/>
      <c r="GV184" s="1184"/>
      <c r="GW184" s="1184"/>
      <c r="GX184" s="1184"/>
      <c r="GY184" s="1184"/>
      <c r="GZ184" s="1184"/>
      <c r="HA184" s="1184"/>
      <c r="HB184" s="1184"/>
      <c r="HC184" s="1184"/>
      <c r="HD184" s="1184"/>
      <c r="HE184" s="1184"/>
      <c r="HF184" s="1184"/>
      <c r="HG184" s="1184"/>
      <c r="HH184" s="1184"/>
      <c r="HI184" s="1184"/>
      <c r="HJ184" s="1184"/>
      <c r="HK184" s="1184"/>
      <c r="HL184" s="1184"/>
      <c r="HN184" s="1184"/>
      <c r="HO184" s="1184"/>
      <c r="HP184" s="1184"/>
      <c r="HQ184" s="1184"/>
      <c r="HR184" s="1184"/>
      <c r="HS184" s="1184"/>
      <c r="HT184" s="1184"/>
      <c r="HU184" s="1184"/>
      <c r="HV184" s="1184"/>
      <c r="HW184" s="1184"/>
      <c r="HX184" s="1184"/>
      <c r="HY184" s="1184"/>
      <c r="HZ184" s="1184"/>
    </row>
    <row r="185" spans="44:246" ht="15.75" customHeight="1" x14ac:dyDescent="0.2">
      <c r="AR185" s="242"/>
      <c r="AS185" s="242"/>
      <c r="AT185" s="242"/>
      <c r="AU185" s="242"/>
      <c r="AV185" s="242"/>
      <c r="BU185" s="76"/>
      <c r="BV185" s="1327"/>
      <c r="BW185" s="1327"/>
      <c r="BX185" s="1327"/>
      <c r="BY185" s="1327"/>
      <c r="BZ185" s="1327"/>
      <c r="CA185" s="1327"/>
      <c r="CB185" s="1327"/>
      <c r="CC185" s="1327"/>
      <c r="CD185" s="1327"/>
      <c r="CE185" s="1327"/>
      <c r="CF185" s="1327"/>
      <c r="CG185" s="1327"/>
      <c r="CH185" s="1327"/>
      <c r="CI185" s="1327"/>
      <c r="CJ185" s="1327"/>
      <c r="CK185" s="1327"/>
      <c r="CX185" s="1184"/>
      <c r="CY185" s="1184"/>
      <c r="CZ185" s="1184"/>
      <c r="DA185" s="1184"/>
      <c r="DB185" s="1184"/>
      <c r="DC185" s="1184"/>
      <c r="DD185" s="1184"/>
      <c r="DE185" s="1184"/>
      <c r="DF185" s="1184"/>
      <c r="DG185" s="1184"/>
      <c r="DH185" s="1184"/>
      <c r="DI185" s="1184"/>
      <c r="DJ185" s="1184"/>
      <c r="DK185" s="1184"/>
      <c r="DL185" s="1184"/>
      <c r="DM185" s="1184"/>
      <c r="DN185" s="1184"/>
      <c r="DO185" s="1184"/>
      <c r="DP185" s="1184"/>
      <c r="DQ185" s="1184"/>
      <c r="DR185" s="1184"/>
      <c r="DS185" s="1184"/>
      <c r="DT185" s="1184"/>
      <c r="DU185" s="1184"/>
      <c r="DV185" s="1184"/>
      <c r="DW185" s="1184"/>
      <c r="DX185" s="1184"/>
      <c r="DY185" s="1184"/>
      <c r="DZ185" s="1184"/>
      <c r="EA185" s="1184"/>
      <c r="EB185" s="1184"/>
      <c r="EC185" s="1184"/>
      <c r="ED185" s="1184"/>
      <c r="EE185" s="1184"/>
      <c r="EF185" s="1184"/>
      <c r="EG185" s="1184"/>
      <c r="EH185" s="1184"/>
      <c r="EI185" s="1184"/>
      <c r="EJ185" s="1184"/>
      <c r="EK185" s="1184"/>
      <c r="EL185" s="1184"/>
      <c r="EM185" s="1184"/>
      <c r="EN185" s="1184"/>
      <c r="EO185" s="1184"/>
      <c r="EP185" s="1184"/>
      <c r="EQ185" s="1184"/>
      <c r="ER185" s="1184"/>
      <c r="ES185" s="1184"/>
      <c r="ET185" s="1184"/>
      <c r="EU185" s="1184"/>
      <c r="EV185" s="1184"/>
      <c r="EW185" s="1184"/>
      <c r="EX185" s="1184"/>
      <c r="EY185" s="1184"/>
      <c r="EZ185" s="1184"/>
      <c r="FA185" s="1184"/>
      <c r="FB185" s="1184"/>
      <c r="FC185" s="1184"/>
      <c r="FD185" s="1184"/>
      <c r="FE185" s="1184"/>
      <c r="FF185" s="1184"/>
      <c r="FG185" s="1184"/>
      <c r="FH185" s="1184"/>
      <c r="FI185" s="1184"/>
      <c r="FJ185" s="1184"/>
      <c r="FK185" s="1184"/>
      <c r="FL185" s="1184"/>
      <c r="FM185" s="1184"/>
      <c r="FN185" s="1184"/>
      <c r="FO185" s="1184"/>
      <c r="FP185" s="1184"/>
      <c r="FQ185" s="1184"/>
      <c r="FR185" s="1184"/>
      <c r="FS185" s="1184"/>
      <c r="FT185" s="1184"/>
      <c r="FU185" s="1184"/>
      <c r="FV185" s="1184"/>
      <c r="FW185" s="1184"/>
      <c r="FX185" s="1184"/>
      <c r="FY185" s="1184"/>
      <c r="FZ185" s="1184"/>
      <c r="GA185" s="1184"/>
      <c r="GB185" s="1184"/>
      <c r="GC185" s="1184"/>
      <c r="GD185" s="1184"/>
      <c r="GE185" s="1184"/>
      <c r="GF185" s="1184"/>
      <c r="GG185" s="1184"/>
      <c r="GH185" s="1184"/>
      <c r="GI185" s="1184"/>
      <c r="GJ185" s="1184"/>
      <c r="GK185" s="1184"/>
      <c r="GL185" s="1184"/>
      <c r="GM185" s="1184"/>
      <c r="GN185" s="1184"/>
      <c r="GO185" s="1184"/>
      <c r="GP185" s="1184"/>
      <c r="GQ185" s="1184"/>
      <c r="GR185" s="1184"/>
      <c r="GS185" s="1184"/>
      <c r="GT185" s="1184"/>
      <c r="GU185" s="1184"/>
      <c r="GV185" s="1184"/>
      <c r="GW185" s="1184"/>
      <c r="GX185" s="1184"/>
      <c r="GY185" s="1184"/>
      <c r="GZ185" s="1184"/>
      <c r="HA185" s="1184"/>
      <c r="HB185" s="1184"/>
      <c r="HC185" s="1184"/>
      <c r="HD185" s="1184"/>
      <c r="HE185" s="1184"/>
      <c r="HF185" s="1184"/>
      <c r="HG185" s="1184"/>
      <c r="HH185" s="1184"/>
      <c r="HI185" s="1184"/>
      <c r="HJ185" s="1184"/>
      <c r="HK185" s="1184"/>
      <c r="HN185" s="1184"/>
      <c r="HO185" s="1184"/>
      <c r="HP185" s="1184"/>
      <c r="HQ185" s="1184"/>
      <c r="HR185" s="1184"/>
      <c r="HS185" s="1184"/>
      <c r="HT185" s="1184"/>
      <c r="HU185" s="1184"/>
      <c r="HV185" s="1184"/>
      <c r="HW185" s="1184"/>
      <c r="HX185" s="1184"/>
      <c r="HY185" s="1184"/>
      <c r="HZ185" s="1184"/>
    </row>
    <row r="186" spans="44:246" ht="15.75" customHeight="1" x14ac:dyDescent="0.2">
      <c r="AR186" s="242"/>
      <c r="AS186" s="242"/>
      <c r="AT186" s="242"/>
      <c r="AU186" s="242"/>
      <c r="AV186" s="242"/>
      <c r="BU186" s="76"/>
      <c r="BV186" s="1327"/>
      <c r="BW186" s="1327"/>
      <c r="BX186" s="1327"/>
      <c r="BY186" s="1327"/>
      <c r="BZ186" s="1327"/>
      <c r="CA186" s="1327"/>
      <c r="CB186" s="1327"/>
      <c r="CC186" s="1327"/>
      <c r="CD186" s="1327"/>
      <c r="CE186" s="1327"/>
      <c r="CF186" s="1327"/>
      <c r="CG186" s="1327"/>
      <c r="CH186" s="1327"/>
      <c r="CI186" s="1327"/>
      <c r="CJ186" s="1327"/>
      <c r="CK186" s="1327"/>
      <c r="CX186" s="1184"/>
      <c r="CY186" s="1184"/>
      <c r="CZ186" s="1184"/>
      <c r="DA186" s="1184"/>
      <c r="DB186" s="1184"/>
      <c r="DC186" s="1184"/>
      <c r="DD186" s="1184"/>
      <c r="DE186" s="1184"/>
      <c r="DF186" s="1184"/>
      <c r="DG186" s="1184"/>
      <c r="DH186" s="1184"/>
      <c r="DI186" s="1184"/>
      <c r="DJ186" s="1184"/>
      <c r="DK186" s="1184"/>
      <c r="DL186" s="1184"/>
      <c r="DM186" s="1184"/>
      <c r="DN186" s="1184"/>
      <c r="DO186" s="1184"/>
      <c r="DP186" s="1184"/>
      <c r="DQ186" s="1184"/>
      <c r="DR186" s="1184"/>
      <c r="DS186" s="1184"/>
      <c r="DT186" s="1184"/>
      <c r="DU186" s="1184"/>
      <c r="DV186" s="1184"/>
      <c r="DW186" s="1184"/>
      <c r="DX186" s="1184"/>
      <c r="DY186" s="1184"/>
      <c r="DZ186" s="1184"/>
      <c r="EA186" s="1184"/>
      <c r="EB186" s="1184"/>
      <c r="EC186" s="1184"/>
      <c r="ED186" s="1184"/>
      <c r="EE186" s="1184"/>
      <c r="EF186" s="1184"/>
      <c r="EG186" s="1184"/>
      <c r="EH186" s="1184"/>
      <c r="EI186" s="1184"/>
      <c r="EJ186" s="1184"/>
      <c r="EK186" s="1184"/>
      <c r="EL186" s="1184"/>
      <c r="EM186" s="1184"/>
      <c r="EN186" s="1184"/>
      <c r="EO186" s="1184"/>
      <c r="EP186" s="1184"/>
      <c r="EQ186" s="1184"/>
      <c r="ER186" s="1184"/>
      <c r="ES186" s="1184"/>
      <c r="ET186" s="1184"/>
      <c r="EU186" s="1184"/>
      <c r="EV186" s="1184"/>
      <c r="EW186" s="1184"/>
      <c r="EX186" s="1184"/>
      <c r="EY186" s="1184"/>
      <c r="EZ186" s="1184"/>
      <c r="FA186" s="1184"/>
      <c r="FB186" s="1184"/>
      <c r="FC186" s="1184"/>
      <c r="FD186" s="1184"/>
      <c r="FE186" s="1184"/>
      <c r="FF186" s="1184"/>
      <c r="FG186" s="1184"/>
      <c r="FH186" s="1184"/>
      <c r="FI186" s="1184"/>
      <c r="FJ186" s="1184"/>
      <c r="FK186" s="1184"/>
      <c r="FL186" s="1184"/>
      <c r="FM186" s="1184"/>
      <c r="FN186" s="1184"/>
      <c r="FO186" s="1184"/>
      <c r="FP186" s="1184"/>
      <c r="FQ186" s="1184"/>
      <c r="FR186" s="1184"/>
      <c r="FS186" s="1184"/>
      <c r="FT186" s="1184"/>
      <c r="FU186" s="1184"/>
      <c r="FV186" s="1184"/>
      <c r="FW186" s="1184"/>
      <c r="FX186" s="1184"/>
      <c r="FY186" s="1184"/>
      <c r="FZ186" s="1184"/>
      <c r="GA186" s="1184"/>
      <c r="GB186" s="1184"/>
      <c r="GC186" s="1184"/>
      <c r="GD186" s="1184"/>
      <c r="GE186" s="1184"/>
      <c r="GF186" s="1184"/>
      <c r="GG186" s="1184"/>
      <c r="GH186" s="1184"/>
      <c r="GI186" s="1184"/>
      <c r="GJ186" s="1184"/>
      <c r="GK186" s="1184"/>
      <c r="GL186" s="1184"/>
      <c r="GM186" s="1184"/>
      <c r="GN186" s="1184"/>
      <c r="GO186" s="1184"/>
      <c r="GP186" s="1184"/>
      <c r="GQ186" s="1184"/>
      <c r="GR186" s="1184"/>
      <c r="GS186" s="1184"/>
      <c r="GT186" s="1184"/>
      <c r="GU186" s="1184"/>
      <c r="GV186" s="1184"/>
      <c r="GW186" s="1184"/>
      <c r="GX186" s="1184"/>
      <c r="GY186" s="1184"/>
      <c r="GZ186" s="1184"/>
      <c r="HA186" s="1184"/>
      <c r="HB186" s="1184"/>
      <c r="HC186" s="1184"/>
      <c r="HD186" s="1184"/>
      <c r="HE186" s="1184"/>
      <c r="HF186" s="1184"/>
      <c r="HG186" s="1184"/>
      <c r="HH186" s="1184"/>
      <c r="HI186" s="1184"/>
      <c r="HJ186" s="1184"/>
      <c r="HK186" s="1184"/>
      <c r="HN186" s="1184"/>
      <c r="HO186" s="1184"/>
      <c r="HP186" s="1184"/>
      <c r="HQ186" s="1184"/>
      <c r="HR186" s="1184"/>
      <c r="HS186" s="1184"/>
      <c r="HT186" s="1184"/>
      <c r="HU186" s="1184"/>
      <c r="HV186" s="1184"/>
      <c r="HW186" s="1184"/>
      <c r="HX186" s="1184"/>
      <c r="HY186" s="1184"/>
      <c r="HZ186" s="1184"/>
    </row>
    <row r="187" spans="44:246" ht="15.75" customHeight="1" x14ac:dyDescent="0.2">
      <c r="AR187" s="242"/>
      <c r="AS187" s="242"/>
      <c r="AT187" s="242"/>
      <c r="AU187" s="242"/>
      <c r="AV187" s="242"/>
      <c r="BU187" s="76"/>
      <c r="BV187" s="1327"/>
      <c r="BW187" s="1327"/>
      <c r="BX187" s="1327"/>
      <c r="BY187" s="1327"/>
      <c r="BZ187" s="1327"/>
      <c r="CA187" s="1327"/>
      <c r="CB187" s="1327"/>
      <c r="CC187" s="1327"/>
      <c r="CD187" s="1327"/>
      <c r="CE187" s="1327"/>
      <c r="CF187" s="1327"/>
      <c r="CG187" s="1327"/>
      <c r="CH187" s="1327"/>
      <c r="CI187" s="1327"/>
      <c r="CJ187" s="1327"/>
      <c r="CK187" s="1327"/>
      <c r="CX187" s="1184"/>
      <c r="CY187" s="1184"/>
      <c r="CZ187" s="1184"/>
      <c r="DA187" s="1184"/>
      <c r="DB187" s="1184"/>
      <c r="DC187" s="1184"/>
      <c r="DD187" s="1184"/>
      <c r="DE187" s="1184"/>
      <c r="DF187" s="1184"/>
      <c r="DG187" s="1184"/>
      <c r="DH187" s="1184"/>
      <c r="DI187" s="1184"/>
      <c r="DJ187" s="1184"/>
      <c r="DK187" s="1184"/>
      <c r="DL187" s="1184"/>
      <c r="DM187" s="1184"/>
      <c r="DN187" s="1184"/>
      <c r="DO187" s="1184"/>
      <c r="DP187" s="1184"/>
      <c r="DQ187" s="1184"/>
      <c r="DR187" s="1184"/>
      <c r="DS187" s="1184"/>
      <c r="DT187" s="1184"/>
      <c r="DU187" s="1184"/>
      <c r="DV187" s="1184"/>
      <c r="DW187" s="1184"/>
      <c r="DX187" s="1184"/>
      <c r="DY187" s="1184"/>
      <c r="DZ187" s="1184"/>
      <c r="EA187" s="1184"/>
      <c r="EB187" s="1184"/>
      <c r="EC187" s="1184"/>
      <c r="ED187" s="1184"/>
      <c r="EE187" s="1184"/>
      <c r="EF187" s="1184"/>
      <c r="EG187" s="1184"/>
      <c r="EH187" s="1184"/>
      <c r="EI187" s="1184"/>
      <c r="EJ187" s="1184"/>
      <c r="EK187" s="1184"/>
      <c r="EL187" s="1184"/>
      <c r="EM187" s="1184"/>
      <c r="EN187" s="1184"/>
      <c r="EO187" s="1184"/>
      <c r="EP187" s="1184"/>
      <c r="EQ187" s="1184"/>
      <c r="ER187" s="1184"/>
      <c r="ES187" s="1184"/>
      <c r="ET187" s="1184"/>
      <c r="EU187" s="1184"/>
      <c r="EV187" s="1184"/>
      <c r="EW187" s="1184"/>
      <c r="EX187" s="1184"/>
      <c r="EY187" s="1184"/>
      <c r="EZ187" s="1184"/>
      <c r="FA187" s="1184"/>
      <c r="FB187" s="1184"/>
      <c r="FC187" s="1184"/>
      <c r="FD187" s="1184"/>
      <c r="FE187" s="1184"/>
      <c r="FF187" s="1184"/>
      <c r="FG187" s="1184"/>
      <c r="FH187" s="1184"/>
      <c r="FI187" s="1184"/>
      <c r="FJ187" s="1184"/>
      <c r="FK187" s="1184"/>
      <c r="FL187" s="1184"/>
      <c r="FM187" s="1184"/>
      <c r="FN187" s="1184"/>
      <c r="FO187" s="1184"/>
      <c r="FP187" s="1184"/>
      <c r="FQ187" s="1184"/>
      <c r="FR187" s="1184"/>
      <c r="FS187" s="1184"/>
      <c r="FT187" s="1184"/>
      <c r="FU187" s="1184"/>
      <c r="FV187" s="1184"/>
      <c r="FW187" s="1184"/>
      <c r="FX187" s="1184"/>
      <c r="FY187" s="1184"/>
      <c r="FZ187" s="1184"/>
      <c r="GA187" s="1184"/>
      <c r="GB187" s="1184"/>
      <c r="GC187" s="1184"/>
      <c r="GD187" s="1184"/>
      <c r="GE187" s="1184"/>
      <c r="GF187" s="1184"/>
      <c r="GG187" s="1184"/>
      <c r="GH187" s="1184"/>
      <c r="GI187" s="1184"/>
      <c r="GJ187" s="1184"/>
      <c r="GK187" s="1184"/>
      <c r="GL187" s="1184"/>
      <c r="GM187" s="1184"/>
      <c r="GN187" s="1184"/>
      <c r="GO187" s="1184"/>
      <c r="GP187" s="1184"/>
      <c r="GQ187" s="1184"/>
      <c r="GR187" s="1184"/>
      <c r="GS187" s="1184"/>
      <c r="GT187" s="1184"/>
      <c r="GU187" s="1184"/>
      <c r="GV187" s="1184"/>
      <c r="GW187" s="1184"/>
      <c r="GX187" s="1184"/>
      <c r="GY187" s="1184"/>
      <c r="GZ187" s="1184"/>
      <c r="HA187" s="1184"/>
      <c r="HB187" s="1184"/>
      <c r="HC187" s="1184"/>
      <c r="HD187" s="1184"/>
      <c r="HE187" s="1184"/>
      <c r="HF187" s="1184"/>
      <c r="HG187" s="1184"/>
      <c r="HH187" s="1184"/>
      <c r="HI187" s="1184"/>
      <c r="HJ187" s="1184"/>
      <c r="HK187" s="1184"/>
      <c r="HN187" s="1184"/>
      <c r="HO187" s="1184"/>
      <c r="HP187" s="1184"/>
      <c r="HQ187" s="1184"/>
      <c r="HR187" s="1184"/>
      <c r="HS187" s="1184"/>
      <c r="HT187" s="1184"/>
      <c r="HU187" s="1184"/>
      <c r="HV187" s="1184"/>
      <c r="HW187" s="1184"/>
      <c r="HX187" s="1184"/>
      <c r="HY187" s="1184"/>
      <c r="HZ187" s="1184"/>
    </row>
    <row r="188" spans="44:246" ht="15.75" customHeight="1" x14ac:dyDescent="0.2">
      <c r="AR188" s="242"/>
      <c r="AS188" s="242"/>
      <c r="AT188" s="242"/>
      <c r="AU188" s="242"/>
      <c r="AV188" s="242"/>
      <c r="BU188" s="76"/>
      <c r="BV188" s="1327"/>
      <c r="BW188" s="1327"/>
      <c r="BX188" s="1327"/>
      <c r="BY188" s="1327"/>
      <c r="BZ188" s="1327"/>
      <c r="CA188" s="1327"/>
      <c r="CB188" s="1327"/>
      <c r="CC188" s="1327"/>
      <c r="CD188" s="1327"/>
      <c r="CE188" s="1327"/>
      <c r="CF188" s="1327"/>
      <c r="CG188" s="1327"/>
      <c r="CH188" s="1327"/>
      <c r="CI188" s="1327"/>
      <c r="CJ188" s="1327"/>
      <c r="CK188" s="1327"/>
      <c r="CX188" s="1184"/>
      <c r="CY188" s="1184"/>
      <c r="CZ188" s="1184"/>
      <c r="DA188" s="1184"/>
      <c r="DB188" s="1184"/>
      <c r="DC188" s="1184"/>
      <c r="DD188" s="1184"/>
      <c r="DE188" s="1184"/>
      <c r="DF188" s="1184"/>
      <c r="DG188" s="1184"/>
      <c r="DH188" s="1184"/>
      <c r="DI188" s="1184"/>
      <c r="DJ188" s="1184"/>
      <c r="DK188" s="1184"/>
      <c r="DL188" s="1184"/>
      <c r="DM188" s="1184"/>
      <c r="DN188" s="1184"/>
      <c r="DO188" s="1184"/>
      <c r="DP188" s="1184"/>
      <c r="DQ188" s="1184"/>
      <c r="DR188" s="1184"/>
      <c r="DS188" s="1184"/>
      <c r="DT188" s="1184"/>
      <c r="DU188" s="1184"/>
      <c r="DV188" s="1184"/>
      <c r="DW188" s="1184"/>
      <c r="DX188" s="1184"/>
      <c r="DY188" s="1184"/>
      <c r="DZ188" s="1184"/>
      <c r="EA188" s="1184"/>
      <c r="EB188" s="1184"/>
      <c r="EC188" s="1184"/>
      <c r="ED188" s="1184"/>
      <c r="EE188" s="1184"/>
      <c r="EF188" s="1184"/>
      <c r="EG188" s="1184"/>
      <c r="EH188" s="1184"/>
      <c r="EI188" s="1184"/>
      <c r="EJ188" s="1184"/>
      <c r="EK188" s="1184"/>
      <c r="EL188" s="1184"/>
      <c r="EM188" s="1184"/>
      <c r="EN188" s="1184"/>
      <c r="EO188" s="1184"/>
      <c r="EP188" s="1184"/>
      <c r="EQ188" s="1184"/>
      <c r="ER188" s="1184"/>
      <c r="ES188" s="1184"/>
      <c r="ET188" s="1184"/>
      <c r="EU188" s="1184"/>
      <c r="EV188" s="1184"/>
      <c r="EW188" s="1184"/>
      <c r="EX188" s="1184"/>
      <c r="EY188" s="1184"/>
      <c r="EZ188" s="1184"/>
      <c r="FA188" s="1184"/>
      <c r="FB188" s="1184"/>
      <c r="FC188" s="1184"/>
      <c r="FD188" s="1184"/>
      <c r="FE188" s="1184"/>
      <c r="FF188" s="1184"/>
      <c r="FG188" s="1184"/>
      <c r="FH188" s="1184"/>
      <c r="FI188" s="1184"/>
      <c r="FJ188" s="1184"/>
      <c r="FK188" s="1184"/>
      <c r="FL188" s="1184"/>
      <c r="FM188" s="1184"/>
      <c r="FN188" s="1184"/>
      <c r="FO188" s="1184"/>
      <c r="FP188" s="1184"/>
      <c r="FQ188" s="1184"/>
      <c r="FR188" s="1184"/>
      <c r="FS188" s="1184"/>
      <c r="FT188" s="1184"/>
      <c r="FU188" s="1184"/>
      <c r="FV188" s="1184"/>
      <c r="FW188" s="1184"/>
      <c r="FX188" s="1184"/>
      <c r="FY188" s="1184"/>
      <c r="FZ188" s="1184"/>
      <c r="GA188" s="1184"/>
      <c r="GB188" s="1184"/>
      <c r="GC188" s="1184"/>
      <c r="GD188" s="1184"/>
      <c r="GE188" s="1184"/>
      <c r="GF188" s="1184"/>
      <c r="GG188" s="1184"/>
      <c r="GH188" s="1184"/>
      <c r="GI188" s="1184"/>
      <c r="GJ188" s="1184"/>
      <c r="GK188" s="1184"/>
      <c r="GL188" s="1184"/>
      <c r="GM188" s="1184"/>
      <c r="GN188" s="1184"/>
      <c r="GO188" s="1184"/>
      <c r="GP188" s="1184"/>
      <c r="GQ188" s="1184"/>
      <c r="GR188" s="1184"/>
      <c r="GS188" s="1184"/>
      <c r="GT188" s="1184"/>
      <c r="GU188" s="1184"/>
      <c r="GV188" s="1184"/>
      <c r="GW188" s="1184"/>
      <c r="GX188" s="1184"/>
      <c r="GY188" s="1184"/>
      <c r="GZ188" s="1184"/>
      <c r="HA188" s="1184"/>
      <c r="HB188" s="1184"/>
      <c r="HC188" s="1184"/>
      <c r="HD188" s="1184"/>
      <c r="HE188" s="1184"/>
      <c r="HF188" s="1184"/>
      <c r="HG188" s="1184"/>
      <c r="HH188" s="1184"/>
      <c r="HI188" s="1184"/>
      <c r="HJ188" s="1184"/>
      <c r="HK188" s="1184"/>
      <c r="HN188" s="1184"/>
      <c r="HO188" s="1184"/>
      <c r="HP188" s="1184"/>
      <c r="HQ188" s="1184"/>
      <c r="HR188" s="1184"/>
      <c r="HS188" s="1184"/>
      <c r="HT188" s="1184"/>
      <c r="HU188" s="1184"/>
      <c r="HV188" s="1184"/>
      <c r="HW188" s="1184"/>
      <c r="HX188" s="1184"/>
      <c r="HY188" s="1184"/>
      <c r="HZ188" s="1184"/>
    </row>
    <row r="189" spans="44:246" ht="15.75" customHeight="1" x14ac:dyDescent="0.2">
      <c r="AR189" s="242"/>
      <c r="AS189" s="242"/>
      <c r="AT189" s="242"/>
      <c r="AU189" s="242"/>
      <c r="AV189" s="242"/>
      <c r="BU189" s="76"/>
      <c r="BV189" s="1327"/>
      <c r="BW189" s="1327"/>
      <c r="BX189" s="1327"/>
      <c r="BY189" s="1327"/>
      <c r="BZ189" s="1327"/>
      <c r="CA189" s="1327"/>
      <c r="CB189" s="1327"/>
      <c r="CC189" s="1327"/>
      <c r="CD189" s="1327"/>
      <c r="CE189" s="1327"/>
      <c r="CF189" s="1327"/>
      <c r="CG189" s="1327"/>
      <c r="CH189" s="1327"/>
      <c r="CI189" s="1327"/>
      <c r="CJ189" s="1327"/>
      <c r="CK189" s="1327"/>
      <c r="CX189" s="1184"/>
      <c r="CY189" s="1184"/>
      <c r="CZ189" s="1184"/>
      <c r="DA189" s="1184"/>
      <c r="DB189" s="1184"/>
      <c r="DC189" s="1184"/>
      <c r="DD189" s="1184"/>
      <c r="DE189" s="1184"/>
      <c r="DF189" s="1184"/>
      <c r="DG189" s="1184"/>
      <c r="DH189" s="1184"/>
      <c r="DI189" s="1184"/>
      <c r="DJ189" s="1184"/>
      <c r="DK189" s="1184"/>
      <c r="DL189" s="1184"/>
      <c r="DM189" s="1184"/>
      <c r="DN189" s="1184"/>
      <c r="DO189" s="1184"/>
      <c r="DP189" s="1184"/>
      <c r="DQ189" s="1184"/>
      <c r="DR189" s="1184"/>
      <c r="DS189" s="1184"/>
      <c r="DT189" s="1184"/>
      <c r="DU189" s="1184"/>
      <c r="DV189" s="1184"/>
      <c r="DW189" s="1184"/>
      <c r="DX189" s="1184"/>
      <c r="DY189" s="1184"/>
      <c r="DZ189" s="1184"/>
      <c r="EA189" s="1184"/>
      <c r="EB189" s="1184"/>
      <c r="EC189" s="1184"/>
      <c r="ED189" s="1184"/>
      <c r="EE189" s="1184"/>
      <c r="EF189" s="1184"/>
      <c r="EG189" s="1184"/>
      <c r="EH189" s="1184"/>
      <c r="EI189" s="1184"/>
      <c r="EJ189" s="1184"/>
      <c r="EK189" s="1184"/>
      <c r="EL189" s="1184"/>
      <c r="EM189" s="1184"/>
      <c r="EN189" s="1184"/>
      <c r="EO189" s="1184"/>
      <c r="EP189" s="1184"/>
      <c r="EQ189" s="1184"/>
      <c r="ER189" s="1184"/>
      <c r="ES189" s="1184"/>
      <c r="ET189" s="1184"/>
      <c r="EU189" s="1184"/>
      <c r="EV189" s="1184"/>
      <c r="EW189" s="1184"/>
      <c r="EX189" s="1184"/>
      <c r="EY189" s="1184"/>
      <c r="EZ189" s="1184"/>
      <c r="FA189" s="1184"/>
      <c r="FB189" s="1184"/>
      <c r="FC189" s="1184"/>
      <c r="FD189" s="1184"/>
      <c r="FE189" s="1184"/>
      <c r="FF189" s="1184"/>
      <c r="FG189" s="1184"/>
      <c r="FH189" s="1184"/>
      <c r="FI189" s="1184"/>
      <c r="FJ189" s="1184"/>
      <c r="FK189" s="1184"/>
      <c r="FL189" s="1184"/>
      <c r="FM189" s="1184"/>
      <c r="FN189" s="1184"/>
      <c r="FO189" s="1184"/>
      <c r="FP189" s="1184"/>
      <c r="FQ189" s="1184"/>
      <c r="FR189" s="1184"/>
      <c r="FS189" s="1184"/>
      <c r="FT189" s="1184"/>
      <c r="FU189" s="1184"/>
      <c r="FV189" s="1184"/>
      <c r="FW189" s="1184"/>
      <c r="FX189" s="1184"/>
      <c r="FY189" s="1184"/>
      <c r="FZ189" s="1184"/>
      <c r="GA189" s="1184"/>
      <c r="GB189" s="1184"/>
      <c r="GC189" s="1184"/>
      <c r="GD189" s="1184"/>
      <c r="GE189" s="1184"/>
      <c r="GF189" s="1184"/>
      <c r="GG189" s="1184"/>
      <c r="GH189" s="1184"/>
      <c r="GI189" s="1184"/>
      <c r="GJ189" s="1184"/>
      <c r="GK189" s="1184"/>
      <c r="GL189" s="1184"/>
      <c r="GM189" s="1184"/>
      <c r="GN189" s="1184"/>
      <c r="GO189" s="1184"/>
      <c r="GP189" s="1184"/>
      <c r="GQ189" s="1184"/>
      <c r="GR189" s="1184"/>
      <c r="GS189" s="1184"/>
      <c r="GT189" s="1184"/>
      <c r="GU189" s="1184"/>
      <c r="GV189" s="1184"/>
      <c r="GW189" s="1184"/>
      <c r="GX189" s="1184"/>
      <c r="GY189" s="1184"/>
      <c r="GZ189" s="1184"/>
      <c r="HA189" s="1184"/>
      <c r="HB189" s="1184"/>
      <c r="HC189" s="1184"/>
      <c r="HD189" s="1184"/>
      <c r="HE189" s="1184"/>
      <c r="HF189" s="1184"/>
      <c r="HG189" s="1184"/>
      <c r="HH189" s="1184"/>
      <c r="HI189" s="1184"/>
      <c r="HJ189" s="1184"/>
      <c r="HK189" s="1184"/>
      <c r="HN189" s="1184"/>
      <c r="HO189" s="1184"/>
      <c r="HP189" s="1184"/>
      <c r="HQ189" s="1184"/>
      <c r="HR189" s="1184"/>
      <c r="HS189" s="1184"/>
      <c r="HT189" s="1184"/>
      <c r="HU189" s="1184"/>
      <c r="HV189" s="1184"/>
      <c r="HW189" s="1184"/>
      <c r="HX189" s="1184"/>
      <c r="HY189" s="1184"/>
      <c r="HZ189" s="1184"/>
    </row>
    <row r="190" spans="44:246" ht="15.75" customHeight="1" x14ac:dyDescent="0.2">
      <c r="AR190" s="242"/>
      <c r="AS190" s="242"/>
      <c r="AT190" s="242"/>
      <c r="AU190" s="242"/>
      <c r="AV190" s="242"/>
      <c r="BU190" s="76"/>
      <c r="BV190" s="1327"/>
      <c r="BW190" s="1327"/>
      <c r="BX190" s="1327"/>
      <c r="BY190" s="1327"/>
      <c r="BZ190" s="1327"/>
      <c r="CA190" s="1327"/>
      <c r="CB190" s="1327"/>
      <c r="CC190" s="1327"/>
      <c r="CD190" s="1327"/>
      <c r="CE190" s="1327"/>
      <c r="CF190" s="1327"/>
      <c r="CG190" s="1327"/>
      <c r="CH190" s="1327"/>
      <c r="CI190" s="1327"/>
      <c r="CJ190" s="1327"/>
      <c r="CK190" s="1327"/>
      <c r="CX190" s="1184"/>
      <c r="HN190" s="1184"/>
      <c r="HO190" s="1184"/>
      <c r="HP190" s="1184"/>
      <c r="HQ190" s="1184"/>
      <c r="HR190" s="1184"/>
      <c r="HS190" s="1184"/>
      <c r="HT190" s="1184"/>
      <c r="HU190" s="1184"/>
      <c r="HV190" s="1184"/>
      <c r="HW190" s="1184"/>
      <c r="HX190" s="1184"/>
      <c r="HY190" s="1184"/>
      <c r="HZ190" s="1184"/>
    </row>
    <row r="191" spans="44:246" ht="15.75" customHeight="1" x14ac:dyDescent="0.2">
      <c r="AR191" s="242"/>
      <c r="AS191" s="242"/>
      <c r="AT191" s="242"/>
      <c r="AU191" s="242"/>
      <c r="AV191" s="242"/>
      <c r="BU191" s="76"/>
      <c r="BV191" s="1327"/>
      <c r="BW191" s="1327"/>
      <c r="BX191" s="1327"/>
      <c r="BY191" s="1327"/>
      <c r="BZ191" s="1327"/>
      <c r="CA191" s="1327"/>
      <c r="CB191" s="1327"/>
      <c r="CC191" s="1327"/>
      <c r="CD191" s="1327"/>
      <c r="CE191" s="1327"/>
      <c r="CF191" s="1327"/>
      <c r="CG191" s="1327"/>
      <c r="CH191" s="1327"/>
      <c r="CI191" s="1327"/>
      <c r="CJ191" s="1327"/>
      <c r="CK191" s="1327"/>
      <c r="HO191" s="1184"/>
      <c r="HP191" s="1184"/>
      <c r="HQ191" s="1184"/>
      <c r="HR191" s="1184"/>
      <c r="HS191" s="1184"/>
      <c r="HT191" s="1184"/>
      <c r="HU191" s="1184"/>
      <c r="HV191" s="1184"/>
      <c r="HW191" s="1184"/>
      <c r="HX191" s="1184"/>
      <c r="HY191" s="1184"/>
      <c r="HZ191" s="1184"/>
    </row>
    <row r="192" spans="44:246" ht="15.75" customHeight="1" x14ac:dyDescent="0.2">
      <c r="AR192" s="242"/>
      <c r="AS192" s="242"/>
      <c r="AT192" s="242"/>
      <c r="AU192" s="242"/>
      <c r="AV192" s="242"/>
      <c r="BU192" s="76"/>
      <c r="BV192" s="1327"/>
      <c r="BW192" s="1327"/>
      <c r="BX192" s="1327"/>
      <c r="BY192" s="1327"/>
      <c r="BZ192" s="1327"/>
      <c r="CA192" s="1327"/>
      <c r="CB192" s="1327"/>
      <c r="CC192" s="1327"/>
      <c r="CD192" s="1327"/>
      <c r="CE192" s="1327"/>
      <c r="CF192" s="1327"/>
      <c r="CG192" s="1327"/>
      <c r="CH192" s="1327"/>
      <c r="CI192" s="1327"/>
      <c r="CJ192" s="1327"/>
      <c r="CK192" s="1327"/>
      <c r="HO192" s="1184"/>
      <c r="HP192" s="1184"/>
      <c r="HQ192" s="1184"/>
      <c r="HR192" s="1184"/>
      <c r="HS192" s="1184"/>
      <c r="HT192" s="1184"/>
      <c r="HU192" s="1184"/>
      <c r="HV192" s="1184"/>
      <c r="HW192" s="1184"/>
      <c r="HX192" s="1184"/>
      <c r="HY192" s="1184"/>
      <c r="HZ192" s="1184"/>
    </row>
    <row r="193" spans="44:234" ht="15.75" customHeight="1" x14ac:dyDescent="0.2">
      <c r="AR193" s="242"/>
      <c r="AS193" s="242"/>
      <c r="AT193" s="242"/>
      <c r="AU193" s="242"/>
      <c r="AV193" s="242"/>
      <c r="BU193" s="76"/>
      <c r="BV193" s="1327"/>
      <c r="BW193" s="1327"/>
      <c r="BX193" s="1327"/>
      <c r="BY193" s="1327"/>
      <c r="BZ193" s="1327"/>
      <c r="CA193" s="1327"/>
      <c r="CB193" s="1327"/>
      <c r="CC193" s="1327"/>
      <c r="CD193" s="1327"/>
      <c r="CE193" s="1327"/>
      <c r="CF193" s="1327"/>
      <c r="CG193" s="1327"/>
      <c r="CH193" s="1327"/>
      <c r="CI193" s="1327"/>
      <c r="CJ193" s="1327"/>
      <c r="CK193" s="1327"/>
      <c r="HO193" s="1184"/>
      <c r="HP193" s="1184"/>
      <c r="HQ193" s="1184"/>
      <c r="HR193" s="1184"/>
      <c r="HS193" s="1184"/>
      <c r="HT193" s="1184"/>
      <c r="HU193" s="1184"/>
      <c r="HV193" s="1184"/>
      <c r="HW193" s="1184"/>
      <c r="HX193" s="1184"/>
      <c r="HY193" s="1184"/>
      <c r="HZ193" s="1184"/>
    </row>
    <row r="194" spans="44:234" ht="15.75" customHeight="1" x14ac:dyDescent="0.2">
      <c r="AR194" s="242"/>
      <c r="AS194" s="242"/>
      <c r="AT194" s="242"/>
      <c r="AU194" s="242"/>
      <c r="AV194" s="242"/>
      <c r="BU194" s="76"/>
      <c r="BV194" s="1327"/>
      <c r="BW194" s="1327"/>
      <c r="BX194" s="1327"/>
      <c r="BY194" s="1327"/>
      <c r="BZ194" s="1327"/>
      <c r="CA194" s="1327"/>
      <c r="CB194" s="1327"/>
      <c r="CC194" s="1327"/>
      <c r="CD194" s="1327"/>
      <c r="CE194" s="1327"/>
      <c r="CF194" s="1327"/>
      <c r="CG194" s="1327"/>
      <c r="CH194" s="1327"/>
      <c r="CI194" s="1327"/>
      <c r="CJ194" s="1327"/>
      <c r="CK194" s="1327"/>
      <c r="HO194" s="1184"/>
      <c r="HP194" s="1184"/>
      <c r="HQ194" s="1184"/>
      <c r="HR194" s="1184"/>
      <c r="HS194" s="1184"/>
      <c r="HT194" s="1184"/>
      <c r="HU194" s="1184"/>
      <c r="HV194" s="1184"/>
      <c r="HW194" s="1184"/>
      <c r="HX194" s="1184"/>
      <c r="HY194" s="1184"/>
      <c r="HZ194" s="1184"/>
    </row>
    <row r="195" spans="44:234" ht="15.75" customHeight="1" x14ac:dyDescent="0.2">
      <c r="AR195" s="242"/>
      <c r="AS195" s="242"/>
      <c r="AT195" s="242"/>
      <c r="AU195" s="242"/>
      <c r="AV195" s="242"/>
      <c r="BU195" s="76"/>
      <c r="BV195" s="1327"/>
      <c r="BW195" s="1327"/>
      <c r="BX195" s="1327"/>
      <c r="BY195" s="1327"/>
      <c r="BZ195" s="1327"/>
      <c r="CA195" s="1327"/>
      <c r="CB195" s="1327"/>
      <c r="CC195" s="1327"/>
      <c r="CD195" s="1327"/>
      <c r="CE195" s="1327"/>
      <c r="CF195" s="1327"/>
      <c r="CG195" s="1327"/>
      <c r="CH195" s="1327"/>
      <c r="CI195" s="1327"/>
      <c r="CJ195" s="1327"/>
      <c r="CK195" s="1327"/>
      <c r="HO195" s="1184"/>
      <c r="HP195" s="1184"/>
      <c r="HQ195" s="1184"/>
      <c r="HR195" s="1184"/>
      <c r="HS195" s="1184"/>
      <c r="HT195" s="1184"/>
      <c r="HU195" s="1184"/>
      <c r="HV195" s="1184"/>
      <c r="HW195" s="1184"/>
      <c r="HX195" s="1184"/>
      <c r="HY195" s="1184"/>
      <c r="HZ195" s="1184"/>
    </row>
    <row r="196" spans="44:234" ht="15.75" customHeight="1" x14ac:dyDescent="0.2">
      <c r="AR196" s="242"/>
      <c r="AS196" s="242"/>
      <c r="AT196" s="242"/>
      <c r="AU196" s="242"/>
      <c r="AV196" s="242"/>
      <c r="BU196" s="76"/>
      <c r="BV196" s="1327"/>
      <c r="BW196" s="1327"/>
      <c r="BX196" s="1327"/>
      <c r="BY196" s="1327"/>
      <c r="BZ196" s="1327"/>
      <c r="CA196" s="1327"/>
      <c r="CB196" s="1327"/>
      <c r="CC196" s="1327"/>
      <c r="CD196" s="1327"/>
      <c r="CE196" s="1327"/>
      <c r="CF196" s="1327"/>
      <c r="CG196" s="1327"/>
      <c r="CH196" s="1327"/>
      <c r="CI196" s="1327"/>
      <c r="CJ196" s="1327"/>
      <c r="CK196" s="1327"/>
      <c r="HO196" s="1184"/>
      <c r="HP196" s="1184"/>
      <c r="HQ196" s="1184"/>
      <c r="HR196" s="1184"/>
      <c r="HS196" s="1184"/>
      <c r="HT196" s="1184"/>
      <c r="HU196" s="1184"/>
      <c r="HV196" s="1184"/>
      <c r="HW196" s="1184"/>
      <c r="HX196" s="1184"/>
      <c r="HY196" s="1184"/>
      <c r="HZ196" s="1184"/>
    </row>
    <row r="197" spans="44:234" ht="15.75" customHeight="1" x14ac:dyDescent="0.2">
      <c r="AR197" s="242"/>
      <c r="AS197" s="242"/>
      <c r="AT197" s="242"/>
      <c r="AU197" s="242"/>
      <c r="AV197" s="242"/>
      <c r="BU197" s="76"/>
      <c r="BV197" s="1327"/>
      <c r="BW197" s="1327"/>
      <c r="BX197" s="1327"/>
      <c r="BY197" s="1327"/>
      <c r="BZ197" s="1327"/>
      <c r="CA197" s="1327"/>
      <c r="CB197" s="1327"/>
      <c r="CC197" s="1327"/>
      <c r="CD197" s="1327"/>
      <c r="CE197" s="1327"/>
      <c r="CF197" s="1327"/>
      <c r="CG197" s="1327"/>
      <c r="CH197" s="1327"/>
      <c r="CI197" s="1327"/>
      <c r="CJ197" s="1327"/>
      <c r="CK197" s="1327"/>
      <c r="HO197" s="1184"/>
      <c r="HP197" s="1184"/>
      <c r="HQ197" s="1184"/>
      <c r="HR197" s="1184"/>
      <c r="HS197" s="1184"/>
      <c r="HT197" s="1184"/>
      <c r="HU197" s="1184"/>
      <c r="HV197" s="1184"/>
      <c r="HW197" s="1184"/>
      <c r="HX197" s="1184"/>
      <c r="HY197" s="1184"/>
      <c r="HZ197" s="1184"/>
    </row>
    <row r="198" spans="44:234" ht="15.75" customHeight="1" x14ac:dyDescent="0.2">
      <c r="AR198" s="242"/>
      <c r="AS198" s="242"/>
      <c r="AT198" s="242"/>
      <c r="AU198" s="242"/>
      <c r="AV198" s="242"/>
      <c r="BU198" s="76"/>
      <c r="BV198" s="1327"/>
      <c r="BW198" s="1327"/>
      <c r="BX198" s="1327"/>
      <c r="BY198" s="1327"/>
      <c r="BZ198" s="1327"/>
      <c r="CA198" s="1327"/>
      <c r="CB198" s="1327"/>
      <c r="CC198" s="1327"/>
      <c r="CD198" s="1327"/>
      <c r="CE198" s="1327"/>
      <c r="CF198" s="1327"/>
      <c r="CG198" s="1327"/>
      <c r="CH198" s="1327"/>
      <c r="CI198" s="1327"/>
      <c r="CJ198" s="1327"/>
      <c r="CK198" s="1327"/>
      <c r="HO198" s="1184"/>
      <c r="HP198" s="1184"/>
      <c r="HQ198" s="1184"/>
      <c r="HR198" s="1184"/>
      <c r="HS198" s="1184"/>
      <c r="HT198" s="1184"/>
      <c r="HU198" s="1184"/>
      <c r="HV198" s="1184"/>
      <c r="HW198" s="1184"/>
      <c r="HX198" s="1184"/>
      <c r="HY198" s="1184"/>
      <c r="HZ198" s="1184"/>
    </row>
    <row r="199" spans="44:234" ht="15.75" customHeight="1" x14ac:dyDescent="0.2">
      <c r="AR199" s="242"/>
      <c r="AS199" s="242"/>
      <c r="AT199" s="242"/>
      <c r="AU199" s="242"/>
      <c r="AV199" s="242"/>
      <c r="BU199" s="76"/>
      <c r="BV199" s="1327"/>
      <c r="BW199" s="1327"/>
      <c r="BX199" s="1327"/>
      <c r="BY199" s="1327"/>
      <c r="BZ199" s="1327"/>
      <c r="CA199" s="1327"/>
      <c r="CB199" s="1327"/>
      <c r="CC199" s="1327"/>
      <c r="CD199" s="1327"/>
      <c r="CE199" s="1327"/>
      <c r="CF199" s="1327"/>
      <c r="CG199" s="1327"/>
      <c r="CH199" s="1327"/>
      <c r="CI199" s="1327"/>
      <c r="CJ199" s="1327"/>
      <c r="CK199" s="1327"/>
      <c r="HO199" s="1184"/>
      <c r="HP199" s="1184"/>
      <c r="HQ199" s="1184"/>
      <c r="HR199" s="1184"/>
      <c r="HS199" s="1184"/>
      <c r="HT199" s="1184"/>
      <c r="HU199" s="1184"/>
      <c r="HV199" s="1184"/>
      <c r="HW199" s="1184"/>
      <c r="HX199" s="1184"/>
      <c r="HY199" s="1184"/>
      <c r="HZ199" s="1184"/>
    </row>
    <row r="200" spans="44:234" ht="15.75" customHeight="1" x14ac:dyDescent="0.2">
      <c r="BU200" s="76"/>
      <c r="BV200" s="1327"/>
      <c r="BW200" s="1327"/>
      <c r="BX200" s="1327"/>
      <c r="BY200" s="1327"/>
      <c r="BZ200" s="1327"/>
      <c r="CA200" s="1327"/>
      <c r="CB200" s="1327"/>
      <c r="CC200" s="1327"/>
      <c r="CD200" s="1327"/>
      <c r="CE200" s="1327"/>
      <c r="CF200" s="1327"/>
      <c r="CG200" s="1327"/>
      <c r="CH200" s="1327"/>
      <c r="CI200" s="1327"/>
      <c r="CJ200" s="1327"/>
      <c r="CK200" s="1327"/>
      <c r="HO200" s="1184"/>
      <c r="HP200" s="1184"/>
    </row>
    <row r="201" spans="44:234" ht="15.75" customHeight="1" x14ac:dyDescent="0.2">
      <c r="BU201" s="76"/>
      <c r="BV201" s="1327"/>
      <c r="BW201" s="1327"/>
      <c r="BX201" s="1327"/>
      <c r="BY201" s="1327"/>
      <c r="BZ201" s="1327"/>
      <c r="CA201" s="1327"/>
      <c r="CB201" s="1327"/>
      <c r="CC201" s="1327"/>
      <c r="CD201" s="1327"/>
      <c r="CE201" s="1327"/>
      <c r="CF201" s="1327"/>
      <c r="CG201" s="1327"/>
      <c r="CH201" s="1327"/>
      <c r="CI201" s="1327"/>
      <c r="CJ201" s="1327"/>
      <c r="CK201" s="1327"/>
      <c r="HO201" s="1184"/>
      <c r="HP201" s="1184"/>
    </row>
    <row r="202" spans="44:234" ht="15.75" customHeight="1" x14ac:dyDescent="0.2">
      <c r="BU202" s="76"/>
      <c r="BV202" s="1327"/>
      <c r="BW202" s="1327"/>
      <c r="BX202" s="1327"/>
      <c r="BY202" s="1327"/>
      <c r="BZ202" s="1327"/>
      <c r="CA202" s="1327"/>
      <c r="CB202" s="1327"/>
      <c r="CC202" s="1327"/>
      <c r="CD202" s="1327"/>
      <c r="CE202" s="1327"/>
      <c r="CF202" s="1327"/>
      <c r="CG202" s="1327"/>
      <c r="CH202" s="1327"/>
      <c r="CI202" s="1327"/>
      <c r="CJ202" s="1327"/>
      <c r="CK202" s="1327"/>
      <c r="HO202" s="1184"/>
      <c r="HP202" s="1184"/>
    </row>
    <row r="203" spans="44:234" ht="15.75" customHeight="1" x14ac:dyDescent="0.2">
      <c r="BU203" s="76"/>
      <c r="BV203" s="1327"/>
      <c r="BW203" s="1327"/>
      <c r="BX203" s="1327"/>
      <c r="BY203" s="1327"/>
      <c r="BZ203" s="1327"/>
      <c r="CA203" s="1327"/>
      <c r="CB203" s="1327"/>
      <c r="CC203" s="1327"/>
      <c r="CD203" s="1327"/>
      <c r="CE203" s="1327"/>
      <c r="CF203" s="1327"/>
      <c r="CG203" s="1327"/>
      <c r="CH203" s="1327"/>
      <c r="CI203" s="1327"/>
      <c r="CJ203" s="1327"/>
      <c r="CK203" s="1327"/>
      <c r="HO203" s="1184"/>
      <c r="HP203" s="1184"/>
    </row>
    <row r="204" spans="44:234" ht="15.75" customHeight="1" x14ac:dyDescent="0.2">
      <c r="BU204" s="76"/>
      <c r="BV204" s="1327"/>
      <c r="BW204" s="1327"/>
      <c r="BX204" s="1327"/>
      <c r="BY204" s="1327"/>
      <c r="BZ204" s="1327"/>
      <c r="CA204" s="1327"/>
      <c r="CB204" s="1327"/>
      <c r="CC204" s="1327"/>
      <c r="CD204" s="1327"/>
      <c r="CE204" s="1327"/>
      <c r="CF204" s="1327"/>
      <c r="CG204" s="1327"/>
      <c r="CH204" s="1327"/>
      <c r="CI204" s="1327"/>
      <c r="CJ204" s="1327"/>
      <c r="CK204" s="1327"/>
      <c r="HO204" s="1184"/>
      <c r="HP204" s="1184"/>
    </row>
    <row r="205" spans="44:234" ht="15.75" customHeight="1" x14ac:dyDescent="0.2">
      <c r="BU205" s="76"/>
      <c r="BV205" s="1327"/>
      <c r="BW205" s="1327"/>
      <c r="BX205" s="1327"/>
      <c r="BY205" s="1327"/>
      <c r="BZ205" s="1327"/>
      <c r="CA205" s="1327"/>
      <c r="CB205" s="1327"/>
      <c r="CC205" s="1327"/>
      <c r="CD205" s="1327"/>
      <c r="CE205" s="1327"/>
      <c r="CF205" s="1327"/>
      <c r="CG205" s="1327"/>
      <c r="CH205" s="1327"/>
      <c r="CI205" s="1327"/>
      <c r="CJ205" s="1327"/>
      <c r="CK205" s="1327"/>
      <c r="HO205" s="1184"/>
      <c r="HP205" s="1184"/>
    </row>
    <row r="206" spans="44:234" ht="15.75" customHeight="1" x14ac:dyDescent="0.2">
      <c r="BU206" s="76"/>
      <c r="BV206" s="1327"/>
      <c r="BW206" s="1327"/>
      <c r="BX206" s="1327"/>
      <c r="BY206" s="1327"/>
      <c r="BZ206" s="1327"/>
      <c r="CA206" s="1327"/>
      <c r="CB206" s="1327"/>
      <c r="CC206" s="1327"/>
      <c r="CD206" s="1327"/>
      <c r="CE206" s="1327"/>
      <c r="CF206" s="1327"/>
      <c r="CG206" s="1327"/>
      <c r="CH206" s="1327"/>
      <c r="CI206" s="1327"/>
      <c r="CJ206" s="1327"/>
      <c r="CK206" s="1327"/>
      <c r="HO206" s="1184"/>
      <c r="HP206" s="1184"/>
    </row>
    <row r="207" spans="44:234" ht="15.75" customHeight="1" x14ac:dyDescent="0.2">
      <c r="BU207" s="76"/>
      <c r="BV207" s="1327"/>
      <c r="BW207" s="1327"/>
      <c r="BX207" s="1327"/>
      <c r="BY207" s="1327"/>
      <c r="BZ207" s="1327"/>
      <c r="CA207" s="1327"/>
      <c r="CB207" s="1327"/>
      <c r="CC207" s="1327"/>
      <c r="CD207" s="1327"/>
      <c r="CE207" s="1327"/>
      <c r="CF207" s="1327"/>
      <c r="CG207" s="1327"/>
      <c r="CH207" s="1327"/>
      <c r="CI207" s="1327"/>
      <c r="CJ207" s="1327"/>
      <c r="CK207" s="1327"/>
      <c r="HO207" s="1184"/>
      <c r="HP207" s="1184"/>
    </row>
    <row r="208" spans="44:234" ht="15.75" customHeight="1" x14ac:dyDescent="0.2">
      <c r="BU208" s="76"/>
      <c r="BV208" s="1327"/>
      <c r="BW208" s="1327"/>
      <c r="BX208" s="1327"/>
      <c r="BY208" s="1327"/>
      <c r="BZ208" s="1327"/>
      <c r="CA208" s="1327"/>
      <c r="CB208" s="1327"/>
      <c r="CC208" s="1327"/>
      <c r="CD208" s="1327"/>
      <c r="CE208" s="1327"/>
      <c r="CF208" s="1327"/>
      <c r="CG208" s="1327"/>
      <c r="CH208" s="1327"/>
      <c r="CI208" s="1327"/>
      <c r="CJ208" s="1327"/>
      <c r="CK208" s="1327"/>
      <c r="HO208" s="1184"/>
      <c r="HP208" s="1184"/>
    </row>
    <row r="209" spans="73:224" ht="15.75" customHeight="1" x14ac:dyDescent="0.2">
      <c r="BU209" s="76"/>
      <c r="BV209" s="1327"/>
      <c r="BW209" s="1327"/>
      <c r="BX209" s="1327"/>
      <c r="BY209" s="1327"/>
      <c r="BZ209" s="1327"/>
      <c r="CA209" s="1327"/>
      <c r="CB209" s="1327"/>
      <c r="CC209" s="1327"/>
      <c r="CD209" s="1327"/>
      <c r="CE209" s="1327"/>
      <c r="CF209" s="1327"/>
      <c r="CG209" s="1327"/>
      <c r="CH209" s="1327"/>
      <c r="CI209" s="1327"/>
      <c r="CJ209" s="1327"/>
      <c r="CK209" s="1327"/>
      <c r="HO209" s="1184"/>
      <c r="HP209" s="1184"/>
    </row>
    <row r="210" spans="73:224" ht="15.75" customHeight="1" x14ac:dyDescent="0.2">
      <c r="BU210" s="76"/>
      <c r="BV210" s="1327"/>
      <c r="BW210" s="1327"/>
      <c r="BX210" s="1327"/>
      <c r="BY210" s="1327"/>
      <c r="BZ210" s="1327"/>
      <c r="CA210" s="1327"/>
      <c r="CB210" s="1327"/>
      <c r="CC210" s="1327"/>
      <c r="CD210" s="1327"/>
      <c r="CE210" s="1327"/>
      <c r="CF210" s="1327"/>
      <c r="CG210" s="1327"/>
      <c r="CH210" s="1327"/>
      <c r="CI210" s="1327"/>
      <c r="CJ210" s="1327"/>
      <c r="CK210" s="1327"/>
      <c r="HO210" s="1184"/>
      <c r="HP210" s="1184"/>
    </row>
    <row r="211" spans="73:224" ht="15.75" customHeight="1" x14ac:dyDescent="0.2">
      <c r="BU211" s="76"/>
      <c r="BV211" s="1327"/>
      <c r="BW211" s="1327"/>
      <c r="BX211" s="1327"/>
      <c r="BY211" s="1327"/>
      <c r="BZ211" s="1327"/>
      <c r="CA211" s="1327"/>
      <c r="CB211" s="1327"/>
      <c r="CC211" s="1327"/>
      <c r="CD211" s="1327"/>
      <c r="CE211" s="1327"/>
      <c r="CF211" s="1327"/>
      <c r="CG211" s="1327"/>
      <c r="CH211" s="1327"/>
      <c r="CI211" s="1327"/>
      <c r="CJ211" s="1327"/>
      <c r="CK211" s="1327"/>
      <c r="HO211" s="1184"/>
      <c r="HP211" s="1184"/>
    </row>
    <row r="212" spans="73:224" ht="15.75" customHeight="1" x14ac:dyDescent="0.2">
      <c r="BU212" s="76"/>
      <c r="BV212" s="1327"/>
      <c r="BW212" s="1327"/>
      <c r="BX212" s="1327"/>
      <c r="BY212" s="1327"/>
      <c r="BZ212" s="1327"/>
      <c r="CA212" s="1327"/>
      <c r="CB212" s="1327"/>
      <c r="CC212" s="1327"/>
      <c r="CD212" s="1327"/>
      <c r="CE212" s="1327"/>
      <c r="CF212" s="1327"/>
      <c r="CG212" s="1327"/>
      <c r="CH212" s="1327"/>
      <c r="CI212" s="1327"/>
      <c r="CJ212" s="1327"/>
      <c r="CK212" s="1327"/>
      <c r="HO212" s="1184"/>
      <c r="HP212" s="1184"/>
    </row>
    <row r="213" spans="73:224" ht="15.75" customHeight="1" x14ac:dyDescent="0.2">
      <c r="BU213" s="76"/>
      <c r="BV213" s="1327"/>
      <c r="BW213" s="1327"/>
      <c r="BX213" s="1327"/>
      <c r="BY213" s="1327"/>
      <c r="BZ213" s="1327"/>
      <c r="CA213" s="1327"/>
      <c r="CB213" s="1327"/>
      <c r="CC213" s="1327"/>
      <c r="CD213" s="1327"/>
      <c r="CE213" s="1327"/>
      <c r="CF213" s="1327"/>
      <c r="CG213" s="1327"/>
      <c r="CH213" s="1327"/>
      <c r="CI213" s="1327"/>
      <c r="CJ213" s="1327"/>
      <c r="CK213" s="1327"/>
      <c r="HO213" s="1184"/>
      <c r="HP213" s="1184"/>
    </row>
    <row r="214" spans="73:224" ht="15.75" customHeight="1" x14ac:dyDescent="0.2">
      <c r="BU214" s="76"/>
      <c r="BV214" s="1327"/>
      <c r="BW214" s="1327"/>
      <c r="BX214" s="1327"/>
      <c r="BY214" s="1327"/>
      <c r="BZ214" s="1327"/>
      <c r="CA214" s="1327"/>
      <c r="CB214" s="1327"/>
      <c r="CC214" s="1327"/>
      <c r="CD214" s="1327"/>
      <c r="CE214" s="1327"/>
      <c r="CF214" s="1327"/>
      <c r="CG214" s="1327"/>
      <c r="CH214" s="1327"/>
      <c r="CI214" s="1327"/>
      <c r="CJ214" s="1327"/>
      <c r="CK214" s="1327"/>
    </row>
    <row r="215" spans="73:224" ht="15.75" customHeight="1" x14ac:dyDescent="0.2">
      <c r="BU215" s="76"/>
      <c r="BV215" s="1327"/>
      <c r="BW215" s="1327"/>
      <c r="BX215" s="1327"/>
      <c r="BY215" s="1327"/>
      <c r="BZ215" s="1327"/>
      <c r="CA215" s="1327"/>
      <c r="CB215" s="1327"/>
      <c r="CC215" s="1327"/>
      <c r="CD215" s="1327"/>
      <c r="CE215" s="1327"/>
      <c r="CF215" s="1327"/>
      <c r="CG215" s="1327"/>
      <c r="CH215" s="1327"/>
      <c r="CI215" s="1327"/>
      <c r="CJ215" s="1327"/>
      <c r="CK215" s="1327"/>
    </row>
    <row r="216" spans="73:224" ht="15.75" customHeight="1" x14ac:dyDescent="0.2">
      <c r="BU216" s="76"/>
      <c r="BV216" s="1327"/>
      <c r="BW216" s="1327"/>
      <c r="BX216" s="1327"/>
      <c r="BY216" s="1327"/>
      <c r="BZ216" s="1327"/>
      <c r="CA216" s="1327"/>
      <c r="CB216" s="1327"/>
      <c r="CC216" s="1327"/>
      <c r="CD216" s="1327"/>
      <c r="CE216" s="1327"/>
      <c r="CF216" s="1327"/>
      <c r="CG216" s="1327"/>
      <c r="CH216" s="1327"/>
      <c r="CI216" s="1327"/>
      <c r="CJ216" s="1327"/>
      <c r="CK216" s="1327"/>
    </row>
    <row r="217" spans="73:224" ht="15.75" customHeight="1" x14ac:dyDescent="0.2">
      <c r="BU217" s="76"/>
      <c r="BV217" s="1327"/>
      <c r="BW217" s="1327"/>
      <c r="BX217" s="1327"/>
      <c r="BY217" s="1327"/>
      <c r="BZ217" s="1327"/>
      <c r="CA217" s="1327"/>
      <c r="CB217" s="1327"/>
      <c r="CC217" s="1327"/>
      <c r="CD217" s="1327"/>
      <c r="CE217" s="1327"/>
      <c r="CF217" s="1327"/>
      <c r="CG217" s="1327"/>
      <c r="CH217" s="1327"/>
      <c r="CI217" s="1327"/>
      <c r="CJ217" s="1327"/>
      <c r="CK217" s="1327"/>
    </row>
    <row r="218" spans="73:224" ht="15.75" customHeight="1" x14ac:dyDescent="0.2">
      <c r="BU218" s="76"/>
      <c r="BV218" s="1327"/>
      <c r="BW218" s="1327"/>
      <c r="BX218" s="1327"/>
      <c r="BY218" s="1327"/>
      <c r="BZ218" s="1327"/>
      <c r="CA218" s="1327"/>
      <c r="CB218" s="1327"/>
      <c r="CC218" s="1327"/>
      <c r="CD218" s="1327"/>
      <c r="CE218" s="1327"/>
      <c r="CF218" s="1327"/>
      <c r="CG218" s="1327"/>
      <c r="CH218" s="1327"/>
      <c r="CI218" s="1327"/>
      <c r="CJ218" s="1327"/>
      <c r="CK218" s="1327"/>
    </row>
    <row r="219" spans="73:224" ht="15.75" customHeight="1" x14ac:dyDescent="0.2">
      <c r="BU219" s="76"/>
      <c r="BV219" s="1327"/>
      <c r="BW219" s="1327"/>
      <c r="BX219" s="1327"/>
      <c r="BY219" s="1327"/>
      <c r="BZ219" s="1327"/>
      <c r="CA219" s="1327"/>
      <c r="CB219" s="1327"/>
      <c r="CC219" s="1327"/>
      <c r="CD219" s="1327"/>
      <c r="CE219" s="1327"/>
      <c r="CF219" s="1327"/>
      <c r="CG219" s="1327"/>
      <c r="CH219" s="1327"/>
      <c r="CI219" s="1327"/>
      <c r="CJ219" s="1327"/>
      <c r="CK219" s="1327"/>
    </row>
    <row r="220" spans="73:224" ht="15.75" customHeight="1" x14ac:dyDescent="0.2">
      <c r="BU220" s="76"/>
      <c r="BV220" s="1327"/>
      <c r="BW220" s="1327"/>
      <c r="BX220" s="1327"/>
      <c r="BY220" s="1327"/>
      <c r="BZ220" s="1327"/>
      <c r="CA220" s="1327"/>
      <c r="CB220" s="1327"/>
      <c r="CC220" s="1327"/>
      <c r="CD220" s="1327"/>
      <c r="CE220" s="1327"/>
      <c r="CF220" s="1327"/>
      <c r="CG220" s="1327"/>
      <c r="CH220" s="1327"/>
      <c r="CI220" s="1327"/>
      <c r="CJ220" s="1327"/>
      <c r="CK220" s="1327"/>
    </row>
    <row r="221" spans="73:224" x14ac:dyDescent="0.2">
      <c r="BW221" s="696"/>
      <c r="BX221" s="696"/>
      <c r="BY221" s="696"/>
      <c r="BZ221" s="696"/>
      <c r="CA221" s="696"/>
      <c r="CB221" s="696"/>
      <c r="CC221" s="696"/>
      <c r="CD221" s="696"/>
      <c r="CE221" s="696"/>
      <c r="CF221" s="696"/>
      <c r="CG221" s="696"/>
      <c r="CH221" s="696"/>
      <c r="CI221" s="696"/>
      <c r="CJ221" s="696"/>
      <c r="CK221" s="696"/>
    </row>
  </sheetData>
  <sheetProtection algorithmName="SHA-512" hashValue="0VrekYaj5/m7GVRiJfqTKl8FvXX9+wHBKCrXyMema0JODojj7GtcXsv3eTbc3Y4xpU4kz9RZTyQGbWnfLktvxg==" saltValue="lXaI0j90MHYPT3hBeT0ccQ==" spinCount="100000" sheet="1" objects="1" scenarios="1"/>
  <mergeCells count="160">
    <mergeCell ref="H98:K98"/>
    <mergeCell ref="H99:K99"/>
    <mergeCell ref="P103:Q103"/>
    <mergeCell ref="P104:Q104"/>
    <mergeCell ref="A85:E85"/>
    <mergeCell ref="A72:E74"/>
    <mergeCell ref="A80:E80"/>
    <mergeCell ref="A88:E88"/>
    <mergeCell ref="F95:K97"/>
    <mergeCell ref="F103:G103"/>
    <mergeCell ref="N98:O98"/>
    <mergeCell ref="N99:O99"/>
    <mergeCell ref="H103:K103"/>
    <mergeCell ref="N103:O103"/>
    <mergeCell ref="I104:K104"/>
    <mergeCell ref="A81:E81"/>
    <mergeCell ref="A82:E82"/>
    <mergeCell ref="A83:E83"/>
    <mergeCell ref="A84:E84"/>
    <mergeCell ref="C75:E75"/>
    <mergeCell ref="A86:E86"/>
    <mergeCell ref="A87:E87"/>
    <mergeCell ref="N104:O104"/>
    <mergeCell ref="C78:E78"/>
    <mergeCell ref="A99:A101"/>
    <mergeCell ref="P102:Q102"/>
    <mergeCell ref="H100:K100"/>
    <mergeCell ref="H101:K101"/>
    <mergeCell ref="H102:K102"/>
    <mergeCell ref="F100:G100"/>
    <mergeCell ref="F101:G101"/>
    <mergeCell ref="F102:G102"/>
    <mergeCell ref="P100:Q100"/>
    <mergeCell ref="P101:Q101"/>
    <mergeCell ref="N101:O101"/>
    <mergeCell ref="N102:O102"/>
    <mergeCell ref="Y2:AS2"/>
    <mergeCell ref="AH11:AH12"/>
    <mergeCell ref="AK11:AK12"/>
    <mergeCell ref="R72:R74"/>
    <mergeCell ref="AI11:AI12"/>
    <mergeCell ref="C79:E79"/>
    <mergeCell ref="L96:M96"/>
    <mergeCell ref="N100:O100"/>
    <mergeCell ref="A71:E71"/>
    <mergeCell ref="Y5:AB12"/>
    <mergeCell ref="N5:O5"/>
    <mergeCell ref="F98:G98"/>
    <mergeCell ref="F99:G99"/>
    <mergeCell ref="K40:P40"/>
    <mergeCell ref="P41:P43"/>
    <mergeCell ref="P72:P74"/>
    <mergeCell ref="K71:P71"/>
    <mergeCell ref="N95:Q96"/>
    <mergeCell ref="P97:Q97"/>
    <mergeCell ref="P98:Q98"/>
    <mergeCell ref="P99:Q99"/>
    <mergeCell ref="G42:H42"/>
    <mergeCell ref="G43:H43"/>
    <mergeCell ref="L95:M95"/>
    <mergeCell ref="GL2:GM2"/>
    <mergeCell ref="GJ2:GK2"/>
    <mergeCell ref="AC5:AF5"/>
    <mergeCell ref="AC6:AF10"/>
    <mergeCell ref="AJ11:AJ12"/>
    <mergeCell ref="AG5:AJ5"/>
    <mergeCell ref="AG6:AJ10"/>
    <mergeCell ref="AN11:AN12"/>
    <mergeCell ref="AK6:AN10"/>
    <mergeCell ref="AK5:AN5"/>
    <mergeCell ref="AO6:AO10"/>
    <mergeCell ref="CK12:CO12"/>
    <mergeCell ref="CH12:CJ12"/>
    <mergeCell ref="GD2:GE2"/>
    <mergeCell ref="BE2:BO2"/>
    <mergeCell ref="AO5:AR5"/>
    <mergeCell ref="AF11:AF12"/>
    <mergeCell ref="AS5:AV5"/>
    <mergeCell ref="BR10:BW10"/>
    <mergeCell ref="AQ6:AQ10"/>
    <mergeCell ref="AO11:AR11"/>
    <mergeCell ref="AS6:AV10"/>
    <mergeCell ref="AV11:AV12"/>
    <mergeCell ref="AR6:AR10"/>
    <mergeCell ref="I41:I43"/>
    <mergeCell ref="J41:J43"/>
    <mergeCell ref="Q40:T40"/>
    <mergeCell ref="N97:O97"/>
    <mergeCell ref="N11:O12"/>
    <mergeCell ref="AM11:AM12"/>
    <mergeCell ref="Q71:T71"/>
    <mergeCell ref="Q11:Q13"/>
    <mergeCell ref="AL11:AL12"/>
    <mergeCell ref="AC11:AC12"/>
    <mergeCell ref="AD11:AD12"/>
    <mergeCell ref="AE11:AE12"/>
    <mergeCell ref="AG11:AG12"/>
    <mergeCell ref="F72:F74"/>
    <mergeCell ref="I72:I74"/>
    <mergeCell ref="Q72:Q74"/>
    <mergeCell ref="S72:T73"/>
    <mergeCell ref="A41:E43"/>
    <mergeCell ref="J72:J74"/>
    <mergeCell ref="K72:K74"/>
    <mergeCell ref="J11:J13"/>
    <mergeCell ref="L72:L74"/>
    <mergeCell ref="M72:M74"/>
    <mergeCell ref="K11:K13"/>
    <mergeCell ref="L11:L13"/>
    <mergeCell ref="M11:M13"/>
    <mergeCell ref="F71:H71"/>
    <mergeCell ref="I71:J71"/>
    <mergeCell ref="A40:E40"/>
    <mergeCell ref="F40:H40"/>
    <mergeCell ref="I40:J40"/>
    <mergeCell ref="N41:O42"/>
    <mergeCell ref="N72:O73"/>
    <mergeCell ref="P11:P13"/>
    <mergeCell ref="S11:T12"/>
    <mergeCell ref="S41:T42"/>
    <mergeCell ref="F41:F43"/>
    <mergeCell ref="A11:E13"/>
    <mergeCell ref="F11:F13"/>
    <mergeCell ref="G12:H12"/>
    <mergeCell ref="G13:H13"/>
    <mergeCell ref="I11:I13"/>
    <mergeCell ref="A1:S1"/>
    <mergeCell ref="K5:M5"/>
    <mergeCell ref="I10:J10"/>
    <mergeCell ref="F10:H10"/>
    <mergeCell ref="Q10:T10"/>
    <mergeCell ref="G3:H3"/>
    <mergeCell ref="K3:M3"/>
    <mergeCell ref="A10:E10"/>
    <mergeCell ref="K10:P10"/>
    <mergeCell ref="E2:P2"/>
    <mergeCell ref="CA10:CF10"/>
    <mergeCell ref="AP6:AP10"/>
    <mergeCell ref="HS2:HV2"/>
    <mergeCell ref="A95:E97"/>
    <mergeCell ref="CP12:CR12"/>
    <mergeCell ref="G73:H73"/>
    <mergeCell ref="G74:H74"/>
    <mergeCell ref="BT71:CE71"/>
    <mergeCell ref="R11:R13"/>
    <mergeCell ref="AU11:AU12"/>
    <mergeCell ref="AT11:AT12"/>
    <mergeCell ref="AS11:AS12"/>
    <mergeCell ref="K41:K43"/>
    <mergeCell ref="L41:L43"/>
    <mergeCell ref="M41:M43"/>
    <mergeCell ref="Q41:Q43"/>
    <mergeCell ref="R41:R43"/>
    <mergeCell ref="CP73:CT73"/>
    <mergeCell ref="C76:E76"/>
    <mergeCell ref="C77:E77"/>
    <mergeCell ref="A89:E89"/>
    <mergeCell ref="CI10:CQ10"/>
    <mergeCell ref="N3:O3"/>
    <mergeCell ref="N4:O4"/>
  </mergeCells>
  <phoneticPr fontId="8" type="noConversion"/>
  <conditionalFormatting sqref="F14:H22 F38:G38 F33:G36">
    <cfRule type="cellIs" dxfId="38" priority="150" stopIfTrue="1" operator="between">
      <formula>0</formula>
      <formula>0</formula>
    </cfRule>
  </conditionalFormatting>
  <conditionalFormatting sqref="F23:H30">
    <cfRule type="cellIs" dxfId="37" priority="148" stopIfTrue="1" operator="between">
      <formula>0</formula>
      <formula>0</formula>
    </cfRule>
  </conditionalFormatting>
  <conditionalFormatting sqref="H36">
    <cfRule type="cellIs" dxfId="36" priority="102" stopIfTrue="1" operator="between">
      <formula>0</formula>
      <formula>0</formula>
    </cfRule>
    <cfRule type="cellIs" priority="103" stopIfTrue="1" operator="between">
      <formula>0</formula>
      <formula>0</formula>
    </cfRule>
  </conditionalFormatting>
  <conditionalFormatting sqref="H32:H35">
    <cfRule type="cellIs" dxfId="35" priority="100" stopIfTrue="1" operator="between">
      <formula>0</formula>
      <formula>0</formula>
    </cfRule>
    <cfRule type="cellIs" priority="101" stopIfTrue="1" operator="between">
      <formula>0</formula>
      <formula>0</formula>
    </cfRule>
  </conditionalFormatting>
  <conditionalFormatting sqref="H38">
    <cfRule type="cellIs" dxfId="34" priority="90" stopIfTrue="1" operator="between">
      <formula>0</formula>
      <formula>0</formula>
    </cfRule>
    <cfRule type="cellIs" priority="91" stopIfTrue="1" operator="between">
      <formula>0</formula>
      <formula>0</formula>
    </cfRule>
  </conditionalFormatting>
  <conditionalFormatting sqref="F32:G32">
    <cfRule type="cellIs" dxfId="33" priority="27" stopIfTrue="1" operator="between">
      <formula>0</formula>
      <formula>0</formula>
    </cfRule>
  </conditionalFormatting>
  <conditionalFormatting sqref="AQ13:AQ36 AQ40:AQ131">
    <cfRule type="expression" dxfId="32" priority="182">
      <formula>AND($AY13&gt;5,$AY13&lt;&gt;"",$BB13&gt;0)</formula>
    </cfRule>
  </conditionalFormatting>
  <conditionalFormatting sqref="K14:M30 L63:M68">
    <cfRule type="expression" dxfId="31" priority="24">
      <formula>$BZ14=3</formula>
    </cfRule>
  </conditionalFormatting>
  <conditionalFormatting sqref="F31:H31">
    <cfRule type="cellIs" dxfId="30" priority="23" stopIfTrue="1" operator="between">
      <formula>0</formula>
      <formula>0</formula>
    </cfRule>
  </conditionalFormatting>
  <conditionalFormatting sqref="K31:M36">
    <cfRule type="expression" dxfId="29" priority="21">
      <formula>$BZ31=3</formula>
    </cfRule>
  </conditionalFormatting>
  <conditionalFormatting sqref="L44:M44">
    <cfRule type="expression" dxfId="28" priority="19">
      <formula>$BZ44=3</formula>
    </cfRule>
  </conditionalFormatting>
  <conditionalFormatting sqref="L45:M61">
    <cfRule type="expression" dxfId="27" priority="17">
      <formula>$BZ45=3</formula>
    </cfRule>
  </conditionalFormatting>
  <conditionalFormatting sqref="L62:M62">
    <cfRule type="expression" dxfId="26" priority="15">
      <formula>$BZ62=3</formula>
    </cfRule>
  </conditionalFormatting>
  <conditionalFormatting sqref="F76:G76">
    <cfRule type="cellIs" dxfId="25" priority="14" stopIfTrue="1" operator="between">
      <formula>0</formula>
      <formula>0</formula>
    </cfRule>
  </conditionalFormatting>
  <conditionalFormatting sqref="F75:G75">
    <cfRule type="cellIs" dxfId="24" priority="13" stopIfTrue="1" operator="between">
      <formula>0</formula>
      <formula>0</formula>
    </cfRule>
  </conditionalFormatting>
  <conditionalFormatting sqref="F77:G79">
    <cfRule type="cellIs" dxfId="23" priority="12" stopIfTrue="1" operator="between">
      <formula>0</formula>
      <formula>0</formula>
    </cfRule>
  </conditionalFormatting>
  <conditionalFormatting sqref="AL13:AL131">
    <cfRule type="containsText" dxfId="22" priority="11" operator="containsText" text="Fehler">
      <formula>NOT(ISERROR(SEARCH("Fehler",AL13)))</formula>
    </cfRule>
  </conditionalFormatting>
  <conditionalFormatting sqref="H77:H79">
    <cfRule type="cellIs" dxfId="21" priority="10" stopIfTrue="1" operator="between">
      <formula>0</formula>
      <formula>0</formula>
    </cfRule>
  </conditionalFormatting>
  <conditionalFormatting sqref="AS13:AS131">
    <cfRule type="expression" dxfId="20" priority="186">
      <formula>OR($AQ13&gt;$AK13+1,$BC13&gt;0)</formula>
    </cfRule>
  </conditionalFormatting>
  <conditionalFormatting sqref="Y13:AN131 AQ13:AV131">
    <cfRule type="expression" dxfId="19" priority="188">
      <formula>OR($Y13=$CY$4,$Y13=$CY$5,$Y13=$CY$6,$Y13=$CY$7,$Y13=$CY$8)</formula>
    </cfRule>
  </conditionalFormatting>
  <conditionalFormatting sqref="H75:H76">
    <cfRule type="cellIs" dxfId="18" priority="9" stopIfTrue="1" operator="between">
      <formula>0</formula>
      <formula>0</formula>
    </cfRule>
  </conditionalFormatting>
  <conditionalFormatting sqref="I80">
    <cfRule type="cellIs" dxfId="17" priority="8" stopIfTrue="1" operator="between">
      <formula>0</formula>
      <formula>0</formula>
    </cfRule>
  </conditionalFormatting>
  <conditionalFormatting sqref="I81:I88">
    <cfRule type="cellIs" dxfId="16" priority="7" stopIfTrue="1" operator="between">
      <formula>0</formula>
      <formula>0</formula>
    </cfRule>
  </conditionalFormatting>
  <conditionalFormatting sqref="I89">
    <cfRule type="cellIs" dxfId="15" priority="6" stopIfTrue="1" operator="between">
      <formula>0</formula>
      <formula>0</formula>
    </cfRule>
  </conditionalFormatting>
  <conditionalFormatting sqref="Q80">
    <cfRule type="cellIs" dxfId="14" priority="5" stopIfTrue="1" operator="between">
      <formula>0</formula>
      <formula>0</formula>
    </cfRule>
  </conditionalFormatting>
  <conditionalFormatting sqref="Q81:Q88">
    <cfRule type="cellIs" dxfId="13" priority="4" stopIfTrue="1" operator="between">
      <formula>0</formula>
      <formula>0</formula>
    </cfRule>
  </conditionalFormatting>
  <conditionalFormatting sqref="Q89">
    <cfRule type="cellIs" dxfId="12" priority="3" stopIfTrue="1" operator="between">
      <formula>0</formula>
      <formula>0</formula>
    </cfRule>
  </conditionalFormatting>
  <conditionalFormatting sqref="AO13:AP131">
    <cfRule type="expression" dxfId="11" priority="2">
      <formula>OR($Y13=$CY$4,$Y13=$CY$5,$Y13=$CY$6,$Y13=$CY$7,$Y13=$CY$8)</formula>
    </cfRule>
  </conditionalFormatting>
  <conditionalFormatting sqref="N14:O36 N44:O68">
    <cfRule type="expression" dxfId="10" priority="1">
      <formula>$BZ14&lt;&gt;2</formula>
    </cfRule>
  </conditionalFormatting>
  <dataValidations disablePrompts="1" count="8">
    <dataValidation type="decimal" operator="greaterThanOrEqual" allowBlank="1" showInputMessage="1" showErrorMessage="1" sqref="F98:G103">
      <formula1>0</formula1>
    </dataValidation>
    <dataValidation type="whole" allowBlank="1" showInputMessage="1" showErrorMessage="1" errorTitle="Ungültige Eingabe" error="Geben Sie den Monat als Zahl zwischen 1 (Januar) und 12 (Dezember) an." sqref="S75:T89 S44:T68 N44:P68 S14:T36 N14:P36">
      <formula1>1</formula1>
      <formula2>12</formula2>
    </dataValidation>
    <dataValidation type="whole" allowBlank="1" showInputMessage="1" showErrorMessage="1" errorTitle="Ungültige Eingabe" error="Wählen Sie einen Wert zwischen 0 und 100" sqref="Q14:Q36">
      <formula1>0</formula1>
      <formula2>100</formula2>
    </dataValidation>
    <dataValidation type="whole" allowBlank="1" showInputMessage="1" showErrorMessage="1" errorTitle="Ungültige Eingabe" error="Wählen Sie einen Wert zwischen 0 und 100." sqref="K14:K36 I14:I36 Q75:Q79 I75:I79">
      <formula1>0</formula1>
      <formula2>100</formula2>
    </dataValidation>
    <dataValidation type="decimal" operator="greaterThanOrEqual" allowBlank="1" showInputMessage="1" showErrorMessage="1" errorTitle="Ungültige Eingab" error="Wählen Sie einen positiven Wert." sqref="J14:J36 L14:M36 J44:J68 L44:M68 J75:J89">
      <formula1>0</formula1>
    </dataValidation>
    <dataValidation type="decimal" allowBlank="1" showInputMessage="1" showErrorMessage="1" errorTitle="Ungültige Eingabe" error="Wählen Sie eine Zahl aus." sqref="R14:R36 R44:R68 R75:R89">
      <formula1>-100000</formula1>
      <formula2>100000</formula2>
    </dataValidation>
    <dataValidation type="decimal" allowBlank="1" showInputMessage="1" showErrorMessage="1" errorTitle="Ungültige Eingabe" error="Wählen Sie einen Wert zwischen 0 und 100." sqref="F80:F89 F44:F68">
      <formula1>0</formula1>
      <formula2>100</formula2>
    </dataValidation>
    <dataValidation type="decimal" operator="greaterThanOrEqual" allowBlank="1" showInputMessage="1" showErrorMessage="1" errorTitle="Ungültige Eingabe" error="Eingabe einer positiven Zahl notwendig." sqref="AQ13:AQ131">
      <formula1>0</formula1>
    </dataValidation>
  </dataValidations>
  <pageMargins left="0.70866141732283472" right="0.70866141732283472" top="0.78740157480314965" bottom="0.78740157480314965" header="0.31496062992125984" footer="0.31496062992125984"/>
  <pageSetup paperSize="9" orientation="landscape" horizontalDpi="300" r:id="rId1"/>
  <headerFooter>
    <oddFooter>&amp;C© Bayerische Landesanstalt für Landwirtschaft (Of, Kj, Mk); Stand: 17.10.24;        Seite: &amp;P von &amp;N        &amp;D        &amp;T Uhr</oddFooter>
  </headerFooter>
  <rowBreaks count="3" manualBreakCount="3">
    <brk id="37" max="22" man="1"/>
    <brk id="37" min="56" max="66" man="1"/>
    <brk id="69" max="21" man="1"/>
  </rowBreaks>
  <cellWatches>
    <cellWatch r="BZ95"/>
    <cellWatch r="CA95"/>
    <cellWatch r="CB95"/>
    <cellWatch r="CC95"/>
    <cellWatch r="CD95"/>
    <cellWatch r="CE95"/>
    <cellWatch r="BZ96"/>
    <cellWatch r="CA96"/>
    <cellWatch r="CB96"/>
    <cellWatch r="CC96"/>
    <cellWatch r="CD96"/>
    <cellWatch r="CE96"/>
    <cellWatch r="BZ97"/>
    <cellWatch r="CA97"/>
    <cellWatch r="CB97"/>
    <cellWatch r="CC97"/>
    <cellWatch r="CD97"/>
    <cellWatch r="CE97"/>
    <cellWatch r="BZ98"/>
    <cellWatch r="CA98"/>
    <cellWatch r="CB98"/>
    <cellWatch r="CC98"/>
    <cellWatch r="CD98"/>
    <cellWatch r="CE98"/>
    <cellWatch r="BZ99"/>
    <cellWatch r="CA99"/>
    <cellWatch r="CB99"/>
    <cellWatch r="CC99"/>
    <cellWatch r="CD99"/>
    <cellWatch r="CE99"/>
    <cellWatch r="BZ100"/>
    <cellWatch r="CA100"/>
    <cellWatch r="CB100"/>
    <cellWatch r="CC100"/>
    <cellWatch r="CD100"/>
    <cellWatch r="CE100"/>
    <cellWatch r="BZ101"/>
    <cellWatch r="CA101"/>
    <cellWatch r="CB101"/>
    <cellWatch r="CC101"/>
    <cellWatch r="CD101"/>
    <cellWatch r="CE101"/>
    <cellWatch r="BZ102"/>
    <cellWatch r="CA102"/>
    <cellWatch r="CB102"/>
    <cellWatch r="CC102"/>
    <cellWatch r="CD102"/>
    <cellWatch r="CE102"/>
    <cellWatch r="BZ103"/>
    <cellWatch r="CA103"/>
    <cellWatch r="CB103"/>
    <cellWatch r="CC103"/>
    <cellWatch r="CD103"/>
    <cellWatch r="CE103"/>
    <cellWatch r="BZ104"/>
    <cellWatch r="CA104"/>
    <cellWatch r="CB104"/>
    <cellWatch r="CC104"/>
    <cellWatch r="CD104"/>
    <cellWatch r="CE104"/>
    <cellWatch r="BZ105"/>
    <cellWatch r="CA105"/>
    <cellWatch r="CB105"/>
    <cellWatch r="CC105"/>
    <cellWatch r="CD105"/>
    <cellWatch r="CE105"/>
    <cellWatch r="BZ106"/>
    <cellWatch r="CA106"/>
    <cellWatch r="CB106"/>
    <cellWatch r="CC106"/>
    <cellWatch r="CD106"/>
    <cellWatch r="CE106"/>
    <cellWatch r="BZ107"/>
    <cellWatch r="CA107"/>
    <cellWatch r="CB107"/>
    <cellWatch r="CC107"/>
    <cellWatch r="CD107"/>
    <cellWatch r="CE107"/>
    <cellWatch r="BZ108"/>
    <cellWatch r="CA108"/>
    <cellWatch r="CB108"/>
    <cellWatch r="CC108"/>
    <cellWatch r="CD108"/>
    <cellWatch r="CE108"/>
    <cellWatch r="BZ109"/>
    <cellWatch r="CA109"/>
    <cellWatch r="CB109"/>
    <cellWatch r="CC109"/>
    <cellWatch r="CD109"/>
    <cellWatch r="CE109"/>
    <cellWatch r="BZ110"/>
    <cellWatch r="CA110"/>
    <cellWatch r="CB110"/>
    <cellWatch r="CC110"/>
    <cellWatch r="CD110"/>
    <cellWatch r="CE110"/>
    <cellWatch r="BZ111"/>
    <cellWatch r="CA111"/>
    <cellWatch r="CB111"/>
    <cellWatch r="CC111"/>
    <cellWatch r="CD111"/>
    <cellWatch r="CE111"/>
    <cellWatch r="BZ112"/>
    <cellWatch r="CA112"/>
    <cellWatch r="CB112"/>
    <cellWatch r="CC112"/>
    <cellWatch r="CD112"/>
    <cellWatch r="CE112"/>
    <cellWatch r="BZ113"/>
    <cellWatch r="CA113"/>
    <cellWatch r="CB113"/>
    <cellWatch r="CC113"/>
    <cellWatch r="CD113"/>
    <cellWatch r="CE113"/>
    <cellWatch r="BZ114"/>
    <cellWatch r="CA114"/>
    <cellWatch r="CB114"/>
    <cellWatch r="CC114"/>
    <cellWatch r="CD114"/>
    <cellWatch r="CE114"/>
  </cellWatches>
  <drawing r:id="rId2"/>
  <legacyDrawing r:id="rId3"/>
  <mc:AlternateContent xmlns:mc="http://schemas.openxmlformats.org/markup-compatibility/2006">
    <mc:Choice Requires="x14">
      <controls>
        <mc:AlternateContent xmlns:mc="http://schemas.openxmlformats.org/markup-compatibility/2006">
          <mc:Choice Requires="x14">
            <control shapeId="245779" r:id="rId4" name="Drop Down 19">
              <controlPr defaultSize="0" autoLine="0" autoPict="0">
                <anchor moveWithCells="1">
                  <from>
                    <xdr:col>0</xdr:col>
                    <xdr:colOff>0</xdr:colOff>
                    <xdr:row>12</xdr:row>
                    <xdr:rowOff>161925</xdr:rowOff>
                  </from>
                  <to>
                    <xdr:col>5</xdr:col>
                    <xdr:colOff>0</xdr:colOff>
                    <xdr:row>14</xdr:row>
                    <xdr:rowOff>9525</xdr:rowOff>
                  </to>
                </anchor>
              </controlPr>
            </control>
          </mc:Choice>
        </mc:AlternateContent>
        <mc:AlternateContent xmlns:mc="http://schemas.openxmlformats.org/markup-compatibility/2006">
          <mc:Choice Requires="x14">
            <control shapeId="245780" r:id="rId5" name="Drop Down 20">
              <controlPr defaultSize="0" autoLine="0" autoPict="0">
                <anchor moveWithCells="1">
                  <from>
                    <xdr:col>0</xdr:col>
                    <xdr:colOff>0</xdr:colOff>
                    <xdr:row>13</xdr:row>
                    <xdr:rowOff>190500</xdr:rowOff>
                  </from>
                  <to>
                    <xdr:col>5</xdr:col>
                    <xdr:colOff>0</xdr:colOff>
                    <xdr:row>15</xdr:row>
                    <xdr:rowOff>9525</xdr:rowOff>
                  </to>
                </anchor>
              </controlPr>
            </control>
          </mc:Choice>
        </mc:AlternateContent>
        <mc:AlternateContent xmlns:mc="http://schemas.openxmlformats.org/markup-compatibility/2006">
          <mc:Choice Requires="x14">
            <control shapeId="245781" r:id="rId6" name="Drop Down 21">
              <controlPr defaultSize="0" autoLine="0" autoPict="0">
                <anchor moveWithCells="1">
                  <from>
                    <xdr:col>0</xdr:col>
                    <xdr:colOff>0</xdr:colOff>
                    <xdr:row>14</xdr:row>
                    <xdr:rowOff>190500</xdr:rowOff>
                  </from>
                  <to>
                    <xdr:col>5</xdr:col>
                    <xdr:colOff>0</xdr:colOff>
                    <xdr:row>16</xdr:row>
                    <xdr:rowOff>9525</xdr:rowOff>
                  </to>
                </anchor>
              </controlPr>
            </control>
          </mc:Choice>
        </mc:AlternateContent>
        <mc:AlternateContent xmlns:mc="http://schemas.openxmlformats.org/markup-compatibility/2006">
          <mc:Choice Requires="x14">
            <control shapeId="245782" r:id="rId7" name="Drop Down 22">
              <controlPr defaultSize="0" autoLine="0" autoPict="0">
                <anchor moveWithCells="1">
                  <from>
                    <xdr:col>0</xdr:col>
                    <xdr:colOff>0</xdr:colOff>
                    <xdr:row>15</xdr:row>
                    <xdr:rowOff>190500</xdr:rowOff>
                  </from>
                  <to>
                    <xdr:col>5</xdr:col>
                    <xdr:colOff>0</xdr:colOff>
                    <xdr:row>17</xdr:row>
                    <xdr:rowOff>9525</xdr:rowOff>
                  </to>
                </anchor>
              </controlPr>
            </control>
          </mc:Choice>
        </mc:AlternateContent>
        <mc:AlternateContent xmlns:mc="http://schemas.openxmlformats.org/markup-compatibility/2006">
          <mc:Choice Requires="x14">
            <control shapeId="245783" r:id="rId8" name="Drop Down 23">
              <controlPr defaultSize="0" autoLine="0" autoPict="0">
                <anchor moveWithCells="1">
                  <from>
                    <xdr:col>0</xdr:col>
                    <xdr:colOff>0</xdr:colOff>
                    <xdr:row>16</xdr:row>
                    <xdr:rowOff>190500</xdr:rowOff>
                  </from>
                  <to>
                    <xdr:col>5</xdr:col>
                    <xdr:colOff>0</xdr:colOff>
                    <xdr:row>18</xdr:row>
                    <xdr:rowOff>9525</xdr:rowOff>
                  </to>
                </anchor>
              </controlPr>
            </control>
          </mc:Choice>
        </mc:AlternateContent>
        <mc:AlternateContent xmlns:mc="http://schemas.openxmlformats.org/markup-compatibility/2006">
          <mc:Choice Requires="x14">
            <control shapeId="245784" r:id="rId9" name="Drop Down 24">
              <controlPr defaultSize="0" autoLine="0" autoPict="0">
                <anchor moveWithCells="1">
                  <from>
                    <xdr:col>0</xdr:col>
                    <xdr:colOff>0</xdr:colOff>
                    <xdr:row>17</xdr:row>
                    <xdr:rowOff>190500</xdr:rowOff>
                  </from>
                  <to>
                    <xdr:col>5</xdr:col>
                    <xdr:colOff>0</xdr:colOff>
                    <xdr:row>19</xdr:row>
                    <xdr:rowOff>9525</xdr:rowOff>
                  </to>
                </anchor>
              </controlPr>
            </control>
          </mc:Choice>
        </mc:AlternateContent>
        <mc:AlternateContent xmlns:mc="http://schemas.openxmlformats.org/markup-compatibility/2006">
          <mc:Choice Requires="x14">
            <control shapeId="245785" r:id="rId10" name="Drop Down 25">
              <controlPr defaultSize="0" autoLine="0" autoPict="0">
                <anchor moveWithCells="1">
                  <from>
                    <xdr:col>0</xdr:col>
                    <xdr:colOff>0</xdr:colOff>
                    <xdr:row>18</xdr:row>
                    <xdr:rowOff>190500</xdr:rowOff>
                  </from>
                  <to>
                    <xdr:col>5</xdr:col>
                    <xdr:colOff>0</xdr:colOff>
                    <xdr:row>20</xdr:row>
                    <xdr:rowOff>9525</xdr:rowOff>
                  </to>
                </anchor>
              </controlPr>
            </control>
          </mc:Choice>
        </mc:AlternateContent>
        <mc:AlternateContent xmlns:mc="http://schemas.openxmlformats.org/markup-compatibility/2006">
          <mc:Choice Requires="x14">
            <control shapeId="245786" r:id="rId11" name="Drop Down 26">
              <controlPr defaultSize="0" autoLine="0" autoPict="0">
                <anchor moveWithCells="1">
                  <from>
                    <xdr:col>0</xdr:col>
                    <xdr:colOff>0</xdr:colOff>
                    <xdr:row>19</xdr:row>
                    <xdr:rowOff>190500</xdr:rowOff>
                  </from>
                  <to>
                    <xdr:col>5</xdr:col>
                    <xdr:colOff>0</xdr:colOff>
                    <xdr:row>21</xdr:row>
                    <xdr:rowOff>9525</xdr:rowOff>
                  </to>
                </anchor>
              </controlPr>
            </control>
          </mc:Choice>
        </mc:AlternateContent>
        <mc:AlternateContent xmlns:mc="http://schemas.openxmlformats.org/markup-compatibility/2006">
          <mc:Choice Requires="x14">
            <control shapeId="245787" r:id="rId12" name="Drop Down 27">
              <controlPr defaultSize="0" autoLine="0" autoPict="0">
                <anchor moveWithCells="1">
                  <from>
                    <xdr:col>0</xdr:col>
                    <xdr:colOff>0</xdr:colOff>
                    <xdr:row>20</xdr:row>
                    <xdr:rowOff>190500</xdr:rowOff>
                  </from>
                  <to>
                    <xdr:col>5</xdr:col>
                    <xdr:colOff>0</xdr:colOff>
                    <xdr:row>22</xdr:row>
                    <xdr:rowOff>9525</xdr:rowOff>
                  </to>
                </anchor>
              </controlPr>
            </control>
          </mc:Choice>
        </mc:AlternateContent>
        <mc:AlternateContent xmlns:mc="http://schemas.openxmlformats.org/markup-compatibility/2006">
          <mc:Choice Requires="x14">
            <control shapeId="245789" r:id="rId13" name="Drop Down 29">
              <controlPr defaultSize="0" autoLine="0" autoPict="0">
                <anchor moveWithCells="1">
                  <from>
                    <xdr:col>0</xdr:col>
                    <xdr:colOff>0</xdr:colOff>
                    <xdr:row>21</xdr:row>
                    <xdr:rowOff>190500</xdr:rowOff>
                  </from>
                  <to>
                    <xdr:col>5</xdr:col>
                    <xdr:colOff>0</xdr:colOff>
                    <xdr:row>23</xdr:row>
                    <xdr:rowOff>9525</xdr:rowOff>
                  </to>
                </anchor>
              </controlPr>
            </control>
          </mc:Choice>
        </mc:AlternateContent>
        <mc:AlternateContent xmlns:mc="http://schemas.openxmlformats.org/markup-compatibility/2006">
          <mc:Choice Requires="x14">
            <control shapeId="245790" r:id="rId14" name="Drop Down 30">
              <controlPr defaultSize="0" autoLine="0" autoPict="0">
                <anchor moveWithCells="1">
                  <from>
                    <xdr:col>0</xdr:col>
                    <xdr:colOff>0</xdr:colOff>
                    <xdr:row>22</xdr:row>
                    <xdr:rowOff>190500</xdr:rowOff>
                  </from>
                  <to>
                    <xdr:col>5</xdr:col>
                    <xdr:colOff>0</xdr:colOff>
                    <xdr:row>24</xdr:row>
                    <xdr:rowOff>9525</xdr:rowOff>
                  </to>
                </anchor>
              </controlPr>
            </control>
          </mc:Choice>
        </mc:AlternateContent>
        <mc:AlternateContent xmlns:mc="http://schemas.openxmlformats.org/markup-compatibility/2006">
          <mc:Choice Requires="x14">
            <control shapeId="245791" r:id="rId15" name="Drop Down 31">
              <controlPr defaultSize="0" autoLine="0" autoPict="0">
                <anchor moveWithCells="1">
                  <from>
                    <xdr:col>0</xdr:col>
                    <xdr:colOff>0</xdr:colOff>
                    <xdr:row>23</xdr:row>
                    <xdr:rowOff>190500</xdr:rowOff>
                  </from>
                  <to>
                    <xdr:col>5</xdr:col>
                    <xdr:colOff>0</xdr:colOff>
                    <xdr:row>25</xdr:row>
                    <xdr:rowOff>9525</xdr:rowOff>
                  </to>
                </anchor>
              </controlPr>
            </control>
          </mc:Choice>
        </mc:AlternateContent>
        <mc:AlternateContent xmlns:mc="http://schemas.openxmlformats.org/markup-compatibility/2006">
          <mc:Choice Requires="x14">
            <control shapeId="245792" r:id="rId16" name="Drop Down 32">
              <controlPr defaultSize="0" autoLine="0" autoPict="0">
                <anchor moveWithCells="1">
                  <from>
                    <xdr:col>0</xdr:col>
                    <xdr:colOff>0</xdr:colOff>
                    <xdr:row>24</xdr:row>
                    <xdr:rowOff>190500</xdr:rowOff>
                  </from>
                  <to>
                    <xdr:col>5</xdr:col>
                    <xdr:colOff>0</xdr:colOff>
                    <xdr:row>26</xdr:row>
                    <xdr:rowOff>9525</xdr:rowOff>
                  </to>
                </anchor>
              </controlPr>
            </control>
          </mc:Choice>
        </mc:AlternateContent>
        <mc:AlternateContent xmlns:mc="http://schemas.openxmlformats.org/markup-compatibility/2006">
          <mc:Choice Requires="x14">
            <control shapeId="245793" r:id="rId17" name="Drop Down 33">
              <controlPr defaultSize="0" autoLine="0" autoPict="0">
                <anchor moveWithCells="1">
                  <from>
                    <xdr:col>0</xdr:col>
                    <xdr:colOff>0</xdr:colOff>
                    <xdr:row>25</xdr:row>
                    <xdr:rowOff>190500</xdr:rowOff>
                  </from>
                  <to>
                    <xdr:col>5</xdr:col>
                    <xdr:colOff>0</xdr:colOff>
                    <xdr:row>27</xdr:row>
                    <xdr:rowOff>9525</xdr:rowOff>
                  </to>
                </anchor>
              </controlPr>
            </control>
          </mc:Choice>
        </mc:AlternateContent>
        <mc:AlternateContent xmlns:mc="http://schemas.openxmlformats.org/markup-compatibility/2006">
          <mc:Choice Requires="x14">
            <control shapeId="245794" r:id="rId18" name="Drop Down 34">
              <controlPr defaultSize="0" autoLine="0" autoPict="0">
                <anchor moveWithCells="1">
                  <from>
                    <xdr:col>0</xdr:col>
                    <xdr:colOff>0</xdr:colOff>
                    <xdr:row>26</xdr:row>
                    <xdr:rowOff>190500</xdr:rowOff>
                  </from>
                  <to>
                    <xdr:col>5</xdr:col>
                    <xdr:colOff>0</xdr:colOff>
                    <xdr:row>28</xdr:row>
                    <xdr:rowOff>9525</xdr:rowOff>
                  </to>
                </anchor>
              </controlPr>
            </control>
          </mc:Choice>
        </mc:AlternateContent>
        <mc:AlternateContent xmlns:mc="http://schemas.openxmlformats.org/markup-compatibility/2006">
          <mc:Choice Requires="x14">
            <control shapeId="245795" r:id="rId19" name="Drop Down 35">
              <controlPr defaultSize="0" autoLine="0" autoPict="0">
                <anchor moveWithCells="1">
                  <from>
                    <xdr:col>0</xdr:col>
                    <xdr:colOff>0</xdr:colOff>
                    <xdr:row>27</xdr:row>
                    <xdr:rowOff>190500</xdr:rowOff>
                  </from>
                  <to>
                    <xdr:col>5</xdr:col>
                    <xdr:colOff>0</xdr:colOff>
                    <xdr:row>29</xdr:row>
                    <xdr:rowOff>9525</xdr:rowOff>
                  </to>
                </anchor>
              </controlPr>
            </control>
          </mc:Choice>
        </mc:AlternateContent>
        <mc:AlternateContent xmlns:mc="http://schemas.openxmlformats.org/markup-compatibility/2006">
          <mc:Choice Requires="x14">
            <control shapeId="245796" r:id="rId20" name="Drop Down 36">
              <controlPr defaultSize="0" autoLine="0" autoPict="0">
                <anchor moveWithCells="1">
                  <from>
                    <xdr:col>0</xdr:col>
                    <xdr:colOff>0</xdr:colOff>
                    <xdr:row>28</xdr:row>
                    <xdr:rowOff>190500</xdr:rowOff>
                  </from>
                  <to>
                    <xdr:col>5</xdr:col>
                    <xdr:colOff>0</xdr:colOff>
                    <xdr:row>30</xdr:row>
                    <xdr:rowOff>9525</xdr:rowOff>
                  </to>
                </anchor>
              </controlPr>
            </control>
          </mc:Choice>
        </mc:AlternateContent>
        <mc:AlternateContent xmlns:mc="http://schemas.openxmlformats.org/markup-compatibility/2006">
          <mc:Choice Requires="x14">
            <control shapeId="245986" r:id="rId21" name="Drop Down 226">
              <controlPr defaultSize="0" autoLine="0" autoPict="0">
                <anchor moveWithCells="1">
                  <from>
                    <xdr:col>0</xdr:col>
                    <xdr:colOff>0</xdr:colOff>
                    <xdr:row>43</xdr:row>
                    <xdr:rowOff>0</xdr:rowOff>
                  </from>
                  <to>
                    <xdr:col>5</xdr:col>
                    <xdr:colOff>0</xdr:colOff>
                    <xdr:row>44</xdr:row>
                    <xdr:rowOff>9525</xdr:rowOff>
                  </to>
                </anchor>
              </controlPr>
            </control>
          </mc:Choice>
        </mc:AlternateContent>
        <mc:AlternateContent xmlns:mc="http://schemas.openxmlformats.org/markup-compatibility/2006">
          <mc:Choice Requires="x14">
            <control shapeId="245987" r:id="rId22" name="Drop Down 227">
              <controlPr defaultSize="0" autoLine="0" autoPict="0">
                <anchor moveWithCells="1">
                  <from>
                    <xdr:col>0</xdr:col>
                    <xdr:colOff>0</xdr:colOff>
                    <xdr:row>43</xdr:row>
                    <xdr:rowOff>190500</xdr:rowOff>
                  </from>
                  <to>
                    <xdr:col>5</xdr:col>
                    <xdr:colOff>0</xdr:colOff>
                    <xdr:row>45</xdr:row>
                    <xdr:rowOff>9525</xdr:rowOff>
                  </to>
                </anchor>
              </controlPr>
            </control>
          </mc:Choice>
        </mc:AlternateContent>
        <mc:AlternateContent xmlns:mc="http://schemas.openxmlformats.org/markup-compatibility/2006">
          <mc:Choice Requires="x14">
            <control shapeId="245988" r:id="rId23" name="Drop Down 228">
              <controlPr defaultSize="0" autoLine="0" autoPict="0">
                <anchor moveWithCells="1">
                  <from>
                    <xdr:col>0</xdr:col>
                    <xdr:colOff>0</xdr:colOff>
                    <xdr:row>44</xdr:row>
                    <xdr:rowOff>190500</xdr:rowOff>
                  </from>
                  <to>
                    <xdr:col>5</xdr:col>
                    <xdr:colOff>0</xdr:colOff>
                    <xdr:row>46</xdr:row>
                    <xdr:rowOff>9525</xdr:rowOff>
                  </to>
                </anchor>
              </controlPr>
            </control>
          </mc:Choice>
        </mc:AlternateContent>
        <mc:AlternateContent xmlns:mc="http://schemas.openxmlformats.org/markup-compatibility/2006">
          <mc:Choice Requires="x14">
            <control shapeId="245989" r:id="rId24" name="Drop Down 229">
              <controlPr defaultSize="0" autoLine="0" autoPict="0">
                <anchor moveWithCells="1">
                  <from>
                    <xdr:col>0</xdr:col>
                    <xdr:colOff>0</xdr:colOff>
                    <xdr:row>45</xdr:row>
                    <xdr:rowOff>190500</xdr:rowOff>
                  </from>
                  <to>
                    <xdr:col>5</xdr:col>
                    <xdr:colOff>0</xdr:colOff>
                    <xdr:row>47</xdr:row>
                    <xdr:rowOff>9525</xdr:rowOff>
                  </to>
                </anchor>
              </controlPr>
            </control>
          </mc:Choice>
        </mc:AlternateContent>
        <mc:AlternateContent xmlns:mc="http://schemas.openxmlformats.org/markup-compatibility/2006">
          <mc:Choice Requires="x14">
            <control shapeId="245990" r:id="rId25" name="Drop Down 230">
              <controlPr defaultSize="0" autoLine="0" autoPict="0">
                <anchor moveWithCells="1">
                  <from>
                    <xdr:col>0</xdr:col>
                    <xdr:colOff>0</xdr:colOff>
                    <xdr:row>46</xdr:row>
                    <xdr:rowOff>190500</xdr:rowOff>
                  </from>
                  <to>
                    <xdr:col>5</xdr:col>
                    <xdr:colOff>0</xdr:colOff>
                    <xdr:row>48</xdr:row>
                    <xdr:rowOff>9525</xdr:rowOff>
                  </to>
                </anchor>
              </controlPr>
            </control>
          </mc:Choice>
        </mc:AlternateContent>
        <mc:AlternateContent xmlns:mc="http://schemas.openxmlformats.org/markup-compatibility/2006">
          <mc:Choice Requires="x14">
            <control shapeId="245991" r:id="rId26" name="Drop Down 231">
              <controlPr defaultSize="0" autoLine="0" autoPict="0">
                <anchor moveWithCells="1">
                  <from>
                    <xdr:col>0</xdr:col>
                    <xdr:colOff>0</xdr:colOff>
                    <xdr:row>47</xdr:row>
                    <xdr:rowOff>190500</xdr:rowOff>
                  </from>
                  <to>
                    <xdr:col>5</xdr:col>
                    <xdr:colOff>0</xdr:colOff>
                    <xdr:row>49</xdr:row>
                    <xdr:rowOff>9525</xdr:rowOff>
                  </to>
                </anchor>
              </controlPr>
            </control>
          </mc:Choice>
        </mc:AlternateContent>
        <mc:AlternateContent xmlns:mc="http://schemas.openxmlformats.org/markup-compatibility/2006">
          <mc:Choice Requires="x14">
            <control shapeId="245992" r:id="rId27" name="Drop Down 232">
              <controlPr defaultSize="0" autoLine="0" autoPict="0">
                <anchor moveWithCells="1">
                  <from>
                    <xdr:col>0</xdr:col>
                    <xdr:colOff>0</xdr:colOff>
                    <xdr:row>48</xdr:row>
                    <xdr:rowOff>190500</xdr:rowOff>
                  </from>
                  <to>
                    <xdr:col>5</xdr:col>
                    <xdr:colOff>0</xdr:colOff>
                    <xdr:row>50</xdr:row>
                    <xdr:rowOff>9525</xdr:rowOff>
                  </to>
                </anchor>
              </controlPr>
            </control>
          </mc:Choice>
        </mc:AlternateContent>
        <mc:AlternateContent xmlns:mc="http://schemas.openxmlformats.org/markup-compatibility/2006">
          <mc:Choice Requires="x14">
            <control shapeId="245993" r:id="rId28" name="Drop Down 233">
              <controlPr defaultSize="0" autoLine="0" autoPict="0">
                <anchor moveWithCells="1">
                  <from>
                    <xdr:col>0</xdr:col>
                    <xdr:colOff>0</xdr:colOff>
                    <xdr:row>49</xdr:row>
                    <xdr:rowOff>190500</xdr:rowOff>
                  </from>
                  <to>
                    <xdr:col>5</xdr:col>
                    <xdr:colOff>0</xdr:colOff>
                    <xdr:row>51</xdr:row>
                    <xdr:rowOff>9525</xdr:rowOff>
                  </to>
                </anchor>
              </controlPr>
            </control>
          </mc:Choice>
        </mc:AlternateContent>
        <mc:AlternateContent xmlns:mc="http://schemas.openxmlformats.org/markup-compatibility/2006">
          <mc:Choice Requires="x14">
            <control shapeId="245994" r:id="rId29" name="Drop Down 234">
              <controlPr defaultSize="0" autoLine="0" autoPict="0">
                <anchor moveWithCells="1">
                  <from>
                    <xdr:col>0</xdr:col>
                    <xdr:colOff>0</xdr:colOff>
                    <xdr:row>50</xdr:row>
                    <xdr:rowOff>190500</xdr:rowOff>
                  </from>
                  <to>
                    <xdr:col>5</xdr:col>
                    <xdr:colOff>0</xdr:colOff>
                    <xdr:row>52</xdr:row>
                    <xdr:rowOff>9525</xdr:rowOff>
                  </to>
                </anchor>
              </controlPr>
            </control>
          </mc:Choice>
        </mc:AlternateContent>
        <mc:AlternateContent xmlns:mc="http://schemas.openxmlformats.org/markup-compatibility/2006">
          <mc:Choice Requires="x14">
            <control shapeId="245995" r:id="rId30" name="Drop Down 235">
              <controlPr defaultSize="0" autoLine="0" autoPict="0">
                <anchor moveWithCells="1">
                  <from>
                    <xdr:col>0</xdr:col>
                    <xdr:colOff>0</xdr:colOff>
                    <xdr:row>59</xdr:row>
                    <xdr:rowOff>190500</xdr:rowOff>
                  </from>
                  <to>
                    <xdr:col>5</xdr:col>
                    <xdr:colOff>0</xdr:colOff>
                    <xdr:row>61</xdr:row>
                    <xdr:rowOff>9525</xdr:rowOff>
                  </to>
                </anchor>
              </controlPr>
            </control>
          </mc:Choice>
        </mc:AlternateContent>
        <mc:AlternateContent xmlns:mc="http://schemas.openxmlformats.org/markup-compatibility/2006">
          <mc:Choice Requires="x14">
            <control shapeId="245996" r:id="rId31" name="Drop Down 236">
              <controlPr defaultSize="0" autoLine="0" autoPict="0">
                <anchor moveWithCells="1">
                  <from>
                    <xdr:col>0</xdr:col>
                    <xdr:colOff>0</xdr:colOff>
                    <xdr:row>51</xdr:row>
                    <xdr:rowOff>190500</xdr:rowOff>
                  </from>
                  <to>
                    <xdr:col>5</xdr:col>
                    <xdr:colOff>0</xdr:colOff>
                    <xdr:row>53</xdr:row>
                    <xdr:rowOff>9525</xdr:rowOff>
                  </to>
                </anchor>
              </controlPr>
            </control>
          </mc:Choice>
        </mc:AlternateContent>
        <mc:AlternateContent xmlns:mc="http://schemas.openxmlformats.org/markup-compatibility/2006">
          <mc:Choice Requires="x14">
            <control shapeId="245997" r:id="rId32" name="Drop Down 237">
              <controlPr defaultSize="0" autoLine="0" autoPict="0">
                <anchor moveWithCells="1">
                  <from>
                    <xdr:col>0</xdr:col>
                    <xdr:colOff>0</xdr:colOff>
                    <xdr:row>52</xdr:row>
                    <xdr:rowOff>190500</xdr:rowOff>
                  </from>
                  <to>
                    <xdr:col>5</xdr:col>
                    <xdr:colOff>0</xdr:colOff>
                    <xdr:row>54</xdr:row>
                    <xdr:rowOff>9525</xdr:rowOff>
                  </to>
                </anchor>
              </controlPr>
            </control>
          </mc:Choice>
        </mc:AlternateContent>
        <mc:AlternateContent xmlns:mc="http://schemas.openxmlformats.org/markup-compatibility/2006">
          <mc:Choice Requires="x14">
            <control shapeId="245998" r:id="rId33" name="Drop Down 238">
              <controlPr defaultSize="0" autoLine="0" autoPict="0">
                <anchor moveWithCells="1">
                  <from>
                    <xdr:col>0</xdr:col>
                    <xdr:colOff>0</xdr:colOff>
                    <xdr:row>53</xdr:row>
                    <xdr:rowOff>190500</xdr:rowOff>
                  </from>
                  <to>
                    <xdr:col>5</xdr:col>
                    <xdr:colOff>0</xdr:colOff>
                    <xdr:row>55</xdr:row>
                    <xdr:rowOff>9525</xdr:rowOff>
                  </to>
                </anchor>
              </controlPr>
            </control>
          </mc:Choice>
        </mc:AlternateContent>
        <mc:AlternateContent xmlns:mc="http://schemas.openxmlformats.org/markup-compatibility/2006">
          <mc:Choice Requires="x14">
            <control shapeId="245999" r:id="rId34" name="Drop Down 239">
              <controlPr defaultSize="0" autoLine="0" autoPict="0">
                <anchor moveWithCells="1">
                  <from>
                    <xdr:col>0</xdr:col>
                    <xdr:colOff>0</xdr:colOff>
                    <xdr:row>54</xdr:row>
                    <xdr:rowOff>190500</xdr:rowOff>
                  </from>
                  <to>
                    <xdr:col>5</xdr:col>
                    <xdr:colOff>0</xdr:colOff>
                    <xdr:row>56</xdr:row>
                    <xdr:rowOff>9525</xdr:rowOff>
                  </to>
                </anchor>
              </controlPr>
            </control>
          </mc:Choice>
        </mc:AlternateContent>
        <mc:AlternateContent xmlns:mc="http://schemas.openxmlformats.org/markup-compatibility/2006">
          <mc:Choice Requires="x14">
            <control shapeId="246000" r:id="rId35" name="Drop Down 240">
              <controlPr defaultSize="0" autoLine="0" autoPict="0">
                <anchor moveWithCells="1">
                  <from>
                    <xdr:col>0</xdr:col>
                    <xdr:colOff>0</xdr:colOff>
                    <xdr:row>55</xdr:row>
                    <xdr:rowOff>190500</xdr:rowOff>
                  </from>
                  <to>
                    <xdr:col>5</xdr:col>
                    <xdr:colOff>0</xdr:colOff>
                    <xdr:row>57</xdr:row>
                    <xdr:rowOff>9525</xdr:rowOff>
                  </to>
                </anchor>
              </controlPr>
            </control>
          </mc:Choice>
        </mc:AlternateContent>
        <mc:AlternateContent xmlns:mc="http://schemas.openxmlformats.org/markup-compatibility/2006">
          <mc:Choice Requires="x14">
            <control shapeId="246001" r:id="rId36" name="Drop Down 241">
              <controlPr defaultSize="0" autoLine="0" autoPict="0">
                <anchor moveWithCells="1">
                  <from>
                    <xdr:col>0</xdr:col>
                    <xdr:colOff>0</xdr:colOff>
                    <xdr:row>56</xdr:row>
                    <xdr:rowOff>190500</xdr:rowOff>
                  </from>
                  <to>
                    <xdr:col>5</xdr:col>
                    <xdr:colOff>0</xdr:colOff>
                    <xdr:row>58</xdr:row>
                    <xdr:rowOff>9525</xdr:rowOff>
                  </to>
                </anchor>
              </controlPr>
            </control>
          </mc:Choice>
        </mc:AlternateContent>
        <mc:AlternateContent xmlns:mc="http://schemas.openxmlformats.org/markup-compatibility/2006">
          <mc:Choice Requires="x14">
            <control shapeId="246002" r:id="rId37" name="Drop Down 242">
              <controlPr defaultSize="0" autoLine="0" autoPict="0">
                <anchor moveWithCells="1">
                  <from>
                    <xdr:col>0</xdr:col>
                    <xdr:colOff>0</xdr:colOff>
                    <xdr:row>57</xdr:row>
                    <xdr:rowOff>190500</xdr:rowOff>
                  </from>
                  <to>
                    <xdr:col>5</xdr:col>
                    <xdr:colOff>0</xdr:colOff>
                    <xdr:row>59</xdr:row>
                    <xdr:rowOff>9525</xdr:rowOff>
                  </to>
                </anchor>
              </controlPr>
            </control>
          </mc:Choice>
        </mc:AlternateContent>
        <mc:AlternateContent xmlns:mc="http://schemas.openxmlformats.org/markup-compatibility/2006">
          <mc:Choice Requires="x14">
            <control shapeId="246003" r:id="rId38" name="Drop Down 243">
              <controlPr defaultSize="0" autoLine="0" autoPict="0">
                <anchor moveWithCells="1">
                  <from>
                    <xdr:col>0</xdr:col>
                    <xdr:colOff>0</xdr:colOff>
                    <xdr:row>58</xdr:row>
                    <xdr:rowOff>190500</xdr:rowOff>
                  </from>
                  <to>
                    <xdr:col>5</xdr:col>
                    <xdr:colOff>0</xdr:colOff>
                    <xdr:row>60</xdr:row>
                    <xdr:rowOff>9525</xdr:rowOff>
                  </to>
                </anchor>
              </controlPr>
            </control>
          </mc:Choice>
        </mc:AlternateContent>
        <mc:AlternateContent xmlns:mc="http://schemas.openxmlformats.org/markup-compatibility/2006">
          <mc:Choice Requires="x14">
            <control shapeId="246257" r:id="rId39" name="Drop Down 497">
              <controlPr defaultSize="0" autoLine="0" autoPict="0">
                <anchor moveWithCells="1">
                  <from>
                    <xdr:col>0</xdr:col>
                    <xdr:colOff>0</xdr:colOff>
                    <xdr:row>31</xdr:row>
                    <xdr:rowOff>0</xdr:rowOff>
                  </from>
                  <to>
                    <xdr:col>5</xdr:col>
                    <xdr:colOff>0</xdr:colOff>
                    <xdr:row>32</xdr:row>
                    <xdr:rowOff>9525</xdr:rowOff>
                  </to>
                </anchor>
              </controlPr>
            </control>
          </mc:Choice>
        </mc:AlternateContent>
        <mc:AlternateContent xmlns:mc="http://schemas.openxmlformats.org/markup-compatibility/2006">
          <mc:Choice Requires="x14">
            <control shapeId="246258" r:id="rId40" name="Drop Down 498">
              <controlPr defaultSize="0" autoLine="0" autoPict="0">
                <anchor moveWithCells="1">
                  <from>
                    <xdr:col>0</xdr:col>
                    <xdr:colOff>0</xdr:colOff>
                    <xdr:row>32</xdr:row>
                    <xdr:rowOff>0</xdr:rowOff>
                  </from>
                  <to>
                    <xdr:col>5</xdr:col>
                    <xdr:colOff>0</xdr:colOff>
                    <xdr:row>33</xdr:row>
                    <xdr:rowOff>9525</xdr:rowOff>
                  </to>
                </anchor>
              </controlPr>
            </control>
          </mc:Choice>
        </mc:AlternateContent>
        <mc:AlternateContent xmlns:mc="http://schemas.openxmlformats.org/markup-compatibility/2006">
          <mc:Choice Requires="x14">
            <control shapeId="246259" r:id="rId41" name="Drop Down 499">
              <controlPr defaultSize="0" autoLine="0" autoPict="0">
                <anchor moveWithCells="1">
                  <from>
                    <xdr:col>0</xdr:col>
                    <xdr:colOff>0</xdr:colOff>
                    <xdr:row>33</xdr:row>
                    <xdr:rowOff>0</xdr:rowOff>
                  </from>
                  <to>
                    <xdr:col>5</xdr:col>
                    <xdr:colOff>0</xdr:colOff>
                    <xdr:row>34</xdr:row>
                    <xdr:rowOff>9525</xdr:rowOff>
                  </to>
                </anchor>
              </controlPr>
            </control>
          </mc:Choice>
        </mc:AlternateContent>
        <mc:AlternateContent xmlns:mc="http://schemas.openxmlformats.org/markup-compatibility/2006">
          <mc:Choice Requires="x14">
            <control shapeId="246260" r:id="rId42" name="Drop Down 500">
              <controlPr defaultSize="0" autoLine="0" autoPict="0">
                <anchor moveWithCells="1">
                  <from>
                    <xdr:col>0</xdr:col>
                    <xdr:colOff>0</xdr:colOff>
                    <xdr:row>34</xdr:row>
                    <xdr:rowOff>0</xdr:rowOff>
                  </from>
                  <to>
                    <xdr:col>5</xdr:col>
                    <xdr:colOff>0</xdr:colOff>
                    <xdr:row>35</xdr:row>
                    <xdr:rowOff>9525</xdr:rowOff>
                  </to>
                </anchor>
              </controlPr>
            </control>
          </mc:Choice>
        </mc:AlternateContent>
        <mc:AlternateContent xmlns:mc="http://schemas.openxmlformats.org/markup-compatibility/2006">
          <mc:Choice Requires="x14">
            <control shapeId="246272" r:id="rId43" name="Drop Down 512">
              <controlPr defaultSize="0" autoLine="0" autoPict="0">
                <anchor moveWithCells="1">
                  <from>
                    <xdr:col>0</xdr:col>
                    <xdr:colOff>0</xdr:colOff>
                    <xdr:row>34</xdr:row>
                    <xdr:rowOff>190500</xdr:rowOff>
                  </from>
                  <to>
                    <xdr:col>5</xdr:col>
                    <xdr:colOff>0</xdr:colOff>
                    <xdr:row>36</xdr:row>
                    <xdr:rowOff>9525</xdr:rowOff>
                  </to>
                </anchor>
              </controlPr>
            </control>
          </mc:Choice>
        </mc:AlternateContent>
        <mc:AlternateContent xmlns:mc="http://schemas.openxmlformats.org/markup-compatibility/2006">
          <mc:Choice Requires="x14">
            <control shapeId="246293" r:id="rId44" name="Drop Down 533">
              <controlPr defaultSize="0" autoLine="0" autoPict="0">
                <anchor moveWithCells="1">
                  <from>
                    <xdr:col>0</xdr:col>
                    <xdr:colOff>0</xdr:colOff>
                    <xdr:row>62</xdr:row>
                    <xdr:rowOff>0</xdr:rowOff>
                  </from>
                  <to>
                    <xdr:col>5</xdr:col>
                    <xdr:colOff>0</xdr:colOff>
                    <xdr:row>63</xdr:row>
                    <xdr:rowOff>9525</xdr:rowOff>
                  </to>
                </anchor>
              </controlPr>
            </control>
          </mc:Choice>
        </mc:AlternateContent>
        <mc:AlternateContent xmlns:mc="http://schemas.openxmlformats.org/markup-compatibility/2006">
          <mc:Choice Requires="x14">
            <control shapeId="246294" r:id="rId45" name="Drop Down 534">
              <controlPr defaultSize="0" autoLine="0" autoPict="0">
                <anchor moveWithCells="1">
                  <from>
                    <xdr:col>0</xdr:col>
                    <xdr:colOff>0</xdr:colOff>
                    <xdr:row>63</xdr:row>
                    <xdr:rowOff>0</xdr:rowOff>
                  </from>
                  <to>
                    <xdr:col>5</xdr:col>
                    <xdr:colOff>0</xdr:colOff>
                    <xdr:row>64</xdr:row>
                    <xdr:rowOff>9525</xdr:rowOff>
                  </to>
                </anchor>
              </controlPr>
            </control>
          </mc:Choice>
        </mc:AlternateContent>
        <mc:AlternateContent xmlns:mc="http://schemas.openxmlformats.org/markup-compatibility/2006">
          <mc:Choice Requires="x14">
            <control shapeId="246295" r:id="rId46" name="Drop Down 535">
              <controlPr defaultSize="0" autoLine="0" autoPict="0">
                <anchor moveWithCells="1">
                  <from>
                    <xdr:col>0</xdr:col>
                    <xdr:colOff>0</xdr:colOff>
                    <xdr:row>64</xdr:row>
                    <xdr:rowOff>0</xdr:rowOff>
                  </from>
                  <to>
                    <xdr:col>5</xdr:col>
                    <xdr:colOff>0</xdr:colOff>
                    <xdr:row>65</xdr:row>
                    <xdr:rowOff>9525</xdr:rowOff>
                  </to>
                </anchor>
              </controlPr>
            </control>
          </mc:Choice>
        </mc:AlternateContent>
        <mc:AlternateContent xmlns:mc="http://schemas.openxmlformats.org/markup-compatibility/2006">
          <mc:Choice Requires="x14">
            <control shapeId="246296" r:id="rId47" name="Drop Down 536">
              <controlPr defaultSize="0" autoLine="0" autoPict="0">
                <anchor moveWithCells="1">
                  <from>
                    <xdr:col>0</xdr:col>
                    <xdr:colOff>0</xdr:colOff>
                    <xdr:row>65</xdr:row>
                    <xdr:rowOff>0</xdr:rowOff>
                  </from>
                  <to>
                    <xdr:col>5</xdr:col>
                    <xdr:colOff>0</xdr:colOff>
                    <xdr:row>66</xdr:row>
                    <xdr:rowOff>9525</xdr:rowOff>
                  </to>
                </anchor>
              </controlPr>
            </control>
          </mc:Choice>
        </mc:AlternateContent>
        <mc:AlternateContent xmlns:mc="http://schemas.openxmlformats.org/markup-compatibility/2006">
          <mc:Choice Requires="x14">
            <control shapeId="246307" r:id="rId48" name="Drop Down 547">
              <controlPr defaultSize="0" autoLine="0" autoPict="0">
                <anchor moveWithCells="1">
                  <from>
                    <xdr:col>0</xdr:col>
                    <xdr:colOff>0</xdr:colOff>
                    <xdr:row>66</xdr:row>
                    <xdr:rowOff>190500</xdr:rowOff>
                  </from>
                  <to>
                    <xdr:col>5</xdr:col>
                    <xdr:colOff>0</xdr:colOff>
                    <xdr:row>68</xdr:row>
                    <xdr:rowOff>9525</xdr:rowOff>
                  </to>
                </anchor>
              </controlPr>
            </control>
          </mc:Choice>
        </mc:AlternateContent>
        <mc:AlternateContent xmlns:mc="http://schemas.openxmlformats.org/markup-compatibility/2006">
          <mc:Choice Requires="x14">
            <control shapeId="246308" r:id="rId49" name="Drop Down 548">
              <controlPr defaultSize="0" autoLine="0" autoPict="0">
                <anchor moveWithCells="1">
                  <from>
                    <xdr:col>0</xdr:col>
                    <xdr:colOff>0</xdr:colOff>
                    <xdr:row>65</xdr:row>
                    <xdr:rowOff>200025</xdr:rowOff>
                  </from>
                  <to>
                    <xdr:col>5</xdr:col>
                    <xdr:colOff>0</xdr:colOff>
                    <xdr:row>67</xdr:row>
                    <xdr:rowOff>9525</xdr:rowOff>
                  </to>
                </anchor>
              </controlPr>
            </control>
          </mc:Choice>
        </mc:AlternateContent>
        <mc:AlternateContent xmlns:mc="http://schemas.openxmlformats.org/markup-compatibility/2006">
          <mc:Choice Requires="x14">
            <control shapeId="246374" r:id="rId50" name="Drop Down 614">
              <controlPr defaultSize="0" autoLine="0" autoPict="0">
                <anchor moveWithCells="1">
                  <from>
                    <xdr:col>1</xdr:col>
                    <xdr:colOff>171450</xdr:colOff>
                    <xdr:row>97</xdr:row>
                    <xdr:rowOff>0</xdr:rowOff>
                  </from>
                  <to>
                    <xdr:col>5</xdr:col>
                    <xdr:colOff>0</xdr:colOff>
                    <xdr:row>98</xdr:row>
                    <xdr:rowOff>9525</xdr:rowOff>
                  </to>
                </anchor>
              </controlPr>
            </control>
          </mc:Choice>
        </mc:AlternateContent>
        <mc:AlternateContent xmlns:mc="http://schemas.openxmlformats.org/markup-compatibility/2006">
          <mc:Choice Requires="x14">
            <control shapeId="246375" r:id="rId51" name="Drop Down 615">
              <controlPr defaultSize="0" autoLine="0" autoPict="0">
                <anchor moveWithCells="1">
                  <from>
                    <xdr:col>1</xdr:col>
                    <xdr:colOff>171450</xdr:colOff>
                    <xdr:row>101</xdr:row>
                    <xdr:rowOff>0</xdr:rowOff>
                  </from>
                  <to>
                    <xdr:col>5</xdr:col>
                    <xdr:colOff>0</xdr:colOff>
                    <xdr:row>102</xdr:row>
                    <xdr:rowOff>9525</xdr:rowOff>
                  </to>
                </anchor>
              </controlPr>
            </control>
          </mc:Choice>
        </mc:AlternateContent>
        <mc:AlternateContent xmlns:mc="http://schemas.openxmlformats.org/markup-compatibility/2006">
          <mc:Choice Requires="x14">
            <control shapeId="246376" r:id="rId52" name="Drop Down 616">
              <controlPr defaultSize="0" autoLine="0" autoPict="0">
                <anchor moveWithCells="1">
                  <from>
                    <xdr:col>1</xdr:col>
                    <xdr:colOff>171450</xdr:colOff>
                    <xdr:row>101</xdr:row>
                    <xdr:rowOff>190500</xdr:rowOff>
                  </from>
                  <to>
                    <xdr:col>5</xdr:col>
                    <xdr:colOff>0</xdr:colOff>
                    <xdr:row>103</xdr:row>
                    <xdr:rowOff>9525</xdr:rowOff>
                  </to>
                </anchor>
              </controlPr>
            </control>
          </mc:Choice>
        </mc:AlternateContent>
        <mc:AlternateContent xmlns:mc="http://schemas.openxmlformats.org/markup-compatibility/2006">
          <mc:Choice Requires="x14">
            <control shapeId="246377" r:id="rId53" name="Drop Down 617">
              <controlPr defaultSize="0" autoLine="0" autoPict="0">
                <anchor moveWithCells="1">
                  <from>
                    <xdr:col>1</xdr:col>
                    <xdr:colOff>171450</xdr:colOff>
                    <xdr:row>98</xdr:row>
                    <xdr:rowOff>0</xdr:rowOff>
                  </from>
                  <to>
                    <xdr:col>5</xdr:col>
                    <xdr:colOff>0</xdr:colOff>
                    <xdr:row>99</xdr:row>
                    <xdr:rowOff>9525</xdr:rowOff>
                  </to>
                </anchor>
              </controlPr>
            </control>
          </mc:Choice>
        </mc:AlternateContent>
        <mc:AlternateContent xmlns:mc="http://schemas.openxmlformats.org/markup-compatibility/2006">
          <mc:Choice Requires="x14">
            <control shapeId="246378" r:id="rId54" name="Drop Down 618">
              <controlPr defaultSize="0" autoLine="0" autoPict="0">
                <anchor moveWithCells="1">
                  <from>
                    <xdr:col>1</xdr:col>
                    <xdr:colOff>171450</xdr:colOff>
                    <xdr:row>100</xdr:row>
                    <xdr:rowOff>0</xdr:rowOff>
                  </from>
                  <to>
                    <xdr:col>5</xdr:col>
                    <xdr:colOff>0</xdr:colOff>
                    <xdr:row>101</xdr:row>
                    <xdr:rowOff>9525</xdr:rowOff>
                  </to>
                </anchor>
              </controlPr>
            </control>
          </mc:Choice>
        </mc:AlternateContent>
        <mc:AlternateContent xmlns:mc="http://schemas.openxmlformats.org/markup-compatibility/2006">
          <mc:Choice Requires="x14">
            <control shapeId="246379" r:id="rId55" name="Drop Down 619">
              <controlPr defaultSize="0" autoLine="0" autoPict="0">
                <anchor moveWithCells="1">
                  <from>
                    <xdr:col>1</xdr:col>
                    <xdr:colOff>171450</xdr:colOff>
                    <xdr:row>99</xdr:row>
                    <xdr:rowOff>0</xdr:rowOff>
                  </from>
                  <to>
                    <xdr:col>5</xdr:col>
                    <xdr:colOff>0</xdr:colOff>
                    <xdr:row>100</xdr:row>
                    <xdr:rowOff>9525</xdr:rowOff>
                  </to>
                </anchor>
              </controlPr>
            </control>
          </mc:Choice>
        </mc:AlternateContent>
        <mc:AlternateContent xmlns:mc="http://schemas.openxmlformats.org/markup-compatibility/2006">
          <mc:Choice Requires="x14">
            <control shapeId="246455" r:id="rId56" name="Drop Down 695">
              <controlPr defaultSize="0" autoLine="0" autoPict="0">
                <anchor moveWithCells="1">
                  <from>
                    <xdr:col>0</xdr:col>
                    <xdr:colOff>0</xdr:colOff>
                    <xdr:row>30</xdr:row>
                    <xdr:rowOff>0</xdr:rowOff>
                  </from>
                  <to>
                    <xdr:col>5</xdr:col>
                    <xdr:colOff>0</xdr:colOff>
                    <xdr:row>31</xdr:row>
                    <xdr:rowOff>9525</xdr:rowOff>
                  </to>
                </anchor>
              </controlPr>
            </control>
          </mc:Choice>
        </mc:AlternateContent>
        <mc:AlternateContent xmlns:mc="http://schemas.openxmlformats.org/markup-compatibility/2006">
          <mc:Choice Requires="x14">
            <control shapeId="246480" r:id="rId57" name="Drop Down 720">
              <controlPr defaultSize="0" autoLine="0" autoPict="0">
                <anchor moveWithCells="1">
                  <from>
                    <xdr:col>0</xdr:col>
                    <xdr:colOff>0</xdr:colOff>
                    <xdr:row>61</xdr:row>
                    <xdr:rowOff>0</xdr:rowOff>
                  </from>
                  <to>
                    <xdr:col>5</xdr:col>
                    <xdr:colOff>0</xdr:colOff>
                    <xdr:row>62</xdr:row>
                    <xdr:rowOff>9525</xdr:rowOff>
                  </to>
                </anchor>
              </controlPr>
            </control>
          </mc:Choice>
        </mc:AlternateContent>
        <mc:AlternateContent xmlns:mc="http://schemas.openxmlformats.org/markup-compatibility/2006">
          <mc:Choice Requires="x14">
            <control shapeId="246488" r:id="rId58" name="Drop Down 728">
              <controlPr defaultSize="0" autoLine="0" autoPict="0">
                <anchor moveWithCells="1">
                  <from>
                    <xdr:col>0</xdr:col>
                    <xdr:colOff>0</xdr:colOff>
                    <xdr:row>74</xdr:row>
                    <xdr:rowOff>0</xdr:rowOff>
                  </from>
                  <to>
                    <xdr:col>5</xdr:col>
                    <xdr:colOff>0</xdr:colOff>
                    <xdr:row>75</xdr:row>
                    <xdr:rowOff>9525</xdr:rowOff>
                  </to>
                </anchor>
              </controlPr>
            </control>
          </mc:Choice>
        </mc:AlternateContent>
        <mc:AlternateContent xmlns:mc="http://schemas.openxmlformats.org/markup-compatibility/2006">
          <mc:Choice Requires="x14">
            <control shapeId="246490" r:id="rId59" name="Drop Down 730">
              <controlPr defaultSize="0" autoLine="0" autoPict="0">
                <anchor moveWithCells="1">
                  <from>
                    <xdr:col>0</xdr:col>
                    <xdr:colOff>0</xdr:colOff>
                    <xdr:row>75</xdr:row>
                    <xdr:rowOff>0</xdr:rowOff>
                  </from>
                  <to>
                    <xdr:col>5</xdr:col>
                    <xdr:colOff>0</xdr:colOff>
                    <xdr:row>76</xdr:row>
                    <xdr:rowOff>9525</xdr:rowOff>
                  </to>
                </anchor>
              </controlPr>
            </control>
          </mc:Choice>
        </mc:AlternateContent>
        <mc:AlternateContent xmlns:mc="http://schemas.openxmlformats.org/markup-compatibility/2006">
          <mc:Choice Requires="x14">
            <control shapeId="246491" r:id="rId60" name="Drop Down 731">
              <controlPr defaultSize="0" autoLine="0" autoPict="0">
                <anchor moveWithCells="1">
                  <from>
                    <xdr:col>0</xdr:col>
                    <xdr:colOff>0</xdr:colOff>
                    <xdr:row>76</xdr:row>
                    <xdr:rowOff>0</xdr:rowOff>
                  </from>
                  <to>
                    <xdr:col>5</xdr:col>
                    <xdr:colOff>0</xdr:colOff>
                    <xdr:row>77</xdr:row>
                    <xdr:rowOff>9525</xdr:rowOff>
                  </to>
                </anchor>
              </controlPr>
            </control>
          </mc:Choice>
        </mc:AlternateContent>
        <mc:AlternateContent xmlns:mc="http://schemas.openxmlformats.org/markup-compatibility/2006">
          <mc:Choice Requires="x14">
            <control shapeId="246492" r:id="rId61" name="Drop Down 732">
              <controlPr defaultSize="0" autoLine="0" autoPict="0">
                <anchor moveWithCells="1">
                  <from>
                    <xdr:col>0</xdr:col>
                    <xdr:colOff>0</xdr:colOff>
                    <xdr:row>77</xdr:row>
                    <xdr:rowOff>0</xdr:rowOff>
                  </from>
                  <to>
                    <xdr:col>5</xdr:col>
                    <xdr:colOff>0</xdr:colOff>
                    <xdr:row>78</xdr:row>
                    <xdr:rowOff>9525</xdr:rowOff>
                  </to>
                </anchor>
              </controlPr>
            </control>
          </mc:Choice>
        </mc:AlternateContent>
        <mc:AlternateContent xmlns:mc="http://schemas.openxmlformats.org/markup-compatibility/2006">
          <mc:Choice Requires="x14">
            <control shapeId="246493" r:id="rId62" name="Drop Down 733">
              <controlPr defaultSize="0" autoLine="0" autoPict="0">
                <anchor moveWithCells="1">
                  <from>
                    <xdr:col>0</xdr:col>
                    <xdr:colOff>0</xdr:colOff>
                    <xdr:row>78</xdr:row>
                    <xdr:rowOff>0</xdr:rowOff>
                  </from>
                  <to>
                    <xdr:col>5</xdr:col>
                    <xdr:colOff>0</xdr:colOff>
                    <xdr:row>79</xdr:row>
                    <xdr:rowOff>9525</xdr:rowOff>
                  </to>
                </anchor>
              </controlPr>
            </control>
          </mc:Choice>
        </mc:AlternateContent>
        <mc:AlternateContent xmlns:mc="http://schemas.openxmlformats.org/markup-compatibility/2006">
          <mc:Choice Requires="x14">
            <control shapeId="246519" r:id="rId63" name="Drop Down 759">
              <controlPr defaultSize="0" autoLine="0" autoPict="0">
                <anchor moveWithCells="1">
                  <from>
                    <xdr:col>8</xdr:col>
                    <xdr:colOff>47625</xdr:colOff>
                    <xdr:row>98</xdr:row>
                    <xdr:rowOff>0</xdr:rowOff>
                  </from>
                  <to>
                    <xdr:col>10</xdr:col>
                    <xdr:colOff>228600</xdr:colOff>
                    <xdr:row>99</xdr:row>
                    <xdr:rowOff>0</xdr:rowOff>
                  </to>
                </anchor>
              </controlPr>
            </control>
          </mc:Choice>
        </mc:AlternateContent>
        <mc:AlternateContent xmlns:mc="http://schemas.openxmlformats.org/markup-compatibility/2006">
          <mc:Choice Requires="x14">
            <control shapeId="246520" r:id="rId64" name="Drop Down 760">
              <controlPr defaultSize="0" autoLine="0" autoPict="0">
                <anchor moveWithCells="1">
                  <from>
                    <xdr:col>8</xdr:col>
                    <xdr:colOff>47625</xdr:colOff>
                    <xdr:row>99</xdr:row>
                    <xdr:rowOff>190500</xdr:rowOff>
                  </from>
                  <to>
                    <xdr:col>10</xdr:col>
                    <xdr:colOff>228600</xdr:colOff>
                    <xdr:row>101</xdr:row>
                    <xdr:rowOff>0</xdr:rowOff>
                  </to>
                </anchor>
              </controlPr>
            </control>
          </mc:Choice>
        </mc:AlternateContent>
        <mc:AlternateContent xmlns:mc="http://schemas.openxmlformats.org/markup-compatibility/2006">
          <mc:Choice Requires="x14">
            <control shapeId="246521" r:id="rId65" name="Drop Down 761">
              <controlPr defaultSize="0" autoLine="0" autoPict="0">
                <anchor moveWithCells="1">
                  <from>
                    <xdr:col>8</xdr:col>
                    <xdr:colOff>47625</xdr:colOff>
                    <xdr:row>98</xdr:row>
                    <xdr:rowOff>190500</xdr:rowOff>
                  </from>
                  <to>
                    <xdr:col>10</xdr:col>
                    <xdr:colOff>228600</xdr:colOff>
                    <xdr:row>100</xdr:row>
                    <xdr:rowOff>0</xdr:rowOff>
                  </to>
                </anchor>
              </controlPr>
            </control>
          </mc:Choice>
        </mc:AlternateContent>
        <mc:AlternateContent xmlns:mc="http://schemas.openxmlformats.org/markup-compatibility/2006">
          <mc:Choice Requires="x14">
            <control shapeId="246652" r:id="rId66" name="Check Box 892">
              <controlPr defaultSize="0" autoFill="0" autoLine="0" autoPict="0">
                <anchor moveWithCells="1">
                  <from>
                    <xdr:col>15</xdr:col>
                    <xdr:colOff>38100</xdr:colOff>
                    <xdr:row>13</xdr:row>
                    <xdr:rowOff>19050</xdr:rowOff>
                  </from>
                  <to>
                    <xdr:col>15</xdr:col>
                    <xdr:colOff>266700</xdr:colOff>
                    <xdr:row>13</xdr:row>
                    <xdr:rowOff>180975</xdr:rowOff>
                  </to>
                </anchor>
              </controlPr>
            </control>
          </mc:Choice>
        </mc:AlternateContent>
        <mc:AlternateContent xmlns:mc="http://schemas.openxmlformats.org/markup-compatibility/2006">
          <mc:Choice Requires="x14">
            <control shapeId="246653" r:id="rId67" name="Check Box 893">
              <controlPr defaultSize="0" autoFill="0" autoLine="0" autoPict="0">
                <anchor moveWithCells="1">
                  <from>
                    <xdr:col>15</xdr:col>
                    <xdr:colOff>38100</xdr:colOff>
                    <xdr:row>14</xdr:row>
                    <xdr:rowOff>19050</xdr:rowOff>
                  </from>
                  <to>
                    <xdr:col>15</xdr:col>
                    <xdr:colOff>266700</xdr:colOff>
                    <xdr:row>14</xdr:row>
                    <xdr:rowOff>180975</xdr:rowOff>
                  </to>
                </anchor>
              </controlPr>
            </control>
          </mc:Choice>
        </mc:AlternateContent>
        <mc:AlternateContent xmlns:mc="http://schemas.openxmlformats.org/markup-compatibility/2006">
          <mc:Choice Requires="x14">
            <control shapeId="246654" r:id="rId68" name="Check Box 894">
              <controlPr defaultSize="0" autoFill="0" autoLine="0" autoPict="0">
                <anchor moveWithCells="1">
                  <from>
                    <xdr:col>15</xdr:col>
                    <xdr:colOff>38100</xdr:colOff>
                    <xdr:row>15</xdr:row>
                    <xdr:rowOff>28575</xdr:rowOff>
                  </from>
                  <to>
                    <xdr:col>15</xdr:col>
                    <xdr:colOff>266700</xdr:colOff>
                    <xdr:row>16</xdr:row>
                    <xdr:rowOff>0</xdr:rowOff>
                  </to>
                </anchor>
              </controlPr>
            </control>
          </mc:Choice>
        </mc:AlternateContent>
        <mc:AlternateContent xmlns:mc="http://schemas.openxmlformats.org/markup-compatibility/2006">
          <mc:Choice Requires="x14">
            <control shapeId="246656" r:id="rId69" name="Check Box 896">
              <controlPr defaultSize="0" autoFill="0" autoLine="0" autoPict="0">
                <anchor moveWithCells="1">
                  <from>
                    <xdr:col>15</xdr:col>
                    <xdr:colOff>38100</xdr:colOff>
                    <xdr:row>17</xdr:row>
                    <xdr:rowOff>19050</xdr:rowOff>
                  </from>
                  <to>
                    <xdr:col>15</xdr:col>
                    <xdr:colOff>266700</xdr:colOff>
                    <xdr:row>17</xdr:row>
                    <xdr:rowOff>180975</xdr:rowOff>
                  </to>
                </anchor>
              </controlPr>
            </control>
          </mc:Choice>
        </mc:AlternateContent>
        <mc:AlternateContent xmlns:mc="http://schemas.openxmlformats.org/markup-compatibility/2006">
          <mc:Choice Requires="x14">
            <control shapeId="246657" r:id="rId70" name="Check Box 897">
              <controlPr defaultSize="0" autoFill="0" autoLine="0" autoPict="0">
                <anchor moveWithCells="1">
                  <from>
                    <xdr:col>15</xdr:col>
                    <xdr:colOff>38100</xdr:colOff>
                    <xdr:row>18</xdr:row>
                    <xdr:rowOff>19050</xdr:rowOff>
                  </from>
                  <to>
                    <xdr:col>15</xdr:col>
                    <xdr:colOff>266700</xdr:colOff>
                    <xdr:row>18</xdr:row>
                    <xdr:rowOff>180975</xdr:rowOff>
                  </to>
                </anchor>
              </controlPr>
            </control>
          </mc:Choice>
        </mc:AlternateContent>
        <mc:AlternateContent xmlns:mc="http://schemas.openxmlformats.org/markup-compatibility/2006">
          <mc:Choice Requires="x14">
            <control shapeId="246658" r:id="rId71" name="Check Box 898">
              <controlPr defaultSize="0" autoFill="0" autoLine="0" autoPict="0">
                <anchor moveWithCells="1">
                  <from>
                    <xdr:col>15</xdr:col>
                    <xdr:colOff>38100</xdr:colOff>
                    <xdr:row>19</xdr:row>
                    <xdr:rowOff>19050</xdr:rowOff>
                  </from>
                  <to>
                    <xdr:col>15</xdr:col>
                    <xdr:colOff>266700</xdr:colOff>
                    <xdr:row>19</xdr:row>
                    <xdr:rowOff>180975</xdr:rowOff>
                  </to>
                </anchor>
              </controlPr>
            </control>
          </mc:Choice>
        </mc:AlternateContent>
        <mc:AlternateContent xmlns:mc="http://schemas.openxmlformats.org/markup-compatibility/2006">
          <mc:Choice Requires="x14">
            <control shapeId="246659" r:id="rId72" name="Check Box 899">
              <controlPr defaultSize="0" autoFill="0" autoLine="0" autoPict="0">
                <anchor moveWithCells="1">
                  <from>
                    <xdr:col>15</xdr:col>
                    <xdr:colOff>38100</xdr:colOff>
                    <xdr:row>20</xdr:row>
                    <xdr:rowOff>19050</xdr:rowOff>
                  </from>
                  <to>
                    <xdr:col>15</xdr:col>
                    <xdr:colOff>266700</xdr:colOff>
                    <xdr:row>20</xdr:row>
                    <xdr:rowOff>180975</xdr:rowOff>
                  </to>
                </anchor>
              </controlPr>
            </control>
          </mc:Choice>
        </mc:AlternateContent>
        <mc:AlternateContent xmlns:mc="http://schemas.openxmlformats.org/markup-compatibility/2006">
          <mc:Choice Requires="x14">
            <control shapeId="246660" r:id="rId73" name="Check Box 900">
              <controlPr defaultSize="0" autoFill="0" autoLine="0" autoPict="0">
                <anchor moveWithCells="1">
                  <from>
                    <xdr:col>15</xdr:col>
                    <xdr:colOff>38100</xdr:colOff>
                    <xdr:row>21</xdr:row>
                    <xdr:rowOff>19050</xdr:rowOff>
                  </from>
                  <to>
                    <xdr:col>15</xdr:col>
                    <xdr:colOff>266700</xdr:colOff>
                    <xdr:row>21</xdr:row>
                    <xdr:rowOff>180975</xdr:rowOff>
                  </to>
                </anchor>
              </controlPr>
            </control>
          </mc:Choice>
        </mc:AlternateContent>
        <mc:AlternateContent xmlns:mc="http://schemas.openxmlformats.org/markup-compatibility/2006">
          <mc:Choice Requires="x14">
            <control shapeId="246661" r:id="rId74" name="Check Box 901">
              <controlPr defaultSize="0" autoFill="0" autoLine="0" autoPict="0">
                <anchor moveWithCells="1">
                  <from>
                    <xdr:col>15</xdr:col>
                    <xdr:colOff>38100</xdr:colOff>
                    <xdr:row>22</xdr:row>
                    <xdr:rowOff>19050</xdr:rowOff>
                  </from>
                  <to>
                    <xdr:col>15</xdr:col>
                    <xdr:colOff>266700</xdr:colOff>
                    <xdr:row>22</xdr:row>
                    <xdr:rowOff>180975</xdr:rowOff>
                  </to>
                </anchor>
              </controlPr>
            </control>
          </mc:Choice>
        </mc:AlternateContent>
        <mc:AlternateContent xmlns:mc="http://schemas.openxmlformats.org/markup-compatibility/2006">
          <mc:Choice Requires="x14">
            <control shapeId="246662" r:id="rId75" name="Check Box 902">
              <controlPr defaultSize="0" autoFill="0" autoLine="0" autoPict="0">
                <anchor moveWithCells="1">
                  <from>
                    <xdr:col>15</xdr:col>
                    <xdr:colOff>38100</xdr:colOff>
                    <xdr:row>23</xdr:row>
                    <xdr:rowOff>19050</xdr:rowOff>
                  </from>
                  <to>
                    <xdr:col>15</xdr:col>
                    <xdr:colOff>266700</xdr:colOff>
                    <xdr:row>23</xdr:row>
                    <xdr:rowOff>180975</xdr:rowOff>
                  </to>
                </anchor>
              </controlPr>
            </control>
          </mc:Choice>
        </mc:AlternateContent>
        <mc:AlternateContent xmlns:mc="http://schemas.openxmlformats.org/markup-compatibility/2006">
          <mc:Choice Requires="x14">
            <control shapeId="246663" r:id="rId76" name="Check Box 903">
              <controlPr defaultSize="0" autoFill="0" autoLine="0" autoPict="0">
                <anchor moveWithCells="1">
                  <from>
                    <xdr:col>15</xdr:col>
                    <xdr:colOff>38100</xdr:colOff>
                    <xdr:row>24</xdr:row>
                    <xdr:rowOff>19050</xdr:rowOff>
                  </from>
                  <to>
                    <xdr:col>15</xdr:col>
                    <xdr:colOff>266700</xdr:colOff>
                    <xdr:row>24</xdr:row>
                    <xdr:rowOff>180975</xdr:rowOff>
                  </to>
                </anchor>
              </controlPr>
            </control>
          </mc:Choice>
        </mc:AlternateContent>
        <mc:AlternateContent xmlns:mc="http://schemas.openxmlformats.org/markup-compatibility/2006">
          <mc:Choice Requires="x14">
            <control shapeId="246664" r:id="rId77" name="Check Box 904">
              <controlPr defaultSize="0" autoFill="0" autoLine="0" autoPict="0">
                <anchor moveWithCells="1">
                  <from>
                    <xdr:col>15</xdr:col>
                    <xdr:colOff>38100</xdr:colOff>
                    <xdr:row>25</xdr:row>
                    <xdr:rowOff>19050</xdr:rowOff>
                  </from>
                  <to>
                    <xdr:col>15</xdr:col>
                    <xdr:colOff>266700</xdr:colOff>
                    <xdr:row>25</xdr:row>
                    <xdr:rowOff>180975</xdr:rowOff>
                  </to>
                </anchor>
              </controlPr>
            </control>
          </mc:Choice>
        </mc:AlternateContent>
        <mc:AlternateContent xmlns:mc="http://schemas.openxmlformats.org/markup-compatibility/2006">
          <mc:Choice Requires="x14">
            <control shapeId="246665" r:id="rId78" name="Check Box 905">
              <controlPr defaultSize="0" autoFill="0" autoLine="0" autoPict="0">
                <anchor moveWithCells="1">
                  <from>
                    <xdr:col>15</xdr:col>
                    <xdr:colOff>38100</xdr:colOff>
                    <xdr:row>26</xdr:row>
                    <xdr:rowOff>19050</xdr:rowOff>
                  </from>
                  <to>
                    <xdr:col>15</xdr:col>
                    <xdr:colOff>266700</xdr:colOff>
                    <xdr:row>26</xdr:row>
                    <xdr:rowOff>180975</xdr:rowOff>
                  </to>
                </anchor>
              </controlPr>
            </control>
          </mc:Choice>
        </mc:AlternateContent>
        <mc:AlternateContent xmlns:mc="http://schemas.openxmlformats.org/markup-compatibility/2006">
          <mc:Choice Requires="x14">
            <control shapeId="246666" r:id="rId79" name="Check Box 906">
              <controlPr defaultSize="0" autoFill="0" autoLine="0" autoPict="0">
                <anchor moveWithCells="1">
                  <from>
                    <xdr:col>15</xdr:col>
                    <xdr:colOff>38100</xdr:colOff>
                    <xdr:row>27</xdr:row>
                    <xdr:rowOff>19050</xdr:rowOff>
                  </from>
                  <to>
                    <xdr:col>15</xdr:col>
                    <xdr:colOff>266700</xdr:colOff>
                    <xdr:row>27</xdr:row>
                    <xdr:rowOff>180975</xdr:rowOff>
                  </to>
                </anchor>
              </controlPr>
            </control>
          </mc:Choice>
        </mc:AlternateContent>
        <mc:AlternateContent xmlns:mc="http://schemas.openxmlformats.org/markup-compatibility/2006">
          <mc:Choice Requires="x14">
            <control shapeId="246667" r:id="rId80" name="Check Box 907">
              <controlPr defaultSize="0" autoFill="0" autoLine="0" autoPict="0">
                <anchor moveWithCells="1">
                  <from>
                    <xdr:col>15</xdr:col>
                    <xdr:colOff>38100</xdr:colOff>
                    <xdr:row>28</xdr:row>
                    <xdr:rowOff>19050</xdr:rowOff>
                  </from>
                  <to>
                    <xdr:col>15</xdr:col>
                    <xdr:colOff>266700</xdr:colOff>
                    <xdr:row>28</xdr:row>
                    <xdr:rowOff>180975</xdr:rowOff>
                  </to>
                </anchor>
              </controlPr>
            </control>
          </mc:Choice>
        </mc:AlternateContent>
        <mc:AlternateContent xmlns:mc="http://schemas.openxmlformats.org/markup-compatibility/2006">
          <mc:Choice Requires="x14">
            <control shapeId="246668" r:id="rId81" name="Check Box 908">
              <controlPr defaultSize="0" autoFill="0" autoLine="0" autoPict="0">
                <anchor moveWithCells="1">
                  <from>
                    <xdr:col>15</xdr:col>
                    <xdr:colOff>38100</xdr:colOff>
                    <xdr:row>29</xdr:row>
                    <xdr:rowOff>19050</xdr:rowOff>
                  </from>
                  <to>
                    <xdr:col>15</xdr:col>
                    <xdr:colOff>266700</xdr:colOff>
                    <xdr:row>29</xdr:row>
                    <xdr:rowOff>180975</xdr:rowOff>
                  </to>
                </anchor>
              </controlPr>
            </control>
          </mc:Choice>
        </mc:AlternateContent>
        <mc:AlternateContent xmlns:mc="http://schemas.openxmlformats.org/markup-compatibility/2006">
          <mc:Choice Requires="x14">
            <control shapeId="246669" r:id="rId82" name="Check Box 909">
              <controlPr defaultSize="0" autoFill="0" autoLine="0" autoPict="0">
                <anchor moveWithCells="1">
                  <from>
                    <xdr:col>15</xdr:col>
                    <xdr:colOff>38100</xdr:colOff>
                    <xdr:row>30</xdr:row>
                    <xdr:rowOff>19050</xdr:rowOff>
                  </from>
                  <to>
                    <xdr:col>15</xdr:col>
                    <xdr:colOff>266700</xdr:colOff>
                    <xdr:row>30</xdr:row>
                    <xdr:rowOff>180975</xdr:rowOff>
                  </to>
                </anchor>
              </controlPr>
            </control>
          </mc:Choice>
        </mc:AlternateContent>
        <mc:AlternateContent xmlns:mc="http://schemas.openxmlformats.org/markup-compatibility/2006">
          <mc:Choice Requires="x14">
            <control shapeId="246670" r:id="rId83" name="Check Box 910">
              <controlPr defaultSize="0" autoFill="0" autoLine="0" autoPict="0">
                <anchor moveWithCells="1">
                  <from>
                    <xdr:col>15</xdr:col>
                    <xdr:colOff>38100</xdr:colOff>
                    <xdr:row>31</xdr:row>
                    <xdr:rowOff>19050</xdr:rowOff>
                  </from>
                  <to>
                    <xdr:col>15</xdr:col>
                    <xdr:colOff>266700</xdr:colOff>
                    <xdr:row>31</xdr:row>
                    <xdr:rowOff>180975</xdr:rowOff>
                  </to>
                </anchor>
              </controlPr>
            </control>
          </mc:Choice>
        </mc:AlternateContent>
        <mc:AlternateContent xmlns:mc="http://schemas.openxmlformats.org/markup-compatibility/2006">
          <mc:Choice Requires="x14">
            <control shapeId="246671" r:id="rId84" name="Check Box 911">
              <controlPr defaultSize="0" autoFill="0" autoLine="0" autoPict="0">
                <anchor moveWithCells="1">
                  <from>
                    <xdr:col>15</xdr:col>
                    <xdr:colOff>38100</xdr:colOff>
                    <xdr:row>32</xdr:row>
                    <xdr:rowOff>19050</xdr:rowOff>
                  </from>
                  <to>
                    <xdr:col>15</xdr:col>
                    <xdr:colOff>266700</xdr:colOff>
                    <xdr:row>32</xdr:row>
                    <xdr:rowOff>180975</xdr:rowOff>
                  </to>
                </anchor>
              </controlPr>
            </control>
          </mc:Choice>
        </mc:AlternateContent>
        <mc:AlternateContent xmlns:mc="http://schemas.openxmlformats.org/markup-compatibility/2006">
          <mc:Choice Requires="x14">
            <control shapeId="246672" r:id="rId85" name="Check Box 912">
              <controlPr defaultSize="0" autoFill="0" autoLine="0" autoPict="0">
                <anchor moveWithCells="1">
                  <from>
                    <xdr:col>15</xdr:col>
                    <xdr:colOff>38100</xdr:colOff>
                    <xdr:row>33</xdr:row>
                    <xdr:rowOff>19050</xdr:rowOff>
                  </from>
                  <to>
                    <xdr:col>15</xdr:col>
                    <xdr:colOff>266700</xdr:colOff>
                    <xdr:row>33</xdr:row>
                    <xdr:rowOff>180975</xdr:rowOff>
                  </to>
                </anchor>
              </controlPr>
            </control>
          </mc:Choice>
        </mc:AlternateContent>
        <mc:AlternateContent xmlns:mc="http://schemas.openxmlformats.org/markup-compatibility/2006">
          <mc:Choice Requires="x14">
            <control shapeId="246673" r:id="rId86" name="Check Box 913">
              <controlPr defaultSize="0" autoFill="0" autoLine="0" autoPict="0">
                <anchor moveWithCells="1">
                  <from>
                    <xdr:col>15</xdr:col>
                    <xdr:colOff>38100</xdr:colOff>
                    <xdr:row>34</xdr:row>
                    <xdr:rowOff>19050</xdr:rowOff>
                  </from>
                  <to>
                    <xdr:col>15</xdr:col>
                    <xdr:colOff>266700</xdr:colOff>
                    <xdr:row>34</xdr:row>
                    <xdr:rowOff>180975</xdr:rowOff>
                  </to>
                </anchor>
              </controlPr>
            </control>
          </mc:Choice>
        </mc:AlternateContent>
        <mc:AlternateContent xmlns:mc="http://schemas.openxmlformats.org/markup-compatibility/2006">
          <mc:Choice Requires="x14">
            <control shapeId="246674" r:id="rId87" name="Check Box 914">
              <controlPr defaultSize="0" autoFill="0" autoLine="0" autoPict="0">
                <anchor moveWithCells="1">
                  <from>
                    <xdr:col>15</xdr:col>
                    <xdr:colOff>38100</xdr:colOff>
                    <xdr:row>35</xdr:row>
                    <xdr:rowOff>19050</xdr:rowOff>
                  </from>
                  <to>
                    <xdr:col>15</xdr:col>
                    <xdr:colOff>266700</xdr:colOff>
                    <xdr:row>35</xdr:row>
                    <xdr:rowOff>180975</xdr:rowOff>
                  </to>
                </anchor>
              </controlPr>
            </control>
          </mc:Choice>
        </mc:AlternateContent>
        <mc:AlternateContent xmlns:mc="http://schemas.openxmlformats.org/markup-compatibility/2006">
          <mc:Choice Requires="x14">
            <control shapeId="246700" r:id="rId88" name="Check Box 940">
              <controlPr defaultSize="0" autoFill="0" autoLine="0" autoPict="0">
                <anchor moveWithCells="1">
                  <from>
                    <xdr:col>15</xdr:col>
                    <xdr:colOff>38100</xdr:colOff>
                    <xdr:row>16</xdr:row>
                    <xdr:rowOff>28575</xdr:rowOff>
                  </from>
                  <to>
                    <xdr:col>15</xdr:col>
                    <xdr:colOff>266700</xdr:colOff>
                    <xdr:row>17</xdr:row>
                    <xdr:rowOff>0</xdr:rowOff>
                  </to>
                </anchor>
              </controlPr>
            </control>
          </mc:Choice>
        </mc:AlternateContent>
        <mc:AlternateContent xmlns:mc="http://schemas.openxmlformats.org/markup-compatibility/2006">
          <mc:Choice Requires="x14">
            <control shapeId="246701" r:id="rId89" name="Check Box 941">
              <controlPr defaultSize="0" autoFill="0" autoLine="0" autoPict="0">
                <anchor moveWithCells="1">
                  <from>
                    <xdr:col>15</xdr:col>
                    <xdr:colOff>38100</xdr:colOff>
                    <xdr:row>43</xdr:row>
                    <xdr:rowOff>19050</xdr:rowOff>
                  </from>
                  <to>
                    <xdr:col>15</xdr:col>
                    <xdr:colOff>266700</xdr:colOff>
                    <xdr:row>43</xdr:row>
                    <xdr:rowOff>180975</xdr:rowOff>
                  </to>
                </anchor>
              </controlPr>
            </control>
          </mc:Choice>
        </mc:AlternateContent>
        <mc:AlternateContent xmlns:mc="http://schemas.openxmlformats.org/markup-compatibility/2006">
          <mc:Choice Requires="x14">
            <control shapeId="246702" r:id="rId90" name="Check Box 942">
              <controlPr defaultSize="0" autoFill="0" autoLine="0" autoPict="0">
                <anchor moveWithCells="1">
                  <from>
                    <xdr:col>15</xdr:col>
                    <xdr:colOff>38100</xdr:colOff>
                    <xdr:row>44</xdr:row>
                    <xdr:rowOff>19050</xdr:rowOff>
                  </from>
                  <to>
                    <xdr:col>15</xdr:col>
                    <xdr:colOff>266700</xdr:colOff>
                    <xdr:row>44</xdr:row>
                    <xdr:rowOff>180975</xdr:rowOff>
                  </to>
                </anchor>
              </controlPr>
            </control>
          </mc:Choice>
        </mc:AlternateContent>
        <mc:AlternateContent xmlns:mc="http://schemas.openxmlformats.org/markup-compatibility/2006">
          <mc:Choice Requires="x14">
            <control shapeId="246703" r:id="rId91" name="Check Box 943">
              <controlPr defaultSize="0" autoFill="0" autoLine="0" autoPict="0">
                <anchor moveWithCells="1">
                  <from>
                    <xdr:col>15</xdr:col>
                    <xdr:colOff>38100</xdr:colOff>
                    <xdr:row>45</xdr:row>
                    <xdr:rowOff>19050</xdr:rowOff>
                  </from>
                  <to>
                    <xdr:col>15</xdr:col>
                    <xdr:colOff>266700</xdr:colOff>
                    <xdr:row>45</xdr:row>
                    <xdr:rowOff>180975</xdr:rowOff>
                  </to>
                </anchor>
              </controlPr>
            </control>
          </mc:Choice>
        </mc:AlternateContent>
        <mc:AlternateContent xmlns:mc="http://schemas.openxmlformats.org/markup-compatibility/2006">
          <mc:Choice Requires="x14">
            <control shapeId="246704" r:id="rId92" name="Check Box 944">
              <controlPr defaultSize="0" autoFill="0" autoLine="0" autoPict="0">
                <anchor moveWithCells="1">
                  <from>
                    <xdr:col>15</xdr:col>
                    <xdr:colOff>38100</xdr:colOff>
                    <xdr:row>46</xdr:row>
                    <xdr:rowOff>19050</xdr:rowOff>
                  </from>
                  <to>
                    <xdr:col>15</xdr:col>
                    <xdr:colOff>266700</xdr:colOff>
                    <xdr:row>46</xdr:row>
                    <xdr:rowOff>180975</xdr:rowOff>
                  </to>
                </anchor>
              </controlPr>
            </control>
          </mc:Choice>
        </mc:AlternateContent>
        <mc:AlternateContent xmlns:mc="http://schemas.openxmlformats.org/markup-compatibility/2006">
          <mc:Choice Requires="x14">
            <control shapeId="246705" r:id="rId93" name="Check Box 945">
              <controlPr defaultSize="0" autoFill="0" autoLine="0" autoPict="0">
                <anchor moveWithCells="1">
                  <from>
                    <xdr:col>15</xdr:col>
                    <xdr:colOff>38100</xdr:colOff>
                    <xdr:row>47</xdr:row>
                    <xdr:rowOff>19050</xdr:rowOff>
                  </from>
                  <to>
                    <xdr:col>15</xdr:col>
                    <xdr:colOff>266700</xdr:colOff>
                    <xdr:row>47</xdr:row>
                    <xdr:rowOff>180975</xdr:rowOff>
                  </to>
                </anchor>
              </controlPr>
            </control>
          </mc:Choice>
        </mc:AlternateContent>
        <mc:AlternateContent xmlns:mc="http://schemas.openxmlformats.org/markup-compatibility/2006">
          <mc:Choice Requires="x14">
            <control shapeId="246706" r:id="rId94" name="Check Box 946">
              <controlPr defaultSize="0" autoFill="0" autoLine="0" autoPict="0">
                <anchor moveWithCells="1">
                  <from>
                    <xdr:col>15</xdr:col>
                    <xdr:colOff>38100</xdr:colOff>
                    <xdr:row>47</xdr:row>
                    <xdr:rowOff>19050</xdr:rowOff>
                  </from>
                  <to>
                    <xdr:col>15</xdr:col>
                    <xdr:colOff>266700</xdr:colOff>
                    <xdr:row>47</xdr:row>
                    <xdr:rowOff>180975</xdr:rowOff>
                  </to>
                </anchor>
              </controlPr>
            </control>
          </mc:Choice>
        </mc:AlternateContent>
        <mc:AlternateContent xmlns:mc="http://schemas.openxmlformats.org/markup-compatibility/2006">
          <mc:Choice Requires="x14">
            <control shapeId="246707" r:id="rId95" name="Check Box 947">
              <controlPr defaultSize="0" autoFill="0" autoLine="0" autoPict="0">
                <anchor moveWithCells="1">
                  <from>
                    <xdr:col>15</xdr:col>
                    <xdr:colOff>38100</xdr:colOff>
                    <xdr:row>48</xdr:row>
                    <xdr:rowOff>19050</xdr:rowOff>
                  </from>
                  <to>
                    <xdr:col>15</xdr:col>
                    <xdr:colOff>266700</xdr:colOff>
                    <xdr:row>48</xdr:row>
                    <xdr:rowOff>180975</xdr:rowOff>
                  </to>
                </anchor>
              </controlPr>
            </control>
          </mc:Choice>
        </mc:AlternateContent>
        <mc:AlternateContent xmlns:mc="http://schemas.openxmlformats.org/markup-compatibility/2006">
          <mc:Choice Requires="x14">
            <control shapeId="246708" r:id="rId96" name="Check Box 948">
              <controlPr defaultSize="0" autoFill="0" autoLine="0" autoPict="0">
                <anchor moveWithCells="1">
                  <from>
                    <xdr:col>15</xdr:col>
                    <xdr:colOff>38100</xdr:colOff>
                    <xdr:row>49</xdr:row>
                    <xdr:rowOff>19050</xdr:rowOff>
                  </from>
                  <to>
                    <xdr:col>15</xdr:col>
                    <xdr:colOff>266700</xdr:colOff>
                    <xdr:row>49</xdr:row>
                    <xdr:rowOff>180975</xdr:rowOff>
                  </to>
                </anchor>
              </controlPr>
            </control>
          </mc:Choice>
        </mc:AlternateContent>
        <mc:AlternateContent xmlns:mc="http://schemas.openxmlformats.org/markup-compatibility/2006">
          <mc:Choice Requires="x14">
            <control shapeId="246709" r:id="rId97" name="Check Box 949">
              <controlPr defaultSize="0" autoFill="0" autoLine="0" autoPict="0">
                <anchor moveWithCells="1">
                  <from>
                    <xdr:col>15</xdr:col>
                    <xdr:colOff>38100</xdr:colOff>
                    <xdr:row>50</xdr:row>
                    <xdr:rowOff>19050</xdr:rowOff>
                  </from>
                  <to>
                    <xdr:col>15</xdr:col>
                    <xdr:colOff>266700</xdr:colOff>
                    <xdr:row>50</xdr:row>
                    <xdr:rowOff>180975</xdr:rowOff>
                  </to>
                </anchor>
              </controlPr>
            </control>
          </mc:Choice>
        </mc:AlternateContent>
        <mc:AlternateContent xmlns:mc="http://schemas.openxmlformats.org/markup-compatibility/2006">
          <mc:Choice Requires="x14">
            <control shapeId="246710" r:id="rId98" name="Check Box 950">
              <controlPr defaultSize="0" autoFill="0" autoLine="0" autoPict="0">
                <anchor moveWithCells="1">
                  <from>
                    <xdr:col>15</xdr:col>
                    <xdr:colOff>38100</xdr:colOff>
                    <xdr:row>51</xdr:row>
                    <xdr:rowOff>19050</xdr:rowOff>
                  </from>
                  <to>
                    <xdr:col>15</xdr:col>
                    <xdr:colOff>266700</xdr:colOff>
                    <xdr:row>51</xdr:row>
                    <xdr:rowOff>180975</xdr:rowOff>
                  </to>
                </anchor>
              </controlPr>
            </control>
          </mc:Choice>
        </mc:AlternateContent>
        <mc:AlternateContent xmlns:mc="http://schemas.openxmlformats.org/markup-compatibility/2006">
          <mc:Choice Requires="x14">
            <control shapeId="246711" r:id="rId99" name="Check Box 951">
              <controlPr defaultSize="0" autoFill="0" autoLine="0" autoPict="0">
                <anchor moveWithCells="1">
                  <from>
                    <xdr:col>15</xdr:col>
                    <xdr:colOff>38100</xdr:colOff>
                    <xdr:row>52</xdr:row>
                    <xdr:rowOff>19050</xdr:rowOff>
                  </from>
                  <to>
                    <xdr:col>15</xdr:col>
                    <xdr:colOff>266700</xdr:colOff>
                    <xdr:row>52</xdr:row>
                    <xdr:rowOff>180975</xdr:rowOff>
                  </to>
                </anchor>
              </controlPr>
            </control>
          </mc:Choice>
        </mc:AlternateContent>
        <mc:AlternateContent xmlns:mc="http://schemas.openxmlformats.org/markup-compatibility/2006">
          <mc:Choice Requires="x14">
            <control shapeId="246712" r:id="rId100" name="Check Box 952">
              <controlPr defaultSize="0" autoFill="0" autoLine="0" autoPict="0">
                <anchor moveWithCells="1">
                  <from>
                    <xdr:col>15</xdr:col>
                    <xdr:colOff>38100</xdr:colOff>
                    <xdr:row>53</xdr:row>
                    <xdr:rowOff>19050</xdr:rowOff>
                  </from>
                  <to>
                    <xdr:col>15</xdr:col>
                    <xdr:colOff>266700</xdr:colOff>
                    <xdr:row>53</xdr:row>
                    <xdr:rowOff>180975</xdr:rowOff>
                  </to>
                </anchor>
              </controlPr>
            </control>
          </mc:Choice>
        </mc:AlternateContent>
        <mc:AlternateContent xmlns:mc="http://schemas.openxmlformats.org/markup-compatibility/2006">
          <mc:Choice Requires="x14">
            <control shapeId="246713" r:id="rId101" name="Check Box 953">
              <controlPr defaultSize="0" autoFill="0" autoLine="0" autoPict="0">
                <anchor moveWithCells="1">
                  <from>
                    <xdr:col>15</xdr:col>
                    <xdr:colOff>38100</xdr:colOff>
                    <xdr:row>54</xdr:row>
                    <xdr:rowOff>19050</xdr:rowOff>
                  </from>
                  <to>
                    <xdr:col>15</xdr:col>
                    <xdr:colOff>266700</xdr:colOff>
                    <xdr:row>54</xdr:row>
                    <xdr:rowOff>180975</xdr:rowOff>
                  </to>
                </anchor>
              </controlPr>
            </control>
          </mc:Choice>
        </mc:AlternateContent>
        <mc:AlternateContent xmlns:mc="http://schemas.openxmlformats.org/markup-compatibility/2006">
          <mc:Choice Requires="x14">
            <control shapeId="246714" r:id="rId102" name="Check Box 954">
              <controlPr defaultSize="0" autoFill="0" autoLine="0" autoPict="0">
                <anchor moveWithCells="1">
                  <from>
                    <xdr:col>15</xdr:col>
                    <xdr:colOff>38100</xdr:colOff>
                    <xdr:row>55</xdr:row>
                    <xdr:rowOff>19050</xdr:rowOff>
                  </from>
                  <to>
                    <xdr:col>15</xdr:col>
                    <xdr:colOff>266700</xdr:colOff>
                    <xdr:row>55</xdr:row>
                    <xdr:rowOff>180975</xdr:rowOff>
                  </to>
                </anchor>
              </controlPr>
            </control>
          </mc:Choice>
        </mc:AlternateContent>
        <mc:AlternateContent xmlns:mc="http://schemas.openxmlformats.org/markup-compatibility/2006">
          <mc:Choice Requires="x14">
            <control shapeId="246715" r:id="rId103" name="Check Box 955">
              <controlPr defaultSize="0" autoFill="0" autoLine="0" autoPict="0">
                <anchor moveWithCells="1">
                  <from>
                    <xdr:col>15</xdr:col>
                    <xdr:colOff>38100</xdr:colOff>
                    <xdr:row>56</xdr:row>
                    <xdr:rowOff>19050</xdr:rowOff>
                  </from>
                  <to>
                    <xdr:col>15</xdr:col>
                    <xdr:colOff>266700</xdr:colOff>
                    <xdr:row>56</xdr:row>
                    <xdr:rowOff>180975</xdr:rowOff>
                  </to>
                </anchor>
              </controlPr>
            </control>
          </mc:Choice>
        </mc:AlternateContent>
        <mc:AlternateContent xmlns:mc="http://schemas.openxmlformats.org/markup-compatibility/2006">
          <mc:Choice Requires="x14">
            <control shapeId="246716" r:id="rId104" name="Check Box 956">
              <controlPr defaultSize="0" autoFill="0" autoLine="0" autoPict="0">
                <anchor moveWithCells="1">
                  <from>
                    <xdr:col>15</xdr:col>
                    <xdr:colOff>38100</xdr:colOff>
                    <xdr:row>57</xdr:row>
                    <xdr:rowOff>19050</xdr:rowOff>
                  </from>
                  <to>
                    <xdr:col>15</xdr:col>
                    <xdr:colOff>266700</xdr:colOff>
                    <xdr:row>57</xdr:row>
                    <xdr:rowOff>180975</xdr:rowOff>
                  </to>
                </anchor>
              </controlPr>
            </control>
          </mc:Choice>
        </mc:AlternateContent>
        <mc:AlternateContent xmlns:mc="http://schemas.openxmlformats.org/markup-compatibility/2006">
          <mc:Choice Requires="x14">
            <control shapeId="246717" r:id="rId105" name="Check Box 957">
              <controlPr defaultSize="0" autoFill="0" autoLine="0" autoPict="0">
                <anchor moveWithCells="1">
                  <from>
                    <xdr:col>15</xdr:col>
                    <xdr:colOff>38100</xdr:colOff>
                    <xdr:row>58</xdr:row>
                    <xdr:rowOff>19050</xdr:rowOff>
                  </from>
                  <to>
                    <xdr:col>15</xdr:col>
                    <xdr:colOff>266700</xdr:colOff>
                    <xdr:row>58</xdr:row>
                    <xdr:rowOff>180975</xdr:rowOff>
                  </to>
                </anchor>
              </controlPr>
            </control>
          </mc:Choice>
        </mc:AlternateContent>
        <mc:AlternateContent xmlns:mc="http://schemas.openxmlformats.org/markup-compatibility/2006">
          <mc:Choice Requires="x14">
            <control shapeId="246718" r:id="rId106" name="Check Box 958">
              <controlPr defaultSize="0" autoFill="0" autoLine="0" autoPict="0">
                <anchor moveWithCells="1">
                  <from>
                    <xdr:col>15</xdr:col>
                    <xdr:colOff>38100</xdr:colOff>
                    <xdr:row>59</xdr:row>
                    <xdr:rowOff>19050</xdr:rowOff>
                  </from>
                  <to>
                    <xdr:col>15</xdr:col>
                    <xdr:colOff>266700</xdr:colOff>
                    <xdr:row>59</xdr:row>
                    <xdr:rowOff>180975</xdr:rowOff>
                  </to>
                </anchor>
              </controlPr>
            </control>
          </mc:Choice>
        </mc:AlternateContent>
        <mc:AlternateContent xmlns:mc="http://schemas.openxmlformats.org/markup-compatibility/2006">
          <mc:Choice Requires="x14">
            <control shapeId="246719" r:id="rId107" name="Check Box 959">
              <controlPr defaultSize="0" autoFill="0" autoLine="0" autoPict="0">
                <anchor moveWithCells="1">
                  <from>
                    <xdr:col>15</xdr:col>
                    <xdr:colOff>38100</xdr:colOff>
                    <xdr:row>60</xdr:row>
                    <xdr:rowOff>19050</xdr:rowOff>
                  </from>
                  <to>
                    <xdr:col>15</xdr:col>
                    <xdr:colOff>266700</xdr:colOff>
                    <xdr:row>60</xdr:row>
                    <xdr:rowOff>180975</xdr:rowOff>
                  </to>
                </anchor>
              </controlPr>
            </control>
          </mc:Choice>
        </mc:AlternateContent>
        <mc:AlternateContent xmlns:mc="http://schemas.openxmlformats.org/markup-compatibility/2006">
          <mc:Choice Requires="x14">
            <control shapeId="246720" r:id="rId108" name="Check Box 960">
              <controlPr defaultSize="0" autoFill="0" autoLine="0" autoPict="0">
                <anchor moveWithCells="1">
                  <from>
                    <xdr:col>15</xdr:col>
                    <xdr:colOff>38100</xdr:colOff>
                    <xdr:row>61</xdr:row>
                    <xdr:rowOff>19050</xdr:rowOff>
                  </from>
                  <to>
                    <xdr:col>15</xdr:col>
                    <xdr:colOff>266700</xdr:colOff>
                    <xdr:row>61</xdr:row>
                    <xdr:rowOff>180975</xdr:rowOff>
                  </to>
                </anchor>
              </controlPr>
            </control>
          </mc:Choice>
        </mc:AlternateContent>
        <mc:AlternateContent xmlns:mc="http://schemas.openxmlformats.org/markup-compatibility/2006">
          <mc:Choice Requires="x14">
            <control shapeId="246721" r:id="rId109" name="Check Box 961">
              <controlPr defaultSize="0" autoFill="0" autoLine="0" autoPict="0">
                <anchor moveWithCells="1">
                  <from>
                    <xdr:col>15</xdr:col>
                    <xdr:colOff>38100</xdr:colOff>
                    <xdr:row>62</xdr:row>
                    <xdr:rowOff>19050</xdr:rowOff>
                  </from>
                  <to>
                    <xdr:col>15</xdr:col>
                    <xdr:colOff>266700</xdr:colOff>
                    <xdr:row>62</xdr:row>
                    <xdr:rowOff>180975</xdr:rowOff>
                  </to>
                </anchor>
              </controlPr>
            </control>
          </mc:Choice>
        </mc:AlternateContent>
        <mc:AlternateContent xmlns:mc="http://schemas.openxmlformats.org/markup-compatibility/2006">
          <mc:Choice Requires="x14">
            <control shapeId="246722" r:id="rId110" name="Check Box 962">
              <controlPr defaultSize="0" autoFill="0" autoLine="0" autoPict="0">
                <anchor moveWithCells="1">
                  <from>
                    <xdr:col>15</xdr:col>
                    <xdr:colOff>38100</xdr:colOff>
                    <xdr:row>63</xdr:row>
                    <xdr:rowOff>19050</xdr:rowOff>
                  </from>
                  <to>
                    <xdr:col>15</xdr:col>
                    <xdr:colOff>266700</xdr:colOff>
                    <xdr:row>63</xdr:row>
                    <xdr:rowOff>180975</xdr:rowOff>
                  </to>
                </anchor>
              </controlPr>
            </control>
          </mc:Choice>
        </mc:AlternateContent>
        <mc:AlternateContent xmlns:mc="http://schemas.openxmlformats.org/markup-compatibility/2006">
          <mc:Choice Requires="x14">
            <control shapeId="246723" r:id="rId111" name="Check Box 963">
              <controlPr defaultSize="0" autoFill="0" autoLine="0" autoPict="0">
                <anchor moveWithCells="1">
                  <from>
                    <xdr:col>15</xdr:col>
                    <xdr:colOff>38100</xdr:colOff>
                    <xdr:row>64</xdr:row>
                    <xdr:rowOff>19050</xdr:rowOff>
                  </from>
                  <to>
                    <xdr:col>15</xdr:col>
                    <xdr:colOff>266700</xdr:colOff>
                    <xdr:row>64</xdr:row>
                    <xdr:rowOff>180975</xdr:rowOff>
                  </to>
                </anchor>
              </controlPr>
            </control>
          </mc:Choice>
        </mc:AlternateContent>
        <mc:AlternateContent xmlns:mc="http://schemas.openxmlformats.org/markup-compatibility/2006">
          <mc:Choice Requires="x14">
            <control shapeId="246724" r:id="rId112" name="Check Box 964">
              <controlPr defaultSize="0" autoFill="0" autoLine="0" autoPict="0">
                <anchor moveWithCells="1">
                  <from>
                    <xdr:col>15</xdr:col>
                    <xdr:colOff>38100</xdr:colOff>
                    <xdr:row>65</xdr:row>
                    <xdr:rowOff>19050</xdr:rowOff>
                  </from>
                  <to>
                    <xdr:col>15</xdr:col>
                    <xdr:colOff>266700</xdr:colOff>
                    <xdr:row>65</xdr:row>
                    <xdr:rowOff>180975</xdr:rowOff>
                  </to>
                </anchor>
              </controlPr>
            </control>
          </mc:Choice>
        </mc:AlternateContent>
        <mc:AlternateContent xmlns:mc="http://schemas.openxmlformats.org/markup-compatibility/2006">
          <mc:Choice Requires="x14">
            <control shapeId="246725" r:id="rId113" name="Check Box 965">
              <controlPr defaultSize="0" autoFill="0" autoLine="0" autoPict="0">
                <anchor moveWithCells="1">
                  <from>
                    <xdr:col>15</xdr:col>
                    <xdr:colOff>38100</xdr:colOff>
                    <xdr:row>66</xdr:row>
                    <xdr:rowOff>19050</xdr:rowOff>
                  </from>
                  <to>
                    <xdr:col>15</xdr:col>
                    <xdr:colOff>266700</xdr:colOff>
                    <xdr:row>66</xdr:row>
                    <xdr:rowOff>180975</xdr:rowOff>
                  </to>
                </anchor>
              </controlPr>
            </control>
          </mc:Choice>
        </mc:AlternateContent>
        <mc:AlternateContent xmlns:mc="http://schemas.openxmlformats.org/markup-compatibility/2006">
          <mc:Choice Requires="x14">
            <control shapeId="246726" r:id="rId114" name="Check Box 966">
              <controlPr defaultSize="0" autoFill="0" autoLine="0" autoPict="0">
                <anchor moveWithCells="1">
                  <from>
                    <xdr:col>15</xdr:col>
                    <xdr:colOff>38100</xdr:colOff>
                    <xdr:row>67</xdr:row>
                    <xdr:rowOff>19050</xdr:rowOff>
                  </from>
                  <to>
                    <xdr:col>15</xdr:col>
                    <xdr:colOff>266700</xdr:colOff>
                    <xdr:row>67</xdr:row>
                    <xdr:rowOff>180975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dimension ref="A1:BO131"/>
  <sheetViews>
    <sheetView workbookViewId="0">
      <pane xSplit="2" ySplit="8" topLeftCell="AT81" activePane="bottomRight" state="frozen"/>
      <selection pane="topRight" activeCell="C1" sqref="C1"/>
      <selection pane="bottomLeft" activeCell="A9" sqref="A9"/>
      <selection pane="bottomRight" activeCell="AW121" sqref="AW121"/>
    </sheetView>
  </sheetViews>
  <sheetFormatPr baseColWidth="10" defaultColWidth="11.42578125" defaultRowHeight="12.75" x14ac:dyDescent="0.2"/>
  <cols>
    <col min="1" max="1" width="1" style="56" customWidth="1"/>
    <col min="2" max="2" width="49.7109375" style="56" customWidth="1"/>
    <col min="3" max="3" width="11.42578125" style="52"/>
    <col min="4" max="4" width="10.28515625" style="50" customWidth="1"/>
    <col min="5" max="5" width="7.140625" style="49" customWidth="1"/>
    <col min="6" max="7" width="5.7109375" style="49" customWidth="1"/>
    <col min="8" max="8" width="6.28515625" style="52" customWidth="1"/>
    <col min="9" max="10" width="6.28515625" style="49" customWidth="1"/>
    <col min="11" max="12" width="11" style="49" customWidth="1"/>
    <col min="13" max="15" width="11.42578125" style="52" customWidth="1"/>
    <col min="16" max="18" width="11.28515625" style="49" customWidth="1"/>
    <col min="19" max="24" width="10.7109375" style="49" customWidth="1"/>
    <col min="25" max="26" width="13.7109375" style="49" customWidth="1"/>
    <col min="27" max="27" width="7.85546875" style="49" customWidth="1"/>
    <col min="28" max="28" width="8.7109375" style="49" customWidth="1"/>
    <col min="29" max="29" width="8.7109375" style="51" customWidth="1"/>
    <col min="30" max="31" width="5.7109375" style="51" customWidth="1"/>
    <col min="32" max="33" width="5.7109375" customWidth="1"/>
    <col min="34" max="36" width="12.85546875" customWidth="1"/>
    <col min="37" max="37" width="12.5703125" style="51" customWidth="1"/>
    <col min="38" max="40" width="11.42578125" style="52" customWidth="1"/>
    <col min="41" max="52" width="11.42578125" style="52"/>
    <col min="55" max="16384" width="11.42578125" style="52"/>
  </cols>
  <sheetData>
    <row r="1" spans="1:67" x14ac:dyDescent="0.2">
      <c r="A1" s="981" t="s">
        <v>8745</v>
      </c>
      <c r="B1" s="27"/>
      <c r="D1" s="48" t="s">
        <v>202</v>
      </c>
      <c r="F1" s="28"/>
      <c r="G1" s="30"/>
      <c r="I1" s="30"/>
      <c r="J1" s="30"/>
      <c r="K1" s="30"/>
      <c r="L1" s="30"/>
      <c r="P1" s="30"/>
      <c r="Q1" s="30"/>
      <c r="R1" s="30"/>
      <c r="S1" s="30"/>
      <c r="T1" s="30"/>
      <c r="U1" s="30"/>
      <c r="V1" s="30"/>
      <c r="W1" s="30"/>
      <c r="X1" s="30"/>
      <c r="Y1" s="30"/>
      <c r="Z1" s="30"/>
      <c r="AA1" s="30"/>
      <c r="AB1" s="30"/>
    </row>
    <row r="2" spans="1:67" x14ac:dyDescent="0.2">
      <c r="A2" s="31"/>
      <c r="B2" s="27"/>
      <c r="D2" s="53"/>
      <c r="E2" s="30"/>
      <c r="F2" s="30"/>
      <c r="G2" s="30"/>
      <c r="I2" s="30"/>
      <c r="J2" s="30"/>
      <c r="K2" s="30"/>
      <c r="L2" s="30"/>
      <c r="P2" s="30"/>
      <c r="Q2" s="30"/>
      <c r="R2" s="30"/>
      <c r="S2" s="30"/>
      <c r="T2" s="30"/>
      <c r="U2" s="30"/>
      <c r="V2" s="30"/>
      <c r="W2" s="30"/>
      <c r="X2" s="30"/>
      <c r="Y2" s="30"/>
      <c r="Z2" s="30"/>
      <c r="AA2" s="30"/>
      <c r="AB2" s="30"/>
      <c r="AC2" s="44"/>
      <c r="AD2" s="44"/>
      <c r="AE2" s="44"/>
      <c r="AK2" s="44" t="s">
        <v>282</v>
      </c>
    </row>
    <row r="3" spans="1:67" x14ac:dyDescent="0.2">
      <c r="A3" s="31"/>
      <c r="B3" t="s">
        <v>8364</v>
      </c>
      <c r="C3" t="s">
        <v>8365</v>
      </c>
      <c r="D3" t="s">
        <v>8366</v>
      </c>
      <c r="E3" t="s">
        <v>8367</v>
      </c>
      <c r="F3" t="s">
        <v>8368</v>
      </c>
      <c r="G3" t="s">
        <v>8369</v>
      </c>
      <c r="H3" t="s">
        <v>8370</v>
      </c>
      <c r="I3" t="s">
        <v>8371</v>
      </c>
      <c r="J3" t="s">
        <v>8372</v>
      </c>
      <c r="K3" t="s">
        <v>8373</v>
      </c>
      <c r="L3" t="s">
        <v>8374</v>
      </c>
      <c r="M3" t="s">
        <v>8375</v>
      </c>
      <c r="N3" t="s">
        <v>8376</v>
      </c>
      <c r="O3" t="s">
        <v>8377</v>
      </c>
      <c r="P3" t="s">
        <v>8378</v>
      </c>
      <c r="Q3" t="s">
        <v>8379</v>
      </c>
      <c r="R3" t="s">
        <v>8380</v>
      </c>
      <c r="S3" t="s">
        <v>8381</v>
      </c>
      <c r="T3" t="s">
        <v>8382</v>
      </c>
      <c r="U3" t="s">
        <v>8383</v>
      </c>
      <c r="V3" t="s">
        <v>8384</v>
      </c>
      <c r="W3" t="s">
        <v>8385</v>
      </c>
      <c r="X3" t="s">
        <v>8386</v>
      </c>
      <c r="Y3" t="s">
        <v>8387</v>
      </c>
      <c r="Z3" t="s">
        <v>8388</v>
      </c>
      <c r="AA3" t="s">
        <v>8389</v>
      </c>
      <c r="AB3" t="s">
        <v>8390</v>
      </c>
      <c r="AC3" t="s">
        <v>8391</v>
      </c>
      <c r="AD3" t="s">
        <v>8392</v>
      </c>
      <c r="AE3" t="s">
        <v>8393</v>
      </c>
      <c r="AF3" t="s">
        <v>8394</v>
      </c>
      <c r="AG3" t="s">
        <v>8410</v>
      </c>
      <c r="AH3" t="s">
        <v>8395</v>
      </c>
      <c r="AK3" s="44"/>
      <c r="BE3" s="850" t="s">
        <v>8318</v>
      </c>
      <c r="BF3" s="850"/>
      <c r="BG3" s="850"/>
    </row>
    <row r="4" spans="1:67" ht="13.5" thickBot="1" x14ac:dyDescent="0.25">
      <c r="A4" s="31" t="s">
        <v>8420</v>
      </c>
      <c r="B4" s="961" t="s">
        <v>8144</v>
      </c>
      <c r="C4" s="891" t="s">
        <v>8145</v>
      </c>
      <c r="D4" s="962" t="s">
        <v>8146</v>
      </c>
      <c r="E4" s="900" t="s">
        <v>8147</v>
      </c>
      <c r="F4" s="900" t="s">
        <v>8148</v>
      </c>
      <c r="G4" s="900" t="s">
        <v>8149</v>
      </c>
      <c r="H4" s="891" t="s">
        <v>8091</v>
      </c>
      <c r="I4" s="891" t="s">
        <v>8092</v>
      </c>
      <c r="J4" s="891" t="s">
        <v>8093</v>
      </c>
      <c r="K4" s="900" t="s">
        <v>8100</v>
      </c>
      <c r="L4" s="931" t="s">
        <v>8150</v>
      </c>
      <c r="M4" s="901" t="s">
        <v>8101</v>
      </c>
      <c r="N4" s="901" t="s">
        <v>8102</v>
      </c>
      <c r="O4" s="901" t="s">
        <v>8103</v>
      </c>
      <c r="P4" s="913" t="s">
        <v>8105</v>
      </c>
      <c r="Q4" s="913" t="s">
        <v>8106</v>
      </c>
      <c r="R4" s="913" t="s">
        <v>8107</v>
      </c>
      <c r="S4" s="913" t="s">
        <v>8111</v>
      </c>
      <c r="T4" s="913" t="s">
        <v>8112</v>
      </c>
      <c r="U4" s="913" t="s">
        <v>8113</v>
      </c>
      <c r="V4" s="931" t="s">
        <v>8116</v>
      </c>
      <c r="W4" s="931" t="s">
        <v>8117</v>
      </c>
      <c r="X4" s="931" t="s">
        <v>8118</v>
      </c>
      <c r="Y4" s="913" t="s">
        <v>8123</v>
      </c>
      <c r="Z4" s="938" t="s">
        <v>8127</v>
      </c>
      <c r="AA4" s="913" t="s">
        <v>8151</v>
      </c>
      <c r="AB4" s="913" t="s">
        <v>8152</v>
      </c>
      <c r="AC4" s="942" t="s">
        <v>8129</v>
      </c>
      <c r="AD4" s="943" t="s">
        <v>8130</v>
      </c>
      <c r="AE4" s="943" t="s">
        <v>8131</v>
      </c>
      <c r="AF4" s="943" t="s">
        <v>8132</v>
      </c>
      <c r="AG4" s="944" t="s">
        <v>8133</v>
      </c>
      <c r="AH4" s="945" t="s">
        <v>8134</v>
      </c>
      <c r="AI4" s="2097" t="s">
        <v>8254</v>
      </c>
      <c r="AJ4" s="945"/>
      <c r="AK4" s="30"/>
      <c r="AS4" s="2764" t="s">
        <v>559</v>
      </c>
      <c r="AT4" s="2764"/>
      <c r="AU4" s="2764"/>
      <c r="AV4" s="2764"/>
      <c r="AW4" s="2764"/>
      <c r="AX4" s="2764"/>
      <c r="BF4" s="850" t="s">
        <v>8319</v>
      </c>
    </row>
    <row r="5" spans="1:67" ht="15.6" customHeight="1" x14ac:dyDescent="0.2">
      <c r="A5" s="32"/>
      <c r="B5" s="963"/>
      <c r="C5" s="903"/>
      <c r="D5" s="3167" t="s">
        <v>8153</v>
      </c>
      <c r="E5" s="964" t="s">
        <v>3</v>
      </c>
      <c r="F5" s="965"/>
      <c r="G5" s="965"/>
      <c r="H5" s="892" t="s">
        <v>8094</v>
      </c>
      <c r="I5" s="893"/>
      <c r="J5" s="893"/>
      <c r="K5" s="877" t="s">
        <v>8096</v>
      </c>
      <c r="L5" s="936" t="s">
        <v>8119</v>
      </c>
      <c r="M5" s="902" t="s">
        <v>256</v>
      </c>
      <c r="N5" s="903"/>
      <c r="O5" s="904"/>
      <c r="P5" s="914" t="s">
        <v>8108</v>
      </c>
      <c r="Q5" s="878"/>
      <c r="R5" s="729"/>
      <c r="S5" s="922" t="s">
        <v>8114</v>
      </c>
      <c r="T5" s="923"/>
      <c r="U5" s="924"/>
      <c r="V5" s="932" t="s">
        <v>8119</v>
      </c>
      <c r="W5" s="932" t="s">
        <v>8119</v>
      </c>
      <c r="X5" s="932" t="s">
        <v>8119</v>
      </c>
      <c r="Y5" s="936" t="s">
        <v>8124</v>
      </c>
      <c r="Z5" s="939" t="s">
        <v>8119</v>
      </c>
      <c r="AA5" s="3169" t="s">
        <v>205</v>
      </c>
      <c r="AB5" s="3170"/>
      <c r="AC5" s="946" t="s">
        <v>8135</v>
      </c>
      <c r="AD5" s="947"/>
      <c r="AE5" s="948"/>
      <c r="AF5" s="948"/>
      <c r="AG5" s="949"/>
      <c r="AH5" s="950" t="s">
        <v>8136</v>
      </c>
      <c r="AI5" s="2098" t="s">
        <v>8255</v>
      </c>
      <c r="AJ5" s="980" t="s">
        <v>8243</v>
      </c>
      <c r="AK5" s="49" t="s">
        <v>243</v>
      </c>
      <c r="AL5" s="638" t="s">
        <v>268</v>
      </c>
      <c r="AO5" s="2764" t="s">
        <v>403</v>
      </c>
      <c r="AP5" s="2764"/>
      <c r="AQ5" s="2764"/>
      <c r="AS5" s="52" t="s">
        <v>476</v>
      </c>
      <c r="AT5" s="52" t="s">
        <v>560</v>
      </c>
      <c r="AU5" s="52" t="s">
        <v>469</v>
      </c>
      <c r="AV5" s="52" t="s">
        <v>476</v>
      </c>
      <c r="AW5" s="52" t="s">
        <v>560</v>
      </c>
      <c r="AX5" s="52" t="s">
        <v>469</v>
      </c>
      <c r="AY5" s="52" t="s">
        <v>610</v>
      </c>
      <c r="BH5" s="2852" t="s">
        <v>1107</v>
      </c>
      <c r="BI5" s="2852"/>
      <c r="BJ5" s="2852"/>
      <c r="BL5" s="857"/>
      <c r="BM5" s="3173" t="s">
        <v>1107</v>
      </c>
      <c r="BN5" s="3173"/>
      <c r="BO5" s="3174"/>
    </row>
    <row r="6" spans="1:67" ht="14.25" x14ac:dyDescent="0.2">
      <c r="A6" s="36"/>
      <c r="B6" s="966" t="s">
        <v>46</v>
      </c>
      <c r="C6" s="848" t="s">
        <v>231</v>
      </c>
      <c r="D6" s="3168"/>
      <c r="E6" s="967" t="s">
        <v>8154</v>
      </c>
      <c r="F6" s="968"/>
      <c r="G6" s="968"/>
      <c r="H6" s="894" t="s">
        <v>8095</v>
      </c>
      <c r="I6" s="895"/>
      <c r="J6" s="895"/>
      <c r="K6" s="898" t="s">
        <v>8097</v>
      </c>
      <c r="L6" s="899" t="s">
        <v>0</v>
      </c>
      <c r="M6" s="905" t="s">
        <v>257</v>
      </c>
      <c r="N6" s="848"/>
      <c r="O6" s="906"/>
      <c r="P6" s="915" t="s">
        <v>8109</v>
      </c>
      <c r="Q6" s="738"/>
      <c r="R6" s="738"/>
      <c r="S6" s="925" t="s">
        <v>8115</v>
      </c>
      <c r="T6" s="926"/>
      <c r="U6" s="927"/>
      <c r="V6" s="933" t="s">
        <v>11</v>
      </c>
      <c r="W6" s="933" t="s">
        <v>11</v>
      </c>
      <c r="X6" s="933" t="s">
        <v>11</v>
      </c>
      <c r="Y6" s="899" t="s">
        <v>8125</v>
      </c>
      <c r="Z6" s="940" t="s">
        <v>9</v>
      </c>
      <c r="AA6" s="3171" t="s">
        <v>206</v>
      </c>
      <c r="AB6" s="3172"/>
      <c r="AC6" s="951" t="s">
        <v>8137</v>
      </c>
      <c r="AD6" s="952"/>
      <c r="AE6" s="953"/>
      <c r="AF6" s="953"/>
      <c r="AG6" s="954"/>
      <c r="AH6" s="955" t="s">
        <v>8138</v>
      </c>
      <c r="AI6" s="2099" t="s">
        <v>8256</v>
      </c>
      <c r="AJ6" s="980" t="s">
        <v>8244</v>
      </c>
      <c r="AK6" s="49" t="s">
        <v>11</v>
      </c>
      <c r="AL6" s="638" t="s">
        <v>266</v>
      </c>
      <c r="AM6" s="52" t="s">
        <v>267</v>
      </c>
      <c r="AO6" s="52" t="s">
        <v>0</v>
      </c>
      <c r="AP6" s="69" t="s">
        <v>404</v>
      </c>
      <c r="AQ6" s="69" t="s">
        <v>11</v>
      </c>
      <c r="AT6" s="52" t="s">
        <v>561</v>
      </c>
      <c r="AU6" s="52" t="s">
        <v>474</v>
      </c>
      <c r="AW6" s="52" t="s">
        <v>561</v>
      </c>
      <c r="AX6" s="52" t="s">
        <v>474</v>
      </c>
      <c r="AY6" s="52" t="s">
        <v>611</v>
      </c>
      <c r="BC6" s="703" t="s">
        <v>8232</v>
      </c>
      <c r="BH6" s="2851" t="s">
        <v>1108</v>
      </c>
      <c r="BI6" s="2851"/>
      <c r="BJ6" s="2851"/>
      <c r="BL6" s="858"/>
      <c r="BM6" s="2851" t="s">
        <v>1108</v>
      </c>
      <c r="BN6" s="2851"/>
      <c r="BO6" s="3175"/>
    </row>
    <row r="7" spans="1:67" ht="14.25" x14ac:dyDescent="0.2">
      <c r="A7" s="33"/>
      <c r="B7" s="966"/>
      <c r="C7" s="848"/>
      <c r="D7" s="3168"/>
      <c r="E7" s="967" t="s">
        <v>8155</v>
      </c>
      <c r="F7" s="968"/>
      <c r="G7" s="968"/>
      <c r="H7" s="894" t="s">
        <v>208</v>
      </c>
      <c r="I7" s="895"/>
      <c r="J7" s="895"/>
      <c r="K7" s="899" t="s">
        <v>8098</v>
      </c>
      <c r="L7" s="969" t="s">
        <v>10</v>
      </c>
      <c r="M7" s="907" t="s">
        <v>8104</v>
      </c>
      <c r="N7" s="908"/>
      <c r="O7" s="909"/>
      <c r="P7" s="916" t="s">
        <v>8110</v>
      </c>
      <c r="Q7" s="917"/>
      <c r="R7" s="918"/>
      <c r="S7" s="926" t="s">
        <v>8110</v>
      </c>
      <c r="T7" s="728"/>
      <c r="U7" s="740"/>
      <c r="V7" s="934" t="s">
        <v>207</v>
      </c>
      <c r="W7" s="934" t="s">
        <v>207</v>
      </c>
      <c r="X7" s="934" t="s">
        <v>207</v>
      </c>
      <c r="Y7" s="899" t="s">
        <v>8098</v>
      </c>
      <c r="Z7" s="940" t="s">
        <v>10</v>
      </c>
      <c r="AA7" s="970" t="s">
        <v>0</v>
      </c>
      <c r="AB7" s="971" t="s">
        <v>8156</v>
      </c>
      <c r="AC7" s="951" t="s">
        <v>8139</v>
      </c>
      <c r="AD7" s="952" t="s">
        <v>946</v>
      </c>
      <c r="AE7" s="953"/>
      <c r="AF7" s="953"/>
      <c r="AG7" s="954"/>
      <c r="AH7" s="955" t="s">
        <v>8140</v>
      </c>
      <c r="AI7" s="2099" t="s">
        <v>8257</v>
      </c>
      <c r="AJ7" s="980" t="s">
        <v>619</v>
      </c>
      <c r="AK7" s="49" t="s">
        <v>282</v>
      </c>
      <c r="AL7" s="638"/>
      <c r="AS7" s="52" t="s">
        <v>2</v>
      </c>
      <c r="AT7" s="52" t="s">
        <v>477</v>
      </c>
      <c r="AU7" s="52" t="s">
        <v>2</v>
      </c>
      <c r="AV7" s="52" t="s">
        <v>2</v>
      </c>
      <c r="AW7" s="52" t="s">
        <v>477</v>
      </c>
      <c r="AX7" s="52" t="s">
        <v>2</v>
      </c>
      <c r="AY7" s="52" t="s">
        <v>612</v>
      </c>
      <c r="BC7" s="703" t="s">
        <v>1065</v>
      </c>
      <c r="BH7"/>
      <c r="BI7" s="702"/>
      <c r="BJ7" s="702"/>
      <c r="BL7" s="858"/>
      <c r="BM7"/>
      <c r="BN7" s="702"/>
      <c r="BO7" s="859"/>
    </row>
    <row r="8" spans="1:67" ht="27" thickBot="1" x14ac:dyDescent="0.3">
      <c r="A8" s="34"/>
      <c r="B8" s="972"/>
      <c r="C8" s="973"/>
      <c r="D8" s="974" t="s">
        <v>8157</v>
      </c>
      <c r="E8" s="975" t="s">
        <v>4</v>
      </c>
      <c r="F8" s="976" t="s">
        <v>209</v>
      </c>
      <c r="G8" s="976" t="s">
        <v>210</v>
      </c>
      <c r="H8" s="896" t="s">
        <v>4</v>
      </c>
      <c r="I8" s="897" t="s">
        <v>209</v>
      </c>
      <c r="J8" s="897" t="s">
        <v>210</v>
      </c>
      <c r="K8" s="739" t="s">
        <v>8099</v>
      </c>
      <c r="L8" s="977" t="s">
        <v>8158</v>
      </c>
      <c r="M8" s="910" t="s">
        <v>35</v>
      </c>
      <c r="N8" s="911" t="s">
        <v>36</v>
      </c>
      <c r="O8" s="912" t="s">
        <v>37</v>
      </c>
      <c r="P8" s="919" t="s">
        <v>35</v>
      </c>
      <c r="Q8" s="920" t="s">
        <v>36</v>
      </c>
      <c r="R8" s="921" t="s">
        <v>37</v>
      </c>
      <c r="S8" s="928" t="s">
        <v>35</v>
      </c>
      <c r="T8" s="929" t="s">
        <v>36</v>
      </c>
      <c r="U8" s="930" t="s">
        <v>37</v>
      </c>
      <c r="V8" s="935" t="s">
        <v>8120</v>
      </c>
      <c r="W8" s="935" t="s">
        <v>8121</v>
      </c>
      <c r="X8" s="935" t="s">
        <v>8122</v>
      </c>
      <c r="Y8" s="937" t="s">
        <v>8126</v>
      </c>
      <c r="Z8" s="941" t="s">
        <v>8128</v>
      </c>
      <c r="AA8" s="978" t="s">
        <v>0</v>
      </c>
      <c r="AB8" s="979" t="s">
        <v>9</v>
      </c>
      <c r="AC8" s="956"/>
      <c r="AD8" s="957" t="s">
        <v>4</v>
      </c>
      <c r="AE8" s="958" t="s">
        <v>8141</v>
      </c>
      <c r="AF8" s="958" t="s">
        <v>8142</v>
      </c>
      <c r="AG8" s="959" t="s">
        <v>892</v>
      </c>
      <c r="AH8" s="960" t="s">
        <v>8143</v>
      </c>
      <c r="AI8" s="2100" t="s">
        <v>8258</v>
      </c>
      <c r="AJ8" s="980"/>
      <c r="AK8" s="49"/>
      <c r="AL8" s="638"/>
      <c r="AS8" s="2764" t="s">
        <v>407</v>
      </c>
      <c r="AT8" s="2764"/>
      <c r="AU8" s="2764"/>
      <c r="AV8" s="2764" t="s">
        <v>11</v>
      </c>
      <c r="AW8" s="2764"/>
      <c r="AX8" s="2764"/>
      <c r="AY8" s="52" t="s">
        <v>410</v>
      </c>
      <c r="AZ8" s="52" t="s">
        <v>11</v>
      </c>
      <c r="BC8" s="850" t="s">
        <v>4</v>
      </c>
      <c r="BD8" s="850" t="s">
        <v>895</v>
      </c>
      <c r="BE8" s="850" t="s">
        <v>4</v>
      </c>
      <c r="BF8" s="850"/>
      <c r="BG8" s="850"/>
      <c r="BH8" s="854" t="s">
        <v>4</v>
      </c>
      <c r="BI8" s="855" t="s">
        <v>230</v>
      </c>
      <c r="BJ8" s="856" t="s">
        <v>6</v>
      </c>
      <c r="BL8" s="860" t="s">
        <v>231</v>
      </c>
      <c r="BM8" s="854" t="s">
        <v>4</v>
      </c>
      <c r="BN8" s="855" t="s">
        <v>230</v>
      </c>
      <c r="BO8" s="861" t="s">
        <v>6</v>
      </c>
    </row>
    <row r="9" spans="1:67" x14ac:dyDescent="0.2">
      <c r="A9" s="35" t="s">
        <v>47</v>
      </c>
      <c r="B9" s="1598"/>
      <c r="C9" s="1599">
        <v>0</v>
      </c>
      <c r="D9" s="1600"/>
      <c r="E9" s="1601"/>
      <c r="F9" s="1602"/>
      <c r="G9" s="1603"/>
      <c r="H9" s="1604"/>
      <c r="I9" s="1603"/>
      <c r="J9" s="1603"/>
      <c r="K9" s="1605"/>
      <c r="L9" s="1606"/>
      <c r="M9" s="1607"/>
      <c r="N9" s="1608"/>
      <c r="O9" s="1609"/>
      <c r="P9" s="1610"/>
      <c r="Q9" s="1611"/>
      <c r="R9" s="1611"/>
      <c r="S9" s="1611"/>
      <c r="T9" s="1612"/>
      <c r="U9" s="1613"/>
      <c r="V9" s="1614"/>
      <c r="W9" s="1611"/>
      <c r="X9" s="1611"/>
      <c r="Y9" s="1600"/>
      <c r="Z9" s="1615"/>
      <c r="AA9" s="1615"/>
      <c r="AB9" s="1616"/>
      <c r="AC9" s="1617"/>
      <c r="AD9" s="1617"/>
      <c r="AE9" s="1617"/>
      <c r="AF9" s="1618"/>
      <c r="AG9" s="1618"/>
      <c r="AH9" s="1618"/>
      <c r="AI9" s="91"/>
      <c r="AK9" s="44"/>
      <c r="AL9" s="638"/>
      <c r="BL9" s="858">
        <v>1</v>
      </c>
      <c r="BM9" s="862">
        <v>3.2</v>
      </c>
      <c r="BN9" s="863">
        <v>0.2</v>
      </c>
      <c r="BO9" s="864">
        <v>7.9</v>
      </c>
    </row>
    <row r="10" spans="1:67" x14ac:dyDescent="0.2">
      <c r="A10" s="55"/>
      <c r="B10" s="76" t="s">
        <v>8411</v>
      </c>
      <c r="C10" s="76">
        <v>1</v>
      </c>
      <c r="D10" s="76"/>
      <c r="E10" s="76"/>
      <c r="F10" s="76"/>
      <c r="G10" s="76"/>
      <c r="H10" s="76"/>
      <c r="I10" s="76"/>
      <c r="J10" s="76"/>
      <c r="K10" s="76"/>
      <c r="L10" s="76"/>
      <c r="M10" s="76"/>
      <c r="N10" s="76"/>
      <c r="O10" s="76"/>
      <c r="P10" s="76"/>
      <c r="Q10" s="76"/>
      <c r="R10" s="76"/>
      <c r="S10" s="76"/>
      <c r="T10" s="76"/>
      <c r="U10" s="76"/>
      <c r="V10" s="76"/>
      <c r="W10" s="76"/>
      <c r="X10" s="76"/>
      <c r="Y10" s="76"/>
      <c r="Z10" s="76"/>
      <c r="AA10" s="76"/>
      <c r="AB10" s="76"/>
      <c r="AC10" s="76" t="s">
        <v>487</v>
      </c>
      <c r="AD10" s="76"/>
      <c r="AE10" s="76"/>
      <c r="AF10" s="76"/>
      <c r="AG10" s="76"/>
      <c r="AH10" s="76"/>
      <c r="AI10" s="91"/>
      <c r="AK10" s="49"/>
      <c r="AL10" s="638"/>
      <c r="BL10" s="858">
        <v>2</v>
      </c>
      <c r="BM10" s="862">
        <v>3.3</v>
      </c>
      <c r="BN10" s="863">
        <v>0.2</v>
      </c>
      <c r="BO10" s="864">
        <v>3.1</v>
      </c>
    </row>
    <row r="11" spans="1:67" x14ac:dyDescent="0.2">
      <c r="A11" s="36"/>
      <c r="B11" s="76" t="s">
        <v>8412</v>
      </c>
      <c r="C11" s="76">
        <v>1</v>
      </c>
      <c r="D11" s="76">
        <v>0.4</v>
      </c>
      <c r="E11" s="76">
        <v>37</v>
      </c>
      <c r="F11" s="76">
        <v>11.5</v>
      </c>
      <c r="G11" s="76">
        <v>45.3</v>
      </c>
      <c r="H11" s="76">
        <v>35</v>
      </c>
      <c r="I11" s="76">
        <v>11.6</v>
      </c>
      <c r="J11" s="76">
        <v>43.3</v>
      </c>
      <c r="K11" s="76">
        <v>7.6</v>
      </c>
      <c r="L11" s="76">
        <v>8.2100000000000009</v>
      </c>
      <c r="M11" s="76">
        <v>5.4</v>
      </c>
      <c r="N11" s="76">
        <v>6</v>
      </c>
      <c r="O11" s="76">
        <v>11</v>
      </c>
      <c r="P11" s="76">
        <v>2.16</v>
      </c>
      <c r="Q11" s="76">
        <v>2.4</v>
      </c>
      <c r="R11" s="76">
        <v>4.4000000000000004</v>
      </c>
      <c r="S11" s="76">
        <v>6.3</v>
      </c>
      <c r="T11" s="76">
        <v>7.48</v>
      </c>
      <c r="U11" s="76">
        <v>9.2100000000000009</v>
      </c>
      <c r="V11" s="76">
        <v>20.09</v>
      </c>
      <c r="W11" s="76">
        <v>18.170000000000002</v>
      </c>
      <c r="X11" s="76">
        <v>21.77</v>
      </c>
      <c r="Y11" s="76">
        <v>2</v>
      </c>
      <c r="Z11" s="76">
        <v>1.8</v>
      </c>
      <c r="AA11" s="76">
        <v>15</v>
      </c>
      <c r="AB11" s="76">
        <v>30</v>
      </c>
      <c r="AC11" s="76" t="s">
        <v>948</v>
      </c>
      <c r="AD11" s="76">
        <v>2.7</v>
      </c>
      <c r="AE11" s="76">
        <v>1.49</v>
      </c>
      <c r="AF11" s="76">
        <v>0.28999999999999998</v>
      </c>
      <c r="AG11" s="76">
        <v>0.06</v>
      </c>
      <c r="AH11" s="76">
        <v>56</v>
      </c>
      <c r="AI11" s="91"/>
      <c r="AK11" s="49"/>
      <c r="AL11" s="638"/>
      <c r="BL11" s="865">
        <v>3</v>
      </c>
      <c r="BM11" s="866">
        <v>0</v>
      </c>
      <c r="BN11" s="866">
        <v>0</v>
      </c>
      <c r="BO11" s="867">
        <v>0</v>
      </c>
    </row>
    <row r="12" spans="1:67" x14ac:dyDescent="0.2">
      <c r="A12" s="36"/>
      <c r="B12" s="76" t="s">
        <v>7</v>
      </c>
      <c r="C12" s="76">
        <v>1</v>
      </c>
      <c r="D12" s="76">
        <v>0.7</v>
      </c>
      <c r="E12" s="76">
        <v>56</v>
      </c>
      <c r="F12" s="76">
        <v>18.8</v>
      </c>
      <c r="G12" s="76">
        <v>68</v>
      </c>
      <c r="H12" s="76">
        <v>53</v>
      </c>
      <c r="I12" s="76">
        <v>17.399999999999999</v>
      </c>
      <c r="J12" s="76">
        <v>64.400000000000006</v>
      </c>
      <c r="K12" s="76">
        <v>11.5</v>
      </c>
      <c r="L12" s="76">
        <v>8.1999999999999993</v>
      </c>
      <c r="M12" s="76">
        <v>5.4</v>
      </c>
      <c r="N12" s="76">
        <v>6</v>
      </c>
      <c r="O12" s="76">
        <v>11</v>
      </c>
      <c r="P12" s="76">
        <v>3.78</v>
      </c>
      <c r="Q12" s="76">
        <v>4.2</v>
      </c>
      <c r="R12" s="76">
        <v>7.7</v>
      </c>
      <c r="S12" s="76">
        <v>10</v>
      </c>
      <c r="T12" s="76">
        <v>11.53</v>
      </c>
      <c r="U12" s="76">
        <v>14.31</v>
      </c>
      <c r="V12" s="76">
        <v>20.76</v>
      </c>
      <c r="W12" s="76">
        <v>19.38</v>
      </c>
      <c r="X12" s="76">
        <v>23.48</v>
      </c>
      <c r="Y12" s="76">
        <v>3</v>
      </c>
      <c r="Z12" s="76">
        <v>1.8</v>
      </c>
      <c r="AA12" s="76">
        <v>15</v>
      </c>
      <c r="AB12" s="76">
        <v>30</v>
      </c>
      <c r="AC12" s="76" t="s">
        <v>948</v>
      </c>
      <c r="AD12" s="76">
        <v>2.7</v>
      </c>
      <c r="AE12" s="76">
        <v>1.49</v>
      </c>
      <c r="AF12" s="76">
        <v>0.28999999999999998</v>
      </c>
      <c r="AG12" s="76">
        <v>0.06</v>
      </c>
      <c r="AH12" s="76">
        <v>56</v>
      </c>
      <c r="AI12" s="91"/>
      <c r="AK12" s="49"/>
      <c r="AL12" s="638"/>
      <c r="BL12" s="865">
        <v>4</v>
      </c>
      <c r="BM12" s="866">
        <v>0</v>
      </c>
      <c r="BN12" s="866">
        <v>0</v>
      </c>
      <c r="BO12" s="867">
        <v>0</v>
      </c>
    </row>
    <row r="13" spans="1:67" x14ac:dyDescent="0.2">
      <c r="A13" s="36"/>
      <c r="B13" s="76" t="s">
        <v>8</v>
      </c>
      <c r="C13" s="76">
        <v>1</v>
      </c>
      <c r="D13" s="76">
        <v>1</v>
      </c>
      <c r="E13" s="76">
        <v>64</v>
      </c>
      <c r="F13" s="76">
        <v>21.9</v>
      </c>
      <c r="G13" s="76">
        <v>76.900000000000006</v>
      </c>
      <c r="H13" s="76">
        <v>62</v>
      </c>
      <c r="I13" s="76">
        <v>19.399999999999999</v>
      </c>
      <c r="J13" s="76">
        <v>73.400000000000006</v>
      </c>
      <c r="K13" s="76">
        <v>13.1</v>
      </c>
      <c r="L13" s="76">
        <v>8.19</v>
      </c>
      <c r="M13" s="76">
        <v>5.4</v>
      </c>
      <c r="N13" s="76">
        <v>6</v>
      </c>
      <c r="O13" s="76">
        <v>11</v>
      </c>
      <c r="P13" s="76">
        <v>5.4</v>
      </c>
      <c r="Q13" s="76">
        <v>6</v>
      </c>
      <c r="R13" s="76">
        <v>11</v>
      </c>
      <c r="S13" s="76">
        <v>11.4</v>
      </c>
      <c r="T13" s="76">
        <v>13.59</v>
      </c>
      <c r="U13" s="76">
        <v>17.12</v>
      </c>
      <c r="V13" s="76">
        <v>23.74</v>
      </c>
      <c r="W13" s="76">
        <v>21.53</v>
      </c>
      <c r="X13" s="76">
        <v>26.44</v>
      </c>
      <c r="Y13" s="76">
        <v>3.4</v>
      </c>
      <c r="Z13" s="76">
        <v>1.8</v>
      </c>
      <c r="AA13" s="76">
        <v>15</v>
      </c>
      <c r="AB13" s="76">
        <v>30</v>
      </c>
      <c r="AC13" s="76" t="s">
        <v>948</v>
      </c>
      <c r="AD13" s="76">
        <v>2.7</v>
      </c>
      <c r="AE13" s="76">
        <v>1.49</v>
      </c>
      <c r="AF13" s="76">
        <v>0.28999999999999998</v>
      </c>
      <c r="AG13" s="76">
        <v>0.06</v>
      </c>
      <c r="AH13" s="76">
        <v>56</v>
      </c>
      <c r="AI13" s="91"/>
      <c r="AK13" s="49"/>
      <c r="AL13" s="638"/>
      <c r="BL13" s="865">
        <v>5</v>
      </c>
      <c r="BM13" s="866">
        <v>0</v>
      </c>
      <c r="BN13" s="866">
        <v>0</v>
      </c>
      <c r="BO13" s="867">
        <v>0</v>
      </c>
    </row>
    <row r="14" spans="1:67" x14ac:dyDescent="0.2">
      <c r="A14" s="36"/>
      <c r="B14" s="76" t="s">
        <v>211</v>
      </c>
      <c r="C14" s="76">
        <v>1</v>
      </c>
      <c r="D14" s="76">
        <v>1</v>
      </c>
      <c r="E14" s="76">
        <v>100</v>
      </c>
      <c r="F14" s="76">
        <v>36</v>
      </c>
      <c r="G14" s="76">
        <v>104</v>
      </c>
      <c r="H14" s="76">
        <v>77</v>
      </c>
      <c r="I14" s="76">
        <v>27</v>
      </c>
      <c r="J14" s="76">
        <v>93</v>
      </c>
      <c r="K14" s="76">
        <v>19</v>
      </c>
      <c r="L14" s="76">
        <v>8.9</v>
      </c>
      <c r="M14" s="76">
        <v>4</v>
      </c>
      <c r="N14" s="76">
        <v>6</v>
      </c>
      <c r="O14" s="76">
        <v>11</v>
      </c>
      <c r="P14" s="76">
        <v>4</v>
      </c>
      <c r="Q14" s="76">
        <v>6</v>
      </c>
      <c r="R14" s="76">
        <v>11</v>
      </c>
      <c r="S14" s="76">
        <v>14.4</v>
      </c>
      <c r="T14" s="76">
        <v>18.190000000000001</v>
      </c>
      <c r="U14" s="76">
        <v>23.02</v>
      </c>
      <c r="V14" s="76">
        <v>19.71</v>
      </c>
      <c r="W14" s="76">
        <v>19.350000000000001</v>
      </c>
      <c r="X14" s="76">
        <v>22.35</v>
      </c>
      <c r="Y14" s="76">
        <v>6</v>
      </c>
      <c r="Z14" s="76">
        <v>1.8</v>
      </c>
      <c r="AA14" s="76">
        <v>15</v>
      </c>
      <c r="AB14" s="76">
        <v>30</v>
      </c>
      <c r="AC14" s="76" t="s">
        <v>948</v>
      </c>
      <c r="AD14" s="76">
        <v>2.7</v>
      </c>
      <c r="AE14" s="76">
        <v>1.49</v>
      </c>
      <c r="AF14" s="76">
        <v>0.28999999999999998</v>
      </c>
      <c r="AG14" s="76">
        <v>0.06</v>
      </c>
      <c r="AH14" s="76">
        <v>50</v>
      </c>
      <c r="AI14" s="91"/>
      <c r="AK14" s="49"/>
      <c r="AL14" s="638"/>
      <c r="BL14" s="865">
        <v>6</v>
      </c>
      <c r="BM14" s="866">
        <v>0</v>
      </c>
      <c r="BN14" s="866">
        <v>0</v>
      </c>
      <c r="BO14" s="867">
        <v>0</v>
      </c>
    </row>
    <row r="15" spans="1:67" x14ac:dyDescent="0.2">
      <c r="A15" s="36"/>
      <c r="B15" s="76" t="s">
        <v>212</v>
      </c>
      <c r="C15" s="76">
        <v>1</v>
      </c>
      <c r="D15" s="76">
        <v>1</v>
      </c>
      <c r="E15" s="76">
        <v>115</v>
      </c>
      <c r="F15" s="76">
        <v>42</v>
      </c>
      <c r="G15" s="76">
        <v>116</v>
      </c>
      <c r="H15" s="76">
        <v>84</v>
      </c>
      <c r="I15" s="76">
        <v>29</v>
      </c>
      <c r="J15" s="76">
        <v>101</v>
      </c>
      <c r="K15" s="76">
        <v>20</v>
      </c>
      <c r="L15" s="76">
        <v>9.32</v>
      </c>
      <c r="M15" s="76">
        <v>4</v>
      </c>
      <c r="N15" s="76">
        <v>6</v>
      </c>
      <c r="O15" s="76">
        <v>11</v>
      </c>
      <c r="P15" s="76">
        <v>4</v>
      </c>
      <c r="Q15" s="76">
        <v>6</v>
      </c>
      <c r="R15" s="76">
        <v>11</v>
      </c>
      <c r="S15" s="76">
        <v>15</v>
      </c>
      <c r="T15" s="76">
        <v>18.989999999999998</v>
      </c>
      <c r="U15" s="76">
        <v>24.02</v>
      </c>
      <c r="V15" s="76">
        <v>20.03</v>
      </c>
      <c r="W15" s="76">
        <v>19.43</v>
      </c>
      <c r="X15" s="76">
        <v>22.14</v>
      </c>
      <c r="Y15" s="76">
        <v>6.4</v>
      </c>
      <c r="Z15" s="76">
        <v>1.8</v>
      </c>
      <c r="AA15" s="76">
        <v>15</v>
      </c>
      <c r="AB15" s="76">
        <v>30</v>
      </c>
      <c r="AC15" s="76" t="s">
        <v>948</v>
      </c>
      <c r="AD15" s="76">
        <v>2.7</v>
      </c>
      <c r="AE15" s="76">
        <v>1.49</v>
      </c>
      <c r="AF15" s="76">
        <v>0.28999999999999998</v>
      </c>
      <c r="AG15" s="76">
        <v>0.06</v>
      </c>
      <c r="AH15" s="76">
        <v>50</v>
      </c>
      <c r="AI15" s="91"/>
      <c r="AK15" s="49"/>
      <c r="AL15" s="638"/>
      <c r="BL15" s="865">
        <v>7</v>
      </c>
      <c r="BM15" s="866">
        <v>0</v>
      </c>
      <c r="BN15" s="866">
        <v>0</v>
      </c>
      <c r="BO15" s="867">
        <v>0</v>
      </c>
    </row>
    <row r="16" spans="1:67" x14ac:dyDescent="0.2">
      <c r="A16" s="36"/>
      <c r="B16" s="76" t="s">
        <v>213</v>
      </c>
      <c r="C16" s="76">
        <v>1</v>
      </c>
      <c r="D16" s="76">
        <v>1</v>
      </c>
      <c r="E16" s="76">
        <v>133</v>
      </c>
      <c r="F16" s="76">
        <v>46.97</v>
      </c>
      <c r="G16" s="76">
        <v>125</v>
      </c>
      <c r="H16" s="76">
        <v>89</v>
      </c>
      <c r="I16" s="76">
        <v>31</v>
      </c>
      <c r="J16" s="76">
        <v>107</v>
      </c>
      <c r="K16" s="76">
        <v>21</v>
      </c>
      <c r="L16" s="76">
        <v>9.35</v>
      </c>
      <c r="M16" s="76">
        <v>5</v>
      </c>
      <c r="N16" s="76">
        <v>6</v>
      </c>
      <c r="O16" s="76">
        <v>11</v>
      </c>
      <c r="P16" s="76">
        <v>5</v>
      </c>
      <c r="Q16" s="76">
        <v>6</v>
      </c>
      <c r="R16" s="76">
        <v>11</v>
      </c>
      <c r="S16" s="76">
        <v>16</v>
      </c>
      <c r="T16" s="76">
        <v>19.79</v>
      </c>
      <c r="U16" s="76">
        <v>25.02</v>
      </c>
      <c r="V16" s="76">
        <v>21.32</v>
      </c>
      <c r="W16" s="76">
        <v>19.13</v>
      </c>
      <c r="X16" s="76">
        <v>21.65</v>
      </c>
      <c r="Y16" s="76">
        <v>6.8</v>
      </c>
      <c r="Z16" s="76">
        <v>1.8</v>
      </c>
      <c r="AA16" s="76">
        <v>15</v>
      </c>
      <c r="AB16" s="76">
        <v>30</v>
      </c>
      <c r="AC16" s="76" t="s">
        <v>948</v>
      </c>
      <c r="AD16" s="76">
        <v>2.7</v>
      </c>
      <c r="AE16" s="76">
        <v>1.49</v>
      </c>
      <c r="AF16" s="76">
        <v>0.28999999999999998</v>
      </c>
      <c r="AG16" s="76">
        <v>0.06</v>
      </c>
      <c r="AH16" s="76">
        <v>50</v>
      </c>
      <c r="AI16" s="91"/>
      <c r="AK16" s="49"/>
      <c r="AL16" s="638"/>
      <c r="BL16" s="865">
        <v>8</v>
      </c>
      <c r="BM16" s="866">
        <v>0</v>
      </c>
      <c r="BN16" s="866">
        <v>0</v>
      </c>
      <c r="BO16" s="867">
        <v>0</v>
      </c>
    </row>
    <row r="17" spans="1:67" ht="13.5" thickBot="1" x14ac:dyDescent="0.25">
      <c r="A17" s="36"/>
      <c r="B17" s="76" t="s">
        <v>214</v>
      </c>
      <c r="C17" s="76">
        <v>1</v>
      </c>
      <c r="D17" s="76">
        <v>1</v>
      </c>
      <c r="E17" s="76">
        <v>152</v>
      </c>
      <c r="F17" s="76">
        <v>52</v>
      </c>
      <c r="G17" s="76">
        <v>135</v>
      </c>
      <c r="H17" s="76">
        <v>94</v>
      </c>
      <c r="I17" s="76">
        <v>32</v>
      </c>
      <c r="J17" s="76">
        <v>112</v>
      </c>
      <c r="K17" s="76">
        <v>22</v>
      </c>
      <c r="L17" s="76">
        <v>10.31</v>
      </c>
      <c r="M17" s="76">
        <v>6</v>
      </c>
      <c r="N17" s="76">
        <v>7</v>
      </c>
      <c r="O17" s="76">
        <v>12</v>
      </c>
      <c r="P17" s="76">
        <v>6</v>
      </c>
      <c r="Q17" s="76">
        <v>7</v>
      </c>
      <c r="R17" s="76">
        <v>12</v>
      </c>
      <c r="S17" s="76">
        <v>17</v>
      </c>
      <c r="T17" s="76">
        <v>20.96</v>
      </c>
      <c r="U17" s="76">
        <v>26.38</v>
      </c>
      <c r="V17" s="76">
        <v>23.66</v>
      </c>
      <c r="W17" s="76">
        <v>21</v>
      </c>
      <c r="X17" s="76">
        <v>22.88</v>
      </c>
      <c r="Y17" s="76">
        <v>7.2</v>
      </c>
      <c r="Z17" s="76">
        <v>1.8</v>
      </c>
      <c r="AA17" s="76">
        <v>15</v>
      </c>
      <c r="AB17" s="76">
        <v>30</v>
      </c>
      <c r="AC17" s="76" t="s">
        <v>948</v>
      </c>
      <c r="AD17" s="76">
        <v>2.7</v>
      </c>
      <c r="AE17" s="76">
        <v>1.49</v>
      </c>
      <c r="AF17" s="76">
        <v>0.28999999999999998</v>
      </c>
      <c r="AG17" s="76">
        <v>0.06</v>
      </c>
      <c r="AH17" s="76">
        <v>50</v>
      </c>
      <c r="AI17" s="91"/>
      <c r="AK17" s="49"/>
      <c r="AL17" s="638"/>
      <c r="BL17" s="868">
        <v>9</v>
      </c>
      <c r="BM17" s="869">
        <v>0</v>
      </c>
      <c r="BN17" s="869">
        <v>0</v>
      </c>
      <c r="BO17" s="870">
        <v>0</v>
      </c>
    </row>
    <row r="18" spans="1:67" x14ac:dyDescent="0.2">
      <c r="A18" s="55"/>
      <c r="B18" s="76" t="s">
        <v>8413</v>
      </c>
      <c r="C18" s="76">
        <v>1</v>
      </c>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t="s">
        <v>487</v>
      </c>
      <c r="AD18" s="76"/>
      <c r="AE18" s="76"/>
      <c r="AF18" s="76"/>
      <c r="AG18" s="76"/>
      <c r="AH18" s="76"/>
      <c r="AI18" s="91"/>
      <c r="AK18" s="49"/>
      <c r="AL18" s="638"/>
    </row>
    <row r="19" spans="1:67" x14ac:dyDescent="0.2">
      <c r="A19" s="36"/>
      <c r="B19" s="76" t="s">
        <v>8412</v>
      </c>
      <c r="C19">
        <v>1</v>
      </c>
      <c r="D19">
        <v>0.4</v>
      </c>
      <c r="E19">
        <v>46.2</v>
      </c>
      <c r="F19">
        <v>13.5</v>
      </c>
      <c r="G19">
        <v>56</v>
      </c>
      <c r="H19">
        <v>47.1</v>
      </c>
      <c r="I19">
        <v>13.6</v>
      </c>
      <c r="J19">
        <v>55.3</v>
      </c>
      <c r="K19">
        <v>7.6</v>
      </c>
      <c r="L19">
        <v>8.15</v>
      </c>
      <c r="M19">
        <v>5.4</v>
      </c>
      <c r="N19">
        <v>6</v>
      </c>
      <c r="O19">
        <v>11</v>
      </c>
      <c r="P19">
        <v>2.16</v>
      </c>
      <c r="Q19">
        <v>2.4</v>
      </c>
      <c r="R19">
        <v>4.4000000000000004</v>
      </c>
      <c r="S19">
        <v>6.3</v>
      </c>
      <c r="T19">
        <v>7.48</v>
      </c>
      <c r="U19">
        <v>9.2100000000000009</v>
      </c>
      <c r="V19">
        <v>20.02</v>
      </c>
      <c r="W19">
        <v>18.11</v>
      </c>
      <c r="X19">
        <v>21.72</v>
      </c>
      <c r="Y19">
        <v>2</v>
      </c>
      <c r="Z19">
        <v>1.8</v>
      </c>
      <c r="AA19">
        <v>15</v>
      </c>
      <c r="AB19">
        <v>30</v>
      </c>
      <c r="AC19" t="s">
        <v>948</v>
      </c>
      <c r="AD19">
        <v>2.7</v>
      </c>
      <c r="AE19">
        <v>1.49</v>
      </c>
      <c r="AF19">
        <v>0.28999999999999998</v>
      </c>
      <c r="AG19">
        <v>0.06</v>
      </c>
      <c r="AH19">
        <v>56</v>
      </c>
      <c r="AI19" s="91"/>
      <c r="AK19" s="49"/>
      <c r="AL19" s="638"/>
    </row>
    <row r="20" spans="1:67" x14ac:dyDescent="0.2">
      <c r="A20" s="36"/>
      <c r="B20" s="76" t="s">
        <v>7</v>
      </c>
      <c r="C20">
        <v>1</v>
      </c>
      <c r="D20">
        <v>0.7</v>
      </c>
      <c r="E20">
        <v>70.7</v>
      </c>
      <c r="F20">
        <v>20.2</v>
      </c>
      <c r="G20">
        <v>90.7</v>
      </c>
      <c r="H20">
        <v>71.599999999999994</v>
      </c>
      <c r="I20">
        <v>21.4</v>
      </c>
      <c r="J20">
        <v>86</v>
      </c>
      <c r="K20">
        <v>11.5</v>
      </c>
      <c r="L20">
        <v>8.2799999999999994</v>
      </c>
      <c r="M20">
        <v>5.4</v>
      </c>
      <c r="N20">
        <v>6</v>
      </c>
      <c r="O20">
        <v>11</v>
      </c>
      <c r="P20">
        <v>3.78</v>
      </c>
      <c r="Q20">
        <v>4.2</v>
      </c>
      <c r="R20">
        <v>7.7</v>
      </c>
      <c r="S20">
        <v>10</v>
      </c>
      <c r="T20">
        <v>11.53</v>
      </c>
      <c r="U20">
        <v>14.31</v>
      </c>
      <c r="V20">
        <v>20.85</v>
      </c>
      <c r="W20">
        <v>19.46</v>
      </c>
      <c r="X20">
        <v>23.54</v>
      </c>
      <c r="Y20">
        <v>3</v>
      </c>
      <c r="Z20">
        <v>1.8</v>
      </c>
      <c r="AA20">
        <v>15</v>
      </c>
      <c r="AB20">
        <v>30</v>
      </c>
      <c r="AC20" t="s">
        <v>948</v>
      </c>
      <c r="AD20">
        <v>2.7</v>
      </c>
      <c r="AE20">
        <v>1.49</v>
      </c>
      <c r="AF20">
        <v>0.28999999999999998</v>
      </c>
      <c r="AG20">
        <v>0.06</v>
      </c>
      <c r="AH20">
        <v>56</v>
      </c>
      <c r="AI20" s="91"/>
      <c r="AK20" s="49"/>
      <c r="AL20" s="638"/>
    </row>
    <row r="21" spans="1:67" x14ac:dyDescent="0.2">
      <c r="A21" s="36"/>
      <c r="B21" s="76" t="s">
        <v>8</v>
      </c>
      <c r="C21">
        <v>1</v>
      </c>
      <c r="D21">
        <v>1</v>
      </c>
      <c r="E21">
        <v>82.5</v>
      </c>
      <c r="F21">
        <v>22.3</v>
      </c>
      <c r="G21">
        <v>96.5</v>
      </c>
      <c r="H21">
        <v>84.4</v>
      </c>
      <c r="I21">
        <v>24.4</v>
      </c>
      <c r="J21">
        <v>98.9</v>
      </c>
      <c r="K21">
        <v>13.1</v>
      </c>
      <c r="L21">
        <v>8.48</v>
      </c>
      <c r="M21">
        <v>5.4</v>
      </c>
      <c r="N21">
        <v>6</v>
      </c>
      <c r="O21">
        <v>11</v>
      </c>
      <c r="P21">
        <v>5.4</v>
      </c>
      <c r="Q21">
        <v>6</v>
      </c>
      <c r="R21">
        <v>11</v>
      </c>
      <c r="S21">
        <v>11.4</v>
      </c>
      <c r="T21">
        <v>13.59</v>
      </c>
      <c r="U21">
        <v>17.12</v>
      </c>
      <c r="V21">
        <v>24.08</v>
      </c>
      <c r="W21">
        <v>21.81</v>
      </c>
      <c r="X21">
        <v>26.66</v>
      </c>
      <c r="Y21">
        <v>3.4</v>
      </c>
      <c r="Z21">
        <v>1.8</v>
      </c>
      <c r="AA21">
        <v>15</v>
      </c>
      <c r="AB21">
        <v>30</v>
      </c>
      <c r="AC21" t="s">
        <v>948</v>
      </c>
      <c r="AD21">
        <v>2.7</v>
      </c>
      <c r="AE21">
        <v>1.49</v>
      </c>
      <c r="AF21">
        <v>0.28999999999999998</v>
      </c>
      <c r="AG21">
        <v>0.06</v>
      </c>
      <c r="AH21">
        <v>56</v>
      </c>
      <c r="AI21" s="91"/>
      <c r="AK21" s="49"/>
      <c r="AL21" s="638"/>
    </row>
    <row r="22" spans="1:67" x14ac:dyDescent="0.2">
      <c r="A22" s="36"/>
      <c r="B22" s="76" t="s">
        <v>211</v>
      </c>
      <c r="C22">
        <v>1</v>
      </c>
      <c r="D22">
        <v>1</v>
      </c>
      <c r="E22">
        <v>109</v>
      </c>
      <c r="F22">
        <v>37</v>
      </c>
      <c r="G22">
        <v>129</v>
      </c>
      <c r="H22">
        <v>98</v>
      </c>
      <c r="I22">
        <v>31</v>
      </c>
      <c r="J22">
        <v>121</v>
      </c>
      <c r="K22">
        <v>19</v>
      </c>
      <c r="L22">
        <v>9.6</v>
      </c>
      <c r="M22">
        <v>4</v>
      </c>
      <c r="N22">
        <v>6</v>
      </c>
      <c r="O22">
        <v>11</v>
      </c>
      <c r="P22">
        <v>4</v>
      </c>
      <c r="Q22">
        <v>6</v>
      </c>
      <c r="R22">
        <v>11</v>
      </c>
      <c r="S22">
        <v>14.4</v>
      </c>
      <c r="T22">
        <v>18.190000000000001</v>
      </c>
      <c r="U22">
        <v>23.02</v>
      </c>
      <c r="V22">
        <v>20.64</v>
      </c>
      <c r="W22">
        <v>20.079999999999998</v>
      </c>
      <c r="X22">
        <v>22.92</v>
      </c>
      <c r="Y22">
        <v>6</v>
      </c>
      <c r="Z22">
        <v>1.8</v>
      </c>
      <c r="AA22">
        <v>15</v>
      </c>
      <c r="AB22">
        <v>30</v>
      </c>
      <c r="AC22" t="s">
        <v>948</v>
      </c>
      <c r="AD22">
        <v>2.7</v>
      </c>
      <c r="AE22">
        <v>1.49</v>
      </c>
      <c r="AF22">
        <v>0.28999999999999998</v>
      </c>
      <c r="AG22">
        <v>0.06</v>
      </c>
      <c r="AH22">
        <v>50</v>
      </c>
      <c r="AI22" s="91"/>
      <c r="AK22" s="49"/>
      <c r="AL22" s="638"/>
    </row>
    <row r="23" spans="1:67" x14ac:dyDescent="0.2">
      <c r="A23" s="36"/>
      <c r="B23" s="76" t="s">
        <v>212</v>
      </c>
      <c r="C23">
        <v>1</v>
      </c>
      <c r="D23">
        <v>1</v>
      </c>
      <c r="E23">
        <v>124</v>
      </c>
      <c r="F23">
        <v>43</v>
      </c>
      <c r="G23">
        <v>134</v>
      </c>
      <c r="H23">
        <v>98</v>
      </c>
      <c r="I23">
        <v>31</v>
      </c>
      <c r="J23">
        <v>120</v>
      </c>
      <c r="K23">
        <v>20</v>
      </c>
      <c r="L23">
        <v>9.5299999999999994</v>
      </c>
      <c r="M23">
        <v>4</v>
      </c>
      <c r="N23">
        <v>6</v>
      </c>
      <c r="O23">
        <v>11</v>
      </c>
      <c r="P23">
        <v>4</v>
      </c>
      <c r="Q23">
        <v>6</v>
      </c>
      <c r="R23">
        <v>11</v>
      </c>
      <c r="S23">
        <v>15</v>
      </c>
      <c r="T23">
        <v>18.989999999999998</v>
      </c>
      <c r="U23">
        <v>24.02</v>
      </c>
      <c r="V23">
        <v>20.309999999999999</v>
      </c>
      <c r="W23">
        <v>19.649999999999999</v>
      </c>
      <c r="X23">
        <v>22.31</v>
      </c>
      <c r="Y23">
        <v>6.4</v>
      </c>
      <c r="Z23">
        <v>1.8</v>
      </c>
      <c r="AA23">
        <v>15</v>
      </c>
      <c r="AB23">
        <v>30</v>
      </c>
      <c r="AC23" t="s">
        <v>948</v>
      </c>
      <c r="AD23">
        <v>2.7</v>
      </c>
      <c r="AE23">
        <v>1.49</v>
      </c>
      <c r="AF23">
        <v>0.28999999999999998</v>
      </c>
      <c r="AG23">
        <v>0.06</v>
      </c>
      <c r="AH23">
        <v>50</v>
      </c>
      <c r="AI23" s="91"/>
      <c r="AK23" s="49"/>
      <c r="AL23" s="638"/>
    </row>
    <row r="24" spans="1:67" x14ac:dyDescent="0.2">
      <c r="A24" s="36"/>
      <c r="B24" s="76" t="s">
        <v>213</v>
      </c>
      <c r="C24">
        <v>1</v>
      </c>
      <c r="D24">
        <v>1</v>
      </c>
      <c r="E24">
        <v>141</v>
      </c>
      <c r="F24">
        <v>48</v>
      </c>
      <c r="G24">
        <v>143</v>
      </c>
      <c r="H24">
        <v>101</v>
      </c>
      <c r="I24">
        <v>33</v>
      </c>
      <c r="J24">
        <v>124</v>
      </c>
      <c r="K24">
        <v>21</v>
      </c>
      <c r="L24">
        <v>9.61</v>
      </c>
      <c r="M24">
        <v>5</v>
      </c>
      <c r="N24">
        <v>6</v>
      </c>
      <c r="O24">
        <v>11</v>
      </c>
      <c r="P24">
        <v>5</v>
      </c>
      <c r="Q24">
        <v>6</v>
      </c>
      <c r="R24">
        <v>11</v>
      </c>
      <c r="S24">
        <v>16</v>
      </c>
      <c r="T24">
        <v>19.79</v>
      </c>
      <c r="U24">
        <v>25.02</v>
      </c>
      <c r="V24">
        <v>21.66</v>
      </c>
      <c r="W24">
        <v>19.41</v>
      </c>
      <c r="X24">
        <v>21.87</v>
      </c>
      <c r="Y24">
        <v>6.8</v>
      </c>
      <c r="Z24">
        <v>1.8</v>
      </c>
      <c r="AA24">
        <v>15</v>
      </c>
      <c r="AB24">
        <v>30</v>
      </c>
      <c r="AC24" t="s">
        <v>948</v>
      </c>
      <c r="AD24">
        <v>2.7</v>
      </c>
      <c r="AE24">
        <v>1.49</v>
      </c>
      <c r="AF24">
        <v>0.28999999999999998</v>
      </c>
      <c r="AG24">
        <v>0.06</v>
      </c>
      <c r="AH24">
        <v>50</v>
      </c>
      <c r="AI24" s="91"/>
      <c r="AK24" s="49"/>
      <c r="AL24" s="638"/>
    </row>
    <row r="25" spans="1:67" x14ac:dyDescent="0.2">
      <c r="A25" s="36"/>
      <c r="B25" s="1637"/>
      <c r="C25" s="1599">
        <v>0</v>
      </c>
      <c r="D25" s="1638"/>
      <c r="E25" s="1639"/>
      <c r="F25" s="1640"/>
      <c r="G25" s="1641"/>
      <c r="H25" s="1633"/>
      <c r="I25" s="1641"/>
      <c r="J25" s="1641"/>
      <c r="K25" s="77"/>
      <c r="L25" s="1638"/>
      <c r="M25" s="1634"/>
      <c r="N25" s="1635"/>
      <c r="O25" s="1636"/>
      <c r="P25" s="1642"/>
      <c r="Q25" s="1643"/>
      <c r="R25" s="1643"/>
      <c r="S25" s="1643"/>
      <c r="T25" s="1644"/>
      <c r="U25" s="1645"/>
      <c r="V25" s="1619"/>
      <c r="W25" s="1620"/>
      <c r="X25" s="1620"/>
      <c r="Y25" s="1638"/>
      <c r="Z25" s="77"/>
      <c r="AA25" s="77"/>
      <c r="AB25" s="1646"/>
      <c r="AC25" s="1621"/>
      <c r="AD25" s="1621"/>
      <c r="AE25" s="1621"/>
      <c r="AF25" s="1618"/>
      <c r="AG25" s="1618"/>
      <c r="AH25" s="1618"/>
      <c r="AI25" s="91"/>
      <c r="AK25" s="49"/>
      <c r="AL25" s="638"/>
    </row>
    <row r="26" spans="1:67" x14ac:dyDescent="0.2">
      <c r="A26" s="36"/>
      <c r="B26" s="1637" t="s">
        <v>217</v>
      </c>
      <c r="C26" s="1599">
        <v>0</v>
      </c>
      <c r="D26" s="1638">
        <f>+'Nährstoffe und Lagerraum'!BG13</f>
        <v>1</v>
      </c>
      <c r="E26" s="1639">
        <f>+$D26</f>
        <v>1</v>
      </c>
      <c r="F26" s="1639">
        <f t="shared" ref="F26:AH27" si="0">+$D26</f>
        <v>1</v>
      </c>
      <c r="G26" s="1639">
        <f t="shared" si="0"/>
        <v>1</v>
      </c>
      <c r="H26" s="1647">
        <f t="shared" ref="H26:J27" si="1">+$D26</f>
        <v>1</v>
      </c>
      <c r="I26" s="1647">
        <f t="shared" si="1"/>
        <v>1</v>
      </c>
      <c r="J26" s="1647">
        <f t="shared" si="1"/>
        <v>1</v>
      </c>
      <c r="K26" s="77">
        <f t="shared" si="0"/>
        <v>1</v>
      </c>
      <c r="L26" s="77">
        <f t="shared" si="0"/>
        <v>1</v>
      </c>
      <c r="M26" s="123">
        <f t="shared" si="0"/>
        <v>1</v>
      </c>
      <c r="N26" s="128">
        <f t="shared" si="0"/>
        <v>1</v>
      </c>
      <c r="O26" s="1648">
        <f t="shared" si="0"/>
        <v>1</v>
      </c>
      <c r="P26" s="1647">
        <f t="shared" si="0"/>
        <v>1</v>
      </c>
      <c r="Q26" s="1647">
        <f t="shared" si="0"/>
        <v>1</v>
      </c>
      <c r="R26" s="1647">
        <f t="shared" si="0"/>
        <v>1</v>
      </c>
      <c r="S26" s="1639">
        <f t="shared" si="0"/>
        <v>1</v>
      </c>
      <c r="T26" s="1639">
        <f t="shared" si="0"/>
        <v>1</v>
      </c>
      <c r="U26" s="77">
        <f t="shared" si="0"/>
        <v>1</v>
      </c>
      <c r="V26" s="77">
        <f t="shared" si="0"/>
        <v>1</v>
      </c>
      <c r="W26" s="77">
        <f t="shared" si="0"/>
        <v>1</v>
      </c>
      <c r="X26" s="77">
        <f t="shared" si="0"/>
        <v>1</v>
      </c>
      <c r="Y26" s="1639">
        <f t="shared" si="0"/>
        <v>1</v>
      </c>
      <c r="Z26" s="1639">
        <f t="shared" si="0"/>
        <v>1</v>
      </c>
      <c r="AA26" s="1639">
        <f t="shared" si="0"/>
        <v>1</v>
      </c>
      <c r="AB26" s="1639">
        <f t="shared" si="0"/>
        <v>1</v>
      </c>
      <c r="AC26" s="1628" t="s">
        <v>948</v>
      </c>
      <c r="AD26" s="1639">
        <f t="shared" si="0"/>
        <v>1</v>
      </c>
      <c r="AE26" s="1639">
        <f t="shared" si="0"/>
        <v>1</v>
      </c>
      <c r="AF26" s="1639">
        <f t="shared" si="0"/>
        <v>1</v>
      </c>
      <c r="AG26" s="1639">
        <f t="shared" si="0"/>
        <v>1</v>
      </c>
      <c r="AH26" s="1639">
        <f t="shared" si="0"/>
        <v>1</v>
      </c>
      <c r="AI26" s="91"/>
      <c r="AK26" s="49"/>
      <c r="AL26" s="638"/>
    </row>
    <row r="27" spans="1:67" x14ac:dyDescent="0.2">
      <c r="A27" s="36"/>
      <c r="B27" s="1637" t="s">
        <v>196</v>
      </c>
      <c r="C27" s="1599">
        <v>0</v>
      </c>
      <c r="D27" s="1638">
        <f>+'Nährstoffe und Lagerraum'!B12</f>
        <v>0</v>
      </c>
      <c r="E27" s="1639">
        <f>+$D27</f>
        <v>0</v>
      </c>
      <c r="F27" s="1639">
        <f t="shared" si="0"/>
        <v>0</v>
      </c>
      <c r="G27" s="1639">
        <f t="shared" si="0"/>
        <v>0</v>
      </c>
      <c r="H27" s="1639">
        <f t="shared" si="1"/>
        <v>0</v>
      </c>
      <c r="I27" s="1639">
        <f t="shared" si="1"/>
        <v>0</v>
      </c>
      <c r="J27" s="1639">
        <f t="shared" si="1"/>
        <v>0</v>
      </c>
      <c r="K27" s="1639">
        <f t="shared" si="0"/>
        <v>0</v>
      </c>
      <c r="L27" s="1639">
        <f t="shared" si="0"/>
        <v>0</v>
      </c>
      <c r="M27" s="1639">
        <f t="shared" si="0"/>
        <v>0</v>
      </c>
      <c r="N27" s="1639">
        <f t="shared" si="0"/>
        <v>0</v>
      </c>
      <c r="O27" s="1639">
        <f t="shared" si="0"/>
        <v>0</v>
      </c>
      <c r="P27" s="1639">
        <f t="shared" si="0"/>
        <v>0</v>
      </c>
      <c r="Q27" s="1639">
        <f t="shared" si="0"/>
        <v>0</v>
      </c>
      <c r="R27" s="1639">
        <f t="shared" si="0"/>
        <v>0</v>
      </c>
      <c r="S27" s="1639">
        <f t="shared" si="0"/>
        <v>0</v>
      </c>
      <c r="T27" s="1639">
        <f t="shared" si="0"/>
        <v>0</v>
      </c>
      <c r="U27" s="1639">
        <f t="shared" si="0"/>
        <v>0</v>
      </c>
      <c r="V27" s="1639">
        <f t="shared" si="0"/>
        <v>0</v>
      </c>
      <c r="W27" s="1639">
        <f t="shared" si="0"/>
        <v>0</v>
      </c>
      <c r="X27" s="1639">
        <f t="shared" si="0"/>
        <v>0</v>
      </c>
      <c r="Y27" s="1639">
        <f t="shared" si="0"/>
        <v>0</v>
      </c>
      <c r="Z27" s="1639">
        <f t="shared" si="0"/>
        <v>0</v>
      </c>
      <c r="AA27" s="1639">
        <f t="shared" si="0"/>
        <v>0</v>
      </c>
      <c r="AB27" s="1639">
        <f t="shared" si="0"/>
        <v>0</v>
      </c>
      <c r="AC27" s="1628" t="s">
        <v>948</v>
      </c>
      <c r="AD27" s="1639">
        <f t="shared" si="0"/>
        <v>0</v>
      </c>
      <c r="AE27" s="1639">
        <f t="shared" si="0"/>
        <v>0</v>
      </c>
      <c r="AF27" s="1639">
        <f t="shared" si="0"/>
        <v>0</v>
      </c>
      <c r="AG27" s="1639">
        <f t="shared" si="0"/>
        <v>0</v>
      </c>
      <c r="AH27" s="1639">
        <f t="shared" si="0"/>
        <v>0</v>
      </c>
      <c r="AI27" s="91"/>
      <c r="AK27" s="54"/>
      <c r="AL27" s="638"/>
    </row>
    <row r="28" spans="1:67" x14ac:dyDescent="0.2">
      <c r="A28" s="36"/>
      <c r="B28" s="1637" t="s">
        <v>218</v>
      </c>
      <c r="C28" s="1599">
        <v>0</v>
      </c>
      <c r="D28" s="79">
        <f>IF(D27&lt;=6000,D14,IF(AND(D27&gt;6000,D27&lt;=8000),D14+(D15-D14)/2000*(D27-6000),IF(AND(D27&gt;8000,D27&lt;=10000),D15+(D16-D15)/2000*(D27-8000),IF(AND(D27&gt;10000,D27&lt;=12000),D16+(D17-D16)/2000*(D27-10000),D17))))</f>
        <v>1</v>
      </c>
      <c r="E28" s="79">
        <f>IF(E27&lt;=6000,E14,IF(AND(E27&gt;6000,E27&lt;=8000),E14+(E15-E14)/2000*(E27-6000),IF(AND(E27&gt;8000,E27&lt;=10000),E15+(E16-E15)/2000*(E27-8000),IF(AND(E27&gt;10000,E27&lt;=12000),E16+(E17-E16)/2000*(E27-10000),E17))))</f>
        <v>100</v>
      </c>
      <c r="F28" s="79">
        <f>IF(F27&lt;=6000,F14,IF(AND(F27&gt;6000,F27&lt;=8000),F14+(F15-F14)/2000*(F27-6000),IF(AND(F27&gt;8000,F27&lt;=10000),F15+(F16-F15)/2000*(F27-8000),IF(AND(F27&gt;10000,F27&lt;=12000),F16+(F17-F16)/2000*(F27-10000),F17))))</f>
        <v>36</v>
      </c>
      <c r="G28" s="79">
        <f>IF(G27&lt;=6000,G14,IF(AND(G27&gt;6000,G27&lt;=8000),G14+(G15-G14)/2000*(G27-6000),IF(AND(G27&gt;8000,G27&lt;=10000),G15+(G16-G15)/2000*(G27-8000),IF(AND(G27&gt;10000,G27&lt;=12000),G16+(G17-G16)/2000*(G27-10000),G17))))</f>
        <v>104</v>
      </c>
      <c r="H28" s="79">
        <f>IF(H27&lt;=6000,H14,IF(AND(H27&gt;6000,H27&lt;=8000),H14+(H15-H14)/2000*(H27-6000),IF(AND(H27&gt;8000,H27&lt;=10000),H15+(H16-H15)/2000*(H27-8000),IF(AND(H27&gt;10000,H27&lt;=12000),H16+(H17-H16)/2000*(H27-10000),H17))))</f>
        <v>77</v>
      </c>
      <c r="I28" s="79">
        <f t="shared" ref="I28:J28" si="2">IF(I27&lt;=6000,I14,IF(AND(I27&gt;6000,I27&lt;=8000),I14+(I15-I14)/2000*(I27-6000),IF(AND(I27&gt;8000,I27&lt;=10000),I15+(I16-I15)/2000*(I27-8000),IF(AND(I27&gt;10000,I27&lt;=12000),I16+(I17-I16)/2000*(I27-10000),I17))))</f>
        <v>27</v>
      </c>
      <c r="J28" s="79">
        <f t="shared" si="2"/>
        <v>93</v>
      </c>
      <c r="K28" s="79">
        <f>IF(K27&lt;=6000,K14,IF(AND(K27&gt;6000,K27&lt;=8000),K14+(K15-K14)/2000*(K27-6000),IF(AND(K27&gt;8000,K27&lt;=10000),K15+(K16-K15)/2000*(K27-8000),IF(AND(K27&gt;10000,K27&lt;=12000),K16+(K17-K16)/2000*(K27-10000),K17))))</f>
        <v>19</v>
      </c>
      <c r="L28" s="79">
        <f>IF(L27&lt;=6000,L14,IF(AND(L27&gt;6000,L27&lt;=8000),L14+(L15-L14)/2000*(L27-6000),IF(AND(L27&gt;8000,L27&lt;=10000),L15+(L16-L15)/2000*(L27-8000),IF(AND(L27&gt;10000,L27&lt;=12000),L16+(L17-L16)/2000*(L27-10000),L17))))</f>
        <v>8.9</v>
      </c>
      <c r="M28" s="129">
        <f>IF(M27&lt;=6000,M14,IF(AND(M27&gt;6000,M27&lt;=8000),M14+(M15-M14)/2000*(M27-6000),IF(AND(M27&gt;8000,M27&lt;=10000),M15+(M16-M15)/2000*(M27-8000),IF(AND(M27&gt;10000,M27&lt;=12000),M16+(M17-M16)/2000*(M27-10000),M17))))</f>
        <v>4</v>
      </c>
      <c r="N28" s="124">
        <f>IF(N27&lt;=6000,N14,IF(AND(N27&gt;6000,N27&lt;=8000),N14+(N15-N14)/2000*(N27-6000),IF(AND(N27&gt;8000,N27&lt;=10000),N15+(N16-N15)/2000*(N27-8000),IF(AND(N27&gt;10000,N27&lt;=12000),N16+(N17-N16)/2000*(N27-10000),N17))))</f>
        <v>6</v>
      </c>
      <c r="O28" s="125">
        <f>IF(O27&lt;=6000,O14,IF(AND(O27&gt;6000,O27&lt;=8000),O14+(O15-O14)/2000*(O27-6000),IF(AND(O27&gt;8000,O27&lt;=10000),O15+(O16-O15)/2000*(O27-8000),IF(AND(O27&gt;10000,O27&lt;=12000),O16+(O17-O16)/2000*(O27-10000),O17))))</f>
        <v>11</v>
      </c>
      <c r="P28" s="79">
        <f t="shared" ref="P28:AA28" si="3">IF(P27&lt;=6000,P14,IF(AND(P27&gt;6000,P27&lt;=8000),P14+(P15-P14)/2000*(P27-6000),IF(AND(P27&gt;8000,P27&lt;=10000),P15+(P16-P15)/2000*(P27-8000),IF(AND(P27&gt;10000,P27&lt;=12000),P16+(P17-P16)/2000*(P27-10000),P17))))</f>
        <v>4</v>
      </c>
      <c r="Q28" s="79">
        <f t="shared" ref="Q28:R28" si="4">IF(Q27&lt;=6000,Q14,IF(AND(Q27&gt;6000,Q27&lt;=8000),Q14+(Q15-Q14)/2000*(Q27-6000),IF(AND(Q27&gt;8000,Q27&lt;=10000),Q15+(Q16-Q15)/2000*(Q27-8000),IF(AND(Q27&gt;10000,Q27&lt;=12000),Q16+(Q17-Q16)/2000*(Q27-10000),Q17))))</f>
        <v>6</v>
      </c>
      <c r="R28" s="79">
        <f t="shared" si="4"/>
        <v>11</v>
      </c>
      <c r="S28" s="79">
        <f t="shared" si="3"/>
        <v>14.4</v>
      </c>
      <c r="T28" s="79">
        <f t="shared" si="3"/>
        <v>18.190000000000001</v>
      </c>
      <c r="U28" s="79">
        <f t="shared" si="3"/>
        <v>23.02</v>
      </c>
      <c r="V28" s="79">
        <f t="shared" si="3"/>
        <v>19.71</v>
      </c>
      <c r="W28" s="79">
        <f t="shared" ref="W28:X28" si="5">IF(W27&lt;=6000,W14,IF(AND(W27&gt;6000,W27&lt;=8000),W14+(W15-W14)/2000*(W27-6000),IF(AND(W27&gt;8000,W27&lt;=10000),W15+(W16-W15)/2000*(W27-8000),IF(AND(W27&gt;10000,W27&lt;=12000),W16+(W17-W16)/2000*(W27-10000),W17))))</f>
        <v>19.350000000000001</v>
      </c>
      <c r="X28" s="79">
        <f t="shared" si="5"/>
        <v>22.35</v>
      </c>
      <c r="Y28" s="79">
        <f>IF(Y27&lt;=6000,Y14,IF(AND(Y27&gt;6000,Y27&lt;=8000),Y14+(Y15-Y14)/2000*(Y27-6000),IF(AND(Y27&gt;8000,Y27&lt;=10000),Y15+(Y16-Y15)/2000*(Y27-8000),IF(AND(Y27&gt;10000,Y27&lt;=12000),Y16+(Y17-Y16)/2000*(Y27-10000),Y17))))</f>
        <v>6</v>
      </c>
      <c r="Z28" s="79">
        <f>IF(Z27&lt;=6000,Z14,IF(AND(Z27&gt;6000,Z27&lt;=8000),Z14+(Z15-Z14)/2000*(Z27-6000),IF(AND(Z27&gt;8000,Z27&lt;=10000),Z15+(Z16-Z15)/2000*(Z27-8000),IF(AND(Z27&gt;10000,Z27&lt;=12000),Z16+(Z17-Z16)/2000*(Z27-10000),Z17))))</f>
        <v>1.8</v>
      </c>
      <c r="AA28" s="79">
        <f t="shared" si="3"/>
        <v>15</v>
      </c>
      <c r="AB28" s="79">
        <f>IF(AB27&lt;=6000,AB14,IF(AND(AB27&gt;6000,AB27&lt;=8000),AB14+(AB15-AB14)/2000*(AB27-6000),IF(AND(AB27&gt;8000,AB27&lt;=10000),AB15+(AB16-AB15)/2000*(AB27-8000),IF(AND(AB27&gt;10000,AB27&lt;=12000),AB16+(AB17-AB16)/2000*(AB27-10000),AB17))))</f>
        <v>30</v>
      </c>
      <c r="AC28" s="1628" t="s">
        <v>948</v>
      </c>
      <c r="AD28" s="79">
        <f t="shared" ref="AD28:AH28" si="6">IF(AD27&lt;=6000,AD14,IF(AND(AD27&gt;6000,AD27&lt;=8000),AD14+(AD15-AD14)/2000*(AD27-6000),IF(AND(AD27&gt;8000,AD27&lt;=10000),AD15+(AD16-AD15)/2000*(AD27-8000),IF(AND(AD27&gt;10000,AD27&lt;=12000),AD16+(AD17-AD16)/2000*(AD27-10000),AD17))))</f>
        <v>2.7</v>
      </c>
      <c r="AE28" s="79">
        <f t="shared" si="6"/>
        <v>1.49</v>
      </c>
      <c r="AF28" s="79">
        <f t="shared" si="6"/>
        <v>0.28999999999999998</v>
      </c>
      <c r="AG28" s="79">
        <f t="shared" si="6"/>
        <v>0.06</v>
      </c>
      <c r="AH28" s="79">
        <f t="shared" si="6"/>
        <v>50</v>
      </c>
      <c r="AI28" s="91"/>
      <c r="AK28" s="140"/>
      <c r="AL28" s="638"/>
    </row>
    <row r="29" spans="1:67" x14ac:dyDescent="0.2">
      <c r="A29" s="36"/>
      <c r="B29" s="1637" t="s">
        <v>219</v>
      </c>
      <c r="C29" s="1599">
        <v>0</v>
      </c>
      <c r="D29" s="79">
        <f>IF(D27&lt;=6000,D22,IF(AND(D27&gt;6000,D27&lt;=8000),D22+(D23-D22)/2000*(D27-6000),IF(AND(D27&gt;8000,D27&lt;=10000),D23+(D24-D23)/2000*(D27-8000),D24)))</f>
        <v>1</v>
      </c>
      <c r="E29" s="79">
        <f>IF(E27&lt;=6000,E22,IF(AND(E27&gt;6000,E27&lt;=8000),E22+(E23-E22)/2000*(E27-6000),IF(AND(E27&gt;8000,E27&lt;=10000),E23+(E24-E23)/2000*(E27-8000),E24)))</f>
        <v>109</v>
      </c>
      <c r="F29" s="79">
        <f t="shared" ref="F29:AB29" si="7">IF(F27&lt;=6000,F22,IF(AND(F27&gt;6000,F27&lt;=8000),F22+(F23-F22)/2000*(F27-6000),IF(AND(F27&gt;8000,F27&lt;=10000),F23+(F24-F23)/2000*(F27-8000),F24)))</f>
        <v>37</v>
      </c>
      <c r="G29" s="79">
        <f t="shared" si="7"/>
        <v>129</v>
      </c>
      <c r="H29" s="79">
        <f t="shared" ref="H29:J29" si="8">IF(H27&lt;=6000,H22,IF(AND(H27&gt;6000,H27&lt;=8000),H22+(H23-H22)/2000*(H27-6000),IF(AND(H27&gt;8000,H27&lt;=10000),H23+(H24-H23)/2000*(H27-8000),H24)))</f>
        <v>98</v>
      </c>
      <c r="I29" s="79">
        <f t="shared" si="8"/>
        <v>31</v>
      </c>
      <c r="J29" s="79">
        <f t="shared" si="8"/>
        <v>121</v>
      </c>
      <c r="K29" s="79">
        <f t="shared" si="7"/>
        <v>19</v>
      </c>
      <c r="L29" s="79">
        <f>IF(L27&lt;=6000,L22,IF(AND(L27&gt;6000,L27&lt;=8000),L22+(L23-L22)/2000*(L27-6000),IF(AND(L27&gt;8000,L27&lt;=10000),L23+(L24-L23)/2000*(L27-8000),L24)))</f>
        <v>9.6</v>
      </c>
      <c r="M29" s="129">
        <f>IF(M27&lt;=6000,M22,IF(AND(M27&gt;6000,M27&lt;=8000),M22+(M23-M22)/2000*(M27-6000),IF(AND(M27&gt;8000,M27&lt;=10000),M23+(M24-M23)/2000*(M27-8000),M24)))</f>
        <v>4</v>
      </c>
      <c r="N29" s="124">
        <f>IF(N27&lt;=6000,N22,IF(AND(N27&gt;6000,N27&lt;=8000),N22+(N23-N22)/2000*(N27-6000),IF(AND(N27&gt;8000,N27&lt;=10000),N23+(N24-N23)/2000*(N27-8000),N24)))</f>
        <v>6</v>
      </c>
      <c r="O29" s="125">
        <f>IF(O27&lt;=6000,O22,IF(AND(O27&gt;6000,O27&lt;=8000),O22+(O23-O22)/2000*(O27-6000),IF(AND(O27&gt;8000,O27&lt;=10000),O23+(O24-O23)/2000*(O27-8000),O24)))</f>
        <v>11</v>
      </c>
      <c r="P29" s="79">
        <f t="shared" si="7"/>
        <v>4</v>
      </c>
      <c r="Q29" s="79">
        <f t="shared" ref="Q29:R29" si="9">IF(Q27&lt;=6000,Q22,IF(AND(Q27&gt;6000,Q27&lt;=8000),Q22+(Q23-Q22)/2000*(Q27-6000),IF(AND(Q27&gt;8000,Q27&lt;=10000),Q23+(Q24-Q23)/2000*(Q27-8000),Q24)))</f>
        <v>6</v>
      </c>
      <c r="R29" s="79">
        <f t="shared" si="9"/>
        <v>11</v>
      </c>
      <c r="S29" s="79">
        <f t="shared" si="7"/>
        <v>14.4</v>
      </c>
      <c r="T29" s="79">
        <f t="shared" si="7"/>
        <v>18.190000000000001</v>
      </c>
      <c r="U29" s="79">
        <f t="shared" si="7"/>
        <v>23.02</v>
      </c>
      <c r="V29" s="79">
        <f t="shared" si="7"/>
        <v>20.64</v>
      </c>
      <c r="W29" s="79">
        <f t="shared" ref="W29:X29" si="10">IF(W27&lt;=6000,W22,IF(AND(W27&gt;6000,W27&lt;=8000),W22+(W23-W22)/2000*(W27-6000),IF(AND(W27&gt;8000,W27&lt;=10000),W23+(W24-W23)/2000*(W27-8000),W24)))</f>
        <v>20.079999999999998</v>
      </c>
      <c r="X29" s="79">
        <f t="shared" si="10"/>
        <v>22.92</v>
      </c>
      <c r="Y29" s="79">
        <f t="shared" si="7"/>
        <v>6</v>
      </c>
      <c r="Z29" s="79">
        <f t="shared" si="7"/>
        <v>1.8</v>
      </c>
      <c r="AA29" s="79">
        <f t="shared" si="7"/>
        <v>15</v>
      </c>
      <c r="AB29" s="79">
        <f t="shared" si="7"/>
        <v>30</v>
      </c>
      <c r="AC29" s="1628" t="s">
        <v>948</v>
      </c>
      <c r="AD29" s="79">
        <f t="shared" ref="AD29:AH29" si="11">IF(AD27&lt;=6000,AD22,IF(AND(AD27&gt;6000,AD27&lt;=8000),AD22+(AD23-AD22)/2000*(AD27-6000),IF(AND(AD27&gt;8000,AD27&lt;=10000),AD23+(AD24-AD23)/2000*(AD27-8000),AD24)))</f>
        <v>2.7</v>
      </c>
      <c r="AE29" s="79">
        <f t="shared" si="11"/>
        <v>1.49</v>
      </c>
      <c r="AF29" s="79">
        <f t="shared" si="11"/>
        <v>0.28999999999999998</v>
      </c>
      <c r="AG29" s="79">
        <f t="shared" si="11"/>
        <v>0.06</v>
      </c>
      <c r="AH29" s="79">
        <f t="shared" si="11"/>
        <v>50</v>
      </c>
      <c r="AI29" s="91"/>
      <c r="AK29" s="140"/>
      <c r="AL29" s="638"/>
    </row>
    <row r="30" spans="1:67" x14ac:dyDescent="0.2">
      <c r="A30" s="36"/>
      <c r="B30" s="1637"/>
      <c r="C30" s="1599">
        <v>0</v>
      </c>
      <c r="D30" s="1639"/>
      <c r="E30" s="1639"/>
      <c r="F30" s="1639"/>
      <c r="G30" s="1639"/>
      <c r="H30" s="1604"/>
      <c r="I30" s="1639"/>
      <c r="J30" s="1639"/>
      <c r="K30" s="77"/>
      <c r="L30" s="1638"/>
      <c r="M30" s="1634"/>
      <c r="N30" s="1635"/>
      <c r="O30" s="1636"/>
      <c r="P30" s="1647"/>
      <c r="Q30" s="1647"/>
      <c r="R30" s="1647"/>
      <c r="S30" s="1639"/>
      <c r="T30" s="1639"/>
      <c r="U30" s="77"/>
      <c r="V30" s="1619"/>
      <c r="W30" s="1619"/>
      <c r="X30" s="1619"/>
      <c r="Y30" s="1639"/>
      <c r="Z30" s="1639"/>
      <c r="AA30" s="1639"/>
      <c r="AB30" s="1639"/>
      <c r="AC30" s="1639"/>
      <c r="AD30" s="1639"/>
      <c r="AE30" s="1639"/>
      <c r="AF30" s="1639"/>
      <c r="AG30" s="1639"/>
      <c r="AH30" s="1639"/>
      <c r="AI30" s="91"/>
      <c r="AK30" s="49"/>
      <c r="AL30" s="638"/>
    </row>
    <row r="31" spans="1:67" customFormat="1" x14ac:dyDescent="0.2">
      <c r="B31" t="s">
        <v>8778</v>
      </c>
    </row>
    <row r="32" spans="1:67" x14ac:dyDescent="0.2">
      <c r="A32" s="36"/>
      <c r="B32" s="76" t="s">
        <v>20</v>
      </c>
      <c r="C32">
        <v>1</v>
      </c>
      <c r="D32">
        <v>1</v>
      </c>
      <c r="E32" s="78">
        <f>IF(E$26&lt;=0.65,E28,IF(E$26&gt;=0.85,E29,((0.85-E$26)*5*E28)+((E$26-0.65)*5*E29)))</f>
        <v>109</v>
      </c>
      <c r="F32" s="78">
        <f t="shared" ref="F32:AA32" si="12">IF(F$26&lt;=0.65,F28,IF(F$26&gt;=0.85,F29,((0.85-F$26)*5*F28)+((F$26-0.65)*5*F29)))</f>
        <v>37</v>
      </c>
      <c r="G32" s="78">
        <f t="shared" si="12"/>
        <v>129</v>
      </c>
      <c r="H32" s="127">
        <f>IF(H$26&lt;=0.65,H28,IF(H$26&gt;=0.85,H29,((0.85-H$26)*5*H28)+((H$26-0.65)*5*H29)))</f>
        <v>98</v>
      </c>
      <c r="I32" s="127">
        <f>IF(I$26&lt;=0.65,I28,IF(I$26&gt;=0.85,I29,((0.85-I$26)*5*I28)+((I$26-0.65)*5*I29)))</f>
        <v>31</v>
      </c>
      <c r="J32" s="127">
        <f t="shared" ref="J32" si="13">IF(J$26&lt;=0.65,J28,IF(J$26&gt;=0.85,J29,((0.85-J$26)*5*J28)+((J$26-0.65)*5*J29)))</f>
        <v>121</v>
      </c>
      <c r="K32" s="78">
        <f>IF(K$26&lt;=0.65,K28,IF(K$26&gt;=0.85,K29,((0.85-K$26)*5*K28)+((K$26-0.65)*5*K29)))</f>
        <v>19</v>
      </c>
      <c r="L32" s="78">
        <f>IF(L$26&lt;=0.65,L28,IF(L$26&gt;=0.85,L29,((0.85-L$26)*5*L28)+((L$26-0.65)*5*L29)))</f>
        <v>9.6</v>
      </c>
      <c r="M32" s="130">
        <f>IF(M$26&lt;=0.65,M28,IF(M$26&gt;=0.85,M29,((0.85-M$26)*5*M28)+((M$26-0.65)*5*M29)))</f>
        <v>4</v>
      </c>
      <c r="N32" s="126">
        <f>IF(N$26&lt;=0.65,N28,IF(N$26&gt;=0.85,N29,((0.85-N$26)*5*N28)+((N$26-0.65)*5*N29)))</f>
        <v>6</v>
      </c>
      <c r="O32" s="127">
        <f>IF(O$26&lt;=0.65,O28,IF(O$26&gt;=0.85,O29,((0.85-O$26)*5*O28)+((O$26-0.65)*5*O29)))</f>
        <v>11</v>
      </c>
      <c r="P32" s="78">
        <f t="shared" si="12"/>
        <v>4</v>
      </c>
      <c r="Q32" s="78">
        <f t="shared" ref="Q32:R32" si="14">IF(Q$26&lt;=0.65,Q28,IF(Q$26&gt;=0.85,Q29,((0.85-Q$26)*5*Q28)+((Q$26-0.65)*5*Q29)))</f>
        <v>6</v>
      </c>
      <c r="R32" s="78">
        <f t="shared" si="14"/>
        <v>11</v>
      </c>
      <c r="S32" s="78">
        <f t="shared" si="12"/>
        <v>14.4</v>
      </c>
      <c r="T32" s="78">
        <f t="shared" si="12"/>
        <v>18.190000000000001</v>
      </c>
      <c r="U32" s="78">
        <f t="shared" si="12"/>
        <v>23.02</v>
      </c>
      <c r="V32" s="78">
        <f t="shared" si="12"/>
        <v>20.64</v>
      </c>
      <c r="W32" s="78">
        <f t="shared" ref="W32:X32" si="15">IF(W$26&lt;=0.65,W28,IF(W$26&gt;=0.85,W29,((0.85-W$26)*5*W28)+((W$26-0.65)*5*W29)))</f>
        <v>20.079999999999998</v>
      </c>
      <c r="X32" s="78">
        <f t="shared" si="15"/>
        <v>22.92</v>
      </c>
      <c r="Y32" s="78">
        <f t="shared" si="12"/>
        <v>6</v>
      </c>
      <c r="Z32">
        <v>1.8</v>
      </c>
      <c r="AA32" s="78">
        <f t="shared" si="12"/>
        <v>15</v>
      </c>
      <c r="AB32" s="78">
        <f>IF(AB$26&lt;=0.65,AB28,IF(AB$26&gt;=0.85,AB29,((0.85-AB$26)*5*AB28)+((AB$26-0.65)*5*AB29)))</f>
        <v>30</v>
      </c>
      <c r="AC32" t="s">
        <v>948</v>
      </c>
      <c r="AD32">
        <v>2.7</v>
      </c>
      <c r="AE32">
        <v>1.49</v>
      </c>
      <c r="AF32">
        <v>0.28999999999999998</v>
      </c>
      <c r="AG32">
        <v>0.06</v>
      </c>
      <c r="AH32">
        <v>50</v>
      </c>
      <c r="AI32" s="2101">
        <v>40</v>
      </c>
      <c r="AK32" s="141">
        <v>0.9</v>
      </c>
      <c r="AL32" s="639">
        <v>1</v>
      </c>
      <c r="AM32" s="75">
        <v>2</v>
      </c>
      <c r="AN32" s="75">
        <f>AM32</f>
        <v>2</v>
      </c>
      <c r="AO32" s="75">
        <v>50</v>
      </c>
      <c r="AP32" s="52">
        <v>90</v>
      </c>
      <c r="AQ32" s="52">
        <v>10</v>
      </c>
      <c r="AS32" s="578">
        <v>0.85</v>
      </c>
      <c r="AT32" s="52">
        <v>350</v>
      </c>
      <c r="AU32" s="52">
        <v>55</v>
      </c>
      <c r="AV32" s="578">
        <v>0.8</v>
      </c>
      <c r="AW32" s="52">
        <v>450</v>
      </c>
      <c r="AX32" s="52">
        <v>55</v>
      </c>
      <c r="AY32" s="52">
        <v>40</v>
      </c>
      <c r="AZ32" s="52">
        <v>100</v>
      </c>
      <c r="BC32" s="52">
        <f>AI32/100*AD32</f>
        <v>1.08</v>
      </c>
      <c r="BD32" s="52">
        <f>AI32/100*AE32</f>
        <v>0.59599999999999997</v>
      </c>
      <c r="BE32" s="1333">
        <f>BC32+E32+9*Tierprodukte!D37</f>
        <v>158.05000000000001</v>
      </c>
      <c r="BF32" s="52">
        <f>H32/BE32</f>
        <v>0.62005694400506162</v>
      </c>
      <c r="BH32" s="862" cm="1">
        <f t="array" ref="BH32">INDEX(BM$9:BM$17,$C32)</f>
        <v>3.2</v>
      </c>
      <c r="BI32" s="862" cm="1">
        <f t="array" ref="BI32">INDEX(BN$9:BN$17,$C32)</f>
        <v>0.2</v>
      </c>
      <c r="BJ32" s="862" cm="1">
        <f t="array" ref="BJ32">INDEX(BO$9:BO$17,$C32)</f>
        <v>7.9</v>
      </c>
    </row>
    <row r="33" spans="1:62" x14ac:dyDescent="0.2">
      <c r="A33" s="36"/>
      <c r="B33" s="76" t="s">
        <v>8414</v>
      </c>
      <c r="C33">
        <v>1</v>
      </c>
      <c r="D33">
        <v>0.2</v>
      </c>
      <c r="E33">
        <v>21.81</v>
      </c>
      <c r="F33">
        <v>7.4</v>
      </c>
      <c r="G33">
        <v>22.24</v>
      </c>
      <c r="H33">
        <v>17.54</v>
      </c>
      <c r="I33">
        <v>5.79</v>
      </c>
      <c r="J33">
        <v>19.940000000000001</v>
      </c>
      <c r="K33">
        <v>4.08</v>
      </c>
      <c r="L33">
        <v>9.19</v>
      </c>
      <c r="M33">
        <v>3.6</v>
      </c>
      <c r="N33">
        <v>6</v>
      </c>
      <c r="O33">
        <v>11</v>
      </c>
      <c r="P33">
        <v>0.72</v>
      </c>
      <c r="Q33">
        <v>1.2</v>
      </c>
      <c r="R33">
        <v>2.2000000000000002</v>
      </c>
      <c r="S33">
        <v>3.15</v>
      </c>
      <c r="T33">
        <v>3.88</v>
      </c>
      <c r="U33">
        <v>4.88</v>
      </c>
      <c r="V33">
        <v>18.350000000000001</v>
      </c>
      <c r="W33">
        <v>19.079999999999998</v>
      </c>
      <c r="X33">
        <v>21.83</v>
      </c>
      <c r="Y33">
        <v>1.28</v>
      </c>
      <c r="Z33">
        <v>1.8</v>
      </c>
      <c r="AA33">
        <v>15</v>
      </c>
      <c r="AB33">
        <v>30</v>
      </c>
      <c r="AC33" t="s">
        <v>948</v>
      </c>
      <c r="AD33">
        <v>2.7</v>
      </c>
      <c r="AE33">
        <v>1.49</v>
      </c>
      <c r="AF33">
        <v>0.28999999999999998</v>
      </c>
      <c r="AG33">
        <v>0.06</v>
      </c>
      <c r="AH33">
        <v>58</v>
      </c>
      <c r="AI33" s="2101">
        <v>270</v>
      </c>
      <c r="AK33" s="49">
        <v>0.9</v>
      </c>
      <c r="AL33" s="639">
        <v>1</v>
      </c>
      <c r="AM33" s="75">
        <v>2</v>
      </c>
      <c r="AN33" s="75">
        <f t="shared" ref="AN33:AN101" si="16">AM33</f>
        <v>2</v>
      </c>
      <c r="AO33" s="75">
        <v>50</v>
      </c>
      <c r="AP33" s="52">
        <v>90</v>
      </c>
      <c r="AQ33" s="52">
        <v>10</v>
      </c>
      <c r="AS33" s="578">
        <v>0.85</v>
      </c>
      <c r="AT33" s="52">
        <v>350</v>
      </c>
      <c r="AU33" s="52">
        <v>55</v>
      </c>
      <c r="AV33" s="578">
        <v>0.8</v>
      </c>
      <c r="AW33" s="52">
        <v>450</v>
      </c>
      <c r="AX33" s="52">
        <v>55</v>
      </c>
      <c r="AY33" s="52">
        <v>40</v>
      </c>
      <c r="AZ33" s="52">
        <v>100</v>
      </c>
      <c r="BC33" s="52">
        <f t="shared" ref="BC33:BC101" si="17">AI33/100*AD33</f>
        <v>7.2900000000000009</v>
      </c>
      <c r="BD33" s="52">
        <f t="shared" ref="BD33:BD101" si="18">AI33/100*AE33</f>
        <v>4.0230000000000006</v>
      </c>
      <c r="BE33" s="1332">
        <f t="shared" ref="BE33:BE101" si="19">BC33+E33</f>
        <v>29.1</v>
      </c>
      <c r="BF33" s="52">
        <f t="shared" ref="BF33:BF101" si="20">H33/BE33</f>
        <v>0.60274914089347076</v>
      </c>
      <c r="BH33" s="862" cm="1">
        <f t="array" ref="BH33">INDEX(BM$9:BM$17,$C33)</f>
        <v>3.2</v>
      </c>
      <c r="BI33" s="862" cm="1">
        <f t="array" ref="BI33">INDEX(BN$9:BN$17,$C33)</f>
        <v>0.2</v>
      </c>
      <c r="BJ33" s="862" cm="1">
        <f t="array" ref="BJ33">INDEX(BO$9:BO$17,$C33)</f>
        <v>7.9</v>
      </c>
    </row>
    <row r="34" spans="1:62" x14ac:dyDescent="0.2">
      <c r="A34" s="36"/>
      <c r="B34" s="76" t="s">
        <v>8412</v>
      </c>
      <c r="C34">
        <v>1</v>
      </c>
      <c r="D34">
        <v>0.4</v>
      </c>
      <c r="E34" s="78">
        <f>IF(E$26&lt;=0.65,E11,IF(E$26&gt;=0.85,E19,((0.85-E$26)*5*E11)+((E$26-0.65)*5*E19)))</f>
        <v>46.2</v>
      </c>
      <c r="F34" s="78">
        <f t="shared" ref="F34:AB34" si="21">IF(F$26&lt;=0.65,F11,IF(F$26&gt;=0.85,F19,((0.85-F$26)*5*F11)+((F$26-0.65)*5*F19)))</f>
        <v>13.5</v>
      </c>
      <c r="G34" s="78">
        <f t="shared" si="21"/>
        <v>56</v>
      </c>
      <c r="H34" s="128">
        <f>IF(H$26&lt;=0.65,H11,IF(H$26&gt;=0.85,H19,((0.85-H$26)*5*H11)+((H$26-0.65)*5*H19)))</f>
        <v>47.1</v>
      </c>
      <c r="I34" s="128">
        <f t="shared" ref="I34:J34" si="22">IF(I$26&lt;=0.65,I11,IF(I$26&gt;=0.85,I19,((0.85-I$26)*5*I11)+((I$26-0.65)*5*I19)))</f>
        <v>13.6</v>
      </c>
      <c r="J34" s="128">
        <f t="shared" si="22"/>
        <v>55.3</v>
      </c>
      <c r="K34">
        <v>7.6</v>
      </c>
      <c r="L34" s="78">
        <f>IF(L$26&lt;=0.65,L11,IF(L$26&gt;=0.85,L19,((0.85-L$26)*5*L11)+((L$26-0.65)*5*L19)))</f>
        <v>8.15</v>
      </c>
      <c r="M34">
        <v>5.4</v>
      </c>
      <c r="N34">
        <v>6</v>
      </c>
      <c r="O34">
        <v>11</v>
      </c>
      <c r="P34">
        <v>2.16</v>
      </c>
      <c r="Q34">
        <v>2.4</v>
      </c>
      <c r="R34">
        <v>4.4000000000000004</v>
      </c>
      <c r="S34">
        <v>6.3</v>
      </c>
      <c r="T34">
        <v>7.48</v>
      </c>
      <c r="U34">
        <v>9.2100000000000009</v>
      </c>
      <c r="V34" s="78">
        <f>IF(V$26&lt;=0.65,V11,IF(V$26&gt;=0.85,V19,((0.85-V$26)*5*V11)+((V$26-0.65)*5*V19)))</f>
        <v>20.02</v>
      </c>
      <c r="W34" s="78">
        <f t="shared" ref="W34:X34" si="23">IF(W$26&lt;=0.65,W11,IF(W$26&gt;=0.85,W19,((0.85-W$26)*5*W11)+((W$26-0.65)*5*W19)))</f>
        <v>18.11</v>
      </c>
      <c r="X34" s="78">
        <f t="shared" si="23"/>
        <v>21.72</v>
      </c>
      <c r="Y34">
        <v>2</v>
      </c>
      <c r="Z34">
        <v>1.8</v>
      </c>
      <c r="AA34" s="78">
        <f t="shared" si="21"/>
        <v>15</v>
      </c>
      <c r="AB34" s="78">
        <f t="shared" si="21"/>
        <v>30</v>
      </c>
      <c r="AC34" t="s">
        <v>948</v>
      </c>
      <c r="AD34">
        <v>2.7</v>
      </c>
      <c r="AE34">
        <v>1.49</v>
      </c>
      <c r="AF34">
        <v>0.28999999999999998</v>
      </c>
      <c r="AG34">
        <v>0.06</v>
      </c>
      <c r="AH34">
        <v>56</v>
      </c>
      <c r="AI34" s="2101">
        <v>270</v>
      </c>
      <c r="AK34" s="49">
        <v>0.9</v>
      </c>
      <c r="AL34" s="639">
        <v>1</v>
      </c>
      <c r="AM34" s="75">
        <v>2</v>
      </c>
      <c r="AN34" s="75">
        <f t="shared" si="16"/>
        <v>2</v>
      </c>
      <c r="AO34" s="75">
        <v>50</v>
      </c>
      <c r="AP34" s="52">
        <v>90</v>
      </c>
      <c r="AQ34" s="52">
        <v>10</v>
      </c>
      <c r="AS34" s="578">
        <v>0.85</v>
      </c>
      <c r="AT34" s="52">
        <v>350</v>
      </c>
      <c r="AU34" s="52">
        <v>55</v>
      </c>
      <c r="AV34" s="578">
        <v>0.8</v>
      </c>
      <c r="AW34" s="52">
        <v>450</v>
      </c>
      <c r="AX34" s="52">
        <v>55</v>
      </c>
      <c r="AY34" s="52">
        <v>40</v>
      </c>
      <c r="AZ34" s="52">
        <v>100</v>
      </c>
      <c r="BC34" s="52">
        <f t="shared" si="17"/>
        <v>7.2900000000000009</v>
      </c>
      <c r="BD34" s="52">
        <f t="shared" si="18"/>
        <v>4.0230000000000006</v>
      </c>
      <c r="BE34" s="1332">
        <f t="shared" si="19"/>
        <v>53.49</v>
      </c>
      <c r="BF34" s="52">
        <f t="shared" si="20"/>
        <v>0.88053841839596181</v>
      </c>
      <c r="BH34" s="862" cm="1">
        <f t="array" ref="BH34">INDEX(BM$9:BM$17,$C34)</f>
        <v>3.2</v>
      </c>
      <c r="BI34" s="862" cm="1">
        <f t="array" ref="BI34">INDEX(BN$9:BN$17,$C34)</f>
        <v>0.2</v>
      </c>
      <c r="BJ34" s="862" cm="1">
        <f t="array" ref="BJ34">INDEX(BO$9:BO$17,$C34)</f>
        <v>7.9</v>
      </c>
    </row>
    <row r="35" spans="1:62" x14ac:dyDescent="0.2">
      <c r="A35" s="36"/>
      <c r="B35" s="76" t="s">
        <v>7</v>
      </c>
      <c r="C35">
        <v>1</v>
      </c>
      <c r="D35">
        <v>0.7</v>
      </c>
      <c r="E35" s="78">
        <f t="shared" ref="E35:AB35" si="24">IF(E$26&lt;=0.65,E12,IF(E$26&gt;=0.85,E20,((0.85-E$26)*5*E12)+((E$26-0.65)*5*E20)))</f>
        <v>70.7</v>
      </c>
      <c r="F35" s="78">
        <f t="shared" si="24"/>
        <v>20.2</v>
      </c>
      <c r="G35" s="78">
        <f t="shared" si="24"/>
        <v>90.7</v>
      </c>
      <c r="H35" s="128">
        <f>IF(H$26&lt;=0.65,H12,IF(H$26&gt;=0.85,H20,((0.85-H$26)*5*H12)+((H$26-0.65)*5*H20)))</f>
        <v>71.599999999999994</v>
      </c>
      <c r="I35" s="128">
        <f t="shared" ref="I35:J35" si="25">IF(I$26&lt;=0.65,I12,IF(I$26&gt;=0.85,I20,((0.85-I$26)*5*I12)+((I$26-0.65)*5*I20)))</f>
        <v>21.4</v>
      </c>
      <c r="J35" s="128">
        <f t="shared" si="25"/>
        <v>86</v>
      </c>
      <c r="K35">
        <v>11.5</v>
      </c>
      <c r="L35" s="78">
        <f>IF(L$26&lt;=0.65,L12,IF(L$26&gt;=0.85,L20,((0.85-L$26)*5*L12)+((L$26-0.65)*5*L20)))</f>
        <v>8.2799999999999994</v>
      </c>
      <c r="M35">
        <v>5.4</v>
      </c>
      <c r="N35">
        <v>6</v>
      </c>
      <c r="O35">
        <v>11</v>
      </c>
      <c r="P35">
        <v>3.78</v>
      </c>
      <c r="Q35">
        <v>4.2</v>
      </c>
      <c r="R35">
        <v>7.7</v>
      </c>
      <c r="S35">
        <v>10</v>
      </c>
      <c r="T35">
        <v>11.53</v>
      </c>
      <c r="U35">
        <v>14.31</v>
      </c>
      <c r="V35" s="78">
        <f>IF(V$26&lt;=0.65,V12,IF(V$26&gt;=0.85,V20,((0.85-V$26)*5*V12)+((V$26-0.65)*5*V20)))</f>
        <v>20.85</v>
      </c>
      <c r="W35" s="78">
        <f t="shared" ref="W35:X35" si="26">IF(W$26&lt;=0.65,W12,IF(W$26&gt;=0.85,W20,((0.85-W$26)*5*W12)+((W$26-0.65)*5*W20)))</f>
        <v>19.46</v>
      </c>
      <c r="X35" s="78">
        <f t="shared" si="26"/>
        <v>23.54</v>
      </c>
      <c r="Y35">
        <v>3</v>
      </c>
      <c r="Z35">
        <v>1.8</v>
      </c>
      <c r="AA35" s="78">
        <f t="shared" si="24"/>
        <v>15</v>
      </c>
      <c r="AB35" s="78">
        <f t="shared" si="24"/>
        <v>30</v>
      </c>
      <c r="AC35" t="s">
        <v>948</v>
      </c>
      <c r="AD35">
        <v>2.7</v>
      </c>
      <c r="AE35">
        <v>1.49</v>
      </c>
      <c r="AF35">
        <v>0.28999999999999998</v>
      </c>
      <c r="AG35">
        <v>0.06</v>
      </c>
      <c r="AH35">
        <v>56</v>
      </c>
      <c r="AI35" s="2101">
        <v>270</v>
      </c>
      <c r="AK35" s="49">
        <v>0.9</v>
      </c>
      <c r="AL35" s="639">
        <v>1</v>
      </c>
      <c r="AM35" s="75">
        <v>2</v>
      </c>
      <c r="AN35" s="75">
        <f t="shared" si="16"/>
        <v>2</v>
      </c>
      <c r="AO35" s="75">
        <v>50</v>
      </c>
      <c r="AP35" s="52">
        <v>90</v>
      </c>
      <c r="AQ35" s="52">
        <v>10</v>
      </c>
      <c r="AS35" s="578">
        <v>0.85</v>
      </c>
      <c r="AT35" s="52">
        <v>350</v>
      </c>
      <c r="AU35" s="52">
        <v>55</v>
      </c>
      <c r="AV35" s="578">
        <v>0.8</v>
      </c>
      <c r="AW35" s="52">
        <v>450</v>
      </c>
      <c r="AX35" s="52">
        <v>55</v>
      </c>
      <c r="AY35" s="52">
        <v>40</v>
      </c>
      <c r="AZ35" s="52">
        <v>100</v>
      </c>
      <c r="BC35" s="52">
        <f t="shared" si="17"/>
        <v>7.2900000000000009</v>
      </c>
      <c r="BD35" s="52">
        <f>AI35/100*AE35</f>
        <v>4.0230000000000006</v>
      </c>
      <c r="BE35" s="1332">
        <f t="shared" si="19"/>
        <v>77.990000000000009</v>
      </c>
      <c r="BF35" s="52">
        <f t="shared" si="20"/>
        <v>0.91806641877163719</v>
      </c>
      <c r="BH35" s="862" cm="1">
        <f t="array" ref="BH35">INDEX(BM$9:BM$17,$C35)</f>
        <v>3.2</v>
      </c>
      <c r="BI35" s="862" cm="1">
        <f t="array" ref="BI35">INDEX(BN$9:BN$17,$C35)</f>
        <v>0.2</v>
      </c>
      <c r="BJ35" s="862" cm="1">
        <f t="array" ref="BJ35">INDEX(BO$9:BO$17,$C35)</f>
        <v>7.9</v>
      </c>
    </row>
    <row r="36" spans="1:62" x14ac:dyDescent="0.2">
      <c r="A36" s="36"/>
      <c r="B36" s="76" t="s">
        <v>8</v>
      </c>
      <c r="C36">
        <v>1</v>
      </c>
      <c r="D36">
        <v>1</v>
      </c>
      <c r="E36" s="78">
        <f t="shared" ref="E36:AB36" si="27">IF(E$26&lt;=0.65,E13,IF(E$26&gt;=0.85,E21,((0.85-E$26)*5*E13)+((E$26-0.65)*5*E21)))</f>
        <v>82.5</v>
      </c>
      <c r="F36" s="78">
        <f t="shared" si="27"/>
        <v>22.3</v>
      </c>
      <c r="G36" s="78">
        <f t="shared" si="27"/>
        <v>96.5</v>
      </c>
      <c r="H36" s="128">
        <f>IF(H$26&lt;=0.65,H13,IF(H$26&gt;=0.85,H21,((0.85-H$26)*5*H13)+((H$26-0.65)*5*H21)))</f>
        <v>84.4</v>
      </c>
      <c r="I36" s="128">
        <f t="shared" ref="I36:J36" si="28">IF(I$26&lt;=0.65,I13,IF(I$26&gt;=0.85,I21,((0.85-I$26)*5*I13)+((I$26-0.65)*5*I21)))</f>
        <v>24.4</v>
      </c>
      <c r="J36" s="128">
        <f t="shared" si="28"/>
        <v>98.9</v>
      </c>
      <c r="K36">
        <v>13.1</v>
      </c>
      <c r="L36" s="78">
        <f>IF(L$26&lt;=0.65,L13,IF(L$26&gt;=0.85,L21,((0.85-L$26)*5*L13)+((L$26-0.65)*5*L21)))</f>
        <v>8.48</v>
      </c>
      <c r="M36">
        <v>5.4</v>
      </c>
      <c r="N36">
        <v>6</v>
      </c>
      <c r="O36">
        <v>11</v>
      </c>
      <c r="P36">
        <v>5.4</v>
      </c>
      <c r="Q36">
        <v>6</v>
      </c>
      <c r="R36">
        <v>11</v>
      </c>
      <c r="S36">
        <v>11.4</v>
      </c>
      <c r="T36">
        <v>13.59</v>
      </c>
      <c r="U36">
        <v>17.12</v>
      </c>
      <c r="V36" s="78">
        <f>IF(V$26&lt;=0.65,V13,IF(V$26&gt;=0.85,V21,((0.85-V$26)*5*V13)+((V$26-0.65)*5*V21)))</f>
        <v>24.08</v>
      </c>
      <c r="W36" s="78">
        <f t="shared" ref="W36:X36" si="29">IF(W$26&lt;=0.65,W13,IF(W$26&gt;=0.85,W21,((0.85-W$26)*5*W13)+((W$26-0.65)*5*W21)))</f>
        <v>21.81</v>
      </c>
      <c r="X36" s="78">
        <f t="shared" si="29"/>
        <v>26.66</v>
      </c>
      <c r="Y36">
        <v>3.4</v>
      </c>
      <c r="Z36">
        <v>1.8</v>
      </c>
      <c r="AA36" s="78">
        <f t="shared" si="27"/>
        <v>15</v>
      </c>
      <c r="AB36" s="78">
        <f t="shared" si="27"/>
        <v>30</v>
      </c>
      <c r="AC36" t="s">
        <v>948</v>
      </c>
      <c r="AD36">
        <v>2.7</v>
      </c>
      <c r="AE36">
        <v>1.49</v>
      </c>
      <c r="AF36">
        <v>0.28999999999999998</v>
      </c>
      <c r="AG36">
        <v>0.06</v>
      </c>
      <c r="AH36">
        <v>56</v>
      </c>
      <c r="AI36" s="2101">
        <v>270</v>
      </c>
      <c r="AK36" s="49">
        <v>0.9</v>
      </c>
      <c r="AL36" s="639">
        <v>1</v>
      </c>
      <c r="AM36" s="75">
        <v>2</v>
      </c>
      <c r="AN36" s="75">
        <f t="shared" si="16"/>
        <v>2</v>
      </c>
      <c r="AO36" s="75">
        <v>50</v>
      </c>
      <c r="AP36" s="52">
        <v>90</v>
      </c>
      <c r="AQ36" s="52">
        <v>10</v>
      </c>
      <c r="AR36" s="1682"/>
      <c r="AS36" s="578">
        <v>0.85</v>
      </c>
      <c r="AT36" s="52">
        <v>350</v>
      </c>
      <c r="AU36" s="52">
        <v>55</v>
      </c>
      <c r="AV36" s="578">
        <v>0.8</v>
      </c>
      <c r="AW36" s="52">
        <v>450</v>
      </c>
      <c r="AX36" s="52">
        <v>55</v>
      </c>
      <c r="AY36" s="52">
        <v>40</v>
      </c>
      <c r="AZ36" s="52">
        <v>100</v>
      </c>
      <c r="BC36" s="52">
        <f t="shared" si="17"/>
        <v>7.2900000000000009</v>
      </c>
      <c r="BD36" s="52">
        <f t="shared" si="18"/>
        <v>4.0230000000000006</v>
      </c>
      <c r="BE36" s="1332">
        <f t="shared" si="19"/>
        <v>89.79</v>
      </c>
      <c r="BF36" s="52">
        <f t="shared" si="20"/>
        <v>0.93997104354605188</v>
      </c>
      <c r="BH36" s="862" cm="1">
        <f t="array" ref="BH36">INDEX(BM$9:BM$17,$C36)</f>
        <v>3.2</v>
      </c>
      <c r="BI36" s="862" cm="1">
        <f t="array" ref="BI36">INDEX(BN$9:BN$17,$C36)</f>
        <v>0.2</v>
      </c>
      <c r="BJ36" s="862" cm="1">
        <f t="array" ref="BJ36">INDEX(BO$9:BO$17,$C36)</f>
        <v>7.9</v>
      </c>
    </row>
    <row r="37" spans="1:62" x14ac:dyDescent="0.2">
      <c r="A37" s="36"/>
      <c r="B37" s="76" t="s">
        <v>8159</v>
      </c>
      <c r="C37">
        <v>1</v>
      </c>
      <c r="D37">
        <v>0.2</v>
      </c>
      <c r="E37">
        <v>19.559999999999999</v>
      </c>
      <c r="F37">
        <v>6.73</v>
      </c>
      <c r="G37">
        <v>11.9</v>
      </c>
      <c r="H37">
        <v>7.47</v>
      </c>
      <c r="I37">
        <v>2.87</v>
      </c>
      <c r="J37">
        <v>5.62</v>
      </c>
      <c r="K37">
        <v>4</v>
      </c>
      <c r="L37">
        <v>6.06</v>
      </c>
      <c r="M37">
        <v>2.25</v>
      </c>
      <c r="N37">
        <v>6</v>
      </c>
      <c r="O37">
        <v>11</v>
      </c>
      <c r="P37">
        <v>0.45</v>
      </c>
      <c r="Q37">
        <v>1.2</v>
      </c>
      <c r="R37">
        <v>2.2000000000000002</v>
      </c>
      <c r="S37">
        <v>3.74</v>
      </c>
      <c r="T37">
        <v>4.13</v>
      </c>
      <c r="U37">
        <v>4.8</v>
      </c>
      <c r="V37">
        <v>9.9600000000000009</v>
      </c>
      <c r="W37">
        <v>14.85</v>
      </c>
      <c r="X37">
        <v>19.440000000000001</v>
      </c>
      <c r="Y37">
        <v>0.62</v>
      </c>
      <c r="Z37">
        <v>1.8</v>
      </c>
      <c r="AA37">
        <v>15</v>
      </c>
      <c r="AB37">
        <v>30</v>
      </c>
      <c r="AC37" t="s">
        <v>948</v>
      </c>
      <c r="AD37">
        <v>2.7</v>
      </c>
      <c r="AE37">
        <v>1.49</v>
      </c>
      <c r="AF37">
        <v>0.28999999999999998</v>
      </c>
      <c r="AG37">
        <v>0.06</v>
      </c>
      <c r="AH37">
        <v>58</v>
      </c>
      <c r="AI37" s="2101">
        <v>400</v>
      </c>
      <c r="AK37" s="49">
        <v>0.9</v>
      </c>
      <c r="AL37" s="639">
        <v>1</v>
      </c>
      <c r="AM37" s="75">
        <v>2</v>
      </c>
      <c r="AN37" s="75">
        <f t="shared" ref="AN37:AN38" si="30">AM37</f>
        <v>2</v>
      </c>
      <c r="AO37" s="75">
        <v>50</v>
      </c>
      <c r="AP37" s="52">
        <v>90</v>
      </c>
      <c r="AQ37" s="52">
        <v>10</v>
      </c>
      <c r="AR37" s="1682"/>
      <c r="AS37" s="578">
        <v>0.85</v>
      </c>
      <c r="AT37" s="52">
        <v>350</v>
      </c>
      <c r="AU37" s="52">
        <v>55</v>
      </c>
      <c r="AV37" s="578">
        <v>0.8</v>
      </c>
      <c r="AW37" s="52">
        <v>450</v>
      </c>
      <c r="AX37" s="52">
        <v>55</v>
      </c>
      <c r="AY37" s="52">
        <v>40</v>
      </c>
      <c r="AZ37" s="52">
        <v>100</v>
      </c>
      <c r="BC37" s="52">
        <f t="shared" si="17"/>
        <v>10.8</v>
      </c>
      <c r="BD37" s="52">
        <f t="shared" si="18"/>
        <v>5.96</v>
      </c>
      <c r="BE37" s="1332">
        <f t="shared" si="19"/>
        <v>30.36</v>
      </c>
      <c r="BF37" s="52">
        <f t="shared" si="20"/>
        <v>0.24604743083003952</v>
      </c>
      <c r="BH37" s="862" cm="1">
        <f t="array" ref="BH37">INDEX(BM$9:BM$17,$C37)</f>
        <v>3.2</v>
      </c>
      <c r="BI37" s="862" cm="1">
        <f t="array" ref="BI37">INDEX(BN$9:BN$17,$C37)</f>
        <v>0.2</v>
      </c>
      <c r="BJ37" s="862" cm="1">
        <f t="array" ref="BJ37">INDEX(BO$9:BO$17,$C37)</f>
        <v>7.9</v>
      </c>
    </row>
    <row r="38" spans="1:62" x14ac:dyDescent="0.2">
      <c r="A38" s="36"/>
      <c r="B38" s="76" t="s">
        <v>8160</v>
      </c>
      <c r="C38">
        <v>1</v>
      </c>
      <c r="D38">
        <v>0.2</v>
      </c>
      <c r="E38">
        <v>18.190000000000001</v>
      </c>
      <c r="F38">
        <v>5.61</v>
      </c>
      <c r="G38">
        <v>11.41</v>
      </c>
      <c r="H38">
        <v>7.47</v>
      </c>
      <c r="I38">
        <v>2.87</v>
      </c>
      <c r="J38">
        <v>5.62</v>
      </c>
      <c r="K38">
        <v>4</v>
      </c>
      <c r="L38">
        <v>6.06</v>
      </c>
      <c r="M38">
        <v>2.25</v>
      </c>
      <c r="N38">
        <v>6</v>
      </c>
      <c r="O38">
        <v>11</v>
      </c>
      <c r="P38">
        <v>0.45</v>
      </c>
      <c r="Q38">
        <v>1.2</v>
      </c>
      <c r="R38">
        <v>2.2000000000000002</v>
      </c>
      <c r="S38">
        <v>3.74</v>
      </c>
      <c r="T38">
        <v>4.13</v>
      </c>
      <c r="U38">
        <v>4.8</v>
      </c>
      <c r="V38">
        <v>9.9600000000000009</v>
      </c>
      <c r="W38">
        <v>14.85</v>
      </c>
      <c r="X38">
        <v>19.440000000000001</v>
      </c>
      <c r="Y38">
        <v>0.62</v>
      </c>
      <c r="Z38">
        <v>1.8</v>
      </c>
      <c r="AA38">
        <v>15</v>
      </c>
      <c r="AB38">
        <v>30</v>
      </c>
      <c r="AC38" t="s">
        <v>948</v>
      </c>
      <c r="AD38">
        <v>2.7</v>
      </c>
      <c r="AE38">
        <v>1.49</v>
      </c>
      <c r="AF38">
        <v>0.28999999999999998</v>
      </c>
      <c r="AG38">
        <v>0.06</v>
      </c>
      <c r="AH38">
        <v>58</v>
      </c>
      <c r="AI38" s="2101">
        <v>400</v>
      </c>
      <c r="AK38" s="49">
        <v>0.9</v>
      </c>
      <c r="AL38" s="639">
        <v>1</v>
      </c>
      <c r="AM38" s="75">
        <v>2</v>
      </c>
      <c r="AN38" s="75">
        <f t="shared" si="30"/>
        <v>2</v>
      </c>
      <c r="AO38" s="75">
        <v>50</v>
      </c>
      <c r="AP38" s="52">
        <v>90</v>
      </c>
      <c r="AQ38" s="52">
        <v>10</v>
      </c>
      <c r="AR38" s="1682"/>
      <c r="AS38" s="578">
        <v>0.85</v>
      </c>
      <c r="AT38" s="52">
        <v>350</v>
      </c>
      <c r="AU38" s="52">
        <v>55</v>
      </c>
      <c r="AV38" s="578">
        <v>0.8</v>
      </c>
      <c r="AW38" s="52">
        <v>450</v>
      </c>
      <c r="AX38" s="52">
        <v>55</v>
      </c>
      <c r="AY38" s="52">
        <v>40</v>
      </c>
      <c r="AZ38" s="52">
        <v>100</v>
      </c>
      <c r="BC38" s="52">
        <f t="shared" si="17"/>
        <v>10.8</v>
      </c>
      <c r="BD38" s="52">
        <f t="shared" si="18"/>
        <v>5.96</v>
      </c>
      <c r="BE38" s="1332">
        <f t="shared" si="19"/>
        <v>28.990000000000002</v>
      </c>
      <c r="BF38" s="52">
        <f t="shared" si="20"/>
        <v>0.2576750603656433</v>
      </c>
      <c r="BH38" s="862" cm="1">
        <f t="array" ref="BH38">INDEX(BM$9:BM$17,$C38)</f>
        <v>3.2</v>
      </c>
      <c r="BI38" s="862" cm="1">
        <f t="array" ref="BI38">INDEX(BN$9:BN$17,$C38)</f>
        <v>0.2</v>
      </c>
      <c r="BJ38" s="862" cm="1">
        <f t="array" ref="BJ38">INDEX(BO$9:BO$17,$C38)</f>
        <v>7.9</v>
      </c>
    </row>
    <row r="39" spans="1:62" x14ac:dyDescent="0.2">
      <c r="A39" s="37"/>
      <c r="B39" s="76" t="s">
        <v>48</v>
      </c>
      <c r="C39">
        <v>1</v>
      </c>
      <c r="D39">
        <v>0.4</v>
      </c>
      <c r="E39">
        <v>37.5</v>
      </c>
      <c r="F39">
        <v>14.5</v>
      </c>
      <c r="G39">
        <v>31.25</v>
      </c>
      <c r="H39">
        <v>20</v>
      </c>
      <c r="I39">
        <v>8</v>
      </c>
      <c r="J39">
        <v>22</v>
      </c>
      <c r="K39">
        <v>7.1</v>
      </c>
      <c r="L39">
        <v>8.24</v>
      </c>
      <c r="M39">
        <v>1.8</v>
      </c>
      <c r="N39">
        <v>6</v>
      </c>
      <c r="O39">
        <v>11</v>
      </c>
      <c r="P39">
        <v>0.72</v>
      </c>
      <c r="Q39">
        <v>2.4</v>
      </c>
      <c r="R39">
        <v>4.4000000000000004</v>
      </c>
      <c r="S39">
        <v>4.5</v>
      </c>
      <c r="T39">
        <v>6.63</v>
      </c>
      <c r="U39">
        <v>8.7100000000000009</v>
      </c>
      <c r="V39">
        <v>16.940000000000001</v>
      </c>
      <c r="W39">
        <v>19.82</v>
      </c>
      <c r="X39">
        <v>22.57</v>
      </c>
      <c r="Y39">
        <v>2.7</v>
      </c>
      <c r="Z39">
        <v>1.8</v>
      </c>
      <c r="AA39">
        <v>15</v>
      </c>
      <c r="AB39">
        <v>30</v>
      </c>
      <c r="AC39" t="s">
        <v>948</v>
      </c>
      <c r="AD39">
        <v>2.7</v>
      </c>
      <c r="AE39">
        <v>1.49</v>
      </c>
      <c r="AF39">
        <v>0.28999999999999998</v>
      </c>
      <c r="AG39">
        <v>0.06</v>
      </c>
      <c r="AH39">
        <v>58</v>
      </c>
      <c r="AI39" s="2102">
        <v>270</v>
      </c>
      <c r="AK39" s="49">
        <v>0.9</v>
      </c>
      <c r="AL39" s="639">
        <v>1</v>
      </c>
      <c r="AM39" s="75">
        <v>2</v>
      </c>
      <c r="AN39" s="75">
        <f t="shared" si="16"/>
        <v>2</v>
      </c>
      <c r="AO39" s="75">
        <v>50</v>
      </c>
      <c r="AP39" s="52">
        <v>90</v>
      </c>
      <c r="AQ39" s="52">
        <v>10</v>
      </c>
      <c r="AR39" s="1682"/>
      <c r="AS39" s="578">
        <v>0.85</v>
      </c>
      <c r="AT39" s="52">
        <v>350</v>
      </c>
      <c r="AU39" s="52">
        <v>55</v>
      </c>
      <c r="AV39" s="578">
        <v>0.8</v>
      </c>
      <c r="AW39" s="52">
        <v>450</v>
      </c>
      <c r="AX39" s="52">
        <v>55</v>
      </c>
      <c r="AY39" s="52">
        <v>40</v>
      </c>
      <c r="AZ39" s="52">
        <v>100</v>
      </c>
      <c r="BC39" s="52">
        <f t="shared" si="17"/>
        <v>7.2900000000000009</v>
      </c>
      <c r="BD39" s="52">
        <f t="shared" si="18"/>
        <v>4.0230000000000006</v>
      </c>
      <c r="BE39" s="1332">
        <f t="shared" si="19"/>
        <v>44.79</v>
      </c>
      <c r="BF39" s="52">
        <f t="shared" si="20"/>
        <v>0.44652824291136417</v>
      </c>
      <c r="BH39" s="862" cm="1">
        <f t="array" ref="BH39">INDEX(BM$9:BM$17,$C39)</f>
        <v>3.2</v>
      </c>
      <c r="BI39" s="862" cm="1">
        <f t="array" ref="BI39">INDEX(BN$9:BN$17,$C39)</f>
        <v>0.2</v>
      </c>
      <c r="BJ39" s="862" cm="1">
        <f t="array" ref="BJ39">INDEX(BO$9:BO$17,$C39)</f>
        <v>7.9</v>
      </c>
    </row>
    <row r="40" spans="1:62" x14ac:dyDescent="0.2">
      <c r="A40" s="37"/>
      <c r="B40" s="76" t="s">
        <v>49</v>
      </c>
      <c r="C40">
        <v>1</v>
      </c>
      <c r="D40">
        <v>1</v>
      </c>
      <c r="E40">
        <v>54.5</v>
      </c>
      <c r="F40">
        <v>20.5</v>
      </c>
      <c r="G40">
        <v>45.5</v>
      </c>
      <c r="H40">
        <v>28.5</v>
      </c>
      <c r="I40">
        <v>11.5</v>
      </c>
      <c r="J40">
        <v>31.5</v>
      </c>
      <c r="K40">
        <v>9.9</v>
      </c>
      <c r="L40">
        <v>8.6199999999999992</v>
      </c>
      <c r="M40">
        <v>1.8</v>
      </c>
      <c r="N40">
        <v>6</v>
      </c>
      <c r="O40">
        <v>11</v>
      </c>
      <c r="P40">
        <v>1.8</v>
      </c>
      <c r="Q40">
        <v>6</v>
      </c>
      <c r="R40">
        <v>11</v>
      </c>
      <c r="S40">
        <v>6.6</v>
      </c>
      <c r="T40">
        <v>10.14</v>
      </c>
      <c r="U40">
        <v>13.92</v>
      </c>
      <c r="V40">
        <v>20.43</v>
      </c>
      <c r="W40">
        <v>26.64</v>
      </c>
      <c r="X40">
        <v>30.94</v>
      </c>
      <c r="Y40">
        <v>3.9</v>
      </c>
      <c r="Z40">
        <v>1.8</v>
      </c>
      <c r="AA40">
        <v>15</v>
      </c>
      <c r="AB40">
        <v>30</v>
      </c>
      <c r="AC40" t="s">
        <v>948</v>
      </c>
      <c r="AD40">
        <v>2.7</v>
      </c>
      <c r="AE40">
        <v>1.49</v>
      </c>
      <c r="AF40">
        <v>0.28999999999999998</v>
      </c>
      <c r="AG40">
        <v>0.06</v>
      </c>
      <c r="AH40">
        <v>58</v>
      </c>
      <c r="AI40" s="2101">
        <v>400</v>
      </c>
      <c r="AK40" s="49">
        <v>0.9</v>
      </c>
      <c r="AL40" s="639">
        <v>1</v>
      </c>
      <c r="AM40" s="75">
        <v>2</v>
      </c>
      <c r="AN40" s="75">
        <f t="shared" si="16"/>
        <v>2</v>
      </c>
      <c r="AO40" s="75">
        <v>50</v>
      </c>
      <c r="AP40" s="52">
        <v>90</v>
      </c>
      <c r="AQ40" s="52">
        <v>10</v>
      </c>
      <c r="AR40" s="1682"/>
      <c r="AS40" s="578">
        <v>0.85</v>
      </c>
      <c r="AT40" s="52">
        <v>350</v>
      </c>
      <c r="AU40" s="52">
        <v>55</v>
      </c>
      <c r="AV40" s="578">
        <v>0.8</v>
      </c>
      <c r="AW40" s="52">
        <v>450</v>
      </c>
      <c r="AX40" s="52">
        <v>55</v>
      </c>
      <c r="AY40" s="52">
        <v>40</v>
      </c>
      <c r="AZ40" s="52">
        <v>100</v>
      </c>
      <c r="BC40" s="52">
        <f t="shared" si="17"/>
        <v>10.8</v>
      </c>
      <c r="BD40" s="52">
        <f t="shared" si="18"/>
        <v>5.96</v>
      </c>
      <c r="BE40" s="1332">
        <f t="shared" si="19"/>
        <v>65.3</v>
      </c>
      <c r="BF40" s="52">
        <f t="shared" si="20"/>
        <v>0.43644716692189894</v>
      </c>
      <c r="BH40" s="862" cm="1">
        <f t="array" ref="BH40">INDEX(BM$9:BM$17,$C40)</f>
        <v>3.2</v>
      </c>
      <c r="BI40" s="862" cm="1">
        <f t="array" ref="BI40">INDEX(BN$9:BN$17,$C40)</f>
        <v>0.2</v>
      </c>
      <c r="BJ40" s="862" cm="1">
        <f t="array" ref="BJ40">INDEX(BO$9:BO$17,$C40)</f>
        <v>7.9</v>
      </c>
    </row>
    <row r="41" spans="1:62" x14ac:dyDescent="0.2">
      <c r="A41" s="36"/>
      <c r="B41" s="76" t="s">
        <v>8415</v>
      </c>
      <c r="C41">
        <v>1</v>
      </c>
      <c r="D41">
        <v>1</v>
      </c>
      <c r="E41">
        <v>64</v>
      </c>
      <c r="F41">
        <v>21.9</v>
      </c>
      <c r="G41">
        <v>76.900000000000006</v>
      </c>
      <c r="H41">
        <v>62</v>
      </c>
      <c r="I41">
        <v>19.399999999999999</v>
      </c>
      <c r="J41">
        <v>73.400000000000006</v>
      </c>
      <c r="K41">
        <v>13.1</v>
      </c>
      <c r="L41">
        <v>8.19</v>
      </c>
      <c r="M41">
        <v>5.4</v>
      </c>
      <c r="N41">
        <v>6</v>
      </c>
      <c r="O41">
        <v>11</v>
      </c>
      <c r="P41">
        <v>5.4</v>
      </c>
      <c r="Q41">
        <v>6</v>
      </c>
      <c r="R41">
        <v>11</v>
      </c>
      <c r="S41">
        <v>11.4</v>
      </c>
      <c r="T41">
        <v>13.59</v>
      </c>
      <c r="U41">
        <v>17.12</v>
      </c>
      <c r="V41">
        <v>23.74</v>
      </c>
      <c r="W41">
        <v>21.53</v>
      </c>
      <c r="X41">
        <v>26.44</v>
      </c>
      <c r="Y41">
        <v>3.4</v>
      </c>
      <c r="Z41">
        <v>1.8</v>
      </c>
      <c r="AA41">
        <v>15</v>
      </c>
      <c r="AB41">
        <v>30</v>
      </c>
      <c r="AC41" t="s">
        <v>948</v>
      </c>
      <c r="AD41">
        <v>2.7</v>
      </c>
      <c r="AE41">
        <v>1.49</v>
      </c>
      <c r="AF41">
        <v>0.28999999999999998</v>
      </c>
      <c r="AG41">
        <v>0.06</v>
      </c>
      <c r="AH41">
        <v>58</v>
      </c>
      <c r="AI41" s="2101">
        <v>400</v>
      </c>
      <c r="AK41" s="49">
        <v>0.9</v>
      </c>
      <c r="AL41" s="639">
        <v>1</v>
      </c>
      <c r="AM41" s="75">
        <v>2</v>
      </c>
      <c r="AN41" s="75">
        <f t="shared" si="16"/>
        <v>2</v>
      </c>
      <c r="AO41" s="75">
        <v>50</v>
      </c>
      <c r="AP41" s="52">
        <v>90</v>
      </c>
      <c r="AQ41" s="52">
        <v>10</v>
      </c>
      <c r="AR41" s="1682"/>
      <c r="AS41" s="578">
        <v>0.85</v>
      </c>
      <c r="AT41" s="52">
        <v>350</v>
      </c>
      <c r="AU41" s="52">
        <v>55</v>
      </c>
      <c r="AV41" s="578">
        <v>0.8</v>
      </c>
      <c r="AW41" s="52">
        <v>450</v>
      </c>
      <c r="AX41" s="52">
        <v>55</v>
      </c>
      <c r="AY41" s="52">
        <v>40</v>
      </c>
      <c r="AZ41" s="52">
        <v>100</v>
      </c>
      <c r="BC41" s="52">
        <f t="shared" si="17"/>
        <v>10.8</v>
      </c>
      <c r="BD41" s="52">
        <f t="shared" si="18"/>
        <v>5.96</v>
      </c>
      <c r="BE41" s="1332">
        <f t="shared" si="19"/>
        <v>74.8</v>
      </c>
      <c r="BF41" s="52">
        <f t="shared" si="20"/>
        <v>0.82887700534759357</v>
      </c>
      <c r="BH41" s="862" cm="1">
        <f t="array" ref="BH41">INDEX(BM$9:BM$17,$C41)</f>
        <v>3.2</v>
      </c>
      <c r="BI41" s="862" cm="1">
        <f t="array" ref="BI41">INDEX(BN$9:BN$17,$C41)</f>
        <v>0.2</v>
      </c>
      <c r="BJ41" s="862" cm="1">
        <f t="array" ref="BJ41">INDEX(BO$9:BO$17,$C41)</f>
        <v>7.9</v>
      </c>
    </row>
    <row r="42" spans="1:62" x14ac:dyDescent="0.2">
      <c r="A42" s="36"/>
      <c r="B42" s="76" t="s">
        <v>50</v>
      </c>
      <c r="C42">
        <v>1</v>
      </c>
      <c r="D42">
        <v>1.1000000000000001</v>
      </c>
      <c r="E42">
        <v>105</v>
      </c>
      <c r="F42">
        <v>31</v>
      </c>
      <c r="G42">
        <v>129</v>
      </c>
      <c r="H42">
        <v>108</v>
      </c>
      <c r="I42">
        <v>32</v>
      </c>
      <c r="J42">
        <v>128</v>
      </c>
      <c r="K42">
        <v>20</v>
      </c>
      <c r="L42">
        <v>8.0399999999999991</v>
      </c>
      <c r="M42">
        <v>4.55</v>
      </c>
      <c r="N42">
        <v>6</v>
      </c>
      <c r="O42">
        <v>11</v>
      </c>
      <c r="P42">
        <v>5</v>
      </c>
      <c r="Q42">
        <v>6</v>
      </c>
      <c r="R42">
        <v>11</v>
      </c>
      <c r="S42">
        <v>15.8</v>
      </c>
      <c r="T42">
        <v>19.41</v>
      </c>
      <c r="U42">
        <v>24.42</v>
      </c>
      <c r="V42">
        <v>19.43</v>
      </c>
      <c r="W42">
        <v>17.71</v>
      </c>
      <c r="X42">
        <v>20.72</v>
      </c>
      <c r="Y42">
        <v>6</v>
      </c>
      <c r="Z42">
        <v>1.8</v>
      </c>
      <c r="AA42">
        <v>15</v>
      </c>
      <c r="AB42">
        <v>30</v>
      </c>
      <c r="AC42" t="s">
        <v>948</v>
      </c>
      <c r="AD42">
        <v>2.7</v>
      </c>
      <c r="AE42">
        <v>1.49</v>
      </c>
      <c r="AF42">
        <v>0.28999999999999998</v>
      </c>
      <c r="AG42">
        <v>0.06</v>
      </c>
      <c r="AH42">
        <v>50</v>
      </c>
      <c r="AI42" s="2101">
        <v>230</v>
      </c>
      <c r="AK42" s="49">
        <v>0.9</v>
      </c>
      <c r="AL42" s="639">
        <v>1</v>
      </c>
      <c r="AM42" s="75">
        <v>2</v>
      </c>
      <c r="AN42" s="75">
        <f t="shared" si="16"/>
        <v>2</v>
      </c>
      <c r="AO42" s="75">
        <v>50</v>
      </c>
      <c r="AP42" s="52">
        <v>90</v>
      </c>
      <c r="AQ42" s="52">
        <v>10</v>
      </c>
      <c r="AR42" s="1682"/>
      <c r="AS42" s="578">
        <v>0.85</v>
      </c>
      <c r="AT42" s="52">
        <v>350</v>
      </c>
      <c r="AU42" s="52">
        <v>55</v>
      </c>
      <c r="AV42" s="578">
        <v>0.8</v>
      </c>
      <c r="AW42" s="52">
        <v>450</v>
      </c>
      <c r="AX42" s="52">
        <v>55</v>
      </c>
      <c r="AY42" s="52">
        <v>40</v>
      </c>
      <c r="AZ42" s="52">
        <v>100</v>
      </c>
      <c r="BC42" s="52">
        <f t="shared" si="17"/>
        <v>6.21</v>
      </c>
      <c r="BD42" s="52">
        <f t="shared" si="18"/>
        <v>3.4269999999999996</v>
      </c>
      <c r="BE42" s="1332">
        <f t="shared" si="19"/>
        <v>111.21</v>
      </c>
      <c r="BF42" s="52">
        <f t="shared" si="20"/>
        <v>0.97113568923657945</v>
      </c>
      <c r="BH42" s="862" cm="1">
        <f t="array" ref="BH42">INDEX(BM$9:BM$17,$C42)</f>
        <v>3.2</v>
      </c>
      <c r="BI42" s="862" cm="1">
        <f t="array" ref="BI42">INDEX(BN$9:BN$17,$C42)</f>
        <v>0.2</v>
      </c>
      <c r="BJ42" s="862" cm="1">
        <f t="array" ref="BJ42">INDEX(BO$9:BO$17,$C42)</f>
        <v>7.9</v>
      </c>
    </row>
    <row r="43" spans="1:62" x14ac:dyDescent="0.2">
      <c r="A43" s="36"/>
      <c r="B43" t="s">
        <v>8779</v>
      </c>
      <c r="C43"/>
      <c r="D43"/>
      <c r="E43"/>
      <c r="F43"/>
      <c r="G43"/>
      <c r="H43"/>
      <c r="I43"/>
      <c r="J43"/>
      <c r="K43"/>
      <c r="L43"/>
      <c r="M43"/>
      <c r="N43"/>
      <c r="O43"/>
      <c r="P43"/>
      <c r="Q43"/>
      <c r="R43"/>
      <c r="S43"/>
      <c r="T43"/>
      <c r="U43"/>
      <c r="V43"/>
      <c r="W43"/>
      <c r="X43"/>
      <c r="Y43"/>
      <c r="Z43"/>
      <c r="AA43"/>
      <c r="AB43"/>
      <c r="AC43"/>
      <c r="AD43"/>
      <c r="AE43"/>
      <c r="AI43" s="2131"/>
      <c r="AK43" s="49"/>
      <c r="AL43" s="639"/>
      <c r="AM43" s="75"/>
      <c r="AN43" s="75"/>
      <c r="AO43" s="75"/>
      <c r="AR43" s="1682"/>
      <c r="AS43" s="578"/>
      <c r="AV43" s="578"/>
      <c r="BE43" s="1332"/>
      <c r="BH43" s="862"/>
      <c r="BI43" s="862"/>
      <c r="BJ43" s="862"/>
    </row>
    <row r="44" spans="1:62" x14ac:dyDescent="0.2">
      <c r="A44" s="33"/>
      <c r="B44" s="76" t="s">
        <v>51</v>
      </c>
      <c r="C44">
        <v>2</v>
      </c>
      <c r="D44">
        <v>0.32</v>
      </c>
      <c r="E44">
        <v>27.3</v>
      </c>
      <c r="F44">
        <v>12.6</v>
      </c>
      <c r="G44">
        <v>12.77</v>
      </c>
      <c r="H44" s="1650"/>
      <c r="I44" s="1651"/>
      <c r="J44" s="1651"/>
      <c r="K44">
        <v>4.2</v>
      </c>
      <c r="L44">
        <v>5.5</v>
      </c>
      <c r="M44">
        <v>6.25</v>
      </c>
      <c r="N44">
        <v>8</v>
      </c>
      <c r="O44">
        <v>11</v>
      </c>
      <c r="P44">
        <v>2</v>
      </c>
      <c r="Q44">
        <v>2.56</v>
      </c>
      <c r="R44">
        <v>3.52</v>
      </c>
      <c r="S44">
        <v>3.6</v>
      </c>
      <c r="T44">
        <v>4.4800000000000004</v>
      </c>
      <c r="U44">
        <v>5.48</v>
      </c>
      <c r="V44">
        <v>23.21</v>
      </c>
      <c r="W44">
        <v>22.83</v>
      </c>
      <c r="X44">
        <v>24.38</v>
      </c>
      <c r="Y44">
        <v>1.3</v>
      </c>
      <c r="Z44">
        <v>1.8</v>
      </c>
      <c r="AA44">
        <v>20</v>
      </c>
      <c r="AB44">
        <v>30</v>
      </c>
      <c r="AC44" t="s">
        <v>949</v>
      </c>
      <c r="AD44">
        <v>2.56</v>
      </c>
      <c r="AE44">
        <v>1.17</v>
      </c>
      <c r="AF44">
        <v>0.24</v>
      </c>
      <c r="AG44">
        <v>0.05</v>
      </c>
      <c r="AH44">
        <v>79</v>
      </c>
      <c r="AI44" s="91">
        <v>200</v>
      </c>
      <c r="AK44" s="49">
        <v>0.9</v>
      </c>
      <c r="AL44" s="639">
        <v>1</v>
      </c>
      <c r="AM44" s="75">
        <v>2</v>
      </c>
      <c r="AN44" s="75">
        <f t="shared" si="16"/>
        <v>2</v>
      </c>
      <c r="AO44" s="75">
        <v>60</v>
      </c>
      <c r="AP44" s="52">
        <v>90</v>
      </c>
      <c r="AQ44" s="52">
        <v>10</v>
      </c>
      <c r="AR44" s="1682"/>
      <c r="AS44" s="578">
        <v>0.85</v>
      </c>
      <c r="AT44" s="52">
        <v>400</v>
      </c>
      <c r="AU44" s="52">
        <v>60</v>
      </c>
      <c r="AV44" s="578">
        <v>0.82</v>
      </c>
      <c r="AW44" s="52">
        <v>400</v>
      </c>
      <c r="AX44" s="52">
        <v>60</v>
      </c>
      <c r="AY44" s="52">
        <v>40</v>
      </c>
      <c r="AZ44" s="52">
        <v>100</v>
      </c>
      <c r="BC44" s="52">
        <f t="shared" si="17"/>
        <v>5.12</v>
      </c>
      <c r="BD44" s="52">
        <f t="shared" si="18"/>
        <v>2.34</v>
      </c>
      <c r="BE44" s="1332">
        <f t="shared" si="19"/>
        <v>32.42</v>
      </c>
      <c r="BF44" s="52">
        <f t="shared" si="20"/>
        <v>0</v>
      </c>
      <c r="BH44" s="862" cm="1">
        <f t="array" ref="BH44">INDEX(BM$9:BM$17,$C44)</f>
        <v>3.3</v>
      </c>
      <c r="BI44" s="862" cm="1">
        <f t="array" ref="BI44">INDEX(BN$9:BN$17,$C44)</f>
        <v>0.2</v>
      </c>
      <c r="BJ44" s="862" cm="1">
        <f t="array" ref="BJ44">INDEX(BO$9:BO$17,$C44)</f>
        <v>3.1</v>
      </c>
    </row>
    <row r="45" spans="1:62" x14ac:dyDescent="0.2">
      <c r="A45" s="33"/>
      <c r="B45" s="76" t="s">
        <v>52</v>
      </c>
      <c r="C45">
        <v>2</v>
      </c>
      <c r="D45">
        <v>0.32</v>
      </c>
      <c r="E45">
        <v>24.1</v>
      </c>
      <c r="F45">
        <v>11.2</v>
      </c>
      <c r="G45">
        <v>11.58</v>
      </c>
      <c r="H45" s="1650"/>
      <c r="I45" s="1651"/>
      <c r="J45" s="1651"/>
      <c r="K45">
        <v>4.2</v>
      </c>
      <c r="L45">
        <v>5.5</v>
      </c>
      <c r="M45">
        <v>6.25</v>
      </c>
      <c r="N45">
        <v>8</v>
      </c>
      <c r="O45">
        <v>11</v>
      </c>
      <c r="P45">
        <v>2</v>
      </c>
      <c r="Q45">
        <v>2.56</v>
      </c>
      <c r="R45">
        <v>3.52</v>
      </c>
      <c r="S45">
        <v>3.6</v>
      </c>
      <c r="T45">
        <v>4.4800000000000004</v>
      </c>
      <c r="U45">
        <v>5.48</v>
      </c>
      <c r="V45">
        <v>23.21</v>
      </c>
      <c r="W45">
        <v>22.83</v>
      </c>
      <c r="X45">
        <v>24.38</v>
      </c>
      <c r="Y45">
        <v>1.3</v>
      </c>
      <c r="Z45">
        <v>1.8</v>
      </c>
      <c r="AA45">
        <v>20</v>
      </c>
      <c r="AB45">
        <v>30</v>
      </c>
      <c r="AC45" t="s">
        <v>949</v>
      </c>
      <c r="AD45">
        <v>2.56</v>
      </c>
      <c r="AE45">
        <v>1.17</v>
      </c>
      <c r="AF45">
        <v>0.24</v>
      </c>
      <c r="AG45">
        <v>0.05</v>
      </c>
      <c r="AH45">
        <v>79</v>
      </c>
      <c r="AI45" s="91">
        <v>200</v>
      </c>
      <c r="AK45" s="49">
        <v>0.9</v>
      </c>
      <c r="AL45" s="639">
        <v>1</v>
      </c>
      <c r="AM45" s="75">
        <v>2</v>
      </c>
      <c r="AN45" s="75">
        <f t="shared" si="16"/>
        <v>2</v>
      </c>
      <c r="AO45" s="75">
        <v>60</v>
      </c>
      <c r="AP45" s="52">
        <v>90</v>
      </c>
      <c r="AQ45" s="52">
        <v>10</v>
      </c>
      <c r="AR45" s="1682"/>
      <c r="AS45" s="578">
        <v>0.85</v>
      </c>
      <c r="AT45" s="52">
        <v>400</v>
      </c>
      <c r="AU45" s="52">
        <v>60</v>
      </c>
      <c r="AV45" s="578">
        <v>0.82</v>
      </c>
      <c r="AW45" s="52">
        <v>400</v>
      </c>
      <c r="AX45" s="52">
        <v>60</v>
      </c>
      <c r="AY45" s="52">
        <v>40</v>
      </c>
      <c r="AZ45" s="52">
        <v>100</v>
      </c>
      <c r="BC45" s="52">
        <f t="shared" si="17"/>
        <v>5.12</v>
      </c>
      <c r="BD45" s="52">
        <f t="shared" si="18"/>
        <v>2.34</v>
      </c>
      <c r="BE45" s="1332">
        <f t="shared" si="19"/>
        <v>29.220000000000002</v>
      </c>
      <c r="BF45" s="52">
        <f t="shared" si="20"/>
        <v>0</v>
      </c>
      <c r="BH45" s="862" cm="1">
        <f t="array" ref="BH45">INDEX(BM$9:BM$17,$C45)</f>
        <v>3.3</v>
      </c>
      <c r="BI45" s="862" cm="1">
        <f t="array" ref="BI45">INDEX(BN$9:BN$17,$C45)</f>
        <v>0.2</v>
      </c>
      <c r="BJ45" s="862" cm="1">
        <f t="array" ref="BJ45">INDEX(BO$9:BO$17,$C45)</f>
        <v>3.1</v>
      </c>
    </row>
    <row r="46" spans="1:62" x14ac:dyDescent="0.2">
      <c r="A46" s="33"/>
      <c r="B46" s="76" t="s">
        <v>8430</v>
      </c>
      <c r="C46">
        <v>2</v>
      </c>
      <c r="D46">
        <v>0.32</v>
      </c>
      <c r="E46">
        <v>23.1</v>
      </c>
      <c r="F46">
        <v>10.3</v>
      </c>
      <c r="G46">
        <v>11.58</v>
      </c>
      <c r="H46" s="1650"/>
      <c r="I46" s="1651"/>
      <c r="J46" s="1651"/>
      <c r="K46">
        <v>4.2</v>
      </c>
      <c r="L46">
        <v>5.5</v>
      </c>
      <c r="M46">
        <v>6.25</v>
      </c>
      <c r="N46">
        <v>8</v>
      </c>
      <c r="O46">
        <v>11</v>
      </c>
      <c r="P46">
        <v>2</v>
      </c>
      <c r="Q46">
        <v>2.56</v>
      </c>
      <c r="R46">
        <v>3.52</v>
      </c>
      <c r="S46">
        <v>3.6</v>
      </c>
      <c r="T46">
        <v>4.4800000000000004</v>
      </c>
      <c r="U46">
        <v>5.48</v>
      </c>
      <c r="V46">
        <v>23.21</v>
      </c>
      <c r="W46">
        <v>22.83</v>
      </c>
      <c r="X46">
        <v>24.38</v>
      </c>
      <c r="Y46">
        <v>1.3</v>
      </c>
      <c r="Z46">
        <v>1.8</v>
      </c>
      <c r="AA46">
        <v>20</v>
      </c>
      <c r="AB46">
        <v>30</v>
      </c>
      <c r="AC46" t="s">
        <v>949</v>
      </c>
      <c r="AD46">
        <v>2.56</v>
      </c>
      <c r="AE46">
        <v>1.17</v>
      </c>
      <c r="AF46">
        <v>0.24</v>
      </c>
      <c r="AG46">
        <v>0.05</v>
      </c>
      <c r="AH46">
        <v>79</v>
      </c>
      <c r="AI46" s="91">
        <v>200</v>
      </c>
      <c r="AJ46">
        <v>1</v>
      </c>
      <c r="AK46" s="49">
        <v>0.9</v>
      </c>
      <c r="AL46" s="639">
        <v>1</v>
      </c>
      <c r="AM46" s="75">
        <v>2</v>
      </c>
      <c r="AN46" s="75">
        <f t="shared" ref="AN46" si="31">AM46</f>
        <v>2</v>
      </c>
      <c r="AO46" s="75">
        <v>60</v>
      </c>
      <c r="AP46" s="52">
        <v>90</v>
      </c>
      <c r="AQ46" s="52">
        <v>10</v>
      </c>
      <c r="AR46" s="1682"/>
      <c r="AS46" s="578">
        <v>0.85</v>
      </c>
      <c r="AT46" s="52">
        <v>400</v>
      </c>
      <c r="AU46" s="52">
        <v>60</v>
      </c>
      <c r="AV46" s="578">
        <v>0.82</v>
      </c>
      <c r="AW46" s="52">
        <v>400</v>
      </c>
      <c r="AX46" s="52">
        <v>60</v>
      </c>
      <c r="AY46" s="52">
        <v>40</v>
      </c>
      <c r="AZ46" s="52">
        <v>100</v>
      </c>
      <c r="BC46" s="52">
        <f t="shared" ref="BC46:BC50" si="32">AI46/100*AD46</f>
        <v>5.12</v>
      </c>
      <c r="BD46" s="52">
        <f t="shared" ref="BD46:BD50" si="33">AI46/100*AE46</f>
        <v>2.34</v>
      </c>
      <c r="BE46" s="1332">
        <f t="shared" ref="BE46:BE50" si="34">BC46+E46</f>
        <v>28.220000000000002</v>
      </c>
      <c r="BF46" s="52">
        <f t="shared" ref="BF46:BF50" si="35">H46/BE46</f>
        <v>0</v>
      </c>
      <c r="BH46" s="862" cm="1">
        <f t="array" ref="BH46">INDEX(BM$9:BM$17,$C46)</f>
        <v>3.3</v>
      </c>
      <c r="BI46" s="862" cm="1">
        <f t="array" ref="BI46">INDEX(BN$9:BN$17,$C46)</f>
        <v>0.2</v>
      </c>
      <c r="BJ46" s="862" cm="1">
        <f t="array" ref="BJ46">INDEX(BO$9:BO$17,$C46)</f>
        <v>3.1</v>
      </c>
    </row>
    <row r="47" spans="1:62" x14ac:dyDescent="0.2">
      <c r="A47" s="33"/>
      <c r="B47" s="76" t="s">
        <v>53</v>
      </c>
      <c r="C47">
        <v>2</v>
      </c>
      <c r="D47">
        <v>0.32</v>
      </c>
      <c r="E47">
        <v>27.5</v>
      </c>
      <c r="F47">
        <v>12.8</v>
      </c>
      <c r="G47">
        <v>13.13</v>
      </c>
      <c r="H47" s="1652"/>
      <c r="I47" s="1651"/>
      <c r="J47" s="1651"/>
      <c r="K47">
        <v>4.4000000000000004</v>
      </c>
      <c r="L47">
        <v>5.5</v>
      </c>
      <c r="M47">
        <v>6.25</v>
      </c>
      <c r="N47">
        <v>8</v>
      </c>
      <c r="O47">
        <v>11</v>
      </c>
      <c r="P47">
        <v>2</v>
      </c>
      <c r="Q47">
        <v>2.56</v>
      </c>
      <c r="R47">
        <v>3.52</v>
      </c>
      <c r="S47">
        <v>3.7</v>
      </c>
      <c r="T47">
        <v>4.63</v>
      </c>
      <c r="U47">
        <v>5.68</v>
      </c>
      <c r="V47">
        <v>22.83</v>
      </c>
      <c r="W47">
        <v>22.31</v>
      </c>
      <c r="X47">
        <v>23.71</v>
      </c>
      <c r="Y47">
        <v>1.4</v>
      </c>
      <c r="Z47">
        <v>1.8</v>
      </c>
      <c r="AA47">
        <v>20</v>
      </c>
      <c r="AB47">
        <v>30</v>
      </c>
      <c r="AC47" t="s">
        <v>949</v>
      </c>
      <c r="AD47">
        <v>2.56</v>
      </c>
      <c r="AE47">
        <v>1.17</v>
      </c>
      <c r="AF47">
        <v>0.24</v>
      </c>
      <c r="AG47">
        <v>0.05</v>
      </c>
      <c r="AH47">
        <v>79</v>
      </c>
      <c r="AI47" s="91">
        <v>224</v>
      </c>
      <c r="AK47" s="49">
        <v>0.9</v>
      </c>
      <c r="AL47" s="639">
        <v>1</v>
      </c>
      <c r="AM47" s="75">
        <v>2</v>
      </c>
      <c r="AN47" s="75">
        <f t="shared" si="16"/>
        <v>2</v>
      </c>
      <c r="AO47" s="75">
        <v>60</v>
      </c>
      <c r="AP47" s="52">
        <v>90</v>
      </c>
      <c r="AQ47" s="52">
        <v>10</v>
      </c>
      <c r="AR47" s="1682"/>
      <c r="AS47" s="578">
        <v>0.85</v>
      </c>
      <c r="AT47" s="52">
        <v>400</v>
      </c>
      <c r="AU47" s="52">
        <v>60</v>
      </c>
      <c r="AV47" s="578">
        <v>0.82</v>
      </c>
      <c r="AW47" s="52">
        <v>400</v>
      </c>
      <c r="AX47" s="52">
        <v>60</v>
      </c>
      <c r="AY47" s="52">
        <v>40</v>
      </c>
      <c r="AZ47" s="52">
        <v>100</v>
      </c>
      <c r="BC47" s="52">
        <f t="shared" si="32"/>
        <v>5.7344000000000008</v>
      </c>
      <c r="BD47" s="52">
        <f t="shared" si="33"/>
        <v>2.6208</v>
      </c>
      <c r="BE47" s="1332">
        <f t="shared" si="34"/>
        <v>33.234400000000001</v>
      </c>
      <c r="BF47" s="52">
        <f t="shared" si="35"/>
        <v>0</v>
      </c>
      <c r="BH47" s="862" cm="1">
        <f t="array" ref="BH47">INDEX(BM$9:BM$17,$C47)</f>
        <v>3.3</v>
      </c>
      <c r="BI47" s="862" cm="1">
        <f t="array" ref="BI47">INDEX(BN$9:BN$17,$C47)</f>
        <v>0.2</v>
      </c>
      <c r="BJ47" s="862" cm="1">
        <f t="array" ref="BJ47">INDEX(BO$9:BO$17,$C47)</f>
        <v>3.1</v>
      </c>
    </row>
    <row r="48" spans="1:62" x14ac:dyDescent="0.2">
      <c r="A48" s="33"/>
      <c r="B48" s="76" t="s">
        <v>54</v>
      </c>
      <c r="C48">
        <v>2</v>
      </c>
      <c r="D48">
        <v>0.32</v>
      </c>
      <c r="E48">
        <v>24.2</v>
      </c>
      <c r="F48">
        <v>11.2</v>
      </c>
      <c r="G48">
        <v>11.82</v>
      </c>
      <c r="H48" s="1652"/>
      <c r="I48" s="1651"/>
      <c r="J48" s="1651"/>
      <c r="K48">
        <v>4.4000000000000004</v>
      </c>
      <c r="L48">
        <v>5.5</v>
      </c>
      <c r="M48">
        <v>6.25</v>
      </c>
      <c r="N48">
        <v>8</v>
      </c>
      <c r="O48">
        <v>11</v>
      </c>
      <c r="P48">
        <v>2</v>
      </c>
      <c r="Q48">
        <v>2.56</v>
      </c>
      <c r="R48">
        <v>3.52</v>
      </c>
      <c r="S48">
        <v>3.7</v>
      </c>
      <c r="T48">
        <v>4.63</v>
      </c>
      <c r="U48">
        <v>5.68</v>
      </c>
      <c r="V48">
        <v>22.83</v>
      </c>
      <c r="W48">
        <v>22.31</v>
      </c>
      <c r="X48">
        <v>23.71</v>
      </c>
      <c r="Y48">
        <v>1.4</v>
      </c>
      <c r="Z48">
        <v>1.8</v>
      </c>
      <c r="AA48">
        <v>20</v>
      </c>
      <c r="AB48">
        <v>30</v>
      </c>
      <c r="AC48" t="s">
        <v>949</v>
      </c>
      <c r="AD48">
        <v>2.56</v>
      </c>
      <c r="AE48">
        <v>1.17</v>
      </c>
      <c r="AF48">
        <v>0.24</v>
      </c>
      <c r="AG48">
        <v>0.05</v>
      </c>
      <c r="AH48">
        <v>79</v>
      </c>
      <c r="AI48" s="91">
        <v>224</v>
      </c>
      <c r="AK48" s="49">
        <v>0.9</v>
      </c>
      <c r="AL48" s="639">
        <v>1</v>
      </c>
      <c r="AM48" s="75">
        <v>2</v>
      </c>
      <c r="AN48" s="75">
        <f t="shared" si="16"/>
        <v>2</v>
      </c>
      <c r="AO48" s="75">
        <v>60</v>
      </c>
      <c r="AP48" s="52">
        <v>90</v>
      </c>
      <c r="AQ48" s="52">
        <v>10</v>
      </c>
      <c r="AR48" s="1682"/>
      <c r="AS48" s="578">
        <v>0.85</v>
      </c>
      <c r="AT48" s="52">
        <v>400</v>
      </c>
      <c r="AU48" s="52">
        <v>60</v>
      </c>
      <c r="AV48" s="578">
        <v>0.82</v>
      </c>
      <c r="AW48" s="52">
        <v>400</v>
      </c>
      <c r="AX48" s="52">
        <v>60</v>
      </c>
      <c r="AY48" s="52">
        <v>40</v>
      </c>
      <c r="AZ48" s="52">
        <v>100</v>
      </c>
      <c r="BC48" s="52">
        <f t="shared" si="32"/>
        <v>5.7344000000000008</v>
      </c>
      <c r="BD48" s="52">
        <f t="shared" si="33"/>
        <v>2.6208</v>
      </c>
      <c r="BE48" s="1332">
        <f t="shared" si="34"/>
        <v>29.9344</v>
      </c>
      <c r="BF48" s="52">
        <f t="shared" si="35"/>
        <v>0</v>
      </c>
      <c r="BH48" s="862" cm="1">
        <f t="array" ref="BH48">INDEX(BM$9:BM$17,$C48)</f>
        <v>3.3</v>
      </c>
      <c r="BI48" s="862" cm="1">
        <f t="array" ref="BI48">INDEX(BN$9:BN$17,$C48)</f>
        <v>0.2</v>
      </c>
      <c r="BJ48" s="862" cm="1">
        <f t="array" ref="BJ48">INDEX(BO$9:BO$17,$C48)</f>
        <v>3.1</v>
      </c>
    </row>
    <row r="49" spans="1:62" x14ac:dyDescent="0.2">
      <c r="A49" s="33"/>
      <c r="B49" s="76" t="s">
        <v>8431</v>
      </c>
      <c r="C49">
        <v>2</v>
      </c>
      <c r="D49">
        <v>0.32</v>
      </c>
      <c r="E49">
        <v>23.2</v>
      </c>
      <c r="F49">
        <v>10.3</v>
      </c>
      <c r="G49">
        <v>11.82</v>
      </c>
      <c r="H49" s="1652"/>
      <c r="I49" s="1651"/>
      <c r="J49" s="1651"/>
      <c r="K49">
        <v>4.4000000000000004</v>
      </c>
      <c r="L49">
        <v>5.5</v>
      </c>
      <c r="M49">
        <v>6.25</v>
      </c>
      <c r="N49">
        <v>8</v>
      </c>
      <c r="O49">
        <v>11</v>
      </c>
      <c r="P49">
        <v>2</v>
      </c>
      <c r="Q49">
        <v>2.56</v>
      </c>
      <c r="R49">
        <v>3.52</v>
      </c>
      <c r="S49">
        <v>3.7</v>
      </c>
      <c r="T49">
        <v>4.63</v>
      </c>
      <c r="U49">
        <v>5.68</v>
      </c>
      <c r="V49">
        <v>22.83</v>
      </c>
      <c r="W49">
        <v>22.31</v>
      </c>
      <c r="X49">
        <v>23.71</v>
      </c>
      <c r="Y49">
        <v>1.4</v>
      </c>
      <c r="Z49">
        <v>1.8</v>
      </c>
      <c r="AA49">
        <v>20</v>
      </c>
      <c r="AB49">
        <v>30</v>
      </c>
      <c r="AC49" t="s">
        <v>949</v>
      </c>
      <c r="AD49">
        <v>2.56</v>
      </c>
      <c r="AE49">
        <v>1.17</v>
      </c>
      <c r="AF49">
        <v>0.24</v>
      </c>
      <c r="AG49">
        <v>0.05</v>
      </c>
      <c r="AH49">
        <v>79</v>
      </c>
      <c r="AI49" s="91">
        <v>224</v>
      </c>
      <c r="AJ49">
        <v>1</v>
      </c>
      <c r="AK49" s="49">
        <v>0.9</v>
      </c>
      <c r="AL49" s="639">
        <v>1</v>
      </c>
      <c r="AM49" s="75">
        <v>2</v>
      </c>
      <c r="AN49" s="75">
        <f t="shared" ref="AN49" si="36">AM49</f>
        <v>2</v>
      </c>
      <c r="AO49" s="75">
        <v>60</v>
      </c>
      <c r="AP49" s="52">
        <v>90</v>
      </c>
      <c r="AQ49" s="52">
        <v>10</v>
      </c>
      <c r="AR49" s="1682"/>
      <c r="AS49" s="578">
        <v>0.85</v>
      </c>
      <c r="AT49" s="52">
        <v>400</v>
      </c>
      <c r="AU49" s="52">
        <v>60</v>
      </c>
      <c r="AV49" s="578">
        <v>0.82</v>
      </c>
      <c r="AW49" s="52">
        <v>400</v>
      </c>
      <c r="AX49" s="52">
        <v>60</v>
      </c>
      <c r="AY49" s="52">
        <v>40</v>
      </c>
      <c r="AZ49" s="52">
        <v>100</v>
      </c>
      <c r="BC49" s="52">
        <f t="shared" si="32"/>
        <v>5.7344000000000008</v>
      </c>
      <c r="BD49" s="52">
        <f t="shared" si="33"/>
        <v>2.6208</v>
      </c>
      <c r="BE49" s="1332">
        <f t="shared" si="34"/>
        <v>28.9344</v>
      </c>
      <c r="BF49" s="52">
        <f t="shared" si="35"/>
        <v>0</v>
      </c>
      <c r="BH49" s="862" cm="1">
        <f t="array" ref="BH49">INDEX(BM$9:BM$17,$C49)</f>
        <v>3.3</v>
      </c>
      <c r="BI49" s="862" cm="1">
        <f t="array" ref="BI49">INDEX(BN$9:BN$17,$C49)</f>
        <v>0.2</v>
      </c>
      <c r="BJ49" s="862" cm="1">
        <f t="array" ref="BJ49">INDEX(BO$9:BO$17,$C49)</f>
        <v>3.1</v>
      </c>
    </row>
    <row r="50" spans="1:62" x14ac:dyDescent="0.2">
      <c r="A50" s="33"/>
      <c r="B50" s="76" t="s">
        <v>55</v>
      </c>
      <c r="C50">
        <v>2</v>
      </c>
      <c r="D50">
        <v>0.4</v>
      </c>
      <c r="E50">
        <v>41.1</v>
      </c>
      <c r="F50">
        <v>17.899999999999999</v>
      </c>
      <c r="G50">
        <v>21.09</v>
      </c>
      <c r="H50" s="1650"/>
      <c r="I50" s="1651"/>
      <c r="J50" s="1651"/>
      <c r="K50">
        <v>6.5</v>
      </c>
      <c r="L50">
        <v>5.5</v>
      </c>
      <c r="M50">
        <v>7.5</v>
      </c>
      <c r="N50">
        <v>8</v>
      </c>
      <c r="O50">
        <v>11</v>
      </c>
      <c r="P50">
        <v>3</v>
      </c>
      <c r="Q50">
        <v>3.2</v>
      </c>
      <c r="R50">
        <v>4.4000000000000004</v>
      </c>
      <c r="S50">
        <v>5.2</v>
      </c>
      <c r="T50">
        <v>6.47</v>
      </c>
      <c r="U50">
        <v>8.11</v>
      </c>
      <c r="V50">
        <v>24.15</v>
      </c>
      <c r="W50">
        <v>20.72</v>
      </c>
      <c r="X50">
        <v>21.44</v>
      </c>
      <c r="Y50">
        <v>2.4</v>
      </c>
      <c r="Z50">
        <v>1.8</v>
      </c>
      <c r="AA50">
        <v>20</v>
      </c>
      <c r="AB50">
        <v>30</v>
      </c>
      <c r="AC50" t="s">
        <v>949</v>
      </c>
      <c r="AD50">
        <v>2.56</v>
      </c>
      <c r="AE50">
        <v>1.17</v>
      </c>
      <c r="AF50">
        <v>0.24</v>
      </c>
      <c r="AG50">
        <v>0.05</v>
      </c>
      <c r="AH50">
        <v>79</v>
      </c>
      <c r="AI50" s="91">
        <v>700</v>
      </c>
      <c r="AK50" s="49">
        <v>0.9</v>
      </c>
      <c r="AL50" s="639">
        <v>1</v>
      </c>
      <c r="AM50" s="75">
        <v>2</v>
      </c>
      <c r="AN50" s="75">
        <f t="shared" si="16"/>
        <v>2</v>
      </c>
      <c r="AO50" s="75">
        <v>60</v>
      </c>
      <c r="AP50" s="52">
        <v>90</v>
      </c>
      <c r="AQ50" s="52">
        <v>10</v>
      </c>
      <c r="AR50" s="1682"/>
      <c r="AS50" s="578">
        <v>0.85</v>
      </c>
      <c r="AT50" s="52">
        <v>400</v>
      </c>
      <c r="AU50" s="52">
        <v>60</v>
      </c>
      <c r="AV50" s="578">
        <v>0.82</v>
      </c>
      <c r="AW50" s="52">
        <v>400</v>
      </c>
      <c r="AX50" s="52">
        <v>60</v>
      </c>
      <c r="AY50" s="52">
        <v>40</v>
      </c>
      <c r="AZ50" s="52">
        <v>100</v>
      </c>
      <c r="BC50" s="52">
        <f t="shared" si="32"/>
        <v>17.920000000000002</v>
      </c>
      <c r="BD50" s="52">
        <f t="shared" si="33"/>
        <v>8.19</v>
      </c>
      <c r="BE50" s="1332">
        <f t="shared" si="34"/>
        <v>59.02</v>
      </c>
      <c r="BF50" s="52">
        <f t="shared" si="35"/>
        <v>0</v>
      </c>
      <c r="BH50" s="862" cm="1">
        <f t="array" ref="BH50">INDEX(BM$9:BM$17,$C50)</f>
        <v>3.3</v>
      </c>
      <c r="BI50" s="862" cm="1">
        <f t="array" ref="BI50">INDEX(BN$9:BN$17,$C50)</f>
        <v>0.2</v>
      </c>
      <c r="BJ50" s="862" cm="1">
        <f t="array" ref="BJ50">INDEX(BO$9:BO$17,$C50)</f>
        <v>3.1</v>
      </c>
    </row>
    <row r="51" spans="1:62" x14ac:dyDescent="0.2">
      <c r="A51" s="33"/>
      <c r="B51" s="76" t="s">
        <v>56</v>
      </c>
      <c r="C51">
        <v>2</v>
      </c>
      <c r="D51">
        <v>0.4</v>
      </c>
      <c r="E51">
        <v>36.799999999999997</v>
      </c>
      <c r="F51">
        <v>16</v>
      </c>
      <c r="G51">
        <v>19.52</v>
      </c>
      <c r="H51" s="1650"/>
      <c r="I51" s="1651"/>
      <c r="J51" s="1651"/>
      <c r="K51">
        <v>6.5</v>
      </c>
      <c r="L51">
        <v>5.5</v>
      </c>
      <c r="M51">
        <v>7.5</v>
      </c>
      <c r="N51">
        <v>8</v>
      </c>
      <c r="O51">
        <v>11</v>
      </c>
      <c r="P51">
        <v>3</v>
      </c>
      <c r="Q51">
        <v>3.2</v>
      </c>
      <c r="R51">
        <v>4.4000000000000004</v>
      </c>
      <c r="S51">
        <v>5.2</v>
      </c>
      <c r="T51">
        <v>6.47</v>
      </c>
      <c r="U51">
        <v>8.11</v>
      </c>
      <c r="V51">
        <v>24.15</v>
      </c>
      <c r="W51">
        <v>20.72</v>
      </c>
      <c r="X51">
        <v>21.44</v>
      </c>
      <c r="Y51">
        <v>2.4</v>
      </c>
      <c r="Z51">
        <v>1.8</v>
      </c>
      <c r="AA51">
        <v>20</v>
      </c>
      <c r="AB51">
        <v>30</v>
      </c>
      <c r="AC51" t="s">
        <v>949</v>
      </c>
      <c r="AD51">
        <v>2.56</v>
      </c>
      <c r="AE51">
        <v>1.17</v>
      </c>
      <c r="AF51">
        <v>0.24</v>
      </c>
      <c r="AG51">
        <v>0.05</v>
      </c>
      <c r="AH51">
        <v>79</v>
      </c>
      <c r="AI51" s="91">
        <v>700</v>
      </c>
      <c r="AK51" s="49">
        <v>0.9</v>
      </c>
      <c r="AL51" s="639">
        <v>1</v>
      </c>
      <c r="AM51" s="75">
        <v>2</v>
      </c>
      <c r="AN51" s="75">
        <f t="shared" si="16"/>
        <v>2</v>
      </c>
      <c r="AO51" s="75">
        <v>60</v>
      </c>
      <c r="AP51" s="52">
        <v>90</v>
      </c>
      <c r="AQ51" s="52">
        <v>10</v>
      </c>
      <c r="AR51" s="1682"/>
      <c r="AS51" s="578">
        <v>0.85</v>
      </c>
      <c r="AT51" s="52">
        <v>400</v>
      </c>
      <c r="AU51" s="52">
        <v>60</v>
      </c>
      <c r="AV51" s="578">
        <v>0.82</v>
      </c>
      <c r="AW51" s="52">
        <v>400</v>
      </c>
      <c r="AX51" s="52">
        <v>60</v>
      </c>
      <c r="AY51" s="52">
        <v>40</v>
      </c>
      <c r="AZ51" s="52">
        <v>100</v>
      </c>
      <c r="BC51" s="52">
        <f t="shared" ref="BC51:BC87" si="37">AI51/100*AD51</f>
        <v>17.920000000000002</v>
      </c>
      <c r="BD51" s="52">
        <f t="shared" ref="BD51:BD87" si="38">AI51/100*AE51</f>
        <v>8.19</v>
      </c>
      <c r="BE51" s="1332">
        <f t="shared" ref="BE51:BE87" si="39">BC51+E51</f>
        <v>54.72</v>
      </c>
      <c r="BF51" s="52">
        <f t="shared" ref="BF51:BF87" si="40">H51/BE51</f>
        <v>0</v>
      </c>
      <c r="BH51" s="862" cm="1">
        <f t="array" ref="BH51">INDEX(BM$9:BM$17,$C51)</f>
        <v>3.3</v>
      </c>
      <c r="BI51" s="862" cm="1">
        <f t="array" ref="BI51">INDEX(BN$9:BN$17,$C51)</f>
        <v>0.2</v>
      </c>
      <c r="BJ51" s="862" cm="1">
        <f t="array" ref="BJ51">INDEX(BO$9:BO$17,$C51)</f>
        <v>3.1</v>
      </c>
    </row>
    <row r="52" spans="1:62" x14ac:dyDescent="0.2">
      <c r="A52" s="33"/>
      <c r="B52" s="76" t="s">
        <v>8421</v>
      </c>
      <c r="C52">
        <v>2</v>
      </c>
      <c r="D52">
        <v>0.4</v>
      </c>
      <c r="E52">
        <v>35</v>
      </c>
      <c r="F52">
        <v>14.7</v>
      </c>
      <c r="G52">
        <v>19.52</v>
      </c>
      <c r="H52" s="1650"/>
      <c r="I52" s="1651"/>
      <c r="J52" s="1651"/>
      <c r="K52">
        <v>6.5</v>
      </c>
      <c r="L52">
        <v>5.5</v>
      </c>
      <c r="M52">
        <v>7.5</v>
      </c>
      <c r="N52">
        <v>8</v>
      </c>
      <c r="O52">
        <v>11</v>
      </c>
      <c r="P52">
        <v>3</v>
      </c>
      <c r="Q52">
        <v>3.2</v>
      </c>
      <c r="R52">
        <v>4.4000000000000004</v>
      </c>
      <c r="S52">
        <v>5.2</v>
      </c>
      <c r="T52">
        <v>6.47</v>
      </c>
      <c r="U52">
        <v>8.11</v>
      </c>
      <c r="V52">
        <v>24.15</v>
      </c>
      <c r="W52">
        <v>20.72</v>
      </c>
      <c r="X52">
        <v>21.44</v>
      </c>
      <c r="Y52">
        <v>2.4</v>
      </c>
      <c r="Z52">
        <v>1.8</v>
      </c>
      <c r="AA52">
        <v>20</v>
      </c>
      <c r="AB52">
        <v>30</v>
      </c>
      <c r="AC52" t="s">
        <v>949</v>
      </c>
      <c r="AD52">
        <v>2.56</v>
      </c>
      <c r="AE52">
        <v>1.17</v>
      </c>
      <c r="AF52">
        <v>0.24</v>
      </c>
      <c r="AG52">
        <v>0.05</v>
      </c>
      <c r="AH52">
        <v>79</v>
      </c>
      <c r="AI52" s="91">
        <v>700</v>
      </c>
      <c r="AJ52">
        <v>1</v>
      </c>
      <c r="AK52" s="49">
        <v>0.9</v>
      </c>
      <c r="AL52" s="639">
        <v>1</v>
      </c>
      <c r="AM52" s="75">
        <v>2</v>
      </c>
      <c r="AN52" s="75">
        <f t="shared" ref="AN52" si="41">AM52</f>
        <v>2</v>
      </c>
      <c r="AO52" s="75">
        <v>60</v>
      </c>
      <c r="AP52" s="52">
        <v>90</v>
      </c>
      <c r="AQ52" s="52">
        <v>10</v>
      </c>
      <c r="AR52" s="1682"/>
      <c r="AS52" s="578">
        <v>0.85</v>
      </c>
      <c r="AT52" s="52">
        <v>400</v>
      </c>
      <c r="AU52" s="52">
        <v>60</v>
      </c>
      <c r="AV52" s="578">
        <v>0.82</v>
      </c>
      <c r="AW52" s="52">
        <v>400</v>
      </c>
      <c r="AX52" s="52">
        <v>60</v>
      </c>
      <c r="AY52" s="52">
        <v>40</v>
      </c>
      <c r="AZ52" s="52">
        <v>100</v>
      </c>
      <c r="BC52" s="52">
        <f t="shared" si="37"/>
        <v>17.920000000000002</v>
      </c>
      <c r="BD52" s="52">
        <f t="shared" si="38"/>
        <v>8.19</v>
      </c>
      <c r="BE52" s="1332">
        <f t="shared" si="39"/>
        <v>52.92</v>
      </c>
      <c r="BF52" s="52">
        <f t="shared" si="40"/>
        <v>0</v>
      </c>
      <c r="BH52" s="862" cm="1">
        <f t="array" ref="BH52">INDEX(BM$9:BM$17,$C52)</f>
        <v>3.3</v>
      </c>
      <c r="BI52" s="862" cm="1">
        <f t="array" ref="BI52">INDEX(BN$9:BN$17,$C52)</f>
        <v>0.2</v>
      </c>
      <c r="BJ52" s="862" cm="1">
        <f t="array" ref="BJ52">INDEX(BO$9:BO$17,$C52)</f>
        <v>3.1</v>
      </c>
    </row>
    <row r="53" spans="1:62" x14ac:dyDescent="0.2">
      <c r="A53" s="33"/>
      <c r="B53" s="76" t="s">
        <v>57</v>
      </c>
      <c r="C53">
        <v>2</v>
      </c>
      <c r="D53">
        <v>0.42</v>
      </c>
      <c r="E53">
        <v>42.9</v>
      </c>
      <c r="F53">
        <v>18.600000000000001</v>
      </c>
      <c r="G53">
        <v>21.33</v>
      </c>
      <c r="H53" s="1652"/>
      <c r="I53" s="1651"/>
      <c r="J53" s="1651"/>
      <c r="K53">
        <v>7</v>
      </c>
      <c r="L53">
        <v>5.5</v>
      </c>
      <c r="M53">
        <v>7.14</v>
      </c>
      <c r="N53">
        <v>8</v>
      </c>
      <c r="O53">
        <v>11</v>
      </c>
      <c r="P53">
        <v>3</v>
      </c>
      <c r="Q53">
        <v>3.36</v>
      </c>
      <c r="R53">
        <v>4.62</v>
      </c>
      <c r="S53">
        <v>5.5</v>
      </c>
      <c r="T53">
        <v>6.93</v>
      </c>
      <c r="U53">
        <v>8.69</v>
      </c>
      <c r="V53">
        <v>23.27</v>
      </c>
      <c r="W53">
        <v>20.440000000000001</v>
      </c>
      <c r="X53">
        <v>21.12</v>
      </c>
      <c r="Y53">
        <v>2.6</v>
      </c>
      <c r="Z53">
        <v>1.8</v>
      </c>
      <c r="AA53">
        <v>20</v>
      </c>
      <c r="AB53">
        <v>30</v>
      </c>
      <c r="AC53" t="s">
        <v>949</v>
      </c>
      <c r="AD53">
        <v>2.56</v>
      </c>
      <c r="AE53">
        <v>1.17</v>
      </c>
      <c r="AF53">
        <v>0.24</v>
      </c>
      <c r="AG53">
        <v>0.05</v>
      </c>
      <c r="AH53">
        <v>79</v>
      </c>
      <c r="AI53" s="91">
        <v>784</v>
      </c>
      <c r="AK53" s="49">
        <v>0.9</v>
      </c>
      <c r="AL53" s="639">
        <v>1</v>
      </c>
      <c r="AM53" s="75">
        <v>2</v>
      </c>
      <c r="AN53" s="75">
        <f t="shared" si="16"/>
        <v>2</v>
      </c>
      <c r="AO53" s="75">
        <v>60</v>
      </c>
      <c r="AP53" s="52">
        <v>90</v>
      </c>
      <c r="AQ53" s="52">
        <v>10</v>
      </c>
      <c r="AR53" s="1682"/>
      <c r="AS53" s="578">
        <v>0.85</v>
      </c>
      <c r="AT53" s="52">
        <v>400</v>
      </c>
      <c r="AU53" s="52">
        <v>60</v>
      </c>
      <c r="AV53" s="578">
        <v>0.82</v>
      </c>
      <c r="AW53" s="52">
        <v>400</v>
      </c>
      <c r="AX53" s="52">
        <v>60</v>
      </c>
      <c r="AY53" s="52">
        <v>40</v>
      </c>
      <c r="AZ53" s="52">
        <v>100</v>
      </c>
      <c r="BC53" s="52">
        <f t="shared" si="37"/>
        <v>20.070399999999999</v>
      </c>
      <c r="BD53" s="52">
        <f t="shared" si="38"/>
        <v>9.1727999999999987</v>
      </c>
      <c r="BE53" s="1332">
        <f t="shared" si="39"/>
        <v>62.970399999999998</v>
      </c>
      <c r="BF53" s="52">
        <f t="shared" si="40"/>
        <v>0</v>
      </c>
      <c r="BH53" s="862" cm="1">
        <f t="array" ref="BH53">INDEX(BM$9:BM$17,$C53)</f>
        <v>3.3</v>
      </c>
      <c r="BI53" s="862" cm="1">
        <f t="array" ref="BI53">INDEX(BN$9:BN$17,$C53)</f>
        <v>0.2</v>
      </c>
      <c r="BJ53" s="862" cm="1">
        <f t="array" ref="BJ53">INDEX(BO$9:BO$17,$C53)</f>
        <v>3.1</v>
      </c>
    </row>
    <row r="54" spans="1:62" x14ac:dyDescent="0.2">
      <c r="A54" s="33"/>
      <c r="B54" s="76" t="s">
        <v>58</v>
      </c>
      <c r="C54">
        <v>2</v>
      </c>
      <c r="D54">
        <v>0.42</v>
      </c>
      <c r="E54">
        <v>38.4</v>
      </c>
      <c r="F54">
        <v>16.7</v>
      </c>
      <c r="G54">
        <v>20.73</v>
      </c>
      <c r="H54" s="1652"/>
      <c r="I54" s="1651"/>
      <c r="J54" s="1651"/>
      <c r="K54">
        <v>7</v>
      </c>
      <c r="L54">
        <v>5.5</v>
      </c>
      <c r="M54">
        <v>7.14</v>
      </c>
      <c r="N54">
        <v>8</v>
      </c>
      <c r="O54">
        <v>11</v>
      </c>
      <c r="P54">
        <v>3</v>
      </c>
      <c r="Q54">
        <v>3.36</v>
      </c>
      <c r="R54">
        <v>4.62</v>
      </c>
      <c r="S54">
        <v>5.5</v>
      </c>
      <c r="T54">
        <v>6.93</v>
      </c>
      <c r="U54">
        <v>8.69</v>
      </c>
      <c r="V54">
        <v>23.27</v>
      </c>
      <c r="W54">
        <v>20.440000000000001</v>
      </c>
      <c r="X54">
        <v>21.12</v>
      </c>
      <c r="Y54">
        <v>2.6</v>
      </c>
      <c r="Z54">
        <v>1.8</v>
      </c>
      <c r="AA54">
        <v>20</v>
      </c>
      <c r="AB54">
        <v>30</v>
      </c>
      <c r="AC54" t="s">
        <v>949</v>
      </c>
      <c r="AD54">
        <v>2.56</v>
      </c>
      <c r="AE54">
        <v>1.17</v>
      </c>
      <c r="AF54">
        <v>0.24</v>
      </c>
      <c r="AG54">
        <v>0.05</v>
      </c>
      <c r="AH54">
        <v>79</v>
      </c>
      <c r="AI54" s="91">
        <v>784</v>
      </c>
      <c r="AK54" s="49">
        <v>0.9</v>
      </c>
      <c r="AL54" s="639">
        <v>1</v>
      </c>
      <c r="AM54" s="75">
        <v>2</v>
      </c>
      <c r="AN54" s="75">
        <f t="shared" si="16"/>
        <v>2</v>
      </c>
      <c r="AO54" s="75">
        <v>60</v>
      </c>
      <c r="AP54" s="52">
        <v>90</v>
      </c>
      <c r="AQ54" s="52">
        <v>10</v>
      </c>
      <c r="AR54" s="1682"/>
      <c r="AS54" s="578">
        <v>0.85</v>
      </c>
      <c r="AT54" s="52">
        <v>400</v>
      </c>
      <c r="AU54" s="52">
        <v>60</v>
      </c>
      <c r="AV54" s="578">
        <v>0.82</v>
      </c>
      <c r="AW54" s="52">
        <v>400</v>
      </c>
      <c r="AX54" s="52">
        <v>60</v>
      </c>
      <c r="AY54" s="52">
        <v>40</v>
      </c>
      <c r="AZ54" s="52">
        <v>100</v>
      </c>
      <c r="BC54" s="52">
        <f>AI54/100*AD54</f>
        <v>20.070399999999999</v>
      </c>
      <c r="BD54" s="52">
        <f t="shared" si="38"/>
        <v>9.1727999999999987</v>
      </c>
      <c r="BE54" s="1332">
        <f t="shared" si="39"/>
        <v>58.470399999999998</v>
      </c>
      <c r="BF54" s="52">
        <f t="shared" si="40"/>
        <v>0</v>
      </c>
      <c r="BH54" s="862" cm="1">
        <f t="array" ref="BH54">INDEX(BM$9:BM$17,$C54)</f>
        <v>3.3</v>
      </c>
      <c r="BI54" s="862" cm="1">
        <f t="array" ref="BI54">INDEX(BN$9:BN$17,$C54)</f>
        <v>0.2</v>
      </c>
      <c r="BJ54" s="862" cm="1">
        <f t="array" ref="BJ54">INDEX(BO$9:BO$17,$C54)</f>
        <v>3.1</v>
      </c>
    </row>
    <row r="55" spans="1:62" x14ac:dyDescent="0.2">
      <c r="A55" s="33"/>
      <c r="B55" s="76" t="s">
        <v>8422</v>
      </c>
      <c r="C55">
        <v>2</v>
      </c>
      <c r="D55">
        <v>0.42</v>
      </c>
      <c r="E55">
        <v>36.6</v>
      </c>
      <c r="F55">
        <v>15.1</v>
      </c>
      <c r="G55">
        <v>20.73</v>
      </c>
      <c r="H55" s="1652"/>
      <c r="I55" s="1651"/>
      <c r="J55" s="1651"/>
      <c r="K55">
        <v>7</v>
      </c>
      <c r="L55">
        <v>5.5</v>
      </c>
      <c r="M55">
        <v>7.14</v>
      </c>
      <c r="N55">
        <v>8</v>
      </c>
      <c r="O55">
        <v>11</v>
      </c>
      <c r="P55">
        <v>3</v>
      </c>
      <c r="Q55">
        <v>3.36</v>
      </c>
      <c r="R55">
        <v>4.62</v>
      </c>
      <c r="S55">
        <v>5.5</v>
      </c>
      <c r="T55">
        <v>6.93</v>
      </c>
      <c r="U55">
        <v>8.69</v>
      </c>
      <c r="V55">
        <v>23.27</v>
      </c>
      <c r="W55">
        <v>20.440000000000001</v>
      </c>
      <c r="X55">
        <v>21.12</v>
      </c>
      <c r="Y55">
        <v>2.6</v>
      </c>
      <c r="Z55">
        <v>1.8</v>
      </c>
      <c r="AA55">
        <v>20</v>
      </c>
      <c r="AB55">
        <v>30</v>
      </c>
      <c r="AC55" t="s">
        <v>949</v>
      </c>
      <c r="AD55">
        <v>2.56</v>
      </c>
      <c r="AE55">
        <v>1.17</v>
      </c>
      <c r="AF55">
        <v>0.24</v>
      </c>
      <c r="AG55">
        <v>0.05</v>
      </c>
      <c r="AH55">
        <v>79</v>
      </c>
      <c r="AI55" s="91">
        <v>784</v>
      </c>
      <c r="AJ55">
        <v>1</v>
      </c>
      <c r="AK55" s="49">
        <v>0.9</v>
      </c>
      <c r="AL55" s="639">
        <v>1</v>
      </c>
      <c r="AM55" s="75">
        <v>2</v>
      </c>
      <c r="AN55" s="75">
        <f t="shared" ref="AN55" si="42">AM55</f>
        <v>2</v>
      </c>
      <c r="AO55" s="75">
        <v>60</v>
      </c>
      <c r="AP55" s="52">
        <v>90</v>
      </c>
      <c r="AQ55" s="52">
        <v>10</v>
      </c>
      <c r="AR55" s="1682"/>
      <c r="AS55" s="578">
        <v>0.85</v>
      </c>
      <c r="AT55" s="52">
        <v>400</v>
      </c>
      <c r="AU55" s="52">
        <v>60</v>
      </c>
      <c r="AV55" s="578">
        <v>0.82</v>
      </c>
      <c r="AW55" s="52">
        <v>400</v>
      </c>
      <c r="AX55" s="52">
        <v>60</v>
      </c>
      <c r="AY55" s="52">
        <v>40</v>
      </c>
      <c r="AZ55" s="52">
        <v>100</v>
      </c>
      <c r="BC55" s="52">
        <f t="shared" si="37"/>
        <v>20.070399999999999</v>
      </c>
      <c r="BD55" s="52">
        <f t="shared" si="38"/>
        <v>9.1727999999999987</v>
      </c>
      <c r="BE55" s="1332">
        <f t="shared" si="39"/>
        <v>56.670400000000001</v>
      </c>
      <c r="BF55" s="52">
        <f t="shared" si="40"/>
        <v>0</v>
      </c>
      <c r="BH55" s="862" cm="1">
        <f t="array" ref="BH55">INDEX(BM$9:BM$17,$C55)</f>
        <v>3.3</v>
      </c>
      <c r="BI55" s="862" cm="1">
        <f t="array" ref="BI55">INDEX(BN$9:BN$17,$C55)</f>
        <v>0.2</v>
      </c>
      <c r="BJ55" s="862" cm="1">
        <f t="array" ref="BJ55">INDEX(BO$9:BO$17,$C55)</f>
        <v>3.1</v>
      </c>
    </row>
    <row r="56" spans="1:62" x14ac:dyDescent="0.2">
      <c r="A56" s="36"/>
      <c r="B56" s="76" t="s">
        <v>59</v>
      </c>
      <c r="C56">
        <v>2</v>
      </c>
      <c r="D56">
        <v>0.03</v>
      </c>
      <c r="E56">
        <v>4.46</v>
      </c>
      <c r="F56">
        <v>1.64</v>
      </c>
      <c r="G56">
        <v>2.73</v>
      </c>
      <c r="H56" s="1652"/>
      <c r="I56" s="1651"/>
      <c r="J56" s="1651"/>
      <c r="K56">
        <v>0.7</v>
      </c>
      <c r="L56">
        <v>5.5</v>
      </c>
      <c r="M56">
        <v>7.67</v>
      </c>
      <c r="N56">
        <v>8</v>
      </c>
      <c r="O56">
        <v>11</v>
      </c>
      <c r="P56">
        <v>0.23</v>
      </c>
      <c r="Q56">
        <v>0.24</v>
      </c>
      <c r="R56">
        <v>0.33</v>
      </c>
      <c r="S56">
        <v>0.43</v>
      </c>
      <c r="T56">
        <v>0.61</v>
      </c>
      <c r="U56">
        <v>0.82</v>
      </c>
      <c r="V56">
        <v>24.28</v>
      </c>
      <c r="W56">
        <v>18.13</v>
      </c>
      <c r="X56">
        <v>17.329999999999998</v>
      </c>
      <c r="Y56">
        <v>0.35</v>
      </c>
      <c r="Z56">
        <v>1.8</v>
      </c>
      <c r="AA56">
        <v>20</v>
      </c>
      <c r="AB56">
        <v>30</v>
      </c>
      <c r="AC56" t="s">
        <v>949</v>
      </c>
      <c r="AD56">
        <v>2.56</v>
      </c>
      <c r="AE56">
        <v>1.17</v>
      </c>
      <c r="AF56">
        <v>0.24</v>
      </c>
      <c r="AG56">
        <v>0.05</v>
      </c>
      <c r="AH56">
        <v>79</v>
      </c>
      <c r="AI56" s="91">
        <v>164.25</v>
      </c>
      <c r="AK56" s="49">
        <v>0.9</v>
      </c>
      <c r="AL56" s="639">
        <v>1</v>
      </c>
      <c r="AM56" s="75">
        <v>2</v>
      </c>
      <c r="AN56" s="75">
        <f>AM56</f>
        <v>2</v>
      </c>
      <c r="AO56" s="75">
        <v>60</v>
      </c>
      <c r="AP56" s="52">
        <v>90</v>
      </c>
      <c r="AQ56" s="52">
        <v>10</v>
      </c>
      <c r="AR56" s="1682"/>
      <c r="AS56" s="578">
        <v>0.85</v>
      </c>
      <c r="AT56" s="52">
        <v>400</v>
      </c>
      <c r="AU56" s="52">
        <v>60</v>
      </c>
      <c r="AV56" s="578">
        <v>0.82</v>
      </c>
      <c r="AW56" s="52">
        <v>400</v>
      </c>
      <c r="AX56" s="52">
        <v>60</v>
      </c>
      <c r="AY56" s="52">
        <v>40</v>
      </c>
      <c r="AZ56" s="52">
        <v>100</v>
      </c>
      <c r="BC56" s="52">
        <f t="shared" si="37"/>
        <v>4.2048000000000005</v>
      </c>
      <c r="BD56" s="52">
        <f t="shared" si="38"/>
        <v>1.9217249999999999</v>
      </c>
      <c r="BE56" s="1332">
        <f t="shared" si="39"/>
        <v>8.6647999999999996</v>
      </c>
      <c r="BF56" s="52">
        <f t="shared" si="40"/>
        <v>0</v>
      </c>
      <c r="BH56" s="862" cm="1">
        <f t="array" ref="BH56">INDEX(BM$9:BM$17,$C56)</f>
        <v>3.3</v>
      </c>
      <c r="BI56" s="862" cm="1">
        <f t="array" ref="BI56">INDEX(BN$9:BN$17,$C56)</f>
        <v>0.2</v>
      </c>
      <c r="BJ56" s="862" cm="1">
        <f t="array" ref="BJ56">INDEX(BO$9:BO$17,$C56)</f>
        <v>3.1</v>
      </c>
    </row>
    <row r="57" spans="1:62" x14ac:dyDescent="0.2">
      <c r="A57" s="36"/>
      <c r="B57" s="76" t="s">
        <v>60</v>
      </c>
      <c r="C57">
        <v>2</v>
      </c>
      <c r="D57">
        <v>0.03</v>
      </c>
      <c r="E57">
        <v>4.1900000000000004</v>
      </c>
      <c r="F57">
        <v>1.61</v>
      </c>
      <c r="G57">
        <v>2.61</v>
      </c>
      <c r="H57" s="1652"/>
      <c r="I57" s="1651"/>
      <c r="J57" s="1651"/>
      <c r="K57">
        <v>0.7</v>
      </c>
      <c r="L57">
        <v>5.5</v>
      </c>
      <c r="M57">
        <v>7.67</v>
      </c>
      <c r="N57">
        <v>8</v>
      </c>
      <c r="O57">
        <v>11</v>
      </c>
      <c r="P57">
        <v>0.23</v>
      </c>
      <c r="Q57">
        <v>0.24</v>
      </c>
      <c r="R57">
        <v>0.33</v>
      </c>
      <c r="S57">
        <v>0.43</v>
      </c>
      <c r="T57">
        <v>0.61</v>
      </c>
      <c r="U57">
        <v>0.82</v>
      </c>
      <c r="V57">
        <v>24.28</v>
      </c>
      <c r="W57">
        <v>18.13</v>
      </c>
      <c r="X57">
        <v>17.329999999999998</v>
      </c>
      <c r="Y57">
        <v>0.35</v>
      </c>
      <c r="Z57">
        <v>1.8</v>
      </c>
      <c r="AA57">
        <v>20</v>
      </c>
      <c r="AB57">
        <v>30</v>
      </c>
      <c r="AC57" t="s">
        <v>949</v>
      </c>
      <c r="AD57">
        <v>2.56</v>
      </c>
      <c r="AE57">
        <v>1.17</v>
      </c>
      <c r="AF57">
        <v>0.24</v>
      </c>
      <c r="AG57">
        <v>0.05</v>
      </c>
      <c r="AH57">
        <v>79</v>
      </c>
      <c r="AI57" s="91">
        <v>164.25</v>
      </c>
      <c r="AK57" s="49">
        <v>0.9</v>
      </c>
      <c r="AL57" s="639">
        <v>1</v>
      </c>
      <c r="AM57" s="75">
        <v>2</v>
      </c>
      <c r="AN57" s="75">
        <f t="shared" si="16"/>
        <v>2</v>
      </c>
      <c r="AO57" s="75">
        <v>60</v>
      </c>
      <c r="AP57" s="52">
        <v>90</v>
      </c>
      <c r="AQ57" s="52">
        <v>10</v>
      </c>
      <c r="AS57" s="578">
        <v>0.85</v>
      </c>
      <c r="AT57" s="52">
        <v>400</v>
      </c>
      <c r="AU57" s="52">
        <v>60</v>
      </c>
      <c r="AV57" s="578">
        <v>0.82</v>
      </c>
      <c r="AW57" s="52">
        <v>400</v>
      </c>
      <c r="AX57" s="52">
        <v>60</v>
      </c>
      <c r="AY57" s="52">
        <v>40</v>
      </c>
      <c r="AZ57" s="52">
        <v>100</v>
      </c>
      <c r="BC57" s="52">
        <f t="shared" si="37"/>
        <v>4.2048000000000005</v>
      </c>
      <c r="BD57" s="52">
        <f t="shared" si="38"/>
        <v>1.9217249999999999</v>
      </c>
      <c r="BE57" s="1332">
        <f t="shared" si="39"/>
        <v>8.3948</v>
      </c>
      <c r="BF57" s="52">
        <f t="shared" si="40"/>
        <v>0</v>
      </c>
      <c r="BH57" s="862" cm="1">
        <f t="array" ref="BH57">INDEX(BM$9:BM$17,$C57)</f>
        <v>3.3</v>
      </c>
      <c r="BI57" s="862" cm="1">
        <f t="array" ref="BI57">INDEX(BN$9:BN$17,$C57)</f>
        <v>0.2</v>
      </c>
      <c r="BJ57" s="862" cm="1">
        <f t="array" ref="BJ57">INDEX(BO$9:BO$17,$C57)</f>
        <v>3.1</v>
      </c>
    </row>
    <row r="58" spans="1:62" x14ac:dyDescent="0.2">
      <c r="A58" s="36"/>
      <c r="B58" s="76" t="s">
        <v>8423</v>
      </c>
      <c r="C58">
        <v>2</v>
      </c>
      <c r="D58">
        <v>0.03</v>
      </c>
      <c r="E58">
        <v>3.94</v>
      </c>
      <c r="F58">
        <v>1.46</v>
      </c>
      <c r="G58">
        <v>2.61</v>
      </c>
      <c r="H58" s="1652"/>
      <c r="I58" s="1651"/>
      <c r="J58" s="1651"/>
      <c r="K58">
        <v>0.7</v>
      </c>
      <c r="L58">
        <v>5.5</v>
      </c>
      <c r="M58">
        <v>7.67</v>
      </c>
      <c r="N58">
        <v>8</v>
      </c>
      <c r="O58">
        <v>11</v>
      </c>
      <c r="P58">
        <v>0.23</v>
      </c>
      <c r="Q58">
        <v>0.24</v>
      </c>
      <c r="R58">
        <v>0.33</v>
      </c>
      <c r="S58">
        <v>0.43</v>
      </c>
      <c r="T58">
        <v>0.61</v>
      </c>
      <c r="U58">
        <v>0.82</v>
      </c>
      <c r="V58">
        <v>24.28</v>
      </c>
      <c r="W58">
        <v>18.13</v>
      </c>
      <c r="X58">
        <v>17.329999999999998</v>
      </c>
      <c r="Y58">
        <v>0.35</v>
      </c>
      <c r="Z58">
        <v>1.8</v>
      </c>
      <c r="AA58">
        <v>20</v>
      </c>
      <c r="AB58">
        <v>30</v>
      </c>
      <c r="AC58" t="s">
        <v>949</v>
      </c>
      <c r="AD58">
        <v>2.56</v>
      </c>
      <c r="AE58">
        <v>1.17</v>
      </c>
      <c r="AF58">
        <v>0.24</v>
      </c>
      <c r="AG58">
        <v>0.05</v>
      </c>
      <c r="AH58">
        <v>79</v>
      </c>
      <c r="AI58" s="91">
        <v>164.25</v>
      </c>
      <c r="AJ58">
        <v>1</v>
      </c>
      <c r="AK58" s="49">
        <v>0.9</v>
      </c>
      <c r="AL58" s="639">
        <v>1</v>
      </c>
      <c r="AM58" s="75">
        <v>2</v>
      </c>
      <c r="AN58" s="75">
        <f t="shared" ref="AN58" si="43">AM58</f>
        <v>2</v>
      </c>
      <c r="AO58" s="75">
        <v>60</v>
      </c>
      <c r="AP58" s="52">
        <v>90</v>
      </c>
      <c r="AQ58" s="52">
        <v>10</v>
      </c>
      <c r="AR58" s="1682"/>
      <c r="AS58" s="578">
        <v>0.85</v>
      </c>
      <c r="AT58" s="52">
        <v>400</v>
      </c>
      <c r="AU58" s="52">
        <v>60</v>
      </c>
      <c r="AV58" s="578">
        <v>0.82</v>
      </c>
      <c r="AW58" s="52">
        <v>400</v>
      </c>
      <c r="AX58" s="52">
        <v>60</v>
      </c>
      <c r="AY58" s="52">
        <v>40</v>
      </c>
      <c r="AZ58" s="52">
        <v>100</v>
      </c>
      <c r="BC58" s="52">
        <f t="shared" si="37"/>
        <v>4.2048000000000005</v>
      </c>
      <c r="BD58" s="52">
        <f t="shared" si="38"/>
        <v>1.9217249999999999</v>
      </c>
      <c r="BE58" s="1332">
        <f t="shared" si="39"/>
        <v>8.1448</v>
      </c>
      <c r="BF58" s="52">
        <f t="shared" si="40"/>
        <v>0</v>
      </c>
      <c r="BH58" s="862" cm="1">
        <f t="array" ref="BH58">INDEX(BM$9:BM$17,$C58)</f>
        <v>3.3</v>
      </c>
      <c r="BI58" s="862" cm="1">
        <f t="array" ref="BI58">INDEX(BN$9:BN$17,$C58)</f>
        <v>0.2</v>
      </c>
      <c r="BJ58" s="862" cm="1">
        <f t="array" ref="BJ58">INDEX(BO$9:BO$17,$C58)</f>
        <v>3.1</v>
      </c>
    </row>
    <row r="59" spans="1:62" x14ac:dyDescent="0.2">
      <c r="A59" s="36"/>
      <c r="B59" s="76" t="s">
        <v>8743</v>
      </c>
      <c r="C59" s="76">
        <v>2</v>
      </c>
      <c r="D59" s="76">
        <v>0.13</v>
      </c>
      <c r="E59" s="76">
        <v>12.05</v>
      </c>
      <c r="F59" s="76">
        <v>6.11</v>
      </c>
      <c r="G59" s="76">
        <v>5.56</v>
      </c>
      <c r="H59" s="1652"/>
      <c r="I59" s="1651"/>
      <c r="J59" s="1651"/>
      <c r="K59" s="76">
        <v>1.64</v>
      </c>
      <c r="L59" s="76">
        <v>5.5</v>
      </c>
      <c r="M59" s="76">
        <v>4.6900000000000004</v>
      </c>
      <c r="N59" s="76">
        <v>6</v>
      </c>
      <c r="O59" s="76">
        <v>11</v>
      </c>
      <c r="P59" s="76">
        <v>0.61</v>
      </c>
      <c r="Q59" s="76">
        <v>0.78</v>
      </c>
      <c r="R59" s="76">
        <v>1.43</v>
      </c>
      <c r="S59" s="76">
        <v>1.3</v>
      </c>
      <c r="T59" s="76">
        <v>1.61</v>
      </c>
      <c r="U59" s="76">
        <v>2.16</v>
      </c>
      <c r="V59" s="76">
        <v>20.82</v>
      </c>
      <c r="W59" s="76">
        <v>20.46</v>
      </c>
      <c r="X59" s="76">
        <v>24.96</v>
      </c>
      <c r="Y59" s="76">
        <v>0.61</v>
      </c>
      <c r="Z59" s="76">
        <v>1.8</v>
      </c>
      <c r="AA59" s="76">
        <v>20</v>
      </c>
      <c r="AB59" s="76">
        <v>30</v>
      </c>
      <c r="AC59" s="76" t="s">
        <v>949</v>
      </c>
      <c r="AD59" s="76">
        <v>2.56</v>
      </c>
      <c r="AE59" s="76">
        <v>1.17</v>
      </c>
      <c r="AF59" s="76">
        <v>0.24</v>
      </c>
      <c r="AG59" s="76">
        <v>0.05</v>
      </c>
      <c r="AH59" s="76">
        <v>79</v>
      </c>
      <c r="AI59" s="76">
        <v>255.5</v>
      </c>
      <c r="AJ59" s="76"/>
      <c r="AK59" s="49">
        <v>0.9</v>
      </c>
      <c r="AL59" s="75">
        <v>1</v>
      </c>
      <c r="AM59" s="75">
        <v>2</v>
      </c>
      <c r="AN59" s="75">
        <f t="shared" ref="AN59:AN60" si="44">AM59</f>
        <v>2</v>
      </c>
      <c r="AO59" s="75">
        <v>60</v>
      </c>
      <c r="AP59" s="52">
        <v>90</v>
      </c>
      <c r="AQ59" s="52">
        <v>10</v>
      </c>
      <c r="AR59" s="1682"/>
      <c r="AS59" s="578">
        <v>0.85</v>
      </c>
      <c r="AT59" s="52">
        <v>400</v>
      </c>
      <c r="AU59" s="52">
        <v>60</v>
      </c>
      <c r="AV59" s="578">
        <v>0.82</v>
      </c>
      <c r="AW59" s="52">
        <v>400</v>
      </c>
      <c r="AX59" s="52">
        <v>60</v>
      </c>
      <c r="AY59" s="52">
        <v>40</v>
      </c>
      <c r="AZ59" s="52">
        <v>100</v>
      </c>
      <c r="BA59" s="76"/>
      <c r="BB59" s="76"/>
      <c r="BC59" s="52">
        <f>AI59/100*AD59</f>
        <v>6.5408000000000008</v>
      </c>
      <c r="BD59" s="52">
        <f t="shared" si="38"/>
        <v>2.98935</v>
      </c>
      <c r="BE59" s="1332">
        <f t="shared" si="39"/>
        <v>18.590800000000002</v>
      </c>
      <c r="BF59" s="52">
        <f t="shared" si="40"/>
        <v>0</v>
      </c>
      <c r="BH59" s="1903" cm="1">
        <f t="array" ref="BH59">INDEX(BM$9:BM$17,$C59)</f>
        <v>3.3</v>
      </c>
      <c r="BI59" s="1903" cm="1">
        <f t="array" ref="BI59">INDEX(BN$9:BN$17,$C59)</f>
        <v>0.2</v>
      </c>
      <c r="BJ59" s="1903" cm="1">
        <f t="array" ref="BJ59">INDEX(BO$9:BO$17,$C59)</f>
        <v>3.1</v>
      </c>
    </row>
    <row r="60" spans="1:62" x14ac:dyDescent="0.2">
      <c r="A60" s="36"/>
      <c r="B60" s="76" t="s">
        <v>8744</v>
      </c>
      <c r="C60" s="76">
        <v>2</v>
      </c>
      <c r="D60" s="76">
        <v>0.13</v>
      </c>
      <c r="E60" s="76">
        <v>9.81</v>
      </c>
      <c r="F60" s="76">
        <v>5.13</v>
      </c>
      <c r="G60" s="76">
        <v>5.05</v>
      </c>
      <c r="H60" s="1652"/>
      <c r="I60" s="1651"/>
      <c r="J60" s="1651"/>
      <c r="K60" s="76">
        <v>1.64</v>
      </c>
      <c r="L60" s="76">
        <v>5.5</v>
      </c>
      <c r="M60" s="76">
        <v>4.6900000000000004</v>
      </c>
      <c r="N60" s="76">
        <v>6</v>
      </c>
      <c r="O60" s="76">
        <v>11</v>
      </c>
      <c r="P60" s="76">
        <v>0.61</v>
      </c>
      <c r="Q60" s="76">
        <v>0.78</v>
      </c>
      <c r="R60" s="76">
        <v>1.43</v>
      </c>
      <c r="S60" s="76">
        <v>1.3</v>
      </c>
      <c r="T60" s="76">
        <v>1.61</v>
      </c>
      <c r="U60" s="76">
        <v>2.16</v>
      </c>
      <c r="V60" s="76">
        <v>20.82</v>
      </c>
      <c r="W60" s="76">
        <v>20.46</v>
      </c>
      <c r="X60" s="76">
        <v>24.96</v>
      </c>
      <c r="Y60" s="76">
        <v>0.61</v>
      </c>
      <c r="Z60" s="76">
        <v>1.8</v>
      </c>
      <c r="AA60" s="76">
        <v>20</v>
      </c>
      <c r="AB60" s="76">
        <v>30</v>
      </c>
      <c r="AC60" s="76" t="s">
        <v>949</v>
      </c>
      <c r="AD60" s="76">
        <v>2.56</v>
      </c>
      <c r="AE60" s="76">
        <v>1.17</v>
      </c>
      <c r="AF60" s="76">
        <v>0.24</v>
      </c>
      <c r="AG60" s="76">
        <v>0.05</v>
      </c>
      <c r="AH60" s="76">
        <v>79</v>
      </c>
      <c r="AI60" s="76">
        <v>255.5</v>
      </c>
      <c r="AJ60" s="76"/>
      <c r="AK60" s="49">
        <v>0.9</v>
      </c>
      <c r="AL60" s="75">
        <v>1</v>
      </c>
      <c r="AM60" s="75">
        <v>2</v>
      </c>
      <c r="AN60" s="75">
        <f t="shared" si="44"/>
        <v>2</v>
      </c>
      <c r="AO60" s="75">
        <v>60</v>
      </c>
      <c r="AP60" s="52">
        <v>90</v>
      </c>
      <c r="AQ60" s="52">
        <v>10</v>
      </c>
      <c r="AR60" s="1682"/>
      <c r="AS60" s="578">
        <v>0.85</v>
      </c>
      <c r="AT60" s="52">
        <v>400</v>
      </c>
      <c r="AU60" s="52">
        <v>60</v>
      </c>
      <c r="AV60" s="578">
        <v>0.82</v>
      </c>
      <c r="AW60" s="52">
        <v>400</v>
      </c>
      <c r="AX60" s="52">
        <v>60</v>
      </c>
      <c r="AY60" s="52">
        <v>40</v>
      </c>
      <c r="AZ60" s="52">
        <v>100</v>
      </c>
      <c r="BA60" s="76"/>
      <c r="BB60" s="76"/>
      <c r="BC60" s="52">
        <f t="shared" si="37"/>
        <v>6.5408000000000008</v>
      </c>
      <c r="BD60" s="52">
        <f t="shared" si="38"/>
        <v>2.98935</v>
      </c>
      <c r="BE60" s="1332">
        <f t="shared" si="39"/>
        <v>16.3508</v>
      </c>
      <c r="BF60" s="52">
        <f t="shared" si="40"/>
        <v>0</v>
      </c>
      <c r="BH60" s="1903" cm="1">
        <f t="array" ref="BH60">INDEX(BM$9:BM$17,$C60)</f>
        <v>3.3</v>
      </c>
      <c r="BI60" s="1903" cm="1">
        <f t="array" ref="BI60">INDEX(BN$9:BN$17,$C60)</f>
        <v>0.2</v>
      </c>
      <c r="BJ60" s="1903" cm="1">
        <f t="array" ref="BJ60">INDEX(BO$9:BO$17,$C60)</f>
        <v>3.1</v>
      </c>
    </row>
    <row r="61" spans="1:62" x14ac:dyDescent="0.2">
      <c r="A61" s="36"/>
      <c r="B61" s="76" t="s">
        <v>8161</v>
      </c>
      <c r="C61">
        <v>2</v>
      </c>
      <c r="D61">
        <v>0.16</v>
      </c>
      <c r="E61">
        <v>16.39</v>
      </c>
      <c r="F61">
        <v>9.1</v>
      </c>
      <c r="G61">
        <v>8.0399999999999991</v>
      </c>
      <c r="H61" s="1652"/>
      <c r="I61" s="1651"/>
      <c r="J61" s="1651"/>
      <c r="K61">
        <v>2.66</v>
      </c>
      <c r="L61">
        <v>5.5</v>
      </c>
      <c r="M61">
        <v>6.63</v>
      </c>
      <c r="N61">
        <v>8</v>
      </c>
      <c r="O61">
        <v>11</v>
      </c>
      <c r="P61">
        <v>1.06</v>
      </c>
      <c r="Q61">
        <v>1.28</v>
      </c>
      <c r="R61">
        <v>1.76</v>
      </c>
      <c r="S61">
        <v>1.98</v>
      </c>
      <c r="T61">
        <v>2.6</v>
      </c>
      <c r="U61">
        <v>3.3</v>
      </c>
      <c r="V61">
        <v>23.23</v>
      </c>
      <c r="W61">
        <v>20.71</v>
      </c>
      <c r="X61">
        <v>21.17</v>
      </c>
      <c r="Y61">
        <v>1.06</v>
      </c>
      <c r="Z61">
        <v>1.8</v>
      </c>
      <c r="AA61">
        <v>20</v>
      </c>
      <c r="AB61">
        <v>30</v>
      </c>
      <c r="AC61" t="s">
        <v>949</v>
      </c>
      <c r="AD61">
        <v>2.56</v>
      </c>
      <c r="AE61">
        <v>1.17</v>
      </c>
      <c r="AF61">
        <v>0.24</v>
      </c>
      <c r="AG61">
        <v>0.05</v>
      </c>
      <c r="AH61">
        <v>79</v>
      </c>
      <c r="AI61" s="91">
        <v>255.5</v>
      </c>
      <c r="AK61" s="49">
        <v>0.9</v>
      </c>
      <c r="AL61" s="639">
        <v>1</v>
      </c>
      <c r="AM61" s="75">
        <v>2</v>
      </c>
      <c r="AN61" s="75">
        <f t="shared" ref="AN61:AN62" si="45">AM61</f>
        <v>2</v>
      </c>
      <c r="AO61" s="75">
        <v>60</v>
      </c>
      <c r="AP61" s="52">
        <v>90</v>
      </c>
      <c r="AQ61" s="52">
        <v>10</v>
      </c>
      <c r="AS61" s="578">
        <v>0.85</v>
      </c>
      <c r="AT61" s="52">
        <v>400</v>
      </c>
      <c r="AU61" s="52">
        <v>60</v>
      </c>
      <c r="AV61" s="578">
        <v>0.82</v>
      </c>
      <c r="AW61" s="52">
        <v>400</v>
      </c>
      <c r="AX61" s="52">
        <v>60</v>
      </c>
      <c r="AY61" s="52">
        <v>40</v>
      </c>
      <c r="AZ61" s="52">
        <v>100</v>
      </c>
      <c r="BC61" s="52">
        <f t="shared" si="37"/>
        <v>6.5408000000000008</v>
      </c>
      <c r="BD61" s="52">
        <f t="shared" si="38"/>
        <v>2.98935</v>
      </c>
      <c r="BE61" s="1332">
        <f t="shared" si="39"/>
        <v>22.930800000000001</v>
      </c>
      <c r="BF61" s="52">
        <f t="shared" si="40"/>
        <v>0</v>
      </c>
      <c r="BH61" s="862" cm="1">
        <f t="array" ref="BH61">INDEX(BM$9:BM$17,$C61)</f>
        <v>3.3</v>
      </c>
      <c r="BI61" s="862" cm="1">
        <f t="array" ref="BI61">INDEX(BN$9:BN$17,$C61)</f>
        <v>0.2</v>
      </c>
      <c r="BJ61" s="862" cm="1">
        <f t="array" ref="BJ61">INDEX(BO$9:BO$17,$C61)</f>
        <v>3.1</v>
      </c>
    </row>
    <row r="62" spans="1:62" x14ac:dyDescent="0.2">
      <c r="A62" s="36"/>
      <c r="B62" s="76" t="s">
        <v>8162</v>
      </c>
      <c r="C62">
        <v>2</v>
      </c>
      <c r="D62">
        <v>0.16</v>
      </c>
      <c r="E62">
        <v>14.15</v>
      </c>
      <c r="F62">
        <v>7.99</v>
      </c>
      <c r="G62">
        <v>6.88</v>
      </c>
      <c r="H62" s="1652"/>
      <c r="I62" s="1651"/>
      <c r="J62" s="1651"/>
      <c r="K62">
        <v>2.66</v>
      </c>
      <c r="L62">
        <v>5.5</v>
      </c>
      <c r="M62">
        <v>6.63</v>
      </c>
      <c r="N62">
        <v>8</v>
      </c>
      <c r="O62">
        <v>11</v>
      </c>
      <c r="P62">
        <v>1.06</v>
      </c>
      <c r="Q62">
        <v>1.28</v>
      </c>
      <c r="R62">
        <v>1.76</v>
      </c>
      <c r="S62">
        <v>1.98</v>
      </c>
      <c r="T62">
        <v>2.6</v>
      </c>
      <c r="U62">
        <v>3.3</v>
      </c>
      <c r="V62">
        <v>23.23</v>
      </c>
      <c r="W62">
        <v>20.71</v>
      </c>
      <c r="X62">
        <v>21.17</v>
      </c>
      <c r="Y62">
        <v>1.06</v>
      </c>
      <c r="Z62">
        <v>1.8</v>
      </c>
      <c r="AA62">
        <v>20</v>
      </c>
      <c r="AB62">
        <v>30</v>
      </c>
      <c r="AC62" t="s">
        <v>949</v>
      </c>
      <c r="AD62">
        <v>2.56</v>
      </c>
      <c r="AE62">
        <v>1.17</v>
      </c>
      <c r="AF62">
        <v>0.24</v>
      </c>
      <c r="AG62">
        <v>0.05</v>
      </c>
      <c r="AH62">
        <v>79</v>
      </c>
      <c r="AI62" s="91">
        <v>255.5</v>
      </c>
      <c r="AK62" s="49">
        <v>0.9</v>
      </c>
      <c r="AL62" s="639">
        <v>1</v>
      </c>
      <c r="AM62" s="75">
        <v>2</v>
      </c>
      <c r="AN62" s="75">
        <f t="shared" si="45"/>
        <v>2</v>
      </c>
      <c r="AO62" s="75">
        <v>60</v>
      </c>
      <c r="AP62" s="52">
        <v>90</v>
      </c>
      <c r="AQ62" s="52">
        <v>10</v>
      </c>
      <c r="AS62" s="578">
        <v>0.85</v>
      </c>
      <c r="AT62" s="52">
        <v>400</v>
      </c>
      <c r="AU62" s="52">
        <v>60</v>
      </c>
      <c r="AV62" s="578">
        <v>0.82</v>
      </c>
      <c r="AW62" s="52">
        <v>400</v>
      </c>
      <c r="AX62" s="52">
        <v>60</v>
      </c>
      <c r="AY62" s="52">
        <v>40</v>
      </c>
      <c r="AZ62" s="52">
        <v>100</v>
      </c>
      <c r="BC62" s="52">
        <f t="shared" si="37"/>
        <v>6.5408000000000008</v>
      </c>
      <c r="BD62" s="52">
        <f t="shared" si="38"/>
        <v>2.98935</v>
      </c>
      <c r="BE62" s="1332">
        <f t="shared" si="39"/>
        <v>20.690800000000003</v>
      </c>
      <c r="BF62" s="52">
        <f t="shared" si="40"/>
        <v>0</v>
      </c>
      <c r="BH62" s="862" cm="1">
        <f t="array" ref="BH62">INDEX(BM$9:BM$17,$C62)</f>
        <v>3.3</v>
      </c>
      <c r="BI62" s="862" cm="1">
        <f t="array" ref="BI62">INDEX(BN$9:BN$17,$C62)</f>
        <v>0.2</v>
      </c>
      <c r="BJ62" s="862" cm="1">
        <f t="array" ref="BJ62">INDEX(BO$9:BO$17,$C62)</f>
        <v>3.1</v>
      </c>
    </row>
    <row r="63" spans="1:62" x14ac:dyDescent="0.2">
      <c r="A63" s="33"/>
      <c r="B63" s="76" t="s">
        <v>8163</v>
      </c>
      <c r="C63">
        <v>2</v>
      </c>
      <c r="D63">
        <v>0.14000000000000001</v>
      </c>
      <c r="E63">
        <v>14.06</v>
      </c>
      <c r="F63">
        <v>5.96</v>
      </c>
      <c r="G63">
        <v>7</v>
      </c>
      <c r="H63" s="1652"/>
      <c r="I63" s="1651"/>
      <c r="J63" s="1651"/>
      <c r="K63">
        <v>1.85</v>
      </c>
      <c r="L63">
        <v>5.5</v>
      </c>
      <c r="M63">
        <v>4.43</v>
      </c>
      <c r="N63">
        <v>6</v>
      </c>
      <c r="O63">
        <v>11</v>
      </c>
      <c r="P63">
        <v>0.62</v>
      </c>
      <c r="Q63">
        <v>0.84</v>
      </c>
      <c r="R63">
        <v>1.54</v>
      </c>
      <c r="S63">
        <v>1.33</v>
      </c>
      <c r="T63">
        <v>1.79</v>
      </c>
      <c r="U63">
        <v>2.41</v>
      </c>
      <c r="V63">
        <v>21.28</v>
      </c>
      <c r="W63">
        <v>20.04</v>
      </c>
      <c r="X63">
        <v>24.28</v>
      </c>
      <c r="Y63">
        <v>0.74</v>
      </c>
      <c r="Z63">
        <v>1.8</v>
      </c>
      <c r="AA63">
        <v>20</v>
      </c>
      <c r="AB63">
        <v>30</v>
      </c>
      <c r="AC63" t="s">
        <v>949</v>
      </c>
      <c r="AD63">
        <v>2.56</v>
      </c>
      <c r="AE63">
        <v>1.17</v>
      </c>
      <c r="AF63">
        <v>0.24</v>
      </c>
      <c r="AG63">
        <v>0.05</v>
      </c>
      <c r="AH63">
        <v>79</v>
      </c>
      <c r="AI63" s="2101">
        <v>273.75</v>
      </c>
      <c r="AK63" s="49">
        <v>0.9</v>
      </c>
      <c r="AL63" s="639">
        <v>1</v>
      </c>
      <c r="AM63" s="75">
        <v>2</v>
      </c>
      <c r="AN63" s="75">
        <f t="shared" si="16"/>
        <v>2</v>
      </c>
      <c r="AO63" s="75">
        <v>60</v>
      </c>
      <c r="AP63" s="52">
        <v>90</v>
      </c>
      <c r="AQ63" s="52">
        <v>10</v>
      </c>
      <c r="AS63" s="578">
        <v>0.85</v>
      </c>
      <c r="AT63" s="52">
        <v>400</v>
      </c>
      <c r="AU63" s="52">
        <v>60</v>
      </c>
      <c r="AV63" s="578">
        <v>0.82</v>
      </c>
      <c r="AW63" s="52">
        <v>400</v>
      </c>
      <c r="AX63" s="52">
        <v>60</v>
      </c>
      <c r="AY63" s="52">
        <v>40</v>
      </c>
      <c r="AZ63" s="52">
        <v>100</v>
      </c>
      <c r="BC63" s="52">
        <f t="shared" si="37"/>
        <v>7.008</v>
      </c>
      <c r="BD63" s="52">
        <f t="shared" si="38"/>
        <v>3.2028749999999997</v>
      </c>
      <c r="BE63" s="1332">
        <f t="shared" si="39"/>
        <v>21.068000000000001</v>
      </c>
      <c r="BF63" s="52">
        <f t="shared" si="40"/>
        <v>0</v>
      </c>
      <c r="BH63" s="862" cm="1">
        <f t="array" ref="BH63">INDEX(BM$9:BM$17,$C63)</f>
        <v>3.3</v>
      </c>
      <c r="BI63" s="862" cm="1">
        <f t="array" ref="BI63">INDEX(BN$9:BN$17,$C63)</f>
        <v>0.2</v>
      </c>
      <c r="BJ63" s="862" cm="1">
        <f t="array" ref="BJ63">INDEX(BO$9:BO$17,$C63)</f>
        <v>3.1</v>
      </c>
    </row>
    <row r="64" spans="1:62" x14ac:dyDescent="0.2">
      <c r="A64" s="33"/>
      <c r="B64" s="76" t="s">
        <v>8164</v>
      </c>
      <c r="C64">
        <v>2</v>
      </c>
      <c r="D64">
        <v>0.14000000000000001</v>
      </c>
      <c r="E64">
        <v>13.44</v>
      </c>
      <c r="F64">
        <v>5.0599999999999996</v>
      </c>
      <c r="G64">
        <v>6.77</v>
      </c>
      <c r="H64" s="1652"/>
      <c r="I64" s="1651"/>
      <c r="J64" s="1651"/>
      <c r="K64">
        <v>1.85</v>
      </c>
      <c r="L64">
        <v>5.5</v>
      </c>
      <c r="M64">
        <v>4.43</v>
      </c>
      <c r="N64">
        <v>6</v>
      </c>
      <c r="O64">
        <v>11</v>
      </c>
      <c r="P64">
        <v>0.62</v>
      </c>
      <c r="Q64">
        <v>0.84</v>
      </c>
      <c r="R64">
        <v>1.54</v>
      </c>
      <c r="S64">
        <v>1.33</v>
      </c>
      <c r="T64">
        <v>1.79</v>
      </c>
      <c r="U64">
        <v>2.41</v>
      </c>
      <c r="V64">
        <v>21.28</v>
      </c>
      <c r="W64">
        <v>20.04</v>
      </c>
      <c r="X64">
        <v>24.28</v>
      </c>
      <c r="Y64">
        <v>0.74</v>
      </c>
      <c r="Z64">
        <v>1.8</v>
      </c>
      <c r="AA64">
        <v>20</v>
      </c>
      <c r="AB64">
        <v>30</v>
      </c>
      <c r="AC64" t="s">
        <v>949</v>
      </c>
      <c r="AD64">
        <v>2.56</v>
      </c>
      <c r="AE64">
        <v>1.17</v>
      </c>
      <c r="AF64">
        <v>0.24</v>
      </c>
      <c r="AG64">
        <v>0.05</v>
      </c>
      <c r="AH64">
        <v>79</v>
      </c>
      <c r="AI64" s="2101">
        <v>273.75</v>
      </c>
      <c r="AK64" s="49">
        <v>0.9</v>
      </c>
      <c r="AL64" s="639">
        <v>1</v>
      </c>
      <c r="AM64" s="75">
        <v>2</v>
      </c>
      <c r="AN64" s="75">
        <f t="shared" si="16"/>
        <v>2</v>
      </c>
      <c r="AO64" s="75">
        <v>60</v>
      </c>
      <c r="AP64" s="52">
        <v>90</v>
      </c>
      <c r="AQ64" s="52">
        <v>10</v>
      </c>
      <c r="AS64" s="578">
        <v>0.85</v>
      </c>
      <c r="AT64" s="52">
        <v>400</v>
      </c>
      <c r="AU64" s="52">
        <v>60</v>
      </c>
      <c r="AV64" s="578">
        <v>0.82</v>
      </c>
      <c r="AW64" s="52">
        <v>400</v>
      </c>
      <c r="AX64" s="52">
        <v>60</v>
      </c>
      <c r="AY64" s="52">
        <v>40</v>
      </c>
      <c r="AZ64" s="52">
        <v>100</v>
      </c>
      <c r="BC64" s="52">
        <f t="shared" si="37"/>
        <v>7.008</v>
      </c>
      <c r="BD64" s="52">
        <f t="shared" si="38"/>
        <v>3.2028749999999997</v>
      </c>
      <c r="BE64" s="1332">
        <f t="shared" si="39"/>
        <v>20.448</v>
      </c>
      <c r="BF64" s="52">
        <f t="shared" si="40"/>
        <v>0</v>
      </c>
      <c r="BH64" s="862" cm="1">
        <f t="array" ref="BH64">INDEX(BM$9:BM$17,$C64)</f>
        <v>3.3</v>
      </c>
      <c r="BI64" s="862" cm="1">
        <f t="array" ref="BI64">INDEX(BN$9:BN$17,$C64)</f>
        <v>0.2</v>
      </c>
      <c r="BJ64" s="862" cm="1">
        <f t="array" ref="BJ64">INDEX(BO$9:BO$17,$C64)</f>
        <v>3.1</v>
      </c>
    </row>
    <row r="65" spans="1:62" x14ac:dyDescent="0.2">
      <c r="A65" s="33"/>
      <c r="B65" s="76" t="s">
        <v>8424</v>
      </c>
      <c r="C65">
        <v>2</v>
      </c>
      <c r="D65">
        <v>0.14000000000000001</v>
      </c>
      <c r="E65">
        <v>12.08</v>
      </c>
      <c r="F65">
        <v>4.8099999999999996</v>
      </c>
      <c r="G65">
        <v>6.57</v>
      </c>
      <c r="H65" s="1652"/>
      <c r="I65" s="1651"/>
      <c r="J65" s="1651"/>
      <c r="K65">
        <v>1.85</v>
      </c>
      <c r="L65">
        <v>5.5</v>
      </c>
      <c r="M65">
        <v>4.43</v>
      </c>
      <c r="N65">
        <v>6</v>
      </c>
      <c r="O65">
        <v>11</v>
      </c>
      <c r="P65">
        <v>0.62</v>
      </c>
      <c r="Q65">
        <v>0.84</v>
      </c>
      <c r="R65">
        <v>1.54</v>
      </c>
      <c r="S65">
        <v>1.33</v>
      </c>
      <c r="T65">
        <v>1.79</v>
      </c>
      <c r="U65">
        <v>2.41</v>
      </c>
      <c r="V65">
        <v>21.28</v>
      </c>
      <c r="W65">
        <v>20.04</v>
      </c>
      <c r="X65">
        <v>24.28</v>
      </c>
      <c r="Y65">
        <v>0.74</v>
      </c>
      <c r="Z65">
        <v>1.8</v>
      </c>
      <c r="AA65">
        <v>20</v>
      </c>
      <c r="AB65">
        <v>30</v>
      </c>
      <c r="AC65" t="s">
        <v>949</v>
      </c>
      <c r="AD65">
        <v>2.56</v>
      </c>
      <c r="AE65">
        <v>1.17</v>
      </c>
      <c r="AF65">
        <v>0.24</v>
      </c>
      <c r="AG65">
        <v>0.05</v>
      </c>
      <c r="AH65">
        <v>79</v>
      </c>
      <c r="AI65" s="2101">
        <v>273.75</v>
      </c>
      <c r="AJ65">
        <v>1</v>
      </c>
      <c r="AK65" s="49">
        <v>0.9</v>
      </c>
      <c r="AL65" s="639">
        <v>1</v>
      </c>
      <c r="AM65" s="75">
        <v>2</v>
      </c>
      <c r="AN65" s="75">
        <f t="shared" ref="AN65:AN74" si="46">AM65</f>
        <v>2</v>
      </c>
      <c r="AO65" s="75">
        <v>60</v>
      </c>
      <c r="AP65" s="52">
        <v>90</v>
      </c>
      <c r="AQ65" s="52">
        <v>10</v>
      </c>
      <c r="AS65" s="578">
        <v>0.85</v>
      </c>
      <c r="AT65" s="52">
        <v>400</v>
      </c>
      <c r="AU65" s="52">
        <v>60</v>
      </c>
      <c r="AV65" s="578">
        <v>0.82</v>
      </c>
      <c r="AW65" s="52">
        <v>400</v>
      </c>
      <c r="AX65" s="52">
        <v>60</v>
      </c>
      <c r="AY65" s="52">
        <v>40</v>
      </c>
      <c r="AZ65" s="52">
        <v>100</v>
      </c>
      <c r="BC65" s="52">
        <f t="shared" si="37"/>
        <v>7.008</v>
      </c>
      <c r="BD65" s="52">
        <f t="shared" si="38"/>
        <v>3.2028749999999997</v>
      </c>
      <c r="BE65" s="1332">
        <f t="shared" si="39"/>
        <v>19.088000000000001</v>
      </c>
      <c r="BF65" s="52">
        <f t="shared" si="40"/>
        <v>0</v>
      </c>
      <c r="BH65" s="862" cm="1">
        <f t="array" ref="BH65">INDEX(BM$9:BM$17,$C65)</f>
        <v>3.3</v>
      </c>
      <c r="BI65" s="862" cm="1">
        <f t="array" ref="BI65">INDEX(BN$9:BN$17,$C65)</f>
        <v>0.2</v>
      </c>
      <c r="BJ65" s="862" cm="1">
        <f t="array" ref="BJ65">INDEX(BO$9:BO$17,$C65)</f>
        <v>3.1</v>
      </c>
    </row>
    <row r="66" spans="1:62" x14ac:dyDescent="0.2">
      <c r="A66" s="36"/>
      <c r="B66" s="76" t="s">
        <v>8425</v>
      </c>
      <c r="C66">
        <v>2</v>
      </c>
      <c r="D66">
        <v>0.14000000000000001</v>
      </c>
      <c r="E66">
        <v>11.47</v>
      </c>
      <c r="F66">
        <v>4.33</v>
      </c>
      <c r="G66">
        <v>6.08</v>
      </c>
      <c r="H66" s="1652"/>
      <c r="I66" s="1651"/>
      <c r="J66" s="1651"/>
      <c r="K66">
        <v>1.85</v>
      </c>
      <c r="L66">
        <v>5.5</v>
      </c>
      <c r="M66">
        <v>4.43</v>
      </c>
      <c r="N66">
        <v>6</v>
      </c>
      <c r="O66">
        <v>11</v>
      </c>
      <c r="P66">
        <v>0.62</v>
      </c>
      <c r="Q66">
        <v>0.84</v>
      </c>
      <c r="R66">
        <v>1.54</v>
      </c>
      <c r="S66">
        <v>1.33</v>
      </c>
      <c r="T66">
        <v>1.79</v>
      </c>
      <c r="U66">
        <v>2.41</v>
      </c>
      <c r="V66">
        <v>21.28</v>
      </c>
      <c r="W66">
        <v>20.04</v>
      </c>
      <c r="X66">
        <v>24.28</v>
      </c>
      <c r="Y66">
        <v>0.74</v>
      </c>
      <c r="Z66">
        <v>1.8</v>
      </c>
      <c r="AA66">
        <v>20</v>
      </c>
      <c r="AB66">
        <v>30</v>
      </c>
      <c r="AC66" t="s">
        <v>949</v>
      </c>
      <c r="AD66">
        <v>2.56</v>
      </c>
      <c r="AE66">
        <v>1.17</v>
      </c>
      <c r="AF66">
        <v>0.24</v>
      </c>
      <c r="AG66">
        <v>0.05</v>
      </c>
      <c r="AH66">
        <v>79</v>
      </c>
      <c r="AI66" s="91">
        <v>273.75</v>
      </c>
      <c r="AJ66">
        <v>1</v>
      </c>
      <c r="AK66" s="49">
        <v>0.9</v>
      </c>
      <c r="AL66" s="639">
        <v>1</v>
      </c>
      <c r="AM66" s="75">
        <v>2</v>
      </c>
      <c r="AN66" s="75">
        <f t="shared" si="46"/>
        <v>2</v>
      </c>
      <c r="AO66" s="75">
        <v>60</v>
      </c>
      <c r="AP66" s="52">
        <v>90</v>
      </c>
      <c r="AQ66" s="52">
        <v>10</v>
      </c>
      <c r="AS66" s="578">
        <v>0.85</v>
      </c>
      <c r="AT66" s="52">
        <v>400</v>
      </c>
      <c r="AU66" s="52">
        <v>60</v>
      </c>
      <c r="AV66" s="578">
        <v>0.82</v>
      </c>
      <c r="AW66" s="52">
        <v>400</v>
      </c>
      <c r="AX66" s="52">
        <v>60</v>
      </c>
      <c r="AY66" s="52">
        <v>40</v>
      </c>
      <c r="AZ66" s="52">
        <v>100</v>
      </c>
      <c r="BC66" s="52">
        <f t="shared" si="37"/>
        <v>7.008</v>
      </c>
      <c r="BD66" s="52">
        <f t="shared" si="38"/>
        <v>3.2028749999999997</v>
      </c>
      <c r="BE66" s="1332">
        <f t="shared" si="39"/>
        <v>18.478000000000002</v>
      </c>
      <c r="BF66" s="52">
        <f t="shared" si="40"/>
        <v>0</v>
      </c>
      <c r="BH66" s="862" cm="1">
        <f t="array" ref="BH66">INDEX(BM$9:BM$17,$C66)</f>
        <v>3.3</v>
      </c>
      <c r="BI66" s="862" cm="1">
        <f t="array" ref="BI66">INDEX(BN$9:BN$17,$C66)</f>
        <v>0.2</v>
      </c>
      <c r="BJ66" s="862" cm="1">
        <f t="array" ref="BJ66">INDEX(BO$9:BO$17,$C66)</f>
        <v>3.1</v>
      </c>
    </row>
    <row r="67" spans="1:62" x14ac:dyDescent="0.2">
      <c r="A67" s="36"/>
      <c r="B67" s="76" t="s">
        <v>61</v>
      </c>
      <c r="C67">
        <v>2</v>
      </c>
      <c r="D67">
        <v>0.14000000000000001</v>
      </c>
      <c r="E67">
        <v>15.41</v>
      </c>
      <c r="F67">
        <v>6.28</v>
      </c>
      <c r="G67">
        <v>7.53</v>
      </c>
      <c r="H67" s="1653"/>
      <c r="I67" s="1654"/>
      <c r="J67" s="1654"/>
      <c r="K67">
        <v>1.89</v>
      </c>
      <c r="L67">
        <v>5.5</v>
      </c>
      <c r="M67">
        <v>4.5</v>
      </c>
      <c r="N67">
        <v>6</v>
      </c>
      <c r="O67">
        <v>11</v>
      </c>
      <c r="P67">
        <v>0.63</v>
      </c>
      <c r="Q67">
        <v>0.84</v>
      </c>
      <c r="R67">
        <v>1.54</v>
      </c>
      <c r="S67">
        <v>1.36</v>
      </c>
      <c r="T67">
        <v>1.82</v>
      </c>
      <c r="U67">
        <v>2.4500000000000002</v>
      </c>
      <c r="V67">
        <v>21.18</v>
      </c>
      <c r="W67">
        <v>19.82</v>
      </c>
      <c r="X67">
        <v>23.97</v>
      </c>
      <c r="Y67">
        <v>0.76</v>
      </c>
      <c r="Z67">
        <v>1.8</v>
      </c>
      <c r="AA67">
        <v>20</v>
      </c>
      <c r="AB67">
        <v>30</v>
      </c>
      <c r="AC67" t="s">
        <v>949</v>
      </c>
      <c r="AD67">
        <v>2.56</v>
      </c>
      <c r="AE67">
        <v>1.17</v>
      </c>
      <c r="AF67">
        <v>0.24</v>
      </c>
      <c r="AG67">
        <v>0.05</v>
      </c>
      <c r="AH67">
        <v>79</v>
      </c>
      <c r="AI67" s="91">
        <v>310.25</v>
      </c>
      <c r="AK67" s="49">
        <v>0.9</v>
      </c>
      <c r="AL67" s="639">
        <v>1</v>
      </c>
      <c r="AM67" s="75">
        <v>2</v>
      </c>
      <c r="AN67" s="75">
        <f t="shared" si="46"/>
        <v>2</v>
      </c>
      <c r="AO67" s="75">
        <v>60</v>
      </c>
      <c r="AP67" s="52">
        <v>90</v>
      </c>
      <c r="AQ67" s="52">
        <v>10</v>
      </c>
      <c r="AS67" s="578">
        <v>0.85</v>
      </c>
      <c r="AT67" s="52">
        <v>400</v>
      </c>
      <c r="AU67" s="52">
        <v>60</v>
      </c>
      <c r="AV67" s="578">
        <v>0.82</v>
      </c>
      <c r="AW67" s="52">
        <v>400</v>
      </c>
      <c r="AX67" s="52">
        <v>60</v>
      </c>
      <c r="AY67" s="52">
        <v>40</v>
      </c>
      <c r="AZ67" s="52">
        <v>100</v>
      </c>
      <c r="BC67" s="52">
        <f t="shared" si="37"/>
        <v>7.9424000000000001</v>
      </c>
      <c r="BD67" s="52">
        <f t="shared" si="38"/>
        <v>3.6299249999999996</v>
      </c>
      <c r="BE67" s="1332">
        <f t="shared" si="39"/>
        <v>23.352399999999999</v>
      </c>
      <c r="BF67" s="52">
        <f t="shared" si="40"/>
        <v>0</v>
      </c>
      <c r="BH67" s="862" cm="1">
        <f t="array" ref="BH67">INDEX(BM$9:BM$17,$C67)</f>
        <v>3.3</v>
      </c>
      <c r="BI67" s="862" cm="1">
        <f t="array" ref="BI67">INDEX(BN$9:BN$17,$C67)</f>
        <v>0.2</v>
      </c>
      <c r="BJ67" s="862" cm="1">
        <f t="array" ref="BJ67">INDEX(BO$9:BO$17,$C67)</f>
        <v>3.1</v>
      </c>
    </row>
    <row r="68" spans="1:62" x14ac:dyDescent="0.2">
      <c r="A68" s="36"/>
      <c r="B68" s="76" t="s">
        <v>62</v>
      </c>
      <c r="C68">
        <v>2</v>
      </c>
      <c r="D68">
        <v>0.14000000000000001</v>
      </c>
      <c r="E68">
        <v>14.78</v>
      </c>
      <c r="F68">
        <v>5.56</v>
      </c>
      <c r="G68">
        <v>7.27</v>
      </c>
      <c r="H68" s="1653"/>
      <c r="I68" s="1654"/>
      <c r="J68" s="1654"/>
      <c r="K68">
        <v>1.89</v>
      </c>
      <c r="L68">
        <v>5.5</v>
      </c>
      <c r="M68">
        <v>4.5</v>
      </c>
      <c r="N68">
        <v>6</v>
      </c>
      <c r="O68">
        <v>11</v>
      </c>
      <c r="P68">
        <v>0.63</v>
      </c>
      <c r="Q68">
        <v>0.84</v>
      </c>
      <c r="R68">
        <v>1.54</v>
      </c>
      <c r="S68">
        <v>1.36</v>
      </c>
      <c r="T68">
        <v>1.82</v>
      </c>
      <c r="U68">
        <v>2.4500000000000002</v>
      </c>
      <c r="V68">
        <v>21.18</v>
      </c>
      <c r="W68">
        <v>19.82</v>
      </c>
      <c r="X68">
        <v>23.97</v>
      </c>
      <c r="Y68">
        <v>0.76</v>
      </c>
      <c r="Z68">
        <v>1.8</v>
      </c>
      <c r="AA68">
        <v>20</v>
      </c>
      <c r="AB68">
        <v>30</v>
      </c>
      <c r="AC68" t="s">
        <v>949</v>
      </c>
      <c r="AD68">
        <v>2.56</v>
      </c>
      <c r="AE68">
        <v>1.17</v>
      </c>
      <c r="AF68">
        <v>0.24</v>
      </c>
      <c r="AG68">
        <v>0.05</v>
      </c>
      <c r="AH68">
        <v>79</v>
      </c>
      <c r="AI68" s="91">
        <v>310.25</v>
      </c>
      <c r="AK68" s="49">
        <v>0.9</v>
      </c>
      <c r="AL68" s="639">
        <v>1</v>
      </c>
      <c r="AM68" s="75">
        <v>2</v>
      </c>
      <c r="AN68" s="75">
        <f t="shared" si="46"/>
        <v>2</v>
      </c>
      <c r="AO68" s="75">
        <v>60</v>
      </c>
      <c r="AP68" s="52">
        <v>90</v>
      </c>
      <c r="AQ68" s="52">
        <v>10</v>
      </c>
      <c r="AS68" s="578">
        <v>0.85</v>
      </c>
      <c r="AT68" s="52">
        <v>400</v>
      </c>
      <c r="AU68" s="52">
        <v>60</v>
      </c>
      <c r="AV68" s="578">
        <v>0.82</v>
      </c>
      <c r="AW68" s="52">
        <v>400</v>
      </c>
      <c r="AX68" s="52">
        <v>60</v>
      </c>
      <c r="AY68" s="52">
        <v>40</v>
      </c>
      <c r="AZ68" s="52">
        <v>100</v>
      </c>
      <c r="BC68" s="52">
        <f t="shared" si="37"/>
        <v>7.9424000000000001</v>
      </c>
      <c r="BD68" s="52">
        <f t="shared" si="38"/>
        <v>3.6299249999999996</v>
      </c>
      <c r="BE68" s="1332">
        <f t="shared" si="39"/>
        <v>22.7224</v>
      </c>
      <c r="BF68" s="52">
        <f t="shared" si="40"/>
        <v>0</v>
      </c>
      <c r="BH68" s="862" cm="1">
        <f t="array" ref="BH68">INDEX(BM$9:BM$17,$C68)</f>
        <v>3.3</v>
      </c>
      <c r="BI68" s="862" cm="1">
        <f t="array" ref="BI68">INDEX(BN$9:BN$17,$C68)</f>
        <v>0.2</v>
      </c>
      <c r="BJ68" s="862" cm="1">
        <f t="array" ref="BJ68">INDEX(BO$9:BO$17,$C68)</f>
        <v>3.1</v>
      </c>
    </row>
    <row r="69" spans="1:62" x14ac:dyDescent="0.2">
      <c r="A69" s="36"/>
      <c r="B69" s="76" t="s">
        <v>8426</v>
      </c>
      <c r="C69">
        <v>2</v>
      </c>
      <c r="D69">
        <v>0.14000000000000001</v>
      </c>
      <c r="E69">
        <v>13.39</v>
      </c>
      <c r="F69">
        <v>4.95</v>
      </c>
      <c r="G69">
        <v>7.06</v>
      </c>
      <c r="H69" s="1653"/>
      <c r="I69" s="1654"/>
      <c r="J69" s="1654"/>
      <c r="K69">
        <v>1.89</v>
      </c>
      <c r="L69">
        <v>5.5</v>
      </c>
      <c r="M69">
        <v>4.5</v>
      </c>
      <c r="N69">
        <v>6</v>
      </c>
      <c r="O69">
        <v>11</v>
      </c>
      <c r="P69">
        <v>0.63</v>
      </c>
      <c r="Q69">
        <v>0.84</v>
      </c>
      <c r="R69">
        <v>1.54</v>
      </c>
      <c r="S69">
        <v>1.36</v>
      </c>
      <c r="T69">
        <v>1.82</v>
      </c>
      <c r="U69">
        <v>2.4500000000000002</v>
      </c>
      <c r="V69">
        <v>21.18</v>
      </c>
      <c r="W69">
        <v>19.82</v>
      </c>
      <c r="X69">
        <v>23.97</v>
      </c>
      <c r="Y69">
        <v>0.76</v>
      </c>
      <c r="Z69">
        <v>1.8</v>
      </c>
      <c r="AA69">
        <v>20</v>
      </c>
      <c r="AB69">
        <v>30</v>
      </c>
      <c r="AC69" t="s">
        <v>949</v>
      </c>
      <c r="AD69">
        <v>2.56</v>
      </c>
      <c r="AE69">
        <v>1.17</v>
      </c>
      <c r="AF69">
        <v>0.24</v>
      </c>
      <c r="AG69">
        <v>0.05</v>
      </c>
      <c r="AH69">
        <v>79</v>
      </c>
      <c r="AI69" s="91">
        <v>310.25</v>
      </c>
      <c r="AJ69">
        <v>1</v>
      </c>
      <c r="AK69" s="49">
        <v>0.9</v>
      </c>
      <c r="AL69" s="639">
        <v>1</v>
      </c>
      <c r="AM69" s="75">
        <v>2</v>
      </c>
      <c r="AN69" s="75">
        <f t="shared" si="46"/>
        <v>2</v>
      </c>
      <c r="AO69" s="75">
        <v>60</v>
      </c>
      <c r="AP69" s="52">
        <v>90</v>
      </c>
      <c r="AQ69" s="52">
        <v>10</v>
      </c>
      <c r="AR69" s="1682"/>
      <c r="AS69" s="578">
        <v>0.85</v>
      </c>
      <c r="AT69" s="52">
        <v>400</v>
      </c>
      <c r="AU69" s="52">
        <v>60</v>
      </c>
      <c r="AV69" s="578">
        <v>0.82</v>
      </c>
      <c r="AW69" s="52">
        <v>400</v>
      </c>
      <c r="AX69" s="52">
        <v>60</v>
      </c>
      <c r="AY69" s="52">
        <v>40</v>
      </c>
      <c r="AZ69" s="52">
        <v>100</v>
      </c>
      <c r="BC69" s="52">
        <f t="shared" si="37"/>
        <v>7.9424000000000001</v>
      </c>
      <c r="BD69" s="52">
        <f t="shared" si="38"/>
        <v>3.6299249999999996</v>
      </c>
      <c r="BE69" s="1332">
        <f t="shared" si="39"/>
        <v>21.3324</v>
      </c>
      <c r="BF69" s="52">
        <f t="shared" si="40"/>
        <v>0</v>
      </c>
      <c r="BH69" s="862" cm="1">
        <f t="array" ref="BH69">INDEX(BM$9:BM$17,$C69)</f>
        <v>3.3</v>
      </c>
      <c r="BI69" s="862" cm="1">
        <f t="array" ref="BI69">INDEX(BN$9:BN$17,$C69)</f>
        <v>0.2</v>
      </c>
      <c r="BJ69" s="862" cm="1">
        <f t="array" ref="BJ69">INDEX(BO$9:BO$17,$C69)</f>
        <v>3.1</v>
      </c>
    </row>
    <row r="70" spans="1:62" x14ac:dyDescent="0.2">
      <c r="A70" s="36"/>
      <c r="B70" s="76" t="s">
        <v>8427</v>
      </c>
      <c r="C70">
        <v>2</v>
      </c>
      <c r="D70">
        <v>0.14000000000000001</v>
      </c>
      <c r="E70">
        <v>12</v>
      </c>
      <c r="F70">
        <v>4.4800000000000004</v>
      </c>
      <c r="G70">
        <v>6.53</v>
      </c>
      <c r="H70" s="1653"/>
      <c r="I70" s="1654"/>
      <c r="J70" s="1654"/>
      <c r="K70">
        <v>1.89</v>
      </c>
      <c r="L70">
        <v>5.5</v>
      </c>
      <c r="M70">
        <v>4.5</v>
      </c>
      <c r="N70">
        <v>6</v>
      </c>
      <c r="O70">
        <v>11</v>
      </c>
      <c r="P70">
        <v>0.63</v>
      </c>
      <c r="Q70">
        <v>0.84</v>
      </c>
      <c r="R70">
        <v>1.54</v>
      </c>
      <c r="S70">
        <v>1.36</v>
      </c>
      <c r="T70">
        <v>1.82</v>
      </c>
      <c r="U70">
        <v>2.4500000000000002</v>
      </c>
      <c r="V70">
        <v>21.18</v>
      </c>
      <c r="W70">
        <v>19.82</v>
      </c>
      <c r="X70">
        <v>23.97</v>
      </c>
      <c r="Y70">
        <v>0.76</v>
      </c>
      <c r="Z70">
        <v>1.8</v>
      </c>
      <c r="AA70">
        <v>20</v>
      </c>
      <c r="AB70">
        <v>30</v>
      </c>
      <c r="AC70" t="s">
        <v>949</v>
      </c>
      <c r="AD70">
        <v>2.56</v>
      </c>
      <c r="AE70">
        <v>1.17</v>
      </c>
      <c r="AF70">
        <v>0.24</v>
      </c>
      <c r="AG70">
        <v>0.05</v>
      </c>
      <c r="AH70">
        <v>79</v>
      </c>
      <c r="AI70" s="91">
        <v>310.25</v>
      </c>
      <c r="AJ70">
        <v>1</v>
      </c>
      <c r="AK70" s="49">
        <v>0.9</v>
      </c>
      <c r="AL70" s="639">
        <v>1</v>
      </c>
      <c r="AM70" s="75">
        <v>2</v>
      </c>
      <c r="AN70" s="75">
        <f t="shared" si="46"/>
        <v>2</v>
      </c>
      <c r="AO70" s="75">
        <v>60</v>
      </c>
      <c r="AP70" s="52">
        <v>90</v>
      </c>
      <c r="AQ70" s="52">
        <v>10</v>
      </c>
      <c r="AR70" s="1682"/>
      <c r="AS70" s="578">
        <v>0.85</v>
      </c>
      <c r="AT70" s="52">
        <v>400</v>
      </c>
      <c r="AU70" s="52">
        <v>60</v>
      </c>
      <c r="AV70" s="578">
        <v>0.82</v>
      </c>
      <c r="AW70" s="52">
        <v>400</v>
      </c>
      <c r="AX70" s="52">
        <v>60</v>
      </c>
      <c r="AY70" s="52">
        <v>40</v>
      </c>
      <c r="AZ70" s="52">
        <v>100</v>
      </c>
      <c r="BC70" s="52">
        <f t="shared" si="37"/>
        <v>7.9424000000000001</v>
      </c>
      <c r="BD70" s="52">
        <f t="shared" si="38"/>
        <v>3.6299249999999996</v>
      </c>
      <c r="BE70" s="1332">
        <f t="shared" si="39"/>
        <v>19.942399999999999</v>
      </c>
      <c r="BF70" s="52">
        <f t="shared" si="40"/>
        <v>0</v>
      </c>
      <c r="BH70" s="862" cm="1">
        <f t="array" ref="BH70">INDEX(BM$9:BM$17,$C70)</f>
        <v>3.3</v>
      </c>
      <c r="BI70" s="862" cm="1">
        <f t="array" ref="BI70">INDEX(BN$9:BN$17,$C70)</f>
        <v>0.2</v>
      </c>
      <c r="BJ70" s="862" cm="1">
        <f t="array" ref="BJ70">INDEX(BO$9:BO$17,$C70)</f>
        <v>3.1</v>
      </c>
    </row>
    <row r="71" spans="1:62" x14ac:dyDescent="0.2">
      <c r="A71" s="36"/>
      <c r="B71" s="76" t="s">
        <v>8416</v>
      </c>
      <c r="C71">
        <v>2</v>
      </c>
      <c r="D71">
        <v>0.14000000000000001</v>
      </c>
      <c r="E71">
        <v>16.239999999999998</v>
      </c>
      <c r="F71">
        <v>6.55</v>
      </c>
      <c r="G71">
        <v>8.0299999999999994</v>
      </c>
      <c r="H71" s="1653"/>
      <c r="I71" s="1654"/>
      <c r="J71" s="1654"/>
      <c r="K71">
        <v>1.95</v>
      </c>
      <c r="L71">
        <v>5.5</v>
      </c>
      <c r="M71">
        <v>4.6399999999999997</v>
      </c>
      <c r="N71">
        <v>6</v>
      </c>
      <c r="O71">
        <v>11</v>
      </c>
      <c r="P71">
        <v>0.65</v>
      </c>
      <c r="Q71">
        <v>0.84</v>
      </c>
      <c r="R71">
        <v>1.54</v>
      </c>
      <c r="S71">
        <v>1.4</v>
      </c>
      <c r="T71">
        <v>1.87</v>
      </c>
      <c r="U71">
        <v>2.5099999999999998</v>
      </c>
      <c r="V71">
        <v>21.23</v>
      </c>
      <c r="W71">
        <v>19.46</v>
      </c>
      <c r="X71">
        <v>23.53</v>
      </c>
      <c r="Y71">
        <v>0.78</v>
      </c>
      <c r="Z71">
        <v>1.8</v>
      </c>
      <c r="AA71">
        <v>20</v>
      </c>
      <c r="AB71">
        <v>30</v>
      </c>
      <c r="AC71" t="s">
        <v>949</v>
      </c>
      <c r="AD71">
        <v>2.56</v>
      </c>
      <c r="AE71">
        <v>1.17</v>
      </c>
      <c r="AF71">
        <v>0.24</v>
      </c>
      <c r="AG71">
        <v>0.05</v>
      </c>
      <c r="AH71">
        <v>79</v>
      </c>
      <c r="AI71" s="91">
        <v>346.75</v>
      </c>
      <c r="AK71" s="49">
        <v>0.9</v>
      </c>
      <c r="AL71" s="639">
        <v>1</v>
      </c>
      <c r="AM71" s="75">
        <v>2</v>
      </c>
      <c r="AN71" s="75">
        <f t="shared" si="46"/>
        <v>2</v>
      </c>
      <c r="AO71" s="75">
        <v>60</v>
      </c>
      <c r="AP71" s="52">
        <v>90</v>
      </c>
      <c r="AQ71" s="52">
        <v>10</v>
      </c>
      <c r="AR71" s="1682"/>
      <c r="AS71" s="578">
        <v>0.85</v>
      </c>
      <c r="AT71" s="52">
        <v>400</v>
      </c>
      <c r="AU71" s="52">
        <v>60</v>
      </c>
      <c r="AV71" s="578">
        <v>0.82</v>
      </c>
      <c r="AW71" s="52">
        <v>400</v>
      </c>
      <c r="AX71" s="52">
        <v>60</v>
      </c>
      <c r="AY71" s="52">
        <v>40</v>
      </c>
      <c r="AZ71" s="52">
        <v>100</v>
      </c>
      <c r="BC71" s="52">
        <f t="shared" si="37"/>
        <v>8.8767999999999994</v>
      </c>
      <c r="BD71" s="52">
        <f t="shared" si="38"/>
        <v>4.0569749999999996</v>
      </c>
      <c r="BE71" s="1332">
        <f t="shared" si="39"/>
        <v>25.116799999999998</v>
      </c>
      <c r="BF71" s="52">
        <f t="shared" si="40"/>
        <v>0</v>
      </c>
      <c r="BH71" s="862" cm="1">
        <f t="array" ref="BH71">INDEX(BM$9:BM$17,$C71)</f>
        <v>3.3</v>
      </c>
      <c r="BI71" s="862" cm="1">
        <f t="array" ref="BI71">INDEX(BN$9:BN$17,$C71)</f>
        <v>0.2</v>
      </c>
      <c r="BJ71" s="862" cm="1">
        <f t="array" ref="BJ71">INDEX(BO$9:BO$17,$C71)</f>
        <v>3.1</v>
      </c>
    </row>
    <row r="72" spans="1:62" x14ac:dyDescent="0.2">
      <c r="A72" s="36"/>
      <c r="B72" s="76" t="s">
        <v>8417</v>
      </c>
      <c r="C72">
        <v>2</v>
      </c>
      <c r="D72">
        <v>0.14000000000000001</v>
      </c>
      <c r="E72">
        <v>15.59</v>
      </c>
      <c r="F72">
        <v>5.72</v>
      </c>
      <c r="G72">
        <v>7.78</v>
      </c>
      <c r="H72" s="1653"/>
      <c r="I72" s="1654"/>
      <c r="J72" s="1654"/>
      <c r="K72">
        <v>1.95</v>
      </c>
      <c r="L72">
        <v>5.5</v>
      </c>
      <c r="M72">
        <v>4.6399999999999997</v>
      </c>
      <c r="N72">
        <v>6</v>
      </c>
      <c r="O72">
        <v>11</v>
      </c>
      <c r="P72">
        <v>0.65</v>
      </c>
      <c r="Q72">
        <v>0.84</v>
      </c>
      <c r="R72">
        <v>1.54</v>
      </c>
      <c r="S72">
        <v>1.4</v>
      </c>
      <c r="T72">
        <v>1.87</v>
      </c>
      <c r="U72">
        <v>2.5099999999999998</v>
      </c>
      <c r="V72">
        <v>21.23</v>
      </c>
      <c r="W72">
        <v>19.46</v>
      </c>
      <c r="X72">
        <v>23.53</v>
      </c>
      <c r="Y72">
        <v>0.78</v>
      </c>
      <c r="Z72">
        <v>1.8</v>
      </c>
      <c r="AA72">
        <v>20</v>
      </c>
      <c r="AB72">
        <v>30</v>
      </c>
      <c r="AC72" t="s">
        <v>949</v>
      </c>
      <c r="AD72">
        <v>2.56</v>
      </c>
      <c r="AE72">
        <v>1.17</v>
      </c>
      <c r="AF72">
        <v>0.24</v>
      </c>
      <c r="AG72">
        <v>0.05</v>
      </c>
      <c r="AH72">
        <v>79</v>
      </c>
      <c r="AI72" s="91">
        <v>346.75</v>
      </c>
      <c r="AK72" s="49">
        <v>0.9</v>
      </c>
      <c r="AL72" s="639">
        <v>1</v>
      </c>
      <c r="AM72" s="75">
        <v>2</v>
      </c>
      <c r="AN72" s="75">
        <f t="shared" si="46"/>
        <v>2</v>
      </c>
      <c r="AO72" s="75">
        <v>60</v>
      </c>
      <c r="AP72" s="52">
        <v>90</v>
      </c>
      <c r="AQ72" s="52">
        <v>10</v>
      </c>
      <c r="AR72" s="1682"/>
      <c r="AS72" s="578">
        <v>0.85</v>
      </c>
      <c r="AT72" s="52">
        <v>400</v>
      </c>
      <c r="AU72" s="52">
        <v>60</v>
      </c>
      <c r="AV72" s="578">
        <v>0.82</v>
      </c>
      <c r="AW72" s="52">
        <v>400</v>
      </c>
      <c r="AX72" s="52">
        <v>60</v>
      </c>
      <c r="AY72" s="52">
        <v>40</v>
      </c>
      <c r="AZ72" s="52">
        <v>100</v>
      </c>
      <c r="BC72" s="52">
        <f t="shared" si="37"/>
        <v>8.8767999999999994</v>
      </c>
      <c r="BD72" s="52">
        <f t="shared" si="38"/>
        <v>4.0569749999999996</v>
      </c>
      <c r="BE72" s="1332">
        <f t="shared" si="39"/>
        <v>24.466799999999999</v>
      </c>
      <c r="BF72" s="52">
        <f t="shared" si="40"/>
        <v>0</v>
      </c>
      <c r="BH72" s="862" cm="1">
        <f t="array" ref="BH72">INDEX(BM$9:BM$17,$C72)</f>
        <v>3.3</v>
      </c>
      <c r="BI72" s="862" cm="1">
        <f t="array" ref="BI72">INDEX(BN$9:BN$17,$C72)</f>
        <v>0.2</v>
      </c>
      <c r="BJ72" s="862" cm="1">
        <f t="array" ref="BJ72">INDEX(BO$9:BO$17,$C72)</f>
        <v>3.1</v>
      </c>
    </row>
    <row r="73" spans="1:62" x14ac:dyDescent="0.2">
      <c r="A73" s="36"/>
      <c r="B73" s="76" t="s">
        <v>8428</v>
      </c>
      <c r="C73">
        <v>2</v>
      </c>
      <c r="D73">
        <v>0.14000000000000001</v>
      </c>
      <c r="E73">
        <v>14.03</v>
      </c>
      <c r="F73">
        <v>5.07</v>
      </c>
      <c r="G73">
        <v>7.55</v>
      </c>
      <c r="H73" s="1653"/>
      <c r="I73" s="1654"/>
      <c r="J73" s="1654"/>
      <c r="K73">
        <v>1.95</v>
      </c>
      <c r="L73">
        <v>5.5</v>
      </c>
      <c r="M73">
        <v>4.6399999999999997</v>
      </c>
      <c r="N73">
        <v>6</v>
      </c>
      <c r="O73">
        <v>11</v>
      </c>
      <c r="P73">
        <v>0.65</v>
      </c>
      <c r="Q73">
        <v>0.84</v>
      </c>
      <c r="R73">
        <v>1.54</v>
      </c>
      <c r="S73">
        <v>1.4</v>
      </c>
      <c r="T73">
        <v>1.87</v>
      </c>
      <c r="U73">
        <v>2.5099999999999998</v>
      </c>
      <c r="V73">
        <v>21.23</v>
      </c>
      <c r="W73">
        <v>19.46</v>
      </c>
      <c r="X73">
        <v>23.53</v>
      </c>
      <c r="Y73">
        <v>0.78</v>
      </c>
      <c r="Z73">
        <v>1.8</v>
      </c>
      <c r="AA73">
        <v>20</v>
      </c>
      <c r="AB73">
        <v>30</v>
      </c>
      <c r="AC73" t="s">
        <v>949</v>
      </c>
      <c r="AD73">
        <v>2.56</v>
      </c>
      <c r="AE73">
        <v>1.17</v>
      </c>
      <c r="AF73">
        <v>0.24</v>
      </c>
      <c r="AG73">
        <v>0.05</v>
      </c>
      <c r="AH73">
        <v>79</v>
      </c>
      <c r="AI73" s="91">
        <v>346.75</v>
      </c>
      <c r="AJ73">
        <v>1</v>
      </c>
      <c r="AK73" s="49">
        <v>0.9</v>
      </c>
      <c r="AL73" s="639">
        <v>1</v>
      </c>
      <c r="AM73" s="75">
        <v>2</v>
      </c>
      <c r="AN73" s="75">
        <f t="shared" si="46"/>
        <v>2</v>
      </c>
      <c r="AO73" s="75">
        <v>60</v>
      </c>
      <c r="AP73" s="52">
        <v>90</v>
      </c>
      <c r="AQ73" s="52">
        <v>10</v>
      </c>
      <c r="AR73" s="1682"/>
      <c r="AS73" s="578">
        <v>0.85</v>
      </c>
      <c r="AT73" s="52">
        <v>400</v>
      </c>
      <c r="AU73" s="52">
        <v>60</v>
      </c>
      <c r="AV73" s="578">
        <v>0.82</v>
      </c>
      <c r="AW73" s="52">
        <v>400</v>
      </c>
      <c r="AX73" s="52">
        <v>60</v>
      </c>
      <c r="AY73" s="52">
        <v>40</v>
      </c>
      <c r="AZ73" s="52">
        <v>100</v>
      </c>
      <c r="BC73" s="52">
        <f t="shared" si="37"/>
        <v>8.8767999999999994</v>
      </c>
      <c r="BD73" s="52">
        <f t="shared" si="38"/>
        <v>4.0569749999999996</v>
      </c>
      <c r="BE73" s="1332">
        <f t="shared" si="39"/>
        <v>22.906799999999997</v>
      </c>
      <c r="BF73" s="52">
        <f t="shared" si="40"/>
        <v>0</v>
      </c>
      <c r="BH73" s="862" cm="1">
        <f t="array" ref="BH73">INDEX(BM$9:BM$17,$C73)</f>
        <v>3.3</v>
      </c>
      <c r="BI73" s="862" cm="1">
        <f t="array" ref="BI73">INDEX(BN$9:BN$17,$C73)</f>
        <v>0.2</v>
      </c>
      <c r="BJ73" s="862" cm="1">
        <f t="array" ref="BJ73">INDEX(BO$9:BO$17,$C73)</f>
        <v>3.1</v>
      </c>
    </row>
    <row r="74" spans="1:62" x14ac:dyDescent="0.2">
      <c r="A74" s="36"/>
      <c r="B74" s="76" t="s">
        <v>8429</v>
      </c>
      <c r="C74">
        <v>2</v>
      </c>
      <c r="D74">
        <v>0.14000000000000001</v>
      </c>
      <c r="E74">
        <v>12.6</v>
      </c>
      <c r="F74">
        <v>4.6399999999999997</v>
      </c>
      <c r="G74">
        <v>6.98</v>
      </c>
      <c r="H74" s="1653"/>
      <c r="I74" s="1654"/>
      <c r="J74" s="1654"/>
      <c r="K74">
        <v>1.95</v>
      </c>
      <c r="L74">
        <v>5.5</v>
      </c>
      <c r="M74">
        <v>4.6399999999999997</v>
      </c>
      <c r="N74">
        <v>6</v>
      </c>
      <c r="O74">
        <v>11</v>
      </c>
      <c r="P74">
        <v>0.65</v>
      </c>
      <c r="Q74">
        <v>0.84</v>
      </c>
      <c r="R74">
        <v>1.54</v>
      </c>
      <c r="S74">
        <v>1.4</v>
      </c>
      <c r="T74">
        <v>1.87</v>
      </c>
      <c r="U74">
        <v>2.5099999999999998</v>
      </c>
      <c r="V74">
        <v>21.23</v>
      </c>
      <c r="W74">
        <v>19.46</v>
      </c>
      <c r="X74">
        <v>23.53</v>
      </c>
      <c r="Y74">
        <v>0.78</v>
      </c>
      <c r="Z74">
        <v>1.8</v>
      </c>
      <c r="AA74">
        <v>20</v>
      </c>
      <c r="AB74">
        <v>30</v>
      </c>
      <c r="AC74" t="s">
        <v>949</v>
      </c>
      <c r="AD74">
        <v>2.56</v>
      </c>
      <c r="AE74">
        <v>1.17</v>
      </c>
      <c r="AF74">
        <v>0.24</v>
      </c>
      <c r="AG74">
        <v>0.05</v>
      </c>
      <c r="AH74">
        <v>79</v>
      </c>
      <c r="AI74" s="91">
        <v>346.75</v>
      </c>
      <c r="AJ74">
        <v>1</v>
      </c>
      <c r="AK74" s="49">
        <v>0.9</v>
      </c>
      <c r="AL74" s="639">
        <v>1</v>
      </c>
      <c r="AM74" s="75">
        <v>2</v>
      </c>
      <c r="AN74" s="75">
        <f t="shared" si="46"/>
        <v>2</v>
      </c>
      <c r="AO74" s="75">
        <v>60</v>
      </c>
      <c r="AP74" s="52">
        <v>90</v>
      </c>
      <c r="AQ74" s="52">
        <v>10</v>
      </c>
      <c r="AR74" s="1682"/>
      <c r="AS74" s="578">
        <v>0.85</v>
      </c>
      <c r="AT74" s="52">
        <v>400</v>
      </c>
      <c r="AU74" s="52">
        <v>60</v>
      </c>
      <c r="AV74" s="578">
        <v>0.82</v>
      </c>
      <c r="AW74" s="52">
        <v>400</v>
      </c>
      <c r="AX74" s="52">
        <v>60</v>
      </c>
      <c r="AY74" s="52">
        <v>40</v>
      </c>
      <c r="AZ74" s="52">
        <v>100</v>
      </c>
      <c r="BC74" s="52">
        <f t="shared" si="37"/>
        <v>8.8767999999999994</v>
      </c>
      <c r="BD74" s="52">
        <f t="shared" si="38"/>
        <v>4.0569749999999996</v>
      </c>
      <c r="BE74" s="1332">
        <f t="shared" si="39"/>
        <v>21.476799999999997</v>
      </c>
      <c r="BF74" s="52">
        <f t="shared" si="40"/>
        <v>0</v>
      </c>
      <c r="BH74" s="862" cm="1">
        <f t="array" ref="BH74">INDEX(BM$9:BM$17,$C74)</f>
        <v>3.3</v>
      </c>
      <c r="BI74" s="862" cm="1">
        <f t="array" ref="BI74">INDEX(BN$9:BN$17,$C74)</f>
        <v>0.2</v>
      </c>
      <c r="BJ74" s="862" cm="1">
        <f t="array" ref="BJ74">INDEX(BO$9:BO$17,$C74)</f>
        <v>3.1</v>
      </c>
    </row>
    <row r="75" spans="1:62" x14ac:dyDescent="0.2">
      <c r="A75" s="37"/>
      <c r="B75" s="76" t="s">
        <v>63</v>
      </c>
      <c r="C75">
        <v>2</v>
      </c>
      <c r="D75">
        <v>0.3</v>
      </c>
      <c r="E75">
        <v>22.1</v>
      </c>
      <c r="F75">
        <v>9.6199999999999992</v>
      </c>
      <c r="G75">
        <v>8.8000000000000007</v>
      </c>
      <c r="H75" s="1652"/>
      <c r="I75" s="1651"/>
      <c r="J75" s="1651"/>
      <c r="K75">
        <v>3.6</v>
      </c>
      <c r="L75">
        <v>5.5</v>
      </c>
      <c r="M75">
        <v>3.33</v>
      </c>
      <c r="N75">
        <v>6</v>
      </c>
      <c r="O75">
        <v>11</v>
      </c>
      <c r="P75">
        <v>1</v>
      </c>
      <c r="Q75">
        <v>1.8</v>
      </c>
      <c r="R75">
        <v>3.3</v>
      </c>
      <c r="S75">
        <v>2.46</v>
      </c>
      <c r="T75">
        <v>3.51</v>
      </c>
      <c r="U75">
        <v>4.8</v>
      </c>
      <c r="V75">
        <v>19.71</v>
      </c>
      <c r="W75">
        <v>21.35</v>
      </c>
      <c r="X75">
        <v>25.71</v>
      </c>
      <c r="Y75">
        <v>1.5</v>
      </c>
      <c r="Z75">
        <v>1.8</v>
      </c>
      <c r="AA75">
        <v>20</v>
      </c>
      <c r="AB75">
        <v>30</v>
      </c>
      <c r="AC75" t="s">
        <v>949</v>
      </c>
      <c r="AD75">
        <v>2.56</v>
      </c>
      <c r="AE75">
        <v>1.17</v>
      </c>
      <c r="AF75">
        <v>0.24</v>
      </c>
      <c r="AG75">
        <v>0.05</v>
      </c>
      <c r="AH75">
        <v>79</v>
      </c>
      <c r="AI75" s="91">
        <v>0</v>
      </c>
      <c r="AK75" s="49">
        <v>0.9</v>
      </c>
      <c r="AL75" s="639">
        <v>1</v>
      </c>
      <c r="AM75" s="75">
        <v>2</v>
      </c>
      <c r="AN75" s="75">
        <f t="shared" si="16"/>
        <v>2</v>
      </c>
      <c r="AO75" s="75">
        <v>60</v>
      </c>
      <c r="AP75" s="52">
        <v>90</v>
      </c>
      <c r="AQ75" s="52">
        <v>10</v>
      </c>
      <c r="AS75" s="578">
        <v>0.85</v>
      </c>
      <c r="AT75" s="52">
        <v>400</v>
      </c>
      <c r="AU75" s="52">
        <v>60</v>
      </c>
      <c r="AV75" s="578">
        <v>0.82</v>
      </c>
      <c r="AW75" s="52">
        <v>400</v>
      </c>
      <c r="AX75" s="52">
        <v>60</v>
      </c>
      <c r="AY75" s="52">
        <v>40</v>
      </c>
      <c r="AZ75" s="52">
        <v>100</v>
      </c>
      <c r="BC75" s="52">
        <f t="shared" si="37"/>
        <v>0</v>
      </c>
      <c r="BD75" s="52">
        <f t="shared" si="38"/>
        <v>0</v>
      </c>
      <c r="BE75" s="1332">
        <f t="shared" si="39"/>
        <v>22.1</v>
      </c>
      <c r="BF75" s="52">
        <f t="shared" si="40"/>
        <v>0</v>
      </c>
      <c r="BH75" s="862" cm="1">
        <f t="array" ref="BH75">INDEX(BM$9:BM$17,$C75)</f>
        <v>3.3</v>
      </c>
      <c r="BI75" s="862" cm="1">
        <f t="array" ref="BI75">INDEX(BN$9:BN$17,$C75)</f>
        <v>0.2</v>
      </c>
      <c r="BJ75" s="862" cm="1">
        <f t="array" ref="BJ75">INDEX(BO$9:BO$17,$C75)</f>
        <v>3.1</v>
      </c>
    </row>
    <row r="76" spans="1:62" x14ac:dyDescent="0.2">
      <c r="A76" s="36"/>
      <c r="B76" t="s">
        <v>8780</v>
      </c>
      <c r="C76"/>
      <c r="D76"/>
      <c r="E76"/>
      <c r="F76"/>
      <c r="G76"/>
      <c r="H76" s="1652"/>
      <c r="I76" s="1651"/>
      <c r="J76" s="1651"/>
      <c r="K76"/>
      <c r="L76"/>
      <c r="M76"/>
      <c r="N76"/>
      <c r="O76"/>
      <c r="P76"/>
      <c r="Q76"/>
      <c r="R76"/>
      <c r="S76"/>
      <c r="T76"/>
      <c r="U76"/>
      <c r="V76"/>
      <c r="W76"/>
      <c r="X76"/>
      <c r="Y76"/>
      <c r="Z76"/>
      <c r="AA76"/>
      <c r="AB76"/>
      <c r="AC76"/>
      <c r="AD76"/>
      <c r="AE76"/>
      <c r="AI76" s="91"/>
      <c r="AK76" s="49"/>
      <c r="AL76" s="639"/>
      <c r="AM76" s="75"/>
      <c r="AN76" s="75"/>
      <c r="AO76" s="75"/>
      <c r="AS76" s="578"/>
      <c r="AV76" s="578"/>
      <c r="BE76" s="1332"/>
      <c r="BH76" s="862"/>
      <c r="BI76" s="862"/>
      <c r="BJ76" s="862"/>
    </row>
    <row r="77" spans="1:62" x14ac:dyDescent="0.2">
      <c r="A77" s="36"/>
      <c r="B77" s="76" t="s">
        <v>64</v>
      </c>
      <c r="C77">
        <v>3</v>
      </c>
      <c r="D77">
        <v>4.0000000000000001E-3</v>
      </c>
      <c r="E77">
        <v>0.81</v>
      </c>
      <c r="F77">
        <v>0.42</v>
      </c>
      <c r="G77">
        <v>0.4</v>
      </c>
      <c r="H77" s="1650"/>
      <c r="I77" s="1655"/>
      <c r="J77" s="1655"/>
      <c r="K77" s="1656"/>
      <c r="L77" s="1619"/>
      <c r="M77">
        <f>+P77/$D77</f>
        <v>0.89999999999999991</v>
      </c>
      <c r="N77">
        <f t="shared" ref="N77:O89" si="47">+Q77/$D77</f>
        <v>0.89999999999999991</v>
      </c>
      <c r="O77">
        <f t="shared" si="47"/>
        <v>0.89999999999999991</v>
      </c>
      <c r="P77">
        <v>3.5999999999999999E-3</v>
      </c>
      <c r="Q77">
        <v>3.5999999999999999E-3</v>
      </c>
      <c r="R77">
        <v>3.5999999999999999E-3</v>
      </c>
      <c r="S77">
        <v>2.3400000000000001E-2</v>
      </c>
      <c r="T77">
        <v>2.3400000000000001E-2</v>
      </c>
      <c r="U77">
        <v>2.3400000000000001E-2</v>
      </c>
      <c r="V77">
        <v>50</v>
      </c>
      <c r="W77">
        <v>50</v>
      </c>
      <c r="X77">
        <v>50</v>
      </c>
      <c r="Y77" s="1658">
        <v>0</v>
      </c>
      <c r="Z77" s="1625"/>
      <c r="AA77">
        <v>40</v>
      </c>
      <c r="AB77">
        <v>40</v>
      </c>
      <c r="AC77" t="s">
        <v>950</v>
      </c>
      <c r="AD77">
        <v>3.5</v>
      </c>
      <c r="AE77">
        <v>1.28</v>
      </c>
      <c r="AF77">
        <v>0.3</v>
      </c>
      <c r="AG77">
        <v>0.06</v>
      </c>
      <c r="AH77" s="1618"/>
      <c r="AI77" s="91">
        <v>0</v>
      </c>
      <c r="AK77" s="49">
        <v>0.7</v>
      </c>
      <c r="AL77" s="639">
        <v>5</v>
      </c>
      <c r="AM77" s="75">
        <v>5</v>
      </c>
      <c r="AN77" s="75">
        <f t="shared" si="16"/>
        <v>5</v>
      </c>
      <c r="AO77" s="75">
        <v>50</v>
      </c>
      <c r="AP77" s="52">
        <v>90</v>
      </c>
      <c r="AQ77" s="52">
        <v>45</v>
      </c>
      <c r="AS77" s="578">
        <v>0.74</v>
      </c>
      <c r="AT77" s="52">
        <v>500</v>
      </c>
      <c r="AU77" s="52">
        <v>58</v>
      </c>
      <c r="AV77" s="578">
        <v>0.75</v>
      </c>
      <c r="AW77" s="52">
        <v>500</v>
      </c>
      <c r="AX77" s="52">
        <v>55</v>
      </c>
      <c r="AY77" s="52">
        <v>40</v>
      </c>
      <c r="AZ77" s="52">
        <v>100</v>
      </c>
      <c r="BC77" s="52">
        <f t="shared" si="37"/>
        <v>0</v>
      </c>
      <c r="BD77" s="52">
        <f t="shared" si="38"/>
        <v>0</v>
      </c>
      <c r="BE77" s="1332">
        <f t="shared" si="39"/>
        <v>0.81</v>
      </c>
      <c r="BF77" s="52">
        <f t="shared" si="40"/>
        <v>0</v>
      </c>
      <c r="BH77" s="862" cm="1">
        <f t="array" ref="BH77">INDEX(BM$9:BM$17,$C77)</f>
        <v>0</v>
      </c>
      <c r="BI77" s="862" cm="1">
        <f t="array" ref="BI77">INDEX(BN$9:BN$17,$C77)</f>
        <v>0</v>
      </c>
      <c r="BJ77" s="862" cm="1">
        <f t="array" ref="BJ77">INDEX(BO$9:BO$17,$C77)</f>
        <v>0</v>
      </c>
    </row>
    <row r="78" spans="1:62" x14ac:dyDescent="0.2">
      <c r="A78" s="36"/>
      <c r="B78" s="76" t="s">
        <v>65</v>
      </c>
      <c r="C78">
        <v>3</v>
      </c>
      <c r="D78">
        <v>4.0000000000000001E-3</v>
      </c>
      <c r="E78">
        <v>0.78</v>
      </c>
      <c r="F78">
        <v>0.37</v>
      </c>
      <c r="G78">
        <v>0.4</v>
      </c>
      <c r="H78" s="1650"/>
      <c r="I78" s="1655"/>
      <c r="J78" s="1655"/>
      <c r="K78" s="1656"/>
      <c r="L78" s="1619"/>
      <c r="M78">
        <f t="shared" ref="M78:M89" si="48">+P78/$D78</f>
        <v>0.89999999999999991</v>
      </c>
      <c r="N78">
        <f t="shared" si="47"/>
        <v>0.89999999999999991</v>
      </c>
      <c r="O78">
        <f t="shared" si="47"/>
        <v>0.89999999999999991</v>
      </c>
      <c r="P78">
        <v>3.5999999999999999E-3</v>
      </c>
      <c r="Q78">
        <v>3.5999999999999999E-3</v>
      </c>
      <c r="R78">
        <v>3.5999999999999999E-3</v>
      </c>
      <c r="S78">
        <v>2.3400000000000001E-2</v>
      </c>
      <c r="T78">
        <v>2.3400000000000001E-2</v>
      </c>
      <c r="U78">
        <v>2.3400000000000001E-2</v>
      </c>
      <c r="V78">
        <v>50</v>
      </c>
      <c r="W78">
        <v>50</v>
      </c>
      <c r="X78">
        <v>50</v>
      </c>
      <c r="Y78" s="1658">
        <v>0</v>
      </c>
      <c r="Z78" s="1625"/>
      <c r="AA78">
        <v>40</v>
      </c>
      <c r="AB78">
        <v>40</v>
      </c>
      <c r="AC78" t="s">
        <v>950</v>
      </c>
      <c r="AD78">
        <v>3.5</v>
      </c>
      <c r="AE78">
        <v>1.28</v>
      </c>
      <c r="AF78">
        <v>0.3</v>
      </c>
      <c r="AG78">
        <v>0.06</v>
      </c>
      <c r="AH78" s="1618"/>
      <c r="AI78" s="91">
        <v>0</v>
      </c>
      <c r="AK78" s="49">
        <v>0.7</v>
      </c>
      <c r="AL78" s="639">
        <v>5</v>
      </c>
      <c r="AM78" s="75">
        <v>5</v>
      </c>
      <c r="AN78" s="75">
        <f t="shared" si="16"/>
        <v>5</v>
      </c>
      <c r="AO78" s="75">
        <v>50</v>
      </c>
      <c r="AP78" s="52">
        <v>90</v>
      </c>
      <c r="AQ78" s="52">
        <v>45</v>
      </c>
      <c r="AS78" s="578">
        <v>0.74</v>
      </c>
      <c r="AT78" s="52">
        <v>500</v>
      </c>
      <c r="AU78" s="52">
        <v>58</v>
      </c>
      <c r="AV78" s="578">
        <v>0.75</v>
      </c>
      <c r="AW78" s="52">
        <v>500</v>
      </c>
      <c r="AX78" s="52">
        <v>55</v>
      </c>
      <c r="AY78" s="52">
        <v>40</v>
      </c>
      <c r="AZ78" s="52">
        <v>100</v>
      </c>
      <c r="BC78" s="52">
        <f t="shared" si="37"/>
        <v>0</v>
      </c>
      <c r="BD78" s="52">
        <f t="shared" si="38"/>
        <v>0</v>
      </c>
      <c r="BE78" s="1332">
        <f t="shared" si="39"/>
        <v>0.78</v>
      </c>
      <c r="BF78" s="52">
        <f t="shared" si="40"/>
        <v>0</v>
      </c>
      <c r="BH78" s="862" cm="1">
        <f t="array" ref="BH78">INDEX(BM$9:BM$17,$C78)</f>
        <v>0</v>
      </c>
      <c r="BI78" s="862" cm="1">
        <f t="array" ref="BI78">INDEX(BN$9:BN$17,$C78)</f>
        <v>0</v>
      </c>
      <c r="BJ78" s="862" cm="1">
        <f t="array" ref="BJ78">INDEX(BO$9:BO$17,$C78)</f>
        <v>0</v>
      </c>
    </row>
    <row r="79" spans="1:62" x14ac:dyDescent="0.2">
      <c r="A79" s="36"/>
      <c r="B79" s="76" t="s">
        <v>66</v>
      </c>
      <c r="C79">
        <v>3</v>
      </c>
      <c r="D79">
        <v>4.0000000000000001E-3</v>
      </c>
      <c r="E79">
        <v>0.28999999999999998</v>
      </c>
      <c r="F79">
        <v>0.19</v>
      </c>
      <c r="G79">
        <v>0.17</v>
      </c>
      <c r="H79" s="1650"/>
      <c r="I79" s="1655"/>
      <c r="J79" s="1655"/>
      <c r="K79" s="1659"/>
      <c r="L79" s="1660"/>
      <c r="M79">
        <f t="shared" si="48"/>
        <v>0.52499999999999991</v>
      </c>
      <c r="N79">
        <f t="shared" si="47"/>
        <v>0.52499999999999991</v>
      </c>
      <c r="O79">
        <f t="shared" si="47"/>
        <v>0.52499999999999991</v>
      </c>
      <c r="P79">
        <v>2.0999999999999999E-3</v>
      </c>
      <c r="Q79">
        <v>2.0999999999999999E-3</v>
      </c>
      <c r="R79">
        <v>2.0999999999999999E-3</v>
      </c>
      <c r="S79">
        <v>7.4000000000000003E-3</v>
      </c>
      <c r="T79">
        <v>7.4000000000000003E-3</v>
      </c>
      <c r="U79">
        <v>7.4000000000000003E-3</v>
      </c>
      <c r="V79">
        <v>50</v>
      </c>
      <c r="W79">
        <v>50</v>
      </c>
      <c r="X79">
        <v>50</v>
      </c>
      <c r="Y79" s="1658">
        <v>0</v>
      </c>
      <c r="Z79" s="1625"/>
      <c r="AA79">
        <v>40</v>
      </c>
      <c r="AB79">
        <v>40</v>
      </c>
      <c r="AC79" t="s">
        <v>950</v>
      </c>
      <c r="AD79">
        <v>3.5</v>
      </c>
      <c r="AE79">
        <v>1.28</v>
      </c>
      <c r="AF79">
        <v>0.3</v>
      </c>
      <c r="AG79">
        <v>0.06</v>
      </c>
      <c r="AH79" s="1618"/>
      <c r="AI79" s="91">
        <v>11.38</v>
      </c>
      <c r="AK79" s="49">
        <v>0.7</v>
      </c>
      <c r="AL79" s="639">
        <v>5</v>
      </c>
      <c r="AM79" s="75">
        <v>5</v>
      </c>
      <c r="AN79" s="75">
        <f t="shared" si="16"/>
        <v>5</v>
      </c>
      <c r="AO79" s="75">
        <v>50</v>
      </c>
      <c r="AP79" s="52">
        <v>90</v>
      </c>
      <c r="AQ79" s="52">
        <v>45</v>
      </c>
      <c r="AS79" s="578">
        <v>0.74</v>
      </c>
      <c r="AT79" s="52">
        <v>500</v>
      </c>
      <c r="AU79" s="52">
        <v>58</v>
      </c>
      <c r="AV79" s="578">
        <v>0.75</v>
      </c>
      <c r="AW79" s="52">
        <v>500</v>
      </c>
      <c r="AX79" s="52">
        <v>55</v>
      </c>
      <c r="AY79" s="52">
        <v>40</v>
      </c>
      <c r="AZ79" s="52">
        <v>100</v>
      </c>
      <c r="BC79" s="52">
        <f t="shared" si="37"/>
        <v>0.39830000000000004</v>
      </c>
      <c r="BD79" s="52">
        <f t="shared" si="38"/>
        <v>0.14566400000000002</v>
      </c>
      <c r="BE79" s="1332">
        <f t="shared" si="39"/>
        <v>0.68830000000000002</v>
      </c>
      <c r="BF79" s="52">
        <f t="shared" si="40"/>
        <v>0</v>
      </c>
      <c r="BH79" s="862" cm="1">
        <f t="array" ref="BH79">INDEX(BM$9:BM$17,$C79)</f>
        <v>0</v>
      </c>
      <c r="BI79" s="862" cm="1">
        <f t="array" ref="BI79">INDEX(BN$9:BN$17,$C79)</f>
        <v>0</v>
      </c>
      <c r="BJ79" s="862" cm="1">
        <f t="array" ref="BJ79">INDEX(BO$9:BO$17,$C79)</f>
        <v>0</v>
      </c>
    </row>
    <row r="80" spans="1:62" x14ac:dyDescent="0.2">
      <c r="A80" s="36"/>
      <c r="B80" s="76" t="s">
        <v>67</v>
      </c>
      <c r="C80">
        <v>3</v>
      </c>
      <c r="D80">
        <v>4.0000000000000001E-3</v>
      </c>
      <c r="E80">
        <v>0.27</v>
      </c>
      <c r="F80">
        <v>0.16</v>
      </c>
      <c r="G80">
        <v>0.16</v>
      </c>
      <c r="H80" s="1650"/>
      <c r="I80" s="1655"/>
      <c r="J80" s="1655"/>
      <c r="K80" s="1659"/>
      <c r="L80" s="1660"/>
      <c r="M80">
        <f t="shared" si="48"/>
        <v>0.52499999999999991</v>
      </c>
      <c r="N80">
        <f t="shared" si="47"/>
        <v>0.52499999999999991</v>
      </c>
      <c r="O80">
        <f t="shared" si="47"/>
        <v>0.52499999999999991</v>
      </c>
      <c r="P80">
        <v>2.0999999999999999E-3</v>
      </c>
      <c r="Q80">
        <v>2.0999999999999999E-3</v>
      </c>
      <c r="R80">
        <v>2.0999999999999999E-3</v>
      </c>
      <c r="S80">
        <v>7.4000000000000003E-3</v>
      </c>
      <c r="T80">
        <v>7.4000000000000003E-3</v>
      </c>
      <c r="U80">
        <v>7.4000000000000003E-3</v>
      </c>
      <c r="V80">
        <v>50</v>
      </c>
      <c r="W80">
        <v>50</v>
      </c>
      <c r="X80">
        <v>50</v>
      </c>
      <c r="Y80" s="1658">
        <v>0</v>
      </c>
      <c r="Z80" s="1625"/>
      <c r="AA80">
        <v>40</v>
      </c>
      <c r="AB80">
        <v>40</v>
      </c>
      <c r="AC80" t="s">
        <v>950</v>
      </c>
      <c r="AD80">
        <v>3.5</v>
      </c>
      <c r="AE80">
        <v>1.28</v>
      </c>
      <c r="AF80">
        <v>0.3</v>
      </c>
      <c r="AG80">
        <v>0.06</v>
      </c>
      <c r="AH80" s="1618"/>
      <c r="AI80" s="91">
        <v>11.38</v>
      </c>
      <c r="AK80" s="49">
        <v>0.7</v>
      </c>
      <c r="AL80" s="639">
        <v>5</v>
      </c>
      <c r="AM80" s="75">
        <v>5</v>
      </c>
      <c r="AN80" s="75">
        <f t="shared" si="16"/>
        <v>5</v>
      </c>
      <c r="AO80" s="75">
        <v>50</v>
      </c>
      <c r="AP80" s="52">
        <v>90</v>
      </c>
      <c r="AQ80" s="52">
        <v>45</v>
      </c>
      <c r="AS80" s="578">
        <v>0.74</v>
      </c>
      <c r="AT80" s="52">
        <v>500</v>
      </c>
      <c r="AU80" s="52">
        <v>58</v>
      </c>
      <c r="AV80" s="578">
        <v>0.75</v>
      </c>
      <c r="AW80" s="52">
        <v>500</v>
      </c>
      <c r="AX80" s="52">
        <v>55</v>
      </c>
      <c r="AY80" s="52">
        <v>40</v>
      </c>
      <c r="AZ80" s="52">
        <v>100</v>
      </c>
      <c r="BC80" s="52">
        <f t="shared" si="37"/>
        <v>0.39830000000000004</v>
      </c>
      <c r="BD80" s="52">
        <f t="shared" si="38"/>
        <v>0.14566400000000002</v>
      </c>
      <c r="BE80" s="1332">
        <f t="shared" si="39"/>
        <v>0.66830000000000012</v>
      </c>
      <c r="BF80" s="52">
        <f t="shared" si="40"/>
        <v>0</v>
      </c>
      <c r="BH80" s="862" cm="1">
        <f t="array" ref="BH80">INDEX(BM$9:BM$17,$C80)</f>
        <v>0</v>
      </c>
      <c r="BI80" s="862" cm="1">
        <f t="array" ref="BI80">INDEX(BN$9:BN$17,$C80)</f>
        <v>0</v>
      </c>
      <c r="BJ80" s="862" cm="1">
        <f t="array" ref="BJ80">INDEX(BO$9:BO$17,$C80)</f>
        <v>0</v>
      </c>
    </row>
    <row r="81" spans="1:62" x14ac:dyDescent="0.2">
      <c r="A81" s="33"/>
      <c r="B81" s="76" t="s">
        <v>68</v>
      </c>
      <c r="C81">
        <v>3</v>
      </c>
      <c r="D81">
        <v>4.0000000000000001E-3</v>
      </c>
      <c r="E81">
        <v>0.52</v>
      </c>
      <c r="F81">
        <v>0.25</v>
      </c>
      <c r="G81">
        <v>0.28000000000000003</v>
      </c>
      <c r="H81" s="1650"/>
      <c r="I81" s="1655"/>
      <c r="J81" s="1655"/>
      <c r="K81" s="1656"/>
      <c r="L81" s="1619"/>
      <c r="M81">
        <f t="shared" si="48"/>
        <v>0.44999999999999996</v>
      </c>
      <c r="N81">
        <f t="shared" si="47"/>
        <v>0.44999999999999996</v>
      </c>
      <c r="O81">
        <f t="shared" si="47"/>
        <v>0.44999999999999996</v>
      </c>
      <c r="P81">
        <v>1.8E-3</v>
      </c>
      <c r="Q81">
        <v>1.8E-3</v>
      </c>
      <c r="R81">
        <v>1.8E-3</v>
      </c>
      <c r="S81">
        <v>1.4800000000000001E-2</v>
      </c>
      <c r="T81">
        <v>1.4800000000000001E-2</v>
      </c>
      <c r="U81">
        <v>1.4800000000000001E-2</v>
      </c>
      <c r="V81">
        <v>60</v>
      </c>
      <c r="W81">
        <v>60</v>
      </c>
      <c r="X81">
        <v>60</v>
      </c>
      <c r="Y81" s="1658">
        <v>0</v>
      </c>
      <c r="Z81" s="1625"/>
      <c r="AA81">
        <v>40</v>
      </c>
      <c r="AB81">
        <v>40</v>
      </c>
      <c r="AC81" t="s">
        <v>951</v>
      </c>
      <c r="AD81">
        <v>3</v>
      </c>
      <c r="AE81">
        <v>0.92</v>
      </c>
      <c r="AF81">
        <v>0.31</v>
      </c>
      <c r="AG81">
        <v>0.06</v>
      </c>
      <c r="AH81" s="1618"/>
      <c r="AI81" s="2101">
        <v>23.32</v>
      </c>
      <c r="AK81" s="49">
        <v>0.7</v>
      </c>
      <c r="AL81" s="639">
        <v>5</v>
      </c>
      <c r="AM81" s="75">
        <v>5</v>
      </c>
      <c r="AN81" s="75">
        <f t="shared" si="16"/>
        <v>5</v>
      </c>
      <c r="AO81" s="75">
        <v>50</v>
      </c>
      <c r="AP81" s="52">
        <v>90</v>
      </c>
      <c r="AQ81" s="52">
        <v>45</v>
      </c>
      <c r="AS81" s="578">
        <v>0.74</v>
      </c>
      <c r="AT81" s="52">
        <v>500</v>
      </c>
      <c r="AU81" s="52">
        <v>58</v>
      </c>
      <c r="AV81" s="578">
        <v>0.75</v>
      </c>
      <c r="AW81" s="52">
        <v>500</v>
      </c>
      <c r="AX81" s="52">
        <v>55</v>
      </c>
      <c r="AY81" s="52">
        <v>40</v>
      </c>
      <c r="AZ81" s="52">
        <v>100</v>
      </c>
      <c r="BC81" s="52">
        <f t="shared" si="37"/>
        <v>0.6996</v>
      </c>
      <c r="BD81" s="52">
        <f t="shared" si="38"/>
        <v>0.21454400000000001</v>
      </c>
      <c r="BE81" s="1332">
        <f t="shared" si="39"/>
        <v>1.2196</v>
      </c>
      <c r="BF81" s="52">
        <f t="shared" si="40"/>
        <v>0</v>
      </c>
      <c r="BH81" s="862" cm="1">
        <f t="array" ref="BH81">INDEX(BM$9:BM$17,$C81)</f>
        <v>0</v>
      </c>
      <c r="BI81" s="862" cm="1">
        <f t="array" ref="BI81">INDEX(BN$9:BN$17,$C81)</f>
        <v>0</v>
      </c>
      <c r="BJ81" s="862" cm="1">
        <f t="array" ref="BJ81">INDEX(BO$9:BO$17,$C81)</f>
        <v>0</v>
      </c>
    </row>
    <row r="82" spans="1:62" x14ac:dyDescent="0.2">
      <c r="A82" s="33"/>
      <c r="B82" s="76" t="s">
        <v>69</v>
      </c>
      <c r="C82">
        <v>3</v>
      </c>
      <c r="D82">
        <v>4.0000000000000001E-3</v>
      </c>
      <c r="E82">
        <v>0.48</v>
      </c>
      <c r="F82">
        <v>0.23</v>
      </c>
      <c r="G82">
        <v>0.28000000000000003</v>
      </c>
      <c r="H82" s="1650"/>
      <c r="I82" s="1655"/>
      <c r="J82" s="1655"/>
      <c r="K82" s="1656"/>
      <c r="L82" s="1619"/>
      <c r="M82">
        <f t="shared" si="48"/>
        <v>0.44999999999999996</v>
      </c>
      <c r="N82">
        <f t="shared" si="47"/>
        <v>0.44999999999999996</v>
      </c>
      <c r="O82">
        <f t="shared" si="47"/>
        <v>0.44999999999999996</v>
      </c>
      <c r="P82">
        <v>1.8E-3</v>
      </c>
      <c r="Q82">
        <v>1.8E-3</v>
      </c>
      <c r="R82">
        <v>1.8E-3</v>
      </c>
      <c r="S82">
        <v>1.4800000000000001E-2</v>
      </c>
      <c r="T82">
        <v>1.4800000000000001E-2</v>
      </c>
      <c r="U82">
        <v>1.4800000000000001E-2</v>
      </c>
      <c r="V82">
        <v>60</v>
      </c>
      <c r="W82">
        <v>60</v>
      </c>
      <c r="X82">
        <v>60</v>
      </c>
      <c r="Y82" s="1658">
        <v>0</v>
      </c>
      <c r="Z82" s="1625"/>
      <c r="AA82">
        <v>40</v>
      </c>
      <c r="AB82">
        <v>40</v>
      </c>
      <c r="AC82" t="s">
        <v>951</v>
      </c>
      <c r="AD82">
        <v>3</v>
      </c>
      <c r="AE82">
        <v>0.92</v>
      </c>
      <c r="AF82">
        <v>0.31</v>
      </c>
      <c r="AG82">
        <v>0.06</v>
      </c>
      <c r="AH82" s="1618"/>
      <c r="AI82" s="2101">
        <v>23.32</v>
      </c>
      <c r="AK82" s="49">
        <v>0.7</v>
      </c>
      <c r="AL82" s="639">
        <v>5</v>
      </c>
      <c r="AM82" s="75">
        <v>5</v>
      </c>
      <c r="AN82" s="75">
        <f>AM82</f>
        <v>5</v>
      </c>
      <c r="AO82" s="75">
        <v>50</v>
      </c>
      <c r="AP82" s="52">
        <v>90</v>
      </c>
      <c r="AQ82" s="52">
        <v>45</v>
      </c>
      <c r="AS82" s="578">
        <v>0.74</v>
      </c>
      <c r="AT82" s="52">
        <v>500</v>
      </c>
      <c r="AU82" s="52">
        <v>58</v>
      </c>
      <c r="AV82" s="578">
        <v>0.75</v>
      </c>
      <c r="AW82" s="52">
        <v>500</v>
      </c>
      <c r="AX82" s="52">
        <v>55</v>
      </c>
      <c r="AY82" s="52">
        <v>40</v>
      </c>
      <c r="AZ82" s="52">
        <v>100</v>
      </c>
      <c r="BC82" s="52">
        <f t="shared" si="37"/>
        <v>0.6996</v>
      </c>
      <c r="BD82" s="52">
        <f t="shared" si="38"/>
        <v>0.21454400000000001</v>
      </c>
      <c r="BE82" s="1332">
        <f t="shared" si="39"/>
        <v>1.1796</v>
      </c>
      <c r="BF82" s="52">
        <f t="shared" si="40"/>
        <v>0</v>
      </c>
      <c r="BH82" s="862" cm="1">
        <f t="array" ref="BH82">INDEX(BM$9:BM$17,$C82)</f>
        <v>0</v>
      </c>
      <c r="BI82" s="862" cm="1">
        <f t="array" ref="BI82">INDEX(BN$9:BN$17,$C82)</f>
        <v>0</v>
      </c>
      <c r="BJ82" s="862" cm="1">
        <f t="array" ref="BJ82">INDEX(BO$9:BO$17,$C82)</f>
        <v>0</v>
      </c>
    </row>
    <row r="83" spans="1:62" x14ac:dyDescent="0.2">
      <c r="A83" s="33"/>
      <c r="B83" s="76" t="s">
        <v>70</v>
      </c>
      <c r="C83">
        <v>3</v>
      </c>
      <c r="D83">
        <v>4.0000000000000001E-3</v>
      </c>
      <c r="E83">
        <v>2.42</v>
      </c>
      <c r="F83">
        <v>1.37</v>
      </c>
      <c r="G83">
        <v>1.17</v>
      </c>
      <c r="H83" s="1650"/>
      <c r="I83" s="1655"/>
      <c r="J83" s="1655"/>
      <c r="K83" s="1661"/>
      <c r="L83" s="1660"/>
      <c r="M83">
        <f t="shared" si="48"/>
        <v>5.4249999999999998</v>
      </c>
      <c r="N83">
        <f t="shared" si="47"/>
        <v>5.4249999999999998</v>
      </c>
      <c r="O83">
        <f t="shared" si="47"/>
        <v>5.4249999999999998</v>
      </c>
      <c r="P83">
        <v>2.1700000000000001E-2</v>
      </c>
      <c r="Q83">
        <v>2.1700000000000001E-2</v>
      </c>
      <c r="R83">
        <v>2.1700000000000001E-2</v>
      </c>
      <c r="S83">
        <v>5.4699999999999999E-2</v>
      </c>
      <c r="T83">
        <v>5.4699999999999999E-2</v>
      </c>
      <c r="U83">
        <v>5.4699999999999999E-2</v>
      </c>
      <c r="V83">
        <v>50</v>
      </c>
      <c r="W83">
        <v>50</v>
      </c>
      <c r="X83">
        <v>50</v>
      </c>
      <c r="Y83" s="1658">
        <v>0</v>
      </c>
      <c r="Z83" s="1625"/>
      <c r="AA83">
        <v>40</v>
      </c>
      <c r="AB83">
        <v>40</v>
      </c>
      <c r="AC83" t="s">
        <v>952</v>
      </c>
      <c r="AD83">
        <v>3.3</v>
      </c>
      <c r="AE83">
        <v>1.17</v>
      </c>
      <c r="AF83">
        <v>0.3</v>
      </c>
      <c r="AG83">
        <v>0.06</v>
      </c>
      <c r="AH83" s="1618"/>
      <c r="AI83" s="91">
        <v>54.72</v>
      </c>
      <c r="AK83" s="49">
        <v>0.7</v>
      </c>
      <c r="AL83" s="639">
        <v>5</v>
      </c>
      <c r="AM83" s="75">
        <v>5</v>
      </c>
      <c r="AN83" s="75">
        <f t="shared" si="16"/>
        <v>5</v>
      </c>
      <c r="AO83" s="75">
        <v>50</v>
      </c>
      <c r="AP83" s="52">
        <v>90</v>
      </c>
      <c r="AQ83" s="52">
        <v>45</v>
      </c>
      <c r="AS83" s="578">
        <v>0.74</v>
      </c>
      <c r="AT83" s="52">
        <v>500</v>
      </c>
      <c r="AU83" s="52">
        <v>58</v>
      </c>
      <c r="AV83" s="578">
        <v>0.75</v>
      </c>
      <c r="AW83" s="52">
        <v>500</v>
      </c>
      <c r="AX83" s="52">
        <v>65</v>
      </c>
      <c r="AY83" s="52">
        <v>40</v>
      </c>
      <c r="AZ83" s="52">
        <v>100</v>
      </c>
      <c r="BC83" s="52">
        <f t="shared" si="37"/>
        <v>1.80576</v>
      </c>
      <c r="BD83" s="52">
        <f t="shared" si="38"/>
        <v>0.64022400000000002</v>
      </c>
      <c r="BE83" s="1332">
        <f t="shared" si="39"/>
        <v>4.2257600000000002</v>
      </c>
      <c r="BF83" s="52">
        <f t="shared" si="40"/>
        <v>0</v>
      </c>
      <c r="BH83" s="862" cm="1">
        <f t="array" ref="BH83">INDEX(BM$9:BM$17,$C83)</f>
        <v>0</v>
      </c>
      <c r="BI83" s="862" cm="1">
        <f t="array" ref="BI83">INDEX(BN$9:BN$17,$C83)</f>
        <v>0</v>
      </c>
      <c r="BJ83" s="862" cm="1">
        <f t="array" ref="BJ83">INDEX(BO$9:BO$17,$C83)</f>
        <v>0</v>
      </c>
    </row>
    <row r="84" spans="1:62" x14ac:dyDescent="0.2">
      <c r="A84" s="33"/>
      <c r="B84" s="76" t="s">
        <v>71</v>
      </c>
      <c r="C84">
        <v>3</v>
      </c>
      <c r="D84">
        <v>4.0000000000000001E-3</v>
      </c>
      <c r="E84">
        <v>2.25</v>
      </c>
      <c r="F84">
        <v>1.06</v>
      </c>
      <c r="G84">
        <v>1.1100000000000001</v>
      </c>
      <c r="H84" s="1650"/>
      <c r="I84" s="1655"/>
      <c r="J84" s="1655"/>
      <c r="K84" s="1661"/>
      <c r="L84" s="1660"/>
      <c r="M84">
        <f t="shared" si="48"/>
        <v>5.4249999999999998</v>
      </c>
      <c r="N84">
        <f t="shared" si="47"/>
        <v>5.4249999999999998</v>
      </c>
      <c r="O84">
        <f t="shared" si="47"/>
        <v>5.4249999999999998</v>
      </c>
      <c r="P84">
        <v>2.1700000000000001E-2</v>
      </c>
      <c r="Q84">
        <v>2.1700000000000001E-2</v>
      </c>
      <c r="R84">
        <v>2.1700000000000001E-2</v>
      </c>
      <c r="S84">
        <v>5.4699999999999999E-2</v>
      </c>
      <c r="T84">
        <v>5.4699999999999999E-2</v>
      </c>
      <c r="U84">
        <v>5.4699999999999999E-2</v>
      </c>
      <c r="V84">
        <v>50</v>
      </c>
      <c r="W84">
        <v>50</v>
      </c>
      <c r="X84">
        <v>50</v>
      </c>
      <c r="Y84" s="1658">
        <v>0</v>
      </c>
      <c r="Z84" s="1625"/>
      <c r="AA84">
        <v>40</v>
      </c>
      <c r="AB84">
        <v>40</v>
      </c>
      <c r="AC84" t="s">
        <v>952</v>
      </c>
      <c r="AD84">
        <v>3.3</v>
      </c>
      <c r="AE84">
        <v>1.17</v>
      </c>
      <c r="AF84">
        <v>0.3</v>
      </c>
      <c r="AG84">
        <v>0.06</v>
      </c>
      <c r="AH84" s="1618"/>
      <c r="AI84" s="91">
        <v>54.72</v>
      </c>
      <c r="AK84" s="49">
        <v>0.7</v>
      </c>
      <c r="AL84" s="639">
        <v>5</v>
      </c>
      <c r="AM84" s="75">
        <v>5</v>
      </c>
      <c r="AN84" s="75">
        <f t="shared" si="16"/>
        <v>5</v>
      </c>
      <c r="AO84" s="75">
        <v>50</v>
      </c>
      <c r="AP84" s="52">
        <v>90</v>
      </c>
      <c r="AQ84" s="52">
        <v>45</v>
      </c>
      <c r="AS84" s="578">
        <v>0.74</v>
      </c>
      <c r="AT84" s="52">
        <v>500</v>
      </c>
      <c r="AU84" s="52">
        <v>58</v>
      </c>
      <c r="AV84" s="578">
        <v>0.75</v>
      </c>
      <c r="AW84" s="52">
        <v>500</v>
      </c>
      <c r="AX84" s="52">
        <v>65</v>
      </c>
      <c r="AY84" s="52">
        <v>40</v>
      </c>
      <c r="AZ84" s="52">
        <v>100</v>
      </c>
      <c r="BC84" s="52">
        <f t="shared" si="37"/>
        <v>1.80576</v>
      </c>
      <c r="BD84" s="52">
        <f t="shared" si="38"/>
        <v>0.64022400000000002</v>
      </c>
      <c r="BE84" s="1332">
        <f t="shared" si="39"/>
        <v>4.0557600000000003</v>
      </c>
      <c r="BF84" s="52">
        <f t="shared" si="40"/>
        <v>0</v>
      </c>
      <c r="BH84" s="862" cm="1">
        <f t="array" ref="BH84">INDEX(BM$9:BM$17,$C84)</f>
        <v>0</v>
      </c>
      <c r="BI84" s="862" cm="1">
        <f t="array" ref="BI84">INDEX(BN$9:BN$17,$C84)</f>
        <v>0</v>
      </c>
      <c r="BJ84" s="862" cm="1">
        <f t="array" ref="BJ84">INDEX(BO$9:BO$17,$C84)</f>
        <v>0</v>
      </c>
    </row>
    <row r="85" spans="1:62" x14ac:dyDescent="0.2">
      <c r="A85" s="33"/>
      <c r="B85" s="76" t="s">
        <v>72</v>
      </c>
      <c r="C85">
        <v>3</v>
      </c>
      <c r="D85">
        <v>4.0000000000000001E-3</v>
      </c>
      <c r="E85">
        <v>1.72</v>
      </c>
      <c r="F85">
        <v>0.94</v>
      </c>
      <c r="G85">
        <v>0.96</v>
      </c>
      <c r="H85" s="1650"/>
      <c r="I85" s="1655"/>
      <c r="J85" s="1655"/>
      <c r="K85" s="1656"/>
      <c r="L85" s="1619"/>
      <c r="M85">
        <f t="shared" si="48"/>
        <v>4.3499999999999996</v>
      </c>
      <c r="N85">
        <f t="shared" si="47"/>
        <v>4.3499999999999996</v>
      </c>
      <c r="O85">
        <f t="shared" si="47"/>
        <v>4.3499999999999996</v>
      </c>
      <c r="P85">
        <v>1.7399999999999999E-2</v>
      </c>
      <c r="Q85">
        <v>1.7399999999999999E-2</v>
      </c>
      <c r="R85">
        <v>1.7399999999999999E-2</v>
      </c>
      <c r="S85">
        <v>6.0900000000000003E-2</v>
      </c>
      <c r="T85">
        <v>6.0900000000000003E-2</v>
      </c>
      <c r="U85">
        <v>6.0900000000000003E-2</v>
      </c>
      <c r="V85">
        <v>50</v>
      </c>
      <c r="W85">
        <v>50</v>
      </c>
      <c r="X85">
        <v>50</v>
      </c>
      <c r="Y85" s="1658">
        <v>0</v>
      </c>
      <c r="Z85" s="1625"/>
      <c r="AA85">
        <v>40</v>
      </c>
      <c r="AB85">
        <v>40</v>
      </c>
      <c r="AC85" t="s">
        <v>952</v>
      </c>
      <c r="AD85">
        <v>3.3</v>
      </c>
      <c r="AE85">
        <v>1.17</v>
      </c>
      <c r="AF85">
        <v>0.3</v>
      </c>
      <c r="AG85">
        <v>0.06</v>
      </c>
      <c r="AH85" s="1618"/>
      <c r="AI85" s="91">
        <v>35.43</v>
      </c>
      <c r="AK85" s="49">
        <v>0.7</v>
      </c>
      <c r="AL85" s="639">
        <v>5</v>
      </c>
      <c r="AM85" s="75">
        <v>5</v>
      </c>
      <c r="AN85" s="75">
        <f t="shared" si="16"/>
        <v>5</v>
      </c>
      <c r="AO85" s="75">
        <v>50</v>
      </c>
      <c r="AP85" s="52">
        <v>90</v>
      </c>
      <c r="AQ85" s="52">
        <v>45</v>
      </c>
      <c r="AS85" s="578">
        <v>0.74</v>
      </c>
      <c r="AT85" s="52">
        <v>500</v>
      </c>
      <c r="AU85" s="52">
        <v>58</v>
      </c>
      <c r="AV85" s="578">
        <v>0.75</v>
      </c>
      <c r="AW85" s="52">
        <v>500</v>
      </c>
      <c r="AX85" s="52">
        <v>65</v>
      </c>
      <c r="AY85" s="52">
        <v>40</v>
      </c>
      <c r="AZ85" s="52">
        <v>100</v>
      </c>
      <c r="BC85" s="52">
        <f t="shared" si="37"/>
        <v>1.16919</v>
      </c>
      <c r="BD85" s="52">
        <f t="shared" si="38"/>
        <v>0.41453099999999998</v>
      </c>
      <c r="BE85" s="1332">
        <f t="shared" si="39"/>
        <v>2.8891900000000001</v>
      </c>
      <c r="BF85" s="52">
        <f t="shared" si="40"/>
        <v>0</v>
      </c>
      <c r="BH85" s="862" cm="1">
        <f t="array" ref="BH85">INDEX(BM$9:BM$17,$C85)</f>
        <v>0</v>
      </c>
      <c r="BI85" s="862" cm="1">
        <f t="array" ref="BI85">INDEX(BN$9:BN$17,$C85)</f>
        <v>0</v>
      </c>
      <c r="BJ85" s="862" cm="1">
        <f t="array" ref="BJ85">INDEX(BO$9:BO$17,$C85)</f>
        <v>0</v>
      </c>
    </row>
    <row r="86" spans="1:62" x14ac:dyDescent="0.2">
      <c r="A86" s="33"/>
      <c r="B86" s="76" t="s">
        <v>73</v>
      </c>
      <c r="C86">
        <v>3</v>
      </c>
      <c r="D86">
        <v>4.0000000000000001E-3</v>
      </c>
      <c r="E86">
        <v>1.62</v>
      </c>
      <c r="F86">
        <v>0.66</v>
      </c>
      <c r="G86">
        <v>0.92</v>
      </c>
      <c r="H86" s="1650"/>
      <c r="I86" s="1655"/>
      <c r="J86" s="1655"/>
      <c r="K86" s="1656"/>
      <c r="L86" s="1619"/>
      <c r="M86">
        <f t="shared" si="48"/>
        <v>4.3499999999999996</v>
      </c>
      <c r="N86">
        <f t="shared" si="47"/>
        <v>4.3499999999999996</v>
      </c>
      <c r="O86">
        <f t="shared" si="47"/>
        <v>4.3499999999999996</v>
      </c>
      <c r="P86">
        <v>1.7399999999999999E-2</v>
      </c>
      <c r="Q86">
        <v>1.7399999999999999E-2</v>
      </c>
      <c r="R86">
        <v>1.7399999999999999E-2</v>
      </c>
      <c r="S86">
        <v>6.0900000000000003E-2</v>
      </c>
      <c r="T86">
        <v>6.0900000000000003E-2</v>
      </c>
      <c r="U86">
        <v>6.0900000000000003E-2</v>
      </c>
      <c r="V86">
        <v>50</v>
      </c>
      <c r="W86">
        <v>50</v>
      </c>
      <c r="X86">
        <v>50</v>
      </c>
      <c r="Y86" s="1658">
        <v>0</v>
      </c>
      <c r="Z86" s="1625"/>
      <c r="AA86">
        <v>40</v>
      </c>
      <c r="AB86">
        <v>40</v>
      </c>
      <c r="AC86" t="s">
        <v>952</v>
      </c>
      <c r="AD86">
        <v>3.3</v>
      </c>
      <c r="AE86">
        <v>1.17</v>
      </c>
      <c r="AF86">
        <v>0.3</v>
      </c>
      <c r="AG86">
        <v>0.06</v>
      </c>
      <c r="AH86" s="1618"/>
      <c r="AI86" s="91">
        <v>35.43</v>
      </c>
      <c r="AK86" s="49">
        <v>0.7</v>
      </c>
      <c r="AL86" s="639">
        <v>5</v>
      </c>
      <c r="AM86" s="75">
        <v>5</v>
      </c>
      <c r="AN86" s="75">
        <f t="shared" si="16"/>
        <v>5</v>
      </c>
      <c r="AO86" s="75">
        <v>50</v>
      </c>
      <c r="AP86" s="52">
        <v>90</v>
      </c>
      <c r="AQ86" s="52">
        <v>45</v>
      </c>
      <c r="AS86" s="578">
        <v>0.74</v>
      </c>
      <c r="AT86" s="52">
        <v>500</v>
      </c>
      <c r="AU86" s="52">
        <v>58</v>
      </c>
      <c r="AV86" s="578">
        <v>0.75</v>
      </c>
      <c r="AW86" s="52">
        <v>500</v>
      </c>
      <c r="AX86" s="52">
        <v>65</v>
      </c>
      <c r="AY86" s="52">
        <v>40</v>
      </c>
      <c r="AZ86" s="52">
        <v>100</v>
      </c>
      <c r="BC86" s="52">
        <f t="shared" si="37"/>
        <v>1.16919</v>
      </c>
      <c r="BD86" s="52">
        <f t="shared" si="38"/>
        <v>0.41453099999999998</v>
      </c>
      <c r="BE86" s="1332">
        <f t="shared" si="39"/>
        <v>2.7891900000000001</v>
      </c>
      <c r="BF86" s="52">
        <f t="shared" si="40"/>
        <v>0</v>
      </c>
      <c r="BH86" s="862" cm="1">
        <f t="array" ref="BH86">INDEX(BM$9:BM$17,$C86)</f>
        <v>0</v>
      </c>
      <c r="BI86" s="862" cm="1">
        <f t="array" ref="BI86">INDEX(BN$9:BN$17,$C86)</f>
        <v>0</v>
      </c>
      <c r="BJ86" s="862" cm="1">
        <f t="array" ref="BJ86">INDEX(BO$9:BO$17,$C86)</f>
        <v>0</v>
      </c>
    </row>
    <row r="87" spans="1:62" x14ac:dyDescent="0.2">
      <c r="A87" s="36"/>
      <c r="B87" s="76" t="s">
        <v>74</v>
      </c>
      <c r="C87">
        <v>3</v>
      </c>
      <c r="D87">
        <v>4.0000000000000001E-3</v>
      </c>
      <c r="E87">
        <v>1.87</v>
      </c>
      <c r="F87">
        <v>0.57999999999999996</v>
      </c>
      <c r="G87">
        <v>1.79</v>
      </c>
      <c r="H87">
        <v>1.24</v>
      </c>
      <c r="I87">
        <v>0.35</v>
      </c>
      <c r="J87">
        <v>1.29</v>
      </c>
      <c r="K87" s="1656"/>
      <c r="L87" s="1619"/>
      <c r="M87">
        <f t="shared" si="48"/>
        <v>13.324999999999999</v>
      </c>
      <c r="N87">
        <f t="shared" si="47"/>
        <v>13.324999999999999</v>
      </c>
      <c r="O87">
        <f t="shared" si="47"/>
        <v>13.324999999999999</v>
      </c>
      <c r="P87">
        <v>5.33E-2</v>
      </c>
      <c r="Q87">
        <v>5.33E-2</v>
      </c>
      <c r="R87">
        <v>5.33E-2</v>
      </c>
      <c r="S87">
        <v>0.1053</v>
      </c>
      <c r="T87">
        <v>0.1053</v>
      </c>
      <c r="U87">
        <v>0.1053</v>
      </c>
      <c r="V87">
        <v>30</v>
      </c>
      <c r="W87">
        <v>30</v>
      </c>
      <c r="X87">
        <v>30</v>
      </c>
      <c r="Y87" s="1658">
        <v>0</v>
      </c>
      <c r="Z87" s="1625"/>
      <c r="AA87">
        <v>40</v>
      </c>
      <c r="AB87">
        <v>40</v>
      </c>
      <c r="AC87" t="s">
        <v>8418</v>
      </c>
      <c r="AD87">
        <v>3</v>
      </c>
      <c r="AE87">
        <v>1.21</v>
      </c>
      <c r="AF87">
        <v>0.3</v>
      </c>
      <c r="AG87">
        <v>0.06</v>
      </c>
      <c r="AH87" s="1618"/>
      <c r="AI87" s="91">
        <v>13.52</v>
      </c>
      <c r="AK87" s="49">
        <v>0.7</v>
      </c>
      <c r="AL87" s="639">
        <v>5</v>
      </c>
      <c r="AM87" s="75">
        <v>5</v>
      </c>
      <c r="AN87" s="75">
        <f t="shared" si="16"/>
        <v>5</v>
      </c>
      <c r="AO87" s="75">
        <v>50</v>
      </c>
      <c r="AP87" s="52">
        <v>90</v>
      </c>
      <c r="AQ87" s="52">
        <v>45</v>
      </c>
      <c r="AS87" s="578">
        <v>0.74</v>
      </c>
      <c r="AT87" s="52">
        <v>500</v>
      </c>
      <c r="AU87" s="52">
        <v>58</v>
      </c>
      <c r="AV87" s="578">
        <v>0.75</v>
      </c>
      <c r="AW87" s="52">
        <v>500</v>
      </c>
      <c r="AX87" s="52">
        <v>55</v>
      </c>
      <c r="AY87" s="52">
        <v>40</v>
      </c>
      <c r="AZ87" s="52">
        <v>100</v>
      </c>
      <c r="BC87" s="52">
        <f t="shared" si="37"/>
        <v>0.40559999999999996</v>
      </c>
      <c r="BD87" s="52">
        <f t="shared" si="38"/>
        <v>0.16359199999999999</v>
      </c>
      <c r="BE87" s="1332">
        <f t="shared" si="39"/>
        <v>2.2755999999999998</v>
      </c>
      <c r="BF87" s="52">
        <f t="shared" si="40"/>
        <v>0.54491123220249604</v>
      </c>
      <c r="BH87" s="862" cm="1">
        <f t="array" ref="BH87">INDEX(BM$9:BM$17,$C87)</f>
        <v>0</v>
      </c>
      <c r="BI87" s="862" cm="1">
        <f t="array" ref="BI87">INDEX(BN$9:BN$17,$C87)</f>
        <v>0</v>
      </c>
      <c r="BJ87" s="862" cm="1">
        <f t="array" ref="BJ87">INDEX(BO$9:BO$17,$C87)</f>
        <v>0</v>
      </c>
    </row>
    <row r="88" spans="1:62" x14ac:dyDescent="0.2">
      <c r="A88" s="36"/>
      <c r="B88" s="76" t="s">
        <v>75</v>
      </c>
      <c r="C88">
        <v>3</v>
      </c>
      <c r="D88">
        <v>4.0000000000000001E-3</v>
      </c>
      <c r="E88">
        <v>0.71</v>
      </c>
      <c r="F88">
        <v>0.4</v>
      </c>
      <c r="G88">
        <v>0.38</v>
      </c>
      <c r="H88" s="1662"/>
      <c r="I88" s="1663"/>
      <c r="J88" s="1663"/>
      <c r="K88" s="1656"/>
      <c r="L88" s="1664"/>
      <c r="M88">
        <f t="shared" si="48"/>
        <v>1.6</v>
      </c>
      <c r="N88">
        <f t="shared" si="47"/>
        <v>1.6</v>
      </c>
      <c r="O88">
        <f t="shared" si="47"/>
        <v>1.6</v>
      </c>
      <c r="P88">
        <v>6.4000000000000003E-3</v>
      </c>
      <c r="Q88">
        <v>6.4000000000000003E-3</v>
      </c>
      <c r="R88">
        <v>6.4000000000000003E-3</v>
      </c>
      <c r="S88">
        <v>6.7400000000000002E-2</v>
      </c>
      <c r="T88">
        <v>6.7400000000000002E-2</v>
      </c>
      <c r="U88">
        <v>6.7400000000000002E-2</v>
      </c>
      <c r="V88">
        <v>30</v>
      </c>
      <c r="W88">
        <v>30</v>
      </c>
      <c r="X88">
        <v>30</v>
      </c>
      <c r="Y88" s="1658">
        <v>0</v>
      </c>
      <c r="Z88" s="1625"/>
      <c r="AA88">
        <v>40</v>
      </c>
      <c r="AB88">
        <v>40</v>
      </c>
      <c r="AC88" t="s">
        <v>954</v>
      </c>
      <c r="AD88">
        <v>3</v>
      </c>
      <c r="AE88">
        <v>1.1499999999999999</v>
      </c>
      <c r="AF88">
        <v>0.3</v>
      </c>
      <c r="AG88">
        <v>0.06</v>
      </c>
      <c r="AH88" s="1618"/>
      <c r="AI88" s="91">
        <v>19.5</v>
      </c>
      <c r="AK88" s="49">
        <v>0.7</v>
      </c>
      <c r="AL88" s="639">
        <v>5</v>
      </c>
      <c r="AM88" s="75">
        <v>5</v>
      </c>
      <c r="AN88" s="75">
        <f t="shared" si="16"/>
        <v>5</v>
      </c>
      <c r="AO88" s="75">
        <v>50</v>
      </c>
      <c r="AP88" s="52">
        <v>90</v>
      </c>
      <c r="AQ88" s="52">
        <v>45</v>
      </c>
      <c r="AS88" s="578">
        <v>0.74</v>
      </c>
      <c r="AT88" s="52">
        <v>500</v>
      </c>
      <c r="AU88" s="52">
        <v>58</v>
      </c>
      <c r="AV88" s="578">
        <v>0.75</v>
      </c>
      <c r="AW88" s="52">
        <v>500</v>
      </c>
      <c r="AX88" s="52">
        <v>55</v>
      </c>
      <c r="AY88" s="52">
        <v>40</v>
      </c>
      <c r="AZ88" s="52">
        <v>100</v>
      </c>
      <c r="BC88" s="52">
        <f t="shared" si="17"/>
        <v>0.58499999999999996</v>
      </c>
      <c r="BD88" s="52">
        <f t="shared" si="18"/>
        <v>0.22424999999999998</v>
      </c>
      <c r="BE88" s="1332">
        <f t="shared" si="19"/>
        <v>1.2949999999999999</v>
      </c>
      <c r="BF88" s="52">
        <f t="shared" si="20"/>
        <v>0</v>
      </c>
      <c r="BH88" s="862" cm="1">
        <f t="array" ref="BH88">INDEX(BM$9:BM$17,$C88)</f>
        <v>0</v>
      </c>
      <c r="BI88" s="862" cm="1">
        <f t="array" ref="BI88">INDEX(BN$9:BN$17,$C88)</f>
        <v>0</v>
      </c>
      <c r="BJ88" s="862" cm="1">
        <f t="array" ref="BJ88">INDEX(BO$9:BO$17,$C88)</f>
        <v>0</v>
      </c>
    </row>
    <row r="89" spans="1:62" x14ac:dyDescent="0.2">
      <c r="A89" s="36"/>
      <c r="B89" s="76" t="s">
        <v>76</v>
      </c>
      <c r="C89">
        <v>3</v>
      </c>
      <c r="D89">
        <v>4.0000000000000001E-3</v>
      </c>
      <c r="E89">
        <v>0.63</v>
      </c>
      <c r="F89">
        <v>0.4</v>
      </c>
      <c r="G89">
        <v>0.31</v>
      </c>
      <c r="H89" s="1652"/>
      <c r="I89" s="1651"/>
      <c r="J89" s="1651"/>
      <c r="K89" s="1656"/>
      <c r="L89" s="1619"/>
      <c r="M89">
        <f t="shared" si="48"/>
        <v>1.5</v>
      </c>
      <c r="N89">
        <f t="shared" si="47"/>
        <v>1.5</v>
      </c>
      <c r="O89">
        <f t="shared" si="47"/>
        <v>1.5</v>
      </c>
      <c r="P89">
        <v>6.0000000000000001E-3</v>
      </c>
      <c r="Q89">
        <v>6.0000000000000001E-3</v>
      </c>
      <c r="R89">
        <v>6.0000000000000001E-3</v>
      </c>
      <c r="S89">
        <v>0.05</v>
      </c>
      <c r="T89">
        <v>0.05</v>
      </c>
      <c r="U89">
        <v>0.05</v>
      </c>
      <c r="V89">
        <v>30</v>
      </c>
      <c r="W89">
        <v>30</v>
      </c>
      <c r="X89">
        <v>30</v>
      </c>
      <c r="Y89" s="1658">
        <v>0</v>
      </c>
      <c r="Z89" s="1625"/>
      <c r="AA89">
        <v>40</v>
      </c>
      <c r="AB89">
        <v>40</v>
      </c>
      <c r="AC89" t="s">
        <v>954</v>
      </c>
      <c r="AD89">
        <v>3</v>
      </c>
      <c r="AE89">
        <v>1.1499999999999999</v>
      </c>
      <c r="AF89">
        <v>0.3</v>
      </c>
      <c r="AG89">
        <v>0.06</v>
      </c>
      <c r="AH89" s="1618"/>
      <c r="AI89" s="91">
        <v>20</v>
      </c>
      <c r="AK89" s="49">
        <v>0.7</v>
      </c>
      <c r="AL89" s="639">
        <v>5</v>
      </c>
      <c r="AM89" s="75">
        <v>5</v>
      </c>
      <c r="AN89" s="75">
        <f t="shared" si="16"/>
        <v>5</v>
      </c>
      <c r="AO89" s="75">
        <v>50</v>
      </c>
      <c r="AP89" s="52">
        <v>90</v>
      </c>
      <c r="AQ89" s="52">
        <v>45</v>
      </c>
      <c r="AS89" s="578">
        <v>0.74</v>
      </c>
      <c r="AT89" s="52">
        <v>500</v>
      </c>
      <c r="AU89" s="52">
        <v>58</v>
      </c>
      <c r="AV89" s="578">
        <v>0.75</v>
      </c>
      <c r="AW89" s="52">
        <v>500</v>
      </c>
      <c r="AX89" s="52">
        <v>55</v>
      </c>
      <c r="AY89" s="52">
        <v>40</v>
      </c>
      <c r="AZ89" s="52">
        <v>100</v>
      </c>
      <c r="BC89" s="52">
        <f t="shared" si="17"/>
        <v>0.60000000000000009</v>
      </c>
      <c r="BD89" s="52">
        <f t="shared" si="18"/>
        <v>0.22999999999999998</v>
      </c>
      <c r="BE89" s="1332">
        <f t="shared" si="19"/>
        <v>1.23</v>
      </c>
      <c r="BF89" s="52">
        <f t="shared" si="20"/>
        <v>0</v>
      </c>
      <c r="BH89" s="862" cm="1">
        <f t="array" ref="BH89">INDEX(BM$9:BM$17,$C89)</f>
        <v>0</v>
      </c>
      <c r="BI89" s="862" cm="1">
        <f t="array" ref="BI89">INDEX(BN$9:BN$17,$C89)</f>
        <v>0</v>
      </c>
      <c r="BJ89" s="862" cm="1">
        <f t="array" ref="BJ89">INDEX(BO$9:BO$17,$C89)</f>
        <v>0</v>
      </c>
    </row>
    <row r="90" spans="1:62" x14ac:dyDescent="0.2">
      <c r="A90" s="36"/>
      <c r="B90" t="s">
        <v>8781</v>
      </c>
      <c r="C90"/>
      <c r="D90"/>
      <c r="E90"/>
      <c r="F90"/>
      <c r="G90"/>
      <c r="H90" s="2132"/>
      <c r="I90" s="2132"/>
      <c r="J90" s="2132"/>
      <c r="K90" s="1656"/>
      <c r="L90" s="1619"/>
      <c r="M90"/>
      <c r="N90"/>
      <c r="O90"/>
      <c r="P90"/>
      <c r="Q90"/>
      <c r="R90"/>
      <c r="S90"/>
      <c r="T90"/>
      <c r="U90"/>
      <c r="V90"/>
      <c r="W90"/>
      <c r="X90"/>
      <c r="Y90" s="1658"/>
      <c r="Z90" s="1625"/>
      <c r="AA90"/>
      <c r="AB90"/>
      <c r="AC90"/>
      <c r="AD90"/>
      <c r="AE90"/>
      <c r="AH90" s="1618"/>
      <c r="AI90" s="91"/>
      <c r="AK90" s="49"/>
      <c r="AL90" s="639"/>
      <c r="AM90" s="75"/>
      <c r="AN90" s="75"/>
      <c r="AO90" s="75"/>
      <c r="AS90" s="578"/>
      <c r="AV90" s="578"/>
      <c r="BE90" s="1332"/>
      <c r="BH90" s="862"/>
      <c r="BI90" s="862"/>
      <c r="BJ90" s="862"/>
    </row>
    <row r="91" spans="1:62" x14ac:dyDescent="0.2">
      <c r="A91" s="38"/>
      <c r="B91" s="76" t="s">
        <v>8165</v>
      </c>
      <c r="C91">
        <v>4</v>
      </c>
      <c r="D91">
        <v>6.6000000000000003E-2</v>
      </c>
      <c r="E91">
        <v>6.78</v>
      </c>
      <c r="F91">
        <v>2.1800000000000002</v>
      </c>
      <c r="G91">
        <v>7.42</v>
      </c>
      <c r="H91">
        <v>6.18</v>
      </c>
      <c r="I91">
        <v>1.94</v>
      </c>
      <c r="J91">
        <v>7.54</v>
      </c>
      <c r="K91" s="1656"/>
      <c r="L91" s="1619"/>
      <c r="M91">
        <v>3.03</v>
      </c>
      <c r="N91">
        <v>3.03</v>
      </c>
      <c r="O91">
        <v>3.03</v>
      </c>
      <c r="P91">
        <v>0.2</v>
      </c>
      <c r="Q91">
        <v>0.2</v>
      </c>
      <c r="R91">
        <v>0.2</v>
      </c>
      <c r="S91">
        <v>0.38</v>
      </c>
      <c r="T91">
        <v>0.38</v>
      </c>
      <c r="U91">
        <v>0.38</v>
      </c>
      <c r="V91">
        <v>50</v>
      </c>
      <c r="W91">
        <v>50</v>
      </c>
      <c r="X91">
        <v>50</v>
      </c>
      <c r="Y91" s="1658">
        <v>0</v>
      </c>
      <c r="Z91" s="1624"/>
      <c r="AA91">
        <v>45</v>
      </c>
      <c r="AB91">
        <v>45</v>
      </c>
      <c r="AC91" t="s">
        <v>966</v>
      </c>
      <c r="AD91">
        <v>2.6</v>
      </c>
      <c r="AE91">
        <v>1.37</v>
      </c>
      <c r="AF91">
        <v>0.24</v>
      </c>
      <c r="AG91">
        <v>0.05</v>
      </c>
      <c r="AH91" s="1665">
        <v>48</v>
      </c>
      <c r="AI91" s="2103">
        <v>50</v>
      </c>
      <c r="AK91" s="49">
        <v>0.9</v>
      </c>
      <c r="AL91" s="639">
        <v>1</v>
      </c>
      <c r="AM91" s="75">
        <v>2</v>
      </c>
      <c r="AN91" s="75">
        <f t="shared" ref="AN91" si="49">AM91</f>
        <v>2</v>
      </c>
      <c r="AO91" s="75">
        <v>50</v>
      </c>
      <c r="AP91" s="52">
        <v>90</v>
      </c>
      <c r="AQ91" s="52">
        <v>10</v>
      </c>
      <c r="AS91" s="578">
        <v>0.8</v>
      </c>
      <c r="AT91" s="52">
        <v>450</v>
      </c>
      <c r="AU91" s="52">
        <v>55</v>
      </c>
      <c r="AV91" s="578">
        <v>0.8</v>
      </c>
      <c r="AW91" s="52">
        <v>450</v>
      </c>
      <c r="AX91" s="52">
        <v>55</v>
      </c>
      <c r="AY91" s="52">
        <v>40</v>
      </c>
      <c r="AZ91" s="52">
        <v>100</v>
      </c>
      <c r="BC91" s="52">
        <f t="shared" si="17"/>
        <v>1.3</v>
      </c>
      <c r="BD91" s="52">
        <f t="shared" si="18"/>
        <v>0.68500000000000005</v>
      </c>
      <c r="BE91" s="1332">
        <f t="shared" si="19"/>
        <v>8.08</v>
      </c>
      <c r="BF91" s="52">
        <f t="shared" si="20"/>
        <v>0.76485148514851486</v>
      </c>
      <c r="BH91" s="862" cm="1">
        <f t="array" ref="BH91">INDEX(BM$9:BM$17,$C91)</f>
        <v>0</v>
      </c>
      <c r="BI91" s="862" cm="1">
        <f t="array" ref="BI91">INDEX(BN$9:BN$17,$C91)</f>
        <v>0</v>
      </c>
      <c r="BJ91" s="862" cm="1">
        <f t="array" ref="BJ91">INDEX(BO$9:BO$17,$C91)</f>
        <v>0</v>
      </c>
    </row>
    <row r="92" spans="1:62" x14ac:dyDescent="0.2">
      <c r="A92" s="36"/>
      <c r="B92" s="76" t="s">
        <v>77</v>
      </c>
      <c r="C92">
        <v>4</v>
      </c>
      <c r="D92">
        <v>0.1</v>
      </c>
      <c r="E92">
        <v>14.17</v>
      </c>
      <c r="F92">
        <v>4.29</v>
      </c>
      <c r="G92">
        <v>15.5</v>
      </c>
      <c r="H92">
        <v>12.8</v>
      </c>
      <c r="I92">
        <v>3.56</v>
      </c>
      <c r="J92">
        <v>14.3</v>
      </c>
      <c r="K92" s="1656"/>
      <c r="L92" s="1619"/>
      <c r="M92">
        <v>4</v>
      </c>
      <c r="N92">
        <v>4</v>
      </c>
      <c r="O92">
        <v>4</v>
      </c>
      <c r="P92">
        <v>0.4</v>
      </c>
      <c r="Q92">
        <v>0.4</v>
      </c>
      <c r="R92">
        <v>0.4</v>
      </c>
      <c r="S92">
        <v>0.73</v>
      </c>
      <c r="T92">
        <v>0.73</v>
      </c>
      <c r="U92">
        <v>0.73</v>
      </c>
      <c r="V92">
        <v>50</v>
      </c>
      <c r="W92">
        <v>50</v>
      </c>
      <c r="X92">
        <v>50</v>
      </c>
      <c r="Y92" s="1658">
        <v>0</v>
      </c>
      <c r="Z92" s="1625"/>
      <c r="AA92">
        <v>45</v>
      </c>
      <c r="AB92">
        <v>45</v>
      </c>
      <c r="AC92" t="s">
        <v>966</v>
      </c>
      <c r="AD92">
        <v>2.6</v>
      </c>
      <c r="AE92">
        <v>1.37</v>
      </c>
      <c r="AF92">
        <v>0.24</v>
      </c>
      <c r="AG92">
        <v>0.05</v>
      </c>
      <c r="AH92">
        <v>48</v>
      </c>
      <c r="AI92" s="2101">
        <v>7</v>
      </c>
      <c r="AK92" s="49">
        <v>0.9</v>
      </c>
      <c r="AL92" s="639">
        <v>1</v>
      </c>
      <c r="AM92" s="75">
        <v>2</v>
      </c>
      <c r="AN92" s="75">
        <f t="shared" si="16"/>
        <v>2</v>
      </c>
      <c r="AO92" s="75">
        <v>50</v>
      </c>
      <c r="AP92" s="52">
        <v>90</v>
      </c>
      <c r="AQ92" s="52">
        <v>10</v>
      </c>
      <c r="AS92" s="578">
        <v>0.8</v>
      </c>
      <c r="AT92" s="52">
        <v>450</v>
      </c>
      <c r="AU92" s="52">
        <v>55</v>
      </c>
      <c r="AV92" s="578">
        <v>0.8</v>
      </c>
      <c r="AW92" s="52">
        <v>450</v>
      </c>
      <c r="AX92" s="52">
        <v>55</v>
      </c>
      <c r="AY92" s="52">
        <v>40</v>
      </c>
      <c r="AZ92" s="52">
        <v>100</v>
      </c>
      <c r="BC92" s="52">
        <f t="shared" si="17"/>
        <v>0.18200000000000002</v>
      </c>
      <c r="BD92" s="52">
        <f t="shared" si="18"/>
        <v>9.5900000000000013E-2</v>
      </c>
      <c r="BE92" s="1332">
        <f t="shared" si="19"/>
        <v>14.352</v>
      </c>
      <c r="BF92" s="52">
        <f t="shared" si="20"/>
        <v>0.89186176142697882</v>
      </c>
      <c r="BH92" s="862" cm="1">
        <f t="array" ref="BH92">INDEX(BM$9:BM$17,$C92)</f>
        <v>0</v>
      </c>
      <c r="BI92" s="862" cm="1">
        <f t="array" ref="BI92">INDEX(BN$9:BN$17,$C92)</f>
        <v>0</v>
      </c>
      <c r="BJ92" s="862" cm="1">
        <f t="array" ref="BJ92">INDEX(BO$9:BO$17,$C92)</f>
        <v>0</v>
      </c>
    </row>
    <row r="93" spans="1:62" x14ac:dyDescent="0.2">
      <c r="A93" s="36"/>
      <c r="B93" s="76" t="s">
        <v>78</v>
      </c>
      <c r="C93">
        <v>5</v>
      </c>
      <c r="D93">
        <v>0.12</v>
      </c>
      <c r="E93">
        <v>15.2</v>
      </c>
      <c r="F93">
        <v>5.73</v>
      </c>
      <c r="G93">
        <v>18</v>
      </c>
      <c r="H93">
        <v>11.7</v>
      </c>
      <c r="I93">
        <v>3.81</v>
      </c>
      <c r="J93">
        <v>14.84</v>
      </c>
      <c r="K93" s="1656"/>
      <c r="L93" s="1619"/>
      <c r="M93">
        <v>5</v>
      </c>
      <c r="N93">
        <v>5</v>
      </c>
      <c r="O93">
        <v>5</v>
      </c>
      <c r="P93">
        <v>0.6</v>
      </c>
      <c r="Q93">
        <v>0.6</v>
      </c>
      <c r="R93">
        <v>0.6</v>
      </c>
      <c r="S93">
        <v>1</v>
      </c>
      <c r="T93">
        <v>1</v>
      </c>
      <c r="U93">
        <v>1</v>
      </c>
      <c r="V93">
        <v>50</v>
      </c>
      <c r="W93">
        <v>50</v>
      </c>
      <c r="X93">
        <v>50</v>
      </c>
      <c r="Y93" s="1658">
        <v>0</v>
      </c>
      <c r="Z93" s="1625"/>
      <c r="AA93">
        <v>45</v>
      </c>
      <c r="AB93">
        <v>45</v>
      </c>
      <c r="AC93" t="s">
        <v>955</v>
      </c>
      <c r="AD93">
        <v>2.6</v>
      </c>
      <c r="AE93">
        <v>1.37</v>
      </c>
      <c r="AF93">
        <v>0.28999999999999998</v>
      </c>
      <c r="AG93">
        <v>0.06</v>
      </c>
      <c r="AH93">
        <v>48</v>
      </c>
      <c r="AI93" s="2101">
        <v>24</v>
      </c>
      <c r="AK93" s="49">
        <v>0.9</v>
      </c>
      <c r="AL93" s="639">
        <v>1</v>
      </c>
      <c r="AM93" s="75">
        <v>2</v>
      </c>
      <c r="AN93" s="75">
        <f t="shared" si="16"/>
        <v>2</v>
      </c>
      <c r="AO93" s="75">
        <v>50</v>
      </c>
      <c r="AP93" s="52">
        <v>90</v>
      </c>
      <c r="AQ93" s="52">
        <v>10</v>
      </c>
      <c r="AS93" s="578">
        <v>0.8</v>
      </c>
      <c r="AT93" s="52">
        <v>450</v>
      </c>
      <c r="AU93" s="52">
        <v>55</v>
      </c>
      <c r="AV93" s="578">
        <v>0.8</v>
      </c>
      <c r="AW93" s="52">
        <v>450</v>
      </c>
      <c r="AX93" s="52">
        <v>55</v>
      </c>
      <c r="AY93" s="52">
        <v>40</v>
      </c>
      <c r="AZ93" s="52">
        <v>100</v>
      </c>
      <c r="BC93" s="52">
        <f t="shared" si="17"/>
        <v>0.624</v>
      </c>
      <c r="BD93" s="52">
        <f t="shared" si="18"/>
        <v>0.32880000000000004</v>
      </c>
      <c r="BE93" s="1332">
        <f>BC93+E93</f>
        <v>15.824</v>
      </c>
      <c r="BF93" s="52">
        <f t="shared" si="20"/>
        <v>0.7393832153690596</v>
      </c>
      <c r="BH93" s="862" cm="1">
        <f t="array" ref="BH93">INDEX(BM$9:BM$17,$C93)</f>
        <v>0</v>
      </c>
      <c r="BI93" s="862" cm="1">
        <f t="array" ref="BI93">INDEX(BN$9:BN$17,$C93)</f>
        <v>0</v>
      </c>
      <c r="BJ93" s="862" cm="1">
        <f t="array" ref="BJ93">INDEX(BO$9:BO$17,$C93)</f>
        <v>0</v>
      </c>
    </row>
    <row r="94" spans="1:62" x14ac:dyDescent="0.2">
      <c r="A94" s="36"/>
      <c r="B94" s="76" t="s">
        <v>79</v>
      </c>
      <c r="C94">
        <v>6</v>
      </c>
      <c r="D94">
        <v>0.7</v>
      </c>
      <c r="E94">
        <v>33.4</v>
      </c>
      <c r="F94">
        <v>15.35</v>
      </c>
      <c r="G94">
        <v>50.97</v>
      </c>
      <c r="H94">
        <v>21.7</v>
      </c>
      <c r="I94">
        <v>8.6999999999999993</v>
      </c>
      <c r="J94">
        <v>37.9</v>
      </c>
      <c r="K94" s="1656"/>
      <c r="L94" s="1619"/>
      <c r="M94">
        <v>5.71</v>
      </c>
      <c r="N94">
        <v>5.71</v>
      </c>
      <c r="O94">
        <v>5.71</v>
      </c>
      <c r="P94">
        <v>4</v>
      </c>
      <c r="Q94">
        <v>4</v>
      </c>
      <c r="R94">
        <v>4</v>
      </c>
      <c r="S94">
        <v>6.8</v>
      </c>
      <c r="T94">
        <v>6.8</v>
      </c>
      <c r="U94">
        <v>6.8</v>
      </c>
      <c r="V94">
        <v>30</v>
      </c>
      <c r="W94">
        <v>30</v>
      </c>
      <c r="X94">
        <v>30</v>
      </c>
      <c r="Y94" s="1658">
        <v>0</v>
      </c>
      <c r="Z94" s="1625"/>
      <c r="AA94">
        <v>45</v>
      </c>
      <c r="AB94">
        <v>45</v>
      </c>
      <c r="AC94" t="s">
        <v>956</v>
      </c>
      <c r="AD94">
        <v>3</v>
      </c>
      <c r="AE94">
        <v>1.74</v>
      </c>
      <c r="AF94">
        <v>0.24</v>
      </c>
      <c r="AG94">
        <v>0.05</v>
      </c>
      <c r="AH94" s="1665"/>
      <c r="AI94" s="2101">
        <v>50</v>
      </c>
      <c r="AK94" s="49">
        <v>0.7</v>
      </c>
      <c r="AL94" s="639">
        <v>1</v>
      </c>
      <c r="AM94" s="75">
        <v>2</v>
      </c>
      <c r="AN94" s="75">
        <f t="shared" ref="AN94:AN97" si="50">AM94</f>
        <v>2</v>
      </c>
      <c r="AO94" s="75">
        <v>50</v>
      </c>
      <c r="AP94" s="52">
        <v>90</v>
      </c>
      <c r="AQ94" s="52">
        <v>10</v>
      </c>
      <c r="AS94" s="578">
        <v>0.75</v>
      </c>
      <c r="AT94" s="52">
        <v>300</v>
      </c>
      <c r="AU94" s="52">
        <v>55</v>
      </c>
      <c r="AV94" s="578">
        <v>0.75</v>
      </c>
      <c r="AW94" s="52">
        <v>300</v>
      </c>
      <c r="AX94" s="52">
        <v>55</v>
      </c>
      <c r="AY94" s="52">
        <v>40</v>
      </c>
      <c r="AZ94" s="52">
        <v>100</v>
      </c>
      <c r="BC94" s="52">
        <f t="shared" si="17"/>
        <v>1.5</v>
      </c>
      <c r="BD94" s="52">
        <f t="shared" si="18"/>
        <v>0.87</v>
      </c>
      <c r="BE94" s="1332">
        <f t="shared" si="19"/>
        <v>34.9</v>
      </c>
      <c r="BF94" s="52">
        <f t="shared" si="20"/>
        <v>0.62177650429799425</v>
      </c>
      <c r="BH94" s="862" cm="1">
        <f t="array" ref="BH94">INDEX(BM$9:BM$17,$C94)</f>
        <v>0</v>
      </c>
      <c r="BI94" s="862" cm="1">
        <f t="array" ref="BI94">INDEX(BN$9:BN$17,$C94)</f>
        <v>0</v>
      </c>
      <c r="BJ94" s="862" cm="1">
        <f t="array" ref="BJ94">INDEX(BO$9:BO$17,$C94)</f>
        <v>0</v>
      </c>
    </row>
    <row r="95" spans="1:62" x14ac:dyDescent="0.2">
      <c r="A95" s="36"/>
      <c r="B95" s="76" t="s">
        <v>80</v>
      </c>
      <c r="C95">
        <v>6</v>
      </c>
      <c r="D95">
        <v>1.1000000000000001</v>
      </c>
      <c r="E95">
        <v>53.6</v>
      </c>
      <c r="F95">
        <v>23.37</v>
      </c>
      <c r="G95">
        <v>67</v>
      </c>
      <c r="H95">
        <v>29.5</v>
      </c>
      <c r="I95">
        <v>11.4</v>
      </c>
      <c r="J95">
        <v>48.9</v>
      </c>
      <c r="K95" s="1656"/>
      <c r="L95" s="1619"/>
      <c r="M95">
        <v>5.45</v>
      </c>
      <c r="N95">
        <v>5.45</v>
      </c>
      <c r="O95">
        <v>5.45</v>
      </c>
      <c r="P95">
        <v>6</v>
      </c>
      <c r="Q95">
        <v>6</v>
      </c>
      <c r="R95">
        <v>6</v>
      </c>
      <c r="S95">
        <v>11.2</v>
      </c>
      <c r="T95">
        <v>11.2</v>
      </c>
      <c r="U95">
        <v>11.2</v>
      </c>
      <c r="V95">
        <v>30</v>
      </c>
      <c r="W95">
        <v>30</v>
      </c>
      <c r="X95">
        <v>30</v>
      </c>
      <c r="Y95" s="1658">
        <v>0</v>
      </c>
      <c r="Z95" s="1625"/>
      <c r="AA95">
        <v>45</v>
      </c>
      <c r="AB95">
        <v>45</v>
      </c>
      <c r="AC95" t="s">
        <v>956</v>
      </c>
      <c r="AD95">
        <v>3</v>
      </c>
      <c r="AE95">
        <v>1.74</v>
      </c>
      <c r="AF95">
        <v>0.24</v>
      </c>
      <c r="AG95">
        <v>0.05</v>
      </c>
      <c r="AH95" s="1666"/>
      <c r="AI95" s="2101">
        <v>20</v>
      </c>
      <c r="AK95" s="49">
        <v>0.7</v>
      </c>
      <c r="AL95" s="639">
        <v>1</v>
      </c>
      <c r="AM95" s="75">
        <v>2</v>
      </c>
      <c r="AN95" s="75">
        <f t="shared" si="50"/>
        <v>2</v>
      </c>
      <c r="AO95" s="75">
        <v>50</v>
      </c>
      <c r="AP95" s="52">
        <v>90</v>
      </c>
      <c r="AQ95" s="52">
        <v>10</v>
      </c>
      <c r="AS95" s="578">
        <v>0.75</v>
      </c>
      <c r="AT95" s="52">
        <v>300</v>
      </c>
      <c r="AU95" s="52">
        <v>55</v>
      </c>
      <c r="AV95" s="578">
        <v>0.75</v>
      </c>
      <c r="AW95" s="52">
        <v>300</v>
      </c>
      <c r="AX95" s="52">
        <v>55</v>
      </c>
      <c r="AY95" s="52">
        <v>40</v>
      </c>
      <c r="AZ95" s="52">
        <v>100</v>
      </c>
      <c r="BC95" s="52">
        <f t="shared" si="17"/>
        <v>0.60000000000000009</v>
      </c>
      <c r="BD95" s="52">
        <f t="shared" si="18"/>
        <v>0.34800000000000003</v>
      </c>
      <c r="BE95" s="1332">
        <f t="shared" si="19"/>
        <v>54.2</v>
      </c>
      <c r="BF95" s="52">
        <f t="shared" si="20"/>
        <v>0.544280442804428</v>
      </c>
      <c r="BH95" s="862" cm="1">
        <f t="array" ref="BH95">INDEX(BM$9:BM$17,$C95)</f>
        <v>0</v>
      </c>
      <c r="BI95" s="862" cm="1">
        <f t="array" ref="BI95">INDEX(BN$9:BN$17,$C95)</f>
        <v>0</v>
      </c>
      <c r="BJ95" s="862" cm="1">
        <f t="array" ref="BJ95">INDEX(BO$9:BO$17,$C95)</f>
        <v>0</v>
      </c>
    </row>
    <row r="96" spans="1:62" x14ac:dyDescent="0.2">
      <c r="A96" s="36"/>
      <c r="B96" s="76" t="s">
        <v>81</v>
      </c>
      <c r="C96">
        <v>7</v>
      </c>
      <c r="D96">
        <v>3.2000000000000001E-2</v>
      </c>
      <c r="E96">
        <v>9.6999999999999993</v>
      </c>
      <c r="F96">
        <v>5.4</v>
      </c>
      <c r="G96">
        <v>8.3000000000000007</v>
      </c>
      <c r="H96" s="1623"/>
      <c r="I96" s="1629"/>
      <c r="J96" s="1629"/>
      <c r="K96" s="1622"/>
      <c r="L96" s="1619"/>
      <c r="M96">
        <v>10</v>
      </c>
      <c r="N96">
        <v>10</v>
      </c>
      <c r="O96">
        <v>10</v>
      </c>
      <c r="P96">
        <v>0.32</v>
      </c>
      <c r="Q96">
        <v>0.32</v>
      </c>
      <c r="R96">
        <v>0.32</v>
      </c>
      <c r="S96">
        <v>1.22</v>
      </c>
      <c r="T96">
        <v>1.22</v>
      </c>
      <c r="U96">
        <v>1.22</v>
      </c>
      <c r="V96">
        <v>30</v>
      </c>
      <c r="W96">
        <v>30</v>
      </c>
      <c r="X96">
        <v>30</v>
      </c>
      <c r="Y96" s="1658">
        <v>0</v>
      </c>
      <c r="Z96" s="1625"/>
      <c r="AA96">
        <v>45</v>
      </c>
      <c r="AB96">
        <v>45</v>
      </c>
      <c r="AC96" t="s">
        <v>957</v>
      </c>
      <c r="AD96">
        <v>3</v>
      </c>
      <c r="AE96">
        <v>1.49</v>
      </c>
      <c r="AF96">
        <v>0.3</v>
      </c>
      <c r="AG96">
        <v>0.06</v>
      </c>
      <c r="AH96" s="1665"/>
      <c r="AI96" s="2103">
        <v>156</v>
      </c>
      <c r="AK96" s="49">
        <v>0.9</v>
      </c>
      <c r="AL96" s="639">
        <v>5</v>
      </c>
      <c r="AM96" s="75">
        <v>5</v>
      </c>
      <c r="AN96" s="75">
        <f t="shared" si="50"/>
        <v>5</v>
      </c>
      <c r="AO96" s="75">
        <v>50</v>
      </c>
      <c r="AP96" s="52">
        <v>90</v>
      </c>
      <c r="AQ96" s="52">
        <v>10</v>
      </c>
      <c r="AS96" s="578">
        <v>0.8</v>
      </c>
      <c r="AT96" s="52">
        <v>450</v>
      </c>
      <c r="AU96" s="52">
        <v>55</v>
      </c>
      <c r="AV96" s="578">
        <v>0.8</v>
      </c>
      <c r="AW96" s="52">
        <v>450</v>
      </c>
      <c r="AX96" s="52">
        <v>55</v>
      </c>
      <c r="AY96" s="52">
        <v>40</v>
      </c>
      <c r="AZ96" s="52">
        <v>100</v>
      </c>
      <c r="BC96" s="52">
        <f t="shared" si="17"/>
        <v>4.68</v>
      </c>
      <c r="BD96" s="52">
        <f t="shared" si="18"/>
        <v>2.3244000000000002</v>
      </c>
      <c r="BE96" s="1332">
        <f t="shared" si="19"/>
        <v>14.379999999999999</v>
      </c>
      <c r="BF96" s="52">
        <f t="shared" si="20"/>
        <v>0</v>
      </c>
      <c r="BH96" s="862" cm="1">
        <f t="array" ref="BH96">INDEX(BM$9:BM$17,$C96)</f>
        <v>0</v>
      </c>
      <c r="BI96" s="862" cm="1">
        <f t="array" ref="BI96">INDEX(BN$9:BN$17,$C96)</f>
        <v>0</v>
      </c>
      <c r="BJ96" s="862" cm="1">
        <f t="array" ref="BJ96">INDEX(BO$9:BO$17,$C96)</f>
        <v>0</v>
      </c>
    </row>
    <row r="97" spans="1:62" x14ac:dyDescent="0.2">
      <c r="A97" s="36"/>
      <c r="B97" s="76" t="s">
        <v>8166</v>
      </c>
      <c r="C97">
        <v>8</v>
      </c>
      <c r="D97">
        <v>0.23</v>
      </c>
      <c r="E97">
        <v>21.6</v>
      </c>
      <c r="F97">
        <v>6.19</v>
      </c>
      <c r="G97">
        <v>24</v>
      </c>
      <c r="H97">
        <v>21.3</v>
      </c>
      <c r="I97">
        <v>6.1</v>
      </c>
      <c r="J97">
        <v>16.5</v>
      </c>
      <c r="K97" s="1667"/>
      <c r="L97" s="1668"/>
      <c r="M97" s="1669">
        <v>0</v>
      </c>
      <c r="N97" s="1669">
        <v>0</v>
      </c>
      <c r="O97" s="1627">
        <f t="shared" ref="O97:O100" si="51">R97/D97</f>
        <v>0</v>
      </c>
      <c r="P97" s="1631"/>
      <c r="Q97" s="1669"/>
      <c r="R97" s="1632"/>
      <c r="S97" s="1670"/>
      <c r="T97" s="1669"/>
      <c r="U97" s="1632"/>
      <c r="V97" s="1631"/>
      <c r="W97" s="1671"/>
      <c r="X97" s="1632"/>
      <c r="Y97" s="1672">
        <v>0</v>
      </c>
      <c r="Z97" s="1630"/>
      <c r="AA97">
        <v>45</v>
      </c>
      <c r="AB97">
        <v>45</v>
      </c>
      <c r="AC97" t="s">
        <v>958</v>
      </c>
      <c r="AD97">
        <v>2.6</v>
      </c>
      <c r="AE97">
        <v>1.37</v>
      </c>
      <c r="AF97">
        <v>0.24</v>
      </c>
      <c r="AG97">
        <v>0.05</v>
      </c>
      <c r="AH97">
        <v>48</v>
      </c>
      <c r="AI97" s="2102">
        <v>45</v>
      </c>
      <c r="AK97" s="49">
        <v>0.9</v>
      </c>
      <c r="AL97" s="639">
        <v>1</v>
      </c>
      <c r="AM97" s="75">
        <v>2</v>
      </c>
      <c r="AN97" s="75">
        <f t="shared" si="50"/>
        <v>2</v>
      </c>
      <c r="AO97" s="75">
        <v>50</v>
      </c>
      <c r="AP97" s="52">
        <v>90</v>
      </c>
      <c r="AQ97" s="52">
        <v>10</v>
      </c>
      <c r="AS97" s="578">
        <v>0.8</v>
      </c>
      <c r="AT97" s="52">
        <v>450</v>
      </c>
      <c r="AU97" s="52">
        <v>55</v>
      </c>
      <c r="AV97" s="578">
        <v>0.8</v>
      </c>
      <c r="AW97" s="52">
        <v>450</v>
      </c>
      <c r="AX97" s="52">
        <v>55</v>
      </c>
      <c r="AY97" s="52">
        <v>40</v>
      </c>
      <c r="AZ97" s="52">
        <v>100</v>
      </c>
      <c r="BC97" s="52">
        <f t="shared" si="17"/>
        <v>1.1700000000000002</v>
      </c>
      <c r="BD97" s="52">
        <f t="shared" si="18"/>
        <v>0.61650000000000005</v>
      </c>
      <c r="BE97" s="1332">
        <f t="shared" si="19"/>
        <v>22.770000000000003</v>
      </c>
      <c r="BF97" s="52">
        <f t="shared" si="20"/>
        <v>0.93544137022397877</v>
      </c>
      <c r="BH97" s="862" cm="1">
        <f t="array" ref="BH97">INDEX(BM$9:BM$17,$C97)</f>
        <v>0</v>
      </c>
      <c r="BI97" s="862" cm="1">
        <f t="array" ref="BI97">INDEX(BN$9:BN$17,$C97)</f>
        <v>0</v>
      </c>
      <c r="BJ97" s="862" cm="1">
        <f t="array" ref="BJ97">INDEX(BO$9:BO$17,$C97)</f>
        <v>0</v>
      </c>
    </row>
    <row r="98" spans="1:62" x14ac:dyDescent="0.2">
      <c r="A98" s="39"/>
      <c r="B98" s="76" t="s">
        <v>82</v>
      </c>
      <c r="C98">
        <v>8</v>
      </c>
      <c r="D98">
        <v>0.15</v>
      </c>
      <c r="E98">
        <v>15.83</v>
      </c>
      <c r="F98">
        <v>4.5</v>
      </c>
      <c r="G98">
        <v>17.600000000000001</v>
      </c>
      <c r="H98">
        <v>15.1</v>
      </c>
      <c r="I98">
        <v>4.8</v>
      </c>
      <c r="J98">
        <v>18</v>
      </c>
      <c r="K98" s="1656"/>
      <c r="L98" s="1619"/>
      <c r="M98" s="1657">
        <v>0</v>
      </c>
      <c r="N98" s="1657">
        <v>0</v>
      </c>
      <c r="O98" s="1627">
        <f t="shared" si="51"/>
        <v>0</v>
      </c>
      <c r="P98" s="1626"/>
      <c r="Q98" s="1657"/>
      <c r="R98" s="1627"/>
      <c r="S98" s="1673"/>
      <c r="T98" s="1657"/>
      <c r="U98" s="1627"/>
      <c r="V98" s="1626"/>
      <c r="W98" s="1649"/>
      <c r="X98" s="1627"/>
      <c r="Y98" s="1658">
        <v>0</v>
      </c>
      <c r="Z98" s="1625"/>
      <c r="AA98">
        <v>45</v>
      </c>
      <c r="AB98">
        <v>45</v>
      </c>
      <c r="AC98" t="s">
        <v>958</v>
      </c>
      <c r="AD98">
        <v>2.6</v>
      </c>
      <c r="AE98">
        <v>1.37</v>
      </c>
      <c r="AF98">
        <v>0.24</v>
      </c>
      <c r="AG98">
        <v>0.05</v>
      </c>
      <c r="AH98">
        <v>48</v>
      </c>
      <c r="AI98" s="2101">
        <v>0</v>
      </c>
      <c r="AK98" s="49">
        <v>0.9</v>
      </c>
      <c r="AL98" s="639">
        <v>1</v>
      </c>
      <c r="AM98" s="75">
        <v>2</v>
      </c>
      <c r="AN98" s="75">
        <f t="shared" si="16"/>
        <v>2</v>
      </c>
      <c r="AO98" s="75">
        <v>50</v>
      </c>
      <c r="AP98" s="52">
        <v>90</v>
      </c>
      <c r="AQ98" s="52">
        <v>10</v>
      </c>
      <c r="AS98" s="578">
        <v>0.8</v>
      </c>
      <c r="AT98" s="52">
        <v>450</v>
      </c>
      <c r="AU98" s="52">
        <v>55</v>
      </c>
      <c r="AV98" s="578">
        <v>0.8</v>
      </c>
      <c r="AW98" s="52">
        <v>450</v>
      </c>
      <c r="AX98" s="52">
        <v>55</v>
      </c>
      <c r="AY98" s="52">
        <v>40</v>
      </c>
      <c r="AZ98" s="52">
        <v>100</v>
      </c>
      <c r="BC98" s="52">
        <f t="shared" si="17"/>
        <v>0</v>
      </c>
      <c r="BD98" s="52">
        <f t="shared" si="18"/>
        <v>0</v>
      </c>
      <c r="BE98" s="1332">
        <f t="shared" si="19"/>
        <v>15.83</v>
      </c>
      <c r="BF98" s="52">
        <f t="shared" si="20"/>
        <v>0.95388502842703726</v>
      </c>
      <c r="BH98" s="862" cm="1">
        <f t="array" ref="BH98">INDEX(BM$9:BM$17,$C98)</f>
        <v>0</v>
      </c>
      <c r="BI98" s="862" cm="1">
        <f t="array" ref="BI98">INDEX(BN$9:BN$17,$C98)</f>
        <v>0</v>
      </c>
      <c r="BJ98" s="862" cm="1">
        <f t="array" ref="BJ98">INDEX(BO$9:BO$17,$C98)</f>
        <v>0</v>
      </c>
    </row>
    <row r="99" spans="1:62" x14ac:dyDescent="0.2">
      <c r="A99" s="39"/>
      <c r="B99" s="76" t="s">
        <v>8167</v>
      </c>
      <c r="C99">
        <v>8</v>
      </c>
      <c r="D99">
        <v>0.45</v>
      </c>
      <c r="E99">
        <v>31</v>
      </c>
      <c r="F99">
        <v>9.9</v>
      </c>
      <c r="G99">
        <v>36.9</v>
      </c>
      <c r="H99">
        <v>31</v>
      </c>
      <c r="I99">
        <v>9.9</v>
      </c>
      <c r="J99">
        <v>36.9</v>
      </c>
      <c r="K99" s="1656"/>
      <c r="L99" s="1619"/>
      <c r="M99" s="1657">
        <v>0</v>
      </c>
      <c r="N99" s="1657">
        <v>0</v>
      </c>
      <c r="O99" s="1627">
        <f t="shared" si="51"/>
        <v>0</v>
      </c>
      <c r="P99" s="1626"/>
      <c r="Q99" s="1657"/>
      <c r="R99" s="1627"/>
      <c r="S99" s="1673"/>
      <c r="T99" s="1657"/>
      <c r="U99" s="1627"/>
      <c r="V99" s="1626"/>
      <c r="W99" s="1649"/>
      <c r="X99" s="1627"/>
      <c r="Y99" s="1658">
        <v>0</v>
      </c>
      <c r="Z99" s="1625"/>
      <c r="AA99">
        <v>45</v>
      </c>
      <c r="AB99">
        <v>45</v>
      </c>
      <c r="AC99" t="s">
        <v>958</v>
      </c>
      <c r="AD99">
        <v>2.6</v>
      </c>
      <c r="AE99">
        <v>1.37</v>
      </c>
      <c r="AF99">
        <v>0.24</v>
      </c>
      <c r="AG99">
        <v>0.05</v>
      </c>
      <c r="AH99">
        <v>48</v>
      </c>
      <c r="AI99" s="2101">
        <v>40</v>
      </c>
      <c r="AK99" s="49">
        <v>0.9</v>
      </c>
      <c r="AL99" s="639">
        <v>1</v>
      </c>
      <c r="AM99" s="75">
        <v>2</v>
      </c>
      <c r="AN99" s="75">
        <f t="shared" si="16"/>
        <v>2</v>
      </c>
      <c r="AO99" s="75">
        <v>50</v>
      </c>
      <c r="AP99" s="52">
        <v>90</v>
      </c>
      <c r="AQ99" s="52">
        <v>10</v>
      </c>
      <c r="AS99" s="578">
        <v>0.8</v>
      </c>
      <c r="AT99" s="52">
        <v>450</v>
      </c>
      <c r="AU99" s="52">
        <v>55</v>
      </c>
      <c r="AV99" s="578">
        <v>0.8</v>
      </c>
      <c r="AW99" s="52">
        <v>450</v>
      </c>
      <c r="AX99" s="52">
        <v>55</v>
      </c>
      <c r="AY99" s="52">
        <v>40</v>
      </c>
      <c r="AZ99" s="52">
        <v>100</v>
      </c>
      <c r="BC99" s="52">
        <f t="shared" si="17"/>
        <v>1.04</v>
      </c>
      <c r="BD99" s="52">
        <f t="shared" si="18"/>
        <v>0.54800000000000004</v>
      </c>
      <c r="BE99" s="1332">
        <f t="shared" si="19"/>
        <v>32.04</v>
      </c>
      <c r="BF99" s="52">
        <f t="shared" si="20"/>
        <v>0.96754057428214735</v>
      </c>
      <c r="BH99" s="862" cm="1">
        <f t="array" ref="BH99">INDEX(BM$9:BM$17,$C99)</f>
        <v>0</v>
      </c>
      <c r="BI99" s="862" cm="1">
        <f t="array" ref="BI99">INDEX(BN$9:BN$17,$C99)</f>
        <v>0</v>
      </c>
      <c r="BJ99" s="862" cm="1">
        <f t="array" ref="BJ99">INDEX(BO$9:BO$17,$C99)</f>
        <v>0</v>
      </c>
    </row>
    <row r="100" spans="1:62" x14ac:dyDescent="0.2">
      <c r="A100" s="38"/>
      <c r="B100" s="76" t="s">
        <v>83</v>
      </c>
      <c r="C100">
        <v>8</v>
      </c>
      <c r="D100">
        <v>0.3</v>
      </c>
      <c r="E100">
        <v>22.7</v>
      </c>
      <c r="F100">
        <v>7.2</v>
      </c>
      <c r="G100">
        <v>27</v>
      </c>
      <c r="H100">
        <v>22.7</v>
      </c>
      <c r="I100">
        <v>7.2</v>
      </c>
      <c r="J100">
        <v>27</v>
      </c>
      <c r="K100" s="1656"/>
      <c r="L100" s="1619"/>
      <c r="M100" s="1657">
        <v>0</v>
      </c>
      <c r="N100" s="1657">
        <v>0</v>
      </c>
      <c r="O100" s="1627">
        <f t="shared" si="51"/>
        <v>0</v>
      </c>
      <c r="P100" s="1626"/>
      <c r="Q100" s="1657"/>
      <c r="R100" s="1627"/>
      <c r="S100" s="1673"/>
      <c r="T100" s="1657"/>
      <c r="U100" s="1627"/>
      <c r="V100" s="1626"/>
      <c r="W100" s="1649"/>
      <c r="X100" s="1627"/>
      <c r="Y100" s="1658">
        <v>0</v>
      </c>
      <c r="Z100" s="1625"/>
      <c r="AA100">
        <v>45</v>
      </c>
      <c r="AB100">
        <v>45</v>
      </c>
      <c r="AC100" t="s">
        <v>958</v>
      </c>
      <c r="AD100">
        <v>2.6</v>
      </c>
      <c r="AE100">
        <v>1.37</v>
      </c>
      <c r="AF100">
        <v>0.24</v>
      </c>
      <c r="AG100">
        <v>0.05</v>
      </c>
      <c r="AH100">
        <v>48</v>
      </c>
      <c r="AI100" s="2101">
        <v>0</v>
      </c>
      <c r="AK100" s="49">
        <v>0.9</v>
      </c>
      <c r="AL100" s="639">
        <v>1</v>
      </c>
      <c r="AM100" s="75">
        <v>2</v>
      </c>
      <c r="AN100" s="75">
        <f t="shared" si="16"/>
        <v>2</v>
      </c>
      <c r="AO100" s="75">
        <v>50</v>
      </c>
      <c r="AP100" s="52">
        <v>90</v>
      </c>
      <c r="AQ100" s="52">
        <v>10</v>
      </c>
      <c r="AS100" s="578">
        <v>0.8</v>
      </c>
      <c r="AT100" s="52">
        <v>450</v>
      </c>
      <c r="AU100" s="52">
        <v>55</v>
      </c>
      <c r="AV100" s="578">
        <v>0.8</v>
      </c>
      <c r="AW100" s="52">
        <v>450</v>
      </c>
      <c r="AX100" s="52">
        <v>55</v>
      </c>
      <c r="AY100" s="52">
        <v>40</v>
      </c>
      <c r="AZ100" s="52">
        <v>100</v>
      </c>
      <c r="BC100" s="52">
        <f t="shared" si="17"/>
        <v>0</v>
      </c>
      <c r="BD100" s="52">
        <f t="shared" si="18"/>
        <v>0</v>
      </c>
      <c r="BE100" s="1332">
        <f t="shared" si="19"/>
        <v>22.7</v>
      </c>
      <c r="BF100" s="52">
        <f t="shared" si="20"/>
        <v>1</v>
      </c>
      <c r="BH100" s="862" cm="1">
        <f t="array" ref="BH100">INDEX(BM$9:BM$17,$C100)</f>
        <v>0</v>
      </c>
      <c r="BI100" s="862" cm="1">
        <f t="array" ref="BI100">INDEX(BN$9:BN$17,$C100)</f>
        <v>0</v>
      </c>
      <c r="BJ100" s="862" cm="1">
        <f t="array" ref="BJ100">INDEX(BO$9:BO$17,$C100)</f>
        <v>0</v>
      </c>
    </row>
    <row r="101" spans="1:62" x14ac:dyDescent="0.2">
      <c r="A101" s="38"/>
      <c r="B101" s="76" t="s">
        <v>8419</v>
      </c>
      <c r="C101">
        <v>9</v>
      </c>
      <c r="D101">
        <v>0.28000000000000003</v>
      </c>
      <c r="E101">
        <v>22.7</v>
      </c>
      <c r="F101">
        <v>7.2</v>
      </c>
      <c r="G101">
        <v>27</v>
      </c>
      <c r="H101">
        <v>22.7</v>
      </c>
      <c r="I101">
        <v>7.2</v>
      </c>
      <c r="J101">
        <v>27</v>
      </c>
      <c r="K101" s="1656"/>
      <c r="L101" s="1619"/>
      <c r="M101">
        <v>4.29</v>
      </c>
      <c r="N101">
        <v>4.29</v>
      </c>
      <c r="O101">
        <v>4.29</v>
      </c>
      <c r="P101">
        <v>1.2</v>
      </c>
      <c r="Q101">
        <v>1.2</v>
      </c>
      <c r="R101">
        <v>1.2</v>
      </c>
      <c r="S101">
        <v>2.2000000000000002</v>
      </c>
      <c r="T101">
        <v>2.2000000000000002</v>
      </c>
      <c r="U101">
        <v>2.2000000000000002</v>
      </c>
      <c r="V101">
        <v>40</v>
      </c>
      <c r="W101">
        <v>40</v>
      </c>
      <c r="X101">
        <v>40</v>
      </c>
      <c r="Y101" s="1658">
        <v>0</v>
      </c>
      <c r="Z101" s="1625"/>
      <c r="AA101">
        <v>45</v>
      </c>
      <c r="AB101">
        <v>45</v>
      </c>
      <c r="AC101" t="s">
        <v>958</v>
      </c>
      <c r="AD101">
        <v>2.6</v>
      </c>
      <c r="AE101">
        <v>1.37</v>
      </c>
      <c r="AF101">
        <v>0.24</v>
      </c>
      <c r="AG101">
        <v>0.05</v>
      </c>
      <c r="AH101" s="1665"/>
      <c r="AI101" s="2101">
        <v>50</v>
      </c>
      <c r="AK101" s="49">
        <v>0.9</v>
      </c>
      <c r="AL101" s="639">
        <v>1</v>
      </c>
      <c r="AM101" s="75">
        <v>2</v>
      </c>
      <c r="AN101" s="75">
        <f t="shared" si="16"/>
        <v>2</v>
      </c>
      <c r="AO101" s="75">
        <v>50</v>
      </c>
      <c r="AP101" s="52">
        <v>90</v>
      </c>
      <c r="AQ101" s="52">
        <v>10</v>
      </c>
      <c r="AS101" s="578">
        <v>0.8</v>
      </c>
      <c r="AT101" s="52">
        <v>450</v>
      </c>
      <c r="AU101" s="52">
        <v>55</v>
      </c>
      <c r="AV101" s="578">
        <v>0.8</v>
      </c>
      <c r="AW101" s="52">
        <v>450</v>
      </c>
      <c r="AX101" s="52">
        <v>55</v>
      </c>
      <c r="AY101" s="52">
        <v>40</v>
      </c>
      <c r="AZ101" s="52">
        <v>100</v>
      </c>
      <c r="BC101" s="52">
        <f t="shared" si="17"/>
        <v>1.3</v>
      </c>
      <c r="BD101" s="52">
        <f t="shared" si="18"/>
        <v>0.68500000000000005</v>
      </c>
      <c r="BE101" s="1332">
        <f t="shared" si="19"/>
        <v>24</v>
      </c>
      <c r="BF101" s="52">
        <f t="shared" si="20"/>
        <v>0.9458333333333333</v>
      </c>
      <c r="BH101" s="862" cm="1">
        <f t="array" ref="BH101">INDEX(BM$9:BM$17,$C101)</f>
        <v>0</v>
      </c>
      <c r="BI101" s="862" cm="1">
        <f t="array" ref="BI101">INDEX(BN$9:BN$17,$C101)</f>
        <v>0</v>
      </c>
      <c r="BJ101" s="862" cm="1">
        <f t="array" ref="BJ101">INDEX(BO$9:BO$17,$C101)</f>
        <v>0</v>
      </c>
    </row>
    <row r="102" spans="1:62" ht="13.5" thickBot="1" x14ac:dyDescent="0.25">
      <c r="A102" s="40"/>
      <c r="B102" s="76" t="s">
        <v>8168</v>
      </c>
      <c r="C102">
        <v>9</v>
      </c>
      <c r="D102">
        <v>0.14000000000000001</v>
      </c>
      <c r="E102">
        <v>11.35</v>
      </c>
      <c r="F102">
        <v>3.6</v>
      </c>
      <c r="G102">
        <v>13.5</v>
      </c>
      <c r="H102">
        <v>11.35</v>
      </c>
      <c r="I102">
        <v>3.6</v>
      </c>
      <c r="J102">
        <v>2.48</v>
      </c>
      <c r="K102" s="1656"/>
      <c r="L102" s="1619"/>
      <c r="M102">
        <v>4.29</v>
      </c>
      <c r="N102">
        <v>4.29</v>
      </c>
      <c r="O102">
        <v>4.29</v>
      </c>
      <c r="P102">
        <v>0.6</v>
      </c>
      <c r="Q102">
        <v>0.6</v>
      </c>
      <c r="R102">
        <v>0.6</v>
      </c>
      <c r="S102">
        <v>1.1000000000000001</v>
      </c>
      <c r="T102">
        <v>1.1000000000000001</v>
      </c>
      <c r="U102">
        <v>1.1000000000000001</v>
      </c>
      <c r="V102">
        <v>40</v>
      </c>
      <c r="W102">
        <v>40</v>
      </c>
      <c r="X102">
        <v>40</v>
      </c>
      <c r="Y102" s="1658">
        <v>0</v>
      </c>
      <c r="Z102" s="1625"/>
      <c r="AA102">
        <v>45</v>
      </c>
      <c r="AB102">
        <v>45</v>
      </c>
      <c r="AC102" t="s">
        <v>958</v>
      </c>
      <c r="AD102">
        <v>2.6</v>
      </c>
      <c r="AE102">
        <v>1.37</v>
      </c>
      <c r="AF102">
        <v>0.24</v>
      </c>
      <c r="AG102">
        <v>0.05</v>
      </c>
      <c r="AH102" s="1665"/>
      <c r="AI102" s="2101">
        <v>30</v>
      </c>
      <c r="AK102" s="49">
        <v>0.9</v>
      </c>
      <c r="AL102" s="639">
        <v>1</v>
      </c>
      <c r="AM102" s="75">
        <v>2</v>
      </c>
      <c r="AN102" s="75">
        <f t="shared" ref="AN102:AN109" si="52">AM102</f>
        <v>2</v>
      </c>
      <c r="AO102" s="75">
        <v>50</v>
      </c>
      <c r="AP102" s="52">
        <v>90</v>
      </c>
      <c r="AQ102" s="52">
        <v>10</v>
      </c>
      <c r="AS102" s="578">
        <v>0.8</v>
      </c>
      <c r="AT102" s="52">
        <v>450</v>
      </c>
      <c r="AU102" s="52">
        <v>55</v>
      </c>
      <c r="AV102" s="578">
        <v>0.8</v>
      </c>
      <c r="AW102" s="52">
        <v>450</v>
      </c>
      <c r="AX102" s="52">
        <v>55</v>
      </c>
      <c r="AY102" s="52">
        <v>40</v>
      </c>
      <c r="AZ102" s="52">
        <v>100</v>
      </c>
      <c r="BC102" s="52">
        <f t="shared" ref="BC102" si="53">AI102/100*AD102</f>
        <v>0.78</v>
      </c>
      <c r="BD102" s="52">
        <f t="shared" ref="BD102" si="54">AI102/100*AE102</f>
        <v>0.41100000000000003</v>
      </c>
      <c r="BE102" s="1332">
        <f t="shared" ref="BE102" si="55">BC102+E102</f>
        <v>12.129999999999999</v>
      </c>
      <c r="BF102" s="52">
        <f t="shared" ref="BF102" si="56">H102/BE102</f>
        <v>0.93569661995053588</v>
      </c>
      <c r="BH102" s="862" cm="1">
        <f t="array" ref="BH102">INDEX(BM$9:BM$17,$C102)</f>
        <v>0</v>
      </c>
      <c r="BI102" s="862" cm="1">
        <f t="array" ref="BI102">INDEX(BN$9:BN$17,$C102)</f>
        <v>0</v>
      </c>
      <c r="BJ102" s="862" cm="1">
        <f t="array" ref="BJ102">INDEX(BO$9:BO$17,$C102)</f>
        <v>0</v>
      </c>
    </row>
    <row r="103" spans="1:62" x14ac:dyDescent="0.2">
      <c r="A103" s="38"/>
      <c r="B103" s="76" t="str">
        <f>+'Eigene, abweichende Tierdaten'!AI5</f>
        <v>--</v>
      </c>
      <c r="C103" s="76">
        <v>2</v>
      </c>
      <c r="D103" s="76">
        <f>IF('Eigene, abweichende Tierdaten'!C21="",0,'Eigene, abweichende Tierdaten'!C21)</f>
        <v>0</v>
      </c>
      <c r="E103" s="76">
        <f>IF('Eigene, abweichende Tierdaten'!D21="",0,'Eigene, abweichende Tierdaten'!D21)</f>
        <v>0</v>
      </c>
      <c r="F103" s="76">
        <f>IF('Eigene, abweichende Tierdaten'!E21="",0,'Eigene, abweichende Tierdaten'!E21)</f>
        <v>0</v>
      </c>
      <c r="G103" s="76">
        <f>IF('Eigene, abweichende Tierdaten'!F21="",0,'Eigene, abweichende Tierdaten'!F21)</f>
        <v>0</v>
      </c>
      <c r="H103" s="76"/>
      <c r="I103" s="76"/>
      <c r="J103" s="76"/>
      <c r="K103" s="1810">
        <f>IF('Eigene, abweichende Tierdaten'!G21="",0,'Eigene, abweichende Tierdaten'!G21)</f>
        <v>0</v>
      </c>
      <c r="L103" s="1810">
        <f>IF('Eigene, abweichende Tierdaten'!L21="",0,'Eigene, abweichende Tierdaten'!L21)</f>
        <v>0</v>
      </c>
      <c r="M103" s="1810">
        <f>IFERROR(P103/$D103,0)</f>
        <v>0</v>
      </c>
      <c r="N103" s="1810">
        <f>IFERROR(Q103/$D103,0)</f>
        <v>0</v>
      </c>
      <c r="O103" s="1810">
        <f>IFERROR(R103/$D103,0)</f>
        <v>0</v>
      </c>
      <c r="P103" s="76">
        <f>IF($C103&gt;2,R103,IF('Eigene, abweichende Tierdaten'!Q21="",0,'Eigene, abweichende Tierdaten'!Q21))</f>
        <v>0</v>
      </c>
      <c r="Q103" s="76">
        <f>IF($C103&gt;2,R103,IF('Eigene, abweichende Tierdaten'!R21="",0,'Eigene, abweichende Tierdaten'!R21))</f>
        <v>0</v>
      </c>
      <c r="R103" s="76">
        <f>IF('Eigene, abweichende Tierdaten'!S21="",0,'Eigene, abweichende Tierdaten'!S21)</f>
        <v>0</v>
      </c>
      <c r="S103" s="76">
        <f>IF($C103&gt;2,U103,IF('Eigene, abweichende Tierdaten'!I21="",0,'Eigene, abweichende Tierdaten'!I21))</f>
        <v>0</v>
      </c>
      <c r="T103" s="76">
        <f>IF($C103&gt;2,U103,IF('Eigene, abweichende Tierdaten'!J21="",0,'Eigene, abweichende Tierdaten'!J21))</f>
        <v>0</v>
      </c>
      <c r="U103" s="76">
        <f>IF('Eigene, abweichende Tierdaten'!K21="",0,'Eigene, abweichende Tierdaten'!K21)</f>
        <v>0</v>
      </c>
      <c r="V103" s="76">
        <f>IF($C103&gt;2,X103,IF('Eigene, abweichende Tierdaten'!N21="",0,'Eigene, abweichende Tierdaten'!N21))</f>
        <v>0</v>
      </c>
      <c r="W103" s="76">
        <f>IF($C103&gt;2,X103,IF('Eigene, abweichende Tierdaten'!O21="",0,'Eigene, abweichende Tierdaten'!O21))</f>
        <v>0</v>
      </c>
      <c r="X103" s="76">
        <f>IF('Eigene, abweichende Tierdaten'!P21="",0,'Eigene, abweichende Tierdaten'!P21)</f>
        <v>0</v>
      </c>
      <c r="Y103" s="76">
        <f>IF('Eigene, abweichende Tierdaten'!H21="",0,'Eigene, abweichende Tierdaten'!H21)</f>
        <v>0</v>
      </c>
      <c r="Z103" s="76">
        <f>IF('Eigene, abweichende Tierdaten'!M21="",0,'Eigene, abweichende Tierdaten'!M21)</f>
        <v>0</v>
      </c>
      <c r="AA103" s="76">
        <v>20</v>
      </c>
      <c r="AB103" s="76">
        <v>30</v>
      </c>
      <c r="AC103" s="76" t="s">
        <v>949</v>
      </c>
      <c r="AD103" s="76">
        <v>2.56</v>
      </c>
      <c r="AE103" s="76">
        <v>1.17</v>
      </c>
      <c r="AF103" s="76">
        <v>0.24</v>
      </c>
      <c r="AG103" s="76">
        <v>0.05</v>
      </c>
      <c r="AH103" s="76">
        <v>79</v>
      </c>
      <c r="AI103" s="2101">
        <f>+'Eigene, abweichende Tierdaten'!N5/1000*365</f>
        <v>0</v>
      </c>
      <c r="AJ103" t="str">
        <f>IF(OR('Eigene, abweichende Tierdaten'!F5='Eigene, abweichende Tierdaten'!$AF$10,'Eigene, abweichende Tierdaten'!F5='Eigene, abweichende Tierdaten'!$AF$11),1,"")</f>
        <v/>
      </c>
      <c r="AK103" s="49">
        <v>0.9</v>
      </c>
      <c r="AL103" s="639">
        <v>1</v>
      </c>
      <c r="AM103" s="75">
        <v>2</v>
      </c>
      <c r="AN103" s="75">
        <f t="shared" si="52"/>
        <v>2</v>
      </c>
      <c r="AO103" s="75">
        <v>60</v>
      </c>
      <c r="AP103" s="52">
        <v>90</v>
      </c>
      <c r="AQ103" s="52">
        <v>10</v>
      </c>
      <c r="AR103" s="1682"/>
      <c r="AS103" s="578">
        <v>0.85</v>
      </c>
      <c r="AT103" s="52">
        <v>400</v>
      </c>
      <c r="AU103" s="52">
        <v>60</v>
      </c>
      <c r="AV103" s="578">
        <v>0.82</v>
      </c>
      <c r="AW103" s="52">
        <v>400</v>
      </c>
      <c r="AX103" s="52">
        <v>60</v>
      </c>
      <c r="AY103" s="52">
        <v>40</v>
      </c>
      <c r="AZ103" s="52">
        <v>100</v>
      </c>
      <c r="BC103" s="52">
        <f t="shared" ref="BC103:BC114" si="57">AI103/100*AD103</f>
        <v>0</v>
      </c>
      <c r="BD103" s="52">
        <f t="shared" ref="BD103:BD114" si="58">AI103/100*AE103</f>
        <v>0</v>
      </c>
      <c r="BE103" s="1332">
        <f t="shared" ref="BE103:BE114" si="59">BC103+E103</f>
        <v>0</v>
      </c>
      <c r="BF103" s="52" t="e">
        <f t="shared" ref="BF103:BF114" si="60">H103/BE103</f>
        <v>#DIV/0!</v>
      </c>
      <c r="BH103" s="862" cm="1">
        <f t="array" ref="BH103">INDEX(BM$9:BM$17,$C103)</f>
        <v>3.3</v>
      </c>
      <c r="BI103" s="862" cm="1">
        <f t="array" ref="BI103">INDEX(BN$9:BN$17,$C103)</f>
        <v>0.2</v>
      </c>
      <c r="BJ103" s="862" cm="1">
        <f t="array" ref="BJ103">INDEX(BO$9:BO$17,$C103)</f>
        <v>3.1</v>
      </c>
    </row>
    <row r="104" spans="1:62" x14ac:dyDescent="0.2">
      <c r="A104" s="38"/>
      <c r="B104" s="76" t="str">
        <f>+'Eigene, abweichende Tierdaten'!AI6</f>
        <v>--</v>
      </c>
      <c r="C104" s="76">
        <v>2</v>
      </c>
      <c r="D104" s="76">
        <f>IF('Eigene, abweichende Tierdaten'!C22="",0,'Eigene, abweichende Tierdaten'!C22)</f>
        <v>0</v>
      </c>
      <c r="E104" s="76">
        <f>IF('Eigene, abweichende Tierdaten'!D22="",0,'Eigene, abweichende Tierdaten'!D22)</f>
        <v>0</v>
      </c>
      <c r="F104" s="76">
        <f>IF('Eigene, abweichende Tierdaten'!E22="",0,'Eigene, abweichende Tierdaten'!E22)</f>
        <v>0</v>
      </c>
      <c r="G104" s="76">
        <f>IF('Eigene, abweichende Tierdaten'!F22="",0,'Eigene, abweichende Tierdaten'!F22)</f>
        <v>0</v>
      </c>
      <c r="H104" s="76"/>
      <c r="I104" s="76"/>
      <c r="J104" s="76"/>
      <c r="K104" s="1810">
        <f>IF('Eigene, abweichende Tierdaten'!G22="",0,'Eigene, abweichende Tierdaten'!G22)</f>
        <v>0</v>
      </c>
      <c r="L104" s="1810">
        <f>IF('Eigene, abweichende Tierdaten'!L22="",0,'Eigene, abweichende Tierdaten'!L22)</f>
        <v>0</v>
      </c>
      <c r="M104" s="1810">
        <f t="shared" ref="M104:O114" si="61">IFERROR(P104/$D104,0)</f>
        <v>0</v>
      </c>
      <c r="N104" s="1810">
        <f t="shared" si="61"/>
        <v>0</v>
      </c>
      <c r="O104" s="1810">
        <f t="shared" si="61"/>
        <v>0</v>
      </c>
      <c r="P104" s="76">
        <f>IF($C104&gt;2,R104,IF('Eigene, abweichende Tierdaten'!Q22="",0,'Eigene, abweichende Tierdaten'!Q22))</f>
        <v>0</v>
      </c>
      <c r="Q104" s="76">
        <f>IF($C104&gt;2,R104,IF('Eigene, abweichende Tierdaten'!R22="",0,'Eigene, abweichende Tierdaten'!R22))</f>
        <v>0</v>
      </c>
      <c r="R104" s="76">
        <f>IF('Eigene, abweichende Tierdaten'!S22="",0,'Eigene, abweichende Tierdaten'!S22)</f>
        <v>0</v>
      </c>
      <c r="S104" s="76">
        <f>IF($C104&gt;2,U104,IF('Eigene, abweichende Tierdaten'!I22="",0,'Eigene, abweichende Tierdaten'!I22))</f>
        <v>0</v>
      </c>
      <c r="T104" s="76">
        <f>IF($C104&gt;2,U104,IF('Eigene, abweichende Tierdaten'!J22="",0,'Eigene, abweichende Tierdaten'!J22))</f>
        <v>0</v>
      </c>
      <c r="U104" s="76">
        <f>IF('Eigene, abweichende Tierdaten'!K22="",0,'Eigene, abweichende Tierdaten'!K22)</f>
        <v>0</v>
      </c>
      <c r="V104" s="76">
        <f>IF($C104&gt;2,X104,IF('Eigene, abweichende Tierdaten'!N22="",0,'Eigene, abweichende Tierdaten'!N22))</f>
        <v>0</v>
      </c>
      <c r="W104" s="76">
        <f>IF($C104&gt;2,X104,IF('Eigene, abweichende Tierdaten'!O22="",0,'Eigene, abweichende Tierdaten'!O22))</f>
        <v>0</v>
      </c>
      <c r="X104" s="76">
        <f>IF('Eigene, abweichende Tierdaten'!P22="",0,'Eigene, abweichende Tierdaten'!P22)</f>
        <v>0</v>
      </c>
      <c r="Y104" s="76">
        <f>IF('Eigene, abweichende Tierdaten'!H22="",0,'Eigene, abweichende Tierdaten'!H22)</f>
        <v>0</v>
      </c>
      <c r="Z104" s="76">
        <f>IF('Eigene, abweichende Tierdaten'!M22="",0,'Eigene, abweichende Tierdaten'!M22)</f>
        <v>0</v>
      </c>
      <c r="AA104" s="76">
        <v>20</v>
      </c>
      <c r="AB104" s="76">
        <v>30</v>
      </c>
      <c r="AC104" s="76" t="s">
        <v>949</v>
      </c>
      <c r="AD104" s="76">
        <v>2.56</v>
      </c>
      <c r="AE104" s="76">
        <v>1.17</v>
      </c>
      <c r="AF104" s="76">
        <v>0.24</v>
      </c>
      <c r="AG104" s="76">
        <v>0.05</v>
      </c>
      <c r="AH104" s="76">
        <v>79</v>
      </c>
      <c r="AI104" s="2101">
        <f>+'Eigene, abweichende Tierdaten'!N6/1000*365</f>
        <v>0</v>
      </c>
      <c r="AJ104" t="str">
        <f>IF(OR('Eigene, abweichende Tierdaten'!F6='Eigene, abweichende Tierdaten'!$AF$10,'Eigene, abweichende Tierdaten'!F6='Eigene, abweichende Tierdaten'!$AF$11),1,"")</f>
        <v/>
      </c>
      <c r="AK104" s="49">
        <v>0.9</v>
      </c>
      <c r="AL104" s="639">
        <v>1</v>
      </c>
      <c r="AM104" s="75">
        <v>2</v>
      </c>
      <c r="AN104" s="75">
        <f t="shared" si="52"/>
        <v>2</v>
      </c>
      <c r="AO104" s="75">
        <v>60</v>
      </c>
      <c r="AP104" s="52">
        <v>90</v>
      </c>
      <c r="AQ104" s="52">
        <v>10</v>
      </c>
      <c r="AR104" s="1682"/>
      <c r="AS104" s="578">
        <v>0.85</v>
      </c>
      <c r="AT104" s="52">
        <v>400</v>
      </c>
      <c r="AU104" s="52">
        <v>60</v>
      </c>
      <c r="AV104" s="578">
        <v>0.82</v>
      </c>
      <c r="AW104" s="52">
        <v>400</v>
      </c>
      <c r="AX104" s="52">
        <v>60</v>
      </c>
      <c r="AY104" s="52">
        <v>40</v>
      </c>
      <c r="AZ104" s="52">
        <v>100</v>
      </c>
      <c r="BC104" s="52">
        <f t="shared" si="57"/>
        <v>0</v>
      </c>
      <c r="BD104" s="52">
        <f t="shared" si="58"/>
        <v>0</v>
      </c>
      <c r="BE104" s="1332">
        <f t="shared" si="59"/>
        <v>0</v>
      </c>
      <c r="BF104" s="52" t="e">
        <f t="shared" si="60"/>
        <v>#DIV/0!</v>
      </c>
      <c r="BH104" s="862" cm="1">
        <f t="array" ref="BH104">INDEX(BM$9:BM$17,$C104)</f>
        <v>3.3</v>
      </c>
      <c r="BI104" s="862" cm="1">
        <f t="array" ref="BI104">INDEX(BN$9:BN$17,$C104)</f>
        <v>0.2</v>
      </c>
      <c r="BJ104" s="862" cm="1">
        <f t="array" ref="BJ104">INDEX(BO$9:BO$17,$C104)</f>
        <v>3.1</v>
      </c>
    </row>
    <row r="105" spans="1:62" x14ac:dyDescent="0.2">
      <c r="A105" s="38"/>
      <c r="B105" s="76" t="str">
        <f>+'Eigene, abweichende Tierdaten'!AI7</f>
        <v>--</v>
      </c>
      <c r="C105" s="76">
        <v>2</v>
      </c>
      <c r="D105" s="76">
        <f>IF('Eigene, abweichende Tierdaten'!C23="",0,'Eigene, abweichende Tierdaten'!C23)</f>
        <v>0</v>
      </c>
      <c r="E105" s="76">
        <f>IF('Eigene, abweichende Tierdaten'!D23="",0,'Eigene, abweichende Tierdaten'!D23)</f>
        <v>0</v>
      </c>
      <c r="F105" s="76">
        <f>IF('Eigene, abweichende Tierdaten'!E23="",0,'Eigene, abweichende Tierdaten'!E23)</f>
        <v>0</v>
      </c>
      <c r="G105" s="76">
        <f>IF('Eigene, abweichende Tierdaten'!F23="",0,'Eigene, abweichende Tierdaten'!F23)</f>
        <v>0</v>
      </c>
      <c r="H105" s="76"/>
      <c r="I105" s="76"/>
      <c r="J105" s="76"/>
      <c r="K105" s="1810">
        <f>IF('Eigene, abweichende Tierdaten'!G23="",0,'Eigene, abweichende Tierdaten'!G23)</f>
        <v>0</v>
      </c>
      <c r="L105" s="1810">
        <f>IF('Eigene, abweichende Tierdaten'!L23="",0,'Eigene, abweichende Tierdaten'!L23)</f>
        <v>0</v>
      </c>
      <c r="M105" s="1810">
        <f t="shared" si="61"/>
        <v>0</v>
      </c>
      <c r="N105" s="1810">
        <f t="shared" si="61"/>
        <v>0</v>
      </c>
      <c r="O105" s="1810">
        <f t="shared" si="61"/>
        <v>0</v>
      </c>
      <c r="P105" s="76">
        <f>IF($C105&gt;2,R105,IF('Eigene, abweichende Tierdaten'!Q23="",0,'Eigene, abweichende Tierdaten'!Q23))</f>
        <v>0</v>
      </c>
      <c r="Q105" s="76">
        <f>IF($C105&gt;2,R105,IF('Eigene, abweichende Tierdaten'!R23="",0,'Eigene, abweichende Tierdaten'!R23))</f>
        <v>0</v>
      </c>
      <c r="R105" s="76">
        <f>IF('Eigene, abweichende Tierdaten'!S23="",0,'Eigene, abweichende Tierdaten'!S23)</f>
        <v>0</v>
      </c>
      <c r="S105" s="76">
        <f>IF($C105&gt;2,U105,IF('Eigene, abweichende Tierdaten'!I23="",0,'Eigene, abweichende Tierdaten'!I23))</f>
        <v>0</v>
      </c>
      <c r="T105" s="76">
        <f>IF($C105&gt;2,U105,IF('Eigene, abweichende Tierdaten'!J23="",0,'Eigene, abweichende Tierdaten'!J23))</f>
        <v>0</v>
      </c>
      <c r="U105" s="76">
        <f>IF('Eigene, abweichende Tierdaten'!K23="",0,'Eigene, abweichende Tierdaten'!K23)</f>
        <v>0</v>
      </c>
      <c r="V105" s="76">
        <f>IF($C105&gt;2,X105,IF('Eigene, abweichende Tierdaten'!N23="",0,'Eigene, abweichende Tierdaten'!N23))</f>
        <v>0</v>
      </c>
      <c r="W105" s="76">
        <f>IF($C105&gt;2,X105,IF('Eigene, abweichende Tierdaten'!O23="",0,'Eigene, abweichende Tierdaten'!O23))</f>
        <v>0</v>
      </c>
      <c r="X105" s="76">
        <f>IF('Eigene, abweichende Tierdaten'!P23="",0,'Eigene, abweichende Tierdaten'!P23)</f>
        <v>0</v>
      </c>
      <c r="Y105" s="76">
        <f>IF('Eigene, abweichende Tierdaten'!H23="",0,'Eigene, abweichende Tierdaten'!H23)</f>
        <v>0</v>
      </c>
      <c r="Z105" s="76">
        <f>IF('Eigene, abweichende Tierdaten'!M23="",0,'Eigene, abweichende Tierdaten'!M23)</f>
        <v>0</v>
      </c>
      <c r="AA105" s="76">
        <v>20</v>
      </c>
      <c r="AB105" s="76">
        <v>30</v>
      </c>
      <c r="AC105" s="76" t="s">
        <v>949</v>
      </c>
      <c r="AD105" s="76">
        <v>2.56</v>
      </c>
      <c r="AE105" s="76">
        <v>1.17</v>
      </c>
      <c r="AF105" s="76">
        <v>0.24</v>
      </c>
      <c r="AG105" s="76">
        <v>0.05</v>
      </c>
      <c r="AH105" s="76">
        <v>79</v>
      </c>
      <c r="AI105" s="2101">
        <f>+'Eigene, abweichende Tierdaten'!N7/1000*365</f>
        <v>0</v>
      </c>
      <c r="AJ105" t="str">
        <f>IF(OR('Eigene, abweichende Tierdaten'!F7='Eigene, abweichende Tierdaten'!$AF$10,'Eigene, abweichende Tierdaten'!F7='Eigene, abweichende Tierdaten'!$AF$11),1,"")</f>
        <v/>
      </c>
      <c r="AK105" s="49">
        <v>0.9</v>
      </c>
      <c r="AL105" s="639">
        <v>1</v>
      </c>
      <c r="AM105" s="75">
        <v>2</v>
      </c>
      <c r="AN105" s="75">
        <f t="shared" si="52"/>
        <v>2</v>
      </c>
      <c r="AO105" s="75">
        <v>60</v>
      </c>
      <c r="AP105" s="52">
        <v>90</v>
      </c>
      <c r="AQ105" s="52">
        <v>10</v>
      </c>
      <c r="AR105" s="1682"/>
      <c r="AS105" s="578">
        <v>0.85</v>
      </c>
      <c r="AT105" s="52">
        <v>400</v>
      </c>
      <c r="AU105" s="52">
        <v>60</v>
      </c>
      <c r="AV105" s="578">
        <v>0.82</v>
      </c>
      <c r="AW105" s="52">
        <v>400</v>
      </c>
      <c r="AX105" s="52">
        <v>60</v>
      </c>
      <c r="AY105" s="52">
        <v>40</v>
      </c>
      <c r="AZ105" s="52">
        <v>100</v>
      </c>
      <c r="BC105" s="52">
        <f t="shared" si="57"/>
        <v>0</v>
      </c>
      <c r="BD105" s="52">
        <f t="shared" si="58"/>
        <v>0</v>
      </c>
      <c r="BE105" s="1332">
        <f t="shared" si="59"/>
        <v>0</v>
      </c>
      <c r="BF105" s="52" t="e">
        <f t="shared" si="60"/>
        <v>#DIV/0!</v>
      </c>
      <c r="BH105" s="862" cm="1">
        <f t="array" ref="BH105">INDEX(BM$9:BM$17,$C105)</f>
        <v>3.3</v>
      </c>
      <c r="BI105" s="862" cm="1">
        <f t="array" ref="BI105">INDEX(BN$9:BN$17,$C105)</f>
        <v>0.2</v>
      </c>
      <c r="BJ105" s="862" cm="1">
        <f t="array" ref="BJ105">INDEX(BO$9:BO$17,$C105)</f>
        <v>3.1</v>
      </c>
    </row>
    <row r="106" spans="1:62" x14ac:dyDescent="0.2">
      <c r="A106" s="38"/>
      <c r="B106" s="76" t="str">
        <f>+'Eigene, abweichende Tierdaten'!AI8</f>
        <v>--</v>
      </c>
      <c r="C106" s="76">
        <v>2</v>
      </c>
      <c r="D106" s="76">
        <f>IF('Eigene, abweichende Tierdaten'!C24="",0,'Eigene, abweichende Tierdaten'!C24)</f>
        <v>0</v>
      </c>
      <c r="E106" s="76">
        <f>IF('Eigene, abweichende Tierdaten'!D24="",0,'Eigene, abweichende Tierdaten'!D24)</f>
        <v>0</v>
      </c>
      <c r="F106" s="76">
        <f>IF('Eigene, abweichende Tierdaten'!E24="",0,'Eigene, abweichende Tierdaten'!E24)</f>
        <v>0</v>
      </c>
      <c r="G106" s="76">
        <f>IF('Eigene, abweichende Tierdaten'!F24="",0,'Eigene, abweichende Tierdaten'!F24)</f>
        <v>0</v>
      </c>
      <c r="H106" s="76"/>
      <c r="I106" s="76"/>
      <c r="J106" s="76"/>
      <c r="K106" s="1810">
        <f>IF('Eigene, abweichende Tierdaten'!G24="",0,'Eigene, abweichende Tierdaten'!G24)</f>
        <v>0</v>
      </c>
      <c r="L106" s="1810">
        <f>IF('Eigene, abweichende Tierdaten'!L24="",0,'Eigene, abweichende Tierdaten'!L24)</f>
        <v>0</v>
      </c>
      <c r="M106" s="1810">
        <f t="shared" si="61"/>
        <v>0</v>
      </c>
      <c r="N106" s="1810">
        <f t="shared" si="61"/>
        <v>0</v>
      </c>
      <c r="O106" s="1810">
        <f t="shared" si="61"/>
        <v>0</v>
      </c>
      <c r="P106" s="76">
        <f>IF($C106&gt;2,R106,IF('Eigene, abweichende Tierdaten'!Q24="",0,'Eigene, abweichende Tierdaten'!Q24))</f>
        <v>0</v>
      </c>
      <c r="Q106" s="76">
        <f>IF($C106&gt;2,R106,IF('Eigene, abweichende Tierdaten'!R24="",0,'Eigene, abweichende Tierdaten'!R24))</f>
        <v>0</v>
      </c>
      <c r="R106" s="76">
        <f>IF('Eigene, abweichende Tierdaten'!S24="",0,'Eigene, abweichende Tierdaten'!S24)</f>
        <v>0</v>
      </c>
      <c r="S106" s="76">
        <f>IF($C106&gt;2,U106,IF('Eigene, abweichende Tierdaten'!I24="",0,'Eigene, abweichende Tierdaten'!I24))</f>
        <v>0</v>
      </c>
      <c r="T106" s="76">
        <f>IF($C106&gt;2,U106,IF('Eigene, abweichende Tierdaten'!J24="",0,'Eigene, abweichende Tierdaten'!J24))</f>
        <v>0</v>
      </c>
      <c r="U106" s="76">
        <f>IF('Eigene, abweichende Tierdaten'!K24="",0,'Eigene, abweichende Tierdaten'!K24)</f>
        <v>0</v>
      </c>
      <c r="V106" s="76">
        <f>IF($C106&gt;2,X106,IF('Eigene, abweichende Tierdaten'!N24="",0,'Eigene, abweichende Tierdaten'!N24))</f>
        <v>0</v>
      </c>
      <c r="W106" s="76">
        <f>IF($C106&gt;2,X106,IF('Eigene, abweichende Tierdaten'!O24="",0,'Eigene, abweichende Tierdaten'!O24))</f>
        <v>0</v>
      </c>
      <c r="X106" s="76">
        <f>IF('Eigene, abweichende Tierdaten'!P24="",0,'Eigene, abweichende Tierdaten'!P24)</f>
        <v>0</v>
      </c>
      <c r="Y106" s="76">
        <f>IF('Eigene, abweichende Tierdaten'!H24="",0,'Eigene, abweichende Tierdaten'!H24)</f>
        <v>0</v>
      </c>
      <c r="Z106" s="76">
        <f>IF('Eigene, abweichende Tierdaten'!M24="",0,'Eigene, abweichende Tierdaten'!M24)</f>
        <v>0</v>
      </c>
      <c r="AA106" s="76">
        <v>20</v>
      </c>
      <c r="AB106" s="76">
        <v>30</v>
      </c>
      <c r="AC106" s="76" t="s">
        <v>949</v>
      </c>
      <c r="AD106" s="76">
        <v>2.56</v>
      </c>
      <c r="AE106" s="76">
        <v>1.17</v>
      </c>
      <c r="AF106" s="76">
        <v>0.24</v>
      </c>
      <c r="AG106" s="76">
        <v>0.05</v>
      </c>
      <c r="AH106" s="76">
        <v>79</v>
      </c>
      <c r="AI106" s="2101">
        <f>+'Eigene, abweichende Tierdaten'!N8/1000*365</f>
        <v>0</v>
      </c>
      <c r="AJ106" t="str">
        <f>IF(OR('Eigene, abweichende Tierdaten'!F8='Eigene, abweichende Tierdaten'!$AF$10,'Eigene, abweichende Tierdaten'!F8='Eigene, abweichende Tierdaten'!$AF$11),1,"")</f>
        <v/>
      </c>
      <c r="AK106" s="49">
        <v>0.9</v>
      </c>
      <c r="AL106" s="639">
        <v>1</v>
      </c>
      <c r="AM106" s="75">
        <v>2</v>
      </c>
      <c r="AN106" s="75">
        <f t="shared" si="52"/>
        <v>2</v>
      </c>
      <c r="AO106" s="75">
        <v>60</v>
      </c>
      <c r="AP106" s="52">
        <v>90</v>
      </c>
      <c r="AQ106" s="52">
        <v>10</v>
      </c>
      <c r="AR106" s="1682"/>
      <c r="AS106" s="578">
        <v>0.85</v>
      </c>
      <c r="AT106" s="52">
        <v>400</v>
      </c>
      <c r="AU106" s="52">
        <v>60</v>
      </c>
      <c r="AV106" s="578">
        <v>0.82</v>
      </c>
      <c r="AW106" s="52">
        <v>400</v>
      </c>
      <c r="AX106" s="52">
        <v>60</v>
      </c>
      <c r="AY106" s="52">
        <v>40</v>
      </c>
      <c r="AZ106" s="52">
        <v>100</v>
      </c>
      <c r="BC106" s="52">
        <f t="shared" si="57"/>
        <v>0</v>
      </c>
      <c r="BD106" s="52">
        <f t="shared" si="58"/>
        <v>0</v>
      </c>
      <c r="BE106" s="1332">
        <f t="shared" si="59"/>
        <v>0</v>
      </c>
      <c r="BF106" s="52" t="e">
        <f t="shared" si="60"/>
        <v>#DIV/0!</v>
      </c>
      <c r="BH106" s="862" cm="1">
        <f t="array" ref="BH106">INDEX(BM$9:BM$17,$C106)</f>
        <v>3.3</v>
      </c>
      <c r="BI106" s="862" cm="1">
        <f t="array" ref="BI106">INDEX(BN$9:BN$17,$C106)</f>
        <v>0.2</v>
      </c>
      <c r="BJ106" s="862" cm="1">
        <f t="array" ref="BJ106">INDEX(BO$9:BO$17,$C106)</f>
        <v>3.1</v>
      </c>
    </row>
    <row r="107" spans="1:62" x14ac:dyDescent="0.2">
      <c r="A107" s="38"/>
      <c r="B107" s="76" t="str">
        <f>+'Eigene, abweichende Tierdaten'!AI9</f>
        <v>--</v>
      </c>
      <c r="C107" s="76">
        <v>2</v>
      </c>
      <c r="D107" s="76">
        <f>IF('Eigene, abweichende Tierdaten'!C25="",0,'Eigene, abweichende Tierdaten'!C25)</f>
        <v>0</v>
      </c>
      <c r="E107" s="76">
        <f>IF('Eigene, abweichende Tierdaten'!D25="",0,'Eigene, abweichende Tierdaten'!D25)</f>
        <v>0</v>
      </c>
      <c r="F107" s="76">
        <f>IF('Eigene, abweichende Tierdaten'!E25="",0,'Eigene, abweichende Tierdaten'!E25)</f>
        <v>0</v>
      </c>
      <c r="G107" s="76">
        <f>IF('Eigene, abweichende Tierdaten'!F25="",0,'Eigene, abweichende Tierdaten'!F25)</f>
        <v>0</v>
      </c>
      <c r="H107" s="76"/>
      <c r="I107" s="76"/>
      <c r="J107" s="76"/>
      <c r="K107" s="1810">
        <f>IF('Eigene, abweichende Tierdaten'!G25="",0,'Eigene, abweichende Tierdaten'!G25)</f>
        <v>0</v>
      </c>
      <c r="L107" s="1810">
        <f>IF('Eigene, abweichende Tierdaten'!L25="",0,'Eigene, abweichende Tierdaten'!L25)</f>
        <v>0</v>
      </c>
      <c r="M107" s="1810">
        <f t="shared" si="61"/>
        <v>0</v>
      </c>
      <c r="N107" s="1810">
        <f t="shared" si="61"/>
        <v>0</v>
      </c>
      <c r="O107" s="1810">
        <f t="shared" si="61"/>
        <v>0</v>
      </c>
      <c r="P107" s="76">
        <f>IF($C107&gt;2,R107,IF('Eigene, abweichende Tierdaten'!Q25="",0,'Eigene, abweichende Tierdaten'!Q25))</f>
        <v>0</v>
      </c>
      <c r="Q107" s="76">
        <f>IF($C107&gt;2,R107,IF('Eigene, abweichende Tierdaten'!R25="",0,'Eigene, abweichende Tierdaten'!R25))</f>
        <v>0</v>
      </c>
      <c r="R107" s="76">
        <f>IF('Eigene, abweichende Tierdaten'!S25="",0,'Eigene, abweichende Tierdaten'!S25)</f>
        <v>0</v>
      </c>
      <c r="S107" s="76">
        <f>IF($C107&gt;2,U107,IF('Eigene, abweichende Tierdaten'!I25="",0,'Eigene, abweichende Tierdaten'!I25))</f>
        <v>0</v>
      </c>
      <c r="T107" s="76">
        <f>IF($C107&gt;2,U107,IF('Eigene, abweichende Tierdaten'!J25="",0,'Eigene, abweichende Tierdaten'!J25))</f>
        <v>0</v>
      </c>
      <c r="U107" s="76">
        <f>IF('Eigene, abweichende Tierdaten'!K25="",0,'Eigene, abweichende Tierdaten'!K25)</f>
        <v>0</v>
      </c>
      <c r="V107" s="76">
        <f>IF($C107&gt;2,X107,IF('Eigene, abweichende Tierdaten'!N25="",0,'Eigene, abweichende Tierdaten'!N25))</f>
        <v>0</v>
      </c>
      <c r="W107" s="76">
        <f>IF($C107&gt;2,X107,IF('Eigene, abweichende Tierdaten'!O25="",0,'Eigene, abweichende Tierdaten'!O25))</f>
        <v>0</v>
      </c>
      <c r="X107" s="76">
        <f>IF('Eigene, abweichende Tierdaten'!P25="",0,'Eigene, abweichende Tierdaten'!P25)</f>
        <v>0</v>
      </c>
      <c r="Y107" s="76">
        <f>IF('Eigene, abweichende Tierdaten'!H25="",0,'Eigene, abweichende Tierdaten'!H25)</f>
        <v>0</v>
      </c>
      <c r="Z107" s="76">
        <f>IF('Eigene, abweichende Tierdaten'!M25="",0,'Eigene, abweichende Tierdaten'!M25)</f>
        <v>0</v>
      </c>
      <c r="AA107" s="76">
        <v>20</v>
      </c>
      <c r="AB107" s="76">
        <v>30</v>
      </c>
      <c r="AC107" s="76" t="s">
        <v>949</v>
      </c>
      <c r="AD107" s="76">
        <v>2.56</v>
      </c>
      <c r="AE107" s="76">
        <v>1.17</v>
      </c>
      <c r="AF107" s="76">
        <v>0.24</v>
      </c>
      <c r="AG107" s="76">
        <v>0.05</v>
      </c>
      <c r="AH107" s="76">
        <v>79</v>
      </c>
      <c r="AI107" s="2101">
        <f>+'Eigene, abweichende Tierdaten'!N9/1000*365</f>
        <v>0</v>
      </c>
      <c r="AJ107" t="str">
        <f>IF(OR('Eigene, abweichende Tierdaten'!F9='Eigene, abweichende Tierdaten'!$AF$10,'Eigene, abweichende Tierdaten'!F9='Eigene, abweichende Tierdaten'!$AF$11),1,"")</f>
        <v/>
      </c>
      <c r="AK107" s="49">
        <v>0.9</v>
      </c>
      <c r="AL107" s="639">
        <v>1</v>
      </c>
      <c r="AM107" s="75">
        <v>2</v>
      </c>
      <c r="AN107" s="75">
        <f t="shared" si="52"/>
        <v>2</v>
      </c>
      <c r="AO107" s="75">
        <v>60</v>
      </c>
      <c r="AP107" s="52">
        <v>90</v>
      </c>
      <c r="AQ107" s="52">
        <v>10</v>
      </c>
      <c r="AR107" s="1682"/>
      <c r="AS107" s="578">
        <v>0.85</v>
      </c>
      <c r="AT107" s="52">
        <v>400</v>
      </c>
      <c r="AU107" s="52">
        <v>60</v>
      </c>
      <c r="AV107" s="578">
        <v>0.82</v>
      </c>
      <c r="AW107" s="52">
        <v>400</v>
      </c>
      <c r="AX107" s="52">
        <v>60</v>
      </c>
      <c r="AY107" s="52">
        <v>40</v>
      </c>
      <c r="AZ107" s="52">
        <v>100</v>
      </c>
      <c r="BC107" s="52">
        <f t="shared" si="57"/>
        <v>0</v>
      </c>
      <c r="BD107" s="52">
        <f t="shared" si="58"/>
        <v>0</v>
      </c>
      <c r="BE107" s="1332">
        <f t="shared" si="59"/>
        <v>0</v>
      </c>
      <c r="BF107" s="52" t="e">
        <f t="shared" si="60"/>
        <v>#DIV/0!</v>
      </c>
      <c r="BH107" s="862" cm="1">
        <f t="array" ref="BH107">INDEX(BM$9:BM$17,$C107)</f>
        <v>3.3</v>
      </c>
      <c r="BI107" s="862" cm="1">
        <f t="array" ref="BI107">INDEX(BN$9:BN$17,$C107)</f>
        <v>0.2</v>
      </c>
      <c r="BJ107" s="862" cm="1">
        <f t="array" ref="BJ107">INDEX(BO$9:BO$17,$C107)</f>
        <v>3.1</v>
      </c>
    </row>
    <row r="108" spans="1:62" x14ac:dyDescent="0.2">
      <c r="A108" s="38"/>
      <c r="B108" s="76" t="str">
        <f>+'Eigene, abweichende Tierdaten'!AI11</f>
        <v>--</v>
      </c>
      <c r="C108" s="76">
        <v>2</v>
      </c>
      <c r="D108" s="76">
        <f>IF('Eigene, abweichende Tierdaten'!C26="",0,'Eigene, abweichende Tierdaten'!C26)</f>
        <v>0</v>
      </c>
      <c r="E108" s="76">
        <f>IF('Eigene, abweichende Tierdaten'!D26="",0,'Eigene, abweichende Tierdaten'!D26)</f>
        <v>0</v>
      </c>
      <c r="F108" s="76">
        <f>IF('Eigene, abweichende Tierdaten'!E26="",0,'Eigene, abweichende Tierdaten'!E26)</f>
        <v>0</v>
      </c>
      <c r="G108" s="76">
        <f>IF('Eigene, abweichende Tierdaten'!F26="",0,'Eigene, abweichende Tierdaten'!F26)</f>
        <v>0</v>
      </c>
      <c r="H108" s="76"/>
      <c r="I108" s="76"/>
      <c r="J108" s="76"/>
      <c r="K108" s="1810">
        <f>IF('Eigene, abweichende Tierdaten'!G26="",0,'Eigene, abweichende Tierdaten'!G26)</f>
        <v>0</v>
      </c>
      <c r="L108" s="1810">
        <f>IF('Eigene, abweichende Tierdaten'!L26="",0,'Eigene, abweichende Tierdaten'!L26)</f>
        <v>0</v>
      </c>
      <c r="M108" s="1810">
        <f t="shared" si="61"/>
        <v>0</v>
      </c>
      <c r="N108" s="1810">
        <f t="shared" si="61"/>
        <v>0</v>
      </c>
      <c r="O108" s="1810">
        <f t="shared" si="61"/>
        <v>0</v>
      </c>
      <c r="P108" s="76">
        <f>IF($C108&gt;2,R108,IF('Eigene, abweichende Tierdaten'!Q26="",0,'Eigene, abweichende Tierdaten'!Q26))</f>
        <v>0</v>
      </c>
      <c r="Q108" s="76">
        <f>IF($C108&gt;2,R108,IF('Eigene, abweichende Tierdaten'!R26="",0,'Eigene, abweichende Tierdaten'!R26))</f>
        <v>0</v>
      </c>
      <c r="R108" s="76">
        <f>IF('Eigene, abweichende Tierdaten'!S26="",0,'Eigene, abweichende Tierdaten'!S26)</f>
        <v>0</v>
      </c>
      <c r="S108" s="76">
        <f>IF($C108&gt;2,U108,IF('Eigene, abweichende Tierdaten'!I26="",0,'Eigene, abweichende Tierdaten'!I26))</f>
        <v>0</v>
      </c>
      <c r="T108" s="76">
        <f>IF($C108&gt;2,U108,IF('Eigene, abweichende Tierdaten'!J26="",0,'Eigene, abweichende Tierdaten'!J26))</f>
        <v>0</v>
      </c>
      <c r="U108" s="76">
        <f>IF('Eigene, abweichende Tierdaten'!K26="",0,'Eigene, abweichende Tierdaten'!K26)</f>
        <v>0</v>
      </c>
      <c r="V108" s="76">
        <f>IF($C108&gt;2,X108,IF('Eigene, abweichende Tierdaten'!N26="",0,'Eigene, abweichende Tierdaten'!N26))</f>
        <v>0</v>
      </c>
      <c r="W108" s="76">
        <f>IF($C108&gt;2,X108,IF('Eigene, abweichende Tierdaten'!O26="",0,'Eigene, abweichende Tierdaten'!O26))</f>
        <v>0</v>
      </c>
      <c r="X108" s="76">
        <f>IF('Eigene, abweichende Tierdaten'!P26="",0,'Eigene, abweichende Tierdaten'!P26)</f>
        <v>0</v>
      </c>
      <c r="Y108" s="76">
        <f>IF('Eigene, abweichende Tierdaten'!H26="",0,'Eigene, abweichende Tierdaten'!H26)</f>
        <v>0</v>
      </c>
      <c r="Z108" s="76">
        <f>IF('Eigene, abweichende Tierdaten'!M26="",0,'Eigene, abweichende Tierdaten'!M26)</f>
        <v>0</v>
      </c>
      <c r="AA108" s="76">
        <v>20</v>
      </c>
      <c r="AB108" s="76">
        <v>30</v>
      </c>
      <c r="AC108" s="76" t="s">
        <v>949</v>
      </c>
      <c r="AD108" s="76">
        <v>2.56</v>
      </c>
      <c r="AE108" s="76">
        <v>1.17</v>
      </c>
      <c r="AF108" s="76">
        <v>0.24</v>
      </c>
      <c r="AG108" s="76">
        <v>0.05</v>
      </c>
      <c r="AH108" s="76">
        <v>79</v>
      </c>
      <c r="AI108" s="2101">
        <f>+'Eigene, abweichende Tierdaten'!L11*'Eigene, abweichende Tierdaten'!J11</f>
        <v>0</v>
      </c>
      <c r="AJ108" t="str">
        <f>IF(OR('Eigene, abweichende Tierdaten'!F11='Eigene, abweichende Tierdaten'!$AF$10,'Eigene, abweichende Tierdaten'!F11='Eigene, abweichende Tierdaten'!$AF$11),1,"")</f>
        <v/>
      </c>
      <c r="AK108" s="49">
        <v>0.9</v>
      </c>
      <c r="AL108" s="639">
        <v>1</v>
      </c>
      <c r="AM108" s="75">
        <v>2</v>
      </c>
      <c r="AN108" s="75">
        <f t="shared" si="52"/>
        <v>2</v>
      </c>
      <c r="AO108" s="75">
        <v>60</v>
      </c>
      <c r="AP108" s="52">
        <v>90</v>
      </c>
      <c r="AQ108" s="52">
        <v>10</v>
      </c>
      <c r="AR108" s="1682"/>
      <c r="AS108" s="578">
        <v>0.85</v>
      </c>
      <c r="AT108" s="52">
        <v>400</v>
      </c>
      <c r="AU108" s="52">
        <v>60</v>
      </c>
      <c r="AV108" s="578">
        <v>0.82</v>
      </c>
      <c r="AW108" s="52">
        <v>400</v>
      </c>
      <c r="AX108" s="52">
        <v>60</v>
      </c>
      <c r="AY108" s="52">
        <v>40</v>
      </c>
      <c r="AZ108" s="52">
        <v>100</v>
      </c>
      <c r="BC108" s="52">
        <f t="shared" si="57"/>
        <v>0</v>
      </c>
      <c r="BD108" s="52">
        <f t="shared" si="58"/>
        <v>0</v>
      </c>
      <c r="BE108" s="1332">
        <f t="shared" si="59"/>
        <v>0</v>
      </c>
      <c r="BF108" s="52" t="e">
        <f t="shared" si="60"/>
        <v>#DIV/0!</v>
      </c>
      <c r="BH108" s="862" cm="1">
        <f t="array" ref="BH108">INDEX(BM$9:BM$17,$C108)</f>
        <v>3.3</v>
      </c>
      <c r="BI108" s="862" cm="1">
        <f t="array" ref="BI108">INDEX(BN$9:BN$17,$C108)</f>
        <v>0.2</v>
      </c>
      <c r="BJ108" s="862" cm="1">
        <f t="array" ref="BJ108">INDEX(BO$9:BO$17,$C108)</f>
        <v>3.1</v>
      </c>
    </row>
    <row r="109" spans="1:62" x14ac:dyDescent="0.2">
      <c r="A109" s="38"/>
      <c r="B109" s="76" t="str">
        <f>+'Eigene, abweichende Tierdaten'!AI12</f>
        <v>--</v>
      </c>
      <c r="C109" s="76">
        <v>2</v>
      </c>
      <c r="D109" s="76">
        <f>IF('Eigene, abweichende Tierdaten'!C27="",0,'Eigene, abweichende Tierdaten'!C27)</f>
        <v>0</v>
      </c>
      <c r="E109" s="76">
        <f>IF('Eigene, abweichende Tierdaten'!D27="",0,'Eigene, abweichende Tierdaten'!D27)</f>
        <v>0</v>
      </c>
      <c r="F109" s="76">
        <f>IF('Eigene, abweichende Tierdaten'!E27="",0,'Eigene, abweichende Tierdaten'!E27)</f>
        <v>0</v>
      </c>
      <c r="G109" s="76">
        <f>IF('Eigene, abweichende Tierdaten'!F27="",0,'Eigene, abweichende Tierdaten'!F27)</f>
        <v>0</v>
      </c>
      <c r="H109" s="76"/>
      <c r="I109" s="76"/>
      <c r="J109" s="76"/>
      <c r="K109" s="1810">
        <f>IF('Eigene, abweichende Tierdaten'!G27="",0,'Eigene, abweichende Tierdaten'!G27)</f>
        <v>0</v>
      </c>
      <c r="L109" s="1810">
        <f>IF('Eigene, abweichende Tierdaten'!L27="",0,'Eigene, abweichende Tierdaten'!L27)</f>
        <v>0</v>
      </c>
      <c r="M109" s="1810">
        <f t="shared" si="61"/>
        <v>0</v>
      </c>
      <c r="N109" s="1810">
        <f t="shared" si="61"/>
        <v>0</v>
      </c>
      <c r="O109" s="1810">
        <f t="shared" si="61"/>
        <v>0</v>
      </c>
      <c r="P109" s="76">
        <f>IF($C109&gt;2,R109,IF('Eigene, abweichende Tierdaten'!Q27="",0,'Eigene, abweichende Tierdaten'!Q27))</f>
        <v>0</v>
      </c>
      <c r="Q109" s="76">
        <f>IF($C109&gt;2,R109,IF('Eigene, abweichende Tierdaten'!R27="",0,'Eigene, abweichende Tierdaten'!R27))</f>
        <v>0</v>
      </c>
      <c r="R109" s="76">
        <f>IF('Eigene, abweichende Tierdaten'!S27="",0,'Eigene, abweichende Tierdaten'!S27)</f>
        <v>0</v>
      </c>
      <c r="S109" s="76">
        <f>IF($C109&gt;2,U109,IF('Eigene, abweichende Tierdaten'!I27="",0,'Eigene, abweichende Tierdaten'!I27))</f>
        <v>0</v>
      </c>
      <c r="T109" s="76">
        <f>IF($C109&gt;2,U109,IF('Eigene, abweichende Tierdaten'!J27="",0,'Eigene, abweichende Tierdaten'!J27))</f>
        <v>0</v>
      </c>
      <c r="U109" s="76">
        <f>IF('Eigene, abweichende Tierdaten'!K27="",0,'Eigene, abweichende Tierdaten'!K27)</f>
        <v>0</v>
      </c>
      <c r="V109" s="76">
        <f>IF($C109&gt;2,X109,IF('Eigene, abweichende Tierdaten'!N27="",0,'Eigene, abweichende Tierdaten'!N27))</f>
        <v>0</v>
      </c>
      <c r="W109" s="76">
        <f>IF($C109&gt;2,X109,IF('Eigene, abweichende Tierdaten'!O27="",0,'Eigene, abweichende Tierdaten'!O27))</f>
        <v>0</v>
      </c>
      <c r="X109" s="76">
        <f>IF('Eigene, abweichende Tierdaten'!P27="",0,'Eigene, abweichende Tierdaten'!P27)</f>
        <v>0</v>
      </c>
      <c r="Y109" s="76">
        <f>IF('Eigene, abweichende Tierdaten'!H27="",0,'Eigene, abweichende Tierdaten'!H27)</f>
        <v>0</v>
      </c>
      <c r="Z109" s="76">
        <f>IF('Eigene, abweichende Tierdaten'!M27="",0,'Eigene, abweichende Tierdaten'!M27)</f>
        <v>0</v>
      </c>
      <c r="AA109" s="76">
        <v>20</v>
      </c>
      <c r="AB109" s="76">
        <v>30</v>
      </c>
      <c r="AC109" s="76" t="s">
        <v>949</v>
      </c>
      <c r="AD109" s="76">
        <v>2.56</v>
      </c>
      <c r="AE109" s="76">
        <v>1.17</v>
      </c>
      <c r="AF109" s="76">
        <v>0.24</v>
      </c>
      <c r="AG109" s="76">
        <v>0.05</v>
      </c>
      <c r="AH109" s="76">
        <v>79</v>
      </c>
      <c r="AI109" s="2101">
        <f>+'Eigene, abweichende Tierdaten'!L12*'Eigene, abweichende Tierdaten'!J12</f>
        <v>0</v>
      </c>
      <c r="AJ109" t="str">
        <f>IF(OR('Eigene, abweichende Tierdaten'!F12='Eigene, abweichende Tierdaten'!$AF$10,'Eigene, abweichende Tierdaten'!F12='Eigene, abweichende Tierdaten'!$AF$11),1,"")</f>
        <v/>
      </c>
      <c r="AK109" s="49">
        <v>0.9</v>
      </c>
      <c r="AL109" s="639">
        <v>1</v>
      </c>
      <c r="AM109" s="75">
        <v>2</v>
      </c>
      <c r="AN109" s="75">
        <f t="shared" si="52"/>
        <v>2</v>
      </c>
      <c r="AO109" s="75">
        <v>60</v>
      </c>
      <c r="AP109" s="52">
        <v>90</v>
      </c>
      <c r="AQ109" s="52">
        <v>10</v>
      </c>
      <c r="AR109" s="1682"/>
      <c r="AS109" s="578">
        <v>0.85</v>
      </c>
      <c r="AT109" s="52">
        <v>400</v>
      </c>
      <c r="AU109" s="52">
        <v>60</v>
      </c>
      <c r="AV109" s="578">
        <v>0.82</v>
      </c>
      <c r="AW109" s="52">
        <v>400</v>
      </c>
      <c r="AX109" s="52">
        <v>60</v>
      </c>
      <c r="AY109" s="52">
        <v>40</v>
      </c>
      <c r="AZ109" s="52">
        <v>100</v>
      </c>
      <c r="BC109" s="52">
        <f t="shared" si="57"/>
        <v>0</v>
      </c>
      <c r="BD109" s="52">
        <f t="shared" si="58"/>
        <v>0</v>
      </c>
      <c r="BE109" s="1332">
        <f t="shared" si="59"/>
        <v>0</v>
      </c>
      <c r="BF109" s="52" t="e">
        <f t="shared" si="60"/>
        <v>#DIV/0!</v>
      </c>
      <c r="BH109" s="862" cm="1">
        <f t="array" ref="BH109">INDEX(BM$9:BM$17,$C109)</f>
        <v>3.3</v>
      </c>
      <c r="BI109" s="862" cm="1">
        <f t="array" ref="BI109">INDEX(BN$9:BN$17,$C109)</f>
        <v>0.2</v>
      </c>
      <c r="BJ109" s="862" cm="1">
        <f t="array" ref="BJ109">INDEX(BO$9:BO$17,$C109)</f>
        <v>3.1</v>
      </c>
    </row>
    <row r="110" spans="1:62" x14ac:dyDescent="0.2">
      <c r="A110" s="38"/>
      <c r="B110" s="76" t="str">
        <f>+'Eigene, abweichende Tierdaten'!AE28</f>
        <v xml:space="preserve"> -- - </v>
      </c>
      <c r="C110" s="76">
        <f>IF('Eigene, abweichende Tierdaten'!AC28=1,1,'Eigene, abweichende Tierdaten'!AC28-1)</f>
        <v>1</v>
      </c>
      <c r="D110" s="76">
        <f>IF('Eigene, abweichende Tierdaten'!C28="",0,'Eigene, abweichende Tierdaten'!C28)</f>
        <v>0</v>
      </c>
      <c r="E110" s="76">
        <f>IF('Eigene, abweichende Tierdaten'!D28="",0,'Eigene, abweichende Tierdaten'!D28)</f>
        <v>0</v>
      </c>
      <c r="F110" s="76">
        <f>IF('Eigene, abweichende Tierdaten'!E28="",0,'Eigene, abweichende Tierdaten'!E28)</f>
        <v>0</v>
      </c>
      <c r="G110" s="76">
        <f>IF('Eigene, abweichende Tierdaten'!F28="",0,'Eigene, abweichende Tierdaten'!F28)</f>
        <v>0</v>
      </c>
      <c r="H110" s="1809">
        <f>IF(OR($C110=2,$C110=3),0,0.75*E110)</f>
        <v>0</v>
      </c>
      <c r="I110" s="1809">
        <f t="shared" ref="I110:J114" si="62">IF(OR($C110=2,$C110=3),0,0.75*F110)</f>
        <v>0</v>
      </c>
      <c r="J110" s="1809">
        <f t="shared" si="62"/>
        <v>0</v>
      </c>
      <c r="K110" s="1810">
        <f>IF('Eigene, abweichende Tierdaten'!G28="",0,'Eigene, abweichende Tierdaten'!G28)</f>
        <v>0</v>
      </c>
      <c r="L110" s="1810">
        <f>IF('Eigene, abweichende Tierdaten'!L28="",0,'Eigene, abweichende Tierdaten'!L28)</f>
        <v>0</v>
      </c>
      <c r="M110" s="1810">
        <f t="shared" si="61"/>
        <v>0</v>
      </c>
      <c r="N110" s="1810">
        <f t="shared" si="61"/>
        <v>0</v>
      </c>
      <c r="O110" s="1810">
        <f t="shared" si="61"/>
        <v>0</v>
      </c>
      <c r="P110" s="76">
        <f>IF($C110&gt;2,R110,IF('Eigene, abweichende Tierdaten'!Q28="",0,'Eigene, abweichende Tierdaten'!Q28))</f>
        <v>0</v>
      </c>
      <c r="Q110" s="76">
        <f>IF($C110&gt;2,R110,IF('Eigene, abweichende Tierdaten'!R28="",0,'Eigene, abweichende Tierdaten'!R28))</f>
        <v>0</v>
      </c>
      <c r="R110" s="76">
        <f>IF('Eigene, abweichende Tierdaten'!S28="",0,'Eigene, abweichende Tierdaten'!S28)</f>
        <v>0</v>
      </c>
      <c r="S110" s="76">
        <f>IF($C110&gt;2,U110,IF('Eigene, abweichende Tierdaten'!I28="",0,'Eigene, abweichende Tierdaten'!I28))</f>
        <v>0</v>
      </c>
      <c r="T110" s="76">
        <f>IF($C110&gt;2,U110,IF('Eigene, abweichende Tierdaten'!J28="",0,'Eigene, abweichende Tierdaten'!J28))</f>
        <v>0</v>
      </c>
      <c r="U110" s="76">
        <f>IF('Eigene, abweichende Tierdaten'!K28="",0,'Eigene, abweichende Tierdaten'!K28)</f>
        <v>0</v>
      </c>
      <c r="V110" s="76">
        <f>IF($C110&gt;2,X110,IF('Eigene, abweichende Tierdaten'!N28="",0,'Eigene, abweichende Tierdaten'!N28))</f>
        <v>0</v>
      </c>
      <c r="W110" s="76">
        <f>IF($C110&gt;2,X110,IF('Eigene, abweichende Tierdaten'!O28="",0,'Eigene, abweichende Tierdaten'!O28))</f>
        <v>0</v>
      </c>
      <c r="X110" s="76">
        <f>IF('Eigene, abweichende Tierdaten'!P28="",0,'Eigene, abweichende Tierdaten'!P28)</f>
        <v>0</v>
      </c>
      <c r="Y110" s="76">
        <f>IF('Eigene, abweichende Tierdaten'!H28="",0,'Eigene, abweichende Tierdaten'!H28)</f>
        <v>0</v>
      </c>
      <c r="Z110" s="76">
        <f>IF('Eigene, abweichende Tierdaten'!M28="",0,'Eigene, abweichende Tierdaten'!M28)</f>
        <v>0</v>
      </c>
      <c r="AA110" s="76">
        <f t="shared" ref="AA110:AC114" si="63">IF($C110=1,AA$33,IF($C110=2,AA$46,IF($C110=3,AA$78,AA$92)))</f>
        <v>15</v>
      </c>
      <c r="AB110" s="76">
        <f t="shared" si="63"/>
        <v>30</v>
      </c>
      <c r="AC110" s="76" t="str">
        <f t="shared" si="63"/>
        <v>Rinder, fleischbetont</v>
      </c>
      <c r="AD110" s="76">
        <f>IF($C110=1,AD$33,IF($C110=2,AD$46,IF($C110=3,AVERAGE(AD$77:AD$89),AVERAGE(AD$91:AD$102))))</f>
        <v>2.7</v>
      </c>
      <c r="AE110" s="76">
        <f t="shared" ref="AE110:AG110" si="64">IF($C110=1,AE$33,IF($C110=2,AE$46,IF($C110=3,AVERAGE(AE$77:AE$89),AVERAGE(AE$91:AE$102))))</f>
        <v>1.49</v>
      </c>
      <c r="AF110" s="76">
        <f t="shared" si="64"/>
        <v>0.28999999999999998</v>
      </c>
      <c r="AG110" s="76">
        <f t="shared" si="64"/>
        <v>0.06</v>
      </c>
      <c r="AH110" s="76">
        <f>IF($C110=1,AH$33,IF($C110=2,AH$46,""))</f>
        <v>58</v>
      </c>
      <c r="AI110" s="1812"/>
      <c r="AK110">
        <f t="shared" ref="AK110:AQ114" si="65">IF($C110=1,AK$33,IF($C110=2,AK$46,IF($C110=3,AK$78,AK$92)))</f>
        <v>0.9</v>
      </c>
      <c r="AL110">
        <f t="shared" si="65"/>
        <v>1</v>
      </c>
      <c r="AM110">
        <f t="shared" si="65"/>
        <v>2</v>
      </c>
      <c r="AN110">
        <f t="shared" si="65"/>
        <v>2</v>
      </c>
      <c r="AO110">
        <f t="shared" si="65"/>
        <v>50</v>
      </c>
      <c r="AP110">
        <f t="shared" si="65"/>
        <v>90</v>
      </c>
      <c r="AQ110">
        <f t="shared" si="65"/>
        <v>10</v>
      </c>
      <c r="AS110">
        <f>+'Eigene, abweichende Tierdaten'!T28/100</f>
        <v>0</v>
      </c>
      <c r="AT110">
        <f>+'Eigene, abweichende Tierdaten'!U28</f>
        <v>0</v>
      </c>
      <c r="AU110">
        <f>+'Eigene, abweichende Tierdaten'!V28</f>
        <v>0</v>
      </c>
      <c r="AV110">
        <f>+'Eigene, abweichende Tierdaten'!W28/100</f>
        <v>0</v>
      </c>
      <c r="AW110">
        <f>+'Eigene, abweichende Tierdaten'!X28</f>
        <v>0</v>
      </c>
      <c r="AX110">
        <f>+'Eigene, abweichende Tierdaten'!Y28</f>
        <v>0</v>
      </c>
      <c r="AY110">
        <f t="shared" ref="AY110:AZ114" si="66">IF($C110=1,AY$33,IF($C110=2,AY$46,IF($C110=3,AY$78,AY$92)))</f>
        <v>40</v>
      </c>
      <c r="AZ110">
        <f t="shared" si="66"/>
        <v>100</v>
      </c>
      <c r="BC110" s="52">
        <f t="shared" si="57"/>
        <v>0</v>
      </c>
      <c r="BD110" s="52">
        <f t="shared" si="58"/>
        <v>0</v>
      </c>
      <c r="BE110" s="1332">
        <f t="shared" si="59"/>
        <v>0</v>
      </c>
      <c r="BF110" s="52" t="e">
        <f>H110/BE110</f>
        <v>#DIV/0!</v>
      </c>
      <c r="BH110" s="862" cm="1">
        <f t="array" ref="BH110">INDEX(BM$9:BM$17,$C110)</f>
        <v>3.2</v>
      </c>
      <c r="BI110" s="862" cm="1">
        <f t="array" ref="BI110">INDEX(BN$9:BN$17,$C110)</f>
        <v>0.2</v>
      </c>
      <c r="BJ110" s="862" cm="1">
        <f t="array" ref="BJ110">INDEX(BO$9:BO$17,$C110)</f>
        <v>7.9</v>
      </c>
    </row>
    <row r="111" spans="1:62" x14ac:dyDescent="0.2">
      <c r="A111" s="38"/>
      <c r="B111" s="76" t="str">
        <f>+'Eigene, abweichende Tierdaten'!AE29</f>
        <v xml:space="preserve"> -- - </v>
      </c>
      <c r="C111" s="76">
        <f>IF('Eigene, abweichende Tierdaten'!AC29=1,1,'Eigene, abweichende Tierdaten'!AC29-1)</f>
        <v>1</v>
      </c>
      <c r="D111" s="76">
        <f>IF('Eigene, abweichende Tierdaten'!C29="",0,'Eigene, abweichende Tierdaten'!C29)</f>
        <v>0</v>
      </c>
      <c r="E111" s="76">
        <f>IF('Eigene, abweichende Tierdaten'!D29="",0,'Eigene, abweichende Tierdaten'!D29)</f>
        <v>0</v>
      </c>
      <c r="F111" s="76">
        <f>IF('Eigene, abweichende Tierdaten'!E29="",0,'Eigene, abweichende Tierdaten'!E29)</f>
        <v>0</v>
      </c>
      <c r="G111" s="76">
        <f>IF('Eigene, abweichende Tierdaten'!F29="",0,'Eigene, abweichende Tierdaten'!F29)</f>
        <v>0</v>
      </c>
      <c r="H111" s="1809">
        <f t="shared" ref="H111:H114" si="67">IF(OR($C111=2,$C111=3),0,0.75*E111)</f>
        <v>0</v>
      </c>
      <c r="I111" s="1809">
        <f t="shared" si="62"/>
        <v>0</v>
      </c>
      <c r="J111" s="1809">
        <f t="shared" si="62"/>
        <v>0</v>
      </c>
      <c r="K111" s="1810">
        <f>IF('Eigene, abweichende Tierdaten'!G29="",0,'Eigene, abweichende Tierdaten'!G29)</f>
        <v>0</v>
      </c>
      <c r="L111" s="1810">
        <f>IF('Eigene, abweichende Tierdaten'!L29="",0,'Eigene, abweichende Tierdaten'!L29)</f>
        <v>0</v>
      </c>
      <c r="M111" s="1810">
        <f t="shared" si="61"/>
        <v>0</v>
      </c>
      <c r="N111" s="1810">
        <f t="shared" si="61"/>
        <v>0</v>
      </c>
      <c r="O111" s="1810">
        <f t="shared" si="61"/>
        <v>0</v>
      </c>
      <c r="P111" s="76">
        <f>IF($C111&gt;2,R111,IF('Eigene, abweichende Tierdaten'!Q29="",0,'Eigene, abweichende Tierdaten'!Q29))</f>
        <v>0</v>
      </c>
      <c r="Q111" s="76">
        <f>IF($C111&gt;2,R111,IF('Eigene, abweichende Tierdaten'!R29="",0,'Eigene, abweichende Tierdaten'!R29))</f>
        <v>0</v>
      </c>
      <c r="R111" s="76">
        <f>IF('Eigene, abweichende Tierdaten'!S29="",0,'Eigene, abweichende Tierdaten'!S29)</f>
        <v>0</v>
      </c>
      <c r="S111" s="76">
        <f>IF($C111&gt;2,U111,IF('Eigene, abweichende Tierdaten'!I29="",0,'Eigene, abweichende Tierdaten'!I29))</f>
        <v>0</v>
      </c>
      <c r="T111" s="76">
        <f>IF($C111&gt;2,U111,IF('Eigene, abweichende Tierdaten'!J29="",0,'Eigene, abweichende Tierdaten'!J29))</f>
        <v>0</v>
      </c>
      <c r="U111" s="76">
        <f>IF('Eigene, abweichende Tierdaten'!K29="",0,'Eigene, abweichende Tierdaten'!K29)</f>
        <v>0</v>
      </c>
      <c r="V111" s="76">
        <f>IF($C111&gt;2,X111,IF('Eigene, abweichende Tierdaten'!N29="",0,'Eigene, abweichende Tierdaten'!N29))</f>
        <v>0</v>
      </c>
      <c r="W111" s="76">
        <f>IF($C111&gt;2,X111,IF('Eigene, abweichende Tierdaten'!O29="",0,'Eigene, abweichende Tierdaten'!O29))</f>
        <v>0</v>
      </c>
      <c r="X111" s="76">
        <f>IF('Eigene, abweichende Tierdaten'!P29="",0,'Eigene, abweichende Tierdaten'!P29)</f>
        <v>0</v>
      </c>
      <c r="Y111" s="76">
        <f>IF('Eigene, abweichende Tierdaten'!H29="",0,'Eigene, abweichende Tierdaten'!H29)</f>
        <v>0</v>
      </c>
      <c r="Z111" s="76">
        <f>IF('Eigene, abweichende Tierdaten'!M29="",0,'Eigene, abweichende Tierdaten'!M29)</f>
        <v>0</v>
      </c>
      <c r="AA111" s="76">
        <f t="shared" si="63"/>
        <v>15</v>
      </c>
      <c r="AB111" s="76">
        <f t="shared" si="63"/>
        <v>30</v>
      </c>
      <c r="AC111" s="76" t="str">
        <f t="shared" si="63"/>
        <v>Rinder, fleischbetont</v>
      </c>
      <c r="AD111" s="76">
        <f t="shared" ref="AD111:AG114" si="68">IF($C111=1,AD$33,IF($C111=2,AD$46,IF($C111=3,AVERAGE(AD$77:AD$89),AVERAGE(AD$91:AD$102))))</f>
        <v>2.7</v>
      </c>
      <c r="AE111" s="76">
        <f t="shared" si="68"/>
        <v>1.49</v>
      </c>
      <c r="AF111" s="76">
        <f t="shared" si="68"/>
        <v>0.28999999999999998</v>
      </c>
      <c r="AG111" s="76">
        <f t="shared" si="68"/>
        <v>0.06</v>
      </c>
      <c r="AH111" s="76">
        <f t="shared" ref="AH111:AH114" si="69">IF($C111=1,AH$33,IF($C111=2,AH$46,""))</f>
        <v>58</v>
      </c>
      <c r="AI111" s="1812"/>
      <c r="AK111">
        <f t="shared" si="65"/>
        <v>0.9</v>
      </c>
      <c r="AL111">
        <f t="shared" si="65"/>
        <v>1</v>
      </c>
      <c r="AM111">
        <f t="shared" si="65"/>
        <v>2</v>
      </c>
      <c r="AN111">
        <f t="shared" si="65"/>
        <v>2</v>
      </c>
      <c r="AO111">
        <f t="shared" si="65"/>
        <v>50</v>
      </c>
      <c r="AP111">
        <f t="shared" si="65"/>
        <v>90</v>
      </c>
      <c r="AQ111">
        <f t="shared" si="65"/>
        <v>10</v>
      </c>
      <c r="AS111">
        <f>+'Eigene, abweichende Tierdaten'!T29/100</f>
        <v>0</v>
      </c>
      <c r="AT111">
        <f>+'Eigene, abweichende Tierdaten'!U29</f>
        <v>0</v>
      </c>
      <c r="AU111">
        <f>+'Eigene, abweichende Tierdaten'!V29</f>
        <v>0</v>
      </c>
      <c r="AV111">
        <f>+'Eigene, abweichende Tierdaten'!W29/100</f>
        <v>0</v>
      </c>
      <c r="AW111">
        <f>+'Eigene, abweichende Tierdaten'!X29</f>
        <v>0</v>
      </c>
      <c r="AX111">
        <f>+'Eigene, abweichende Tierdaten'!Y29</f>
        <v>0</v>
      </c>
      <c r="AY111">
        <f t="shared" si="66"/>
        <v>40</v>
      </c>
      <c r="AZ111">
        <f t="shared" si="66"/>
        <v>100</v>
      </c>
      <c r="BC111" s="52">
        <f t="shared" si="57"/>
        <v>0</v>
      </c>
      <c r="BD111" s="52">
        <f t="shared" si="58"/>
        <v>0</v>
      </c>
      <c r="BE111" s="1332">
        <f t="shared" si="59"/>
        <v>0</v>
      </c>
      <c r="BF111" s="52" t="e">
        <f t="shared" si="60"/>
        <v>#DIV/0!</v>
      </c>
      <c r="BH111" s="862" cm="1">
        <f t="array" ref="BH111">INDEX(BM$9:BM$17,$C111)</f>
        <v>3.2</v>
      </c>
      <c r="BI111" s="862" cm="1">
        <f t="array" ref="BI111">INDEX(BN$9:BN$17,$C111)</f>
        <v>0.2</v>
      </c>
      <c r="BJ111" s="862" cm="1">
        <f t="array" ref="BJ111">INDEX(BO$9:BO$17,$C111)</f>
        <v>7.9</v>
      </c>
    </row>
    <row r="112" spans="1:62" x14ac:dyDescent="0.2">
      <c r="A112" s="38"/>
      <c r="B112" s="76" t="str">
        <f>+'Eigene, abweichende Tierdaten'!AE30</f>
        <v xml:space="preserve"> -- - </v>
      </c>
      <c r="C112" s="76">
        <f>IF('Eigene, abweichende Tierdaten'!AC30=1,1,'Eigene, abweichende Tierdaten'!AC30-1)</f>
        <v>1</v>
      </c>
      <c r="D112" s="76">
        <f>IF('Eigene, abweichende Tierdaten'!C30="",0,'Eigene, abweichende Tierdaten'!C30)</f>
        <v>0</v>
      </c>
      <c r="E112" s="76">
        <f>IF('Eigene, abweichende Tierdaten'!D30="",0,'Eigene, abweichende Tierdaten'!D30)</f>
        <v>0</v>
      </c>
      <c r="F112" s="76">
        <f>IF('Eigene, abweichende Tierdaten'!E30="",0,'Eigene, abweichende Tierdaten'!E30)</f>
        <v>0</v>
      </c>
      <c r="G112" s="76">
        <f>IF('Eigene, abweichende Tierdaten'!F30="",0,'Eigene, abweichende Tierdaten'!F30)</f>
        <v>0</v>
      </c>
      <c r="H112" s="1809">
        <f t="shared" si="67"/>
        <v>0</v>
      </c>
      <c r="I112" s="1809">
        <f t="shared" si="62"/>
        <v>0</v>
      </c>
      <c r="J112" s="1809">
        <f t="shared" si="62"/>
        <v>0</v>
      </c>
      <c r="K112" s="1810">
        <f>IF('Eigene, abweichende Tierdaten'!G30="",0,'Eigene, abweichende Tierdaten'!G30)</f>
        <v>0</v>
      </c>
      <c r="L112" s="1810">
        <f>IF('Eigene, abweichende Tierdaten'!L30="",0,'Eigene, abweichende Tierdaten'!L30)</f>
        <v>0</v>
      </c>
      <c r="M112" s="1810">
        <f t="shared" si="61"/>
        <v>0</v>
      </c>
      <c r="N112" s="1810">
        <f t="shared" si="61"/>
        <v>0</v>
      </c>
      <c r="O112" s="1810">
        <f t="shared" si="61"/>
        <v>0</v>
      </c>
      <c r="P112" s="76">
        <f>IF($C112&gt;2,R112,IF('Eigene, abweichende Tierdaten'!Q30="",0,'Eigene, abweichende Tierdaten'!Q30))</f>
        <v>0</v>
      </c>
      <c r="Q112" s="76">
        <f>IF($C112&gt;2,R112,IF('Eigene, abweichende Tierdaten'!R30="",0,'Eigene, abweichende Tierdaten'!R30))</f>
        <v>0</v>
      </c>
      <c r="R112" s="76">
        <f>IF('Eigene, abweichende Tierdaten'!S30="",0,'Eigene, abweichende Tierdaten'!S30)</f>
        <v>0</v>
      </c>
      <c r="S112" s="76">
        <f>IF($C112&gt;2,U112,IF('Eigene, abweichende Tierdaten'!I30="",0,'Eigene, abweichende Tierdaten'!I30))</f>
        <v>0</v>
      </c>
      <c r="T112" s="76">
        <f>IF($C112&gt;2,U112,IF('Eigene, abweichende Tierdaten'!J30="",0,'Eigene, abweichende Tierdaten'!J30))</f>
        <v>0</v>
      </c>
      <c r="U112" s="76">
        <f>IF('Eigene, abweichende Tierdaten'!K30="",0,'Eigene, abweichende Tierdaten'!K30)</f>
        <v>0</v>
      </c>
      <c r="V112" s="76">
        <f>IF($C112&gt;2,X112,IF('Eigene, abweichende Tierdaten'!N30="",0,'Eigene, abweichende Tierdaten'!N30))</f>
        <v>0</v>
      </c>
      <c r="W112" s="76">
        <f>IF($C112&gt;2,X112,IF('Eigene, abweichende Tierdaten'!O30="",0,'Eigene, abweichende Tierdaten'!O30))</f>
        <v>0</v>
      </c>
      <c r="X112" s="76">
        <f>IF('Eigene, abweichende Tierdaten'!P30="",0,'Eigene, abweichende Tierdaten'!P30)</f>
        <v>0</v>
      </c>
      <c r="Y112" s="76">
        <f>IF('Eigene, abweichende Tierdaten'!H30="",0,'Eigene, abweichende Tierdaten'!H30)</f>
        <v>0</v>
      </c>
      <c r="Z112" s="76">
        <f>IF('Eigene, abweichende Tierdaten'!M30="",0,'Eigene, abweichende Tierdaten'!M30)</f>
        <v>0</v>
      </c>
      <c r="AA112" s="76">
        <f t="shared" si="63"/>
        <v>15</v>
      </c>
      <c r="AB112" s="76">
        <f t="shared" si="63"/>
        <v>30</v>
      </c>
      <c r="AC112" s="76" t="str">
        <f t="shared" si="63"/>
        <v>Rinder, fleischbetont</v>
      </c>
      <c r="AD112" s="76">
        <f t="shared" si="68"/>
        <v>2.7</v>
      </c>
      <c r="AE112" s="76">
        <f t="shared" si="68"/>
        <v>1.49</v>
      </c>
      <c r="AF112" s="76">
        <f t="shared" si="68"/>
        <v>0.28999999999999998</v>
      </c>
      <c r="AG112" s="76">
        <f t="shared" si="68"/>
        <v>0.06</v>
      </c>
      <c r="AH112" s="76">
        <f t="shared" si="69"/>
        <v>58</v>
      </c>
      <c r="AI112" s="1812"/>
      <c r="AK112">
        <f t="shared" si="65"/>
        <v>0.9</v>
      </c>
      <c r="AL112">
        <f t="shared" si="65"/>
        <v>1</v>
      </c>
      <c r="AM112">
        <f t="shared" si="65"/>
        <v>2</v>
      </c>
      <c r="AN112">
        <f t="shared" si="65"/>
        <v>2</v>
      </c>
      <c r="AO112">
        <f t="shared" si="65"/>
        <v>50</v>
      </c>
      <c r="AP112">
        <f t="shared" si="65"/>
        <v>90</v>
      </c>
      <c r="AQ112">
        <f t="shared" si="65"/>
        <v>10</v>
      </c>
      <c r="AS112">
        <f>+'Eigene, abweichende Tierdaten'!T30/100</f>
        <v>0</v>
      </c>
      <c r="AT112">
        <f>+'Eigene, abweichende Tierdaten'!U30</f>
        <v>0</v>
      </c>
      <c r="AU112">
        <f>+'Eigene, abweichende Tierdaten'!V30</f>
        <v>0</v>
      </c>
      <c r="AV112">
        <f>+'Eigene, abweichende Tierdaten'!W30/100</f>
        <v>0</v>
      </c>
      <c r="AW112">
        <f>+'Eigene, abweichende Tierdaten'!X30</f>
        <v>0</v>
      </c>
      <c r="AX112">
        <f>+'Eigene, abweichende Tierdaten'!Y30</f>
        <v>0</v>
      </c>
      <c r="AY112">
        <f t="shared" si="66"/>
        <v>40</v>
      </c>
      <c r="AZ112">
        <f t="shared" si="66"/>
        <v>100</v>
      </c>
      <c r="BC112" s="52">
        <f t="shared" si="57"/>
        <v>0</v>
      </c>
      <c r="BD112" s="52">
        <f t="shared" si="58"/>
        <v>0</v>
      </c>
      <c r="BE112" s="1332">
        <f t="shared" si="59"/>
        <v>0</v>
      </c>
      <c r="BF112" s="52" t="e">
        <f t="shared" si="60"/>
        <v>#DIV/0!</v>
      </c>
      <c r="BH112" s="862" cm="1">
        <f t="array" ref="BH112">INDEX(BM$9:BM$17,$C112)</f>
        <v>3.2</v>
      </c>
      <c r="BI112" s="862" cm="1">
        <f t="array" ref="BI112">INDEX(BN$9:BN$17,$C112)</f>
        <v>0.2</v>
      </c>
      <c r="BJ112" s="862" cm="1">
        <f t="array" ref="BJ112">INDEX(BO$9:BO$17,$C112)</f>
        <v>7.9</v>
      </c>
    </row>
    <row r="113" spans="1:62" x14ac:dyDescent="0.2">
      <c r="A113" s="38"/>
      <c r="B113" s="76" t="str">
        <f>+'Eigene, abweichende Tierdaten'!AE31</f>
        <v xml:space="preserve"> -- - </v>
      </c>
      <c r="C113" s="76">
        <f>IF('Eigene, abweichende Tierdaten'!AC31=1,1,'Eigene, abweichende Tierdaten'!AC31-1)</f>
        <v>1</v>
      </c>
      <c r="D113" s="76">
        <f>IF('Eigene, abweichende Tierdaten'!C31="",0,'Eigene, abweichende Tierdaten'!C31)</f>
        <v>0</v>
      </c>
      <c r="E113" s="76">
        <f>IF('Eigene, abweichende Tierdaten'!D31="",0,'Eigene, abweichende Tierdaten'!D31)</f>
        <v>0</v>
      </c>
      <c r="F113" s="76">
        <f>IF('Eigene, abweichende Tierdaten'!E31="",0,'Eigene, abweichende Tierdaten'!E31)</f>
        <v>0</v>
      </c>
      <c r="G113" s="76">
        <f>IF('Eigene, abweichende Tierdaten'!F31="",0,'Eigene, abweichende Tierdaten'!F31)</f>
        <v>0</v>
      </c>
      <c r="H113" s="1809">
        <f t="shared" si="67"/>
        <v>0</v>
      </c>
      <c r="I113" s="1809">
        <f t="shared" si="62"/>
        <v>0</v>
      </c>
      <c r="J113" s="1809">
        <f t="shared" si="62"/>
        <v>0</v>
      </c>
      <c r="K113" s="1810">
        <f>IF('Eigene, abweichende Tierdaten'!G31="",0,'Eigene, abweichende Tierdaten'!G31)</f>
        <v>0</v>
      </c>
      <c r="L113" s="1810">
        <f>IF('Eigene, abweichende Tierdaten'!L31="",0,'Eigene, abweichende Tierdaten'!L31)</f>
        <v>0</v>
      </c>
      <c r="M113" s="1810">
        <f t="shared" si="61"/>
        <v>0</v>
      </c>
      <c r="N113" s="1810">
        <f t="shared" si="61"/>
        <v>0</v>
      </c>
      <c r="O113" s="1810">
        <f t="shared" si="61"/>
        <v>0</v>
      </c>
      <c r="P113" s="76">
        <f>IF($C113&gt;2,R113,IF('Eigene, abweichende Tierdaten'!Q31="",0,'Eigene, abweichende Tierdaten'!Q31))</f>
        <v>0</v>
      </c>
      <c r="Q113" s="76">
        <f>IF($C113&gt;2,R113,IF('Eigene, abweichende Tierdaten'!R31="",0,'Eigene, abweichende Tierdaten'!R31))</f>
        <v>0</v>
      </c>
      <c r="R113" s="76">
        <f>IF('Eigene, abweichende Tierdaten'!S31="",0,'Eigene, abweichende Tierdaten'!S31)</f>
        <v>0</v>
      </c>
      <c r="S113" s="76">
        <f>IF($C113&gt;2,U113,IF('Eigene, abweichende Tierdaten'!I31="",0,'Eigene, abweichende Tierdaten'!I31))</f>
        <v>0</v>
      </c>
      <c r="T113" s="76">
        <f>IF($C113&gt;2,U113,IF('Eigene, abweichende Tierdaten'!J31="",0,'Eigene, abweichende Tierdaten'!J31))</f>
        <v>0</v>
      </c>
      <c r="U113" s="76">
        <f>IF('Eigene, abweichende Tierdaten'!K31="",0,'Eigene, abweichende Tierdaten'!K31)</f>
        <v>0</v>
      </c>
      <c r="V113" s="76">
        <f>IF($C113&gt;2,X113,IF('Eigene, abweichende Tierdaten'!N31="",0,'Eigene, abweichende Tierdaten'!N31))</f>
        <v>0</v>
      </c>
      <c r="W113" s="76">
        <f>IF($C113&gt;2,X113,IF('Eigene, abweichende Tierdaten'!O31="",0,'Eigene, abweichende Tierdaten'!O31))</f>
        <v>0</v>
      </c>
      <c r="X113" s="76">
        <f>IF('Eigene, abweichende Tierdaten'!P31="",0,'Eigene, abweichende Tierdaten'!P31)</f>
        <v>0</v>
      </c>
      <c r="Y113" s="76">
        <f>IF('Eigene, abweichende Tierdaten'!H31="",0,'Eigene, abweichende Tierdaten'!H31)</f>
        <v>0</v>
      </c>
      <c r="Z113" s="76">
        <f>IF('Eigene, abweichende Tierdaten'!M31="",0,'Eigene, abweichende Tierdaten'!M31)</f>
        <v>0</v>
      </c>
      <c r="AA113" s="76">
        <f t="shared" si="63"/>
        <v>15</v>
      </c>
      <c r="AB113" s="76">
        <f t="shared" si="63"/>
        <v>30</v>
      </c>
      <c r="AC113" s="76" t="str">
        <f t="shared" si="63"/>
        <v>Rinder, fleischbetont</v>
      </c>
      <c r="AD113" s="76">
        <f t="shared" si="68"/>
        <v>2.7</v>
      </c>
      <c r="AE113" s="76">
        <f t="shared" si="68"/>
        <v>1.49</v>
      </c>
      <c r="AF113" s="76">
        <f t="shared" si="68"/>
        <v>0.28999999999999998</v>
      </c>
      <c r="AG113" s="76">
        <f t="shared" si="68"/>
        <v>0.06</v>
      </c>
      <c r="AH113" s="76">
        <f t="shared" si="69"/>
        <v>58</v>
      </c>
      <c r="AI113" s="1812"/>
      <c r="AK113">
        <f t="shared" si="65"/>
        <v>0.9</v>
      </c>
      <c r="AL113">
        <f t="shared" si="65"/>
        <v>1</v>
      </c>
      <c r="AM113">
        <f t="shared" si="65"/>
        <v>2</v>
      </c>
      <c r="AN113">
        <f t="shared" si="65"/>
        <v>2</v>
      </c>
      <c r="AO113">
        <f t="shared" si="65"/>
        <v>50</v>
      </c>
      <c r="AP113">
        <f t="shared" si="65"/>
        <v>90</v>
      </c>
      <c r="AQ113">
        <f t="shared" si="65"/>
        <v>10</v>
      </c>
      <c r="AS113">
        <f>+'Eigene, abweichende Tierdaten'!T31/100</f>
        <v>0</v>
      </c>
      <c r="AT113">
        <f>+'Eigene, abweichende Tierdaten'!U31</f>
        <v>0</v>
      </c>
      <c r="AU113">
        <f>+'Eigene, abweichende Tierdaten'!V31</f>
        <v>0</v>
      </c>
      <c r="AV113">
        <f>+'Eigene, abweichende Tierdaten'!W31/100</f>
        <v>0</v>
      </c>
      <c r="AW113">
        <f>+'Eigene, abweichende Tierdaten'!X31</f>
        <v>0</v>
      </c>
      <c r="AX113">
        <f>+'Eigene, abweichende Tierdaten'!Y31</f>
        <v>0</v>
      </c>
      <c r="AY113">
        <f t="shared" si="66"/>
        <v>40</v>
      </c>
      <c r="AZ113">
        <f t="shared" si="66"/>
        <v>100</v>
      </c>
      <c r="BC113" s="52">
        <f t="shared" si="57"/>
        <v>0</v>
      </c>
      <c r="BD113" s="52">
        <f t="shared" si="58"/>
        <v>0</v>
      </c>
      <c r="BE113" s="1332">
        <f t="shared" si="59"/>
        <v>0</v>
      </c>
      <c r="BF113" s="52" t="e">
        <f t="shared" si="60"/>
        <v>#DIV/0!</v>
      </c>
      <c r="BH113" s="862" cm="1">
        <f t="array" ref="BH113">INDEX(BM$9:BM$17,$C113)</f>
        <v>3.2</v>
      </c>
      <c r="BI113" s="862" cm="1">
        <f t="array" ref="BI113">INDEX(BN$9:BN$17,$C113)</f>
        <v>0.2</v>
      </c>
      <c r="BJ113" s="862" cm="1">
        <f t="array" ref="BJ113">INDEX(BO$9:BO$17,$C113)</f>
        <v>7.9</v>
      </c>
    </row>
    <row r="114" spans="1:62" ht="13.5" thickBot="1" x14ac:dyDescent="0.25">
      <c r="A114" s="40"/>
      <c r="B114" s="76" t="str">
        <f>+'Eigene, abweichende Tierdaten'!AE32</f>
        <v xml:space="preserve"> -- - </v>
      </c>
      <c r="C114" s="76">
        <f>IF('Eigene, abweichende Tierdaten'!AC32=1,1,'Eigene, abweichende Tierdaten'!AC32-1)</f>
        <v>1</v>
      </c>
      <c r="D114" s="76">
        <f>IF('Eigene, abweichende Tierdaten'!C32="",0,'Eigene, abweichende Tierdaten'!C32)</f>
        <v>0</v>
      </c>
      <c r="E114" s="76">
        <f>IF('Eigene, abweichende Tierdaten'!D32="",0,'Eigene, abweichende Tierdaten'!D32)</f>
        <v>0</v>
      </c>
      <c r="F114" s="76">
        <f>IF('Eigene, abweichende Tierdaten'!E32="",0,'Eigene, abweichende Tierdaten'!E32)</f>
        <v>0</v>
      </c>
      <c r="G114" s="76">
        <f>IF('Eigene, abweichende Tierdaten'!F32="",0,'Eigene, abweichende Tierdaten'!F32)</f>
        <v>0</v>
      </c>
      <c r="H114" s="1809">
        <f t="shared" si="67"/>
        <v>0</v>
      </c>
      <c r="I114" s="1809">
        <f t="shared" si="62"/>
        <v>0</v>
      </c>
      <c r="J114" s="1809">
        <f t="shared" si="62"/>
        <v>0</v>
      </c>
      <c r="K114" s="1810">
        <f>IF('Eigene, abweichende Tierdaten'!G32="",0,'Eigene, abweichende Tierdaten'!G32)</f>
        <v>0</v>
      </c>
      <c r="L114" s="1810">
        <f>IF('Eigene, abweichende Tierdaten'!L32="",0,'Eigene, abweichende Tierdaten'!L32)</f>
        <v>0</v>
      </c>
      <c r="M114" s="1810">
        <f t="shared" si="61"/>
        <v>0</v>
      </c>
      <c r="N114" s="1810">
        <f t="shared" si="61"/>
        <v>0</v>
      </c>
      <c r="O114" s="1810">
        <f t="shared" si="61"/>
        <v>0</v>
      </c>
      <c r="P114" s="76">
        <f>IF($C114&gt;2,R114,IF('Eigene, abweichende Tierdaten'!Q32="",0,'Eigene, abweichende Tierdaten'!Q32))</f>
        <v>0</v>
      </c>
      <c r="Q114" s="76">
        <f>IF($C114&gt;2,R114,IF('Eigene, abweichende Tierdaten'!R32="",0,'Eigene, abweichende Tierdaten'!R32))</f>
        <v>0</v>
      </c>
      <c r="R114" s="76">
        <f>IF('Eigene, abweichende Tierdaten'!S32="",0,'Eigene, abweichende Tierdaten'!S32)</f>
        <v>0</v>
      </c>
      <c r="S114" s="76">
        <f>IF($C114&gt;2,U114,IF('Eigene, abweichende Tierdaten'!I32="",0,'Eigene, abweichende Tierdaten'!I32))</f>
        <v>0</v>
      </c>
      <c r="T114" s="76">
        <f>IF($C114&gt;2,U114,IF('Eigene, abweichende Tierdaten'!J32="",0,'Eigene, abweichende Tierdaten'!J32))</f>
        <v>0</v>
      </c>
      <c r="U114" s="76">
        <f>IF('Eigene, abweichende Tierdaten'!K32="",0,'Eigene, abweichende Tierdaten'!K32)</f>
        <v>0</v>
      </c>
      <c r="V114" s="76">
        <f>IF($C114&gt;2,X114,IF('Eigene, abweichende Tierdaten'!N32="",0,'Eigene, abweichende Tierdaten'!N32))</f>
        <v>0</v>
      </c>
      <c r="W114" s="76">
        <f>IF($C114&gt;2,X114,IF('Eigene, abweichende Tierdaten'!O32="",0,'Eigene, abweichende Tierdaten'!O32))</f>
        <v>0</v>
      </c>
      <c r="X114" s="76">
        <f>IF('Eigene, abweichende Tierdaten'!P32="",0,'Eigene, abweichende Tierdaten'!P32)</f>
        <v>0</v>
      </c>
      <c r="Y114" s="76">
        <f>IF('Eigene, abweichende Tierdaten'!H32="",0,'Eigene, abweichende Tierdaten'!H32)</f>
        <v>0</v>
      </c>
      <c r="Z114" s="76">
        <f>IF('Eigene, abweichende Tierdaten'!M32="",0,'Eigene, abweichende Tierdaten'!M32)</f>
        <v>0</v>
      </c>
      <c r="AA114" s="76">
        <f t="shared" si="63"/>
        <v>15</v>
      </c>
      <c r="AB114" s="76">
        <f t="shared" si="63"/>
        <v>30</v>
      </c>
      <c r="AC114" s="76" t="str">
        <f t="shared" si="63"/>
        <v>Rinder, fleischbetont</v>
      </c>
      <c r="AD114" s="76">
        <f t="shared" si="68"/>
        <v>2.7</v>
      </c>
      <c r="AE114" s="76">
        <f t="shared" si="68"/>
        <v>1.49</v>
      </c>
      <c r="AF114" s="76">
        <f t="shared" si="68"/>
        <v>0.28999999999999998</v>
      </c>
      <c r="AG114" s="76">
        <f t="shared" si="68"/>
        <v>0.06</v>
      </c>
      <c r="AH114" s="76">
        <f t="shared" si="69"/>
        <v>58</v>
      </c>
      <c r="AI114" s="1812"/>
      <c r="AK114">
        <f t="shared" si="65"/>
        <v>0.9</v>
      </c>
      <c r="AL114">
        <f t="shared" si="65"/>
        <v>1</v>
      </c>
      <c r="AM114">
        <f t="shared" si="65"/>
        <v>2</v>
      </c>
      <c r="AN114">
        <f t="shared" si="65"/>
        <v>2</v>
      </c>
      <c r="AO114">
        <f t="shared" si="65"/>
        <v>50</v>
      </c>
      <c r="AP114">
        <f t="shared" si="65"/>
        <v>90</v>
      </c>
      <c r="AQ114">
        <f t="shared" si="65"/>
        <v>10</v>
      </c>
      <c r="AS114">
        <f>+'Eigene, abweichende Tierdaten'!T32/100</f>
        <v>0</v>
      </c>
      <c r="AT114">
        <f>+'Eigene, abweichende Tierdaten'!U32</f>
        <v>0</v>
      </c>
      <c r="AU114">
        <f>+'Eigene, abweichende Tierdaten'!V32</f>
        <v>0</v>
      </c>
      <c r="AV114">
        <f>+'Eigene, abweichende Tierdaten'!W32/100</f>
        <v>0</v>
      </c>
      <c r="AW114">
        <f>+'Eigene, abweichende Tierdaten'!X32</f>
        <v>0</v>
      </c>
      <c r="AX114">
        <f>+'Eigene, abweichende Tierdaten'!Y32</f>
        <v>0</v>
      </c>
      <c r="AY114">
        <f t="shared" si="66"/>
        <v>40</v>
      </c>
      <c r="AZ114">
        <f t="shared" si="66"/>
        <v>100</v>
      </c>
      <c r="BC114" s="52">
        <f t="shared" si="57"/>
        <v>0</v>
      </c>
      <c r="BD114" s="52">
        <f t="shared" si="58"/>
        <v>0</v>
      </c>
      <c r="BE114" s="1332">
        <f t="shared" si="59"/>
        <v>0</v>
      </c>
      <c r="BF114" s="52" t="e">
        <f t="shared" si="60"/>
        <v>#DIV/0!</v>
      </c>
      <c r="BH114" s="862" cm="1">
        <f t="array" ref="BH114">INDEX(BM$9:BM$17,$C114)</f>
        <v>3.2</v>
      </c>
      <c r="BI114" s="862" cm="1">
        <f t="array" ref="BI114">INDEX(BN$9:BN$17,$C114)</f>
        <v>0.2</v>
      </c>
      <c r="BJ114" s="862" cm="1">
        <f t="array" ref="BJ114">INDEX(BO$9:BO$17,$C114)</f>
        <v>7.9</v>
      </c>
    </row>
    <row r="115" spans="1:62" x14ac:dyDescent="0.2">
      <c r="A115" s="1801"/>
      <c r="B115"/>
      <c r="C115"/>
      <c r="D115"/>
      <c r="E115"/>
      <c r="F115"/>
      <c r="G115"/>
      <c r="H115"/>
      <c r="I115"/>
      <c r="J115"/>
      <c r="K115" s="1811"/>
      <c r="L115" s="849"/>
      <c r="M115"/>
      <c r="N115"/>
      <c r="O115"/>
      <c r="P115"/>
      <c r="Q115"/>
      <c r="R115"/>
      <c r="S115"/>
      <c r="T115"/>
      <c r="U115"/>
      <c r="V115"/>
      <c r="W115"/>
      <c r="X115"/>
      <c r="Y115" s="1802"/>
      <c r="Z115" s="1803"/>
      <c r="AA115"/>
      <c r="AB115"/>
      <c r="AC115"/>
      <c r="AD115"/>
      <c r="AE115"/>
      <c r="AH115" s="1802"/>
      <c r="AI115" s="1804"/>
      <c r="AK115" s="49"/>
      <c r="AL115" s="639"/>
      <c r="AM115" s="75"/>
      <c r="AN115" s="75"/>
      <c r="AO115" s="75"/>
      <c r="AS115" s="578"/>
      <c r="AV115" s="578"/>
      <c r="BE115" s="1332"/>
      <c r="BH115" s="1805"/>
      <c r="BI115" s="1805"/>
      <c r="BJ115" s="1805"/>
    </row>
    <row r="117" spans="1:62" x14ac:dyDescent="0.2">
      <c r="K117" s="50" t="s">
        <v>405</v>
      </c>
      <c r="M117" s="462" t="s">
        <v>610</v>
      </c>
      <c r="N117" s="49"/>
    </row>
    <row r="118" spans="1:62" x14ac:dyDescent="0.2">
      <c r="G118" s="49" t="s">
        <v>0</v>
      </c>
      <c r="K118" s="50" t="s">
        <v>9</v>
      </c>
      <c r="L118" s="49" t="s">
        <v>11</v>
      </c>
      <c r="M118" s="49" t="s">
        <v>0</v>
      </c>
      <c r="N118" s="49" t="s">
        <v>11</v>
      </c>
    </row>
    <row r="119" spans="1:62" x14ac:dyDescent="0.2">
      <c r="E119" s="42" t="s">
        <v>21</v>
      </c>
      <c r="K119" s="50"/>
      <c r="M119" s="49"/>
      <c r="N119" s="49"/>
    </row>
    <row r="120" spans="1:62" x14ac:dyDescent="0.2">
      <c r="E120" s="43" t="s">
        <v>47</v>
      </c>
      <c r="G120" s="49">
        <v>50</v>
      </c>
      <c r="K120" s="50">
        <v>90</v>
      </c>
      <c r="L120" s="49">
        <v>10</v>
      </c>
      <c r="M120" s="49">
        <v>40</v>
      </c>
      <c r="N120" s="49">
        <v>100</v>
      </c>
    </row>
    <row r="121" spans="1:62" x14ac:dyDescent="0.2">
      <c r="E121" s="43" t="s">
        <v>84</v>
      </c>
      <c r="G121" s="49">
        <v>60</v>
      </c>
      <c r="K121" s="50">
        <v>90</v>
      </c>
      <c r="L121" s="49">
        <v>10</v>
      </c>
      <c r="M121" s="49">
        <v>40</v>
      </c>
      <c r="N121" s="49">
        <v>100</v>
      </c>
    </row>
    <row r="122" spans="1:62" x14ac:dyDescent="0.2">
      <c r="E122" s="43" t="s">
        <v>85</v>
      </c>
      <c r="G122" s="49">
        <v>50</v>
      </c>
      <c r="K122" s="50">
        <v>90</v>
      </c>
      <c r="L122" s="49">
        <v>45</v>
      </c>
      <c r="M122" s="49">
        <v>40</v>
      </c>
      <c r="N122" s="49">
        <v>100</v>
      </c>
    </row>
    <row r="123" spans="1:62" x14ac:dyDescent="0.2">
      <c r="E123" s="41" t="s">
        <v>86</v>
      </c>
      <c r="G123" s="49">
        <v>50</v>
      </c>
      <c r="K123" s="50">
        <v>90</v>
      </c>
      <c r="L123" s="49">
        <v>10</v>
      </c>
      <c r="M123" s="49">
        <v>40</v>
      </c>
      <c r="N123" s="49">
        <v>100</v>
      </c>
    </row>
    <row r="126" spans="1:62" x14ac:dyDescent="0.2">
      <c r="E126" s="49" t="s">
        <v>236</v>
      </c>
      <c r="G126" s="815"/>
    </row>
    <row r="127" spans="1:62" x14ac:dyDescent="0.2">
      <c r="E127" s="49" t="s">
        <v>21</v>
      </c>
    </row>
    <row r="128" spans="1:62" x14ac:dyDescent="0.2">
      <c r="E128" s="49" t="s">
        <v>200</v>
      </c>
      <c r="G128" s="1334"/>
    </row>
    <row r="129" spans="5:7" x14ac:dyDescent="0.2">
      <c r="E129" s="49" t="s">
        <v>201</v>
      </c>
      <c r="G129" s="1334"/>
    </row>
    <row r="130" spans="5:7" x14ac:dyDescent="0.2">
      <c r="E130" s="815" t="s">
        <v>85</v>
      </c>
      <c r="G130" s="1334"/>
    </row>
    <row r="131" spans="5:7" x14ac:dyDescent="0.2">
      <c r="E131" s="49" t="s">
        <v>683</v>
      </c>
      <c r="G131" s="1334"/>
    </row>
  </sheetData>
  <customSheetViews>
    <customSheetView guid="{DDA6E6AA-9473-49A0-A3A2-76E4959B79AF}" scale="90" state="hidden" topLeftCell="A21">
      <selection activeCell="V71" sqref="V71"/>
      <pageMargins left="0.7" right="0.7" top="0.78740157499999996" bottom="0.78740157499999996" header="0.3" footer="0.3"/>
      <pageSetup paperSize="9" orientation="portrait" r:id="rId1"/>
    </customSheetView>
  </customSheetViews>
  <mergeCells count="11">
    <mergeCell ref="BH5:BJ5"/>
    <mergeCell ref="BH6:BJ6"/>
    <mergeCell ref="BM5:BO5"/>
    <mergeCell ref="BM6:BO6"/>
    <mergeCell ref="AS8:AU8"/>
    <mergeCell ref="AV8:AX8"/>
    <mergeCell ref="D5:D7"/>
    <mergeCell ref="AA5:AB5"/>
    <mergeCell ref="AA6:AB6"/>
    <mergeCell ref="AS4:AX4"/>
    <mergeCell ref="AO5:AQ5"/>
  </mergeCells>
  <pageMargins left="0.7" right="0.7" top="0.78740157499999996" bottom="0.78740157499999996"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32"/>
  <sheetViews>
    <sheetView workbookViewId="0">
      <selection activeCell="F32" sqref="F32"/>
    </sheetView>
  </sheetViews>
  <sheetFormatPr baseColWidth="10" defaultColWidth="11.42578125" defaultRowHeight="12.75" x14ac:dyDescent="0.2"/>
  <cols>
    <col min="1" max="1" width="30.7109375" style="2000" customWidth="1"/>
    <col min="2" max="2" width="21.7109375" style="2000" customWidth="1"/>
    <col min="3" max="16384" width="11.42578125" style="2000"/>
  </cols>
  <sheetData>
    <row r="2" spans="1:4" x14ac:dyDescent="0.2">
      <c r="A2" s="2133" t="s">
        <v>8808</v>
      </c>
    </row>
    <row r="4" spans="1:4" x14ac:dyDescent="0.2">
      <c r="A4" s="2000" t="s">
        <v>8809</v>
      </c>
      <c r="B4" s="2000" t="s">
        <v>8810</v>
      </c>
    </row>
    <row r="5" spans="1:4" x14ac:dyDescent="0.2">
      <c r="A5" s="2000" t="s">
        <v>8811</v>
      </c>
      <c r="B5" s="2000" t="s">
        <v>8812</v>
      </c>
    </row>
    <row r="7" spans="1:4" x14ac:dyDescent="0.2">
      <c r="B7" s="2000" t="s">
        <v>8813</v>
      </c>
      <c r="C7" s="2000" t="s">
        <v>85</v>
      </c>
    </row>
    <row r="8" spans="1:4" x14ac:dyDescent="0.2">
      <c r="B8" s="2000" t="s">
        <v>8814</v>
      </c>
      <c r="C8" s="2000" t="s">
        <v>8815</v>
      </c>
    </row>
    <row r="9" spans="1:4" x14ac:dyDescent="0.2">
      <c r="B9" s="2000" t="s">
        <v>8816</v>
      </c>
      <c r="C9" s="2000" t="s">
        <v>234</v>
      </c>
    </row>
    <row r="10" spans="1:4" x14ac:dyDescent="0.2">
      <c r="B10" s="2133" t="s">
        <v>8817</v>
      </c>
    </row>
    <row r="11" spans="1:4" x14ac:dyDescent="0.2">
      <c r="C11" s="2000" t="s">
        <v>8818</v>
      </c>
      <c r="D11" s="2000" t="s">
        <v>8819</v>
      </c>
    </row>
    <row r="12" spans="1:4" x14ac:dyDescent="0.2">
      <c r="C12" s="2000" t="s">
        <v>8820</v>
      </c>
      <c r="D12" s="2000" t="s">
        <v>8821</v>
      </c>
    </row>
    <row r="13" spans="1:4" x14ac:dyDescent="0.2">
      <c r="C13" s="2000" t="s">
        <v>8822</v>
      </c>
      <c r="D13" s="2000" t="s">
        <v>8823</v>
      </c>
    </row>
    <row r="14" spans="1:4" x14ac:dyDescent="0.2">
      <c r="C14" s="2000" t="s">
        <v>8824</v>
      </c>
      <c r="D14" s="2000" t="s">
        <v>8825</v>
      </c>
    </row>
    <row r="15" spans="1:4" x14ac:dyDescent="0.2">
      <c r="C15" s="2000">
        <v>50</v>
      </c>
      <c r="D15" s="2000" t="s">
        <v>8826</v>
      </c>
    </row>
    <row r="16" spans="1:4" x14ac:dyDescent="0.2">
      <c r="C16" s="2000">
        <v>86</v>
      </c>
      <c r="D16" s="2000" t="s">
        <v>8827</v>
      </c>
    </row>
    <row r="19" spans="1:14" x14ac:dyDescent="0.2">
      <c r="A19" s="2000" t="s">
        <v>8828</v>
      </c>
    </row>
    <row r="20" spans="1:14" x14ac:dyDescent="0.2">
      <c r="B20" s="2000" t="s">
        <v>8829</v>
      </c>
    </row>
    <row r="21" spans="1:14" x14ac:dyDescent="0.2">
      <c r="B21" s="2000" t="s">
        <v>8830</v>
      </c>
      <c r="C21" s="2000" t="s">
        <v>8831</v>
      </c>
      <c r="F21" s="2000">
        <v>1220</v>
      </c>
      <c r="G21" s="2000" t="s">
        <v>8832</v>
      </c>
    </row>
    <row r="22" spans="1:14" x14ac:dyDescent="0.2">
      <c r="C22" s="2000" t="s">
        <v>8833</v>
      </c>
      <c r="F22" s="2000">
        <v>11</v>
      </c>
      <c r="G22" s="2000" t="s">
        <v>227</v>
      </c>
    </row>
    <row r="23" spans="1:14" x14ac:dyDescent="0.2">
      <c r="C23" s="2000" t="s">
        <v>8834</v>
      </c>
      <c r="F23" s="2000">
        <v>343</v>
      </c>
      <c r="G23" s="2000" t="s">
        <v>614</v>
      </c>
    </row>
    <row r="24" spans="1:14" x14ac:dyDescent="0.2">
      <c r="C24" s="2000" t="s">
        <v>195</v>
      </c>
      <c r="F24" s="2000">
        <v>4.0000000000000001E-3</v>
      </c>
      <c r="G24" s="2000" t="s">
        <v>8835</v>
      </c>
    </row>
    <row r="25" spans="1:14" x14ac:dyDescent="0.2">
      <c r="B25" s="2134" t="s">
        <v>8836</v>
      </c>
      <c r="C25" s="2135"/>
      <c r="D25" s="2135"/>
      <c r="E25" s="2135"/>
      <c r="F25" s="2135"/>
      <c r="G25" s="2135"/>
      <c r="H25" s="2135"/>
      <c r="I25" s="2135"/>
      <c r="J25" s="2135"/>
      <c r="K25" s="2135"/>
      <c r="L25" s="2135"/>
      <c r="M25" s="2135"/>
      <c r="N25" s="2135"/>
    </row>
    <row r="26" spans="1:14" x14ac:dyDescent="0.2">
      <c r="F26" s="2135">
        <f>+F21/F23*365/1000/365</f>
        <v>3.5568513119533531E-3</v>
      </c>
      <c r="G26" s="2135" t="s">
        <v>8837</v>
      </c>
      <c r="H26" s="2135"/>
      <c r="I26" s="2135"/>
      <c r="J26" s="2135"/>
      <c r="K26" s="2135"/>
      <c r="L26" s="2135"/>
      <c r="M26" s="2135"/>
    </row>
    <row r="27" spans="1:14" x14ac:dyDescent="0.2">
      <c r="F27" s="2135">
        <f>+ROUND(F26,4)</f>
        <v>3.5999999999999999E-3</v>
      </c>
      <c r="G27" s="2135" t="s">
        <v>8838</v>
      </c>
      <c r="H27" s="2135"/>
      <c r="I27" s="2135"/>
      <c r="J27" s="2135"/>
      <c r="K27" s="2135"/>
      <c r="L27" s="2135"/>
      <c r="M27" s="2135"/>
    </row>
    <row r="29" spans="1:14" x14ac:dyDescent="0.2">
      <c r="B29" s="2133" t="s">
        <v>8839</v>
      </c>
      <c r="C29" s="2133"/>
      <c r="D29" s="2133"/>
      <c r="E29" s="2133"/>
      <c r="F29" s="2136">
        <f>+F27/F24</f>
        <v>0.89999999999999991</v>
      </c>
      <c r="G29" s="2134" t="s">
        <v>8840</v>
      </c>
      <c r="H29" s="2134"/>
      <c r="I29" s="2134"/>
      <c r="J29" s="2135"/>
      <c r="K29" s="2135"/>
      <c r="L29" s="2135"/>
      <c r="M29" s="2135"/>
      <c r="N29" s="2135"/>
    </row>
    <row r="32" spans="1:14" x14ac:dyDescent="0.2">
      <c r="B32" s="2133" t="s">
        <v>8841</v>
      </c>
      <c r="C32" s="2133"/>
      <c r="D32" s="2133"/>
      <c r="E32" s="2133"/>
      <c r="F32" s="2133">
        <f>+F22*2/F23*365/1000</f>
        <v>2.3411078717201168E-2</v>
      </c>
      <c r="G32" s="2133" t="s">
        <v>8842</v>
      </c>
    </row>
  </sheetData>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AN30"/>
  <sheetViews>
    <sheetView topLeftCell="A4" workbookViewId="0">
      <selection activeCell="F43" sqref="F43"/>
    </sheetView>
  </sheetViews>
  <sheetFormatPr baseColWidth="10" defaultRowHeight="12.75" x14ac:dyDescent="0.2"/>
  <sheetData>
    <row r="1" spans="1:40" x14ac:dyDescent="0.2">
      <c r="A1" s="852" t="s">
        <v>1094</v>
      </c>
      <c r="B1" s="852" t="s">
        <v>246</v>
      </c>
      <c r="C1" s="852"/>
      <c r="D1" s="852"/>
      <c r="E1" s="852" t="s">
        <v>925</v>
      </c>
      <c r="F1" s="852"/>
      <c r="G1" s="852"/>
      <c r="H1" s="852" t="s">
        <v>926</v>
      </c>
      <c r="I1" s="852"/>
      <c r="J1" s="852"/>
      <c r="K1" s="852" t="s">
        <v>927</v>
      </c>
      <c r="L1" s="852"/>
      <c r="M1" s="852"/>
      <c r="N1" s="852" t="s">
        <v>928</v>
      </c>
      <c r="O1" s="852"/>
      <c r="P1" s="852"/>
      <c r="Q1" s="852" t="s">
        <v>1022</v>
      </c>
      <c r="R1" s="852"/>
      <c r="S1" s="852"/>
      <c r="T1" s="852" t="s">
        <v>1023</v>
      </c>
      <c r="U1" s="852"/>
      <c r="V1" s="852"/>
      <c r="W1" s="852" t="s">
        <v>931</v>
      </c>
      <c r="X1" s="852"/>
      <c r="Y1" s="852"/>
      <c r="Z1" s="852" t="s">
        <v>932</v>
      </c>
      <c r="AA1" s="852"/>
      <c r="AB1" s="852"/>
      <c r="AC1" s="852" t="s">
        <v>933</v>
      </c>
      <c r="AD1" s="852"/>
      <c r="AE1" s="852"/>
      <c r="AF1" s="852" t="s">
        <v>934</v>
      </c>
      <c r="AG1" s="852"/>
      <c r="AH1" s="852"/>
      <c r="AI1" s="852" t="s">
        <v>935</v>
      </c>
      <c r="AJ1" s="852"/>
      <c r="AK1" s="852"/>
      <c r="AL1" s="852" t="s">
        <v>936</v>
      </c>
      <c r="AM1" s="852"/>
    </row>
    <row r="2" spans="1:40" x14ac:dyDescent="0.2">
      <c r="A2" s="852"/>
      <c r="B2" s="852" t="s">
        <v>4</v>
      </c>
      <c r="C2" s="852" t="s">
        <v>8852</v>
      </c>
      <c r="D2" s="852"/>
      <c r="E2" s="852" t="s">
        <v>4</v>
      </c>
      <c r="F2" s="852" t="s">
        <v>8852</v>
      </c>
      <c r="G2" s="852"/>
      <c r="H2" s="852" t="s">
        <v>4</v>
      </c>
      <c r="I2" s="852" t="s">
        <v>8852</v>
      </c>
      <c r="J2" s="852"/>
      <c r="K2" s="852" t="s">
        <v>4</v>
      </c>
      <c r="L2" s="852" t="s">
        <v>8852</v>
      </c>
      <c r="M2" s="852"/>
      <c r="N2" s="852" t="s">
        <v>4</v>
      </c>
      <c r="O2" s="852" t="s">
        <v>8852</v>
      </c>
      <c r="P2" s="852"/>
      <c r="Q2" s="852" t="s">
        <v>4</v>
      </c>
      <c r="R2" s="852" t="s">
        <v>8852</v>
      </c>
      <c r="S2" s="852"/>
      <c r="T2" s="852" t="s">
        <v>4</v>
      </c>
      <c r="U2" s="852" t="s">
        <v>8852</v>
      </c>
      <c r="V2" s="852"/>
      <c r="W2" s="852" t="s">
        <v>4</v>
      </c>
      <c r="X2" s="852" t="s">
        <v>8852</v>
      </c>
      <c r="Y2" s="852"/>
      <c r="Z2" s="852" t="s">
        <v>4</v>
      </c>
      <c r="AA2" s="852" t="s">
        <v>8852</v>
      </c>
      <c r="AB2" s="852"/>
      <c r="AC2" s="852" t="s">
        <v>4</v>
      </c>
      <c r="AD2" s="852" t="s">
        <v>8852</v>
      </c>
      <c r="AE2" s="852"/>
      <c r="AF2" s="852" t="s">
        <v>4</v>
      </c>
      <c r="AG2" s="852" t="s">
        <v>8852</v>
      </c>
      <c r="AH2" s="852"/>
      <c r="AI2" s="852" t="s">
        <v>4</v>
      </c>
      <c r="AJ2" s="852" t="s">
        <v>8852</v>
      </c>
      <c r="AK2" s="852"/>
      <c r="AL2" s="852" t="s">
        <v>4</v>
      </c>
      <c r="AM2" s="852" t="s">
        <v>8852</v>
      </c>
      <c r="AN2" s="850"/>
    </row>
    <row r="3" spans="1:40" x14ac:dyDescent="0.2">
      <c r="A3" s="91" t="s">
        <v>1109</v>
      </c>
      <c r="B3" s="91">
        <f>IFERROR(INDEX('Lagerhaltung (freiwillig)'!$FB$4:$FB$131,1),"")</f>
        <v>0</v>
      </c>
      <c r="C3" s="91">
        <f>IFERROR(INDEX('Lagerhaltung (freiwillig)'!$FP$4:$FP$131,2),"")</f>
        <v>0</v>
      </c>
      <c r="D3" s="91"/>
      <c r="E3" s="91">
        <f>IFERROR(INDEX('Lagerhaltung (freiwillig)'!$FC$4:$FC$131,1),"")</f>
        <v>0</v>
      </c>
      <c r="F3" s="91">
        <f>IFERROR(INDEX('Lagerhaltung (freiwillig)'!$FQ$4:$FQ$131,2),"")</f>
        <v>0</v>
      </c>
      <c r="G3" s="91"/>
      <c r="H3" s="91">
        <f>IFERROR(INDEX('Lagerhaltung (freiwillig)'!$FD$4:$FD$131,1),"")</f>
        <v>0</v>
      </c>
      <c r="I3" s="91">
        <f>IFERROR(INDEX('Lagerhaltung (freiwillig)'!$FR$4:$FR$131,2),"")</f>
        <v>0</v>
      </c>
      <c r="J3" s="91"/>
      <c r="K3" s="91">
        <f>IFERROR(INDEX('Lagerhaltung (freiwillig)'!$FE$4:$FE$131,1),"")</f>
        <v>0</v>
      </c>
      <c r="L3" s="91">
        <f>IFERROR(INDEX('Lagerhaltung (freiwillig)'!$FS$4:$FS$131,2),"")</f>
        <v>0</v>
      </c>
      <c r="M3" s="91"/>
      <c r="N3" s="91">
        <f>IFERROR(INDEX('Lagerhaltung (freiwillig)'!$FF$4:$FF$131,1),"")</f>
        <v>0</v>
      </c>
      <c r="O3" s="91">
        <f>IFERROR(INDEX('Lagerhaltung (freiwillig)'!$FT$4:$FT$131,2),"")</f>
        <v>0</v>
      </c>
      <c r="P3" s="91"/>
      <c r="Q3" s="91">
        <f>IFERROR(INDEX('Lagerhaltung (freiwillig)'!$FG$4:$FG$131,1),"")</f>
        <v>0</v>
      </c>
      <c r="R3" s="91">
        <f>IFERROR(INDEX('Lagerhaltung (freiwillig)'!$FU$4:$FU$131,2),"")</f>
        <v>0</v>
      </c>
      <c r="S3" s="91"/>
      <c r="T3" s="91">
        <f>IFERROR(INDEX('Lagerhaltung (freiwillig)'!$FH$4:$FH$131,1),"")</f>
        <v>0</v>
      </c>
      <c r="U3" s="91">
        <f>IFERROR(INDEX('Lagerhaltung (freiwillig)'!$FV$4:$FV$131,2),"")</f>
        <v>0</v>
      </c>
      <c r="V3" s="91"/>
      <c r="W3" s="91">
        <f>IFERROR(INDEX('Lagerhaltung (freiwillig)'!$FI$4:$FI$131,1),"")</f>
        <v>0</v>
      </c>
      <c r="X3" s="91">
        <f>IFERROR(INDEX('Lagerhaltung (freiwillig)'!$FW$4:$FW$131,2),"")</f>
        <v>0</v>
      </c>
      <c r="Y3" s="91"/>
      <c r="Z3" s="91">
        <f>IFERROR(INDEX('Lagerhaltung (freiwillig)'!$FJ$4:$FJ$131,1),"")</f>
        <v>0</v>
      </c>
      <c r="AA3" s="91">
        <f>IFERROR(INDEX('Lagerhaltung (freiwillig)'!$FX$4:$FX$131,2),"")</f>
        <v>0</v>
      </c>
      <c r="AB3" s="91"/>
      <c r="AC3" s="91">
        <f>IFERROR(INDEX('Lagerhaltung (freiwillig)'!$FK$4:$FK$131,1),"")</f>
        <v>0</v>
      </c>
      <c r="AD3" s="91">
        <f>IFERROR(INDEX('Lagerhaltung (freiwillig)'!$FY$4:$FY$131,2),"")</f>
        <v>0</v>
      </c>
      <c r="AE3" s="91"/>
      <c r="AF3" s="91">
        <f>IFERROR(INDEX('Lagerhaltung (freiwillig)'!$FL$4:$FL$131,1),"")</f>
        <v>0</v>
      </c>
      <c r="AG3" s="91">
        <f>IFERROR(INDEX('Lagerhaltung (freiwillig)'!$FZ$4:$FZ$131,2),"")</f>
        <v>0</v>
      </c>
      <c r="AH3" s="91"/>
      <c r="AI3" s="91">
        <f>IFERROR(INDEX('Lagerhaltung (freiwillig)'!$FM$4:$FM$131,1),"")</f>
        <v>0</v>
      </c>
      <c r="AJ3" s="91">
        <f>IFERROR(INDEX('Lagerhaltung (freiwillig)'!$GA$4:$GA$131,2),"")</f>
        <v>0</v>
      </c>
      <c r="AK3" s="91"/>
      <c r="AL3" s="91">
        <f>IFERROR(INDEX('Lagerhaltung (freiwillig)'!$FN$4:$FN$131,1),"")</f>
        <v>0</v>
      </c>
      <c r="AM3" s="91">
        <f>IFERROR(INDEX('Lagerhaltung (freiwillig)'!$GB$4:$GB$131,2),"")</f>
        <v>0</v>
      </c>
    </row>
    <row r="4" spans="1:40" x14ac:dyDescent="0.2">
      <c r="A4" s="91" t="s">
        <v>1009</v>
      </c>
      <c r="B4" s="91">
        <f>IFERROR(INDEX('Lagerhaltung (freiwillig)'!$FB$4:$FB$131,3),"")</f>
        <v>0</v>
      </c>
      <c r="C4" s="91">
        <f>IFERROR(INDEX('Lagerhaltung (freiwillig)'!$FP$4:$FP$131,4),"")</f>
        <v>0</v>
      </c>
      <c r="D4" s="91"/>
      <c r="E4" s="91">
        <f>IFERROR(INDEX('Lagerhaltung (freiwillig)'!$FC$4:$FC$131,3),"")</f>
        <v>0</v>
      </c>
      <c r="F4" s="91">
        <f>IFERROR(INDEX('Lagerhaltung (freiwillig)'!$FQ$4:$FQ$131,4),"")</f>
        <v>0</v>
      </c>
      <c r="G4" s="91"/>
      <c r="H4" s="91">
        <f>IFERROR(INDEX('Lagerhaltung (freiwillig)'!$FD$4:$FD$130,3),"")</f>
        <v>0</v>
      </c>
      <c r="I4" s="91">
        <f>IFERROR(INDEX('Lagerhaltung (freiwillig)'!$FR$4:$FR$130,4),"")</f>
        <v>0</v>
      </c>
      <c r="J4" s="91"/>
      <c r="K4" s="91">
        <f>IFERROR(INDEX('Lagerhaltung (freiwillig)'!$FE$4:$FE$130,3),"")</f>
        <v>0</v>
      </c>
      <c r="L4" s="91">
        <f>IFERROR(INDEX('Lagerhaltung (freiwillig)'!$FS$4:$FS$130,4),"")</f>
        <v>0</v>
      </c>
      <c r="M4" s="91"/>
      <c r="N4" s="91">
        <f>IFERROR(INDEX('Lagerhaltung (freiwillig)'!$FF$4:$FF$130,3),"")</f>
        <v>0</v>
      </c>
      <c r="O4" s="91">
        <f>IFERROR(INDEX('Lagerhaltung (freiwillig)'!$FT$4:$FT$130,4),"")</f>
        <v>0</v>
      </c>
      <c r="P4" s="91"/>
      <c r="Q4" s="91">
        <f>IFERROR(INDEX('Lagerhaltung (freiwillig)'!$FG$4:$FG$130,3),"")</f>
        <v>0</v>
      </c>
      <c r="R4" s="91">
        <f>IFERROR(INDEX('Lagerhaltung (freiwillig)'!$FU$4:$FU$130,4),"")</f>
        <v>0</v>
      </c>
      <c r="S4" s="91"/>
      <c r="T4" s="91">
        <f>IFERROR(INDEX('Lagerhaltung (freiwillig)'!$FH$4:$FH$130,3),"")</f>
        <v>0</v>
      </c>
      <c r="U4" s="91">
        <f>IFERROR(INDEX('Lagerhaltung (freiwillig)'!$FV$4:$FV$130,4),"")</f>
        <v>0</v>
      </c>
      <c r="V4" s="91"/>
      <c r="W4" s="91">
        <f>IFERROR(INDEX('Lagerhaltung (freiwillig)'!$FI$4:$FI$130,3),"")</f>
        <v>0</v>
      </c>
      <c r="X4" s="91">
        <f>IFERROR(INDEX('Lagerhaltung (freiwillig)'!$FW$4:$FW$130,4),"")</f>
        <v>0</v>
      </c>
      <c r="Y4" s="91"/>
      <c r="Z4" s="91">
        <f>IFERROR(INDEX('Lagerhaltung (freiwillig)'!$FJ$4:$FJ$130,3),"")</f>
        <v>0</v>
      </c>
      <c r="AA4" s="91">
        <f>IFERROR(INDEX('Lagerhaltung (freiwillig)'!$FX$4:$FX$130,4),"")</f>
        <v>0</v>
      </c>
      <c r="AB4" s="91"/>
      <c r="AC4" s="91">
        <f>IFERROR(INDEX('Lagerhaltung (freiwillig)'!$FK$4:$FK$130,3),"")</f>
        <v>0</v>
      </c>
      <c r="AD4" s="91">
        <f>IFERROR(INDEX('Lagerhaltung (freiwillig)'!$FY$4:$FY$130,4),"")</f>
        <v>0</v>
      </c>
      <c r="AE4" s="91"/>
      <c r="AF4" s="91">
        <f>IFERROR(INDEX('Lagerhaltung (freiwillig)'!$FL$4:$FL$130,3),"")</f>
        <v>0</v>
      </c>
      <c r="AG4" s="91">
        <f>IFERROR(INDEX('Lagerhaltung (freiwillig)'!$FZ$4:$FZ$130,4),"")</f>
        <v>0</v>
      </c>
      <c r="AH4" s="91"/>
      <c r="AI4" s="91">
        <f>IFERROR(INDEX('Lagerhaltung (freiwillig)'!$FM$4:$FM$130,3),"")</f>
        <v>0</v>
      </c>
      <c r="AJ4" s="91">
        <f>IFERROR(INDEX('Lagerhaltung (freiwillig)'!$GA$4:$GA$130,4),"")</f>
        <v>0</v>
      </c>
      <c r="AK4" s="91"/>
      <c r="AL4" s="91">
        <f>IFERROR(INDEX('Lagerhaltung (freiwillig)'!$FN$4:$FN$130,3),"")</f>
        <v>0</v>
      </c>
      <c r="AM4" s="91">
        <f>IFERROR(INDEX('Lagerhaltung (freiwillig)'!$GB$4:$GB$130,4),"")</f>
        <v>0</v>
      </c>
    </row>
    <row r="5" spans="1:40" x14ac:dyDescent="0.2">
      <c r="A5" s="91" t="s">
        <v>1110</v>
      </c>
      <c r="B5" s="91">
        <f>IFERROR(INDEX('Lagerhaltung (freiwillig)'!$FB$4:$FB$131,5),"")</f>
        <v>0</v>
      </c>
      <c r="C5" s="91">
        <f>IFERROR(INDEX('Lagerhaltung (freiwillig)'!$FP$4:$FP$131,5),"")</f>
        <v>0</v>
      </c>
      <c r="D5" s="91"/>
      <c r="E5" s="91">
        <f>IFERROR(INDEX('Lagerhaltung (freiwillig)'!$FC$4:$FC$130,5),"")</f>
        <v>0</v>
      </c>
      <c r="F5" s="91">
        <f>IFERROR(INDEX('Lagerhaltung (freiwillig)'!$FQ$4:$FQ$130,5),"")</f>
        <v>0</v>
      </c>
      <c r="G5" s="91"/>
      <c r="H5" s="91">
        <f>IFERROR(INDEX('Lagerhaltung (freiwillig)'!$FD$4:$FD$130,5),"")</f>
        <v>0</v>
      </c>
      <c r="I5" s="91">
        <f>IFERROR(INDEX('Lagerhaltung (freiwillig)'!$FR$4:$FR$130,5),"")</f>
        <v>0</v>
      </c>
      <c r="J5" s="91"/>
      <c r="K5" s="91">
        <f>IFERROR(INDEX('Lagerhaltung (freiwillig)'!$FE$4:$FE$130,5),"")</f>
        <v>0</v>
      </c>
      <c r="L5" s="91">
        <f>IFERROR(INDEX('Lagerhaltung (freiwillig)'!$FS$4:$FS$130,5),"")</f>
        <v>0</v>
      </c>
      <c r="M5" s="91"/>
      <c r="N5" s="91">
        <f>IFERROR(INDEX('Lagerhaltung (freiwillig)'!$FF$4:$FF$130,5),"")</f>
        <v>0</v>
      </c>
      <c r="O5" s="91">
        <f>IFERROR(INDEX('Lagerhaltung (freiwillig)'!$FT$4:$FT$130,5),"")</f>
        <v>0</v>
      </c>
      <c r="P5" s="91"/>
      <c r="Q5" s="91">
        <f>IFERROR(INDEX('Lagerhaltung (freiwillig)'!$FG$4:$FG$130,5),"")</f>
        <v>0</v>
      </c>
      <c r="R5" s="91">
        <f>IFERROR(INDEX('Lagerhaltung (freiwillig)'!$FU$4:$FU$130,5),"")</f>
        <v>0</v>
      </c>
      <c r="S5" s="91"/>
      <c r="T5" s="91">
        <f>IFERROR(INDEX('Lagerhaltung (freiwillig)'!$FH$4:$FH$130,5),"")</f>
        <v>0</v>
      </c>
      <c r="U5" s="91">
        <f>IFERROR(INDEX('Lagerhaltung (freiwillig)'!$FV$4:$FV$130,5),"")</f>
        <v>0</v>
      </c>
      <c r="V5" s="91"/>
      <c r="W5" s="91">
        <f>IFERROR(INDEX('Lagerhaltung (freiwillig)'!$FI$4:$FI$130,5),"")</f>
        <v>0</v>
      </c>
      <c r="X5" s="91">
        <f>IFERROR(INDEX('Lagerhaltung (freiwillig)'!$FW$4:$FW$130,5),"")</f>
        <v>0</v>
      </c>
      <c r="Y5" s="91"/>
      <c r="Z5" s="91">
        <f>IFERROR(INDEX('Lagerhaltung (freiwillig)'!$FJ$4:$FJ$130,5),"")</f>
        <v>0</v>
      </c>
      <c r="AA5" s="91">
        <f>IFERROR(INDEX('Lagerhaltung (freiwillig)'!$FX$4:$FX$130,5),"")</f>
        <v>0</v>
      </c>
      <c r="AB5" s="91"/>
      <c r="AC5" s="91">
        <f>IFERROR(INDEX('Lagerhaltung (freiwillig)'!$FK$4:$FK$130,5),"")</f>
        <v>0</v>
      </c>
      <c r="AD5" s="91">
        <f>IFERROR(INDEX('Lagerhaltung (freiwillig)'!$FY$4:$FY$130,5),"")</f>
        <v>0</v>
      </c>
      <c r="AE5" s="91"/>
      <c r="AF5" s="91">
        <f>IFERROR(INDEX('Lagerhaltung (freiwillig)'!$FL$4:$FL$130,5),"")</f>
        <v>0</v>
      </c>
      <c r="AG5" s="91">
        <f>IFERROR(INDEX('Lagerhaltung (freiwillig)'!$FZ$4:$FZ$130,5),"")</f>
        <v>0</v>
      </c>
      <c r="AH5" s="91"/>
      <c r="AI5" s="91">
        <f>IFERROR(INDEX('Lagerhaltung (freiwillig)'!$FM$4:$FM$130,5),"")</f>
        <v>0</v>
      </c>
      <c r="AJ5" s="91">
        <f>IFERROR(INDEX('Lagerhaltung (freiwillig)'!$GA$4:$GA$130,5),"")</f>
        <v>0</v>
      </c>
      <c r="AK5" s="91"/>
      <c r="AL5" s="91">
        <f>IFERROR(INDEX('Lagerhaltung (freiwillig)'!$FN$4:$FN$130,5),"")</f>
        <v>0</v>
      </c>
      <c r="AM5" s="91">
        <f>IFERROR(INDEX('Lagerhaltung (freiwillig)'!$GB$4:$GB$130,5),"")</f>
        <v>0</v>
      </c>
    </row>
    <row r="7" spans="1:40" x14ac:dyDescent="0.2">
      <c r="A7" s="1335" t="s">
        <v>4</v>
      </c>
    </row>
    <row r="8" spans="1:40" x14ac:dyDescent="0.2">
      <c r="B8" s="852" t="s">
        <v>246</v>
      </c>
      <c r="D8" s="852"/>
      <c r="E8" s="852" t="s">
        <v>925</v>
      </c>
      <c r="F8" s="852"/>
      <c r="G8" s="852"/>
      <c r="H8" s="852" t="s">
        <v>926</v>
      </c>
      <c r="I8" s="852"/>
      <c r="J8" s="852"/>
      <c r="K8" s="852" t="s">
        <v>927</v>
      </c>
      <c r="L8" s="852"/>
      <c r="M8" s="852"/>
      <c r="N8" s="852" t="s">
        <v>928</v>
      </c>
      <c r="O8" s="852"/>
      <c r="P8" s="852"/>
      <c r="Q8" s="852" t="s">
        <v>1022</v>
      </c>
      <c r="R8" s="852"/>
      <c r="S8" s="852"/>
      <c r="T8" s="852" t="s">
        <v>1023</v>
      </c>
      <c r="U8" s="852"/>
      <c r="V8" s="852"/>
      <c r="W8" s="852" t="s">
        <v>931</v>
      </c>
      <c r="X8" s="852"/>
      <c r="Y8" s="852"/>
      <c r="Z8" s="852" t="s">
        <v>932</v>
      </c>
      <c r="AA8" s="852"/>
      <c r="AB8" s="852"/>
      <c r="AC8" s="852" t="s">
        <v>933</v>
      </c>
      <c r="AD8" s="852"/>
      <c r="AE8" s="852"/>
      <c r="AF8" s="852" t="s">
        <v>934</v>
      </c>
      <c r="AG8" s="852"/>
      <c r="AH8" s="852"/>
      <c r="AI8" s="852" t="s">
        <v>935</v>
      </c>
      <c r="AJ8" s="852"/>
      <c r="AK8" s="852"/>
      <c r="AL8" s="852" t="s">
        <v>936</v>
      </c>
      <c r="AM8" s="852"/>
    </row>
    <row r="9" spans="1:40" x14ac:dyDescent="0.2">
      <c r="A9" s="852" t="s">
        <v>1095</v>
      </c>
      <c r="B9" s="852"/>
      <c r="C9" s="852" t="s">
        <v>1106</v>
      </c>
      <c r="E9" s="852" t="s">
        <v>1104</v>
      </c>
      <c r="F9" t="s">
        <v>1105</v>
      </c>
      <c r="H9" s="852" t="s">
        <v>1104</v>
      </c>
      <c r="I9" t="s">
        <v>1105</v>
      </c>
      <c r="K9" s="852" t="s">
        <v>1104</v>
      </c>
      <c r="L9" t="s">
        <v>1105</v>
      </c>
      <c r="N9" s="852" t="s">
        <v>1104</v>
      </c>
      <c r="O9" t="s">
        <v>1105</v>
      </c>
      <c r="Q9" s="852" t="s">
        <v>1104</v>
      </c>
      <c r="R9" t="s">
        <v>1105</v>
      </c>
      <c r="T9" s="852" t="s">
        <v>1104</v>
      </c>
      <c r="U9" t="s">
        <v>1105</v>
      </c>
      <c r="W9" s="852" t="s">
        <v>1104</v>
      </c>
      <c r="X9" t="s">
        <v>1105</v>
      </c>
      <c r="Z9" s="852" t="s">
        <v>1104</v>
      </c>
      <c r="AA9" t="s">
        <v>1105</v>
      </c>
      <c r="AC9" s="852" t="s">
        <v>1104</v>
      </c>
      <c r="AD9" t="s">
        <v>1105</v>
      </c>
      <c r="AF9" s="852" t="s">
        <v>1104</v>
      </c>
      <c r="AG9" t="s">
        <v>1105</v>
      </c>
      <c r="AI9" s="852" t="s">
        <v>1104</v>
      </c>
      <c r="AJ9" t="s">
        <v>1105</v>
      </c>
      <c r="AL9" s="852" t="s">
        <v>1104</v>
      </c>
      <c r="AM9" t="s">
        <v>1105</v>
      </c>
    </row>
    <row r="10" spans="1:40" x14ac:dyDescent="0.2">
      <c r="A10" s="91" t="s">
        <v>1109</v>
      </c>
      <c r="B10" s="91"/>
      <c r="C10" s="91">
        <f>IFERROR(INDEX('Lagerhaltung (freiwillig)'!$FB$4:$FB$9,1),"")</f>
        <v>0</v>
      </c>
      <c r="D10" s="91"/>
      <c r="E10" s="91">
        <f>IFERROR(INDEX('Lagerhaltung (freiwillig)'!$DB$4:$DB$8,1),"")</f>
        <v>0</v>
      </c>
      <c r="F10" s="91">
        <f>IFERROR(INDEX('Lagerhaltung (freiwillig)'!$EB$4:$EB$8,1),"")</f>
        <v>0</v>
      </c>
      <c r="G10" s="91"/>
      <c r="H10" s="91">
        <f>IFERROR(INDEX('Lagerhaltung (freiwillig)'!$DC$4:$DC$8,1),"")</f>
        <v>0</v>
      </c>
      <c r="I10" s="91">
        <f>IFERROR(INDEX('Lagerhaltung (freiwillig)'!$EC$4:$EC$8,1),"")</f>
        <v>0</v>
      </c>
      <c r="J10" s="91"/>
      <c r="K10" s="91">
        <f>IFERROR(INDEX('Lagerhaltung (freiwillig)'!$DD$4:$DD$8,1),"")</f>
        <v>0</v>
      </c>
      <c r="L10" s="91">
        <f>IFERROR(INDEX('Lagerhaltung (freiwillig)'!$ED$4:$ED$8,1),"")</f>
        <v>0</v>
      </c>
      <c r="M10" s="91"/>
      <c r="N10" s="91">
        <f>IFERROR(INDEX('Lagerhaltung (freiwillig)'!$DE$4:$DE$8,1),"")</f>
        <v>0</v>
      </c>
      <c r="O10" s="91">
        <f>IFERROR(INDEX('Lagerhaltung (freiwillig)'!$EE$4:$EE$8,1),"")</f>
        <v>0</v>
      </c>
      <c r="P10" s="91"/>
      <c r="Q10" s="91">
        <f>IFERROR(INDEX('Lagerhaltung (freiwillig)'!$DF$4:$DF$8,1),"")</f>
        <v>0</v>
      </c>
      <c r="R10" s="91">
        <f>IFERROR(INDEX('Lagerhaltung (freiwillig)'!$EF$4:$EF$8,1),"")</f>
        <v>0</v>
      </c>
      <c r="S10" s="91"/>
      <c r="T10" s="91">
        <f>IFERROR(INDEX('Lagerhaltung (freiwillig)'!$DG$4:$DG$8,1),"")</f>
        <v>0</v>
      </c>
      <c r="U10" s="91">
        <f>IFERROR(INDEX('Lagerhaltung (freiwillig)'!$EG$4:$EG$8,1),"")</f>
        <v>0</v>
      </c>
      <c r="V10" s="91"/>
      <c r="W10" s="91">
        <f>IFERROR(INDEX('Lagerhaltung (freiwillig)'!$DH$4:$DH$8,1),"")</f>
        <v>0</v>
      </c>
      <c r="X10" s="91">
        <f>IFERROR(INDEX('Lagerhaltung (freiwillig)'!$EH$4:$EH$8,1),"")</f>
        <v>0</v>
      </c>
      <c r="Y10" s="91"/>
      <c r="Z10" s="91">
        <f>IFERROR(INDEX('Lagerhaltung (freiwillig)'!$DI$4:$DI$8,1),"")</f>
        <v>0</v>
      </c>
      <c r="AA10" s="91">
        <f>IFERROR(INDEX('Lagerhaltung (freiwillig)'!$EI$4:$EI$8,1),"")</f>
        <v>0</v>
      </c>
      <c r="AB10" s="91"/>
      <c r="AC10" s="91">
        <f>IFERROR(INDEX('Lagerhaltung (freiwillig)'!$DJ$4:$DJ$8,1),"")</f>
        <v>0</v>
      </c>
      <c r="AD10" s="91">
        <f>IFERROR(INDEX('Lagerhaltung (freiwillig)'!$EJ$4:$EJ$8,1),"")</f>
        <v>0</v>
      </c>
      <c r="AE10" s="91"/>
      <c r="AF10" s="91">
        <f>IFERROR(INDEX('Lagerhaltung (freiwillig)'!$DK$4:$DK$8,1),"")</f>
        <v>0</v>
      </c>
      <c r="AG10" s="91">
        <f>IFERROR(INDEX('Lagerhaltung (freiwillig)'!$EK$4:$EK$8,1),"")</f>
        <v>0</v>
      </c>
      <c r="AH10" s="91"/>
      <c r="AI10" s="91">
        <f>IFERROR(INDEX('Lagerhaltung (freiwillig)'!$DL$4:$DL$8,1),"")</f>
        <v>0</v>
      </c>
      <c r="AJ10" s="91">
        <f>IFERROR(INDEX('Lagerhaltung (freiwillig)'!$EL$4:$EL$8,1),"")</f>
        <v>0</v>
      </c>
      <c r="AK10" s="91"/>
      <c r="AL10" s="91">
        <f>IFERROR(INDEX('Lagerhaltung (freiwillig)'!$DM$4:$DM$8,1),"")</f>
        <v>0</v>
      </c>
      <c r="AM10" s="91">
        <f>IFERROR(INDEX('Lagerhaltung (freiwillig)'!$EM$4:$EM$8,1),"")</f>
        <v>0</v>
      </c>
    </row>
    <row r="11" spans="1:40" x14ac:dyDescent="0.2">
      <c r="A11" s="91" t="s">
        <v>1009</v>
      </c>
      <c r="B11" s="91"/>
      <c r="C11" s="91">
        <f>IFERROR(INDEX('Lagerhaltung (freiwillig)'!$FB$4:$FB$9,3),"")</f>
        <v>0</v>
      </c>
      <c r="D11" s="91"/>
      <c r="E11" s="91">
        <f>IFERROR(INDEX('Lagerhaltung (freiwillig)'!$DB$4:$DB$8,3),"")</f>
        <v>0</v>
      </c>
      <c r="F11" s="91">
        <f>IFERROR(INDEX('Lagerhaltung (freiwillig)'!$EB$4:$EB$8,3),"")</f>
        <v>0</v>
      </c>
      <c r="G11" s="91"/>
      <c r="H11" s="91">
        <f>IFERROR(INDEX('Lagerhaltung (freiwillig)'!$DC$4:$DC$8,3),"")</f>
        <v>0</v>
      </c>
      <c r="I11" s="91">
        <f>IFERROR(INDEX('Lagerhaltung (freiwillig)'!$EC$4:$EC$8,3),"")</f>
        <v>0</v>
      </c>
      <c r="J11" s="91"/>
      <c r="K11" s="91">
        <f>IFERROR(INDEX('Lagerhaltung (freiwillig)'!$DD$4:$DD$8,3),"")</f>
        <v>0</v>
      </c>
      <c r="L11" s="91">
        <f>IFERROR(INDEX('Lagerhaltung (freiwillig)'!$ED$4:$ED$8,3),"")</f>
        <v>0</v>
      </c>
      <c r="M11" s="91"/>
      <c r="N11" s="91">
        <f>IFERROR(INDEX('Lagerhaltung (freiwillig)'!$DE$4:$DE$8,3),"")</f>
        <v>0</v>
      </c>
      <c r="O11" s="91">
        <f>IFERROR(INDEX('Lagerhaltung (freiwillig)'!$EE$4:$EE$8,3),"")</f>
        <v>0</v>
      </c>
      <c r="P11" s="91"/>
      <c r="Q11" s="91">
        <f>IFERROR(INDEX('Lagerhaltung (freiwillig)'!$DF$4:$DF$8,3),"")</f>
        <v>0</v>
      </c>
      <c r="R11" s="91">
        <f>IFERROR(INDEX('Lagerhaltung (freiwillig)'!$EF$4:$EF$8,3),"")</f>
        <v>0</v>
      </c>
      <c r="S11" s="91"/>
      <c r="T11" s="91">
        <f>IFERROR(INDEX('Lagerhaltung (freiwillig)'!$DG$4:$DG$8,3),"")</f>
        <v>0</v>
      </c>
      <c r="U11" s="91">
        <f>IFERROR(INDEX('Lagerhaltung (freiwillig)'!$EG$4:$EG$8,3),"")</f>
        <v>0</v>
      </c>
      <c r="V11" s="91"/>
      <c r="W11" s="91">
        <f>IFERROR(INDEX('Lagerhaltung (freiwillig)'!$DH$4:$DH$8,3),"")</f>
        <v>0</v>
      </c>
      <c r="X11" s="91">
        <f>IFERROR(INDEX('Lagerhaltung (freiwillig)'!$EH$4:$EH$8,3),"")</f>
        <v>0</v>
      </c>
      <c r="Y11" s="91"/>
      <c r="Z11" s="91">
        <f>IFERROR(INDEX('Lagerhaltung (freiwillig)'!$DI$4:$DI$8,3),"")</f>
        <v>0</v>
      </c>
      <c r="AA11" s="91">
        <f>IFERROR(INDEX('Lagerhaltung (freiwillig)'!$EI$4:$EI$8,3),"")</f>
        <v>0</v>
      </c>
      <c r="AB11" s="91"/>
      <c r="AC11" s="91">
        <f>IFERROR(INDEX('Lagerhaltung (freiwillig)'!$DJ$4:$DJ$8,3),"")</f>
        <v>0</v>
      </c>
      <c r="AD11" s="91">
        <f>IFERROR(INDEX('Lagerhaltung (freiwillig)'!$EJ$4:$EJ$8,3),"")</f>
        <v>0</v>
      </c>
      <c r="AE11" s="91"/>
      <c r="AF11" s="91">
        <f>IFERROR(INDEX('Lagerhaltung (freiwillig)'!$DK$4:$DK$8,3),"")</f>
        <v>0</v>
      </c>
      <c r="AG11" s="91">
        <f>IFERROR(INDEX('Lagerhaltung (freiwillig)'!$EK$4:$EK$8,3),"")</f>
        <v>0</v>
      </c>
      <c r="AH11" s="91"/>
      <c r="AI11" s="91">
        <f>IFERROR(INDEX('Lagerhaltung (freiwillig)'!$DL$4:$DL$8,3),"")</f>
        <v>0</v>
      </c>
      <c r="AJ11" s="91">
        <f>IFERROR(INDEX('Lagerhaltung (freiwillig)'!$EL$4:$EL$8,3),"")</f>
        <v>0</v>
      </c>
      <c r="AK11" s="91"/>
      <c r="AL11" s="91">
        <f>IFERROR(INDEX('Lagerhaltung (freiwillig)'!$DM$4:$DM$8,3),"")</f>
        <v>0</v>
      </c>
      <c r="AM11" s="91">
        <f>IFERROR(INDEX('Lagerhaltung (freiwillig)'!$EM$4:$EM$8,3),"")</f>
        <v>0</v>
      </c>
    </row>
    <row r="12" spans="1:40" x14ac:dyDescent="0.2">
      <c r="A12" s="91" t="s">
        <v>1110</v>
      </c>
      <c r="B12" s="91"/>
      <c r="C12" s="91">
        <f>IFERROR(INDEX('Lagerhaltung (freiwillig)'!$FB$4:$FB$9,5),"")</f>
        <v>0</v>
      </c>
      <c r="D12" s="91"/>
      <c r="E12" s="91">
        <f>IFERROR(INDEX('Lagerhaltung (freiwillig)'!$DB$4:$DB$8,5),"")</f>
        <v>0</v>
      </c>
      <c r="F12" s="91">
        <f>IFERROR(INDEX('Lagerhaltung (freiwillig)'!$EB$4:$EB$8,5),"")</f>
        <v>0</v>
      </c>
      <c r="G12" s="91"/>
      <c r="H12" s="91">
        <f>IFERROR(INDEX('Lagerhaltung (freiwillig)'!$DC$4:$DC$8,5),"")</f>
        <v>0</v>
      </c>
      <c r="I12" s="91">
        <f>IFERROR(INDEX('Lagerhaltung (freiwillig)'!$EC$4:$EC$8,5),"")</f>
        <v>0</v>
      </c>
      <c r="J12" s="91"/>
      <c r="K12" s="91">
        <f>IFERROR(INDEX('Lagerhaltung (freiwillig)'!$DD$4:$DD$8,5),"")</f>
        <v>0</v>
      </c>
      <c r="L12" s="91">
        <f>IFERROR(INDEX('Lagerhaltung (freiwillig)'!$ED$4:$ED$8,5),"")</f>
        <v>0</v>
      </c>
      <c r="M12" s="91"/>
      <c r="N12" s="91">
        <f>IFERROR(INDEX('Lagerhaltung (freiwillig)'!$DE$4:$DE$8,5),"")</f>
        <v>0</v>
      </c>
      <c r="O12" s="91">
        <f>IFERROR(INDEX('Lagerhaltung (freiwillig)'!$EE$4:$EE$8,5),"")</f>
        <v>0</v>
      </c>
      <c r="P12" s="91"/>
      <c r="Q12" s="91">
        <f>IFERROR(INDEX('Lagerhaltung (freiwillig)'!$DF$4:$DF$8,5),"")</f>
        <v>0</v>
      </c>
      <c r="R12" s="91">
        <f>IFERROR(INDEX('Lagerhaltung (freiwillig)'!$EF$4:$EF$8,5),"")</f>
        <v>0</v>
      </c>
      <c r="S12" s="91"/>
      <c r="T12" s="91">
        <f>IFERROR(INDEX('Lagerhaltung (freiwillig)'!$DG$4:$DG$8,5),"")</f>
        <v>0</v>
      </c>
      <c r="U12" s="91">
        <f>IFERROR(INDEX('Lagerhaltung (freiwillig)'!$EG$4:$EG$8,5),"")</f>
        <v>0</v>
      </c>
      <c r="V12" s="91"/>
      <c r="W12" s="91">
        <f>IFERROR(INDEX('Lagerhaltung (freiwillig)'!$DH$4:$DH$8,5),"")</f>
        <v>0</v>
      </c>
      <c r="X12" s="91">
        <f>IFERROR(INDEX('Lagerhaltung (freiwillig)'!$EH$4:$EH$8,5),"")</f>
        <v>0</v>
      </c>
      <c r="Y12" s="91"/>
      <c r="Z12" s="91">
        <f>IFERROR(INDEX('Lagerhaltung (freiwillig)'!$DI$4:$DI$8,5),"")</f>
        <v>0</v>
      </c>
      <c r="AA12" s="91">
        <f>IFERROR(INDEX('Lagerhaltung (freiwillig)'!$EI$4:$EI$8,5),"")</f>
        <v>0</v>
      </c>
      <c r="AB12" s="91"/>
      <c r="AC12" s="91">
        <f>IFERROR(INDEX('Lagerhaltung (freiwillig)'!$DJ$4:$DJ$8,5),"")</f>
        <v>0</v>
      </c>
      <c r="AD12" s="91">
        <f>IFERROR(INDEX('Lagerhaltung (freiwillig)'!$EJ$4:$EJ$8,5),"")</f>
        <v>0</v>
      </c>
      <c r="AE12" s="91"/>
      <c r="AF12" s="91">
        <f>IFERROR(INDEX('Lagerhaltung (freiwillig)'!$DK$4:$DK$8,5),"")</f>
        <v>0</v>
      </c>
      <c r="AG12" s="91">
        <f>IFERROR(INDEX('Lagerhaltung (freiwillig)'!$EK$4:$EK$8,5),"")</f>
        <v>0</v>
      </c>
      <c r="AH12" s="91"/>
      <c r="AI12" s="91">
        <f>IFERROR(INDEX('Lagerhaltung (freiwillig)'!$DL$4:$DL$8,5),"")</f>
        <v>0</v>
      </c>
      <c r="AJ12" s="91">
        <f>IFERROR(INDEX('Lagerhaltung (freiwillig)'!$EL$4:$EL$8,5),"")</f>
        <v>0</v>
      </c>
      <c r="AK12" s="91"/>
      <c r="AL12" s="91">
        <f>IFERROR(INDEX('Lagerhaltung (freiwillig)'!$DM$4:$DM$8,5),"")</f>
        <v>0</v>
      </c>
      <c r="AM12" s="91">
        <f>IFERROR(INDEX('Lagerhaltung (freiwillig)'!$EM$4:$EM$8,5),"")</f>
        <v>0</v>
      </c>
    </row>
    <row r="14" spans="1:40" x14ac:dyDescent="0.2">
      <c r="A14" s="1335" t="s">
        <v>895</v>
      </c>
    </row>
    <row r="15" spans="1:40" x14ac:dyDescent="0.2">
      <c r="B15" s="852" t="s">
        <v>246</v>
      </c>
      <c r="D15" s="852"/>
      <c r="E15" s="852" t="s">
        <v>925</v>
      </c>
      <c r="F15" s="852"/>
      <c r="G15" s="852"/>
      <c r="H15" s="852" t="s">
        <v>926</v>
      </c>
      <c r="I15" s="852"/>
      <c r="J15" s="852"/>
      <c r="K15" s="852" t="s">
        <v>927</v>
      </c>
      <c r="L15" s="852"/>
      <c r="M15" s="852"/>
      <c r="N15" s="852" t="s">
        <v>928</v>
      </c>
      <c r="O15" s="852"/>
      <c r="P15" s="852"/>
      <c r="Q15" s="852" t="s">
        <v>1022</v>
      </c>
      <c r="R15" s="852"/>
      <c r="S15" s="852"/>
      <c r="T15" s="852" t="s">
        <v>1023</v>
      </c>
      <c r="U15" s="852"/>
      <c r="V15" s="852"/>
      <c r="W15" s="852" t="s">
        <v>931</v>
      </c>
      <c r="X15" s="852"/>
      <c r="Y15" s="852"/>
      <c r="Z15" s="852" t="s">
        <v>932</v>
      </c>
      <c r="AA15" s="852"/>
      <c r="AB15" s="852"/>
      <c r="AC15" s="852" t="s">
        <v>933</v>
      </c>
      <c r="AD15" s="852"/>
      <c r="AE15" s="852"/>
      <c r="AF15" s="852" t="s">
        <v>934</v>
      </c>
      <c r="AG15" s="852"/>
      <c r="AH15" s="852"/>
      <c r="AI15" s="852" t="s">
        <v>935</v>
      </c>
      <c r="AJ15" s="852"/>
      <c r="AK15" s="852"/>
      <c r="AL15" s="852" t="s">
        <v>936</v>
      </c>
      <c r="AM15" s="852"/>
    </row>
    <row r="16" spans="1:40" x14ac:dyDescent="0.2">
      <c r="A16" s="852"/>
      <c r="B16" s="852"/>
      <c r="C16" s="852" t="s">
        <v>1106</v>
      </c>
      <c r="E16" s="852" t="s">
        <v>1104</v>
      </c>
      <c r="F16" t="s">
        <v>1105</v>
      </c>
      <c r="H16" s="852" t="s">
        <v>1104</v>
      </c>
      <c r="I16" t="s">
        <v>1105</v>
      </c>
      <c r="K16" s="852" t="s">
        <v>1104</v>
      </c>
      <c r="L16" t="s">
        <v>1105</v>
      </c>
      <c r="N16" s="852" t="s">
        <v>1104</v>
      </c>
      <c r="O16" t="s">
        <v>1105</v>
      </c>
      <c r="Q16" s="852" t="s">
        <v>1104</v>
      </c>
      <c r="R16" t="s">
        <v>1105</v>
      </c>
      <c r="T16" s="852" t="s">
        <v>1104</v>
      </c>
      <c r="U16" t="s">
        <v>1105</v>
      </c>
      <c r="W16" s="852" t="s">
        <v>1104</v>
      </c>
      <c r="X16" t="s">
        <v>1105</v>
      </c>
      <c r="Z16" s="852" t="s">
        <v>1104</v>
      </c>
      <c r="AA16" t="s">
        <v>1105</v>
      </c>
      <c r="AC16" s="852" t="s">
        <v>1104</v>
      </c>
      <c r="AD16" t="s">
        <v>1105</v>
      </c>
      <c r="AF16" s="852" t="s">
        <v>1104</v>
      </c>
      <c r="AG16" t="s">
        <v>1105</v>
      </c>
      <c r="AI16" s="852" t="s">
        <v>1104</v>
      </c>
      <c r="AJ16" t="s">
        <v>1105</v>
      </c>
      <c r="AL16" s="852" t="s">
        <v>1104</v>
      </c>
      <c r="AM16" t="s">
        <v>1105</v>
      </c>
    </row>
    <row r="17" spans="1:39" x14ac:dyDescent="0.2">
      <c r="A17" s="91" t="s">
        <v>1109</v>
      </c>
      <c r="C17" s="91">
        <f>IFERROR(INDEX('Lagerhaltung (freiwillig)'!$FP$4:$FP$9,2),"")</f>
        <v>0</v>
      </c>
      <c r="D17" s="91"/>
      <c r="E17" s="91">
        <f>IFERROR(INDEX('Lagerhaltung (freiwillig)'!$DO$4:$DO$8,2),"")</f>
        <v>0</v>
      </c>
      <c r="F17" s="91">
        <f>IFERROR(INDEX('Lagerhaltung (freiwillig)'!$EO$4:$EO$8,2),"")</f>
        <v>0</v>
      </c>
      <c r="G17" s="91"/>
      <c r="H17" s="91">
        <f>IFERROR(INDEX('Lagerhaltung (freiwillig)'!$DP$4:$DP$8,2),"")</f>
        <v>0</v>
      </c>
      <c r="I17" s="91">
        <f>IFERROR(INDEX('Lagerhaltung (freiwillig)'!$EP$4:$EP$8,2),"")</f>
        <v>0</v>
      </c>
      <c r="J17" s="91"/>
      <c r="K17" s="91">
        <f>IFERROR(INDEX('Lagerhaltung (freiwillig)'!$DQ$4:$DQ$8,2),"")</f>
        <v>0</v>
      </c>
      <c r="L17" s="91">
        <f>IFERROR(INDEX('Lagerhaltung (freiwillig)'!$EQ$4:$EQ$8,2),"")</f>
        <v>0</v>
      </c>
      <c r="M17" s="91"/>
      <c r="N17" s="91">
        <f>IFERROR(INDEX('Lagerhaltung (freiwillig)'!$DR$4:$DR$8,2),"")</f>
        <v>0</v>
      </c>
      <c r="O17" s="91">
        <f>IFERROR(INDEX('Lagerhaltung (freiwillig)'!$ER$4:$ER$8,2),"")</f>
        <v>0</v>
      </c>
      <c r="P17" s="91"/>
      <c r="Q17" s="91">
        <f>IFERROR(INDEX('Lagerhaltung (freiwillig)'!$DS$4:$DS$8,2),"")</f>
        <v>0</v>
      </c>
      <c r="R17" s="91">
        <f>IFERROR(INDEX('Lagerhaltung (freiwillig)'!$ES$4:$ES$8,2),"")</f>
        <v>0</v>
      </c>
      <c r="S17" s="91"/>
      <c r="T17" s="91">
        <f>IFERROR(INDEX('Lagerhaltung (freiwillig)'!$DT$4:$DT$8,2),"")</f>
        <v>0</v>
      </c>
      <c r="U17" s="91">
        <f>IFERROR(INDEX('Lagerhaltung (freiwillig)'!$ET$4:$ET$8,2),"")</f>
        <v>0</v>
      </c>
      <c r="V17" s="91"/>
      <c r="W17" s="91">
        <f>IFERROR(INDEX('Lagerhaltung (freiwillig)'!$DU$4:$DU$8,2),"")</f>
        <v>0</v>
      </c>
      <c r="X17" s="91">
        <f>IFERROR(INDEX('Lagerhaltung (freiwillig)'!$EU$4:$EU$8,2),"")</f>
        <v>0</v>
      </c>
      <c r="Y17" s="91"/>
      <c r="Z17" s="91">
        <f>IFERROR(INDEX('Lagerhaltung (freiwillig)'!$DV$4:$DV$8,2),"")</f>
        <v>0</v>
      </c>
      <c r="AA17" s="91">
        <f>IFERROR(INDEX('Lagerhaltung (freiwillig)'!$EV$4:$EV$8,2),"")</f>
        <v>0</v>
      </c>
      <c r="AB17" s="91"/>
      <c r="AC17" s="91">
        <f>IFERROR(INDEX('Lagerhaltung (freiwillig)'!$DW$4:$DW$8,2),"")</f>
        <v>0</v>
      </c>
      <c r="AD17" s="91">
        <f>IFERROR(INDEX('Lagerhaltung (freiwillig)'!$EW$4:$EW$8,2),"")</f>
        <v>0</v>
      </c>
      <c r="AE17" s="91"/>
      <c r="AF17" s="91">
        <f>IFERROR(INDEX('Lagerhaltung (freiwillig)'!$DX$4:$DX$8,2),"")</f>
        <v>0</v>
      </c>
      <c r="AG17" s="91">
        <f>IFERROR(INDEX('Lagerhaltung (freiwillig)'!$EX$4:$EX$8,2),"")</f>
        <v>0</v>
      </c>
      <c r="AH17" s="91"/>
      <c r="AI17" s="91">
        <f>IFERROR(INDEX('Lagerhaltung (freiwillig)'!$DY$4:$DY$8,2),"")</f>
        <v>0</v>
      </c>
      <c r="AJ17" s="91">
        <f>IFERROR(INDEX('Lagerhaltung (freiwillig)'!$EY$4:$EY$8,2),"")</f>
        <v>0</v>
      </c>
      <c r="AK17" s="91"/>
      <c r="AL17" s="91">
        <f>IFERROR(INDEX('Lagerhaltung (freiwillig)'!$DZ$4:$DZ$8,2),"")</f>
        <v>0</v>
      </c>
      <c r="AM17" s="91">
        <f>IFERROR(INDEX('Lagerhaltung (freiwillig)'!$EZ$4:$EZ$8,2),"")</f>
        <v>0</v>
      </c>
    </row>
    <row r="18" spans="1:39" x14ac:dyDescent="0.2">
      <c r="A18" s="91" t="s">
        <v>1009</v>
      </c>
      <c r="C18" s="91">
        <f>IFERROR(INDEX('Lagerhaltung (freiwillig)'!$FP$4:$FP$9,4),"")</f>
        <v>0</v>
      </c>
      <c r="D18" s="91"/>
      <c r="E18" s="91">
        <f>IFERROR(INDEX('Lagerhaltung (freiwillig)'!$DO$4:$DO$8,4),"")</f>
        <v>0</v>
      </c>
      <c r="F18" s="91">
        <f>IFERROR(INDEX('Lagerhaltung (freiwillig)'!$EO$4:$EO$8,4),"")</f>
        <v>0</v>
      </c>
      <c r="G18" s="91"/>
      <c r="H18" s="91">
        <f>IFERROR(INDEX('Lagerhaltung (freiwillig)'!$DP$4:$DP$8,4),"")</f>
        <v>0</v>
      </c>
      <c r="I18" s="91">
        <f>IFERROR(INDEX('Lagerhaltung (freiwillig)'!$EP$4:$EP$8,4),"")</f>
        <v>0</v>
      </c>
      <c r="J18" s="91"/>
      <c r="K18" s="91">
        <f>IFERROR(INDEX('Lagerhaltung (freiwillig)'!$DQ$4:$DQ$8,4),"")</f>
        <v>0</v>
      </c>
      <c r="L18" s="91">
        <f>IFERROR(INDEX('Lagerhaltung (freiwillig)'!$EQ$4:$EQ$8,4),"")</f>
        <v>0</v>
      </c>
      <c r="M18" s="91"/>
      <c r="N18" s="91">
        <f>IFERROR(INDEX('Lagerhaltung (freiwillig)'!$DR$4:$DR$8,4),"")</f>
        <v>0</v>
      </c>
      <c r="O18" s="91">
        <f>IFERROR(INDEX('Lagerhaltung (freiwillig)'!$ER$4:$ER$8,4),"")</f>
        <v>0</v>
      </c>
      <c r="P18" s="91"/>
      <c r="Q18" s="91">
        <f>IFERROR(INDEX('Lagerhaltung (freiwillig)'!$DS$4:$DS$8,4),"")</f>
        <v>0</v>
      </c>
      <c r="R18" s="91">
        <f>IFERROR(INDEX('Lagerhaltung (freiwillig)'!$ES$4:$ES$8,4),"")</f>
        <v>0</v>
      </c>
      <c r="S18" s="91"/>
      <c r="T18" s="91">
        <f>IFERROR(INDEX('Lagerhaltung (freiwillig)'!$DT$4:$DT$8,4),"")</f>
        <v>0</v>
      </c>
      <c r="U18" s="91">
        <f>IFERROR(INDEX('Lagerhaltung (freiwillig)'!$ET$4:$ET$8,4),"")</f>
        <v>0</v>
      </c>
      <c r="V18" s="91"/>
      <c r="W18" s="91">
        <f>IFERROR(INDEX('Lagerhaltung (freiwillig)'!$DU$4:$DU$8,4),"")</f>
        <v>0</v>
      </c>
      <c r="X18" s="91">
        <f>IFERROR(INDEX('Lagerhaltung (freiwillig)'!$EU$4:$EU$8,4),"")</f>
        <v>0</v>
      </c>
      <c r="Y18" s="91"/>
      <c r="Z18" s="91">
        <f>IFERROR(INDEX('Lagerhaltung (freiwillig)'!$DV$4:$DV$8,4),"")</f>
        <v>0</v>
      </c>
      <c r="AA18" s="91">
        <f>IFERROR(INDEX('Lagerhaltung (freiwillig)'!$EV$4:$EV$8,4),"")</f>
        <v>0</v>
      </c>
      <c r="AB18" s="91"/>
      <c r="AC18" s="91">
        <f>IFERROR(INDEX('Lagerhaltung (freiwillig)'!$DW$4:$DW$8,4),"")</f>
        <v>0</v>
      </c>
      <c r="AD18" s="91">
        <f>IFERROR(INDEX('Lagerhaltung (freiwillig)'!$EW$4:$EW$8,4),"")</f>
        <v>0</v>
      </c>
      <c r="AE18" s="91"/>
      <c r="AF18" s="91">
        <f>IFERROR(INDEX('Lagerhaltung (freiwillig)'!$DX$4:$DX$8,4),"")</f>
        <v>0</v>
      </c>
      <c r="AG18" s="91">
        <f>IFERROR(INDEX('Lagerhaltung (freiwillig)'!$EX$4:$EX$8,4),"")</f>
        <v>0</v>
      </c>
      <c r="AH18" s="91"/>
      <c r="AI18" s="91">
        <f>IFERROR(INDEX('Lagerhaltung (freiwillig)'!$DY$4:$DY$8,4),"")</f>
        <v>0</v>
      </c>
      <c r="AJ18" s="91">
        <f>IFERROR(INDEX('Lagerhaltung (freiwillig)'!$EY$4:$EY$8,4),"")</f>
        <v>0</v>
      </c>
      <c r="AK18" s="91"/>
      <c r="AL18" s="91">
        <f>IFERROR(INDEX('Lagerhaltung (freiwillig)'!$DZ$4:$DZ$8,4),"")</f>
        <v>0</v>
      </c>
      <c r="AM18" s="91">
        <f>IFERROR(INDEX('Lagerhaltung (freiwillig)'!$EZ$4:$EZ$8,4),"")</f>
        <v>0</v>
      </c>
    </row>
    <row r="19" spans="1:39" x14ac:dyDescent="0.2">
      <c r="A19" s="91" t="s">
        <v>1110</v>
      </c>
      <c r="C19" s="91">
        <f>IFERROR(INDEX('Lagerhaltung (freiwillig)'!$FP$4:$FP$9,5),"")</f>
        <v>0</v>
      </c>
      <c r="D19" s="91"/>
      <c r="E19" s="91">
        <f>IFERROR(INDEX('Lagerhaltung (freiwillig)'!$DO$4:$DO$8,5),"")</f>
        <v>0</v>
      </c>
      <c r="F19" s="91">
        <f>IFERROR(INDEX('Lagerhaltung (freiwillig)'!$EO$4:$EO$8,5),"")</f>
        <v>0</v>
      </c>
      <c r="G19" s="91"/>
      <c r="H19" s="91">
        <f>IFERROR(INDEX('Lagerhaltung (freiwillig)'!$DP$4:$DP$8,5),"")</f>
        <v>0</v>
      </c>
      <c r="I19" s="91">
        <f>IFERROR(INDEX('Lagerhaltung (freiwillig)'!$EP$4:$EP$8,5),"")</f>
        <v>0</v>
      </c>
      <c r="J19" s="91"/>
      <c r="K19" s="91">
        <f>IFERROR(INDEX('Lagerhaltung (freiwillig)'!$DQ$4:$DQ$8,5),"")</f>
        <v>0</v>
      </c>
      <c r="L19" s="91">
        <f>IFERROR(INDEX('Lagerhaltung (freiwillig)'!$EQ$4:$EQ$8,5),"")</f>
        <v>0</v>
      </c>
      <c r="M19" s="91"/>
      <c r="N19" s="91">
        <f>IFERROR(INDEX('Lagerhaltung (freiwillig)'!$DR$4:$DR$8,5),"")</f>
        <v>0</v>
      </c>
      <c r="O19" s="91">
        <f>IFERROR(INDEX('Lagerhaltung (freiwillig)'!$ER$4:$ER$8,5),"")</f>
        <v>0</v>
      </c>
      <c r="P19" s="91"/>
      <c r="Q19" s="91">
        <f>IFERROR(INDEX('Lagerhaltung (freiwillig)'!$DS$4:$DS$8,5),"")</f>
        <v>0</v>
      </c>
      <c r="R19" s="91">
        <f>IFERROR(INDEX('Lagerhaltung (freiwillig)'!$ES$4:$ES$8,5),"")</f>
        <v>0</v>
      </c>
      <c r="S19" s="91"/>
      <c r="T19" s="91">
        <f>IFERROR(INDEX('Lagerhaltung (freiwillig)'!$DT$4:$DT$8,5),"")</f>
        <v>0</v>
      </c>
      <c r="U19" s="91">
        <f>IFERROR(INDEX('Lagerhaltung (freiwillig)'!$ET$4:$ET$8,5),"")</f>
        <v>0</v>
      </c>
      <c r="V19" s="91"/>
      <c r="W19" s="91">
        <f>IFERROR(INDEX('Lagerhaltung (freiwillig)'!$DU$4:$DU$8,5),"")</f>
        <v>0</v>
      </c>
      <c r="X19" s="91">
        <f>IFERROR(INDEX('Lagerhaltung (freiwillig)'!$EU$4:$EU$8,5),"")</f>
        <v>0</v>
      </c>
      <c r="Y19" s="91"/>
      <c r="Z19" s="91">
        <f>IFERROR(INDEX('Lagerhaltung (freiwillig)'!$DV$4:$DV$8,5),"")</f>
        <v>0</v>
      </c>
      <c r="AA19" s="91">
        <f>IFERROR(INDEX('Lagerhaltung (freiwillig)'!$EV$4:$EV$8,5),"")</f>
        <v>0</v>
      </c>
      <c r="AB19" s="91"/>
      <c r="AC19" s="91">
        <f>IFERROR(INDEX('Lagerhaltung (freiwillig)'!$DW$4:$DW$8,5),"")</f>
        <v>0</v>
      </c>
      <c r="AD19" s="91">
        <f>IFERROR(INDEX('Lagerhaltung (freiwillig)'!$EW$4:$EW$8,5),"")</f>
        <v>0</v>
      </c>
      <c r="AE19" s="91"/>
      <c r="AF19" s="91">
        <f>IFERROR(INDEX('Lagerhaltung (freiwillig)'!$DX$4:$DX$8,5),"")</f>
        <v>0</v>
      </c>
      <c r="AG19" s="91">
        <f>IFERROR(INDEX('Lagerhaltung (freiwillig)'!$EX$4:$EX$8,5),"")</f>
        <v>0</v>
      </c>
      <c r="AH19" s="91"/>
      <c r="AI19" s="91">
        <f>IFERROR(INDEX('Lagerhaltung (freiwillig)'!$DY$4:$DY$8,5),"")</f>
        <v>0</v>
      </c>
      <c r="AJ19" s="91">
        <f>IFERROR(INDEX('Lagerhaltung (freiwillig)'!$EY$4:$EY$8,5),"")</f>
        <v>0</v>
      </c>
      <c r="AK19" s="91"/>
      <c r="AL19" s="91">
        <f>IFERROR(INDEX('Lagerhaltung (freiwillig)'!$DZ$4:$DZ$8,5),"")</f>
        <v>0</v>
      </c>
      <c r="AM19" s="91">
        <f>IFERROR(INDEX('Lagerhaltung (freiwillig)'!$EZ$4:$EZ$8,5),"")</f>
        <v>0</v>
      </c>
    </row>
    <row r="21" spans="1:39" x14ac:dyDescent="0.2">
      <c r="A21" s="702"/>
      <c r="F21" s="702"/>
    </row>
    <row r="22" spans="1:39" x14ac:dyDescent="0.2">
      <c r="A22" s="702"/>
      <c r="C22" s="702" t="s">
        <v>593</v>
      </c>
      <c r="D22" s="702" t="s">
        <v>559</v>
      </c>
      <c r="F22" s="702"/>
    </row>
    <row r="23" spans="1:39" x14ac:dyDescent="0.2">
      <c r="A23" s="91" t="s">
        <v>1109</v>
      </c>
      <c r="B23" t="s">
        <v>4</v>
      </c>
      <c r="C23">
        <f>'Lagerhaltung (freiwillig)'!GY4</f>
        <v>0</v>
      </c>
      <c r="D23">
        <f>'Lagerhaltung (freiwillig)'!$GH$4</f>
        <v>0</v>
      </c>
    </row>
    <row r="24" spans="1:39" x14ac:dyDescent="0.2">
      <c r="A24" s="91"/>
      <c r="B24" s="852" t="s">
        <v>8852</v>
      </c>
      <c r="C24">
        <f>'Lagerhaltung (freiwillig)'!GY5</f>
        <v>0</v>
      </c>
      <c r="D24">
        <f>'Lagerhaltung (freiwillig)'!GI5</f>
        <v>0</v>
      </c>
    </row>
    <row r="25" spans="1:39" x14ac:dyDescent="0.2">
      <c r="A25" s="91"/>
    </row>
    <row r="26" spans="1:39" x14ac:dyDescent="0.2">
      <c r="A26" s="91" t="s">
        <v>1009</v>
      </c>
      <c r="B26" t="s">
        <v>4</v>
      </c>
      <c r="C26">
        <f>'Lagerhaltung (freiwillig)'!GY6</f>
        <v>0</v>
      </c>
      <c r="D26">
        <f>'Lagerhaltung (freiwillig)'!$GH$6</f>
        <v>0</v>
      </c>
    </row>
    <row r="27" spans="1:39" x14ac:dyDescent="0.2">
      <c r="A27" s="91"/>
      <c r="B27" s="852" t="s">
        <v>8852</v>
      </c>
      <c r="C27">
        <f>'Lagerhaltung (freiwillig)'!GY7</f>
        <v>0</v>
      </c>
      <c r="D27">
        <f>'Lagerhaltung (freiwillig)'!$GI$7</f>
        <v>0</v>
      </c>
    </row>
    <row r="28" spans="1:39" x14ac:dyDescent="0.2">
      <c r="A28" s="91"/>
    </row>
    <row r="29" spans="1:39" x14ac:dyDescent="0.2">
      <c r="A29" s="91" t="s">
        <v>1110</v>
      </c>
      <c r="B29" t="s">
        <v>4</v>
      </c>
      <c r="D29">
        <f>'Lagerhaltung (freiwillig)'!$GH$8</f>
        <v>0</v>
      </c>
    </row>
    <row r="30" spans="1:39" x14ac:dyDescent="0.2">
      <c r="B30" s="852" t="s">
        <v>8852</v>
      </c>
      <c r="D30">
        <f>'Lagerhaltung (freiwillig)'!$GI$8</f>
        <v>0</v>
      </c>
    </row>
  </sheetData>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6"/>
  <dimension ref="A1:L61"/>
  <sheetViews>
    <sheetView topLeftCell="A4" workbookViewId="0"/>
  </sheetViews>
  <sheetFormatPr baseColWidth="10" defaultRowHeight="12.75" x14ac:dyDescent="0.2"/>
  <cols>
    <col min="1" max="1" width="0.85546875" customWidth="1"/>
    <col min="2" max="2" width="35.28515625" customWidth="1"/>
    <col min="3" max="3" width="11.140625" customWidth="1"/>
    <col min="4" max="4" width="12.28515625" customWidth="1"/>
    <col min="5" max="5" width="11.5703125" customWidth="1"/>
    <col min="6" max="8" width="11.140625" customWidth="1"/>
    <col min="10" max="10" width="11.140625" customWidth="1"/>
  </cols>
  <sheetData>
    <row r="1" spans="1:12" x14ac:dyDescent="0.2">
      <c r="A1" s="728" t="s">
        <v>986</v>
      </c>
      <c r="B1" s="727"/>
      <c r="C1" s="728"/>
      <c r="D1" s="728"/>
      <c r="E1" s="728"/>
      <c r="F1" s="728"/>
      <c r="G1" s="728"/>
      <c r="H1" s="728"/>
      <c r="I1" s="728"/>
      <c r="J1" s="728"/>
    </row>
    <row r="2" spans="1:12" x14ac:dyDescent="0.2">
      <c r="A2" s="799" t="s">
        <v>987</v>
      </c>
      <c r="B2" s="727"/>
      <c r="C2" s="727"/>
      <c r="D2" s="728"/>
      <c r="E2" s="728"/>
      <c r="F2" s="728"/>
      <c r="G2" s="728"/>
      <c r="H2" s="728"/>
      <c r="I2" s="728"/>
      <c r="J2" s="728"/>
    </row>
    <row r="3" spans="1:12" x14ac:dyDescent="0.2">
      <c r="A3" s="727"/>
      <c r="B3" s="728" t="s">
        <v>945</v>
      </c>
      <c r="C3" s="728"/>
      <c r="D3" s="728"/>
      <c r="E3" s="728"/>
      <c r="F3" s="728"/>
      <c r="G3" s="728"/>
      <c r="H3" s="728"/>
      <c r="I3" s="728"/>
      <c r="J3" s="728"/>
      <c r="L3" s="702" t="s">
        <v>21</v>
      </c>
    </row>
    <row r="4" spans="1:12" ht="13.5" thickBot="1" x14ac:dyDescent="0.25">
      <c r="A4" s="727"/>
      <c r="B4" s="728"/>
      <c r="C4" s="728"/>
      <c r="D4" s="728"/>
      <c r="E4" s="728"/>
      <c r="F4" s="728"/>
      <c r="G4" s="728"/>
      <c r="H4" s="728"/>
      <c r="I4" s="728"/>
      <c r="J4" s="728"/>
      <c r="K4" t="s">
        <v>8136</v>
      </c>
      <c r="L4" s="702" t="s">
        <v>200</v>
      </c>
    </row>
    <row r="5" spans="1:12" x14ac:dyDescent="0.2">
      <c r="A5" s="800"/>
      <c r="B5" s="729" t="s">
        <v>231</v>
      </c>
      <c r="C5" s="730" t="s">
        <v>946</v>
      </c>
      <c r="D5" s="731"/>
      <c r="E5" s="731"/>
      <c r="F5" s="731"/>
      <c r="G5" s="731"/>
      <c r="H5" s="732"/>
      <c r="I5" s="733"/>
      <c r="J5" s="734"/>
      <c r="K5" t="s">
        <v>8251</v>
      </c>
      <c r="L5" s="702" t="s">
        <v>990</v>
      </c>
    </row>
    <row r="6" spans="1:12" ht="15" thickBot="1" x14ac:dyDescent="0.3">
      <c r="A6" s="801"/>
      <c r="B6" s="735"/>
      <c r="C6" s="736" t="s">
        <v>4</v>
      </c>
      <c r="D6" s="737" t="s">
        <v>684</v>
      </c>
      <c r="E6" s="736" t="s">
        <v>895</v>
      </c>
      <c r="F6" s="736" t="s">
        <v>685</v>
      </c>
      <c r="G6" s="738" t="s">
        <v>896</v>
      </c>
      <c r="H6" s="737" t="s">
        <v>892</v>
      </c>
      <c r="I6" s="739" t="s">
        <v>947</v>
      </c>
      <c r="J6" s="848" t="s">
        <v>231</v>
      </c>
      <c r="K6" s="803" t="s">
        <v>8250</v>
      </c>
      <c r="L6" s="803" t="s">
        <v>991</v>
      </c>
    </row>
    <row r="7" spans="1:12" x14ac:dyDescent="0.2">
      <c r="A7" s="802"/>
      <c r="B7" s="740" t="s">
        <v>21</v>
      </c>
      <c r="C7" s="741"/>
      <c r="D7" s="742"/>
      <c r="E7" s="741"/>
      <c r="F7" s="741"/>
      <c r="G7" s="743"/>
      <c r="H7" s="742"/>
      <c r="I7" s="744"/>
      <c r="J7" s="738">
        <v>0</v>
      </c>
      <c r="K7" s="1275">
        <v>0.5</v>
      </c>
      <c r="L7" s="702" t="s">
        <v>992</v>
      </c>
    </row>
    <row r="8" spans="1:12" x14ac:dyDescent="0.2">
      <c r="A8" s="802"/>
      <c r="B8" s="745" t="s">
        <v>47</v>
      </c>
      <c r="C8" s="983">
        <v>2.7</v>
      </c>
      <c r="D8" s="982">
        <v>1.49</v>
      </c>
      <c r="E8" s="984">
        <v>0.65</v>
      </c>
      <c r="F8" s="746">
        <v>0.28999999999999998</v>
      </c>
      <c r="G8" s="747">
        <v>0.24066390041493774</v>
      </c>
      <c r="H8" s="748">
        <v>0.06</v>
      </c>
      <c r="I8" s="749">
        <v>0.17</v>
      </c>
      <c r="J8" s="750">
        <v>1</v>
      </c>
      <c r="K8" s="1275">
        <v>0.56000000000000005</v>
      </c>
    </row>
    <row r="9" spans="1:12" x14ac:dyDescent="0.2">
      <c r="A9" s="802"/>
      <c r="B9" s="745" t="s">
        <v>949</v>
      </c>
      <c r="C9" s="983">
        <v>2.56</v>
      </c>
      <c r="D9" s="982">
        <v>1.17</v>
      </c>
      <c r="E9" s="984">
        <v>0.51</v>
      </c>
      <c r="F9" s="746">
        <v>0.24</v>
      </c>
      <c r="G9" s="747">
        <v>0.19917012448132779</v>
      </c>
      <c r="H9" s="985">
        <v>4.9689440993788817E-2</v>
      </c>
      <c r="I9" s="986">
        <v>0.17414965986394559</v>
      </c>
      <c r="J9" s="751">
        <v>2</v>
      </c>
      <c r="K9" s="1275">
        <v>0.79</v>
      </c>
    </row>
    <row r="10" spans="1:12" x14ac:dyDescent="0.2">
      <c r="A10" s="802"/>
      <c r="B10" s="745" t="s">
        <v>966</v>
      </c>
      <c r="C10" s="983">
        <v>2.6</v>
      </c>
      <c r="D10" s="982">
        <v>1.37</v>
      </c>
      <c r="E10" s="984">
        <v>0.6</v>
      </c>
      <c r="F10" s="746">
        <v>0.24096385542168677</v>
      </c>
      <c r="G10" s="747">
        <v>0.19997000449932512</v>
      </c>
      <c r="H10" s="985">
        <v>4.9888996981715686E-2</v>
      </c>
      <c r="I10" s="986">
        <v>0.17687074829931973</v>
      </c>
      <c r="J10" s="751">
        <v>4</v>
      </c>
      <c r="K10" s="1275">
        <v>0.48</v>
      </c>
    </row>
    <row r="11" spans="1:12" x14ac:dyDescent="0.2">
      <c r="A11" s="802"/>
      <c r="B11" s="745" t="s">
        <v>955</v>
      </c>
      <c r="C11" s="983">
        <v>2.6</v>
      </c>
      <c r="D11" s="982">
        <v>1.37</v>
      </c>
      <c r="E11" s="984">
        <v>0.6</v>
      </c>
      <c r="F11" s="746">
        <v>0.28915662650602408</v>
      </c>
      <c r="G11" s="747">
        <v>0.23996400539919011</v>
      </c>
      <c r="H11" s="985">
        <v>5.9866796378058813E-2</v>
      </c>
      <c r="I11" s="986">
        <v>0.17687074829931973</v>
      </c>
      <c r="J11" s="751">
        <v>5</v>
      </c>
      <c r="K11" s="1275">
        <v>0.48</v>
      </c>
    </row>
    <row r="12" spans="1:12" x14ac:dyDescent="0.2">
      <c r="A12" s="802"/>
      <c r="B12" s="745" t="s">
        <v>8218</v>
      </c>
      <c r="C12" s="983">
        <v>3</v>
      </c>
      <c r="D12" s="982">
        <v>1.74</v>
      </c>
      <c r="E12" s="987">
        <v>0.76</v>
      </c>
      <c r="F12" s="746">
        <v>0.24</v>
      </c>
      <c r="G12" s="747">
        <v>0.19917012448132779</v>
      </c>
      <c r="H12" s="985">
        <v>4.9689440993788817E-2</v>
      </c>
      <c r="I12" s="986">
        <v>0.20408163265306123</v>
      </c>
      <c r="J12" s="751">
        <v>6</v>
      </c>
      <c r="K12" s="1275">
        <v>1</v>
      </c>
    </row>
    <row r="13" spans="1:12" x14ac:dyDescent="0.2">
      <c r="A13" s="802"/>
      <c r="B13" s="745" t="s">
        <v>957</v>
      </c>
      <c r="C13" s="983">
        <v>3</v>
      </c>
      <c r="D13" s="982">
        <v>1.49</v>
      </c>
      <c r="E13" s="984">
        <v>0.65</v>
      </c>
      <c r="F13" s="746">
        <v>0.3</v>
      </c>
      <c r="G13" s="747">
        <v>0.24896265560165973</v>
      </c>
      <c r="H13" s="985">
        <v>6.2111801242236024E-2</v>
      </c>
      <c r="I13" s="986">
        <v>0.20408163265306123</v>
      </c>
      <c r="J13" s="751">
        <v>7</v>
      </c>
      <c r="K13" s="1275">
        <v>1</v>
      </c>
    </row>
    <row r="14" spans="1:12" x14ac:dyDescent="0.2">
      <c r="A14" s="802"/>
      <c r="B14" s="745" t="s">
        <v>950</v>
      </c>
      <c r="C14" s="983">
        <v>3.5</v>
      </c>
      <c r="D14" s="982">
        <v>1.28</v>
      </c>
      <c r="E14" s="984">
        <v>0.56000000000000005</v>
      </c>
      <c r="F14" s="746">
        <v>0.3</v>
      </c>
      <c r="G14" s="747">
        <v>0.24896265560165973</v>
      </c>
      <c r="H14" s="985">
        <v>6.2111801242236024E-2</v>
      </c>
      <c r="I14" s="986">
        <v>0.23809523809523811</v>
      </c>
      <c r="J14" s="751">
        <v>3</v>
      </c>
      <c r="K14" s="1275">
        <v>1</v>
      </c>
    </row>
    <row r="15" spans="1:12" x14ac:dyDescent="0.2">
      <c r="A15" s="802"/>
      <c r="B15" s="745" t="s">
        <v>951</v>
      </c>
      <c r="C15" s="983">
        <v>3</v>
      </c>
      <c r="D15" s="982">
        <v>0.92</v>
      </c>
      <c r="E15" s="984">
        <v>0.4</v>
      </c>
      <c r="F15" s="746">
        <v>0.31</v>
      </c>
      <c r="G15" s="747">
        <v>0.25726141078838172</v>
      </c>
      <c r="H15" s="985">
        <v>6.4182194616977231E-2</v>
      </c>
      <c r="I15" s="986">
        <v>0.20408163265306123</v>
      </c>
      <c r="J15" s="751">
        <v>3</v>
      </c>
      <c r="K15" s="1275">
        <v>1</v>
      </c>
    </row>
    <row r="16" spans="1:12" x14ac:dyDescent="0.2">
      <c r="A16" s="802"/>
      <c r="B16" s="745" t="s">
        <v>952</v>
      </c>
      <c r="C16" s="983">
        <v>3.3</v>
      </c>
      <c r="D16" s="982">
        <v>1.17</v>
      </c>
      <c r="E16" s="987">
        <v>0.51</v>
      </c>
      <c r="F16" s="746">
        <v>0.3</v>
      </c>
      <c r="G16" s="747">
        <v>0.24896265560165973</v>
      </c>
      <c r="H16" s="985">
        <v>6.2111801242236024E-2</v>
      </c>
      <c r="I16" s="986">
        <v>0.22448979591836735</v>
      </c>
      <c r="J16" s="751">
        <v>3</v>
      </c>
      <c r="K16" s="1275">
        <v>1</v>
      </c>
    </row>
    <row r="17" spans="1:11" x14ac:dyDescent="0.2">
      <c r="A17" s="802"/>
      <c r="B17" s="745" t="s">
        <v>954</v>
      </c>
      <c r="C17" s="983">
        <v>3</v>
      </c>
      <c r="D17" s="982">
        <v>1.1499999999999999</v>
      </c>
      <c r="E17" s="987">
        <v>0.5</v>
      </c>
      <c r="F17" s="746">
        <v>0.3</v>
      </c>
      <c r="G17" s="747">
        <v>0.24896265560165973</v>
      </c>
      <c r="H17" s="985">
        <v>6.2111801242236024E-2</v>
      </c>
      <c r="I17" s="986">
        <v>0.20408163265306123</v>
      </c>
      <c r="J17" s="751">
        <v>3</v>
      </c>
      <c r="K17" s="1275">
        <v>1</v>
      </c>
    </row>
    <row r="18" spans="1:11" x14ac:dyDescent="0.2">
      <c r="A18" s="802"/>
      <c r="B18" s="745" t="s">
        <v>953</v>
      </c>
      <c r="C18" s="983">
        <v>3</v>
      </c>
      <c r="D18" s="982">
        <v>1.21</v>
      </c>
      <c r="E18" s="984">
        <v>0.53</v>
      </c>
      <c r="F18" s="746">
        <v>0.3</v>
      </c>
      <c r="G18" s="747">
        <v>0.24896265560165973</v>
      </c>
      <c r="H18" s="985">
        <v>6.2111801242236024E-2</v>
      </c>
      <c r="I18" s="986">
        <v>0.20408163265306123</v>
      </c>
      <c r="J18" s="751">
        <v>3</v>
      </c>
      <c r="K18" s="1275">
        <v>1</v>
      </c>
    </row>
    <row r="19" spans="1:11" ht="13.5" thickBot="1" x14ac:dyDescent="0.25">
      <c r="A19" s="802"/>
      <c r="B19" s="752" t="s">
        <v>958</v>
      </c>
      <c r="C19" s="988">
        <v>2.6</v>
      </c>
      <c r="D19" s="989">
        <v>1.37</v>
      </c>
      <c r="E19" s="990">
        <v>0.06</v>
      </c>
      <c r="F19" s="753">
        <v>0.24</v>
      </c>
      <c r="G19" s="754">
        <v>0.19917012448132779</v>
      </c>
      <c r="H19" s="991">
        <v>4.9689440993788817E-2</v>
      </c>
      <c r="I19" s="992">
        <v>0.17687074829931973</v>
      </c>
      <c r="J19" s="751">
        <v>8</v>
      </c>
      <c r="K19" s="1275">
        <v>0.48</v>
      </c>
    </row>
    <row r="20" spans="1:11" ht="13.5" thickBot="1" x14ac:dyDescent="0.25">
      <c r="A20" s="29"/>
      <c r="B20" s="727"/>
      <c r="C20" s="755"/>
      <c r="D20" s="755"/>
      <c r="E20" s="755"/>
      <c r="F20" s="727"/>
      <c r="G20" s="727"/>
      <c r="H20" s="727"/>
      <c r="I20" s="727"/>
      <c r="J20" s="727"/>
    </row>
    <row r="21" spans="1:11" x14ac:dyDescent="0.2">
      <c r="A21" s="800"/>
      <c r="B21" s="756"/>
      <c r="C21" s="757" t="s">
        <v>959</v>
      </c>
      <c r="D21" s="758"/>
      <c r="E21" s="758"/>
      <c r="F21" s="759"/>
      <c r="G21" s="727"/>
      <c r="H21" s="727"/>
      <c r="I21" s="727"/>
      <c r="J21" s="727"/>
    </row>
    <row r="22" spans="1:11" x14ac:dyDescent="0.2">
      <c r="A22" s="802"/>
      <c r="B22" s="728"/>
      <c r="C22" s="738" t="s">
        <v>960</v>
      </c>
      <c r="D22" s="738"/>
      <c r="E22" s="738"/>
      <c r="F22" s="744"/>
      <c r="G22" s="29"/>
      <c r="H22" s="29"/>
      <c r="I22" s="29"/>
      <c r="J22" s="29"/>
    </row>
    <row r="23" spans="1:11" ht="13.5" thickBot="1" x14ac:dyDescent="0.25">
      <c r="A23" s="801"/>
      <c r="B23" s="735"/>
      <c r="C23" s="760" t="s">
        <v>961</v>
      </c>
      <c r="D23" s="737" t="s">
        <v>962</v>
      </c>
      <c r="E23" s="737" t="s">
        <v>963</v>
      </c>
      <c r="F23" s="739" t="s">
        <v>964</v>
      </c>
      <c r="G23" s="29"/>
      <c r="H23" s="1270" t="s">
        <v>8250</v>
      </c>
      <c r="I23" s="29"/>
      <c r="J23" s="29"/>
    </row>
    <row r="24" spans="1:11" x14ac:dyDescent="0.2">
      <c r="A24" s="802"/>
      <c r="B24" s="745" t="s">
        <v>965</v>
      </c>
      <c r="C24" s="761"/>
      <c r="D24" s="762">
        <v>56</v>
      </c>
      <c r="E24" s="762">
        <v>54</v>
      </c>
      <c r="F24" s="763">
        <v>46</v>
      </c>
      <c r="G24" s="29"/>
      <c r="H24" s="1270" t="s">
        <v>8251</v>
      </c>
      <c r="I24" s="29"/>
      <c r="J24" s="29"/>
    </row>
    <row r="25" spans="1:11" x14ac:dyDescent="0.2">
      <c r="A25" s="802"/>
      <c r="B25" s="745" t="s">
        <v>948</v>
      </c>
      <c r="C25" s="761"/>
      <c r="D25" s="762">
        <v>58</v>
      </c>
      <c r="E25" s="762">
        <v>56</v>
      </c>
      <c r="F25" s="763">
        <v>50</v>
      </c>
      <c r="G25" s="29"/>
      <c r="H25" s="29"/>
      <c r="I25" s="29"/>
      <c r="J25" s="29"/>
    </row>
    <row r="26" spans="1:11" x14ac:dyDescent="0.2">
      <c r="A26" s="802"/>
      <c r="B26" s="745" t="s">
        <v>949</v>
      </c>
      <c r="C26" s="764">
        <v>79</v>
      </c>
      <c r="D26" s="765"/>
      <c r="E26" s="765"/>
      <c r="F26" s="766"/>
      <c r="G26" s="29"/>
      <c r="H26" s="29"/>
      <c r="I26" s="29"/>
      <c r="J26" s="29"/>
    </row>
    <row r="27" spans="1:11" x14ac:dyDescent="0.2">
      <c r="A27" s="802"/>
      <c r="B27" s="745" t="s">
        <v>966</v>
      </c>
      <c r="C27" s="764">
        <v>48</v>
      </c>
      <c r="D27" s="765"/>
      <c r="E27" s="765"/>
      <c r="F27" s="766"/>
      <c r="G27" s="29"/>
      <c r="H27" s="29"/>
      <c r="I27" s="29"/>
      <c r="J27" s="29"/>
    </row>
    <row r="28" spans="1:11" ht="13.5" thickBot="1" x14ac:dyDescent="0.25">
      <c r="A28" s="801"/>
      <c r="B28" s="752" t="s">
        <v>955</v>
      </c>
      <c r="C28" s="767">
        <v>48</v>
      </c>
      <c r="D28" s="768"/>
      <c r="E28" s="768"/>
      <c r="F28" s="769"/>
      <c r="G28" s="29"/>
      <c r="H28" s="29"/>
      <c r="I28" s="29"/>
      <c r="J28" s="29"/>
    </row>
    <row r="29" spans="1:11" x14ac:dyDescent="0.2">
      <c r="A29" s="29"/>
      <c r="B29" s="727"/>
      <c r="C29" s="727"/>
      <c r="D29" s="727"/>
      <c r="E29" s="727"/>
      <c r="F29" s="29"/>
      <c r="G29" s="29"/>
      <c r="H29" s="29"/>
      <c r="I29" s="29"/>
      <c r="J29" s="29"/>
    </row>
    <row r="30" spans="1:11" x14ac:dyDescent="0.2">
      <c r="A30" s="29"/>
      <c r="B30" s="727"/>
      <c r="C30" s="727"/>
      <c r="D30" s="727"/>
      <c r="E30" s="727"/>
      <c r="F30" s="29"/>
      <c r="G30" s="29"/>
      <c r="H30" s="29"/>
      <c r="I30" s="29"/>
      <c r="J30" s="29"/>
    </row>
    <row r="31" spans="1:11" x14ac:dyDescent="0.2">
      <c r="A31" s="29"/>
      <c r="B31" s="728" t="s">
        <v>967</v>
      </c>
      <c r="C31" s="728"/>
      <c r="D31" s="728"/>
      <c r="E31" s="727"/>
      <c r="F31" s="29"/>
      <c r="G31" s="29"/>
      <c r="H31" s="29"/>
      <c r="I31" s="29"/>
      <c r="J31" s="29"/>
    </row>
    <row r="32" spans="1:11" ht="13.5" thickBot="1" x14ac:dyDescent="0.25">
      <c r="A32" s="29"/>
      <c r="B32" s="727"/>
      <c r="C32" s="727"/>
      <c r="D32" s="727"/>
      <c r="E32" s="727"/>
      <c r="F32" s="29"/>
      <c r="G32" s="29"/>
      <c r="H32" s="29"/>
      <c r="I32" s="29"/>
      <c r="J32" s="29"/>
    </row>
    <row r="33" spans="1:12" x14ac:dyDescent="0.2">
      <c r="A33" s="800"/>
      <c r="B33" s="993" t="s">
        <v>968</v>
      </c>
      <c r="C33" s="994" t="s">
        <v>8172</v>
      </c>
      <c r="D33" s="995" t="s">
        <v>969</v>
      </c>
      <c r="E33" s="996"/>
      <c r="F33" s="996"/>
      <c r="G33" s="996"/>
      <c r="H33" s="756"/>
      <c r="I33" s="756"/>
      <c r="J33" s="759"/>
      <c r="K33" s="770" t="s">
        <v>970</v>
      </c>
    </row>
    <row r="34" spans="1:12" ht="15" thickBot="1" x14ac:dyDescent="0.3">
      <c r="A34" s="801"/>
      <c r="B34" s="997"/>
      <c r="C34" s="998" t="s">
        <v>2</v>
      </c>
      <c r="D34" s="999" t="s">
        <v>4</v>
      </c>
      <c r="E34" s="999" t="s">
        <v>8141</v>
      </c>
      <c r="F34" s="742" t="s">
        <v>895</v>
      </c>
      <c r="G34" s="1000" t="s">
        <v>8142</v>
      </c>
      <c r="H34" s="742" t="s">
        <v>896</v>
      </c>
      <c r="I34" s="737" t="s">
        <v>892</v>
      </c>
      <c r="J34" s="1001" t="s">
        <v>947</v>
      </c>
      <c r="K34" s="1002" t="s">
        <v>475</v>
      </c>
      <c r="L34" s="702" t="s">
        <v>231</v>
      </c>
    </row>
    <row r="35" spans="1:12" ht="13.5" thickBot="1" x14ac:dyDescent="0.25">
      <c r="A35" s="802"/>
      <c r="B35" s="740" t="s">
        <v>21</v>
      </c>
      <c r="D35" s="773"/>
      <c r="E35" s="774"/>
      <c r="F35" s="775"/>
      <c r="G35" s="776"/>
      <c r="H35" s="775"/>
      <c r="I35" s="775"/>
      <c r="J35" s="777"/>
      <c r="K35" s="770"/>
      <c r="L35">
        <v>0</v>
      </c>
    </row>
    <row r="36" spans="1:12" x14ac:dyDescent="0.2">
      <c r="A36" s="802"/>
      <c r="B36" s="1003" t="s">
        <v>971</v>
      </c>
      <c r="C36" s="1004">
        <v>13.1</v>
      </c>
      <c r="D36" s="1005">
        <v>5</v>
      </c>
      <c r="E36" s="1005">
        <v>2.2999999999999998</v>
      </c>
      <c r="F36" s="1006">
        <v>1</v>
      </c>
      <c r="G36" s="1007">
        <v>1.8072289156626506</v>
      </c>
      <c r="H36" s="1008">
        <f t="shared" ref="H36:H41" si="0">+G36/1.205</f>
        <v>1.4997750337449383</v>
      </c>
      <c r="I36" s="1009">
        <v>0.2</v>
      </c>
      <c r="J36" s="1010">
        <f t="shared" ref="J36:J41" si="1">+D36/10</f>
        <v>0.5</v>
      </c>
      <c r="K36" s="1011">
        <v>24.4</v>
      </c>
      <c r="L36" s="849">
        <v>1</v>
      </c>
    </row>
    <row r="37" spans="1:12" x14ac:dyDescent="0.2">
      <c r="A37" s="802"/>
      <c r="B37" s="1003" t="s">
        <v>972</v>
      </c>
      <c r="C37" s="1004">
        <v>13.3</v>
      </c>
      <c r="D37" s="1012">
        <v>5.33</v>
      </c>
      <c r="E37" s="1013">
        <v>2.2999999999999998</v>
      </c>
      <c r="F37" s="1014">
        <v>1</v>
      </c>
      <c r="G37" s="778">
        <v>1.8072289156626506</v>
      </c>
      <c r="H37" s="779">
        <f t="shared" si="0"/>
        <v>1.4997750337449383</v>
      </c>
      <c r="I37" s="1009">
        <v>0.2</v>
      </c>
      <c r="J37" s="1015">
        <f t="shared" si="1"/>
        <v>0.53300000000000003</v>
      </c>
      <c r="K37" s="1016">
        <v>25.4</v>
      </c>
      <c r="L37" s="849">
        <v>1</v>
      </c>
    </row>
    <row r="38" spans="1:12" x14ac:dyDescent="0.2">
      <c r="A38" s="802"/>
      <c r="B38" s="1003" t="s">
        <v>973</v>
      </c>
      <c r="C38" s="1004">
        <v>13.5</v>
      </c>
      <c r="D38" s="1005">
        <v>5.6</v>
      </c>
      <c r="E38" s="1014">
        <v>2.2999999999999998</v>
      </c>
      <c r="F38" s="1014">
        <v>1</v>
      </c>
      <c r="G38" s="778">
        <v>1.8072289156626506</v>
      </c>
      <c r="H38" s="779">
        <f t="shared" si="0"/>
        <v>1.4997750337449383</v>
      </c>
      <c r="I38" s="1009">
        <v>0.2</v>
      </c>
      <c r="J38" s="1015">
        <f t="shared" si="1"/>
        <v>0.55999999999999994</v>
      </c>
      <c r="K38" s="1016">
        <v>26.5</v>
      </c>
      <c r="L38" s="849">
        <v>1</v>
      </c>
    </row>
    <row r="39" spans="1:12" x14ac:dyDescent="0.2">
      <c r="A39" s="802"/>
      <c r="B39" s="1003" t="s">
        <v>974</v>
      </c>
      <c r="C39" s="1004">
        <v>10.3</v>
      </c>
      <c r="D39" s="1005">
        <v>3.5</v>
      </c>
      <c r="E39" s="1014">
        <v>1.4</v>
      </c>
      <c r="F39" s="1014">
        <v>0.6</v>
      </c>
      <c r="G39" s="778">
        <v>0.6</v>
      </c>
      <c r="H39" s="779">
        <f t="shared" si="0"/>
        <v>0.49792531120331945</v>
      </c>
      <c r="I39" s="1009">
        <v>0.15</v>
      </c>
      <c r="J39" s="1015">
        <f t="shared" si="1"/>
        <v>0.35</v>
      </c>
      <c r="K39" s="1016">
        <v>21.7</v>
      </c>
      <c r="L39" s="849">
        <v>6</v>
      </c>
    </row>
    <row r="40" spans="1:12" x14ac:dyDescent="0.2">
      <c r="A40" s="802"/>
      <c r="B40" s="1003" t="s">
        <v>975</v>
      </c>
      <c r="C40" s="1004">
        <v>12.7</v>
      </c>
      <c r="D40" s="780">
        <v>5.8</v>
      </c>
      <c r="E40" s="781">
        <v>2.8</v>
      </c>
      <c r="F40" s="779">
        <f>+E40/2.291</f>
        <v>1.2221737232649497</v>
      </c>
      <c r="G40" s="778">
        <v>2.2000000000000002</v>
      </c>
      <c r="H40" s="779">
        <f t="shared" si="0"/>
        <v>1.8257261410788381</v>
      </c>
      <c r="I40" s="1009">
        <v>0.33</v>
      </c>
      <c r="J40" s="1015">
        <f t="shared" si="1"/>
        <v>0.57999999999999996</v>
      </c>
      <c r="K40" s="1016">
        <v>29.1</v>
      </c>
      <c r="L40" s="849">
        <v>5</v>
      </c>
    </row>
    <row r="41" spans="1:12" ht="13.5" thickBot="1" x14ac:dyDescent="0.25">
      <c r="A41" s="801"/>
      <c r="B41" s="1017" t="s">
        <v>976</v>
      </c>
      <c r="C41" s="1018">
        <v>16.899999999999999</v>
      </c>
      <c r="D41" s="782">
        <v>8.3000000000000007</v>
      </c>
      <c r="E41" s="783">
        <v>2.5</v>
      </c>
      <c r="F41" s="784">
        <f>+E41/2.291</f>
        <v>1.0912265386294195</v>
      </c>
      <c r="G41" s="785">
        <v>2.2000000000000002</v>
      </c>
      <c r="H41" s="784">
        <f t="shared" si="0"/>
        <v>1.8257261410788381</v>
      </c>
      <c r="I41" s="1019">
        <v>0.18</v>
      </c>
      <c r="J41" s="1020">
        <f t="shared" si="1"/>
        <v>0.83000000000000007</v>
      </c>
      <c r="K41" s="1021">
        <v>31.3</v>
      </c>
      <c r="L41" s="849">
        <v>4</v>
      </c>
    </row>
    <row r="42" spans="1:12" x14ac:dyDescent="0.2">
      <c r="A42" s="29"/>
      <c r="B42" s="727"/>
      <c r="C42" s="727"/>
      <c r="D42" s="727"/>
      <c r="E42" s="727"/>
      <c r="F42" s="29"/>
      <c r="G42" s="29"/>
      <c r="H42" s="29"/>
      <c r="I42" s="29"/>
      <c r="J42" s="29"/>
    </row>
    <row r="43" spans="1:12" x14ac:dyDescent="0.2">
      <c r="A43" s="29"/>
      <c r="B43" s="727" t="s">
        <v>977</v>
      </c>
      <c r="C43" s="727"/>
      <c r="D43" s="727"/>
      <c r="E43" s="727"/>
      <c r="F43" s="29"/>
      <c r="G43" s="29"/>
      <c r="H43" s="29"/>
      <c r="I43" s="29"/>
      <c r="J43" s="29"/>
    </row>
    <row r="44" spans="1:12" x14ac:dyDescent="0.2">
      <c r="A44" s="29"/>
      <c r="B44" s="727" t="s">
        <v>978</v>
      </c>
      <c r="C44" s="727"/>
      <c r="D44" s="727"/>
      <c r="E44" s="727"/>
      <c r="F44" s="29"/>
      <c r="G44" s="29"/>
      <c r="H44" s="29"/>
      <c r="I44" s="29"/>
      <c r="J44" s="29"/>
    </row>
    <row r="45" spans="1:12" ht="15" x14ac:dyDescent="0.2">
      <c r="A45" s="29"/>
      <c r="B45" s="727"/>
      <c r="C45" s="727"/>
      <c r="D45" s="786"/>
      <c r="E45" s="786"/>
      <c r="F45" s="786"/>
      <c r="G45" s="786"/>
      <c r="H45" s="786"/>
      <c r="I45" s="29"/>
      <c r="J45" s="29"/>
    </row>
    <row r="46" spans="1:12" ht="15" x14ac:dyDescent="0.2">
      <c r="A46" s="29"/>
      <c r="B46" s="727"/>
      <c r="C46" s="727"/>
      <c r="D46" s="786"/>
      <c r="E46" s="786"/>
      <c r="F46" s="786"/>
      <c r="G46" s="786"/>
      <c r="H46" s="29"/>
      <c r="I46" s="29"/>
      <c r="J46" s="29"/>
    </row>
    <row r="47" spans="1:12" x14ac:dyDescent="0.2">
      <c r="A47" s="29"/>
      <c r="B47" s="728" t="s">
        <v>979</v>
      </c>
      <c r="C47" s="728"/>
      <c r="D47" s="727"/>
      <c r="E47" s="727"/>
      <c r="F47" s="29"/>
      <c r="G47" s="29"/>
      <c r="H47" s="29"/>
      <c r="I47" s="29"/>
      <c r="J47" s="29"/>
    </row>
    <row r="48" spans="1:12" ht="13.5" thickBot="1" x14ac:dyDescent="0.25">
      <c r="A48" s="29"/>
      <c r="B48" s="727"/>
      <c r="C48" s="727"/>
      <c r="D48" s="727"/>
      <c r="E48" s="727"/>
      <c r="F48" s="29"/>
      <c r="G48" s="29"/>
      <c r="H48" s="29"/>
      <c r="I48" s="29"/>
      <c r="J48" s="29"/>
    </row>
    <row r="49" spans="1:12" x14ac:dyDescent="0.2">
      <c r="A49" s="800"/>
      <c r="B49" s="729" t="s">
        <v>980</v>
      </c>
      <c r="C49" s="730" t="s">
        <v>981</v>
      </c>
      <c r="D49" s="731"/>
      <c r="E49" s="731"/>
      <c r="F49" s="731"/>
      <c r="G49" s="756"/>
      <c r="H49" s="756"/>
      <c r="I49" s="759"/>
      <c r="J49" s="727"/>
    </row>
    <row r="50" spans="1:12" ht="15" thickBot="1" x14ac:dyDescent="0.3">
      <c r="A50" s="801"/>
      <c r="B50" s="740"/>
      <c r="C50" s="771" t="s">
        <v>4</v>
      </c>
      <c r="D50" s="771" t="s">
        <v>684</v>
      </c>
      <c r="E50" s="742" t="s">
        <v>895</v>
      </c>
      <c r="F50" s="741" t="s">
        <v>685</v>
      </c>
      <c r="G50" s="742" t="s">
        <v>896</v>
      </c>
      <c r="H50" s="742" t="s">
        <v>892</v>
      </c>
      <c r="I50" s="772" t="s">
        <v>947</v>
      </c>
      <c r="J50" s="738" t="s">
        <v>231</v>
      </c>
      <c r="L50" s="803" t="s">
        <v>8222</v>
      </c>
    </row>
    <row r="51" spans="1:12" ht="13.5" thickBot="1" x14ac:dyDescent="0.25">
      <c r="A51" s="802"/>
      <c r="B51" s="731" t="s">
        <v>21</v>
      </c>
      <c r="C51" s="773"/>
      <c r="D51" s="774"/>
      <c r="E51" s="775"/>
      <c r="F51" s="776"/>
      <c r="G51" s="775"/>
      <c r="H51" s="787"/>
      <c r="I51" s="788"/>
      <c r="J51" s="738">
        <v>0</v>
      </c>
    </row>
    <row r="52" spans="1:12" x14ac:dyDescent="0.2">
      <c r="A52" s="802"/>
      <c r="B52" s="1022" t="s">
        <v>8173</v>
      </c>
      <c r="C52" s="1024">
        <v>1.19</v>
      </c>
      <c r="D52" s="1025">
        <v>0.26</v>
      </c>
      <c r="E52" s="1026">
        <v>0.11</v>
      </c>
      <c r="F52" s="1027">
        <v>0.11</v>
      </c>
      <c r="G52" s="1028">
        <f>+F52/1.205</f>
        <v>9.1286307053941904E-2</v>
      </c>
      <c r="H52" s="789">
        <v>0.01</v>
      </c>
      <c r="I52" s="1029">
        <f>+C52/10</f>
        <v>0.11899999999999999</v>
      </c>
      <c r="J52" s="751">
        <v>3</v>
      </c>
      <c r="L52">
        <v>240</v>
      </c>
    </row>
    <row r="53" spans="1:12" ht="13.5" thickBot="1" x14ac:dyDescent="0.25">
      <c r="A53" s="29"/>
      <c r="B53" s="1023" t="s">
        <v>8174</v>
      </c>
      <c r="C53" s="1030">
        <v>19</v>
      </c>
      <c r="D53" s="1031">
        <v>4.8099999999999996</v>
      </c>
      <c r="E53" s="1032">
        <f>+D53/2.291</f>
        <v>2.099519860323003</v>
      </c>
      <c r="F53" s="1033">
        <v>1.77</v>
      </c>
      <c r="G53" s="1032">
        <f>+F53/1.205</f>
        <v>1.4688796680497924</v>
      </c>
      <c r="H53" s="1034">
        <v>0.18</v>
      </c>
      <c r="I53" s="1035">
        <f>+C53/10</f>
        <v>1.9</v>
      </c>
      <c r="J53" s="29"/>
    </row>
    <row r="54" spans="1:12" x14ac:dyDescent="0.2">
      <c r="A54" s="29"/>
      <c r="B54" s="29"/>
      <c r="C54" s="29"/>
      <c r="D54" s="29"/>
      <c r="E54" s="29"/>
      <c r="F54" s="750"/>
      <c r="G54" s="750"/>
      <c r="H54" s="29"/>
      <c r="I54" s="29"/>
      <c r="J54" s="29"/>
    </row>
    <row r="55" spans="1:12" x14ac:dyDescent="0.2">
      <c r="A55" s="29"/>
      <c r="B55" s="728" t="s">
        <v>982</v>
      </c>
      <c r="C55" s="728"/>
      <c r="D55" s="727"/>
      <c r="E55" s="727"/>
      <c r="F55" s="29"/>
      <c r="G55" s="29"/>
      <c r="H55" s="29"/>
      <c r="I55" s="29"/>
      <c r="J55" s="29"/>
    </row>
    <row r="56" spans="1:12" ht="13.5" thickBot="1" x14ac:dyDescent="0.25">
      <c r="A56" s="29"/>
      <c r="B56" s="727"/>
      <c r="C56" s="727"/>
      <c r="D56" s="727"/>
      <c r="E56" s="727"/>
      <c r="F56" s="29"/>
      <c r="G56" s="29"/>
      <c r="H56" s="29"/>
      <c r="I56" s="29"/>
      <c r="J56" s="29"/>
    </row>
    <row r="57" spans="1:12" x14ac:dyDescent="0.2">
      <c r="A57" s="800"/>
      <c r="B57" s="729" t="s">
        <v>983</v>
      </c>
      <c r="C57" s="3169" t="s">
        <v>984</v>
      </c>
      <c r="D57" s="3176"/>
      <c r="E57" s="3176"/>
      <c r="F57" s="3176"/>
      <c r="G57" s="756"/>
      <c r="H57" s="756"/>
      <c r="I57" s="759"/>
      <c r="J57" s="727"/>
    </row>
    <row r="58" spans="1:12" ht="15" thickBot="1" x14ac:dyDescent="0.3">
      <c r="A58" s="802"/>
      <c r="B58" s="740"/>
      <c r="C58" s="771" t="s">
        <v>4</v>
      </c>
      <c r="D58" s="771" t="s">
        <v>684</v>
      </c>
      <c r="E58" s="742" t="s">
        <v>895</v>
      </c>
      <c r="F58" s="741" t="s">
        <v>685</v>
      </c>
      <c r="G58" s="742" t="s">
        <v>896</v>
      </c>
      <c r="H58" s="790" t="s">
        <v>892</v>
      </c>
      <c r="I58" s="772" t="s">
        <v>947</v>
      </c>
      <c r="J58" s="738" t="s">
        <v>231</v>
      </c>
      <c r="L58" s="803" t="s">
        <v>8226</v>
      </c>
    </row>
    <row r="59" spans="1:12" x14ac:dyDescent="0.2">
      <c r="A59" s="800"/>
      <c r="B59" s="731" t="s">
        <v>21</v>
      </c>
      <c r="C59" s="773"/>
      <c r="D59" s="774"/>
      <c r="E59" s="775"/>
      <c r="F59" s="776"/>
      <c r="G59" s="775"/>
      <c r="H59" s="791"/>
      <c r="I59" s="788"/>
      <c r="J59" s="738">
        <v>0</v>
      </c>
    </row>
    <row r="60" spans="1:12" ht="13.5" thickBot="1" x14ac:dyDescent="0.25">
      <c r="A60" s="801"/>
      <c r="B60" s="792" t="s">
        <v>985</v>
      </c>
      <c r="C60" s="793">
        <v>128</v>
      </c>
      <c r="D60" s="794">
        <v>0.9</v>
      </c>
      <c r="E60" s="795">
        <v>0.4</v>
      </c>
      <c r="F60" s="796">
        <v>60.3</v>
      </c>
      <c r="G60" s="784">
        <v>50</v>
      </c>
      <c r="H60" s="797">
        <v>0.5</v>
      </c>
      <c r="I60" s="798">
        <v>12.8</v>
      </c>
      <c r="J60" s="750">
        <v>4</v>
      </c>
      <c r="L60">
        <v>4</v>
      </c>
    </row>
    <row r="61" spans="1:12" x14ac:dyDescent="0.2">
      <c r="A61" s="727"/>
      <c r="B61" s="727"/>
      <c r="C61" s="727"/>
      <c r="D61" s="727"/>
      <c r="E61" s="727"/>
      <c r="F61" s="727"/>
      <c r="G61" s="727"/>
      <c r="H61" s="727"/>
      <c r="I61" s="727"/>
      <c r="J61" s="727"/>
    </row>
  </sheetData>
  <mergeCells count="1">
    <mergeCell ref="C57:F57"/>
  </mergeCells>
  <pageMargins left="0.7" right="0.7" top="0.78740157499999996" bottom="0.78740157499999996"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H13"/>
  <sheetViews>
    <sheetView workbookViewId="0"/>
  </sheetViews>
  <sheetFormatPr baseColWidth="10" defaultRowHeight="12.75" x14ac:dyDescent="0.2"/>
  <sheetData>
    <row r="1" spans="1:8" x14ac:dyDescent="0.2">
      <c r="D1" s="1092" t="s">
        <v>21</v>
      </c>
    </row>
    <row r="2" spans="1:8" x14ac:dyDescent="0.2">
      <c r="A2">
        <v>1</v>
      </c>
      <c r="B2" s="26" t="s">
        <v>35</v>
      </c>
      <c r="D2" s="702" t="s">
        <v>925</v>
      </c>
      <c r="F2" s="702" t="s">
        <v>21</v>
      </c>
      <c r="H2" s="702" t="s">
        <v>773</v>
      </c>
    </row>
    <row r="3" spans="1:8" x14ac:dyDescent="0.2">
      <c r="A3">
        <v>2</v>
      </c>
      <c r="B3" s="26" t="s">
        <v>36</v>
      </c>
      <c r="D3" s="702" t="s">
        <v>926</v>
      </c>
      <c r="F3" s="702" t="s">
        <v>1006</v>
      </c>
      <c r="H3" s="702" t="s">
        <v>0</v>
      </c>
    </row>
    <row r="4" spans="1:8" x14ac:dyDescent="0.2">
      <c r="A4">
        <v>3</v>
      </c>
      <c r="B4" s="26" t="s">
        <v>37</v>
      </c>
      <c r="D4" s="702" t="s">
        <v>927</v>
      </c>
      <c r="F4" s="702" t="s">
        <v>1007</v>
      </c>
      <c r="H4" s="702" t="s">
        <v>11</v>
      </c>
    </row>
    <row r="5" spans="1:8" x14ac:dyDescent="0.2">
      <c r="D5" s="702" t="s">
        <v>928</v>
      </c>
      <c r="F5" s="702" t="s">
        <v>1005</v>
      </c>
    </row>
    <row r="6" spans="1:8" x14ac:dyDescent="0.2">
      <c r="A6">
        <v>1</v>
      </c>
      <c r="B6" s="26" t="s">
        <v>283</v>
      </c>
      <c r="D6" s="702" t="s">
        <v>929</v>
      </c>
    </row>
    <row r="7" spans="1:8" x14ac:dyDescent="0.2">
      <c r="A7">
        <v>2</v>
      </c>
      <c r="B7" s="26" t="s">
        <v>284</v>
      </c>
      <c r="D7" s="702" t="s">
        <v>930</v>
      </c>
    </row>
    <row r="8" spans="1:8" x14ac:dyDescent="0.2">
      <c r="D8" s="702" t="s">
        <v>931</v>
      </c>
    </row>
    <row r="9" spans="1:8" x14ac:dyDescent="0.2">
      <c r="A9">
        <v>1</v>
      </c>
      <c r="B9" s="26" t="s">
        <v>611</v>
      </c>
      <c r="D9" s="702" t="s">
        <v>932</v>
      </c>
    </row>
    <row r="10" spans="1:8" x14ac:dyDescent="0.2">
      <c r="A10">
        <v>2</v>
      </c>
      <c r="B10" s="26" t="s">
        <v>620</v>
      </c>
      <c r="D10" s="702" t="s">
        <v>933</v>
      </c>
    </row>
    <row r="11" spans="1:8" x14ac:dyDescent="0.2">
      <c r="D11" s="702" t="s">
        <v>934</v>
      </c>
    </row>
    <row r="12" spans="1:8" x14ac:dyDescent="0.2">
      <c r="D12" s="702" t="s">
        <v>935</v>
      </c>
    </row>
    <row r="13" spans="1:8" x14ac:dyDescent="0.2">
      <c r="D13" s="702" t="s">
        <v>936</v>
      </c>
    </row>
  </sheetData>
  <customSheetViews>
    <customSheetView guid="{DDA6E6AA-9473-49A0-A3A2-76E4959B79AF}" state="hidden">
      <selection activeCell="I36" sqref="I36"/>
      <pageMargins left="0.7" right="0.7" top="0.78740157499999996" bottom="0.78740157499999996" header="0.3" footer="0.3"/>
    </customSheetView>
  </customSheetView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BSO999929 xmlns="http://www.datev.de/BSOffice/999929">073d3fc2-b32b-4d54-a14b-52b201e539fc</BSO999929>
</file>

<file path=customXml/itemProps1.xml><?xml version="1.0" encoding="utf-8"?>
<ds:datastoreItem xmlns:ds="http://schemas.openxmlformats.org/officeDocument/2006/customXml" ds:itemID="{7F1D723E-E8BC-41B6-B54A-9BC25C5062F4}">
  <ds:schemaRefs>
    <ds:schemaRef ds:uri="http://www.datev.de/BSOffice/999929"/>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20</vt:i4>
      </vt:variant>
      <vt:variant>
        <vt:lpstr>Benannte Bereiche</vt:lpstr>
      </vt:variant>
      <vt:variant>
        <vt:i4>7</vt:i4>
      </vt:variant>
    </vt:vector>
  </HeadingPairs>
  <TitlesOfParts>
    <vt:vector size="27" baseType="lpstr">
      <vt:lpstr>Programminformationen</vt:lpstr>
      <vt:lpstr>Nährstoffe und Lagerraum</vt:lpstr>
      <vt:lpstr>Eigene, abweichende Tierdaten</vt:lpstr>
      <vt:lpstr>Lagerhaltung (freiwillig)</vt:lpstr>
      <vt:lpstr>Tiere</vt:lpstr>
      <vt:lpstr>intern_Formel_Geflügel_Kot</vt:lpstr>
      <vt:lpstr>Datentabellen Diagramme</vt:lpstr>
      <vt:lpstr>Tierprodukte</vt:lpstr>
      <vt:lpstr>Stroh</vt:lpstr>
      <vt:lpstr>Niederschläge</vt:lpstr>
      <vt:lpstr>Abgabebeleg</vt:lpstr>
      <vt:lpstr>Pflanzen</vt:lpstr>
      <vt:lpstr>Abgabeliste</vt:lpstr>
      <vt:lpstr>Notizen</vt:lpstr>
      <vt:lpstr>Gemarkungsniederschläge</vt:lpstr>
      <vt:lpstr>Erläuterungen</vt:lpstr>
      <vt:lpstr>Anrechnung Nachgärer</vt:lpstr>
      <vt:lpstr>Abweichende Schweine</vt:lpstr>
      <vt:lpstr>Schweine_Werte</vt:lpstr>
      <vt:lpstr>Basisdaten</vt:lpstr>
      <vt:lpstr>Abgabebeleg!Druckbereich</vt:lpstr>
      <vt:lpstr>Abgabeliste!Druckbereich</vt:lpstr>
      <vt:lpstr>'Eigene, abweichende Tierdaten'!Druckbereich</vt:lpstr>
      <vt:lpstr>'Lagerhaltung (freiwillig)'!Druckbereich</vt:lpstr>
      <vt:lpstr>Abgabeliste!Drucktitel</vt:lpstr>
      <vt:lpstr>'Eigene, abweichende Tierdaten'!Drucktitel</vt:lpstr>
      <vt:lpstr>hj</vt:lpstr>
    </vt:vector>
  </TitlesOfParts>
  <Company>LfL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LfL Biogasrechner mit Lagerhaltung_2024</dc:title>
  <dc:creator>msbo</dc:creator>
  <cp:lastModifiedBy>User</cp:lastModifiedBy>
  <cp:lastPrinted>2024-10-31T09:20:09Z</cp:lastPrinted>
  <dcterms:created xsi:type="dcterms:W3CDTF">2006-11-22T08:57:22Z</dcterms:created>
  <dcterms:modified xsi:type="dcterms:W3CDTF">2025-01-17T08:51:15Z</dcterms:modified>
</cp:coreProperties>
</file>